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omments10.xml" ContentType="application/vnd.openxmlformats-officedocument.spreadsheetml.comments+xml"/>
  <Override PartName="/xl/comments11.xml" ContentType="application/vnd.openxmlformats-officedocument.spreadsheetml.comment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Override PartName="/xl/worksheets/sheet34.xml" ContentType="application/vnd.openxmlformats-officedocument.spreadsheetml.worksheet+xml"/>
  <Default Extension="bin" ContentType="application/vnd.openxmlformats-officedocument.spreadsheetml.printerSettings"/>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comments9.xml" ContentType="application/vnd.openxmlformats-officedocument.spreadsheetml.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6D7BE3D0-9255-6837-6703-DDC3ED590948}"/>
  <workbookPr codeName="ThisWorkbook" defaultThemeVersion="124226"/>
  <bookViews>
    <workbookView xWindow="360" yWindow="75" windowWidth="14685" windowHeight="6885" tabRatio="765"/>
  </bookViews>
  <sheets>
    <sheet name="IFU" sheetId="16" r:id="rId1"/>
    <sheet name="Directory" sheetId="24" r:id="rId2"/>
    <sheet name="Configs &amp; Procedures" sheetId="14" r:id="rId3"/>
    <sheet name="Donor Sample" sheetId="12" r:id="rId4"/>
    <sheet name="MD Summary" sheetId="17" state="hidden" r:id="rId5"/>
    <sheet name="MD Details" sheetId="21" state="hidden" r:id="rId6"/>
    <sheet name="MD DQP Stats" sheetId="18" state="hidden" r:id="rId7"/>
    <sheet name="SD Summary" sheetId="19" state="hidden" r:id="rId8"/>
    <sheet name="SD Details" sheetId="23" state="hidden" r:id="rId9"/>
    <sheet name="Details" sheetId="1" state="hidden" r:id="rId10"/>
    <sheet name="SD_Details" sheetId="22" state="hidden" r:id="rId11"/>
    <sheet name="DS Analysis" sheetId="13" state="hidden" r:id="rId12"/>
    <sheet name="ConfigLoop" sheetId="39" r:id="rId13"/>
    <sheet name="cc51" sheetId="26" state="hidden" r:id="rId14"/>
    <sheet name="config51" sheetId="25" state="hidden" r:id="rId15"/>
    <sheet name="config52" sheetId="33" state="hidden" r:id="rId16"/>
    <sheet name="cc52" sheetId="34" state="hidden" r:id="rId17"/>
    <sheet name="cc60" sheetId="28" state="hidden" r:id="rId18"/>
    <sheet name="config60" sheetId="27" state="hidden" r:id="rId19"/>
    <sheet name="cc63" sheetId="44" state="hidden" r:id="rId20"/>
    <sheet name="cc61" sheetId="30" state="hidden" r:id="rId21"/>
    <sheet name="config63" sheetId="45" state="hidden" r:id="rId22"/>
    <sheet name="config61" sheetId="29" state="hidden" r:id="rId23"/>
    <sheet name="UserConfig" sheetId="32" state="hidden" r:id="rId24"/>
    <sheet name="Dev Notes" sheetId="31" state="hidden" r:id="rId25"/>
    <sheet name="configAMAPP" sheetId="35" state="hidden" r:id="rId26"/>
    <sheet name="sw" sheetId="36" state="hidden" r:id="rId27"/>
    <sheet name="swPAS" sheetId="42" state="hidden" r:id="rId28"/>
    <sheet name="ccLR2" sheetId="37" state="hidden" r:id="rId29"/>
    <sheet name="ccLR" sheetId="38" state="hidden" r:id="rId30"/>
    <sheet name="ccPAS" sheetId="40" state="hidden" r:id="rId31"/>
    <sheet name="configPAS" sheetId="41" state="hidden" r:id="rId32"/>
    <sheet name="sw63" sheetId="46" state="hidden" r:id="rId33"/>
    <sheet name="sw61" sheetId="43" state="hidden" r:id="rId34"/>
  </sheets>
  <functionGroups/>
  <definedNames>
    <definedName name="__plm2" localSheetId="16">#REF!</definedName>
    <definedName name="__plm2" localSheetId="31">#REF!</definedName>
    <definedName name="__plm2" localSheetId="27">#REF!</definedName>
    <definedName name="__plm3" localSheetId="16">#REF!</definedName>
    <definedName name="__plm3" localSheetId="31">#REF!</definedName>
    <definedName name="__plm3" localSheetId="27">#REF!</definedName>
    <definedName name="__plm4" localSheetId="16">#REF!</definedName>
    <definedName name="__plm4" localSheetId="31">#REF!</definedName>
    <definedName name="__plm4" localSheetId="27">#REF!</definedName>
    <definedName name="__plt1" localSheetId="16">#REF!</definedName>
    <definedName name="__plt1" localSheetId="31">#REF!</definedName>
    <definedName name="__plt1" localSheetId="27">#REF!</definedName>
    <definedName name="__plt2" localSheetId="16">#REF!</definedName>
    <definedName name="__plt2" localSheetId="31">#REF!</definedName>
    <definedName name="__plt2" localSheetId="27">#REF!</definedName>
    <definedName name="__plt3" localSheetId="16">#REF!</definedName>
    <definedName name="__plt3" localSheetId="31">#REF!</definedName>
    <definedName name="__plt3" localSheetId="27">#REF!</definedName>
    <definedName name="_plm1" localSheetId="16">#REF!</definedName>
    <definedName name="_plm1" localSheetId="31">#REF!</definedName>
    <definedName name="_plm1" localSheetId="27">#REF!</definedName>
    <definedName name="_plm2" localSheetId="16">#REF!</definedName>
    <definedName name="_plm2" localSheetId="31">#REF!</definedName>
    <definedName name="_plm2" localSheetId="27">#REF!</definedName>
    <definedName name="_plm3" localSheetId="16">#REF!</definedName>
    <definedName name="_plm3" localSheetId="31">#REF!</definedName>
    <definedName name="_plm3" localSheetId="27">#REF!</definedName>
    <definedName name="_plm4" localSheetId="16">#REF!</definedName>
    <definedName name="_plm4" localSheetId="31">#REF!</definedName>
    <definedName name="_plm4" localSheetId="27">#REF!</definedName>
    <definedName name="_plt1" localSheetId="16">#REF!</definedName>
    <definedName name="_plt1" localSheetId="31">#REF!</definedName>
    <definedName name="_plt1" localSheetId="27">#REF!</definedName>
    <definedName name="_plt2" localSheetId="16">#REF!</definedName>
    <definedName name="_plt2" localSheetId="31">#REF!</definedName>
    <definedName name="_plt2" localSheetId="27">#REF!</definedName>
    <definedName name="_plt3" localSheetId="16">#REF!</definedName>
    <definedName name="_plt3" localSheetId="31">#REF!</definedName>
    <definedName name="_plt3" localSheetId="27">#REF!</definedName>
    <definedName name="ABODirect">'DS Analysis'!$AH$9</definedName>
    <definedName name="ABOStat">'DS Analysis'!$T$9</definedName>
    <definedName name="answers" localSheetId="16">#REF!</definedName>
    <definedName name="answers" localSheetId="31">#REF!</definedName>
    <definedName name="answers" localSheetId="27">#REF!</definedName>
    <definedName name="bIterate">ConfigLoop!$P$5</definedName>
    <definedName name="bIterCount">ConfigLoop!$K$37</definedName>
    <definedName name="bOverride">ConfigLoop!$P$4</definedName>
    <definedName name="choices" localSheetId="16">#REF!</definedName>
    <definedName name="choices" localSheetId="31">#REF!</definedName>
    <definedName name="choices" localSheetId="27">#REF!</definedName>
    <definedName name="cntPls">ConfigLoop!$M$36</definedName>
    <definedName name="cntPlt">ConfigLoop!$K$36</definedName>
    <definedName name="cntRBC">ConfigLoop!$N$36</definedName>
    <definedName name="cPlt">ConfigLoop!$L$32</definedName>
    <definedName name="DBO">'DS Analysis'!$AP$36</definedName>
    <definedName name="dbs">ConfigLoop!$K$41:$L$43</definedName>
    <definedName name="defaultRBC" localSheetId="16">#REF!</definedName>
    <definedName name="defaultRBC" localSheetId="31">#REF!</definedName>
    <definedName name="defaultRBC" localSheetId="27">#REF!</definedName>
    <definedName name="DonorCount">Details!$B$8</definedName>
    <definedName name="DonorSex">'DS Analysis'!$X$9</definedName>
    <definedName name="finalprilist" localSheetId="16">#REF!</definedName>
    <definedName name="finalprilist" localSheetId="31">#REF!</definedName>
    <definedName name="finalprilist" localSheetId="27">#REF!</definedName>
    <definedName name="finalpriyields" localSheetId="16">#REF!</definedName>
    <definedName name="finalpriyields" localSheetId="31">#REF!</definedName>
    <definedName name="finalpriyields" localSheetId="27">#REF!</definedName>
    <definedName name="FmSetting">'Configs &amp; Procedures'!$H$15</definedName>
    <definedName name="labels" localSheetId="16">#REF!</definedName>
    <definedName name="labels" localSheetId="31">#REF!</definedName>
    <definedName name="labels" localSheetId="27">#REF!</definedName>
    <definedName name="language" localSheetId="16">#REF!</definedName>
    <definedName name="language" localSheetId="31">#REF!</definedName>
    <definedName name="language" localSheetId="27">#REF!</definedName>
    <definedName name="maxPls">ConfigLoop!$M$32</definedName>
    <definedName name="maxPlt">ConfigLoop!$K$32</definedName>
    <definedName name="maxRBC">ConfigLoop!$N$32</definedName>
    <definedName name="minPls">ConfigLoop!$M$33</definedName>
    <definedName name="minPlt">ConfigLoop!$K$33</definedName>
    <definedName name="minRBC">ConfigLoop!$N$33</definedName>
    <definedName name="MOPlsSwitch">'Configs &amp; Procedures'!$H$21</definedName>
    <definedName name="MOPltSwitch">'Configs &amp; Procedures'!$H$22</definedName>
    <definedName name="names" localSheetId="16">#REF!</definedName>
    <definedName name="names" localSheetId="31">#REF!</definedName>
    <definedName name="names" localSheetId="27">#REF!</definedName>
    <definedName name="no" localSheetId="16">#REF!</definedName>
    <definedName name="no" localSheetId="31">#REF!</definedName>
    <definedName name="no" localSheetId="27">#REF!</definedName>
    <definedName name="_xlnm.Print_Area" localSheetId="2">'Configs &amp; Procedures'!$B$3:$N$66</definedName>
    <definedName name="_xlnm.Print_Area" localSheetId="1">Directory!$B$2:$M$25</definedName>
    <definedName name="_xlnm.Print_Area" localSheetId="3">'Donor Sample'!$B$2:$U$37</definedName>
    <definedName name="_xlnm.Print_Area" localSheetId="0">IFU!$B$2:$L$72</definedName>
    <definedName name="_xlnm.Print_Area" localSheetId="5">'MD Details'!$B$2:$L$45</definedName>
    <definedName name="_xlnm.Print_Area" localSheetId="6">'MD DQP Stats'!$B$2:$O$26</definedName>
    <definedName name="_xlnm.Print_Area" localSheetId="4">'MD Summary'!$A$1:$K$59</definedName>
    <definedName name="_xlnm.Print_Area" localSheetId="8">'SD Details'!$B$2:$I$35</definedName>
    <definedName name="_xlnm.Print_Area" localSheetId="7">'SD Summary'!$B$3:$L$32</definedName>
    <definedName name="_xlnm.Print_Area" localSheetId="23">UserConfig!$B$3:$W$122</definedName>
    <definedName name="proclisttable1" localSheetId="16">#REF!</definedName>
    <definedName name="proclisttable1" localSheetId="31">#REF!</definedName>
    <definedName name="proclisttable1" localSheetId="27">#REF!</definedName>
    <definedName name="proclisttable2" localSheetId="16">#REF!</definedName>
    <definedName name="proclisttable2" localSheetId="31">#REF!</definedName>
    <definedName name="proclisttable2" localSheetId="27">#REF!</definedName>
    <definedName name="proclisttable3" localSheetId="16">#REF!</definedName>
    <definedName name="proclisttable3" localSheetId="31">#REF!</definedName>
    <definedName name="proclisttable3" localSheetId="27">#REF!</definedName>
    <definedName name="prPls">ConfigLoop!$M$35</definedName>
    <definedName name="prPlt">ConfigLoop!$K$35</definedName>
    <definedName name="prRBC">ConfigLoop!$N$35</definedName>
    <definedName name="PTFswitch">'Configs &amp; Procedures'!$L$34</definedName>
    <definedName name="rbc" localSheetId="16">#REF!</definedName>
    <definedName name="rbc" localSheetId="31">#REF!</definedName>
    <definedName name="rbc" localSheetId="27">#REF!</definedName>
    <definedName name="StatDiff">'DS Analysis'!$C$69</definedName>
    <definedName name="stepPls">ConfigLoop!$M$34</definedName>
    <definedName name="stepPlt">ConfigLoop!$K$34</definedName>
    <definedName name="stepRBC">ConfigLoop!$N$34</definedName>
    <definedName name="tbvlimit">'Configs &amp; Procedures'!$L$33</definedName>
    <definedName name="tbvswitch">'Configs &amp; Procedures'!$L$32</definedName>
    <definedName name="textpl1" localSheetId="16">#REF!</definedName>
    <definedName name="textpl1" localSheetId="31">#REF!</definedName>
    <definedName name="textpl1" localSheetId="27">#REF!</definedName>
    <definedName name="textpl2" localSheetId="16">#REF!</definedName>
    <definedName name="textpl2" localSheetId="31">#REF!</definedName>
    <definedName name="textpl2" localSheetId="27">#REF!</definedName>
    <definedName name="textpl3" localSheetId="16">#REF!</definedName>
    <definedName name="textpl3" localSheetId="31">#REF!</definedName>
    <definedName name="textpl3" localSheetId="27">#REF!</definedName>
    <definedName name="textpl4" localSheetId="16">#REF!</definedName>
    <definedName name="textpl4" localSheetId="31">#REF!</definedName>
    <definedName name="textpl4" localSheetId="27">#REF!</definedName>
    <definedName name="textpl5" localSheetId="16">#REF!</definedName>
    <definedName name="textpl5" localSheetId="31">#REF!</definedName>
    <definedName name="textpl5" localSheetId="27">#REF!</definedName>
    <definedName name="textpl6" localSheetId="16">#REF!</definedName>
    <definedName name="textpl6" localSheetId="31">#REF!</definedName>
    <definedName name="textpl6" localSheetId="27">#REF!</definedName>
    <definedName name="textpl7" localSheetId="16">#REF!</definedName>
    <definedName name="textpl7" localSheetId="31">#REF!</definedName>
    <definedName name="textpl7" localSheetId="27">#REF!</definedName>
    <definedName name="textplasma1" localSheetId="16">#REF!</definedName>
    <definedName name="textplasma1" localSheetId="31">#REF!</definedName>
    <definedName name="textplasma1" localSheetId="27">#REF!</definedName>
    <definedName name="textplasma2" localSheetId="16">#REF!</definedName>
    <definedName name="textplasma2" localSheetId="31">#REF!</definedName>
    <definedName name="textplasma2" localSheetId="27">#REF!</definedName>
    <definedName name="textplasma3" localSheetId="16">#REF!</definedName>
    <definedName name="textplasma3" localSheetId="31">#REF!</definedName>
    <definedName name="textplasma3" localSheetId="27">#REF!</definedName>
    <definedName name="textplasma4" localSheetId="16">#REF!</definedName>
    <definedName name="textplasma4" localSheetId="31">#REF!</definedName>
    <definedName name="textplasma4" localSheetId="27">#REF!</definedName>
    <definedName name="textplt1" localSheetId="16">#REF!</definedName>
    <definedName name="textplt1" localSheetId="31">#REF!</definedName>
    <definedName name="textplt1" localSheetId="27">#REF!</definedName>
    <definedName name="textplt2" localSheetId="16">#REF!</definedName>
    <definedName name="textplt2" localSheetId="31">#REF!</definedName>
    <definedName name="textplt2" localSheetId="27">#REF!</definedName>
    <definedName name="textplt3" localSheetId="16">#REF!</definedName>
    <definedName name="textplt3" localSheetId="31">#REF!</definedName>
    <definedName name="textplt3" localSheetId="27">#REF!</definedName>
    <definedName name="textplt4" localSheetId="16">#REF!</definedName>
    <definedName name="textplt4" localSheetId="31">#REF!</definedName>
    <definedName name="textplt4" localSheetId="27">#REF!</definedName>
    <definedName name="textplt5" localSheetId="16">#REF!</definedName>
    <definedName name="textplt5" localSheetId="31">#REF!</definedName>
    <definedName name="textplt5" localSheetId="27">#REF!</definedName>
    <definedName name="textplt6" localSheetId="16">#REF!</definedName>
    <definedName name="textplt6" localSheetId="31">#REF!</definedName>
    <definedName name="textplt6" localSheetId="27">#REF!</definedName>
    <definedName name="textplt7" localSheetId="16">#REF!</definedName>
    <definedName name="textplt7" localSheetId="31">#REF!</definedName>
    <definedName name="textplt7" localSheetId="27">#REF!</definedName>
    <definedName name="textrbc1" localSheetId="16">#REF!</definedName>
    <definedName name="textrbc1" localSheetId="31">#REF!</definedName>
    <definedName name="textrbc1" localSheetId="27">#REF!</definedName>
    <definedName name="textrbc2" localSheetId="16">#REF!</definedName>
    <definedName name="textrbc2" localSheetId="31">#REF!</definedName>
    <definedName name="textrbc2" localSheetId="27">#REF!</definedName>
    <definedName name="textrbc3" localSheetId="16">#REF!</definedName>
    <definedName name="textrbc3" localSheetId="31">#REF!</definedName>
    <definedName name="textrbc3" localSheetId="27">#REF!</definedName>
    <definedName name="textrbc4" localSheetId="16">#REF!</definedName>
    <definedName name="textrbc4" localSheetId="31">#REF!</definedName>
    <definedName name="textrbc4" localSheetId="27">#REF!</definedName>
    <definedName name="textvol1" localSheetId="16">#REF!</definedName>
    <definedName name="textvol1" localSheetId="31">#REF!</definedName>
    <definedName name="textvol1" localSheetId="27">#REF!</definedName>
    <definedName name="textvol2" localSheetId="16">#REF!</definedName>
    <definedName name="textvol2" localSheetId="31">#REF!</definedName>
    <definedName name="textvol2" localSheetId="27">#REF!</definedName>
    <definedName name="textvol3" localSheetId="16">#REF!</definedName>
    <definedName name="textvol3" localSheetId="31">#REF!</definedName>
    <definedName name="textvol3" localSheetId="27">#REF!</definedName>
    <definedName name="textvol4" localSheetId="16">#REF!</definedName>
    <definedName name="textvol4" localSheetId="31">#REF!</definedName>
    <definedName name="textvol4" localSheetId="27">#REF!</definedName>
    <definedName name="textvol5" localSheetId="16">#REF!</definedName>
    <definedName name="textvol5" localSheetId="31">#REF!</definedName>
    <definedName name="textvol5" localSheetId="27">#REF!</definedName>
    <definedName name="trimafile" localSheetId="16">#REF!</definedName>
    <definedName name="trimafile" localSheetId="31">#REF!</definedName>
    <definedName name="trimafile" localSheetId="27">#REF!</definedName>
    <definedName name="version_loc">IFU!$B$6</definedName>
    <definedName name="yields" localSheetId="16">#REF!</definedName>
    <definedName name="yields" localSheetId="31">#REF!</definedName>
    <definedName name="yields" localSheetId="27">#REF!</definedName>
  </definedNames>
  <calcPr calcId="125725" iterate="1"/>
</workbook>
</file>

<file path=xl/calcChain.xml><?xml version="1.0" encoding="utf-8"?>
<calcChain xmlns="http://schemas.openxmlformats.org/spreadsheetml/2006/main">
  <c r="Y9" i="13"/>
  <c r="A79" i="46"/>
  <c r="A102"/>
  <c r="A147" i="43"/>
  <c r="A3" i="45"/>
  <c r="A4"/>
  <c r="A37"/>
  <c r="A36"/>
  <c r="A31"/>
  <c r="A30"/>
  <c r="A29"/>
  <c r="A24"/>
  <c r="A23"/>
  <c r="A19"/>
  <c r="A17"/>
  <c r="A16"/>
  <c r="A14"/>
  <c r="A11"/>
  <c r="A20"/>
  <c r="A18"/>
  <c r="A21"/>
  <c r="A22"/>
  <c r="A302"/>
  <c r="A295"/>
  <c r="A288"/>
  <c r="A281"/>
  <c r="A274"/>
  <c r="A267"/>
  <c r="A260"/>
  <c r="A253"/>
  <c r="A246"/>
  <c r="A239"/>
  <c r="A232"/>
  <c r="A225"/>
  <c r="A218"/>
  <c r="A211"/>
  <c r="A204"/>
  <c r="A197"/>
  <c r="A190"/>
  <c r="A183"/>
  <c r="A176"/>
  <c r="A169"/>
  <c r="A79"/>
  <c r="A77"/>
  <c r="A74"/>
  <c r="A72"/>
  <c r="A69"/>
  <c r="A67"/>
  <c r="A62"/>
  <c r="A61"/>
  <c r="A60"/>
  <c r="A59"/>
  <c r="A58"/>
  <c r="A57"/>
  <c r="A53"/>
  <c r="A52"/>
  <c r="A51"/>
  <c r="A50"/>
  <c r="A49"/>
  <c r="A48"/>
  <c r="A353" i="44"/>
  <c r="AR15" i="13"/>
  <c r="AQ15"/>
  <c r="AP15"/>
  <c r="AO15"/>
  <c r="AN15"/>
  <c r="AM15"/>
  <c r="AL15"/>
  <c r="AM25" s="1"/>
  <c r="AN25" s="1"/>
  <c r="AO25" s="1"/>
  <c r="AP37"/>
  <c r="AP25" l="1"/>
  <c r="AQ25" s="1"/>
  <c r="AR25" s="1"/>
  <c r="AS25" s="1"/>
  <c r="AF15" i="12"/>
  <c r="AG14"/>
  <c r="AG13"/>
  <c r="AG12"/>
  <c r="AG11"/>
  <c r="AG10"/>
  <c r="AG9"/>
  <c r="AG8"/>
  <c r="A3" i="17"/>
  <c r="V18" i="13"/>
  <c r="V17"/>
  <c r="V16"/>
  <c r="V15"/>
  <c r="V14"/>
  <c r="V13"/>
  <c r="V12"/>
  <c r="V11"/>
  <c r="V10"/>
  <c r="V9"/>
  <c r="N9"/>
  <c r="N1008"/>
  <c r="N1007"/>
  <c r="N1006"/>
  <c r="N1005"/>
  <c r="N1004"/>
  <c r="N1003"/>
  <c r="N1002"/>
  <c r="N1001"/>
  <c r="N1000"/>
  <c r="N999"/>
  <c r="N998"/>
  <c r="N997"/>
  <c r="N996"/>
  <c r="N995"/>
  <c r="N994"/>
  <c r="N993"/>
  <c r="N992"/>
  <c r="N991"/>
  <c r="N990"/>
  <c r="N989"/>
  <c r="N988"/>
  <c r="N987"/>
  <c r="N986"/>
  <c r="N985"/>
  <c r="N984"/>
  <c r="N983"/>
  <c r="N982"/>
  <c r="N981"/>
  <c r="N980"/>
  <c r="N979"/>
  <c r="N978"/>
  <c r="N977"/>
  <c r="N976"/>
  <c r="N975"/>
  <c r="N974"/>
  <c r="N973"/>
  <c r="N972"/>
  <c r="N971"/>
  <c r="N970"/>
  <c r="N969"/>
  <c r="N968"/>
  <c r="N967"/>
  <c r="N966"/>
  <c r="N965"/>
  <c r="N964"/>
  <c r="N963"/>
  <c r="N962"/>
  <c r="N961"/>
  <c r="N960"/>
  <c r="N959"/>
  <c r="N958"/>
  <c r="N957"/>
  <c r="N956"/>
  <c r="N955"/>
  <c r="N954"/>
  <c r="N953"/>
  <c r="N952"/>
  <c r="N951"/>
  <c r="N950"/>
  <c r="N949"/>
  <c r="N948"/>
  <c r="N947"/>
  <c r="N946"/>
  <c r="N945"/>
  <c r="N944"/>
  <c r="N943"/>
  <c r="N942"/>
  <c r="N941"/>
  <c r="N940"/>
  <c r="N939"/>
  <c r="N938"/>
  <c r="N937"/>
  <c r="N936"/>
  <c r="N935"/>
  <c r="N934"/>
  <c r="N933"/>
  <c r="N932"/>
  <c r="N931"/>
  <c r="N930"/>
  <c r="N929"/>
  <c r="N928"/>
  <c r="N927"/>
  <c r="N926"/>
  <c r="N925"/>
  <c r="N924"/>
  <c r="N923"/>
  <c r="N922"/>
  <c r="N921"/>
  <c r="N920"/>
  <c r="N919"/>
  <c r="N918"/>
  <c r="N917"/>
  <c r="N916"/>
  <c r="N915"/>
  <c r="N914"/>
  <c r="N913"/>
  <c r="N912"/>
  <c r="N911"/>
  <c r="N910"/>
  <c r="N909"/>
  <c r="N908"/>
  <c r="N907"/>
  <c r="N906"/>
  <c r="N905"/>
  <c r="N904"/>
  <c r="N903"/>
  <c r="N902"/>
  <c r="N901"/>
  <c r="N900"/>
  <c r="N899"/>
  <c r="N898"/>
  <c r="N897"/>
  <c r="N896"/>
  <c r="N895"/>
  <c r="N894"/>
  <c r="N893"/>
  <c r="N892"/>
  <c r="N891"/>
  <c r="N890"/>
  <c r="N889"/>
  <c r="N888"/>
  <c r="N887"/>
  <c r="N886"/>
  <c r="N885"/>
  <c r="N884"/>
  <c r="N883"/>
  <c r="N882"/>
  <c r="N881"/>
  <c r="N880"/>
  <c r="N879"/>
  <c r="N878"/>
  <c r="N877"/>
  <c r="N876"/>
  <c r="N875"/>
  <c r="N874"/>
  <c r="N873"/>
  <c r="N872"/>
  <c r="N871"/>
  <c r="N870"/>
  <c r="N869"/>
  <c r="N868"/>
  <c r="N867"/>
  <c r="N866"/>
  <c r="N865"/>
  <c r="N864"/>
  <c r="N863"/>
  <c r="N862"/>
  <c r="N861"/>
  <c r="N860"/>
  <c r="N859"/>
  <c r="N858"/>
  <c r="N857"/>
  <c r="N856"/>
  <c r="N855"/>
  <c r="N854"/>
  <c r="N853"/>
  <c r="N852"/>
  <c r="N851"/>
  <c r="N850"/>
  <c r="N849"/>
  <c r="N848"/>
  <c r="N847"/>
  <c r="N846"/>
  <c r="N845"/>
  <c r="N844"/>
  <c r="N843"/>
  <c r="N842"/>
  <c r="N841"/>
  <c r="N840"/>
  <c r="N839"/>
  <c r="N838"/>
  <c r="N837"/>
  <c r="N836"/>
  <c r="N835"/>
  <c r="N834"/>
  <c r="N833"/>
  <c r="N832"/>
  <c r="N831"/>
  <c r="N830"/>
  <c r="N829"/>
  <c r="N828"/>
  <c r="N827"/>
  <c r="N826"/>
  <c r="N825"/>
  <c r="N824"/>
  <c r="N823"/>
  <c r="N822"/>
  <c r="N821"/>
  <c r="N820"/>
  <c r="N819"/>
  <c r="N818"/>
  <c r="N817"/>
  <c r="N816"/>
  <c r="N815"/>
  <c r="N814"/>
  <c r="N813"/>
  <c r="N812"/>
  <c r="N811"/>
  <c r="N810"/>
  <c r="N809"/>
  <c r="N808"/>
  <c r="N807"/>
  <c r="N806"/>
  <c r="N805"/>
  <c r="N804"/>
  <c r="N803"/>
  <c r="N802"/>
  <c r="N801"/>
  <c r="N800"/>
  <c r="N799"/>
  <c r="N798"/>
  <c r="N797"/>
  <c r="N796"/>
  <c r="N795"/>
  <c r="N794"/>
  <c r="N793"/>
  <c r="N792"/>
  <c r="N791"/>
  <c r="N790"/>
  <c r="N789"/>
  <c r="N788"/>
  <c r="N787"/>
  <c r="N786"/>
  <c r="N785"/>
  <c r="N784"/>
  <c r="N783"/>
  <c r="N782"/>
  <c r="N781"/>
  <c r="N780"/>
  <c r="N779"/>
  <c r="N778"/>
  <c r="N777"/>
  <c r="N776"/>
  <c r="N775"/>
  <c r="N774"/>
  <c r="N773"/>
  <c r="N772"/>
  <c r="N771"/>
  <c r="N770"/>
  <c r="N769"/>
  <c r="N768"/>
  <c r="N767"/>
  <c r="N766"/>
  <c r="N765"/>
  <c r="N764"/>
  <c r="N763"/>
  <c r="N762"/>
  <c r="N761"/>
  <c r="N760"/>
  <c r="N759"/>
  <c r="N758"/>
  <c r="N757"/>
  <c r="N756"/>
  <c r="N755"/>
  <c r="N754"/>
  <c r="N753"/>
  <c r="N752"/>
  <c r="N751"/>
  <c r="N750"/>
  <c r="N749"/>
  <c r="N748"/>
  <c r="N747"/>
  <c r="N746"/>
  <c r="N745"/>
  <c r="N744"/>
  <c r="N743"/>
  <c r="N742"/>
  <c r="N741"/>
  <c r="N740"/>
  <c r="N739"/>
  <c r="N738"/>
  <c r="N737"/>
  <c r="N736"/>
  <c r="N735"/>
  <c r="N734"/>
  <c r="N733"/>
  <c r="N732"/>
  <c r="N731"/>
  <c r="N730"/>
  <c r="N729"/>
  <c r="N728"/>
  <c r="N727"/>
  <c r="N726"/>
  <c r="N725"/>
  <c r="N724"/>
  <c r="N723"/>
  <c r="N722"/>
  <c r="N721"/>
  <c r="N720"/>
  <c r="N719"/>
  <c r="N718"/>
  <c r="N717"/>
  <c r="N716"/>
  <c r="N715"/>
  <c r="N714"/>
  <c r="N713"/>
  <c r="N712"/>
  <c r="N711"/>
  <c r="N710"/>
  <c r="N709"/>
  <c r="N708"/>
  <c r="N707"/>
  <c r="N706"/>
  <c r="N705"/>
  <c r="N704"/>
  <c r="N703"/>
  <c r="N702"/>
  <c r="N701"/>
  <c r="N700"/>
  <c r="N699"/>
  <c r="N698"/>
  <c r="N697"/>
  <c r="N696"/>
  <c r="N695"/>
  <c r="N694"/>
  <c r="N693"/>
  <c r="N692"/>
  <c r="N691"/>
  <c r="N690"/>
  <c r="N689"/>
  <c r="N688"/>
  <c r="N687"/>
  <c r="N686"/>
  <c r="N685"/>
  <c r="N684"/>
  <c r="N683"/>
  <c r="N682"/>
  <c r="N681"/>
  <c r="N680"/>
  <c r="N679"/>
  <c r="N678"/>
  <c r="N677"/>
  <c r="N676"/>
  <c r="N675"/>
  <c r="N674"/>
  <c r="N673"/>
  <c r="N672"/>
  <c r="N671"/>
  <c r="N670"/>
  <c r="N669"/>
  <c r="N668"/>
  <c r="N667"/>
  <c r="N666"/>
  <c r="N665"/>
  <c r="N664"/>
  <c r="N663"/>
  <c r="N662"/>
  <c r="N661"/>
  <c r="N660"/>
  <c r="N659"/>
  <c r="N658"/>
  <c r="N657"/>
  <c r="N656"/>
  <c r="N655"/>
  <c r="N654"/>
  <c r="N653"/>
  <c r="N652"/>
  <c r="N651"/>
  <c r="N650"/>
  <c r="N649"/>
  <c r="N648"/>
  <c r="N647"/>
  <c r="N646"/>
  <c r="N645"/>
  <c r="N644"/>
  <c r="N643"/>
  <c r="N642"/>
  <c r="N641"/>
  <c r="N640"/>
  <c r="N639"/>
  <c r="N638"/>
  <c r="N637"/>
  <c r="N636"/>
  <c r="N635"/>
  <c r="N634"/>
  <c r="N633"/>
  <c r="N632"/>
  <c r="N631"/>
  <c r="N630"/>
  <c r="N629"/>
  <c r="N628"/>
  <c r="N627"/>
  <c r="N626"/>
  <c r="N625"/>
  <c r="N624"/>
  <c r="N623"/>
  <c r="N622"/>
  <c r="N621"/>
  <c r="N620"/>
  <c r="N619"/>
  <c r="N618"/>
  <c r="N617"/>
  <c r="N616"/>
  <c r="N615"/>
  <c r="N614"/>
  <c r="N613"/>
  <c r="N612"/>
  <c r="N611"/>
  <c r="N610"/>
  <c r="N609"/>
  <c r="N608"/>
  <c r="N607"/>
  <c r="N606"/>
  <c r="N605"/>
  <c r="N604"/>
  <c r="N603"/>
  <c r="N602"/>
  <c r="N601"/>
  <c r="N600"/>
  <c r="N599"/>
  <c r="N598"/>
  <c r="N597"/>
  <c r="N596"/>
  <c r="N595"/>
  <c r="N594"/>
  <c r="N593"/>
  <c r="N592"/>
  <c r="N591"/>
  <c r="N590"/>
  <c r="N589"/>
  <c r="N588"/>
  <c r="N587"/>
  <c r="N586"/>
  <c r="N585"/>
  <c r="N584"/>
  <c r="N583"/>
  <c r="N582"/>
  <c r="N581"/>
  <c r="N580"/>
  <c r="N579"/>
  <c r="N578"/>
  <c r="N577"/>
  <c r="N576"/>
  <c r="N575"/>
  <c r="N574"/>
  <c r="N573"/>
  <c r="N572"/>
  <c r="N571"/>
  <c r="N570"/>
  <c r="N569"/>
  <c r="N568"/>
  <c r="N567"/>
  <c r="N566"/>
  <c r="N565"/>
  <c r="N564"/>
  <c r="N563"/>
  <c r="N562"/>
  <c r="N561"/>
  <c r="N560"/>
  <c r="N559"/>
  <c r="N558"/>
  <c r="N557"/>
  <c r="N556"/>
  <c r="N555"/>
  <c r="N554"/>
  <c r="N553"/>
  <c r="N552"/>
  <c r="N551"/>
  <c r="N550"/>
  <c r="N549"/>
  <c r="N548"/>
  <c r="N547"/>
  <c r="N546"/>
  <c r="N545"/>
  <c r="N544"/>
  <c r="N543"/>
  <c r="N542"/>
  <c r="N541"/>
  <c r="N540"/>
  <c r="N539"/>
  <c r="N538"/>
  <c r="N537"/>
  <c r="N536"/>
  <c r="N535"/>
  <c r="N534"/>
  <c r="N533"/>
  <c r="N532"/>
  <c r="N531"/>
  <c r="N530"/>
  <c r="N529"/>
  <c r="N528"/>
  <c r="N527"/>
  <c r="N526"/>
  <c r="N525"/>
  <c r="N524"/>
  <c r="N523"/>
  <c r="N522"/>
  <c r="N521"/>
  <c r="N520"/>
  <c r="N519"/>
  <c r="N518"/>
  <c r="N517"/>
  <c r="N516"/>
  <c r="N515"/>
  <c r="N514"/>
  <c r="N513"/>
  <c r="N512"/>
  <c r="N511"/>
  <c r="N510"/>
  <c r="N509"/>
  <c r="N508"/>
  <c r="N507"/>
  <c r="N506"/>
  <c r="N505"/>
  <c r="N504"/>
  <c r="N503"/>
  <c r="N502"/>
  <c r="N501"/>
  <c r="N500"/>
  <c r="N499"/>
  <c r="N498"/>
  <c r="N497"/>
  <c r="N496"/>
  <c r="N495"/>
  <c r="N494"/>
  <c r="N493"/>
  <c r="N492"/>
  <c r="N491"/>
  <c r="N490"/>
  <c r="N489"/>
  <c r="N488"/>
  <c r="N487"/>
  <c r="N486"/>
  <c r="N485"/>
  <c r="N484"/>
  <c r="N483"/>
  <c r="N482"/>
  <c r="N481"/>
  <c r="N480"/>
  <c r="N479"/>
  <c r="N478"/>
  <c r="N477"/>
  <c r="N476"/>
  <c r="N475"/>
  <c r="N474"/>
  <c r="N473"/>
  <c r="N472"/>
  <c r="N471"/>
  <c r="N470"/>
  <c r="N469"/>
  <c r="N468"/>
  <c r="N467"/>
  <c r="N466"/>
  <c r="N465"/>
  <c r="N464"/>
  <c r="N463"/>
  <c r="N462"/>
  <c r="N461"/>
  <c r="N460"/>
  <c r="N459"/>
  <c r="N458"/>
  <c r="N457"/>
  <c r="N456"/>
  <c r="N455"/>
  <c r="N454"/>
  <c r="N453"/>
  <c r="N452"/>
  <c r="N451"/>
  <c r="N450"/>
  <c r="N449"/>
  <c r="N448"/>
  <c r="N447"/>
  <c r="N446"/>
  <c r="N445"/>
  <c r="N444"/>
  <c r="N443"/>
  <c r="N442"/>
  <c r="N441"/>
  <c r="N440"/>
  <c r="N439"/>
  <c r="N438"/>
  <c r="N437"/>
  <c r="N436"/>
  <c r="N435"/>
  <c r="N434"/>
  <c r="N433"/>
  <c r="N432"/>
  <c r="N431"/>
  <c r="N430"/>
  <c r="N429"/>
  <c r="N428"/>
  <c r="N427"/>
  <c r="N426"/>
  <c r="N425"/>
  <c r="N424"/>
  <c r="N423"/>
  <c r="N422"/>
  <c r="N421"/>
  <c r="N420"/>
  <c r="N419"/>
  <c r="N418"/>
  <c r="N417"/>
  <c r="N416"/>
  <c r="N415"/>
  <c r="N414"/>
  <c r="N413"/>
  <c r="N412"/>
  <c r="N411"/>
  <c r="N410"/>
  <c r="N409"/>
  <c r="N408"/>
  <c r="N407"/>
  <c r="N406"/>
  <c r="N405"/>
  <c r="N404"/>
  <c r="N403"/>
  <c r="N402"/>
  <c r="N401"/>
  <c r="N400"/>
  <c r="N399"/>
  <c r="N398"/>
  <c r="N397"/>
  <c r="N396"/>
  <c r="N395"/>
  <c r="N394"/>
  <c r="N393"/>
  <c r="N392"/>
  <c r="N391"/>
  <c r="N390"/>
  <c r="N389"/>
  <c r="N388"/>
  <c r="N387"/>
  <c r="N386"/>
  <c r="N385"/>
  <c r="N384"/>
  <c r="N383"/>
  <c r="N382"/>
  <c r="N381"/>
  <c r="N380"/>
  <c r="N379"/>
  <c r="N378"/>
  <c r="N377"/>
  <c r="N376"/>
  <c r="N375"/>
  <c r="N374"/>
  <c r="N373"/>
  <c r="N372"/>
  <c r="N371"/>
  <c r="N370"/>
  <c r="N369"/>
  <c r="N368"/>
  <c r="N367"/>
  <c r="N366"/>
  <c r="N365"/>
  <c r="N364"/>
  <c r="N363"/>
  <c r="N362"/>
  <c r="N361"/>
  <c r="N360"/>
  <c r="N359"/>
  <c r="N358"/>
  <c r="N357"/>
  <c r="N356"/>
  <c r="N355"/>
  <c r="N354"/>
  <c r="N353"/>
  <c r="N352"/>
  <c r="N351"/>
  <c r="N350"/>
  <c r="N349"/>
  <c r="N348"/>
  <c r="N347"/>
  <c r="N346"/>
  <c r="N345"/>
  <c r="N344"/>
  <c r="N343"/>
  <c r="N342"/>
  <c r="N341"/>
  <c r="N340"/>
  <c r="N339"/>
  <c r="N338"/>
  <c r="N337"/>
  <c r="N336"/>
  <c r="N335"/>
  <c r="N334"/>
  <c r="N333"/>
  <c r="N332"/>
  <c r="N331"/>
  <c r="N330"/>
  <c r="N329"/>
  <c r="N328"/>
  <c r="N327"/>
  <c r="N326"/>
  <c r="N325"/>
  <c r="N324"/>
  <c r="N323"/>
  <c r="N322"/>
  <c r="N321"/>
  <c r="N320"/>
  <c r="N319"/>
  <c r="N318"/>
  <c r="N317"/>
  <c r="N316"/>
  <c r="N315"/>
  <c r="N314"/>
  <c r="N313"/>
  <c r="N312"/>
  <c r="N311"/>
  <c r="N310"/>
  <c r="N309"/>
  <c r="N308"/>
  <c r="N307"/>
  <c r="N306"/>
  <c r="N305"/>
  <c r="N304"/>
  <c r="N303"/>
  <c r="N302"/>
  <c r="N301"/>
  <c r="N300"/>
  <c r="N299"/>
  <c r="N298"/>
  <c r="N297"/>
  <c r="N296"/>
  <c r="N295"/>
  <c r="N294"/>
  <c r="N293"/>
  <c r="N292"/>
  <c r="N291"/>
  <c r="N290"/>
  <c r="N289"/>
  <c r="N288"/>
  <c r="N287"/>
  <c r="N286"/>
  <c r="N285"/>
  <c r="N284"/>
  <c r="N283"/>
  <c r="N282"/>
  <c r="N281"/>
  <c r="N280"/>
  <c r="N279"/>
  <c r="N278"/>
  <c r="N277"/>
  <c r="N276"/>
  <c r="N275"/>
  <c r="N274"/>
  <c r="N273"/>
  <c r="N272"/>
  <c r="N271"/>
  <c r="N270"/>
  <c r="N269"/>
  <c r="N268"/>
  <c r="N267"/>
  <c r="N266"/>
  <c r="N265"/>
  <c r="N264"/>
  <c r="N263"/>
  <c r="N262"/>
  <c r="N261"/>
  <c r="N260"/>
  <c r="N259"/>
  <c r="N258"/>
  <c r="N257"/>
  <c r="N256"/>
  <c r="N255"/>
  <c r="N254"/>
  <c r="N253"/>
  <c r="N252"/>
  <c r="N251"/>
  <c r="N250"/>
  <c r="N249"/>
  <c r="N248"/>
  <c r="N247"/>
  <c r="N246"/>
  <c r="N245"/>
  <c r="N244"/>
  <c r="N243"/>
  <c r="N242"/>
  <c r="N241"/>
  <c r="N240"/>
  <c r="N239"/>
  <c r="N238"/>
  <c r="N237"/>
  <c r="N236"/>
  <c r="N235"/>
  <c r="N234"/>
  <c r="N233"/>
  <c r="N232"/>
  <c r="N231"/>
  <c r="N230"/>
  <c r="N229"/>
  <c r="N228"/>
  <c r="N227"/>
  <c r="N226"/>
  <c r="N225"/>
  <c r="N224"/>
  <c r="N223"/>
  <c r="N222"/>
  <c r="N221"/>
  <c r="N220"/>
  <c r="N219"/>
  <c r="N218"/>
  <c r="N217"/>
  <c r="N216"/>
  <c r="N215"/>
  <c r="N214"/>
  <c r="N213"/>
  <c r="N212"/>
  <c r="N211"/>
  <c r="N210"/>
  <c r="N209"/>
  <c r="N208"/>
  <c r="N207"/>
  <c r="N206"/>
  <c r="N205"/>
  <c r="N204"/>
  <c r="N203"/>
  <c r="N202"/>
  <c r="N201"/>
  <c r="N200"/>
  <c r="N199"/>
  <c r="N198"/>
  <c r="N197"/>
  <c r="N196"/>
  <c r="N195"/>
  <c r="N194"/>
  <c r="N193"/>
  <c r="N192"/>
  <c r="N191"/>
  <c r="N190"/>
  <c r="N189"/>
  <c r="N188"/>
  <c r="N187"/>
  <c r="N186"/>
  <c r="N185"/>
  <c r="N184"/>
  <c r="N183"/>
  <c r="N182"/>
  <c r="N181"/>
  <c r="N180"/>
  <c r="N179"/>
  <c r="N178"/>
  <c r="N177"/>
  <c r="N176"/>
  <c r="N175"/>
  <c r="N174"/>
  <c r="N173"/>
  <c r="N172"/>
  <c r="N171"/>
  <c r="N170"/>
  <c r="N169"/>
  <c r="N168"/>
  <c r="N167"/>
  <c r="N166"/>
  <c r="N165"/>
  <c r="N164"/>
  <c r="N163"/>
  <c r="N162"/>
  <c r="N161"/>
  <c r="N160"/>
  <c r="N159"/>
  <c r="N158"/>
  <c r="N157"/>
  <c r="N156"/>
  <c r="N155"/>
  <c r="N154"/>
  <c r="N153"/>
  <c r="N152"/>
  <c r="N151"/>
  <c r="N150"/>
  <c r="N149"/>
  <c r="N148"/>
  <c r="N147"/>
  <c r="N146"/>
  <c r="N145"/>
  <c r="N144"/>
  <c r="N143"/>
  <c r="N142"/>
  <c r="N141"/>
  <c r="N140"/>
  <c r="N139"/>
  <c r="N138"/>
  <c r="N137"/>
  <c r="N136"/>
  <c r="N135"/>
  <c r="N134"/>
  <c r="N133"/>
  <c r="N132"/>
  <c r="N131"/>
  <c r="N130"/>
  <c r="N129"/>
  <c r="N128"/>
  <c r="N127"/>
  <c r="N126"/>
  <c r="N125"/>
  <c r="N124"/>
  <c r="N123"/>
  <c r="N122"/>
  <c r="N121"/>
  <c r="N120"/>
  <c r="N119"/>
  <c r="N118"/>
  <c r="N117"/>
  <c r="N116"/>
  <c r="N115"/>
  <c r="N114"/>
  <c r="N113"/>
  <c r="N112"/>
  <c r="N111"/>
  <c r="N110"/>
  <c r="N109"/>
  <c r="N108"/>
  <c r="N107"/>
  <c r="N106"/>
  <c r="N105"/>
  <c r="N104"/>
  <c r="N103"/>
  <c r="N102"/>
  <c r="N101"/>
  <c r="N100"/>
  <c r="N99"/>
  <c r="N98"/>
  <c r="N97"/>
  <c r="N96"/>
  <c r="N95"/>
  <c r="N94"/>
  <c r="N93"/>
  <c r="N92"/>
  <c r="N91"/>
  <c r="N90"/>
  <c r="N89"/>
  <c r="N88"/>
  <c r="N87"/>
  <c r="N86"/>
  <c r="N85"/>
  <c r="N84"/>
  <c r="N83"/>
  <c r="N82"/>
  <c r="N81"/>
  <c r="N80"/>
  <c r="N79"/>
  <c r="N78"/>
  <c r="N77"/>
  <c r="N76"/>
  <c r="N75"/>
  <c r="N74"/>
  <c r="N73"/>
  <c r="N72"/>
  <c r="N71"/>
  <c r="N70"/>
  <c r="N69"/>
  <c r="N68"/>
  <c r="N67"/>
  <c r="N66"/>
  <c r="N65"/>
  <c r="N64"/>
  <c r="N63"/>
  <c r="N62"/>
  <c r="N61"/>
  <c r="N60"/>
  <c r="N59"/>
  <c r="N58"/>
  <c r="N57"/>
  <c r="N56"/>
  <c r="N55"/>
  <c r="N54"/>
  <c r="N53"/>
  <c r="N52"/>
  <c r="N51"/>
  <c r="N50"/>
  <c r="N49"/>
  <c r="N48"/>
  <c r="N47"/>
  <c r="N46"/>
  <c r="N45"/>
  <c r="N44"/>
  <c r="N43"/>
  <c r="N42"/>
  <c r="N41"/>
  <c r="N40"/>
  <c r="N39"/>
  <c r="N38"/>
  <c r="N37"/>
  <c r="N36"/>
  <c r="N35"/>
  <c r="N34"/>
  <c r="N33"/>
  <c r="N32"/>
  <c r="N31"/>
  <c r="N30"/>
  <c r="N29"/>
  <c r="N28"/>
  <c r="N27"/>
  <c r="N26"/>
  <c r="N25"/>
  <c r="N24"/>
  <c r="N23"/>
  <c r="N22"/>
  <c r="N21"/>
  <c r="N20"/>
  <c r="N19"/>
  <c r="N18"/>
  <c r="N17"/>
  <c r="N16"/>
  <c r="N15"/>
  <c r="N14"/>
  <c r="N13"/>
  <c r="N12"/>
  <c r="N11"/>
  <c r="N10"/>
  <c r="A143" i="36"/>
  <c r="A85" i="43"/>
  <c r="A85" i="36"/>
  <c r="A17" i="29"/>
  <c r="A16" i="25"/>
  <c r="A25" i="29"/>
  <c r="A24"/>
  <c r="A23"/>
  <c r="A22"/>
  <c r="A24" i="25"/>
  <c r="A23"/>
  <c r="A22"/>
  <c r="A21"/>
  <c r="AC22" i="14"/>
  <c r="A21" i="29" s="1"/>
  <c r="A353" i="30"/>
  <c r="Z1008" i="13"/>
  <c r="Z1007"/>
  <c r="Z1006"/>
  <c r="Z1005"/>
  <c r="Z1004"/>
  <c r="Z1003"/>
  <c r="Z1002"/>
  <c r="Z1001"/>
  <c r="Z1000"/>
  <c r="Z999"/>
  <c r="Z998"/>
  <c r="Z997"/>
  <c r="Z996"/>
  <c r="Z995"/>
  <c r="Z994"/>
  <c r="Z993"/>
  <c r="Z992"/>
  <c r="Z991"/>
  <c r="Z990"/>
  <c r="Z989"/>
  <c r="Z988"/>
  <c r="Z987"/>
  <c r="Z986"/>
  <c r="Z985"/>
  <c r="Z984"/>
  <c r="Z983"/>
  <c r="Z982"/>
  <c r="Z981"/>
  <c r="Z980"/>
  <c r="Z979"/>
  <c r="Z978"/>
  <c r="Z977"/>
  <c r="Z976"/>
  <c r="Z975"/>
  <c r="Z974"/>
  <c r="Z973"/>
  <c r="Z972"/>
  <c r="Z971"/>
  <c r="Z970"/>
  <c r="Z969"/>
  <c r="Z968"/>
  <c r="Z967"/>
  <c r="Z966"/>
  <c r="Z965"/>
  <c r="Z964"/>
  <c r="Z963"/>
  <c r="Z962"/>
  <c r="Z961"/>
  <c r="Z960"/>
  <c r="Z959"/>
  <c r="Z958"/>
  <c r="Z957"/>
  <c r="Z956"/>
  <c r="Z955"/>
  <c r="Z954"/>
  <c r="Z953"/>
  <c r="Z952"/>
  <c r="Z951"/>
  <c r="Z950"/>
  <c r="Z949"/>
  <c r="Z948"/>
  <c r="Z947"/>
  <c r="Z946"/>
  <c r="Z945"/>
  <c r="Z944"/>
  <c r="Z943"/>
  <c r="Z942"/>
  <c r="Z941"/>
  <c r="Z940"/>
  <c r="Z939"/>
  <c r="Z938"/>
  <c r="Z937"/>
  <c r="Z936"/>
  <c r="Z935"/>
  <c r="Z934"/>
  <c r="Z933"/>
  <c r="Z932"/>
  <c r="Z931"/>
  <c r="Z930"/>
  <c r="Z929"/>
  <c r="Z928"/>
  <c r="Z927"/>
  <c r="Z926"/>
  <c r="Z925"/>
  <c r="Z924"/>
  <c r="Z923"/>
  <c r="Z922"/>
  <c r="Z921"/>
  <c r="Z920"/>
  <c r="Z919"/>
  <c r="Z918"/>
  <c r="Z917"/>
  <c r="Z916"/>
  <c r="Z915"/>
  <c r="Z914"/>
  <c r="Z913"/>
  <c r="Z912"/>
  <c r="Z911"/>
  <c r="Z910"/>
  <c r="Z909"/>
  <c r="Z908"/>
  <c r="Z907"/>
  <c r="Z906"/>
  <c r="Z905"/>
  <c r="Z904"/>
  <c r="Z903"/>
  <c r="Z902"/>
  <c r="Z901"/>
  <c r="Z900"/>
  <c r="Z899"/>
  <c r="Z898"/>
  <c r="Z897"/>
  <c r="Z896"/>
  <c r="Z895"/>
  <c r="Z894"/>
  <c r="Z893"/>
  <c r="Z892"/>
  <c r="Z891"/>
  <c r="Z890"/>
  <c r="Z889"/>
  <c r="Z888"/>
  <c r="Z887"/>
  <c r="Z886"/>
  <c r="Z885"/>
  <c r="Z884"/>
  <c r="Z883"/>
  <c r="Z882"/>
  <c r="Z881"/>
  <c r="Z880"/>
  <c r="Z879"/>
  <c r="Z878"/>
  <c r="Z877"/>
  <c r="Z876"/>
  <c r="Z875"/>
  <c r="Z874"/>
  <c r="Z873"/>
  <c r="Z872"/>
  <c r="Z871"/>
  <c r="Z870"/>
  <c r="Z869"/>
  <c r="Z868"/>
  <c r="Z867"/>
  <c r="Z866"/>
  <c r="Z865"/>
  <c r="Z864"/>
  <c r="Z863"/>
  <c r="Z862"/>
  <c r="Z861"/>
  <c r="Z860"/>
  <c r="Z859"/>
  <c r="Z858"/>
  <c r="Z857"/>
  <c r="Z856"/>
  <c r="Z855"/>
  <c r="Z854"/>
  <c r="Z853"/>
  <c r="Z852"/>
  <c r="Z851"/>
  <c r="Z850"/>
  <c r="Z849"/>
  <c r="Z848"/>
  <c r="Z847"/>
  <c r="Z846"/>
  <c r="Z845"/>
  <c r="Z844"/>
  <c r="Z843"/>
  <c r="Z842"/>
  <c r="Z841"/>
  <c r="Z840"/>
  <c r="Z839"/>
  <c r="Z838"/>
  <c r="Z837"/>
  <c r="Z836"/>
  <c r="Z835"/>
  <c r="Z834"/>
  <c r="Z833"/>
  <c r="Z832"/>
  <c r="Z831"/>
  <c r="Z830"/>
  <c r="Z829"/>
  <c r="Z828"/>
  <c r="Z827"/>
  <c r="Z826"/>
  <c r="Z825"/>
  <c r="Z824"/>
  <c r="Z823"/>
  <c r="Z822"/>
  <c r="Z821"/>
  <c r="Z820"/>
  <c r="Z819"/>
  <c r="Z818"/>
  <c r="Z817"/>
  <c r="Z816"/>
  <c r="Z815"/>
  <c r="Z814"/>
  <c r="Z813"/>
  <c r="Z812"/>
  <c r="Z811"/>
  <c r="Z810"/>
  <c r="Z809"/>
  <c r="Z808"/>
  <c r="Z807"/>
  <c r="Z806"/>
  <c r="Z805"/>
  <c r="Z804"/>
  <c r="Z803"/>
  <c r="Z802"/>
  <c r="Z801"/>
  <c r="Z800"/>
  <c r="Z799"/>
  <c r="Z798"/>
  <c r="Z797"/>
  <c r="Z796"/>
  <c r="Z795"/>
  <c r="Z794"/>
  <c r="Z793"/>
  <c r="Z792"/>
  <c r="Z791"/>
  <c r="Z790"/>
  <c r="Z789"/>
  <c r="Z788"/>
  <c r="Z787"/>
  <c r="Z786"/>
  <c r="Z785"/>
  <c r="Z784"/>
  <c r="Z783"/>
  <c r="Z782"/>
  <c r="Z781"/>
  <c r="Z780"/>
  <c r="Z779"/>
  <c r="Z778"/>
  <c r="Z777"/>
  <c r="Z776"/>
  <c r="Z775"/>
  <c r="Z774"/>
  <c r="Z773"/>
  <c r="Z772"/>
  <c r="Z771"/>
  <c r="Z770"/>
  <c r="Z769"/>
  <c r="Z768"/>
  <c r="Z767"/>
  <c r="Z766"/>
  <c r="Z765"/>
  <c r="Z764"/>
  <c r="Z763"/>
  <c r="Z762"/>
  <c r="Z761"/>
  <c r="Z760"/>
  <c r="Z759"/>
  <c r="Z758"/>
  <c r="Z757"/>
  <c r="Z756"/>
  <c r="Z755"/>
  <c r="Z754"/>
  <c r="Z753"/>
  <c r="Z752"/>
  <c r="Z751"/>
  <c r="Z750"/>
  <c r="Z749"/>
  <c r="Z748"/>
  <c r="Z747"/>
  <c r="Z746"/>
  <c r="Z745"/>
  <c r="Z744"/>
  <c r="Z743"/>
  <c r="Z742"/>
  <c r="Z741"/>
  <c r="Z740"/>
  <c r="Z739"/>
  <c r="Z738"/>
  <c r="Z737"/>
  <c r="Z736"/>
  <c r="Z735"/>
  <c r="Z734"/>
  <c r="Z733"/>
  <c r="Z732"/>
  <c r="Z731"/>
  <c r="Z730"/>
  <c r="Z729"/>
  <c r="Z728"/>
  <c r="Z727"/>
  <c r="Z726"/>
  <c r="Z725"/>
  <c r="Z724"/>
  <c r="Z723"/>
  <c r="Z722"/>
  <c r="Z721"/>
  <c r="Z720"/>
  <c r="Z719"/>
  <c r="Z718"/>
  <c r="Z717"/>
  <c r="Z716"/>
  <c r="Z715"/>
  <c r="Z714"/>
  <c r="Z713"/>
  <c r="Z712"/>
  <c r="Z711"/>
  <c r="Z710"/>
  <c r="Z709"/>
  <c r="Z708"/>
  <c r="Z707"/>
  <c r="Z706"/>
  <c r="Z705"/>
  <c r="Z704"/>
  <c r="Z703"/>
  <c r="Z702"/>
  <c r="Z701"/>
  <c r="Z700"/>
  <c r="Z699"/>
  <c r="Z698"/>
  <c r="Z697"/>
  <c r="Z696"/>
  <c r="Z695"/>
  <c r="Z694"/>
  <c r="Z693"/>
  <c r="Z692"/>
  <c r="Z691"/>
  <c r="Z690"/>
  <c r="Z689"/>
  <c r="Z688"/>
  <c r="Z687"/>
  <c r="Z686"/>
  <c r="Z685"/>
  <c r="Z684"/>
  <c r="Z683"/>
  <c r="Z682"/>
  <c r="Z681"/>
  <c r="Z680"/>
  <c r="Z679"/>
  <c r="Z678"/>
  <c r="Z677"/>
  <c r="Z676"/>
  <c r="Z675"/>
  <c r="Z674"/>
  <c r="Z673"/>
  <c r="Z672"/>
  <c r="Z671"/>
  <c r="Z670"/>
  <c r="Z669"/>
  <c r="Z668"/>
  <c r="Z667"/>
  <c r="Z666"/>
  <c r="Z665"/>
  <c r="Z664"/>
  <c r="Z663"/>
  <c r="Z662"/>
  <c r="Z661"/>
  <c r="Z660"/>
  <c r="Z659"/>
  <c r="Z658"/>
  <c r="Z657"/>
  <c r="Z656"/>
  <c r="Z655"/>
  <c r="Z654"/>
  <c r="Z653"/>
  <c r="Z652"/>
  <c r="Z651"/>
  <c r="Z650"/>
  <c r="Z649"/>
  <c r="Z648"/>
  <c r="Z647"/>
  <c r="Z646"/>
  <c r="Z645"/>
  <c r="Z644"/>
  <c r="Z643"/>
  <c r="Z642"/>
  <c r="Z641"/>
  <c r="Z640"/>
  <c r="Z639"/>
  <c r="Z638"/>
  <c r="Z637"/>
  <c r="Z636"/>
  <c r="Z635"/>
  <c r="Z634"/>
  <c r="Z633"/>
  <c r="Z632"/>
  <c r="Z631"/>
  <c r="Z630"/>
  <c r="Z629"/>
  <c r="Z628"/>
  <c r="Z627"/>
  <c r="Z626"/>
  <c r="Z625"/>
  <c r="Z624"/>
  <c r="Z623"/>
  <c r="Z622"/>
  <c r="Z621"/>
  <c r="Z620"/>
  <c r="Z619"/>
  <c r="Z618"/>
  <c r="Z617"/>
  <c r="Z616"/>
  <c r="Z615"/>
  <c r="Z614"/>
  <c r="Z613"/>
  <c r="Z612"/>
  <c r="Z611"/>
  <c r="Z610"/>
  <c r="Z609"/>
  <c r="Z608"/>
  <c r="Z607"/>
  <c r="Z606"/>
  <c r="Z605"/>
  <c r="Z604"/>
  <c r="Z603"/>
  <c r="Z602"/>
  <c r="Z601"/>
  <c r="Z600"/>
  <c r="Z599"/>
  <c r="Z598"/>
  <c r="Z597"/>
  <c r="Z596"/>
  <c r="Z595"/>
  <c r="Z594"/>
  <c r="Z593"/>
  <c r="Z592"/>
  <c r="Z591"/>
  <c r="Z590"/>
  <c r="Z589"/>
  <c r="Z588"/>
  <c r="Z587"/>
  <c r="Z586"/>
  <c r="Z585"/>
  <c r="Z584"/>
  <c r="Z583"/>
  <c r="Z582"/>
  <c r="Z581"/>
  <c r="Z580"/>
  <c r="Z579"/>
  <c r="Z578"/>
  <c r="Z577"/>
  <c r="Z576"/>
  <c r="Z575"/>
  <c r="Z574"/>
  <c r="Z573"/>
  <c r="Z572"/>
  <c r="Z571"/>
  <c r="Z570"/>
  <c r="Z569"/>
  <c r="Z568"/>
  <c r="Z567"/>
  <c r="Z566"/>
  <c r="Z565"/>
  <c r="Z564"/>
  <c r="Z563"/>
  <c r="Z562"/>
  <c r="Z561"/>
  <c r="Z560"/>
  <c r="Z559"/>
  <c r="Z558"/>
  <c r="Z557"/>
  <c r="Z556"/>
  <c r="Z555"/>
  <c r="Z554"/>
  <c r="Z553"/>
  <c r="Z552"/>
  <c r="Z551"/>
  <c r="Z550"/>
  <c r="Z549"/>
  <c r="Z548"/>
  <c r="Z547"/>
  <c r="Z546"/>
  <c r="Z545"/>
  <c r="Z544"/>
  <c r="Z543"/>
  <c r="Z542"/>
  <c r="Z541"/>
  <c r="Z540"/>
  <c r="Z539"/>
  <c r="Z538"/>
  <c r="Z537"/>
  <c r="Z536"/>
  <c r="Z535"/>
  <c r="Z534"/>
  <c r="Z533"/>
  <c r="Z532"/>
  <c r="Z531"/>
  <c r="Z530"/>
  <c r="Z529"/>
  <c r="Z528"/>
  <c r="Z527"/>
  <c r="Z526"/>
  <c r="Z525"/>
  <c r="Z524"/>
  <c r="Z523"/>
  <c r="Z522"/>
  <c r="Z521"/>
  <c r="Z520"/>
  <c r="Z519"/>
  <c r="Z518"/>
  <c r="Z517"/>
  <c r="Z516"/>
  <c r="Z515"/>
  <c r="Z514"/>
  <c r="Z513"/>
  <c r="Z512"/>
  <c r="Z511"/>
  <c r="Z510"/>
  <c r="Z509"/>
  <c r="Z508"/>
  <c r="Z507"/>
  <c r="Z506"/>
  <c r="Z505"/>
  <c r="Z504"/>
  <c r="Z503"/>
  <c r="Z502"/>
  <c r="Z501"/>
  <c r="Z500"/>
  <c r="Z499"/>
  <c r="Z498"/>
  <c r="Z497"/>
  <c r="Z496"/>
  <c r="Z495"/>
  <c r="Z494"/>
  <c r="Z493"/>
  <c r="Z492"/>
  <c r="Z491"/>
  <c r="Z490"/>
  <c r="Z489"/>
  <c r="Z488"/>
  <c r="Z487"/>
  <c r="Z486"/>
  <c r="Z485"/>
  <c r="Z484"/>
  <c r="Z483"/>
  <c r="Z482"/>
  <c r="Z481"/>
  <c r="Z480"/>
  <c r="Z479"/>
  <c r="Z478"/>
  <c r="Z477"/>
  <c r="Z476"/>
  <c r="Z475"/>
  <c r="Z474"/>
  <c r="Z473"/>
  <c r="Z472"/>
  <c r="Z471"/>
  <c r="Z470"/>
  <c r="Z469"/>
  <c r="Z468"/>
  <c r="Z467"/>
  <c r="Z466"/>
  <c r="Z465"/>
  <c r="Z464"/>
  <c r="Z463"/>
  <c r="Z462"/>
  <c r="Z461"/>
  <c r="Z460"/>
  <c r="Z459"/>
  <c r="Z458"/>
  <c r="Z457"/>
  <c r="Z456"/>
  <c r="Z455"/>
  <c r="Z454"/>
  <c r="Z453"/>
  <c r="Z452"/>
  <c r="Z451"/>
  <c r="Z450"/>
  <c r="Z449"/>
  <c r="Z448"/>
  <c r="Z447"/>
  <c r="Z446"/>
  <c r="Z445"/>
  <c r="Z444"/>
  <c r="Z443"/>
  <c r="Z442"/>
  <c r="Z441"/>
  <c r="Z440"/>
  <c r="Z439"/>
  <c r="Z438"/>
  <c r="Z437"/>
  <c r="Z436"/>
  <c r="Z435"/>
  <c r="Z434"/>
  <c r="Z433"/>
  <c r="Z432"/>
  <c r="Z431"/>
  <c r="Z430"/>
  <c r="Z429"/>
  <c r="Z428"/>
  <c r="Z427"/>
  <c r="Z426"/>
  <c r="Z425"/>
  <c r="Z424"/>
  <c r="Z423"/>
  <c r="Z422"/>
  <c r="Z421"/>
  <c r="Z420"/>
  <c r="Z419"/>
  <c r="Z418"/>
  <c r="Z417"/>
  <c r="Z416"/>
  <c r="Z415"/>
  <c r="Z414"/>
  <c r="Z413"/>
  <c r="Z412"/>
  <c r="Z411"/>
  <c r="Z410"/>
  <c r="Z409"/>
  <c r="Z408"/>
  <c r="Z407"/>
  <c r="Z406"/>
  <c r="Z405"/>
  <c r="Z404"/>
  <c r="Z403"/>
  <c r="Z402"/>
  <c r="Z401"/>
  <c r="Z400"/>
  <c r="Z399"/>
  <c r="Z398"/>
  <c r="Z397"/>
  <c r="Z396"/>
  <c r="Z395"/>
  <c r="Z394"/>
  <c r="Z393"/>
  <c r="Z392"/>
  <c r="Z391"/>
  <c r="Z390"/>
  <c r="Z389"/>
  <c r="Z388"/>
  <c r="Z387"/>
  <c r="Z386"/>
  <c r="Z385"/>
  <c r="Z384"/>
  <c r="Z383"/>
  <c r="Z382"/>
  <c r="Z381"/>
  <c r="Z380"/>
  <c r="Z379"/>
  <c r="Z378"/>
  <c r="Z377"/>
  <c r="Z376"/>
  <c r="Z375"/>
  <c r="Z374"/>
  <c r="Z373"/>
  <c r="Z372"/>
  <c r="Z371"/>
  <c r="Z370"/>
  <c r="Z369"/>
  <c r="Z368"/>
  <c r="Z367"/>
  <c r="Z366"/>
  <c r="Z365"/>
  <c r="Z364"/>
  <c r="Z363"/>
  <c r="Z362"/>
  <c r="Z361"/>
  <c r="Z360"/>
  <c r="Z359"/>
  <c r="Z358"/>
  <c r="Z357"/>
  <c r="Z356"/>
  <c r="Z355"/>
  <c r="Z354"/>
  <c r="Z353"/>
  <c r="Z352"/>
  <c r="Z351"/>
  <c r="Z350"/>
  <c r="Z349"/>
  <c r="Z348"/>
  <c r="Z347"/>
  <c r="Z346"/>
  <c r="Z345"/>
  <c r="Z344"/>
  <c r="Z343"/>
  <c r="Z342"/>
  <c r="Z341"/>
  <c r="Z340"/>
  <c r="Z339"/>
  <c r="Z338"/>
  <c r="Z337"/>
  <c r="Z336"/>
  <c r="Z335"/>
  <c r="Z334"/>
  <c r="Z333"/>
  <c r="Z332"/>
  <c r="Z331"/>
  <c r="Z330"/>
  <c r="Z329"/>
  <c r="Z328"/>
  <c r="Z327"/>
  <c r="Z326"/>
  <c r="Z325"/>
  <c r="Z324"/>
  <c r="Z323"/>
  <c r="Z322"/>
  <c r="Z321"/>
  <c r="Z320"/>
  <c r="Z319"/>
  <c r="Z318"/>
  <c r="Z317"/>
  <c r="Z316"/>
  <c r="Z315"/>
  <c r="Z314"/>
  <c r="Z313"/>
  <c r="Z312"/>
  <c r="Z311"/>
  <c r="Z310"/>
  <c r="Z309"/>
  <c r="Z11"/>
  <c r="Z10"/>
  <c r="Z9"/>
  <c r="AA1008"/>
  <c r="AA1007"/>
  <c r="AA1006"/>
  <c r="AA1005"/>
  <c r="AA1004"/>
  <c r="AA1003"/>
  <c r="AA1002"/>
  <c r="AA1001"/>
  <c r="AA1000"/>
  <c r="AA999"/>
  <c r="AA998"/>
  <c r="AA997"/>
  <c r="AA996"/>
  <c r="AA995"/>
  <c r="AA994"/>
  <c r="AA993"/>
  <c r="AA992"/>
  <c r="AA991"/>
  <c r="AA990"/>
  <c r="AA989"/>
  <c r="AA988"/>
  <c r="AA987"/>
  <c r="AA986"/>
  <c r="AA985"/>
  <c r="AA984"/>
  <c r="AA983"/>
  <c r="AA982"/>
  <c r="AA981"/>
  <c r="AA980"/>
  <c r="AA979"/>
  <c r="AA978"/>
  <c r="AA977"/>
  <c r="AA976"/>
  <c r="AA975"/>
  <c r="AA974"/>
  <c r="AA973"/>
  <c r="AA972"/>
  <c r="AA971"/>
  <c r="AA970"/>
  <c r="AA969"/>
  <c r="AA968"/>
  <c r="AA967"/>
  <c r="AA966"/>
  <c r="AA965"/>
  <c r="AA964"/>
  <c r="AA963"/>
  <c r="AA962"/>
  <c r="AA961"/>
  <c r="AA960"/>
  <c r="AA959"/>
  <c r="AA958"/>
  <c r="AA957"/>
  <c r="AA956"/>
  <c r="AA955"/>
  <c r="AA954"/>
  <c r="AA953"/>
  <c r="AA952"/>
  <c r="AA951"/>
  <c r="AA950"/>
  <c r="AA949"/>
  <c r="AA948"/>
  <c r="AA947"/>
  <c r="AA946"/>
  <c r="AA945"/>
  <c r="AA944"/>
  <c r="AA943"/>
  <c r="AA942"/>
  <c r="AA941"/>
  <c r="AA940"/>
  <c r="AA939"/>
  <c r="AA938"/>
  <c r="AA937"/>
  <c r="AA936"/>
  <c r="AA935"/>
  <c r="AA934"/>
  <c r="AA933"/>
  <c r="AA932"/>
  <c r="AA931"/>
  <c r="AA930"/>
  <c r="AA929"/>
  <c r="AA928"/>
  <c r="AA927"/>
  <c r="AA926"/>
  <c r="AA925"/>
  <c r="AA924"/>
  <c r="AA923"/>
  <c r="AA922"/>
  <c r="AA921"/>
  <c r="AA920"/>
  <c r="AA919"/>
  <c r="AA918"/>
  <c r="AA917"/>
  <c r="AA916"/>
  <c r="AA915"/>
  <c r="AA914"/>
  <c r="AA913"/>
  <c r="AA912"/>
  <c r="AA911"/>
  <c r="AA910"/>
  <c r="AA909"/>
  <c r="AA908"/>
  <c r="AA907"/>
  <c r="AA906"/>
  <c r="AA905"/>
  <c r="AA904"/>
  <c r="AA903"/>
  <c r="AA902"/>
  <c r="AA901"/>
  <c r="AA900"/>
  <c r="AA899"/>
  <c r="AA898"/>
  <c r="AA897"/>
  <c r="AA896"/>
  <c r="AA895"/>
  <c r="AA894"/>
  <c r="AA893"/>
  <c r="AA892"/>
  <c r="AA891"/>
  <c r="AA890"/>
  <c r="AA889"/>
  <c r="AA888"/>
  <c r="AA887"/>
  <c r="AA886"/>
  <c r="AA885"/>
  <c r="AA884"/>
  <c r="AA883"/>
  <c r="AA882"/>
  <c r="AA881"/>
  <c r="AA880"/>
  <c r="AA879"/>
  <c r="AA878"/>
  <c r="AA877"/>
  <c r="AA876"/>
  <c r="AA875"/>
  <c r="AA874"/>
  <c r="AA873"/>
  <c r="AA872"/>
  <c r="AA871"/>
  <c r="AA870"/>
  <c r="AA869"/>
  <c r="AA868"/>
  <c r="AA867"/>
  <c r="AA866"/>
  <c r="AA865"/>
  <c r="AA864"/>
  <c r="AA863"/>
  <c r="AA862"/>
  <c r="AA861"/>
  <c r="AA860"/>
  <c r="AA859"/>
  <c r="AA858"/>
  <c r="AA857"/>
  <c r="AA856"/>
  <c r="AA855"/>
  <c r="AA854"/>
  <c r="AA853"/>
  <c r="AA852"/>
  <c r="AA851"/>
  <c r="AA850"/>
  <c r="AA849"/>
  <c r="AA848"/>
  <c r="AA847"/>
  <c r="AA846"/>
  <c r="AA845"/>
  <c r="AA844"/>
  <c r="AA843"/>
  <c r="AA842"/>
  <c r="AA841"/>
  <c r="AA840"/>
  <c r="AA839"/>
  <c r="AA838"/>
  <c r="AA837"/>
  <c r="AA836"/>
  <c r="AA835"/>
  <c r="AA834"/>
  <c r="AA833"/>
  <c r="AA832"/>
  <c r="AA831"/>
  <c r="AA830"/>
  <c r="AA829"/>
  <c r="AA828"/>
  <c r="AA827"/>
  <c r="AA826"/>
  <c r="AA825"/>
  <c r="AA824"/>
  <c r="AA823"/>
  <c r="AA822"/>
  <c r="AA821"/>
  <c r="AA820"/>
  <c r="AA819"/>
  <c r="AA818"/>
  <c r="AA817"/>
  <c r="AA816"/>
  <c r="AA815"/>
  <c r="AA814"/>
  <c r="AA813"/>
  <c r="AA812"/>
  <c r="AA811"/>
  <c r="AA810"/>
  <c r="AA809"/>
  <c r="AA808"/>
  <c r="AA807"/>
  <c r="AA806"/>
  <c r="AA805"/>
  <c r="AA804"/>
  <c r="AA803"/>
  <c r="AA802"/>
  <c r="AA801"/>
  <c r="AA800"/>
  <c r="AA799"/>
  <c r="AA798"/>
  <c r="AA797"/>
  <c r="AA796"/>
  <c r="AA795"/>
  <c r="AA794"/>
  <c r="AA793"/>
  <c r="AA792"/>
  <c r="AA791"/>
  <c r="AA790"/>
  <c r="AA789"/>
  <c r="AA788"/>
  <c r="AA787"/>
  <c r="AA786"/>
  <c r="AA785"/>
  <c r="AA784"/>
  <c r="AA783"/>
  <c r="AA782"/>
  <c r="AA781"/>
  <c r="AA780"/>
  <c r="AA779"/>
  <c r="AA778"/>
  <c r="AA777"/>
  <c r="AA776"/>
  <c r="AA775"/>
  <c r="AA774"/>
  <c r="AA773"/>
  <c r="AA772"/>
  <c r="AA771"/>
  <c r="AA770"/>
  <c r="AA769"/>
  <c r="AA768"/>
  <c r="AA767"/>
  <c r="AA766"/>
  <c r="AA765"/>
  <c r="AA764"/>
  <c r="AA763"/>
  <c r="AA762"/>
  <c r="AA761"/>
  <c r="AA760"/>
  <c r="AA759"/>
  <c r="AA758"/>
  <c r="AA757"/>
  <c r="AA756"/>
  <c r="AA755"/>
  <c r="AA754"/>
  <c r="AA753"/>
  <c r="AA752"/>
  <c r="AA751"/>
  <c r="AA750"/>
  <c r="AA749"/>
  <c r="AA748"/>
  <c r="AA747"/>
  <c r="AA746"/>
  <c r="AA745"/>
  <c r="AA744"/>
  <c r="AA743"/>
  <c r="AA742"/>
  <c r="AA741"/>
  <c r="AA740"/>
  <c r="AA739"/>
  <c r="AA738"/>
  <c r="AA737"/>
  <c r="AA736"/>
  <c r="AA735"/>
  <c r="AA734"/>
  <c r="AA733"/>
  <c r="AA732"/>
  <c r="AA731"/>
  <c r="AA730"/>
  <c r="AA729"/>
  <c r="AA728"/>
  <c r="AA727"/>
  <c r="AA726"/>
  <c r="AA725"/>
  <c r="AA724"/>
  <c r="AA723"/>
  <c r="AA722"/>
  <c r="AA721"/>
  <c r="AA720"/>
  <c r="AA719"/>
  <c r="AA718"/>
  <c r="AA717"/>
  <c r="AA716"/>
  <c r="AA715"/>
  <c r="AA714"/>
  <c r="AA713"/>
  <c r="AA712"/>
  <c r="AA711"/>
  <c r="AA710"/>
  <c r="AA709"/>
  <c r="AA708"/>
  <c r="AA707"/>
  <c r="AA706"/>
  <c r="AA705"/>
  <c r="AA704"/>
  <c r="AA703"/>
  <c r="AA702"/>
  <c r="AA701"/>
  <c r="AA700"/>
  <c r="AA699"/>
  <c r="AA698"/>
  <c r="AA697"/>
  <c r="AA696"/>
  <c r="AA695"/>
  <c r="AA694"/>
  <c r="AA693"/>
  <c r="AA692"/>
  <c r="AA691"/>
  <c r="AA690"/>
  <c r="AA689"/>
  <c r="AA688"/>
  <c r="AA687"/>
  <c r="AA686"/>
  <c r="AA685"/>
  <c r="AA684"/>
  <c r="AA683"/>
  <c r="AA682"/>
  <c r="AA681"/>
  <c r="AA680"/>
  <c r="AA679"/>
  <c r="AA678"/>
  <c r="AA677"/>
  <c r="AA676"/>
  <c r="AA675"/>
  <c r="AA674"/>
  <c r="AA673"/>
  <c r="AA672"/>
  <c r="AA671"/>
  <c r="AA670"/>
  <c r="AA669"/>
  <c r="AA668"/>
  <c r="AA667"/>
  <c r="AA666"/>
  <c r="AA665"/>
  <c r="AA664"/>
  <c r="AA663"/>
  <c r="AA662"/>
  <c r="AA661"/>
  <c r="AA660"/>
  <c r="AA659"/>
  <c r="AA658"/>
  <c r="AA657"/>
  <c r="AA656"/>
  <c r="AA655"/>
  <c r="AA654"/>
  <c r="AA653"/>
  <c r="AA652"/>
  <c r="AA651"/>
  <c r="AA650"/>
  <c r="AA649"/>
  <c r="AA648"/>
  <c r="AA647"/>
  <c r="AA646"/>
  <c r="AA645"/>
  <c r="AA644"/>
  <c r="AA643"/>
  <c r="AA642"/>
  <c r="AA641"/>
  <c r="AA640"/>
  <c r="AA639"/>
  <c r="AA638"/>
  <c r="AA637"/>
  <c r="AA636"/>
  <c r="AA635"/>
  <c r="AA634"/>
  <c r="AA633"/>
  <c r="AA632"/>
  <c r="AA631"/>
  <c r="AA630"/>
  <c r="AA629"/>
  <c r="AA628"/>
  <c r="AA627"/>
  <c r="AA626"/>
  <c r="AA625"/>
  <c r="AA624"/>
  <c r="AA623"/>
  <c r="AA622"/>
  <c r="AA621"/>
  <c r="AA620"/>
  <c r="AA619"/>
  <c r="AA618"/>
  <c r="AA617"/>
  <c r="AA616"/>
  <c r="AA615"/>
  <c r="AA614"/>
  <c r="AA613"/>
  <c r="AA612"/>
  <c r="AA611"/>
  <c r="AA610"/>
  <c r="AA609"/>
  <c r="AA608"/>
  <c r="AA607"/>
  <c r="AA606"/>
  <c r="AA605"/>
  <c r="AA604"/>
  <c r="AA603"/>
  <c r="AA602"/>
  <c r="AA601"/>
  <c r="AA600"/>
  <c r="AA599"/>
  <c r="AA598"/>
  <c r="AA597"/>
  <c r="AA596"/>
  <c r="AA595"/>
  <c r="AA594"/>
  <c r="AA593"/>
  <c r="AA592"/>
  <c r="AA591"/>
  <c r="AA590"/>
  <c r="AA589"/>
  <c r="AA588"/>
  <c r="AA587"/>
  <c r="AA586"/>
  <c r="AA585"/>
  <c r="AA584"/>
  <c r="AA583"/>
  <c r="AA582"/>
  <c r="AA581"/>
  <c r="AA580"/>
  <c r="AA579"/>
  <c r="AA578"/>
  <c r="AA577"/>
  <c r="AA576"/>
  <c r="AA575"/>
  <c r="AA574"/>
  <c r="AA573"/>
  <c r="AA572"/>
  <c r="AA571"/>
  <c r="AA570"/>
  <c r="AA569"/>
  <c r="AA568"/>
  <c r="AA567"/>
  <c r="AA566"/>
  <c r="AA565"/>
  <c r="AA564"/>
  <c r="AA563"/>
  <c r="AA562"/>
  <c r="AA561"/>
  <c r="AA560"/>
  <c r="AA559"/>
  <c r="AA558"/>
  <c r="AA557"/>
  <c r="AA556"/>
  <c r="AA555"/>
  <c r="AA554"/>
  <c r="AA553"/>
  <c r="AA552"/>
  <c r="AA551"/>
  <c r="AA550"/>
  <c r="AA549"/>
  <c r="AA548"/>
  <c r="AA547"/>
  <c r="AA546"/>
  <c r="AA545"/>
  <c r="AA544"/>
  <c r="AA543"/>
  <c r="AA542"/>
  <c r="AA541"/>
  <c r="AA540"/>
  <c r="AA539"/>
  <c r="AA538"/>
  <c r="AA537"/>
  <c r="AA536"/>
  <c r="AA535"/>
  <c r="AA534"/>
  <c r="AA533"/>
  <c r="AA532"/>
  <c r="AA531"/>
  <c r="AA530"/>
  <c r="AA529"/>
  <c r="AA528"/>
  <c r="AA527"/>
  <c r="AA526"/>
  <c r="AA525"/>
  <c r="AA524"/>
  <c r="AA523"/>
  <c r="AA522"/>
  <c r="AA521"/>
  <c r="AA520"/>
  <c r="AA519"/>
  <c r="AA518"/>
  <c r="AA517"/>
  <c r="AA516"/>
  <c r="AA515"/>
  <c r="AA514"/>
  <c r="AA513"/>
  <c r="AA512"/>
  <c r="AA511"/>
  <c r="AA510"/>
  <c r="AA509"/>
  <c r="AA508"/>
  <c r="AA507"/>
  <c r="AA506"/>
  <c r="AA505"/>
  <c r="AA504"/>
  <c r="AA503"/>
  <c r="AA502"/>
  <c r="AA501"/>
  <c r="AA500"/>
  <c r="AA499"/>
  <c r="AA498"/>
  <c r="AA497"/>
  <c r="AA496"/>
  <c r="AA495"/>
  <c r="AA494"/>
  <c r="AA493"/>
  <c r="AA492"/>
  <c r="AA491"/>
  <c r="AA490"/>
  <c r="AA489"/>
  <c r="AA488"/>
  <c r="AA487"/>
  <c r="AA486"/>
  <c r="AA485"/>
  <c r="AA484"/>
  <c r="AA483"/>
  <c r="AA482"/>
  <c r="AA481"/>
  <c r="AA480"/>
  <c r="AA479"/>
  <c r="AA478"/>
  <c r="AA477"/>
  <c r="AA476"/>
  <c r="AA475"/>
  <c r="AA474"/>
  <c r="AA473"/>
  <c r="AA472"/>
  <c r="AA471"/>
  <c r="AA470"/>
  <c r="AA469"/>
  <c r="AA468"/>
  <c r="AA467"/>
  <c r="AA466"/>
  <c r="AA465"/>
  <c r="AA464"/>
  <c r="AA463"/>
  <c r="AA462"/>
  <c r="AA461"/>
  <c r="AA460"/>
  <c r="AA459"/>
  <c r="AA458"/>
  <c r="AA457"/>
  <c r="AA456"/>
  <c r="AA455"/>
  <c r="AA454"/>
  <c r="AA453"/>
  <c r="AA452"/>
  <c r="AA451"/>
  <c r="AA450"/>
  <c r="AA449"/>
  <c r="AA448"/>
  <c r="AA447"/>
  <c r="AA446"/>
  <c r="AA445"/>
  <c r="AA444"/>
  <c r="AA443"/>
  <c r="AA442"/>
  <c r="AA441"/>
  <c r="AA440"/>
  <c r="AA439"/>
  <c r="AA438"/>
  <c r="AA437"/>
  <c r="AA436"/>
  <c r="AA435"/>
  <c r="AA434"/>
  <c r="AA433"/>
  <c r="AA432"/>
  <c r="AA431"/>
  <c r="AA430"/>
  <c r="AA429"/>
  <c r="AA428"/>
  <c r="AA427"/>
  <c r="AA426"/>
  <c r="AA425"/>
  <c r="AA424"/>
  <c r="AA423"/>
  <c r="AA422"/>
  <c r="AA421"/>
  <c r="AA420"/>
  <c r="AA419"/>
  <c r="AA418"/>
  <c r="AA417"/>
  <c r="AA416"/>
  <c r="AA415"/>
  <c r="AA414"/>
  <c r="AA413"/>
  <c r="AA412"/>
  <c r="AA411"/>
  <c r="AA410"/>
  <c r="AA409"/>
  <c r="AA408"/>
  <c r="AA407"/>
  <c r="AA406"/>
  <c r="AA405"/>
  <c r="AA404"/>
  <c r="AA403"/>
  <c r="AA402"/>
  <c r="AA401"/>
  <c r="AA400"/>
  <c r="AA399"/>
  <c r="AA398"/>
  <c r="AA397"/>
  <c r="AA396"/>
  <c r="AA395"/>
  <c r="AA394"/>
  <c r="AA393"/>
  <c r="AA392"/>
  <c r="AA391"/>
  <c r="AA390"/>
  <c r="AA389"/>
  <c r="AA388"/>
  <c r="AA387"/>
  <c r="AA386"/>
  <c r="AA385"/>
  <c r="AA384"/>
  <c r="AA383"/>
  <c r="AA382"/>
  <c r="AA381"/>
  <c r="AA380"/>
  <c r="AA379"/>
  <c r="AA378"/>
  <c r="AA377"/>
  <c r="AA376"/>
  <c r="AA375"/>
  <c r="AA374"/>
  <c r="AA373"/>
  <c r="AA372"/>
  <c r="AA371"/>
  <c r="AA370"/>
  <c r="AA369"/>
  <c r="AA368"/>
  <c r="AA367"/>
  <c r="AA366"/>
  <c r="AA365"/>
  <c r="AA364"/>
  <c r="AA363"/>
  <c r="AA362"/>
  <c r="AA361"/>
  <c r="AA360"/>
  <c r="AA359"/>
  <c r="AA358"/>
  <c r="AA357"/>
  <c r="AA356"/>
  <c r="AA355"/>
  <c r="AA354"/>
  <c r="AA353"/>
  <c r="AA352"/>
  <c r="AA351"/>
  <c r="AA350"/>
  <c r="AA349"/>
  <c r="AA348"/>
  <c r="AA347"/>
  <c r="AA346"/>
  <c r="AA345"/>
  <c r="AA344"/>
  <c r="AA343"/>
  <c r="AA342"/>
  <c r="AA341"/>
  <c r="AA340"/>
  <c r="AA339"/>
  <c r="AA338"/>
  <c r="AA337"/>
  <c r="AA336"/>
  <c r="AA335"/>
  <c r="AA334"/>
  <c r="AA333"/>
  <c r="AA332"/>
  <c r="AA331"/>
  <c r="AA330"/>
  <c r="AA329"/>
  <c r="AA328"/>
  <c r="AA327"/>
  <c r="AA326"/>
  <c r="AA325"/>
  <c r="AA324"/>
  <c r="AA323"/>
  <c r="AA322"/>
  <c r="AA321"/>
  <c r="AA320"/>
  <c r="AA319"/>
  <c r="AA318"/>
  <c r="AA317"/>
  <c r="AA316"/>
  <c r="AA315"/>
  <c r="AA314"/>
  <c r="AA313"/>
  <c r="AA312"/>
  <c r="AA311"/>
  <c r="AA310"/>
  <c r="AA308"/>
  <c r="AA307"/>
  <c r="Z307" s="1"/>
  <c r="AA306"/>
  <c r="AA305"/>
  <c r="Z305" s="1"/>
  <c r="AA304"/>
  <c r="AA303"/>
  <c r="Z303" s="1"/>
  <c r="AA302"/>
  <c r="AA301"/>
  <c r="Z301" s="1"/>
  <c r="AA300"/>
  <c r="AA299"/>
  <c r="Z299" s="1"/>
  <c r="AA298"/>
  <c r="AA297"/>
  <c r="Z297" s="1"/>
  <c r="AA296"/>
  <c r="AA295"/>
  <c r="Z295" s="1"/>
  <c r="AA294"/>
  <c r="AA293"/>
  <c r="Z293" s="1"/>
  <c r="AA292"/>
  <c r="AA291"/>
  <c r="Z291" s="1"/>
  <c r="AA290"/>
  <c r="AA289"/>
  <c r="Z289" s="1"/>
  <c r="AA288"/>
  <c r="AA287"/>
  <c r="Z287" s="1"/>
  <c r="AA286"/>
  <c r="AA285"/>
  <c r="Z285" s="1"/>
  <c r="AA284"/>
  <c r="AA283"/>
  <c r="Z283" s="1"/>
  <c r="AA282"/>
  <c r="AA281"/>
  <c r="Z281" s="1"/>
  <c r="AA280"/>
  <c r="AA279"/>
  <c r="Z279" s="1"/>
  <c r="AA278"/>
  <c r="AA277"/>
  <c r="Z277" s="1"/>
  <c r="AA276"/>
  <c r="AA275"/>
  <c r="Z275" s="1"/>
  <c r="AA274"/>
  <c r="AA273"/>
  <c r="Z273" s="1"/>
  <c r="AA272"/>
  <c r="AA271"/>
  <c r="Z271" s="1"/>
  <c r="AA270"/>
  <c r="AA269"/>
  <c r="Z269" s="1"/>
  <c r="AA268"/>
  <c r="AA267"/>
  <c r="Z267" s="1"/>
  <c r="AA266"/>
  <c r="AA265"/>
  <c r="Z265" s="1"/>
  <c r="AA264"/>
  <c r="AA263"/>
  <c r="Z263" s="1"/>
  <c r="AA262"/>
  <c r="AA261"/>
  <c r="Z261" s="1"/>
  <c r="AA260"/>
  <c r="AA259"/>
  <c r="Z259" s="1"/>
  <c r="AA258"/>
  <c r="AA257"/>
  <c r="Z257" s="1"/>
  <c r="AA256"/>
  <c r="AA255"/>
  <c r="Z255" s="1"/>
  <c r="AA254"/>
  <c r="AA253"/>
  <c r="Z253" s="1"/>
  <c r="AA252"/>
  <c r="AA251"/>
  <c r="Z251" s="1"/>
  <c r="AA250"/>
  <c r="AA249"/>
  <c r="Z249" s="1"/>
  <c r="AA248"/>
  <c r="AA247"/>
  <c r="Z247" s="1"/>
  <c r="AA246"/>
  <c r="AA245"/>
  <c r="Z245" s="1"/>
  <c r="AA244"/>
  <c r="AA243"/>
  <c r="Z243" s="1"/>
  <c r="AA242"/>
  <c r="AA241"/>
  <c r="Z241" s="1"/>
  <c r="AA240"/>
  <c r="AA239"/>
  <c r="Z239" s="1"/>
  <c r="AA238"/>
  <c r="AA237"/>
  <c r="Z237" s="1"/>
  <c r="AA236"/>
  <c r="AA235"/>
  <c r="Z235" s="1"/>
  <c r="AA234"/>
  <c r="AA233"/>
  <c r="Z233" s="1"/>
  <c r="AA232"/>
  <c r="AA231"/>
  <c r="Z231" s="1"/>
  <c r="AA230"/>
  <c r="AA229"/>
  <c r="Z229" s="1"/>
  <c r="AA228"/>
  <c r="AA227"/>
  <c r="Z227" s="1"/>
  <c r="AA226"/>
  <c r="AA225"/>
  <c r="Z225" s="1"/>
  <c r="AA224"/>
  <c r="AA223"/>
  <c r="Z223" s="1"/>
  <c r="AA222"/>
  <c r="AA221"/>
  <c r="Z221" s="1"/>
  <c r="AA220"/>
  <c r="AA219"/>
  <c r="Z219" s="1"/>
  <c r="AA218"/>
  <c r="AA217"/>
  <c r="Z217" s="1"/>
  <c r="AA216"/>
  <c r="AA215"/>
  <c r="Z215" s="1"/>
  <c r="AA214"/>
  <c r="AA213"/>
  <c r="Z213" s="1"/>
  <c r="AA212"/>
  <c r="AA211"/>
  <c r="Z211" s="1"/>
  <c r="AA210"/>
  <c r="AA209"/>
  <c r="Z209" s="1"/>
  <c r="AA208"/>
  <c r="AA207"/>
  <c r="Z207" s="1"/>
  <c r="AA206"/>
  <c r="AA205"/>
  <c r="Z205" s="1"/>
  <c r="AA204"/>
  <c r="AA203"/>
  <c r="Z203" s="1"/>
  <c r="AA202"/>
  <c r="AA201"/>
  <c r="Z201" s="1"/>
  <c r="AA200"/>
  <c r="AA199"/>
  <c r="Z199" s="1"/>
  <c r="AA198"/>
  <c r="AA197"/>
  <c r="Z197" s="1"/>
  <c r="AA196"/>
  <c r="AA195"/>
  <c r="Z195" s="1"/>
  <c r="AA194"/>
  <c r="AA193"/>
  <c r="Z193" s="1"/>
  <c r="AA192"/>
  <c r="AA191"/>
  <c r="Z191" s="1"/>
  <c r="AA190"/>
  <c r="AA189"/>
  <c r="Z189" s="1"/>
  <c r="AA188"/>
  <c r="AA187"/>
  <c r="Z187" s="1"/>
  <c r="AA186"/>
  <c r="AA185"/>
  <c r="Z185" s="1"/>
  <c r="AA184"/>
  <c r="AA183"/>
  <c r="Z183" s="1"/>
  <c r="AA182"/>
  <c r="AA181"/>
  <c r="Z181" s="1"/>
  <c r="AA180"/>
  <c r="AA179"/>
  <c r="Z179" s="1"/>
  <c r="AA178"/>
  <c r="AA177"/>
  <c r="Z177" s="1"/>
  <c r="AA176"/>
  <c r="AA175"/>
  <c r="Z175" s="1"/>
  <c r="AA174"/>
  <c r="AA173"/>
  <c r="Z173" s="1"/>
  <c r="AA172"/>
  <c r="AA171"/>
  <c r="Z171" s="1"/>
  <c r="AA170"/>
  <c r="AA169"/>
  <c r="Z169" s="1"/>
  <c r="AA168"/>
  <c r="AA167"/>
  <c r="Z167" s="1"/>
  <c r="AA166"/>
  <c r="AA165"/>
  <c r="Z165" s="1"/>
  <c r="AA164"/>
  <c r="AA163"/>
  <c r="Z163" s="1"/>
  <c r="AA162"/>
  <c r="AA161"/>
  <c r="Z161" s="1"/>
  <c r="AA160"/>
  <c r="AA159"/>
  <c r="Z159" s="1"/>
  <c r="AA158"/>
  <c r="AA157"/>
  <c r="Z157" s="1"/>
  <c r="AA156"/>
  <c r="AA155"/>
  <c r="Z155" s="1"/>
  <c r="AA154"/>
  <c r="AA153"/>
  <c r="Z153" s="1"/>
  <c r="AA152"/>
  <c r="AA151"/>
  <c r="Z151" s="1"/>
  <c r="AA150"/>
  <c r="AA149"/>
  <c r="Z149" s="1"/>
  <c r="AA148"/>
  <c r="AA147"/>
  <c r="Z147" s="1"/>
  <c r="AA146"/>
  <c r="AA145"/>
  <c r="Z145" s="1"/>
  <c r="AA144"/>
  <c r="AA143"/>
  <c r="Z143" s="1"/>
  <c r="AA142"/>
  <c r="AA141"/>
  <c r="Z141" s="1"/>
  <c r="AA140"/>
  <c r="AA139"/>
  <c r="Z139" s="1"/>
  <c r="AA138"/>
  <c r="AA137"/>
  <c r="Z137" s="1"/>
  <c r="AA136"/>
  <c r="AA135"/>
  <c r="Z135" s="1"/>
  <c r="AA134"/>
  <c r="AA133"/>
  <c r="Z133" s="1"/>
  <c r="AA132"/>
  <c r="AA131"/>
  <c r="Z131" s="1"/>
  <c r="AA130"/>
  <c r="AA129"/>
  <c r="Z129" s="1"/>
  <c r="AA128"/>
  <c r="AA127"/>
  <c r="Z127" s="1"/>
  <c r="AA126"/>
  <c r="AA125"/>
  <c r="Z125" s="1"/>
  <c r="AA124"/>
  <c r="AA123"/>
  <c r="Z123" s="1"/>
  <c r="AA122"/>
  <c r="AA121"/>
  <c r="Z121" s="1"/>
  <c r="AA120"/>
  <c r="AA119"/>
  <c r="Z119" s="1"/>
  <c r="AA118"/>
  <c r="AA117"/>
  <c r="Z117" s="1"/>
  <c r="AA116"/>
  <c r="AA115"/>
  <c r="Z115" s="1"/>
  <c r="AA114"/>
  <c r="AA113"/>
  <c r="Z113" s="1"/>
  <c r="AA112"/>
  <c r="AA111"/>
  <c r="Z111" s="1"/>
  <c r="AA110"/>
  <c r="AA109"/>
  <c r="Z109" s="1"/>
  <c r="AA108"/>
  <c r="AA107"/>
  <c r="Z107" s="1"/>
  <c r="AA106"/>
  <c r="AA105"/>
  <c r="Z105" s="1"/>
  <c r="AA104"/>
  <c r="AA103"/>
  <c r="Z103" s="1"/>
  <c r="AA102"/>
  <c r="AA101"/>
  <c r="Z101" s="1"/>
  <c r="AA100"/>
  <c r="AA99"/>
  <c r="Z99" s="1"/>
  <c r="AA98"/>
  <c r="AA97"/>
  <c r="Z97" s="1"/>
  <c r="AA96"/>
  <c r="AA95"/>
  <c r="Z95" s="1"/>
  <c r="AA94"/>
  <c r="AA93"/>
  <c r="Z93" s="1"/>
  <c r="AA92"/>
  <c r="AA91"/>
  <c r="Z91" s="1"/>
  <c r="AA90"/>
  <c r="AA89"/>
  <c r="Z89" s="1"/>
  <c r="AA88"/>
  <c r="AA87"/>
  <c r="Z87" s="1"/>
  <c r="AA86"/>
  <c r="AA85"/>
  <c r="Z85" s="1"/>
  <c r="AA84"/>
  <c r="AA83"/>
  <c r="Z83" s="1"/>
  <c r="AA82"/>
  <c r="AA81"/>
  <c r="Z81" s="1"/>
  <c r="AA80"/>
  <c r="AA79"/>
  <c r="Z79" s="1"/>
  <c r="AA78"/>
  <c r="AA77"/>
  <c r="Z77" s="1"/>
  <c r="AA76"/>
  <c r="AA75"/>
  <c r="Z75" s="1"/>
  <c r="AA74"/>
  <c r="AA73"/>
  <c r="Z73" s="1"/>
  <c r="AA72"/>
  <c r="AA71"/>
  <c r="Z71" s="1"/>
  <c r="AA70"/>
  <c r="AA69"/>
  <c r="Z69" s="1"/>
  <c r="AA68"/>
  <c r="AA67"/>
  <c r="Z67" s="1"/>
  <c r="AA66"/>
  <c r="AA65"/>
  <c r="Z65" s="1"/>
  <c r="AA64"/>
  <c r="AA63"/>
  <c r="Z63" s="1"/>
  <c r="AA62"/>
  <c r="AA61"/>
  <c r="Z61" s="1"/>
  <c r="AA60"/>
  <c r="AA59"/>
  <c r="Z59" s="1"/>
  <c r="AA58"/>
  <c r="AA57"/>
  <c r="Z57" s="1"/>
  <c r="AA56"/>
  <c r="AA55"/>
  <c r="Z55" s="1"/>
  <c r="AA54"/>
  <c r="AA53"/>
  <c r="AA52"/>
  <c r="Z52" s="1"/>
  <c r="AA51"/>
  <c r="AA50"/>
  <c r="Z50" s="1"/>
  <c r="AA49"/>
  <c r="AA48"/>
  <c r="Z48" s="1"/>
  <c r="AA47"/>
  <c r="AA46"/>
  <c r="Z46" s="1"/>
  <c r="AA45"/>
  <c r="AA44"/>
  <c r="Z44" s="1"/>
  <c r="AA43"/>
  <c r="AA42"/>
  <c r="Z42" s="1"/>
  <c r="AA41"/>
  <c r="AA40"/>
  <c r="Z40" s="1"/>
  <c r="AA39"/>
  <c r="AA38"/>
  <c r="Z38" s="1"/>
  <c r="AA37"/>
  <c r="AA36"/>
  <c r="Z36" s="1"/>
  <c r="AA35"/>
  <c r="AA34"/>
  <c r="Z34" s="1"/>
  <c r="AA33"/>
  <c r="AA32"/>
  <c r="Z32" s="1"/>
  <c r="AA31"/>
  <c r="AA30"/>
  <c r="Z30" s="1"/>
  <c r="AA29"/>
  <c r="AA28"/>
  <c r="Z28" s="1"/>
  <c r="AA27"/>
  <c r="AA26"/>
  <c r="Z26" s="1"/>
  <c r="AA25"/>
  <c r="AA24"/>
  <c r="Z24" s="1"/>
  <c r="AA23"/>
  <c r="AA22"/>
  <c r="Z22" s="1"/>
  <c r="AA21"/>
  <c r="AA20"/>
  <c r="Z20" s="1"/>
  <c r="AA19"/>
  <c r="AA18"/>
  <c r="Z18" s="1"/>
  <c r="AA17"/>
  <c r="AA16"/>
  <c r="Z16" s="1"/>
  <c r="AA15"/>
  <c r="AA14"/>
  <c r="Z14" s="1"/>
  <c r="AA13"/>
  <c r="AA12"/>
  <c r="Z12" s="1"/>
  <c r="AA11"/>
  <c r="AA10"/>
  <c r="AA9"/>
  <c r="AA309"/>
  <c r="A332" i="40"/>
  <c r="AG15" i="12" l="1"/>
  <c r="AS15" i="13"/>
  <c r="Z17"/>
  <c r="AP38" s="1"/>
  <c r="Z25"/>
  <c r="Z15"/>
  <c r="Z19"/>
  <c r="Z23"/>
  <c r="Z27"/>
  <c r="Z31"/>
  <c r="Z35"/>
  <c r="Z39"/>
  <c r="Z43"/>
  <c r="Z47"/>
  <c r="Z51"/>
  <c r="Z54"/>
  <c r="Z58"/>
  <c r="Z62"/>
  <c r="Z66"/>
  <c r="Z70"/>
  <c r="Z74"/>
  <c r="Z78"/>
  <c r="Z82"/>
  <c r="Z86"/>
  <c r="Z90"/>
  <c r="Z94"/>
  <c r="Z98"/>
  <c r="Z102"/>
  <c r="Z106"/>
  <c r="Z110"/>
  <c r="Z114"/>
  <c r="Z118"/>
  <c r="Z122"/>
  <c r="Z126"/>
  <c r="Z130"/>
  <c r="Z134"/>
  <c r="Z138"/>
  <c r="Z142"/>
  <c r="Z146"/>
  <c r="Z150"/>
  <c r="Z154"/>
  <c r="Z158"/>
  <c r="Z162"/>
  <c r="Z166"/>
  <c r="Z170"/>
  <c r="Z174"/>
  <c r="Z178"/>
  <c r="Z182"/>
  <c r="Z186"/>
  <c r="Z190"/>
  <c r="Z194"/>
  <c r="Z198"/>
  <c r="Z202"/>
  <c r="Z206"/>
  <c r="Z210"/>
  <c r="Z214"/>
  <c r="Z218"/>
  <c r="Z222"/>
  <c r="Z226"/>
  <c r="Z230"/>
  <c r="Z234"/>
  <c r="Z238"/>
  <c r="Z242"/>
  <c r="Z246"/>
  <c r="Z250"/>
  <c r="Z254"/>
  <c r="Z258"/>
  <c r="Z262"/>
  <c r="Z266"/>
  <c r="Z270"/>
  <c r="Z274"/>
  <c r="Z278"/>
  <c r="Z282"/>
  <c r="Z286"/>
  <c r="Z290"/>
  <c r="Z294"/>
  <c r="Z298"/>
  <c r="Z302"/>
  <c r="Z306"/>
  <c r="Z13"/>
  <c r="Z21"/>
  <c r="Z29"/>
  <c r="Z33"/>
  <c r="Z37"/>
  <c r="Z41"/>
  <c r="Z45"/>
  <c r="Z49"/>
  <c r="Z53"/>
  <c r="Z56"/>
  <c r="Z60"/>
  <c r="Z64"/>
  <c r="Z68"/>
  <c r="Z72"/>
  <c r="Z76"/>
  <c r="Z80"/>
  <c r="Z84"/>
  <c r="Z88"/>
  <c r="Z92"/>
  <c r="Z96"/>
  <c r="Z100"/>
  <c r="Z104"/>
  <c r="Z108"/>
  <c r="Z112"/>
  <c r="Z116"/>
  <c r="Z120"/>
  <c r="Z124"/>
  <c r="Z128"/>
  <c r="Z132"/>
  <c r="Z136"/>
  <c r="Z140"/>
  <c r="Z144"/>
  <c r="Z148"/>
  <c r="Z152"/>
  <c r="Z156"/>
  <c r="Z160"/>
  <c r="Z164"/>
  <c r="Z168"/>
  <c r="Z172"/>
  <c r="Z176"/>
  <c r="Z180"/>
  <c r="Z184"/>
  <c r="Z188"/>
  <c r="Z192"/>
  <c r="Z196"/>
  <c r="Z200"/>
  <c r="Z204"/>
  <c r="Z208"/>
  <c r="Z212"/>
  <c r="Z216"/>
  <c r="Z220"/>
  <c r="Z224"/>
  <c r="Z228"/>
  <c r="Z232"/>
  <c r="Z236"/>
  <c r="Z240"/>
  <c r="Z244"/>
  <c r="Z248"/>
  <c r="Z252"/>
  <c r="Z256"/>
  <c r="Z260"/>
  <c r="Z264"/>
  <c r="Z268"/>
  <c r="Z272"/>
  <c r="Z276"/>
  <c r="Z280"/>
  <c r="Z284"/>
  <c r="Z288"/>
  <c r="Z292"/>
  <c r="Z296"/>
  <c r="Z300"/>
  <c r="Z304"/>
  <c r="Z308"/>
  <c r="A18" i="25"/>
  <c r="A20" i="29"/>
  <c r="A20" i="25"/>
  <c r="A19"/>
  <c r="A19" i="29"/>
  <c r="A216" i="41"/>
  <c r="A210"/>
  <c r="A204"/>
  <c r="A198"/>
  <c r="A192"/>
  <c r="A186"/>
  <c r="A180"/>
  <c r="A174"/>
  <c r="A168"/>
  <c r="A162"/>
  <c r="A156"/>
  <c r="A150"/>
  <c r="A144"/>
  <c r="A138"/>
  <c r="A132"/>
  <c r="A73"/>
  <c r="A67"/>
  <c r="A61"/>
  <c r="A56"/>
  <c r="A55"/>
  <c r="A54"/>
  <c r="A53"/>
  <c r="A49"/>
  <c r="A48"/>
  <c r="A47"/>
  <c r="A46"/>
  <c r="A45"/>
  <c r="A44"/>
  <c r="A27"/>
  <c r="A26"/>
  <c r="A25"/>
  <c r="A24"/>
  <c r="A23"/>
  <c r="A22"/>
  <c r="A21"/>
  <c r="A17"/>
  <c r="A16"/>
  <c r="A15"/>
  <c r="A14"/>
  <c r="A13"/>
  <c r="A10"/>
  <c r="A125" i="42"/>
  <c r="A335" i="28"/>
  <c r="C10" i="39"/>
  <c r="C11"/>
  <c r="C12"/>
  <c r="C13"/>
  <c r="C14"/>
  <c r="C15"/>
  <c r="AT15" i="13" l="1"/>
  <c r="AT25"/>
  <c r="B8" i="1"/>
  <c r="M43" i="39"/>
  <c r="K36" s="1"/>
  <c r="N36"/>
  <c r="M36"/>
  <c r="C7"/>
  <c r="C8"/>
  <c r="C9"/>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F7"/>
  <c r="F8"/>
  <c r="F9"/>
  <c r="F10"/>
  <c r="F11"/>
  <c r="F12"/>
  <c r="F13"/>
  <c r="F14"/>
  <c r="F15"/>
  <c r="F16"/>
  <c r="F17"/>
  <c r="F18"/>
  <c r="F19"/>
  <c r="F20"/>
  <c r="F21"/>
  <c r="F22"/>
  <c r="F23"/>
  <c r="F24"/>
  <c r="F25"/>
  <c r="F26"/>
  <c r="F27"/>
  <c r="F28"/>
  <c r="F29"/>
  <c r="F30"/>
  <c r="F31"/>
  <c r="F32"/>
  <c r="F33"/>
  <c r="F34"/>
  <c r="F35"/>
  <c r="F36"/>
  <c r="F37"/>
  <c r="F38"/>
  <c r="F39"/>
  <c r="F40"/>
  <c r="F41"/>
  <c r="F42"/>
  <c r="F43"/>
  <c r="F44"/>
  <c r="F45"/>
  <c r="F46"/>
  <c r="F47"/>
  <c r="F48"/>
  <c r="F49"/>
  <c r="F50"/>
  <c r="F51"/>
  <c r="F52"/>
  <c r="F53"/>
  <c r="F54"/>
  <c r="F55"/>
  <c r="F56"/>
  <c r="F57"/>
  <c r="F58"/>
  <c r="F59"/>
  <c r="F60"/>
  <c r="F61"/>
  <c r="F62"/>
  <c r="F63"/>
  <c r="F64"/>
  <c r="F65"/>
  <c r="F66"/>
  <c r="F67"/>
  <c r="F68"/>
  <c r="F69"/>
  <c r="H7"/>
  <c r="H8"/>
  <c r="H9"/>
  <c r="H10"/>
  <c r="H11"/>
  <c r="H12"/>
  <c r="H13"/>
  <c r="H14"/>
  <c r="H15"/>
  <c r="H16"/>
  <c r="H17"/>
  <c r="H18"/>
  <c r="H19"/>
  <c r="H20"/>
  <c r="H21"/>
  <c r="H22"/>
  <c r="H23"/>
  <c r="H24"/>
  <c r="H25"/>
  <c r="H26"/>
  <c r="H27"/>
  <c r="H28"/>
  <c r="H29"/>
  <c r="H30"/>
  <c r="H31"/>
  <c r="H32"/>
  <c r="H33"/>
  <c r="H34"/>
  <c r="H35"/>
  <c r="H36"/>
  <c r="H37"/>
  <c r="H38"/>
  <c r="H39"/>
  <c r="H40"/>
  <c r="H41"/>
  <c r="H42"/>
  <c r="H43"/>
  <c r="H44"/>
  <c r="H45"/>
  <c r="H46"/>
  <c r="H47"/>
  <c r="H48"/>
  <c r="H49"/>
  <c r="H50"/>
  <c r="H51"/>
  <c r="H52"/>
  <c r="H53"/>
  <c r="H54"/>
  <c r="H55"/>
  <c r="H56"/>
  <c r="H57"/>
  <c r="H58"/>
  <c r="H59"/>
  <c r="H60"/>
  <c r="H61"/>
  <c r="H62"/>
  <c r="H63"/>
  <c r="H64"/>
  <c r="H65"/>
  <c r="H66"/>
  <c r="H67"/>
  <c r="H68"/>
  <c r="H69"/>
  <c r="H6"/>
  <c r="F6"/>
  <c r="C6"/>
  <c r="K37" l="1"/>
  <c r="K4" s="1"/>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N4"/>
  <c r="M4"/>
  <c r="F8" i="23"/>
  <c r="E8"/>
  <c r="A39" i="35"/>
  <c r="A53" i="29"/>
  <c r="A53" i="27"/>
  <c r="A39" i="25"/>
  <c r="A44" i="33"/>
  <c r="A26" i="35"/>
  <c r="A189"/>
  <c r="A183"/>
  <c r="A177"/>
  <c r="A171"/>
  <c r="A165"/>
  <c r="A159"/>
  <c r="A153"/>
  <c r="A147"/>
  <c r="A141"/>
  <c r="A135"/>
  <c r="A129"/>
  <c r="A123"/>
  <c r="A117"/>
  <c r="A111"/>
  <c r="A105"/>
  <c r="A55"/>
  <c r="A53"/>
  <c r="A51"/>
  <c r="A46"/>
  <c r="A45"/>
  <c r="A44"/>
  <c r="A43"/>
  <c r="A38"/>
  <c r="A37"/>
  <c r="A36"/>
  <c r="A35"/>
  <c r="A34"/>
  <c r="A27"/>
  <c r="A25"/>
  <c r="A24"/>
  <c r="A23"/>
  <c r="A22"/>
  <c r="A21"/>
  <c r="A17"/>
  <c r="A16"/>
  <c r="A15"/>
  <c r="A14"/>
  <c r="A13"/>
  <c r="A10"/>
  <c r="AC9" i="13"/>
  <c r="AD9"/>
  <c r="A62" i="29"/>
  <c r="A61"/>
  <c r="A62" i="27"/>
  <c r="A61"/>
  <c r="X1008" i="13"/>
  <c r="X1007"/>
  <c r="X1006"/>
  <c r="X1005"/>
  <c r="X1004"/>
  <c r="X1003"/>
  <c r="X1002"/>
  <c r="X1001"/>
  <c r="X1000"/>
  <c r="X999"/>
  <c r="X998"/>
  <c r="X997"/>
  <c r="X996"/>
  <c r="X995"/>
  <c r="X994"/>
  <c r="X993"/>
  <c r="X992"/>
  <c r="X991"/>
  <c r="X990"/>
  <c r="X989"/>
  <c r="X988"/>
  <c r="X987"/>
  <c r="X986"/>
  <c r="X985"/>
  <c r="X984"/>
  <c r="X983"/>
  <c r="X982"/>
  <c r="X981"/>
  <c r="X980"/>
  <c r="X979"/>
  <c r="X978"/>
  <c r="X977"/>
  <c r="X976"/>
  <c r="X975"/>
  <c r="X974"/>
  <c r="X973"/>
  <c r="X972"/>
  <c r="X971"/>
  <c r="X970"/>
  <c r="X969"/>
  <c r="X968"/>
  <c r="X967"/>
  <c r="X966"/>
  <c r="X965"/>
  <c r="X964"/>
  <c r="X963"/>
  <c r="X962"/>
  <c r="X961"/>
  <c r="X960"/>
  <c r="X959"/>
  <c r="X958"/>
  <c r="X957"/>
  <c r="X956"/>
  <c r="X955"/>
  <c r="X954"/>
  <c r="X953"/>
  <c r="X952"/>
  <c r="X951"/>
  <c r="X950"/>
  <c r="X949"/>
  <c r="X948"/>
  <c r="X947"/>
  <c r="X946"/>
  <c r="X945"/>
  <c r="X944"/>
  <c r="X943"/>
  <c r="X942"/>
  <c r="X941"/>
  <c r="X940"/>
  <c r="X939"/>
  <c r="X938"/>
  <c r="X937"/>
  <c r="X936"/>
  <c r="X935"/>
  <c r="X934"/>
  <c r="X933"/>
  <c r="X932"/>
  <c r="X931"/>
  <c r="X930"/>
  <c r="X929"/>
  <c r="X928"/>
  <c r="X927"/>
  <c r="X926"/>
  <c r="X925"/>
  <c r="X924"/>
  <c r="X923"/>
  <c r="X922"/>
  <c r="X921"/>
  <c r="X920"/>
  <c r="X919"/>
  <c r="X918"/>
  <c r="X917"/>
  <c r="X916"/>
  <c r="X915"/>
  <c r="X914"/>
  <c r="X913"/>
  <c r="X912"/>
  <c r="X911"/>
  <c r="X910"/>
  <c r="X909"/>
  <c r="X908"/>
  <c r="X907"/>
  <c r="X906"/>
  <c r="X905"/>
  <c r="X904"/>
  <c r="X903"/>
  <c r="X902"/>
  <c r="X901"/>
  <c r="X900"/>
  <c r="X899"/>
  <c r="X898"/>
  <c r="X897"/>
  <c r="X896"/>
  <c r="X895"/>
  <c r="X894"/>
  <c r="X893"/>
  <c r="X892"/>
  <c r="X891"/>
  <c r="X890"/>
  <c r="X889"/>
  <c r="X888"/>
  <c r="X887"/>
  <c r="X886"/>
  <c r="X885"/>
  <c r="X884"/>
  <c r="X883"/>
  <c r="X882"/>
  <c r="X881"/>
  <c r="X880"/>
  <c r="X879"/>
  <c r="X878"/>
  <c r="X877"/>
  <c r="X876"/>
  <c r="X875"/>
  <c r="X874"/>
  <c r="X873"/>
  <c r="X872"/>
  <c r="X871"/>
  <c r="X870"/>
  <c r="X869"/>
  <c r="X868"/>
  <c r="X867"/>
  <c r="X866"/>
  <c r="X865"/>
  <c r="X864"/>
  <c r="X863"/>
  <c r="X862"/>
  <c r="X861"/>
  <c r="X860"/>
  <c r="X859"/>
  <c r="X858"/>
  <c r="X857"/>
  <c r="X856"/>
  <c r="X855"/>
  <c r="X854"/>
  <c r="X853"/>
  <c r="X852"/>
  <c r="X851"/>
  <c r="X850"/>
  <c r="X849"/>
  <c r="X848"/>
  <c r="X847"/>
  <c r="X846"/>
  <c r="X845"/>
  <c r="X844"/>
  <c r="X843"/>
  <c r="X842"/>
  <c r="X841"/>
  <c r="X840"/>
  <c r="X839"/>
  <c r="X838"/>
  <c r="X837"/>
  <c r="X836"/>
  <c r="X835"/>
  <c r="X834"/>
  <c r="X833"/>
  <c r="X832"/>
  <c r="X831"/>
  <c r="X830"/>
  <c r="X829"/>
  <c r="X828"/>
  <c r="X827"/>
  <c r="X826"/>
  <c r="X825"/>
  <c r="X824"/>
  <c r="X823"/>
  <c r="X822"/>
  <c r="X821"/>
  <c r="X820"/>
  <c r="X819"/>
  <c r="X818"/>
  <c r="X817"/>
  <c r="X816"/>
  <c r="X815"/>
  <c r="X814"/>
  <c r="X813"/>
  <c r="X812"/>
  <c r="X811"/>
  <c r="X810"/>
  <c r="X809"/>
  <c r="X808"/>
  <c r="X807"/>
  <c r="X806"/>
  <c r="X805"/>
  <c r="X804"/>
  <c r="X803"/>
  <c r="X802"/>
  <c r="X801"/>
  <c r="X800"/>
  <c r="X799"/>
  <c r="X798"/>
  <c r="X797"/>
  <c r="X796"/>
  <c r="X795"/>
  <c r="X794"/>
  <c r="X793"/>
  <c r="X792"/>
  <c r="X791"/>
  <c r="X790"/>
  <c r="X789"/>
  <c r="X788"/>
  <c r="X787"/>
  <c r="X786"/>
  <c r="X785"/>
  <c r="X784"/>
  <c r="X783"/>
  <c r="X782"/>
  <c r="X781"/>
  <c r="X780"/>
  <c r="X779"/>
  <c r="X778"/>
  <c r="X777"/>
  <c r="X776"/>
  <c r="X775"/>
  <c r="X774"/>
  <c r="X773"/>
  <c r="X772"/>
  <c r="X771"/>
  <c r="X770"/>
  <c r="X769"/>
  <c r="X768"/>
  <c r="X767"/>
  <c r="X766"/>
  <c r="X765"/>
  <c r="X764"/>
  <c r="X763"/>
  <c r="X762"/>
  <c r="X761"/>
  <c r="X760"/>
  <c r="X759"/>
  <c r="X758"/>
  <c r="X757"/>
  <c r="X756"/>
  <c r="X755"/>
  <c r="X754"/>
  <c r="X753"/>
  <c r="X752"/>
  <c r="X751"/>
  <c r="X750"/>
  <c r="X749"/>
  <c r="X748"/>
  <c r="X747"/>
  <c r="X746"/>
  <c r="X745"/>
  <c r="X744"/>
  <c r="X743"/>
  <c r="X742"/>
  <c r="X741"/>
  <c r="X740"/>
  <c r="X739"/>
  <c r="X738"/>
  <c r="X737"/>
  <c r="X736"/>
  <c r="X735"/>
  <c r="X734"/>
  <c r="X733"/>
  <c r="X732"/>
  <c r="X731"/>
  <c r="X730"/>
  <c r="X729"/>
  <c r="X728"/>
  <c r="X727"/>
  <c r="X726"/>
  <c r="X725"/>
  <c r="X724"/>
  <c r="X723"/>
  <c r="X722"/>
  <c r="X721"/>
  <c r="X720"/>
  <c r="X719"/>
  <c r="X718"/>
  <c r="X717"/>
  <c r="X716"/>
  <c r="X715"/>
  <c r="X714"/>
  <c r="X713"/>
  <c r="X712"/>
  <c r="X711"/>
  <c r="X710"/>
  <c r="X709"/>
  <c r="X708"/>
  <c r="X707"/>
  <c r="X706"/>
  <c r="X705"/>
  <c r="X704"/>
  <c r="X703"/>
  <c r="X702"/>
  <c r="X701"/>
  <c r="X700"/>
  <c r="X699"/>
  <c r="X698"/>
  <c r="X697"/>
  <c r="X696"/>
  <c r="X695"/>
  <c r="X694"/>
  <c r="X693"/>
  <c r="X692"/>
  <c r="X691"/>
  <c r="X690"/>
  <c r="X689"/>
  <c r="X688"/>
  <c r="X687"/>
  <c r="X686"/>
  <c r="X685"/>
  <c r="X684"/>
  <c r="X683"/>
  <c r="X682"/>
  <c r="X681"/>
  <c r="X680"/>
  <c r="X679"/>
  <c r="X678"/>
  <c r="X677"/>
  <c r="X676"/>
  <c r="X675"/>
  <c r="X674"/>
  <c r="X673"/>
  <c r="X672"/>
  <c r="X671"/>
  <c r="X670"/>
  <c r="X669"/>
  <c r="X668"/>
  <c r="X667"/>
  <c r="X666"/>
  <c r="X665"/>
  <c r="X664"/>
  <c r="X663"/>
  <c r="X662"/>
  <c r="X661"/>
  <c r="X660"/>
  <c r="X659"/>
  <c r="X658"/>
  <c r="X657"/>
  <c r="X656"/>
  <c r="X655"/>
  <c r="X654"/>
  <c r="X653"/>
  <c r="X652"/>
  <c r="X651"/>
  <c r="X650"/>
  <c r="X649"/>
  <c r="X648"/>
  <c r="X647"/>
  <c r="X646"/>
  <c r="X645"/>
  <c r="X644"/>
  <c r="X643"/>
  <c r="X642"/>
  <c r="X641"/>
  <c r="X640"/>
  <c r="X639"/>
  <c r="X638"/>
  <c r="X637"/>
  <c r="X636"/>
  <c r="X635"/>
  <c r="X634"/>
  <c r="X633"/>
  <c r="X632"/>
  <c r="X631"/>
  <c r="X630"/>
  <c r="X629"/>
  <c r="X628"/>
  <c r="X627"/>
  <c r="X626"/>
  <c r="X625"/>
  <c r="X624"/>
  <c r="X623"/>
  <c r="X622"/>
  <c r="X621"/>
  <c r="X620"/>
  <c r="X619"/>
  <c r="X618"/>
  <c r="X617"/>
  <c r="X616"/>
  <c r="X615"/>
  <c r="X614"/>
  <c r="X613"/>
  <c r="X612"/>
  <c r="X611"/>
  <c r="X610"/>
  <c r="X609"/>
  <c r="X608"/>
  <c r="X607"/>
  <c r="X606"/>
  <c r="X605"/>
  <c r="X604"/>
  <c r="X603"/>
  <c r="X602"/>
  <c r="X601"/>
  <c r="X600"/>
  <c r="X599"/>
  <c r="X598"/>
  <c r="X597"/>
  <c r="X596"/>
  <c r="X595"/>
  <c r="X594"/>
  <c r="X593"/>
  <c r="X592"/>
  <c r="X591"/>
  <c r="X590"/>
  <c r="X589"/>
  <c r="X588"/>
  <c r="X587"/>
  <c r="X586"/>
  <c r="X585"/>
  <c r="X584"/>
  <c r="X583"/>
  <c r="X582"/>
  <c r="X581"/>
  <c r="X580"/>
  <c r="X579"/>
  <c r="X578"/>
  <c r="X577"/>
  <c r="X576"/>
  <c r="X575"/>
  <c r="X574"/>
  <c r="X573"/>
  <c r="X572"/>
  <c r="X571"/>
  <c r="X570"/>
  <c r="X569"/>
  <c r="X568"/>
  <c r="X567"/>
  <c r="X566"/>
  <c r="X565"/>
  <c r="X564"/>
  <c r="X563"/>
  <c r="X562"/>
  <c r="X561"/>
  <c r="X560"/>
  <c r="X559"/>
  <c r="X558"/>
  <c r="X557"/>
  <c r="X556"/>
  <c r="X555"/>
  <c r="X554"/>
  <c r="X553"/>
  <c r="X552"/>
  <c r="X551"/>
  <c r="X550"/>
  <c r="X549"/>
  <c r="X548"/>
  <c r="X547"/>
  <c r="X546"/>
  <c r="X545"/>
  <c r="X544"/>
  <c r="X543"/>
  <c r="X542"/>
  <c r="X541"/>
  <c r="X540"/>
  <c r="X539"/>
  <c r="X538"/>
  <c r="X537"/>
  <c r="X536"/>
  <c r="X535"/>
  <c r="X534"/>
  <c r="X533"/>
  <c r="X532"/>
  <c r="X531"/>
  <c r="X530"/>
  <c r="X529"/>
  <c r="X528"/>
  <c r="X527"/>
  <c r="X526"/>
  <c r="X525"/>
  <c r="X524"/>
  <c r="X523"/>
  <c r="X522"/>
  <c r="X521"/>
  <c r="X520"/>
  <c r="X519"/>
  <c r="X518"/>
  <c r="X517"/>
  <c r="X516"/>
  <c r="X515"/>
  <c r="X514"/>
  <c r="X513"/>
  <c r="X512"/>
  <c r="X511"/>
  <c r="X510"/>
  <c r="X509"/>
  <c r="X508"/>
  <c r="X507"/>
  <c r="X506"/>
  <c r="X505"/>
  <c r="X504"/>
  <c r="X503"/>
  <c r="X502"/>
  <c r="X501"/>
  <c r="X500"/>
  <c r="X499"/>
  <c r="X498"/>
  <c r="X497"/>
  <c r="X496"/>
  <c r="X495"/>
  <c r="X494"/>
  <c r="X493"/>
  <c r="X492"/>
  <c r="X491"/>
  <c r="X490"/>
  <c r="X489"/>
  <c r="X488"/>
  <c r="X487"/>
  <c r="X486"/>
  <c r="X485"/>
  <c r="X484"/>
  <c r="X483"/>
  <c r="X482"/>
  <c r="X481"/>
  <c r="X480"/>
  <c r="X479"/>
  <c r="X478"/>
  <c r="X477"/>
  <c r="X476"/>
  <c r="X475"/>
  <c r="X474"/>
  <c r="X473"/>
  <c r="X472"/>
  <c r="X471"/>
  <c r="X470"/>
  <c r="X469"/>
  <c r="X468"/>
  <c r="X467"/>
  <c r="X466"/>
  <c r="X465"/>
  <c r="X464"/>
  <c r="X463"/>
  <c r="X462"/>
  <c r="X461"/>
  <c r="X460"/>
  <c r="X459"/>
  <c r="X458"/>
  <c r="X457"/>
  <c r="X456"/>
  <c r="X455"/>
  <c r="X454"/>
  <c r="X453"/>
  <c r="X452"/>
  <c r="X451"/>
  <c r="X450"/>
  <c r="X449"/>
  <c r="X448"/>
  <c r="X447"/>
  <c r="X446"/>
  <c r="X445"/>
  <c r="X444"/>
  <c r="X443"/>
  <c r="X442"/>
  <c r="X441"/>
  <c r="X440"/>
  <c r="X439"/>
  <c r="X438"/>
  <c r="X437"/>
  <c r="X436"/>
  <c r="X435"/>
  <c r="X434"/>
  <c r="X433"/>
  <c r="X432"/>
  <c r="X431"/>
  <c r="X430"/>
  <c r="X429"/>
  <c r="X428"/>
  <c r="X427"/>
  <c r="X426"/>
  <c r="X425"/>
  <c r="X424"/>
  <c r="X423"/>
  <c r="X422"/>
  <c r="X421"/>
  <c r="X420"/>
  <c r="X419"/>
  <c r="X418"/>
  <c r="X417"/>
  <c r="X416"/>
  <c r="X415"/>
  <c r="X414"/>
  <c r="X413"/>
  <c r="X412"/>
  <c r="X411"/>
  <c r="X410"/>
  <c r="X409"/>
  <c r="X408"/>
  <c r="X407"/>
  <c r="X406"/>
  <c r="X405"/>
  <c r="X404"/>
  <c r="X403"/>
  <c r="X402"/>
  <c r="X401"/>
  <c r="X400"/>
  <c r="X399"/>
  <c r="X398"/>
  <c r="X397"/>
  <c r="X396"/>
  <c r="X395"/>
  <c r="X394"/>
  <c r="X393"/>
  <c r="X392"/>
  <c r="X391"/>
  <c r="X390"/>
  <c r="X389"/>
  <c r="X388"/>
  <c r="X387"/>
  <c r="X386"/>
  <c r="X385"/>
  <c r="X384"/>
  <c r="X383"/>
  <c r="X382"/>
  <c r="X381"/>
  <c r="X380"/>
  <c r="X379"/>
  <c r="X378"/>
  <c r="X377"/>
  <c r="X376"/>
  <c r="X375"/>
  <c r="X374"/>
  <c r="X373"/>
  <c r="X372"/>
  <c r="X371"/>
  <c r="X370"/>
  <c r="X369"/>
  <c r="X368"/>
  <c r="X367"/>
  <c r="X366"/>
  <c r="X365"/>
  <c r="X364"/>
  <c r="X363"/>
  <c r="X362"/>
  <c r="X361"/>
  <c r="X360"/>
  <c r="X359"/>
  <c r="X358"/>
  <c r="X357"/>
  <c r="X356"/>
  <c r="X355"/>
  <c r="X354"/>
  <c r="X353"/>
  <c r="X352"/>
  <c r="X351"/>
  <c r="X350"/>
  <c r="X349"/>
  <c r="X348"/>
  <c r="X347"/>
  <c r="X346"/>
  <c r="X345"/>
  <c r="X344"/>
  <c r="X343"/>
  <c r="X342"/>
  <c r="X341"/>
  <c r="X340"/>
  <c r="X339"/>
  <c r="X338"/>
  <c r="X337"/>
  <c r="X336"/>
  <c r="X335"/>
  <c r="X334"/>
  <c r="X333"/>
  <c r="X332"/>
  <c r="X331"/>
  <c r="X330"/>
  <c r="X329"/>
  <c r="X328"/>
  <c r="X327"/>
  <c r="X326"/>
  <c r="X325"/>
  <c r="X324"/>
  <c r="X323"/>
  <c r="X322"/>
  <c r="X321"/>
  <c r="X320"/>
  <c r="X319"/>
  <c r="X318"/>
  <c r="X317"/>
  <c r="X316"/>
  <c r="X315"/>
  <c r="X314"/>
  <c r="X313"/>
  <c r="X312"/>
  <c r="X311"/>
  <c r="X310"/>
  <c r="X309"/>
  <c r="X308"/>
  <c r="X307"/>
  <c r="X306"/>
  <c r="X305"/>
  <c r="X304"/>
  <c r="X303"/>
  <c r="X302"/>
  <c r="X301"/>
  <c r="X300"/>
  <c r="X299"/>
  <c r="X298"/>
  <c r="X297"/>
  <c r="X296"/>
  <c r="X295"/>
  <c r="X294"/>
  <c r="X293"/>
  <c r="X292"/>
  <c r="X291"/>
  <c r="X290"/>
  <c r="X289"/>
  <c r="X288"/>
  <c r="X287"/>
  <c r="X286"/>
  <c r="X285"/>
  <c r="X284"/>
  <c r="X283"/>
  <c r="X282"/>
  <c r="X281"/>
  <c r="X280"/>
  <c r="X279"/>
  <c r="X278"/>
  <c r="X277"/>
  <c r="X276"/>
  <c r="X275"/>
  <c r="X274"/>
  <c r="X273"/>
  <c r="X272"/>
  <c r="X271"/>
  <c r="X270"/>
  <c r="X269"/>
  <c r="X268"/>
  <c r="X267"/>
  <c r="X266"/>
  <c r="X265"/>
  <c r="X264"/>
  <c r="X263"/>
  <c r="X262"/>
  <c r="X261"/>
  <c r="X260"/>
  <c r="X259"/>
  <c r="X258"/>
  <c r="X257"/>
  <c r="X256"/>
  <c r="X255"/>
  <c r="X254"/>
  <c r="X253"/>
  <c r="X252"/>
  <c r="X251"/>
  <c r="X250"/>
  <c r="X249"/>
  <c r="X248"/>
  <c r="X247"/>
  <c r="X246"/>
  <c r="X245"/>
  <c r="X244"/>
  <c r="X243"/>
  <c r="X242"/>
  <c r="X241"/>
  <c r="X240"/>
  <c r="X239"/>
  <c r="X238"/>
  <c r="X237"/>
  <c r="X236"/>
  <c r="X235"/>
  <c r="X234"/>
  <c r="X233"/>
  <c r="X232"/>
  <c r="X231"/>
  <c r="X230"/>
  <c r="X229"/>
  <c r="X228"/>
  <c r="X227"/>
  <c r="X226"/>
  <c r="X225"/>
  <c r="X224"/>
  <c r="X223"/>
  <c r="X222"/>
  <c r="X221"/>
  <c r="X220"/>
  <c r="X219"/>
  <c r="X218"/>
  <c r="X217"/>
  <c r="X216"/>
  <c r="X215"/>
  <c r="X214"/>
  <c r="X213"/>
  <c r="X212"/>
  <c r="X211"/>
  <c r="X210"/>
  <c r="X209"/>
  <c r="X208"/>
  <c r="X207"/>
  <c r="X206"/>
  <c r="X205"/>
  <c r="X204"/>
  <c r="X203"/>
  <c r="X202"/>
  <c r="X201"/>
  <c r="X200"/>
  <c r="X199"/>
  <c r="X198"/>
  <c r="X197"/>
  <c r="X196"/>
  <c r="X195"/>
  <c r="X194"/>
  <c r="X193"/>
  <c r="X192"/>
  <c r="X191"/>
  <c r="X190"/>
  <c r="X189"/>
  <c r="X188"/>
  <c r="X187"/>
  <c r="X186"/>
  <c r="X185"/>
  <c r="X184"/>
  <c r="X183"/>
  <c r="X182"/>
  <c r="X181"/>
  <c r="X180"/>
  <c r="X179"/>
  <c r="X178"/>
  <c r="X177"/>
  <c r="X176"/>
  <c r="X175"/>
  <c r="X174"/>
  <c r="X173"/>
  <c r="X172"/>
  <c r="X171"/>
  <c r="X170"/>
  <c r="X169"/>
  <c r="X168"/>
  <c r="X167"/>
  <c r="X166"/>
  <c r="X165"/>
  <c r="X164"/>
  <c r="X163"/>
  <c r="X162"/>
  <c r="X161"/>
  <c r="X160"/>
  <c r="X159"/>
  <c r="X158"/>
  <c r="X157"/>
  <c r="X156"/>
  <c r="X155"/>
  <c r="X154"/>
  <c r="X153"/>
  <c r="X152"/>
  <c r="X151"/>
  <c r="X150"/>
  <c r="X149"/>
  <c r="X148"/>
  <c r="X147"/>
  <c r="X146"/>
  <c r="X145"/>
  <c r="X144"/>
  <c r="X143"/>
  <c r="X142"/>
  <c r="X141"/>
  <c r="X140"/>
  <c r="X139"/>
  <c r="X138"/>
  <c r="X137"/>
  <c r="X136"/>
  <c r="X135"/>
  <c r="X134"/>
  <c r="X133"/>
  <c r="X132"/>
  <c r="X131"/>
  <c r="X130"/>
  <c r="X129"/>
  <c r="X128"/>
  <c r="X127"/>
  <c r="X126"/>
  <c r="X125"/>
  <c r="X124"/>
  <c r="X123"/>
  <c r="X122"/>
  <c r="X121"/>
  <c r="X120"/>
  <c r="X119"/>
  <c r="X118"/>
  <c r="X117"/>
  <c r="X116"/>
  <c r="X115"/>
  <c r="X114"/>
  <c r="X113"/>
  <c r="X112"/>
  <c r="X111"/>
  <c r="X110"/>
  <c r="X109"/>
  <c r="X108"/>
  <c r="X107"/>
  <c r="X106"/>
  <c r="X105"/>
  <c r="X104"/>
  <c r="X103"/>
  <c r="X102"/>
  <c r="X101"/>
  <c r="X100"/>
  <c r="X99"/>
  <c r="X98"/>
  <c r="X97"/>
  <c r="X96"/>
  <c r="X95"/>
  <c r="X94"/>
  <c r="X93"/>
  <c r="X92"/>
  <c r="X91"/>
  <c r="X90"/>
  <c r="X89"/>
  <c r="X88"/>
  <c r="X87"/>
  <c r="X86"/>
  <c r="X85"/>
  <c r="X84"/>
  <c r="X83"/>
  <c r="X82"/>
  <c r="X81"/>
  <c r="X80"/>
  <c r="X79"/>
  <c r="X78"/>
  <c r="X77"/>
  <c r="X76"/>
  <c r="X75"/>
  <c r="X74"/>
  <c r="X73"/>
  <c r="X72"/>
  <c r="X71"/>
  <c r="X70"/>
  <c r="X69"/>
  <c r="X68"/>
  <c r="X67"/>
  <c r="X66"/>
  <c r="X65"/>
  <c r="X64"/>
  <c r="X63"/>
  <c r="X62"/>
  <c r="X61"/>
  <c r="X60"/>
  <c r="X59"/>
  <c r="X58"/>
  <c r="X57"/>
  <c r="X56"/>
  <c r="X55"/>
  <c r="X54"/>
  <c r="X53"/>
  <c r="X52"/>
  <c r="X51"/>
  <c r="X50"/>
  <c r="X49"/>
  <c r="X48"/>
  <c r="X47"/>
  <c r="X46"/>
  <c r="X45"/>
  <c r="X44"/>
  <c r="X43"/>
  <c r="X42"/>
  <c r="X41"/>
  <c r="X40"/>
  <c r="X39"/>
  <c r="X38"/>
  <c r="X37"/>
  <c r="X36"/>
  <c r="X35"/>
  <c r="X34"/>
  <c r="X33"/>
  <c r="X32"/>
  <c r="X31"/>
  <c r="X30"/>
  <c r="X29"/>
  <c r="X28"/>
  <c r="X27"/>
  <c r="X26"/>
  <c r="X25"/>
  <c r="X24"/>
  <c r="X23"/>
  <c r="X22"/>
  <c r="X21"/>
  <c r="X20"/>
  <c r="X19"/>
  <c r="X18"/>
  <c r="X17"/>
  <c r="X16"/>
  <c r="X15"/>
  <c r="X14"/>
  <c r="X13"/>
  <c r="X12"/>
  <c r="X11"/>
  <c r="X10"/>
  <c r="X9"/>
  <c r="A19" i="41" l="1"/>
  <c r="A20"/>
  <c r="A18"/>
  <c r="A19" i="33"/>
  <c r="A19" i="27"/>
  <c r="A21"/>
  <c r="A19" i="35"/>
  <c r="A18" i="33"/>
  <c r="A20"/>
  <c r="A20" i="27"/>
  <c r="A18" i="35"/>
  <c r="A20"/>
  <c r="K9" i="13"/>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42"/>
  <c r="K243"/>
  <c r="K244"/>
  <c r="K245"/>
  <c r="K246"/>
  <c r="K247"/>
  <c r="K248"/>
  <c r="K249"/>
  <c r="K250"/>
  <c r="K251"/>
  <c r="K252"/>
  <c r="K253"/>
  <c r="K254"/>
  <c r="K255"/>
  <c r="K256"/>
  <c r="K257"/>
  <c r="K258"/>
  <c r="K259"/>
  <c r="K260"/>
  <c r="K261"/>
  <c r="K262"/>
  <c r="K263"/>
  <c r="K264"/>
  <c r="K265"/>
  <c r="K266"/>
  <c r="K267"/>
  <c r="K268"/>
  <c r="K269"/>
  <c r="K270"/>
  <c r="K271"/>
  <c r="K272"/>
  <c r="K273"/>
  <c r="K274"/>
  <c r="K275"/>
  <c r="K276"/>
  <c r="K277"/>
  <c r="K278"/>
  <c r="K279"/>
  <c r="K280"/>
  <c r="K281"/>
  <c r="K282"/>
  <c r="K283"/>
  <c r="K284"/>
  <c r="K285"/>
  <c r="K286"/>
  <c r="K287"/>
  <c r="K288"/>
  <c r="K289"/>
  <c r="K290"/>
  <c r="K291"/>
  <c r="K292"/>
  <c r="K293"/>
  <c r="K294"/>
  <c r="K295"/>
  <c r="K296"/>
  <c r="K297"/>
  <c r="K298"/>
  <c r="K299"/>
  <c r="K300"/>
  <c r="K301"/>
  <c r="K302"/>
  <c r="K303"/>
  <c r="K304"/>
  <c r="K305"/>
  <c r="K306"/>
  <c r="K307"/>
  <c r="K308"/>
  <c r="K309"/>
  <c r="K310"/>
  <c r="K311"/>
  <c r="K312"/>
  <c r="K313"/>
  <c r="K314"/>
  <c r="K315"/>
  <c r="K316"/>
  <c r="K317"/>
  <c r="K318"/>
  <c r="K319"/>
  <c r="K320"/>
  <c r="K321"/>
  <c r="K322"/>
  <c r="K323"/>
  <c r="K324"/>
  <c r="K325"/>
  <c r="K326"/>
  <c r="K327"/>
  <c r="K328"/>
  <c r="K329"/>
  <c r="K330"/>
  <c r="K331"/>
  <c r="K332"/>
  <c r="K333"/>
  <c r="K334"/>
  <c r="K335"/>
  <c r="K336"/>
  <c r="K337"/>
  <c r="K338"/>
  <c r="K339"/>
  <c r="K340"/>
  <c r="K341"/>
  <c r="K342"/>
  <c r="K343"/>
  <c r="K344"/>
  <c r="K345"/>
  <c r="K346"/>
  <c r="K347"/>
  <c r="K348"/>
  <c r="K349"/>
  <c r="K350"/>
  <c r="K351"/>
  <c r="K352"/>
  <c r="K353"/>
  <c r="K354"/>
  <c r="K355"/>
  <c r="K356"/>
  <c r="K357"/>
  <c r="K358"/>
  <c r="K359"/>
  <c r="K360"/>
  <c r="K361"/>
  <c r="K362"/>
  <c r="K363"/>
  <c r="K364"/>
  <c r="K365"/>
  <c r="K366"/>
  <c r="K367"/>
  <c r="K368"/>
  <c r="K369"/>
  <c r="K370"/>
  <c r="K371"/>
  <c r="K372"/>
  <c r="K373"/>
  <c r="K374"/>
  <c r="K375"/>
  <c r="K376"/>
  <c r="K377"/>
  <c r="K378"/>
  <c r="K379"/>
  <c r="K380"/>
  <c r="K381"/>
  <c r="K382"/>
  <c r="K383"/>
  <c r="K384"/>
  <c r="K385"/>
  <c r="K386"/>
  <c r="K387"/>
  <c r="K388"/>
  <c r="K389"/>
  <c r="K390"/>
  <c r="K391"/>
  <c r="K392"/>
  <c r="K393"/>
  <c r="K394"/>
  <c r="K395"/>
  <c r="K396"/>
  <c r="K397"/>
  <c r="K398"/>
  <c r="K399"/>
  <c r="K400"/>
  <c r="K401"/>
  <c r="K402"/>
  <c r="K403"/>
  <c r="K404"/>
  <c r="K405"/>
  <c r="K406"/>
  <c r="K407"/>
  <c r="K408"/>
  <c r="K409"/>
  <c r="K410"/>
  <c r="K411"/>
  <c r="K412"/>
  <c r="K413"/>
  <c r="K414"/>
  <c r="K415"/>
  <c r="K416"/>
  <c r="K417"/>
  <c r="K418"/>
  <c r="K419"/>
  <c r="K420"/>
  <c r="K421"/>
  <c r="K422"/>
  <c r="K423"/>
  <c r="K424"/>
  <c r="K425"/>
  <c r="K426"/>
  <c r="K427"/>
  <c r="K428"/>
  <c r="K429"/>
  <c r="K430"/>
  <c r="K431"/>
  <c r="K432"/>
  <c r="K433"/>
  <c r="K434"/>
  <c r="K435"/>
  <c r="K436"/>
  <c r="K437"/>
  <c r="K438"/>
  <c r="K439"/>
  <c r="K440"/>
  <c r="K441"/>
  <c r="K442"/>
  <c r="K443"/>
  <c r="K444"/>
  <c r="K445"/>
  <c r="K446"/>
  <c r="K447"/>
  <c r="K448"/>
  <c r="K449"/>
  <c r="K450"/>
  <c r="K451"/>
  <c r="K452"/>
  <c r="K453"/>
  <c r="K454"/>
  <c r="K455"/>
  <c r="K456"/>
  <c r="K457"/>
  <c r="K458"/>
  <c r="K459"/>
  <c r="K460"/>
  <c r="K461"/>
  <c r="K462"/>
  <c r="K463"/>
  <c r="K464"/>
  <c r="K465"/>
  <c r="K466"/>
  <c r="K467"/>
  <c r="K468"/>
  <c r="K469"/>
  <c r="K470"/>
  <c r="K471"/>
  <c r="K472"/>
  <c r="K473"/>
  <c r="K474"/>
  <c r="K475"/>
  <c r="K476"/>
  <c r="K477"/>
  <c r="K478"/>
  <c r="K479"/>
  <c r="K480"/>
  <c r="K481"/>
  <c r="K482"/>
  <c r="K483"/>
  <c r="K484"/>
  <c r="K485"/>
  <c r="K486"/>
  <c r="K487"/>
  <c r="K488"/>
  <c r="K489"/>
  <c r="K490"/>
  <c r="K491"/>
  <c r="K492"/>
  <c r="K493"/>
  <c r="K494"/>
  <c r="K495"/>
  <c r="K496"/>
  <c r="K497"/>
  <c r="K498"/>
  <c r="K499"/>
  <c r="K500"/>
  <c r="K501"/>
  <c r="K502"/>
  <c r="K503"/>
  <c r="K504"/>
  <c r="K505"/>
  <c r="K506"/>
  <c r="K507"/>
  <c r="K508"/>
  <c r="K509"/>
  <c r="K510"/>
  <c r="K511"/>
  <c r="K512"/>
  <c r="K513"/>
  <c r="K514"/>
  <c r="K515"/>
  <c r="K516"/>
  <c r="K517"/>
  <c r="K518"/>
  <c r="K519"/>
  <c r="K520"/>
  <c r="K521"/>
  <c r="K522"/>
  <c r="K523"/>
  <c r="K524"/>
  <c r="K525"/>
  <c r="K526"/>
  <c r="K527"/>
  <c r="K528"/>
  <c r="K529"/>
  <c r="K530"/>
  <c r="K531"/>
  <c r="K532"/>
  <c r="K533"/>
  <c r="K534"/>
  <c r="K535"/>
  <c r="K536"/>
  <c r="K537"/>
  <c r="K538"/>
  <c r="K539"/>
  <c r="K540"/>
  <c r="K541"/>
  <c r="K542"/>
  <c r="K543"/>
  <c r="K544"/>
  <c r="K545"/>
  <c r="K546"/>
  <c r="K547"/>
  <c r="K548"/>
  <c r="K549"/>
  <c r="K550"/>
  <c r="K551"/>
  <c r="K552"/>
  <c r="K553"/>
  <c r="K554"/>
  <c r="K555"/>
  <c r="K556"/>
  <c r="K557"/>
  <c r="K558"/>
  <c r="K559"/>
  <c r="K560"/>
  <c r="K561"/>
  <c r="K562"/>
  <c r="K563"/>
  <c r="K564"/>
  <c r="K565"/>
  <c r="K566"/>
  <c r="K567"/>
  <c r="K568"/>
  <c r="K569"/>
  <c r="K570"/>
  <c r="K571"/>
  <c r="K572"/>
  <c r="K573"/>
  <c r="K574"/>
  <c r="K575"/>
  <c r="K576"/>
  <c r="K577"/>
  <c r="K578"/>
  <c r="K579"/>
  <c r="K580"/>
  <c r="K581"/>
  <c r="K582"/>
  <c r="K583"/>
  <c r="K584"/>
  <c r="K585"/>
  <c r="K586"/>
  <c r="K587"/>
  <c r="K588"/>
  <c r="K589"/>
  <c r="K590"/>
  <c r="K591"/>
  <c r="K592"/>
  <c r="K593"/>
  <c r="K594"/>
  <c r="K595"/>
  <c r="K596"/>
  <c r="K597"/>
  <c r="K598"/>
  <c r="K599"/>
  <c r="K600"/>
  <c r="K601"/>
  <c r="K602"/>
  <c r="K603"/>
  <c r="K604"/>
  <c r="K605"/>
  <c r="K606"/>
  <c r="K607"/>
  <c r="K608"/>
  <c r="K609"/>
  <c r="K610"/>
  <c r="K611"/>
  <c r="K612"/>
  <c r="K613"/>
  <c r="K614"/>
  <c r="K615"/>
  <c r="K616"/>
  <c r="K617"/>
  <c r="K618"/>
  <c r="K619"/>
  <c r="K620"/>
  <c r="K621"/>
  <c r="K622"/>
  <c r="K623"/>
  <c r="K624"/>
  <c r="K625"/>
  <c r="K626"/>
  <c r="K627"/>
  <c r="K628"/>
  <c r="K629"/>
  <c r="K630"/>
  <c r="K631"/>
  <c r="K632"/>
  <c r="K633"/>
  <c r="K634"/>
  <c r="K635"/>
  <c r="K636"/>
  <c r="K637"/>
  <c r="K638"/>
  <c r="K639"/>
  <c r="K640"/>
  <c r="K641"/>
  <c r="K642"/>
  <c r="K643"/>
  <c r="K644"/>
  <c r="K645"/>
  <c r="K646"/>
  <c r="K647"/>
  <c r="K648"/>
  <c r="K649"/>
  <c r="K650"/>
  <c r="K651"/>
  <c r="K652"/>
  <c r="K653"/>
  <c r="K654"/>
  <c r="K655"/>
  <c r="K656"/>
  <c r="K657"/>
  <c r="K658"/>
  <c r="K659"/>
  <c r="K660"/>
  <c r="K661"/>
  <c r="K662"/>
  <c r="K663"/>
  <c r="K664"/>
  <c r="K665"/>
  <c r="K666"/>
  <c r="K667"/>
  <c r="K668"/>
  <c r="K669"/>
  <c r="K670"/>
  <c r="K671"/>
  <c r="K672"/>
  <c r="K673"/>
  <c r="K674"/>
  <c r="K675"/>
  <c r="K676"/>
  <c r="K677"/>
  <c r="K678"/>
  <c r="K679"/>
  <c r="K680"/>
  <c r="K681"/>
  <c r="K682"/>
  <c r="K683"/>
  <c r="K684"/>
  <c r="K685"/>
  <c r="K686"/>
  <c r="K687"/>
  <c r="K688"/>
  <c r="K689"/>
  <c r="K690"/>
  <c r="K691"/>
  <c r="K692"/>
  <c r="K693"/>
  <c r="K694"/>
  <c r="K695"/>
  <c r="K696"/>
  <c r="K697"/>
  <c r="K698"/>
  <c r="K699"/>
  <c r="K700"/>
  <c r="K701"/>
  <c r="K702"/>
  <c r="K703"/>
  <c r="K704"/>
  <c r="K705"/>
  <c r="K706"/>
  <c r="K707"/>
  <c r="K708"/>
  <c r="K709"/>
  <c r="K710"/>
  <c r="K711"/>
  <c r="K712"/>
  <c r="K713"/>
  <c r="K714"/>
  <c r="K715"/>
  <c r="K716"/>
  <c r="K717"/>
  <c r="K718"/>
  <c r="K719"/>
  <c r="K720"/>
  <c r="K721"/>
  <c r="K722"/>
  <c r="K723"/>
  <c r="K724"/>
  <c r="K725"/>
  <c r="K726"/>
  <c r="K727"/>
  <c r="K728"/>
  <c r="K729"/>
  <c r="K730"/>
  <c r="K731"/>
  <c r="K732"/>
  <c r="K733"/>
  <c r="K734"/>
  <c r="K735"/>
  <c r="K736"/>
  <c r="K737"/>
  <c r="K738"/>
  <c r="K739"/>
  <c r="K740"/>
  <c r="K741"/>
  <c r="K742"/>
  <c r="K743"/>
  <c r="K744"/>
  <c r="K745"/>
  <c r="K746"/>
  <c r="K747"/>
  <c r="K748"/>
  <c r="K749"/>
  <c r="K750"/>
  <c r="K751"/>
  <c r="K752"/>
  <c r="K753"/>
  <c r="K754"/>
  <c r="K755"/>
  <c r="K756"/>
  <c r="K757"/>
  <c r="K758"/>
  <c r="K759"/>
  <c r="K760"/>
  <c r="K761"/>
  <c r="K762"/>
  <c r="K763"/>
  <c r="K764"/>
  <c r="K765"/>
  <c r="K766"/>
  <c r="K767"/>
  <c r="K768"/>
  <c r="K769"/>
  <c r="K770"/>
  <c r="K771"/>
  <c r="K772"/>
  <c r="K773"/>
  <c r="K774"/>
  <c r="K775"/>
  <c r="K776"/>
  <c r="K777"/>
  <c r="K778"/>
  <c r="K779"/>
  <c r="K780"/>
  <c r="K781"/>
  <c r="K782"/>
  <c r="K783"/>
  <c r="K784"/>
  <c r="K785"/>
  <c r="K786"/>
  <c r="K787"/>
  <c r="K788"/>
  <c r="K789"/>
  <c r="K790"/>
  <c r="K791"/>
  <c r="K792"/>
  <c r="K793"/>
  <c r="K794"/>
  <c r="K795"/>
  <c r="K796"/>
  <c r="K797"/>
  <c r="K798"/>
  <c r="K799"/>
  <c r="K800"/>
  <c r="K801"/>
  <c r="K802"/>
  <c r="K803"/>
  <c r="K804"/>
  <c r="K805"/>
  <c r="K806"/>
  <c r="K807"/>
  <c r="K808"/>
  <c r="K809"/>
  <c r="K810"/>
  <c r="K811"/>
  <c r="K812"/>
  <c r="K813"/>
  <c r="K814"/>
  <c r="K815"/>
  <c r="K816"/>
  <c r="K817"/>
  <c r="K818"/>
  <c r="K819"/>
  <c r="K820"/>
  <c r="K821"/>
  <c r="K822"/>
  <c r="K823"/>
  <c r="K824"/>
  <c r="K825"/>
  <c r="K826"/>
  <c r="K827"/>
  <c r="K828"/>
  <c r="K829"/>
  <c r="K830"/>
  <c r="K831"/>
  <c r="K832"/>
  <c r="K833"/>
  <c r="K834"/>
  <c r="K835"/>
  <c r="K836"/>
  <c r="K837"/>
  <c r="K838"/>
  <c r="K839"/>
  <c r="K840"/>
  <c r="K841"/>
  <c r="K842"/>
  <c r="K843"/>
  <c r="K844"/>
  <c r="K845"/>
  <c r="K846"/>
  <c r="K847"/>
  <c r="K848"/>
  <c r="K849"/>
  <c r="K850"/>
  <c r="K851"/>
  <c r="K852"/>
  <c r="K853"/>
  <c r="K854"/>
  <c r="K855"/>
  <c r="K856"/>
  <c r="K857"/>
  <c r="K858"/>
  <c r="K859"/>
  <c r="K860"/>
  <c r="K861"/>
  <c r="K862"/>
  <c r="K863"/>
  <c r="K864"/>
  <c r="K865"/>
  <c r="K866"/>
  <c r="K867"/>
  <c r="K868"/>
  <c r="K869"/>
  <c r="K870"/>
  <c r="K871"/>
  <c r="K872"/>
  <c r="K873"/>
  <c r="K874"/>
  <c r="K875"/>
  <c r="K876"/>
  <c r="K877"/>
  <c r="K878"/>
  <c r="K879"/>
  <c r="K880"/>
  <c r="K881"/>
  <c r="K882"/>
  <c r="K883"/>
  <c r="K884"/>
  <c r="K885"/>
  <c r="K886"/>
  <c r="K887"/>
  <c r="K888"/>
  <c r="K889"/>
  <c r="K890"/>
  <c r="K891"/>
  <c r="K892"/>
  <c r="K893"/>
  <c r="K894"/>
  <c r="K895"/>
  <c r="K896"/>
  <c r="K897"/>
  <c r="K898"/>
  <c r="K899"/>
  <c r="K900"/>
  <c r="K901"/>
  <c r="K902"/>
  <c r="K903"/>
  <c r="K904"/>
  <c r="K905"/>
  <c r="K906"/>
  <c r="K907"/>
  <c r="K908"/>
  <c r="K909"/>
  <c r="K910"/>
  <c r="K911"/>
  <c r="K912"/>
  <c r="K913"/>
  <c r="K914"/>
  <c r="K915"/>
  <c r="K916"/>
  <c r="K917"/>
  <c r="K918"/>
  <c r="K919"/>
  <c r="K920"/>
  <c r="K921"/>
  <c r="K922"/>
  <c r="K923"/>
  <c r="K924"/>
  <c r="K925"/>
  <c r="K926"/>
  <c r="K927"/>
  <c r="K928"/>
  <c r="K929"/>
  <c r="K930"/>
  <c r="K931"/>
  <c r="K932"/>
  <c r="K933"/>
  <c r="K934"/>
  <c r="K935"/>
  <c r="K936"/>
  <c r="K937"/>
  <c r="K938"/>
  <c r="K939"/>
  <c r="K940"/>
  <c r="K941"/>
  <c r="K942"/>
  <c r="K943"/>
  <c r="K944"/>
  <c r="K945"/>
  <c r="K946"/>
  <c r="K947"/>
  <c r="K948"/>
  <c r="K949"/>
  <c r="K950"/>
  <c r="K951"/>
  <c r="K952"/>
  <c r="K953"/>
  <c r="K954"/>
  <c r="K955"/>
  <c r="K956"/>
  <c r="K957"/>
  <c r="K958"/>
  <c r="K959"/>
  <c r="K960"/>
  <c r="K961"/>
  <c r="K962"/>
  <c r="K963"/>
  <c r="K964"/>
  <c r="K965"/>
  <c r="K966"/>
  <c r="K967"/>
  <c r="K968"/>
  <c r="K969"/>
  <c r="K970"/>
  <c r="K971"/>
  <c r="K972"/>
  <c r="K973"/>
  <c r="K974"/>
  <c r="K975"/>
  <c r="K976"/>
  <c r="K977"/>
  <c r="K978"/>
  <c r="K979"/>
  <c r="K980"/>
  <c r="K981"/>
  <c r="K982"/>
  <c r="K983"/>
  <c r="K984"/>
  <c r="K985"/>
  <c r="K986"/>
  <c r="K987"/>
  <c r="K988"/>
  <c r="K989"/>
  <c r="K990"/>
  <c r="K991"/>
  <c r="K992"/>
  <c r="K993"/>
  <c r="K994"/>
  <c r="K995"/>
  <c r="K996"/>
  <c r="K997"/>
  <c r="K998"/>
  <c r="K999"/>
  <c r="K1000"/>
  <c r="K1001"/>
  <c r="K1002"/>
  <c r="K1003"/>
  <c r="K1004"/>
  <c r="K1005"/>
  <c r="K1006"/>
  <c r="K1007"/>
  <c r="K1008"/>
  <c r="A270" i="29" l="1"/>
  <c r="A264"/>
  <c r="A258"/>
  <c r="A252"/>
  <c r="A246"/>
  <c r="A240"/>
  <c r="A234"/>
  <c r="A228"/>
  <c r="A222"/>
  <c r="A216"/>
  <c r="A210"/>
  <c r="A204"/>
  <c r="A198"/>
  <c r="A192"/>
  <c r="A186"/>
  <c r="A180"/>
  <c r="A174"/>
  <c r="A168"/>
  <c r="A162"/>
  <c r="A156"/>
  <c r="BF10" i="13"/>
  <c r="BC20"/>
  <c r="BE20" s="1"/>
  <c r="BI20" s="1"/>
  <c r="A43" i="33"/>
  <c r="A42"/>
  <c r="A41"/>
  <c r="A40"/>
  <c r="A39"/>
  <c r="A38" i="25"/>
  <c r="A37"/>
  <c r="A36"/>
  <c r="A34"/>
  <c r="A200" i="33"/>
  <c r="A194"/>
  <c r="A188"/>
  <c r="A182"/>
  <c r="A176"/>
  <c r="A170"/>
  <c r="A164"/>
  <c r="A158"/>
  <c r="A152"/>
  <c r="A146"/>
  <c r="A140"/>
  <c r="A134"/>
  <c r="A128"/>
  <c r="A122"/>
  <c r="A116"/>
  <c r="A60"/>
  <c r="A57"/>
  <c r="A54"/>
  <c r="A53" i="25"/>
  <c r="A51"/>
  <c r="A49"/>
  <c r="A51" i="33"/>
  <c r="A50"/>
  <c r="A49"/>
  <c r="A48"/>
  <c r="A46" i="25"/>
  <c r="A45"/>
  <c r="A44"/>
  <c r="A43"/>
  <c r="A27" i="33"/>
  <c r="A27" i="25"/>
  <c r="A26" i="33"/>
  <c r="A25"/>
  <c r="A24"/>
  <c r="A23"/>
  <c r="A22"/>
  <c r="A21"/>
  <c r="A17"/>
  <c r="A16"/>
  <c r="A15"/>
  <c r="A14"/>
  <c r="A13"/>
  <c r="A10"/>
  <c r="A15" i="25"/>
  <c r="A14"/>
  <c r="A13"/>
  <c r="A10"/>
  <c r="T42" i="14"/>
  <c r="AZ54" i="13"/>
  <c r="AZ46"/>
  <c r="AZ47"/>
  <c r="AZ48"/>
  <c r="AZ49"/>
  <c r="AZ50"/>
  <c r="AZ51"/>
  <c r="AZ52"/>
  <c r="AZ53"/>
  <c r="AZ45"/>
  <c r="AB9" i="17"/>
  <c r="AB10"/>
  <c r="AB11"/>
  <c r="AB12"/>
  <c r="AB13"/>
  <c r="AB14"/>
  <c r="AB15"/>
  <c r="AB16"/>
  <c r="AB17"/>
  <c r="AB18"/>
  <c r="AB19"/>
  <c r="AB20"/>
  <c r="AB21"/>
  <c r="AB22"/>
  <c r="AB23"/>
  <c r="AB24"/>
  <c r="AB25"/>
  <c r="AB26"/>
  <c r="AB27"/>
  <c r="AB8"/>
  <c r="A203" i="41" l="1"/>
  <c r="A252" i="45"/>
  <c r="A161" i="25"/>
  <c r="A176" i="35"/>
  <c r="A227" i="27"/>
  <c r="A227" i="29"/>
  <c r="A187" i="33"/>
  <c r="AB28" i="17"/>
  <c r="S103" i="32"/>
  <c r="S104"/>
  <c r="S105"/>
  <c r="S106"/>
  <c r="S107"/>
  <c r="S108"/>
  <c r="S109"/>
  <c r="S110"/>
  <c r="S111"/>
  <c r="S112"/>
  <c r="S113"/>
  <c r="S114"/>
  <c r="S115"/>
  <c r="S116"/>
  <c r="S117"/>
  <c r="S118"/>
  <c r="S119"/>
  <c r="S120"/>
  <c r="S121"/>
  <c r="S102"/>
  <c r="G94"/>
  <c r="G92"/>
  <c r="K92" s="1"/>
  <c r="G90"/>
  <c r="V71"/>
  <c r="V90"/>
  <c r="O84"/>
  <c r="V84"/>
  <c r="G84"/>
  <c r="O50"/>
  <c r="K50"/>
  <c r="G50"/>
  <c r="G54"/>
  <c r="G52"/>
  <c r="G65"/>
  <c r="S65"/>
  <c r="S63"/>
  <c r="S61"/>
  <c r="S59"/>
  <c r="G63"/>
  <c r="G61"/>
  <c r="G59"/>
  <c r="G43"/>
  <c r="G41"/>
  <c r="O43"/>
  <c r="O41"/>
  <c r="V39"/>
  <c r="O39"/>
  <c r="G39"/>
  <c r="O31"/>
  <c r="O29"/>
  <c r="G29"/>
  <c r="B4" i="23"/>
  <c r="B4" i="21"/>
  <c r="A81" i="29"/>
  <c r="A79"/>
  <c r="A77"/>
  <c r="A75"/>
  <c r="A73"/>
  <c r="A71"/>
  <c r="A69"/>
  <c r="A67"/>
  <c r="A65"/>
  <c r="A60"/>
  <c r="A59"/>
  <c r="A58"/>
  <c r="A57"/>
  <c r="A52"/>
  <c r="A51"/>
  <c r="A50"/>
  <c r="A49"/>
  <c r="A48"/>
  <c r="A37"/>
  <c r="A36"/>
  <c r="A35"/>
  <c r="A30"/>
  <c r="A29"/>
  <c r="A28"/>
  <c r="A27"/>
  <c r="A26"/>
  <c r="A18"/>
  <c r="A16"/>
  <c r="A15"/>
  <c r="A14"/>
  <c r="A11"/>
  <c r="A270" i="27"/>
  <c r="A264"/>
  <c r="A258"/>
  <c r="A252"/>
  <c r="A246"/>
  <c r="A240"/>
  <c r="A234"/>
  <c r="A228"/>
  <c r="A222"/>
  <c r="A216"/>
  <c r="A210"/>
  <c r="A204"/>
  <c r="A198"/>
  <c r="A192"/>
  <c r="A186"/>
  <c r="A180"/>
  <c r="A174"/>
  <c r="A168"/>
  <c r="A162"/>
  <c r="A156"/>
  <c r="A81"/>
  <c r="A79"/>
  <c r="A77"/>
  <c r="A75"/>
  <c r="A73"/>
  <c r="A71"/>
  <c r="A69"/>
  <c r="A67"/>
  <c r="A65"/>
  <c r="A60"/>
  <c r="A59"/>
  <c r="A58"/>
  <c r="A57"/>
  <c r="A52"/>
  <c r="A51"/>
  <c r="A50"/>
  <c r="A49"/>
  <c r="A48"/>
  <c r="A37"/>
  <c r="A36"/>
  <c r="A35"/>
  <c r="A30"/>
  <c r="A29"/>
  <c r="A28"/>
  <c r="A27"/>
  <c r="A26"/>
  <c r="A25"/>
  <c r="A24"/>
  <c r="A23"/>
  <c r="A22"/>
  <c r="A18"/>
  <c r="A17"/>
  <c r="A16"/>
  <c r="A15"/>
  <c r="A14"/>
  <c r="A11"/>
  <c r="A174" i="25"/>
  <c r="A168"/>
  <c r="A162"/>
  <c r="A156"/>
  <c r="A150"/>
  <c r="A144"/>
  <c r="A138"/>
  <c r="A132"/>
  <c r="A126"/>
  <c r="A120"/>
  <c r="A114"/>
  <c r="A108"/>
  <c r="A102"/>
  <c r="A96"/>
  <c r="A90"/>
  <c r="A35"/>
  <c r="A26"/>
  <c r="A25"/>
  <c r="A17"/>
  <c r="BK7" i="22"/>
  <c r="BK8" s="1"/>
  <c r="AM6"/>
  <c r="AM7" s="1"/>
  <c r="AL6"/>
  <c r="AL7" s="1"/>
  <c r="AK6"/>
  <c r="AK7" s="1"/>
  <c r="AJ6"/>
  <c r="AJ7" s="1"/>
  <c r="AI6"/>
  <c r="AI7" s="1"/>
  <c r="AH6"/>
  <c r="AH7" s="1"/>
  <c r="AG6"/>
  <c r="AG7" s="1"/>
  <c r="AF6"/>
  <c r="AF7" s="1"/>
  <c r="AE6"/>
  <c r="AE7" s="1"/>
  <c r="AD6"/>
  <c r="AD7" s="1"/>
  <c r="AC6"/>
  <c r="AC7" s="1"/>
  <c r="AB6"/>
  <c r="AB7" s="1"/>
  <c r="AA6"/>
  <c r="AA7" s="1"/>
  <c r="Z6"/>
  <c r="Z7" s="1"/>
  <c r="Y6"/>
  <c r="Y7" s="1"/>
  <c r="X6"/>
  <c r="X7" s="1"/>
  <c r="W6"/>
  <c r="W7" s="1"/>
  <c r="V6"/>
  <c r="V7" s="1"/>
  <c r="U6"/>
  <c r="U7" s="1"/>
  <c r="T6"/>
  <c r="T7" s="1"/>
  <c r="S6"/>
  <c r="S7" s="1"/>
  <c r="R6"/>
  <c r="R7" s="1"/>
  <c r="Q6"/>
  <c r="Q7" s="1"/>
  <c r="P6"/>
  <c r="P7" s="1"/>
  <c r="O6"/>
  <c r="O7" s="1"/>
  <c r="N6"/>
  <c r="N7" s="1"/>
  <c r="M6"/>
  <c r="M7" s="1"/>
  <c r="L6"/>
  <c r="L7" s="1"/>
  <c r="K6"/>
  <c r="K7" s="1"/>
  <c r="J6"/>
  <c r="J7" s="1"/>
  <c r="I6"/>
  <c r="I7" s="1"/>
  <c r="AM5"/>
  <c r="AL5"/>
  <c r="AK5"/>
  <c r="AJ5"/>
  <c r="AI5"/>
  <c r="AH5"/>
  <c r="AG5"/>
  <c r="AF5"/>
  <c r="AE5"/>
  <c r="AD5"/>
  <c r="AC5"/>
  <c r="AB5"/>
  <c r="AA5"/>
  <c r="Z5"/>
  <c r="Y5"/>
  <c r="X5"/>
  <c r="W5"/>
  <c r="V5"/>
  <c r="U5"/>
  <c r="T5"/>
  <c r="S5"/>
  <c r="R5"/>
  <c r="Q5"/>
  <c r="P5"/>
  <c r="O5"/>
  <c r="N5"/>
  <c r="M5"/>
  <c r="L5"/>
  <c r="K5"/>
  <c r="J5"/>
  <c r="I5"/>
  <c r="AM4"/>
  <c r="AL4"/>
  <c r="AK4"/>
  <c r="AJ4"/>
  <c r="AI4"/>
  <c r="AH4"/>
  <c r="AG4"/>
  <c r="AF4"/>
  <c r="AE4"/>
  <c r="AD4"/>
  <c r="AC4"/>
  <c r="AB4"/>
  <c r="AA4"/>
  <c r="Z4"/>
  <c r="Y4"/>
  <c r="X4"/>
  <c r="W4"/>
  <c r="V4"/>
  <c r="U4"/>
  <c r="T4"/>
  <c r="S4"/>
  <c r="R4"/>
  <c r="Q4"/>
  <c r="P4"/>
  <c r="O4"/>
  <c r="N4"/>
  <c r="M4"/>
  <c r="L4"/>
  <c r="K4"/>
  <c r="J4"/>
  <c r="I4"/>
  <c r="BC27" i="13"/>
  <c r="BE27" s="1"/>
  <c r="BI27" s="1"/>
  <c r="BC26"/>
  <c r="BE26" s="1"/>
  <c r="BI26" s="1"/>
  <c r="BC25"/>
  <c r="BE25" s="1"/>
  <c r="BI25" s="1"/>
  <c r="BC24"/>
  <c r="BE24" s="1"/>
  <c r="BI24" s="1"/>
  <c r="BC23"/>
  <c r="BE23" s="1"/>
  <c r="BI23" s="1"/>
  <c r="BC22"/>
  <c r="BE22" s="1"/>
  <c r="BI22" s="1"/>
  <c r="BC21"/>
  <c r="BE21" s="1"/>
  <c r="BI21" s="1"/>
  <c r="BC19"/>
  <c r="BE19" s="1"/>
  <c r="BI19" s="1"/>
  <c r="BC18"/>
  <c r="BE18" s="1"/>
  <c r="BI18" s="1"/>
  <c r="BC17"/>
  <c r="BE17" s="1"/>
  <c r="BI17" s="1"/>
  <c r="BC16"/>
  <c r="BE16" s="1"/>
  <c r="BI16" s="1"/>
  <c r="BC15"/>
  <c r="BE15" s="1"/>
  <c r="BI15" s="1"/>
  <c r="BC14"/>
  <c r="BE14" s="1"/>
  <c r="BI14" s="1"/>
  <c r="BC13"/>
  <c r="BE13" s="1"/>
  <c r="BI13" s="1"/>
  <c r="BC12"/>
  <c r="BE12" s="1"/>
  <c r="BI12" s="1"/>
  <c r="BC11"/>
  <c r="BE11" s="1"/>
  <c r="BI11" s="1"/>
  <c r="BC10"/>
  <c r="BE10" s="1"/>
  <c r="BI10" s="1"/>
  <c r="BC9"/>
  <c r="BE9" s="1"/>
  <c r="BI9" s="1"/>
  <c r="BC8"/>
  <c r="BE8" s="1"/>
  <c r="BI8" s="1"/>
  <c r="F27" i="17"/>
  <c r="F26"/>
  <c r="F25"/>
  <c r="F24"/>
  <c r="F23"/>
  <c r="F22"/>
  <c r="F21"/>
  <c r="F20"/>
  <c r="F19"/>
  <c r="F18"/>
  <c r="F17"/>
  <c r="F16"/>
  <c r="F15"/>
  <c r="F14"/>
  <c r="F13"/>
  <c r="F12"/>
  <c r="F11"/>
  <c r="F10"/>
  <c r="F9"/>
  <c r="F8"/>
  <c r="F35" s="1"/>
  <c r="F54"/>
  <c r="F53"/>
  <c r="F52"/>
  <c r="F51"/>
  <c r="F50"/>
  <c r="F49"/>
  <c r="F48"/>
  <c r="F47"/>
  <c r="F46"/>
  <c r="F45"/>
  <c r="F44"/>
  <c r="F43"/>
  <c r="F42"/>
  <c r="F41"/>
  <c r="F40"/>
  <c r="F39"/>
  <c r="F38"/>
  <c r="F37"/>
  <c r="F36"/>
  <c r="G35" i="23"/>
  <c r="F35"/>
  <c r="E35"/>
  <c r="D35"/>
  <c r="G34"/>
  <c r="F34"/>
  <c r="E34"/>
  <c r="D34"/>
  <c r="G33"/>
  <c r="F33"/>
  <c r="E33"/>
  <c r="D33"/>
  <c r="G32"/>
  <c r="F32"/>
  <c r="E32"/>
  <c r="D32"/>
  <c r="G31"/>
  <c r="F31"/>
  <c r="E31"/>
  <c r="D31"/>
  <c r="G30"/>
  <c r="F30"/>
  <c r="E30"/>
  <c r="D30"/>
  <c r="G29"/>
  <c r="F29"/>
  <c r="E29"/>
  <c r="D29"/>
  <c r="G28"/>
  <c r="F28"/>
  <c r="E28"/>
  <c r="D28"/>
  <c r="G27"/>
  <c r="F27"/>
  <c r="E27"/>
  <c r="D27"/>
  <c r="G26"/>
  <c r="F26"/>
  <c r="E26"/>
  <c r="D26"/>
  <c r="G25"/>
  <c r="F25"/>
  <c r="E25"/>
  <c r="D25"/>
  <c r="G24"/>
  <c r="F24"/>
  <c r="E24"/>
  <c r="D24"/>
  <c r="G23"/>
  <c r="F23"/>
  <c r="E23"/>
  <c r="D23"/>
  <c r="G22"/>
  <c r="F22"/>
  <c r="E22"/>
  <c r="D22"/>
  <c r="G21"/>
  <c r="F21"/>
  <c r="E21"/>
  <c r="D21"/>
  <c r="G20"/>
  <c r="F20"/>
  <c r="E20"/>
  <c r="D20"/>
  <c r="G19"/>
  <c r="F19"/>
  <c r="E19"/>
  <c r="D19"/>
  <c r="G18"/>
  <c r="F18"/>
  <c r="E18"/>
  <c r="D18"/>
  <c r="G17"/>
  <c r="F17"/>
  <c r="E17"/>
  <c r="D17"/>
  <c r="G16"/>
  <c r="F16"/>
  <c r="E16"/>
  <c r="D16"/>
  <c r="CA1015"/>
  <c r="CA1014"/>
  <c r="CA1013"/>
  <c r="CA1012"/>
  <c r="CA1011"/>
  <c r="CA1010"/>
  <c r="CA1009"/>
  <c r="CA1008"/>
  <c r="CA1007"/>
  <c r="CA1006"/>
  <c r="CA1005"/>
  <c r="CA1004"/>
  <c r="CA1003"/>
  <c r="CA1002"/>
  <c r="CA1001"/>
  <c r="CA1000"/>
  <c r="CA999"/>
  <c r="CA998"/>
  <c r="CA997"/>
  <c r="CA996"/>
  <c r="CA995"/>
  <c r="CA994"/>
  <c r="CA993"/>
  <c r="CA992"/>
  <c r="CA991"/>
  <c r="CA990"/>
  <c r="CA989"/>
  <c r="CA988"/>
  <c r="CA987"/>
  <c r="CA986"/>
  <c r="CA985"/>
  <c r="CA984"/>
  <c r="CA983"/>
  <c r="CA982"/>
  <c r="CA981"/>
  <c r="CA980"/>
  <c r="CA979"/>
  <c r="CA978"/>
  <c r="CA977"/>
  <c r="CA976"/>
  <c r="CA975"/>
  <c r="CA974"/>
  <c r="CA973"/>
  <c r="CA972"/>
  <c r="CA971"/>
  <c r="CA970"/>
  <c r="CA969"/>
  <c r="CA968"/>
  <c r="CA967"/>
  <c r="CA966"/>
  <c r="CA965"/>
  <c r="CA964"/>
  <c r="CA963"/>
  <c r="CA962"/>
  <c r="CA961"/>
  <c r="CA960"/>
  <c r="CA959"/>
  <c r="CA958"/>
  <c r="CA957"/>
  <c r="CA956"/>
  <c r="CA955"/>
  <c r="CA954"/>
  <c r="CA953"/>
  <c r="CA952"/>
  <c r="CA951"/>
  <c r="CA950"/>
  <c r="CA949"/>
  <c r="CA948"/>
  <c r="CA947"/>
  <c r="CA946"/>
  <c r="CA945"/>
  <c r="CA944"/>
  <c r="CA943"/>
  <c r="CA942"/>
  <c r="CA941"/>
  <c r="CA940"/>
  <c r="CA939"/>
  <c r="CA938"/>
  <c r="CA937"/>
  <c r="CA936"/>
  <c r="CA935"/>
  <c r="CA934"/>
  <c r="CA933"/>
  <c r="CA932"/>
  <c r="CA931"/>
  <c r="CA930"/>
  <c r="CA929"/>
  <c r="CA928"/>
  <c r="CA927"/>
  <c r="CA926"/>
  <c r="CA925"/>
  <c r="CA924"/>
  <c r="CA923"/>
  <c r="CA922"/>
  <c r="CA921"/>
  <c r="CA920"/>
  <c r="CA919"/>
  <c r="CA918"/>
  <c r="CA917"/>
  <c r="CA916"/>
  <c r="CA915"/>
  <c r="CA914"/>
  <c r="CA913"/>
  <c r="CA912"/>
  <c r="CA911"/>
  <c r="CA910"/>
  <c r="CA909"/>
  <c r="CA908"/>
  <c r="CA907"/>
  <c r="CA906"/>
  <c r="CA905"/>
  <c r="CA904"/>
  <c r="CA903"/>
  <c r="CA902"/>
  <c r="CA901"/>
  <c r="CA900"/>
  <c r="CA899"/>
  <c r="CA898"/>
  <c r="CA897"/>
  <c r="CA896"/>
  <c r="CA895"/>
  <c r="CA894"/>
  <c r="CA893"/>
  <c r="CA892"/>
  <c r="CA891"/>
  <c r="CA890"/>
  <c r="CA889"/>
  <c r="CA888"/>
  <c r="CA887"/>
  <c r="CA886"/>
  <c r="CA885"/>
  <c r="CA884"/>
  <c r="CA883"/>
  <c r="CA882"/>
  <c r="CA881"/>
  <c r="CA880"/>
  <c r="CA879"/>
  <c r="CA878"/>
  <c r="CA877"/>
  <c r="CA876"/>
  <c r="CA875"/>
  <c r="CA874"/>
  <c r="CA873"/>
  <c r="CA872"/>
  <c r="CA871"/>
  <c r="CA870"/>
  <c r="CA869"/>
  <c r="CA868"/>
  <c r="CA867"/>
  <c r="CA866"/>
  <c r="CA865"/>
  <c r="CA864"/>
  <c r="CA863"/>
  <c r="CA862"/>
  <c r="CA861"/>
  <c r="CA860"/>
  <c r="CA859"/>
  <c r="CA858"/>
  <c r="CA857"/>
  <c r="CA856"/>
  <c r="CA855"/>
  <c r="CA854"/>
  <c r="CA853"/>
  <c r="CA852"/>
  <c r="CA851"/>
  <c r="CA850"/>
  <c r="CA849"/>
  <c r="CA848"/>
  <c r="CA847"/>
  <c r="CA846"/>
  <c r="CA845"/>
  <c r="CA844"/>
  <c r="CA843"/>
  <c r="CA842"/>
  <c r="CA841"/>
  <c r="CA840"/>
  <c r="CA839"/>
  <c r="CA838"/>
  <c r="CA837"/>
  <c r="CA836"/>
  <c r="CA835"/>
  <c r="CA834"/>
  <c r="CA833"/>
  <c r="CA832"/>
  <c r="CA831"/>
  <c r="CA830"/>
  <c r="CA829"/>
  <c r="CA828"/>
  <c r="CA827"/>
  <c r="CA826"/>
  <c r="CA825"/>
  <c r="CA824"/>
  <c r="CA823"/>
  <c r="CA822"/>
  <c r="CA821"/>
  <c r="CA820"/>
  <c r="CA819"/>
  <c r="CA818"/>
  <c r="CA817"/>
  <c r="CA816"/>
  <c r="CA815"/>
  <c r="CA814"/>
  <c r="CA813"/>
  <c r="CA812"/>
  <c r="CA811"/>
  <c r="CA810"/>
  <c r="CA809"/>
  <c r="CA808"/>
  <c r="CA807"/>
  <c r="CA806"/>
  <c r="CA805"/>
  <c r="CA804"/>
  <c r="CA803"/>
  <c r="CA802"/>
  <c r="CA801"/>
  <c r="CA800"/>
  <c r="CA799"/>
  <c r="CA798"/>
  <c r="CA797"/>
  <c r="CA796"/>
  <c r="CA795"/>
  <c r="CA794"/>
  <c r="CA793"/>
  <c r="CA792"/>
  <c r="CA791"/>
  <c r="CA790"/>
  <c r="CA789"/>
  <c r="CA788"/>
  <c r="CA787"/>
  <c r="CA786"/>
  <c r="CA785"/>
  <c r="CA784"/>
  <c r="CA783"/>
  <c r="CA782"/>
  <c r="CA781"/>
  <c r="CA780"/>
  <c r="CA779"/>
  <c r="CA778"/>
  <c r="CA777"/>
  <c r="CA776"/>
  <c r="CA775"/>
  <c r="CA774"/>
  <c r="CA773"/>
  <c r="CA772"/>
  <c r="CA771"/>
  <c r="CA770"/>
  <c r="CA769"/>
  <c r="CA768"/>
  <c r="CA767"/>
  <c r="CA766"/>
  <c r="CA765"/>
  <c r="CA764"/>
  <c r="CA763"/>
  <c r="CA762"/>
  <c r="CA761"/>
  <c r="CA760"/>
  <c r="CA759"/>
  <c r="CA758"/>
  <c r="CA757"/>
  <c r="CA756"/>
  <c r="CA755"/>
  <c r="CA754"/>
  <c r="CA753"/>
  <c r="CA752"/>
  <c r="CA751"/>
  <c r="CA750"/>
  <c r="CA749"/>
  <c r="CA748"/>
  <c r="CA747"/>
  <c r="CA746"/>
  <c r="CA745"/>
  <c r="CA744"/>
  <c r="CA743"/>
  <c r="CA742"/>
  <c r="CA741"/>
  <c r="CA740"/>
  <c r="CA739"/>
  <c r="CA738"/>
  <c r="CA737"/>
  <c r="CA736"/>
  <c r="CA735"/>
  <c r="CA734"/>
  <c r="CA733"/>
  <c r="CA732"/>
  <c r="CA731"/>
  <c r="CA730"/>
  <c r="CA729"/>
  <c r="CA728"/>
  <c r="CA727"/>
  <c r="CA726"/>
  <c r="CA725"/>
  <c r="CA724"/>
  <c r="CA723"/>
  <c r="CA722"/>
  <c r="CA721"/>
  <c r="CA720"/>
  <c r="CA719"/>
  <c r="CA718"/>
  <c r="CA717"/>
  <c r="CA716"/>
  <c r="CA715"/>
  <c r="CA714"/>
  <c r="CA713"/>
  <c r="CA712"/>
  <c r="CA711"/>
  <c r="CA710"/>
  <c r="CA709"/>
  <c r="CA708"/>
  <c r="CA707"/>
  <c r="CA706"/>
  <c r="CA705"/>
  <c r="CA704"/>
  <c r="CA703"/>
  <c r="CA702"/>
  <c r="CA701"/>
  <c r="CA700"/>
  <c r="CA699"/>
  <c r="CA698"/>
  <c r="CA697"/>
  <c r="CA696"/>
  <c r="CA695"/>
  <c r="CA694"/>
  <c r="CA693"/>
  <c r="CA692"/>
  <c r="CA691"/>
  <c r="CA690"/>
  <c r="CA689"/>
  <c r="CA688"/>
  <c r="CA687"/>
  <c r="CA686"/>
  <c r="CA685"/>
  <c r="CA684"/>
  <c r="CA683"/>
  <c r="CA682"/>
  <c r="CA681"/>
  <c r="CA680"/>
  <c r="CA679"/>
  <c r="CA678"/>
  <c r="CA677"/>
  <c r="CA676"/>
  <c r="CA675"/>
  <c r="CA674"/>
  <c r="CA673"/>
  <c r="CA672"/>
  <c r="CA671"/>
  <c r="CA670"/>
  <c r="CA669"/>
  <c r="CA668"/>
  <c r="CA667"/>
  <c r="CA666"/>
  <c r="CA665"/>
  <c r="CA664"/>
  <c r="CA663"/>
  <c r="CA662"/>
  <c r="CA661"/>
  <c r="CA660"/>
  <c r="CA659"/>
  <c r="CA658"/>
  <c r="CA657"/>
  <c r="CA656"/>
  <c r="CA655"/>
  <c r="CA654"/>
  <c r="CA653"/>
  <c r="CA652"/>
  <c r="CA651"/>
  <c r="CA650"/>
  <c r="CA649"/>
  <c r="CA648"/>
  <c r="CA647"/>
  <c r="CA646"/>
  <c r="CA645"/>
  <c r="CA644"/>
  <c r="CA643"/>
  <c r="CA642"/>
  <c r="CA641"/>
  <c r="CA640"/>
  <c r="CA639"/>
  <c r="CA638"/>
  <c r="CA637"/>
  <c r="CA636"/>
  <c r="CA635"/>
  <c r="CA634"/>
  <c r="CA633"/>
  <c r="CA632"/>
  <c r="CA631"/>
  <c r="CA630"/>
  <c r="CA629"/>
  <c r="CA628"/>
  <c r="CA627"/>
  <c r="CA626"/>
  <c r="CA625"/>
  <c r="CA624"/>
  <c r="CA623"/>
  <c r="CA622"/>
  <c r="CA621"/>
  <c r="CA620"/>
  <c r="CA619"/>
  <c r="CA618"/>
  <c r="CA617"/>
  <c r="CA616"/>
  <c r="CA615"/>
  <c r="CA614"/>
  <c r="CA613"/>
  <c r="CA612"/>
  <c r="CA611"/>
  <c r="CA610"/>
  <c r="CA609"/>
  <c r="CA608"/>
  <c r="CA607"/>
  <c r="CA606"/>
  <c r="CA605"/>
  <c r="CA604"/>
  <c r="CA603"/>
  <c r="CA602"/>
  <c r="CA601"/>
  <c r="CA600"/>
  <c r="CA599"/>
  <c r="CA598"/>
  <c r="CA597"/>
  <c r="CA596"/>
  <c r="CA595"/>
  <c r="CA594"/>
  <c r="CA593"/>
  <c r="CA592"/>
  <c r="CA591"/>
  <c r="CA590"/>
  <c r="CA589"/>
  <c r="CA588"/>
  <c r="CA587"/>
  <c r="CA586"/>
  <c r="CA585"/>
  <c r="CA584"/>
  <c r="CA583"/>
  <c r="CA582"/>
  <c r="CA581"/>
  <c r="CA580"/>
  <c r="CA579"/>
  <c r="CA578"/>
  <c r="CA577"/>
  <c r="CA576"/>
  <c r="CA575"/>
  <c r="CA574"/>
  <c r="CA573"/>
  <c r="CA572"/>
  <c r="CA571"/>
  <c r="CA570"/>
  <c r="CA569"/>
  <c r="CA568"/>
  <c r="CA567"/>
  <c r="CA566"/>
  <c r="CA565"/>
  <c r="CA564"/>
  <c r="CA563"/>
  <c r="CA562"/>
  <c r="CA561"/>
  <c r="CA560"/>
  <c r="CA559"/>
  <c r="CA558"/>
  <c r="CA557"/>
  <c r="CA556"/>
  <c r="CA555"/>
  <c r="CA554"/>
  <c r="CA553"/>
  <c r="CA552"/>
  <c r="CA551"/>
  <c r="CA550"/>
  <c r="CA549"/>
  <c r="CA548"/>
  <c r="CA547"/>
  <c r="CA546"/>
  <c r="CA545"/>
  <c r="CA544"/>
  <c r="CA543"/>
  <c r="CA542"/>
  <c r="CA541"/>
  <c r="CA540"/>
  <c r="CA539"/>
  <c r="CA538"/>
  <c r="CA537"/>
  <c r="CA536"/>
  <c r="CA535"/>
  <c r="CA534"/>
  <c r="CA533"/>
  <c r="CA532"/>
  <c r="CA531"/>
  <c r="CA530"/>
  <c r="CA529"/>
  <c r="CA528"/>
  <c r="CA527"/>
  <c r="CA526"/>
  <c r="CA525"/>
  <c r="CA524"/>
  <c r="CA523"/>
  <c r="CA522"/>
  <c r="CA521"/>
  <c r="CA520"/>
  <c r="CA519"/>
  <c r="CA518"/>
  <c r="CA517"/>
  <c r="CA516"/>
  <c r="CA515"/>
  <c r="CA514"/>
  <c r="CA513"/>
  <c r="CA512"/>
  <c r="CA511"/>
  <c r="CA510"/>
  <c r="CA509"/>
  <c r="CA508"/>
  <c r="CA507"/>
  <c r="CA506"/>
  <c r="CA505"/>
  <c r="CA504"/>
  <c r="CA503"/>
  <c r="CA502"/>
  <c r="CA501"/>
  <c r="CA500"/>
  <c r="CA499"/>
  <c r="CA498"/>
  <c r="CA497"/>
  <c r="CA496"/>
  <c r="CA495"/>
  <c r="CA494"/>
  <c r="CA493"/>
  <c r="CA492"/>
  <c r="CA491"/>
  <c r="CA490"/>
  <c r="CA489"/>
  <c r="CA488"/>
  <c r="CA487"/>
  <c r="CA486"/>
  <c r="CA485"/>
  <c r="CA484"/>
  <c r="CA483"/>
  <c r="CA482"/>
  <c r="CA481"/>
  <c r="CA480"/>
  <c r="CA479"/>
  <c r="CA478"/>
  <c r="CA477"/>
  <c r="CA476"/>
  <c r="CA475"/>
  <c r="CA474"/>
  <c r="CA473"/>
  <c r="CA472"/>
  <c r="CA471"/>
  <c r="CA470"/>
  <c r="CA469"/>
  <c r="CA468"/>
  <c r="CA467"/>
  <c r="CA466"/>
  <c r="CA465"/>
  <c r="CA464"/>
  <c r="CA463"/>
  <c r="CA462"/>
  <c r="CA461"/>
  <c r="CA460"/>
  <c r="CA459"/>
  <c r="CA458"/>
  <c r="CA457"/>
  <c r="CA456"/>
  <c r="CA455"/>
  <c r="CA454"/>
  <c r="CA453"/>
  <c r="CA452"/>
  <c r="CA451"/>
  <c r="CA450"/>
  <c r="CA449"/>
  <c r="CA448"/>
  <c r="CA447"/>
  <c r="CA446"/>
  <c r="CA445"/>
  <c r="CA444"/>
  <c r="CA443"/>
  <c r="CA442"/>
  <c r="CA441"/>
  <c r="CA440"/>
  <c r="CA439"/>
  <c r="CA438"/>
  <c r="CA437"/>
  <c r="CA436"/>
  <c r="CA435"/>
  <c r="CA434"/>
  <c r="CA433"/>
  <c r="CA432"/>
  <c r="CA431"/>
  <c r="CA430"/>
  <c r="CA429"/>
  <c r="CA428"/>
  <c r="CA427"/>
  <c r="CA426"/>
  <c r="CA425"/>
  <c r="CA424"/>
  <c r="CA423"/>
  <c r="CA422"/>
  <c r="CA421"/>
  <c r="CA420"/>
  <c r="CA419"/>
  <c r="CA418"/>
  <c r="CA417"/>
  <c r="CA416"/>
  <c r="CA415"/>
  <c r="CA414"/>
  <c r="CA413"/>
  <c r="CA412"/>
  <c r="CA411"/>
  <c r="CA410"/>
  <c r="CA409"/>
  <c r="CA408"/>
  <c r="CA407"/>
  <c r="CA406"/>
  <c r="CA405"/>
  <c r="CA404"/>
  <c r="CA403"/>
  <c r="CA402"/>
  <c r="CA401"/>
  <c r="CA400"/>
  <c r="CA399"/>
  <c r="CA398"/>
  <c r="CA397"/>
  <c r="CA396"/>
  <c r="CA395"/>
  <c r="CA394"/>
  <c r="CA393"/>
  <c r="CA392"/>
  <c r="CA391"/>
  <c r="CA390"/>
  <c r="CA389"/>
  <c r="CA388"/>
  <c r="CA387"/>
  <c r="CA386"/>
  <c r="CA385"/>
  <c r="CA384"/>
  <c r="CA383"/>
  <c r="CA382"/>
  <c r="CA381"/>
  <c r="CA380"/>
  <c r="CA379"/>
  <c r="CA378"/>
  <c r="CA377"/>
  <c r="CA376"/>
  <c r="CA375"/>
  <c r="CA374"/>
  <c r="CA373"/>
  <c r="CA372"/>
  <c r="CA371"/>
  <c r="CA370"/>
  <c r="CA369"/>
  <c r="CA368"/>
  <c r="CA367"/>
  <c r="CA366"/>
  <c r="CA365"/>
  <c r="CA364"/>
  <c r="CA363"/>
  <c r="CA362"/>
  <c r="CA361"/>
  <c r="CA360"/>
  <c r="CA359"/>
  <c r="CA358"/>
  <c r="CA357"/>
  <c r="CA356"/>
  <c r="CA355"/>
  <c r="CA354"/>
  <c r="CA353"/>
  <c r="CA352"/>
  <c r="CA351"/>
  <c r="CA350"/>
  <c r="CA349"/>
  <c r="CA348"/>
  <c r="CA347"/>
  <c r="CA346"/>
  <c r="CA345"/>
  <c r="CA344"/>
  <c r="CA343"/>
  <c r="CA342"/>
  <c r="CA341"/>
  <c r="CA340"/>
  <c r="CA339"/>
  <c r="CA338"/>
  <c r="CA337"/>
  <c r="CA336"/>
  <c r="CA335"/>
  <c r="CA334"/>
  <c r="CA333"/>
  <c r="CA332"/>
  <c r="CA331"/>
  <c r="CA330"/>
  <c r="CA329"/>
  <c r="CA328"/>
  <c r="CA327"/>
  <c r="CA326"/>
  <c r="CA325"/>
  <c r="CA324"/>
  <c r="CA323"/>
  <c r="CA322"/>
  <c r="CA321"/>
  <c r="CA320"/>
  <c r="CA319"/>
  <c r="CA318"/>
  <c r="CA317"/>
  <c r="CA316"/>
  <c r="CA315"/>
  <c r="CA314"/>
  <c r="CA313"/>
  <c r="CA312"/>
  <c r="CA311"/>
  <c r="CA310"/>
  <c r="CA309"/>
  <c r="CA308"/>
  <c r="CA307"/>
  <c r="CA306"/>
  <c r="CA305"/>
  <c r="CA304"/>
  <c r="CA303"/>
  <c r="CA302"/>
  <c r="CA301"/>
  <c r="CA300"/>
  <c r="CA299"/>
  <c r="CA298"/>
  <c r="CA297"/>
  <c r="CA296"/>
  <c r="CA295"/>
  <c r="CA294"/>
  <c r="CA293"/>
  <c r="CA292"/>
  <c r="CA291"/>
  <c r="CA290"/>
  <c r="CA289"/>
  <c r="CA288"/>
  <c r="CA287"/>
  <c r="CA286"/>
  <c r="CA285"/>
  <c r="CA284"/>
  <c r="CA283"/>
  <c r="CA282"/>
  <c r="CA281"/>
  <c r="CA280"/>
  <c r="CA279"/>
  <c r="CA278"/>
  <c r="CA277"/>
  <c r="CA276"/>
  <c r="CA275"/>
  <c r="CA274"/>
  <c r="CA273"/>
  <c r="CA272"/>
  <c r="CA271"/>
  <c r="CA270"/>
  <c r="CA269"/>
  <c r="CA268"/>
  <c r="CA267"/>
  <c r="CA266"/>
  <c r="CA265"/>
  <c r="CA264"/>
  <c r="CA263"/>
  <c r="CA262"/>
  <c r="CA261"/>
  <c r="CA260"/>
  <c r="CA259"/>
  <c r="CA258"/>
  <c r="CA257"/>
  <c r="CA256"/>
  <c r="CA255"/>
  <c r="CA254"/>
  <c r="CA253"/>
  <c r="CA252"/>
  <c r="CA251"/>
  <c r="CA250"/>
  <c r="CA249"/>
  <c r="CA248"/>
  <c r="CA247"/>
  <c r="CA246"/>
  <c r="CA245"/>
  <c r="CA244"/>
  <c r="CA243"/>
  <c r="CA242"/>
  <c r="CA241"/>
  <c r="CA240"/>
  <c r="CA239"/>
  <c r="CA238"/>
  <c r="CA237"/>
  <c r="CA236"/>
  <c r="CA235"/>
  <c r="CA234"/>
  <c r="CA233"/>
  <c r="CA232"/>
  <c r="CA231"/>
  <c r="CA230"/>
  <c r="CA229"/>
  <c r="CA228"/>
  <c r="CA227"/>
  <c r="CA226"/>
  <c r="CA225"/>
  <c r="CA224"/>
  <c r="CA223"/>
  <c r="CA222"/>
  <c r="CA221"/>
  <c r="CA220"/>
  <c r="CA219"/>
  <c r="CA218"/>
  <c r="CA217"/>
  <c r="CA216"/>
  <c r="CA215"/>
  <c r="CA214"/>
  <c r="CA213"/>
  <c r="CA212"/>
  <c r="CA211"/>
  <c r="CA210"/>
  <c r="CA209"/>
  <c r="CA208"/>
  <c r="CA207"/>
  <c r="CA206"/>
  <c r="CA205"/>
  <c r="CA204"/>
  <c r="CA203"/>
  <c r="CA202"/>
  <c r="CA201"/>
  <c r="CA200"/>
  <c r="CA199"/>
  <c r="CA198"/>
  <c r="CA197"/>
  <c r="CA196"/>
  <c r="CA195"/>
  <c r="CA194"/>
  <c r="CA193"/>
  <c r="CA192"/>
  <c r="CA191"/>
  <c r="CA190"/>
  <c r="CA189"/>
  <c r="CA188"/>
  <c r="CA187"/>
  <c r="CA186"/>
  <c r="CA185"/>
  <c r="CA184"/>
  <c r="CA183"/>
  <c r="CA182"/>
  <c r="CA181"/>
  <c r="CA180"/>
  <c r="CA179"/>
  <c r="CA178"/>
  <c r="CA177"/>
  <c r="CA176"/>
  <c r="CA175"/>
  <c r="CA174"/>
  <c r="CA173"/>
  <c r="CA172"/>
  <c r="CA171"/>
  <c r="CA170"/>
  <c r="CA169"/>
  <c r="CA168"/>
  <c r="CA167"/>
  <c r="CA166"/>
  <c r="CA165"/>
  <c r="CA164"/>
  <c r="CA163"/>
  <c r="CA162"/>
  <c r="CA161"/>
  <c r="CA160"/>
  <c r="CA159"/>
  <c r="CA158"/>
  <c r="CA157"/>
  <c r="CA156"/>
  <c r="CA155"/>
  <c r="CA154"/>
  <c r="CA153"/>
  <c r="CA152"/>
  <c r="CA151"/>
  <c r="CA150"/>
  <c r="CA149"/>
  <c r="CA148"/>
  <c r="CA147"/>
  <c r="CA146"/>
  <c r="CA145"/>
  <c r="CA144"/>
  <c r="CA143"/>
  <c r="CA142"/>
  <c r="CA141"/>
  <c r="CA140"/>
  <c r="CA139"/>
  <c r="CA138"/>
  <c r="CA137"/>
  <c r="CA136"/>
  <c r="CA135"/>
  <c r="CA134"/>
  <c r="CA133"/>
  <c r="CA132"/>
  <c r="CA131"/>
  <c r="CA130"/>
  <c r="CA129"/>
  <c r="CA128"/>
  <c r="CA127"/>
  <c r="CA126"/>
  <c r="CA125"/>
  <c r="CA124"/>
  <c r="CA123"/>
  <c r="CA122"/>
  <c r="CA121"/>
  <c r="CA120"/>
  <c r="CA119"/>
  <c r="CA118"/>
  <c r="CA117"/>
  <c r="CA116"/>
  <c r="CA115"/>
  <c r="CA114"/>
  <c r="CA113"/>
  <c r="CA112"/>
  <c r="CA111"/>
  <c r="CA110"/>
  <c r="CA109"/>
  <c r="CA108"/>
  <c r="CA107"/>
  <c r="CA106"/>
  <c r="CA105"/>
  <c r="CA104"/>
  <c r="CA103"/>
  <c r="CA102"/>
  <c r="CA101"/>
  <c r="CA100"/>
  <c r="CA99"/>
  <c r="CA98"/>
  <c r="CA97"/>
  <c r="CA96"/>
  <c r="CA95"/>
  <c r="CA94"/>
  <c r="CA93"/>
  <c r="CA92"/>
  <c r="CA91"/>
  <c r="CA90"/>
  <c r="CA89"/>
  <c r="CA88"/>
  <c r="CA87"/>
  <c r="CA86"/>
  <c r="CA85"/>
  <c r="CA84"/>
  <c r="CA83"/>
  <c r="CA82"/>
  <c r="CA81"/>
  <c r="CA80"/>
  <c r="CA79"/>
  <c r="CA78"/>
  <c r="CA77"/>
  <c r="CA76"/>
  <c r="CA75"/>
  <c r="CA74"/>
  <c r="CA73"/>
  <c r="CA72"/>
  <c r="CA71"/>
  <c r="CA70"/>
  <c r="CA69"/>
  <c r="CA68"/>
  <c r="CA67"/>
  <c r="CA66"/>
  <c r="CA65"/>
  <c r="CA64"/>
  <c r="CA63"/>
  <c r="CA62"/>
  <c r="CA61"/>
  <c r="CA60"/>
  <c r="CA59"/>
  <c r="CA58"/>
  <c r="CA57"/>
  <c r="CA56"/>
  <c r="CA55"/>
  <c r="CA54"/>
  <c r="CA53"/>
  <c r="CA52"/>
  <c r="CA51"/>
  <c r="CA50"/>
  <c r="CA49"/>
  <c r="CA48"/>
  <c r="CA47"/>
  <c r="CA46"/>
  <c r="CA45"/>
  <c r="CA44"/>
  <c r="CA43"/>
  <c r="CA42"/>
  <c r="E16" i="21"/>
  <c r="G16"/>
  <c r="F16"/>
  <c r="D16"/>
  <c r="C16"/>
  <c r="B6" i="1"/>
  <c r="Q6"/>
  <c r="Q7" s="1"/>
  <c r="Q5"/>
  <c r="Q4"/>
  <c r="AM6"/>
  <c r="AM7" s="1"/>
  <c r="AL6"/>
  <c r="AL7" s="1"/>
  <c r="AK6"/>
  <c r="AK7" s="1"/>
  <c r="AJ6"/>
  <c r="AJ7" s="1"/>
  <c r="AI6"/>
  <c r="AI7" s="1"/>
  <c r="AH6"/>
  <c r="AH7" s="1"/>
  <c r="AG6"/>
  <c r="AG7" s="1"/>
  <c r="AF6"/>
  <c r="AF7" s="1"/>
  <c r="AE6"/>
  <c r="AE7" s="1"/>
  <c r="AD6"/>
  <c r="AD7" s="1"/>
  <c r="AC6"/>
  <c r="AC7" s="1"/>
  <c r="AB6"/>
  <c r="AB7" s="1"/>
  <c r="AM5"/>
  <c r="AL5"/>
  <c r="AK5"/>
  <c r="AJ5"/>
  <c r="AI5"/>
  <c r="AH5"/>
  <c r="AG5"/>
  <c r="AF5"/>
  <c r="AE5"/>
  <c r="AD5"/>
  <c r="AC5"/>
  <c r="AB5"/>
  <c r="AM4"/>
  <c r="AL4"/>
  <c r="AK4"/>
  <c r="AJ4"/>
  <c r="AI4"/>
  <c r="AH4"/>
  <c r="AG4"/>
  <c r="AF4"/>
  <c r="AE4"/>
  <c r="AD4"/>
  <c r="AC4"/>
  <c r="AB4"/>
  <c r="AQ63" i="13"/>
  <c r="AQ62"/>
  <c r="AQ61"/>
  <c r="AQ60"/>
  <c r="AQ59"/>
  <c r="AQ58"/>
  <c r="AQ57"/>
  <c r="AQ56"/>
  <c r="AQ55"/>
  <c r="AQ54"/>
  <c r="AQ53"/>
  <c r="AQ52"/>
  <c r="AQ51"/>
  <c r="AQ50"/>
  <c r="AQ49"/>
  <c r="AQ48"/>
  <c r="AQ47"/>
  <c r="AQ46"/>
  <c r="AQ45"/>
  <c r="AQ44"/>
  <c r="AR45"/>
  <c r="AX44"/>
  <c r="AW44"/>
  <c r="AX46"/>
  <c r="AW46"/>
  <c r="AT46"/>
  <c r="BA47" s="1"/>
  <c r="AS46"/>
  <c r="AR46"/>
  <c r="AX45"/>
  <c r="AW45"/>
  <c r="AT45"/>
  <c r="BA46" s="1"/>
  <c r="AS45"/>
  <c r="AT44"/>
  <c r="BA45" s="1"/>
  <c r="AS44"/>
  <c r="AR44"/>
  <c r="AR63"/>
  <c r="AP63"/>
  <c r="AR62"/>
  <c r="AP62"/>
  <c r="AR61"/>
  <c r="AP61"/>
  <c r="AR60"/>
  <c r="AP60"/>
  <c r="AR59"/>
  <c r="AP59"/>
  <c r="AR58"/>
  <c r="AP58"/>
  <c r="AU57"/>
  <c r="AR57"/>
  <c r="AP57"/>
  <c r="AU56"/>
  <c r="AR56"/>
  <c r="AP56"/>
  <c r="AU55"/>
  <c r="AR55"/>
  <c r="AP55"/>
  <c r="AR54"/>
  <c r="AP54"/>
  <c r="AT53"/>
  <c r="BA54" s="1"/>
  <c r="AS53"/>
  <c r="AU53" s="1"/>
  <c r="AR53"/>
  <c r="AP53"/>
  <c r="AT52"/>
  <c r="BA53" s="1"/>
  <c r="AS52"/>
  <c r="AU52" s="1"/>
  <c r="AR52"/>
  <c r="AP52"/>
  <c r="AT51"/>
  <c r="BA52" s="1"/>
  <c r="AS51"/>
  <c r="AU51" s="1"/>
  <c r="AR51"/>
  <c r="AP51"/>
  <c r="AT50"/>
  <c r="BA51" s="1"/>
  <c r="AS50"/>
  <c r="AU50" s="1"/>
  <c r="AR50"/>
  <c r="AP50"/>
  <c r="AW49"/>
  <c r="AT49"/>
  <c r="BA50" s="1"/>
  <c r="AS49"/>
  <c r="AR49"/>
  <c r="AP49"/>
  <c r="AW48"/>
  <c r="AT48"/>
  <c r="BA49" s="1"/>
  <c r="AS48"/>
  <c r="AU48" s="1"/>
  <c r="AR48"/>
  <c r="AP48"/>
  <c r="AW47"/>
  <c r="AT47"/>
  <c r="BA48" s="1"/>
  <c r="AS47"/>
  <c r="AR47"/>
  <c r="AP47"/>
  <c r="AP46"/>
  <c r="AP45"/>
  <c r="AP44"/>
  <c r="A164" i="45" l="1"/>
  <c r="A148" i="41"/>
  <c r="A188" i="45"/>
  <c r="A102"/>
  <c r="A164" i="41"/>
  <c r="A206" i="45"/>
  <c r="G78" i="32"/>
  <c r="O78" s="1"/>
  <c r="A117" i="45"/>
  <c r="A176" i="41"/>
  <c r="A220" i="45"/>
  <c r="G80" i="32"/>
  <c r="O80" s="1"/>
  <c r="A127" i="45"/>
  <c r="A194" i="41"/>
  <c r="A241" i="45"/>
  <c r="A251"/>
  <c r="A244" i="29"/>
  <c r="A272" i="45"/>
  <c r="A256" i="29"/>
  <c r="A286" i="45"/>
  <c r="A268" i="29"/>
  <c r="A300" i="45"/>
  <c r="A142" i="41"/>
  <c r="A181" i="45"/>
  <c r="A78"/>
  <c r="A54" i="25"/>
  <c r="A129" i="41"/>
  <c r="A166" i="45"/>
  <c r="A194"/>
  <c r="A222"/>
  <c r="A264"/>
  <c r="A261" i="29"/>
  <c r="A292" i="45"/>
  <c r="A131" i="41"/>
  <c r="A168" i="45"/>
  <c r="A155" i="41"/>
  <c r="A196" i="45"/>
  <c r="A179" i="41"/>
  <c r="A224" i="45"/>
  <c r="A287"/>
  <c r="A140" i="41"/>
  <c r="A178" i="45"/>
  <c r="A152" i="41"/>
  <c r="A192" i="45"/>
  <c r="A136"/>
  <c r="A202"/>
  <c r="G77" i="32"/>
  <c r="O77" s="1"/>
  <c r="A112" i="45"/>
  <c r="A170" i="41"/>
  <c r="A213" i="45"/>
  <c r="G79" i="32"/>
  <c r="O79" s="1"/>
  <c r="A122" i="45"/>
  <c r="A182" i="41"/>
  <c r="A227" i="45"/>
  <c r="A188" i="41"/>
  <c r="A234" i="45"/>
  <c r="A206" i="41"/>
  <c r="A255" i="45"/>
  <c r="A265"/>
  <c r="A250" i="29"/>
  <c r="A279" i="45"/>
  <c r="A262" i="29"/>
  <c r="A293" i="45"/>
  <c r="A133"/>
  <c r="A68"/>
  <c r="A50" i="25"/>
  <c r="A141" i="41"/>
  <c r="A180" i="45"/>
  <c r="A208"/>
  <c r="A236"/>
  <c r="A250"/>
  <c r="A249" i="29"/>
  <c r="A278" i="45"/>
  <c r="A143" i="41"/>
  <c r="A182" i="45"/>
  <c r="A167" i="41"/>
  <c r="A210" i="45"/>
  <c r="A191" i="41"/>
  <c r="A238" i="45"/>
  <c r="A209" i="41"/>
  <c r="A259" i="45"/>
  <c r="A273"/>
  <c r="A301"/>
  <c r="A134" i="41"/>
  <c r="A171" i="45"/>
  <c r="A146" i="41"/>
  <c r="A185" i="45"/>
  <c r="A135"/>
  <c r="A195"/>
  <c r="A158" i="41"/>
  <c r="A199" i="45"/>
  <c r="A137"/>
  <c r="A209"/>
  <c r="A216"/>
  <c r="A223"/>
  <c r="A230"/>
  <c r="A237"/>
  <c r="A244"/>
  <c r="A200" i="41"/>
  <c r="A248" i="45"/>
  <c r="A258"/>
  <c r="A212" i="41"/>
  <c r="A262" i="45"/>
  <c r="A269"/>
  <c r="A276"/>
  <c r="A283"/>
  <c r="A290"/>
  <c r="A297"/>
  <c r="A167"/>
  <c r="A73"/>
  <c r="A52" i="25"/>
  <c r="A134" i="45"/>
  <c r="A132"/>
  <c r="A174"/>
  <c r="A173"/>
  <c r="A147" i="41"/>
  <c r="A187" i="45"/>
  <c r="A201"/>
  <c r="A215"/>
  <c r="A229"/>
  <c r="A243"/>
  <c r="A257"/>
  <c r="A243" i="29"/>
  <c r="A271" i="45"/>
  <c r="A255" i="29"/>
  <c r="A285" i="45"/>
  <c r="A267" i="29"/>
  <c r="A299" i="45"/>
  <c r="A137" i="41"/>
  <c r="A175" i="45"/>
  <c r="A149" i="41"/>
  <c r="A189" i="45"/>
  <c r="A161" i="41"/>
  <c r="A203" i="45"/>
  <c r="A173" i="41"/>
  <c r="A217" i="45"/>
  <c r="A185" i="41"/>
  <c r="A231" i="45"/>
  <c r="A197" i="41"/>
  <c r="A245" i="45"/>
  <c r="A215" i="41"/>
  <c r="A266" i="45"/>
  <c r="A280"/>
  <c r="A294"/>
  <c r="A74" i="35"/>
  <c r="A99" i="41"/>
  <c r="A133" i="35"/>
  <c r="A160" i="41"/>
  <c r="A175" i="35"/>
  <c r="A202" i="41"/>
  <c r="A138" i="35"/>
  <c r="A165" i="41"/>
  <c r="A174" i="35"/>
  <c r="A201" i="41"/>
  <c r="A85" i="35"/>
  <c r="A112" i="41"/>
  <c r="A127" i="35"/>
  <c r="A154" i="41"/>
  <c r="A87" i="35"/>
  <c r="A114" i="41"/>
  <c r="A139" i="35"/>
  <c r="A166" i="41"/>
  <c r="A145" i="35"/>
  <c r="A172" i="41"/>
  <c r="A151" i="35"/>
  <c r="A178" i="41"/>
  <c r="A157" i="35"/>
  <c r="A184" i="41"/>
  <c r="A163" i="35"/>
  <c r="A190" i="41"/>
  <c r="A169" i="35"/>
  <c r="A196" i="41"/>
  <c r="A181" i="35"/>
  <c r="A208" i="41"/>
  <c r="A84" i="35"/>
  <c r="A111" i="41"/>
  <c r="A82" i="35"/>
  <c r="A109" i="41"/>
  <c r="A109" i="35"/>
  <c r="A136" i="41"/>
  <c r="A108" i="35"/>
  <c r="A135" i="41"/>
  <c r="A132" i="35"/>
  <c r="A159" i="41"/>
  <c r="A144" i="35"/>
  <c r="A171" i="41"/>
  <c r="A156" i="35"/>
  <c r="A183" i="41"/>
  <c r="A168" i="35"/>
  <c r="A195" i="41"/>
  <c r="A180" i="35"/>
  <c r="A207" i="41"/>
  <c r="A86" i="35"/>
  <c r="A113" i="41"/>
  <c r="A83" i="35"/>
  <c r="A110" i="41"/>
  <c r="A126" i="35"/>
  <c r="A153" i="41"/>
  <c r="A186" i="35"/>
  <c r="A213" i="41"/>
  <c r="A187" i="35"/>
  <c r="A214" i="41"/>
  <c r="A101" i="35"/>
  <c r="A128" i="41"/>
  <c r="A103" i="35"/>
  <c r="A130" i="41"/>
  <c r="A56" i="35"/>
  <c r="A74" i="41"/>
  <c r="A54" i="35"/>
  <c r="A68" i="41"/>
  <c r="A52" i="35"/>
  <c r="A62" i="41"/>
  <c r="A162" i="35"/>
  <c r="A189" i="41"/>
  <c r="A150" i="35"/>
  <c r="A177" i="41"/>
  <c r="A110" i="35"/>
  <c r="A95" i="25"/>
  <c r="A122" i="35"/>
  <c r="A107" i="25"/>
  <c r="A134" i="35"/>
  <c r="A119" i="25"/>
  <c r="A146" i="35"/>
  <c r="A131" i="25"/>
  <c r="A158" i="35"/>
  <c r="A143" i="25"/>
  <c r="A170" i="35"/>
  <c r="A155" i="25"/>
  <c r="A173"/>
  <c r="A188" i="35"/>
  <c r="A107"/>
  <c r="BC45" i="13"/>
  <c r="BC47"/>
  <c r="A119" i="35"/>
  <c r="BC49" i="13"/>
  <c r="A131" i="35"/>
  <c r="A173"/>
  <c r="BC56" i="13"/>
  <c r="A185" i="35"/>
  <c r="BC58" i="13"/>
  <c r="BC59"/>
  <c r="K23" i="17"/>
  <c r="A248" i="29"/>
  <c r="K24" i="17"/>
  <c r="BC60" i="13"/>
  <c r="BC61"/>
  <c r="K25" i="17"/>
  <c r="A260" i="29"/>
  <c r="K26" i="17"/>
  <c r="BC62" i="13"/>
  <c r="BC63"/>
  <c r="K27" i="17"/>
  <c r="A171" i="29"/>
  <c r="A120" i="35"/>
  <c r="A113"/>
  <c r="BC46" i="13"/>
  <c r="A172" i="29"/>
  <c r="A121" i="35"/>
  <c r="A125"/>
  <c r="BC48" i="13"/>
  <c r="A137" i="35"/>
  <c r="BC50" i="13"/>
  <c r="BC51"/>
  <c r="A143" i="35"/>
  <c r="A149"/>
  <c r="BC52" i="13"/>
  <c r="BC53"/>
  <c r="A155" i="35"/>
  <c r="A161"/>
  <c r="BC54" i="13"/>
  <c r="BC55"/>
  <c r="A167" i="35"/>
  <c r="BC57" i="13"/>
  <c r="A179" i="35"/>
  <c r="A166" i="29"/>
  <c r="A115" i="35"/>
  <c r="A165" i="29"/>
  <c r="A114" i="35"/>
  <c r="A104"/>
  <c r="A89" i="25"/>
  <c r="A101"/>
  <c r="A116" i="35"/>
  <c r="A113" i="25"/>
  <c r="A128" i="35"/>
  <c r="A125" i="25"/>
  <c r="A140" i="35"/>
  <c r="A137" i="25"/>
  <c r="A152" i="35"/>
  <c r="A149" i="25"/>
  <c r="A164" i="35"/>
  <c r="A182"/>
  <c r="A167" i="25"/>
  <c r="A102" i="35"/>
  <c r="BC44" i="13"/>
  <c r="G75" i="32"/>
  <c r="O75" s="1"/>
  <c r="A83" i="33"/>
  <c r="A194" i="29"/>
  <c r="A154" i="33"/>
  <c r="A158" i="29"/>
  <c r="A118" i="33"/>
  <c r="A170" i="29"/>
  <c r="A130" i="33"/>
  <c r="A136" i="29"/>
  <c r="A96" i="33"/>
  <c r="A178" i="29"/>
  <c r="A138" i="33"/>
  <c r="A182" i="29"/>
  <c r="A142" i="33"/>
  <c r="A138" i="29"/>
  <c r="A98" i="33"/>
  <c r="A190" i="29"/>
  <c r="A150" i="33"/>
  <c r="A196" i="29"/>
  <c r="A156" i="33"/>
  <c r="A202" i="29"/>
  <c r="A162" i="33"/>
  <c r="A208" i="29"/>
  <c r="A168" i="33"/>
  <c r="A214" i="29"/>
  <c r="A174" i="33"/>
  <c r="A220" i="29"/>
  <c r="A180" i="33"/>
  <c r="G114" i="32"/>
  <c r="A224" i="29"/>
  <c r="A184" i="33"/>
  <c r="A232" i="29"/>
  <c r="A192" i="33"/>
  <c r="A236" i="29"/>
  <c r="A196" i="33"/>
  <c r="G117" i="32"/>
  <c r="A242" i="29"/>
  <c r="G119" i="32"/>
  <c r="A254" i="29"/>
  <c r="G121" i="32"/>
  <c r="A266" i="29"/>
  <c r="A154"/>
  <c r="A114" i="33"/>
  <c r="A72" i="29"/>
  <c r="A58" i="33"/>
  <c r="A135" i="29"/>
  <c r="A95" i="33"/>
  <c r="A160" i="29"/>
  <c r="A120" i="33"/>
  <c r="A159" i="29"/>
  <c r="A119" i="33"/>
  <c r="A183" i="29"/>
  <c r="A143" i="33"/>
  <c r="A195" i="29"/>
  <c r="A155" i="33"/>
  <c r="A207" i="29"/>
  <c r="A167" i="33"/>
  <c r="A219" i="29"/>
  <c r="A179" i="33"/>
  <c r="A231" i="29"/>
  <c r="A191" i="33"/>
  <c r="A155" i="27"/>
  <c r="A155" i="29"/>
  <c r="A115" i="33"/>
  <c r="A167" i="27"/>
  <c r="A167" i="29"/>
  <c r="A127" i="33"/>
  <c r="A179" i="27"/>
  <c r="A179" i="29"/>
  <c r="A139" i="33"/>
  <c r="A191" i="27"/>
  <c r="A191" i="29"/>
  <c r="A151" i="33"/>
  <c r="A203" i="27"/>
  <c r="A203" i="29"/>
  <c r="A163" i="33"/>
  <c r="A215" i="27"/>
  <c r="A215" i="29"/>
  <c r="A175" i="33"/>
  <c r="A233" i="29"/>
  <c r="A193" i="33"/>
  <c r="A233" i="27"/>
  <c r="A245" i="29"/>
  <c r="A245" i="27"/>
  <c r="A257" i="29"/>
  <c r="A257" i="27"/>
  <c r="A269" i="29"/>
  <c r="A269" i="27"/>
  <c r="A152" i="29"/>
  <c r="A112" i="33"/>
  <c r="A164" i="29"/>
  <c r="A124" i="33"/>
  <c r="A176" i="29"/>
  <c r="A136" i="33"/>
  <c r="A137" i="29"/>
  <c r="A97" i="33"/>
  <c r="A184" i="29"/>
  <c r="A144" i="33"/>
  <c r="A188" i="29"/>
  <c r="A148" i="33"/>
  <c r="A200" i="29"/>
  <c r="A160" i="33"/>
  <c r="A206" i="29"/>
  <c r="A166" i="33"/>
  <c r="A212" i="29"/>
  <c r="A172" i="33"/>
  <c r="A218" i="29"/>
  <c r="A178" i="33"/>
  <c r="A226" i="29"/>
  <c r="A186" i="33"/>
  <c r="A230" i="29"/>
  <c r="A190" i="33"/>
  <c r="A238" i="29"/>
  <c r="A198" i="33"/>
  <c r="A134" i="29"/>
  <c r="A94" i="33"/>
  <c r="A78" i="29"/>
  <c r="A61" i="33"/>
  <c r="A66" i="29"/>
  <c r="A55" i="33"/>
  <c r="A113"/>
  <c r="A153" i="29"/>
  <c r="A137" i="33"/>
  <c r="A177" i="29"/>
  <c r="A149" i="33"/>
  <c r="A189" i="29"/>
  <c r="A161" i="33"/>
  <c r="A201" i="29"/>
  <c r="A173" i="33"/>
  <c r="A213" i="29"/>
  <c r="A185" i="33"/>
  <c r="A225" i="29"/>
  <c r="A197" i="33"/>
  <c r="A237" i="29"/>
  <c r="A161"/>
  <c r="A121" i="33"/>
  <c r="A161" i="27"/>
  <c r="A173" i="29"/>
  <c r="A133" i="33"/>
  <c r="A173" i="27"/>
  <c r="A185" i="29"/>
  <c r="A145" i="33"/>
  <c r="A185" i="27"/>
  <c r="A197" i="29"/>
  <c r="A157" i="33"/>
  <c r="A197" i="27"/>
  <c r="A209" i="29"/>
  <c r="A169" i="33"/>
  <c r="A209" i="27"/>
  <c r="A221" i="29"/>
  <c r="A181" i="33"/>
  <c r="A221" i="27"/>
  <c r="A239"/>
  <c r="A239" i="29"/>
  <c r="A199" i="33"/>
  <c r="A251" i="27"/>
  <c r="A251" i="29"/>
  <c r="A263" i="27"/>
  <c r="A263" i="29"/>
  <c r="A132" i="33"/>
  <c r="A131"/>
  <c r="A125"/>
  <c r="A126"/>
  <c r="A133" i="29"/>
  <c r="A93" i="33"/>
  <c r="AU47" i="13"/>
  <c r="AU49"/>
  <c r="AU46"/>
  <c r="AU44"/>
  <c r="AU45"/>
  <c r="AY45"/>
  <c r="AY46"/>
  <c r="AY48"/>
  <c r="AY50"/>
  <c r="AY51"/>
  <c r="AY52"/>
  <c r="AY53"/>
  <c r="AY54"/>
  <c r="AY55"/>
  <c r="G112" i="32"/>
  <c r="G110"/>
  <c r="G108"/>
  <c r="G106"/>
  <c r="G104"/>
  <c r="K121"/>
  <c r="K119"/>
  <c r="K116"/>
  <c r="K113"/>
  <c r="K111"/>
  <c r="K107"/>
  <c r="K105"/>
  <c r="K103"/>
  <c r="O102"/>
  <c r="O120"/>
  <c r="O118"/>
  <c r="O114"/>
  <c r="O112"/>
  <c r="O110"/>
  <c r="O108"/>
  <c r="O106"/>
  <c r="O104"/>
  <c r="AY47" i="13"/>
  <c r="AY49"/>
  <c r="AY56"/>
  <c r="A170" i="25"/>
  <c r="AY58" i="13"/>
  <c r="A242" i="27"/>
  <c r="AY59" i="13"/>
  <c r="AY60"/>
  <c r="A254" i="27"/>
  <c r="AY61" i="13"/>
  <c r="AY62"/>
  <c r="AY63"/>
  <c r="G120" i="32"/>
  <c r="G118"/>
  <c r="G116"/>
  <c r="G113"/>
  <c r="G111"/>
  <c r="G109"/>
  <c r="G107"/>
  <c r="G105"/>
  <c r="G103"/>
  <c r="K120"/>
  <c r="K118"/>
  <c r="K115"/>
  <c r="K112"/>
  <c r="K109"/>
  <c r="K106"/>
  <c r="K104"/>
  <c r="O121"/>
  <c r="O119"/>
  <c r="O117"/>
  <c r="O113"/>
  <c r="O111"/>
  <c r="O109"/>
  <c r="O107"/>
  <c r="O105"/>
  <c r="O103"/>
  <c r="K108"/>
  <c r="K110"/>
  <c r="K117"/>
  <c r="AY44" i="13"/>
  <c r="G102" i="32"/>
  <c r="K102"/>
  <c r="K114"/>
  <c r="O115"/>
  <c r="A230" i="27"/>
  <c r="AY57" i="13"/>
  <c r="O116" i="32"/>
  <c r="G115"/>
  <c r="O92"/>
  <c r="K90"/>
  <c r="O90" s="1"/>
  <c r="K94"/>
  <c r="O94" s="1"/>
  <c r="A68" i="25"/>
  <c r="A70"/>
  <c r="A72"/>
  <c r="A87"/>
  <c r="A93"/>
  <c r="A99"/>
  <c r="A105"/>
  <c r="A111"/>
  <c r="A117"/>
  <c r="A123"/>
  <c r="A129"/>
  <c r="A135"/>
  <c r="A141"/>
  <c r="A147"/>
  <c r="A153"/>
  <c r="A159"/>
  <c r="A166"/>
  <c r="A171"/>
  <c r="A66" i="27"/>
  <c r="A72"/>
  <c r="A78"/>
  <c r="A134"/>
  <c r="A136"/>
  <c r="A138"/>
  <c r="A153"/>
  <c r="A159"/>
  <c r="A165"/>
  <c r="A171"/>
  <c r="A177"/>
  <c r="A183"/>
  <c r="A189"/>
  <c r="A195"/>
  <c r="A201"/>
  <c r="A207"/>
  <c r="A213"/>
  <c r="A219"/>
  <c r="A225"/>
  <c r="A232"/>
  <c r="A237"/>
  <c r="A244"/>
  <c r="A249"/>
  <c r="A256"/>
  <c r="A260"/>
  <c r="A262"/>
  <c r="A266"/>
  <c r="A268"/>
  <c r="A67" i="25"/>
  <c r="A69"/>
  <c r="A71"/>
  <c r="A86"/>
  <c r="A88"/>
  <c r="A92"/>
  <c r="A94"/>
  <c r="A98"/>
  <c r="A100"/>
  <c r="A104"/>
  <c r="A106"/>
  <c r="A110"/>
  <c r="A112"/>
  <c r="A116"/>
  <c r="A118"/>
  <c r="A122"/>
  <c r="A124"/>
  <c r="A128"/>
  <c r="A130"/>
  <c r="A134"/>
  <c r="A136"/>
  <c r="A140"/>
  <c r="A142"/>
  <c r="A146"/>
  <c r="A148"/>
  <c r="A152"/>
  <c r="A154"/>
  <c r="A158"/>
  <c r="A160"/>
  <c r="A165"/>
  <c r="A172"/>
  <c r="A133" i="27"/>
  <c r="A135"/>
  <c r="A137"/>
  <c r="A152"/>
  <c r="A154"/>
  <c r="A158"/>
  <c r="A160"/>
  <c r="A164"/>
  <c r="A166"/>
  <c r="A170"/>
  <c r="A172"/>
  <c r="A176"/>
  <c r="A178"/>
  <c r="A182"/>
  <c r="A184"/>
  <c r="A188"/>
  <c r="A190"/>
  <c r="A194"/>
  <c r="A196"/>
  <c r="A200"/>
  <c r="A202"/>
  <c r="A206"/>
  <c r="A208"/>
  <c r="A212"/>
  <c r="A214"/>
  <c r="A218"/>
  <c r="A220"/>
  <c r="A224"/>
  <c r="A226"/>
  <c r="A231"/>
  <c r="A238"/>
  <c r="A243"/>
  <c r="A250"/>
  <c r="A255"/>
  <c r="A261"/>
  <c r="A267"/>
  <c r="A248"/>
  <c r="A236"/>
  <c r="A164" i="25"/>
  <c r="B11" i="21"/>
  <c r="AM50" i="13"/>
  <c r="D14" i="17" s="1"/>
  <c r="AN45" i="13"/>
  <c r="E9" i="17" s="1"/>
  <c r="J9" s="1"/>
  <c r="AM45" i="13"/>
  <c r="D9" i="17" s="1"/>
  <c r="AN46" i="13"/>
  <c r="E10" i="17" s="1"/>
  <c r="J10" s="1"/>
  <c r="AN47" i="13"/>
  <c r="E11" i="17" s="1"/>
  <c r="J11" s="1"/>
  <c r="AN49" i="13"/>
  <c r="E13" i="17" s="1"/>
  <c r="J13" s="1"/>
  <c r="AN50" i="13"/>
  <c r="E14" i="17" s="1"/>
  <c r="J14" s="1"/>
  <c r="AN51" i="13"/>
  <c r="E15" i="17" s="1"/>
  <c r="J15" s="1"/>
  <c r="AN52" i="13"/>
  <c r="E16" i="17" s="1"/>
  <c r="J16" s="1"/>
  <c r="AM53" i="13"/>
  <c r="D17" i="17" s="1"/>
  <c r="AN53" i="13"/>
  <c r="E17" i="17" s="1"/>
  <c r="J17" s="1"/>
  <c r="AM54" i="13"/>
  <c r="D18" i="17" s="1"/>
  <c r="AN54" i="13"/>
  <c r="E18" i="17" s="1"/>
  <c r="J18" s="1"/>
  <c r="AN55" i="13"/>
  <c r="E19" i="17" s="1"/>
  <c r="J19" s="1"/>
  <c r="AM56" i="13"/>
  <c r="D20" i="17" s="1"/>
  <c r="AN56" i="13"/>
  <c r="E20" i="17" s="1"/>
  <c r="J20" s="1"/>
  <c r="AM57" i="13"/>
  <c r="D21" i="17" s="1"/>
  <c r="AN57" i="13"/>
  <c r="E21" i="17" s="1"/>
  <c r="J21" s="1"/>
  <c r="AL58" i="13"/>
  <c r="BB58" s="1"/>
  <c r="AM58"/>
  <c r="D22" i="17" s="1"/>
  <c r="AL59" i="13"/>
  <c r="BB59" s="1"/>
  <c r="AM59"/>
  <c r="D23" i="17" s="1"/>
  <c r="AN59" i="13"/>
  <c r="E23" i="17" s="1"/>
  <c r="J23" s="1"/>
  <c r="AL60" i="13"/>
  <c r="BB60" s="1"/>
  <c r="AM60"/>
  <c r="D24" i="17" s="1"/>
  <c r="AN60" i="13"/>
  <c r="E24" i="17" s="1"/>
  <c r="J24" s="1"/>
  <c r="AL61" i="13"/>
  <c r="BB61" s="1"/>
  <c r="AM61"/>
  <c r="D25" i="17" s="1"/>
  <c r="AN61" i="13"/>
  <c r="E25" i="17" s="1"/>
  <c r="J25" s="1"/>
  <c r="AL62" i="13"/>
  <c r="BB62" s="1"/>
  <c r="AM62"/>
  <c r="D26" i="17" s="1"/>
  <c r="AN62" i="13"/>
  <c r="E26" i="17" s="1"/>
  <c r="J26" s="1"/>
  <c r="AL63" i="13"/>
  <c r="BB63" s="1"/>
  <c r="AM63"/>
  <c r="D27" i="17" s="1"/>
  <c r="AN63" i="13"/>
  <c r="E27" i="17" s="1"/>
  <c r="J27" s="1"/>
  <c r="AN44" i="13"/>
  <c r="E8" i="17" s="1"/>
  <c r="J8" s="1"/>
  <c r="AB2" i="13"/>
  <c r="N6"/>
  <c r="O6"/>
  <c r="P6"/>
  <c r="Q6"/>
  <c r="R6"/>
  <c r="S6"/>
  <c r="C7"/>
  <c r="C57" s="1"/>
  <c r="N7"/>
  <c r="O7"/>
  <c r="P7"/>
  <c r="Q7"/>
  <c r="R7"/>
  <c r="S7"/>
  <c r="C8"/>
  <c r="C58" s="1"/>
  <c r="AT8"/>
  <c r="C9"/>
  <c r="C59" s="1"/>
  <c r="AG9"/>
  <c r="G8" i="23" s="1"/>
  <c r="BB16" s="1"/>
  <c r="AT9" i="13"/>
  <c r="C10"/>
  <c r="C60" s="1"/>
  <c r="Y10"/>
  <c r="AC10"/>
  <c r="AD10"/>
  <c r="AG10"/>
  <c r="AT10"/>
  <c r="C11"/>
  <c r="C61" s="1"/>
  <c r="Y11"/>
  <c r="AC11"/>
  <c r="AD11"/>
  <c r="AG11"/>
  <c r="AT11"/>
  <c r="C12"/>
  <c r="C62" s="1"/>
  <c r="Y12"/>
  <c r="AB12" s="1"/>
  <c r="AF12" s="1"/>
  <c r="AC12"/>
  <c r="AD12"/>
  <c r="AG12"/>
  <c r="AT12"/>
  <c r="C13"/>
  <c r="C63" s="1"/>
  <c r="Y13"/>
  <c r="AB13" s="1"/>
  <c r="AF13" s="1"/>
  <c r="AC13"/>
  <c r="AD13"/>
  <c r="AG13"/>
  <c r="AT13"/>
  <c r="C14"/>
  <c r="C64" s="1"/>
  <c r="Y14"/>
  <c r="AB14" s="1"/>
  <c r="AF14" s="1"/>
  <c r="AC14"/>
  <c r="AD14"/>
  <c r="AG14"/>
  <c r="AT14"/>
  <c r="C15"/>
  <c r="C65" s="1"/>
  <c r="Y15"/>
  <c r="AB15" s="1"/>
  <c r="AF15" s="1"/>
  <c r="AC15"/>
  <c r="AD15"/>
  <c r="AG15"/>
  <c r="C16"/>
  <c r="C66" s="1"/>
  <c r="Y16"/>
  <c r="AB16" s="1"/>
  <c r="AF16" s="1"/>
  <c r="AC16"/>
  <c r="AD16"/>
  <c r="AG16"/>
  <c r="C17"/>
  <c r="C67" s="1"/>
  <c r="Y17"/>
  <c r="AB17" s="1"/>
  <c r="AF17" s="1"/>
  <c r="AC17"/>
  <c r="AD17"/>
  <c r="AG17"/>
  <c r="C18"/>
  <c r="C68" s="1"/>
  <c r="Y18"/>
  <c r="AB18" s="1"/>
  <c r="AF18" s="1"/>
  <c r="AC18"/>
  <c r="AD18"/>
  <c r="AG18"/>
  <c r="AM18"/>
  <c r="AN18" s="1"/>
  <c r="AO18" s="1"/>
  <c r="AP18" s="1"/>
  <c r="AQ18" s="1"/>
  <c r="AR18" s="1"/>
  <c r="AS18" s="1"/>
  <c r="AT18" s="1"/>
  <c r="Y19"/>
  <c r="AB19" s="1"/>
  <c r="AF19" s="1"/>
  <c r="AC19"/>
  <c r="AD19"/>
  <c r="AG19"/>
  <c r="AM19"/>
  <c r="AN19" s="1"/>
  <c r="AO19" s="1"/>
  <c r="AP19" s="1"/>
  <c r="AQ19" s="1"/>
  <c r="AR19" s="1"/>
  <c r="AS19" s="1"/>
  <c r="AT19" s="1"/>
  <c r="Y20"/>
  <c r="AB20" s="1"/>
  <c r="AF20" s="1"/>
  <c r="AC20"/>
  <c r="AD20"/>
  <c r="AG20"/>
  <c r="AM20"/>
  <c r="AN20" s="1"/>
  <c r="AO20" s="1"/>
  <c r="AP20" s="1"/>
  <c r="AQ20" s="1"/>
  <c r="AR20" s="1"/>
  <c r="AS20" s="1"/>
  <c r="AT20" s="1"/>
  <c r="Y21"/>
  <c r="AB21" s="1"/>
  <c r="AF21" s="1"/>
  <c r="AC21"/>
  <c r="AD21"/>
  <c r="AG21"/>
  <c r="AM21"/>
  <c r="AN21" s="1"/>
  <c r="AO21" s="1"/>
  <c r="AP21" s="1"/>
  <c r="AQ21" s="1"/>
  <c r="AR21" s="1"/>
  <c r="AS21" s="1"/>
  <c r="AT21" s="1"/>
  <c r="Y22"/>
  <c r="AB22" s="1"/>
  <c r="AF22" s="1"/>
  <c r="AC22"/>
  <c r="AD22"/>
  <c r="AG22"/>
  <c r="AM22"/>
  <c r="AN22" s="1"/>
  <c r="AO22" s="1"/>
  <c r="AP22" s="1"/>
  <c r="AQ22" s="1"/>
  <c r="AR22" s="1"/>
  <c r="AS22" s="1"/>
  <c r="AT22" s="1"/>
  <c r="Y23"/>
  <c r="AB23" s="1"/>
  <c r="AF23" s="1"/>
  <c r="AC23"/>
  <c r="AD23"/>
  <c r="AG23"/>
  <c r="AM23"/>
  <c r="AN23" s="1"/>
  <c r="AO23" s="1"/>
  <c r="AP23" s="1"/>
  <c r="AQ23" s="1"/>
  <c r="AR23" s="1"/>
  <c r="AS23" s="1"/>
  <c r="AT23" s="1"/>
  <c r="Y24"/>
  <c r="AB24" s="1"/>
  <c r="AF24" s="1"/>
  <c r="AC24"/>
  <c r="AD24"/>
  <c r="AG24"/>
  <c r="AM24"/>
  <c r="AN24" s="1"/>
  <c r="AO24" s="1"/>
  <c r="AP24" s="1"/>
  <c r="AQ24" s="1"/>
  <c r="AR24" s="1"/>
  <c r="AS24" s="1"/>
  <c r="AT24" s="1"/>
  <c r="Y25"/>
  <c r="AB25" s="1"/>
  <c r="AF25" s="1"/>
  <c r="AC25"/>
  <c r="AD25"/>
  <c r="AG25"/>
  <c r="Y26"/>
  <c r="AB26" s="1"/>
  <c r="AF26" s="1"/>
  <c r="AC26"/>
  <c r="AD26"/>
  <c r="AG26"/>
  <c r="Y27"/>
  <c r="AB27" s="1"/>
  <c r="AF27" s="1"/>
  <c r="AC27"/>
  <c r="AD27"/>
  <c r="AG27"/>
  <c r="Y28"/>
  <c r="AB28" s="1"/>
  <c r="AF28" s="1"/>
  <c r="AC28"/>
  <c r="AD28"/>
  <c r="AG28"/>
  <c r="Y29"/>
  <c r="AB29" s="1"/>
  <c r="AF29" s="1"/>
  <c r="AC29"/>
  <c r="AD29"/>
  <c r="AG29"/>
  <c r="Y30"/>
  <c r="AB30" s="1"/>
  <c r="AF30" s="1"/>
  <c r="AC30"/>
  <c r="AD30"/>
  <c r="AG30"/>
  <c r="Y31"/>
  <c r="AB31" s="1"/>
  <c r="AF31" s="1"/>
  <c r="AC31"/>
  <c r="AD31"/>
  <c r="AG31"/>
  <c r="Y32"/>
  <c r="AB32" s="1"/>
  <c r="AF32" s="1"/>
  <c r="AC32"/>
  <c r="AD32"/>
  <c r="AG32"/>
  <c r="Y33"/>
  <c r="AB33" s="1"/>
  <c r="AF33" s="1"/>
  <c r="AC33"/>
  <c r="AD33"/>
  <c r="AG33"/>
  <c r="Y34"/>
  <c r="AB34" s="1"/>
  <c r="AF34" s="1"/>
  <c r="AC34"/>
  <c r="AD34"/>
  <c r="AG34"/>
  <c r="AP36"/>
  <c r="Y35"/>
  <c r="AB35" s="1"/>
  <c r="AF35" s="1"/>
  <c r="AC35"/>
  <c r="AD35"/>
  <c r="AG35"/>
  <c r="Y36"/>
  <c r="AB36" s="1"/>
  <c r="AF36" s="1"/>
  <c r="AC36"/>
  <c r="AD36"/>
  <c r="AG36"/>
  <c r="Y37"/>
  <c r="AB37" s="1"/>
  <c r="AF37" s="1"/>
  <c r="AC37"/>
  <c r="AD37"/>
  <c r="AG37"/>
  <c r="Y38"/>
  <c r="AB38" s="1"/>
  <c r="AF38" s="1"/>
  <c r="AC38"/>
  <c r="AD38"/>
  <c r="AG38"/>
  <c r="Y39"/>
  <c r="AB39" s="1"/>
  <c r="AF39" s="1"/>
  <c r="AC39"/>
  <c r="AD39"/>
  <c r="AG39"/>
  <c r="Y40"/>
  <c r="AB40" s="1"/>
  <c r="AF40" s="1"/>
  <c r="AC40"/>
  <c r="AD40"/>
  <c r="AG40"/>
  <c r="Y41"/>
  <c r="AB41" s="1"/>
  <c r="AF41" s="1"/>
  <c r="AC41"/>
  <c r="AD41"/>
  <c r="AG41"/>
  <c r="Y42"/>
  <c r="AB42" s="1"/>
  <c r="AF42" s="1"/>
  <c r="AC42"/>
  <c r="AD42"/>
  <c r="AG42"/>
  <c r="Y43"/>
  <c r="AB43" s="1"/>
  <c r="AF43" s="1"/>
  <c r="AC43"/>
  <c r="AD43"/>
  <c r="AG43"/>
  <c r="Y44"/>
  <c r="AB44" s="1"/>
  <c r="AF44" s="1"/>
  <c r="AC44"/>
  <c r="AD44"/>
  <c r="AG44"/>
  <c r="Y45"/>
  <c r="AB45" s="1"/>
  <c r="AF45" s="1"/>
  <c r="AC45"/>
  <c r="AD45"/>
  <c r="AG45"/>
  <c r="Y46"/>
  <c r="AB46" s="1"/>
  <c r="AF46" s="1"/>
  <c r="AC46"/>
  <c r="AD46"/>
  <c r="AG46"/>
  <c r="Y47"/>
  <c r="AB47" s="1"/>
  <c r="AF47" s="1"/>
  <c r="AC47"/>
  <c r="AD47"/>
  <c r="AG47"/>
  <c r="Y48"/>
  <c r="AB48" s="1"/>
  <c r="AF48" s="1"/>
  <c r="AC48"/>
  <c r="AD48"/>
  <c r="AG48"/>
  <c r="Y49"/>
  <c r="AB49" s="1"/>
  <c r="AF49" s="1"/>
  <c r="AC49"/>
  <c r="AD49"/>
  <c r="AG49"/>
  <c r="Y50"/>
  <c r="AB50" s="1"/>
  <c r="AF50" s="1"/>
  <c r="AC50"/>
  <c r="AD50"/>
  <c r="AG50"/>
  <c r="Y51"/>
  <c r="AB51" s="1"/>
  <c r="AF51" s="1"/>
  <c r="AC51"/>
  <c r="AD51"/>
  <c r="AG51"/>
  <c r="Y52"/>
  <c r="AB52" s="1"/>
  <c r="AF52" s="1"/>
  <c r="AC52"/>
  <c r="AD52"/>
  <c r="AG52"/>
  <c r="Y53"/>
  <c r="AB53" s="1"/>
  <c r="AF53" s="1"/>
  <c r="AC53"/>
  <c r="AD53"/>
  <c r="AG53"/>
  <c r="Y54"/>
  <c r="AB54" s="1"/>
  <c r="AF54" s="1"/>
  <c r="AC54"/>
  <c r="AD54"/>
  <c r="AG54"/>
  <c r="Y55"/>
  <c r="AB55" s="1"/>
  <c r="AF55" s="1"/>
  <c r="AC55"/>
  <c r="AD55"/>
  <c r="AG55"/>
  <c r="Y56"/>
  <c r="AB56" s="1"/>
  <c r="AF56" s="1"/>
  <c r="AC56"/>
  <c r="AD56"/>
  <c r="AG56"/>
  <c r="Y57"/>
  <c r="AB57" s="1"/>
  <c r="AF57" s="1"/>
  <c r="AC57"/>
  <c r="AD57"/>
  <c r="AG57"/>
  <c r="Y58"/>
  <c r="AB58" s="1"/>
  <c r="AF58" s="1"/>
  <c r="AC58"/>
  <c r="AD58"/>
  <c r="AG58"/>
  <c r="Y59"/>
  <c r="AB59" s="1"/>
  <c r="AF59" s="1"/>
  <c r="AC59"/>
  <c r="AD59"/>
  <c r="AG59"/>
  <c r="Y60"/>
  <c r="AB60" s="1"/>
  <c r="AF60" s="1"/>
  <c r="AC60"/>
  <c r="AD60"/>
  <c r="AG60"/>
  <c r="Y61"/>
  <c r="AB61" s="1"/>
  <c r="AF61" s="1"/>
  <c r="AC61"/>
  <c r="AD61"/>
  <c r="AG61"/>
  <c r="Y62"/>
  <c r="AB62" s="1"/>
  <c r="AF62" s="1"/>
  <c r="AC62"/>
  <c r="AD62"/>
  <c r="AG62"/>
  <c r="Y63"/>
  <c r="AB63" s="1"/>
  <c r="AF63" s="1"/>
  <c r="AC63"/>
  <c r="AD63"/>
  <c r="AG63"/>
  <c r="Y64"/>
  <c r="AB64" s="1"/>
  <c r="AF64" s="1"/>
  <c r="AC64"/>
  <c r="AD64"/>
  <c r="AG64"/>
  <c r="Y65"/>
  <c r="AB65" s="1"/>
  <c r="AF65" s="1"/>
  <c r="AC65"/>
  <c r="AD65"/>
  <c r="AG65"/>
  <c r="Y66"/>
  <c r="AB66" s="1"/>
  <c r="AF66" s="1"/>
  <c r="AC66"/>
  <c r="AD66"/>
  <c r="AG66"/>
  <c r="Y67"/>
  <c r="AB67" s="1"/>
  <c r="AF67" s="1"/>
  <c r="AC67"/>
  <c r="AD67"/>
  <c r="AG67"/>
  <c r="Y68"/>
  <c r="AB68" s="1"/>
  <c r="AF68" s="1"/>
  <c r="AC68"/>
  <c r="AD68"/>
  <c r="AG68"/>
  <c r="Y69"/>
  <c r="AB69" s="1"/>
  <c r="AF69" s="1"/>
  <c r="AC69"/>
  <c r="AD69"/>
  <c r="AG69"/>
  <c r="Y70"/>
  <c r="AB70" s="1"/>
  <c r="AF70" s="1"/>
  <c r="AC70"/>
  <c r="AD70"/>
  <c r="AG70"/>
  <c r="Y71"/>
  <c r="AB71" s="1"/>
  <c r="AF71" s="1"/>
  <c r="AC71"/>
  <c r="AD71"/>
  <c r="AG71"/>
  <c r="Y72"/>
  <c r="AB72" s="1"/>
  <c r="AF72" s="1"/>
  <c r="AC72"/>
  <c r="AD72"/>
  <c r="AG72"/>
  <c r="Y73"/>
  <c r="AB73" s="1"/>
  <c r="AF73" s="1"/>
  <c r="AC73"/>
  <c r="AD73"/>
  <c r="AG73"/>
  <c r="Y74"/>
  <c r="AB74" s="1"/>
  <c r="AF74" s="1"/>
  <c r="AC74"/>
  <c r="AD74"/>
  <c r="AG74"/>
  <c r="Y75"/>
  <c r="AB75" s="1"/>
  <c r="AF75" s="1"/>
  <c r="AC75"/>
  <c r="AD75"/>
  <c r="AG75"/>
  <c r="Y76"/>
  <c r="AB76" s="1"/>
  <c r="AF76" s="1"/>
  <c r="AC76"/>
  <c r="AD76"/>
  <c r="AG76"/>
  <c r="Y77"/>
  <c r="AB77" s="1"/>
  <c r="AF77" s="1"/>
  <c r="AC77"/>
  <c r="AD77"/>
  <c r="AG77"/>
  <c r="Y78"/>
  <c r="AB78" s="1"/>
  <c r="AF78" s="1"/>
  <c r="AC78"/>
  <c r="AD78"/>
  <c r="AG78"/>
  <c r="Y79"/>
  <c r="AB79" s="1"/>
  <c r="AF79" s="1"/>
  <c r="AC79"/>
  <c r="AD79"/>
  <c r="AG79"/>
  <c r="Y80"/>
  <c r="AB80" s="1"/>
  <c r="AF80" s="1"/>
  <c r="AC80"/>
  <c r="AD80"/>
  <c r="AG80"/>
  <c r="Y81"/>
  <c r="AB81" s="1"/>
  <c r="AF81" s="1"/>
  <c r="AC81"/>
  <c r="AD81"/>
  <c r="AG81"/>
  <c r="Y82"/>
  <c r="AB82" s="1"/>
  <c r="AF82" s="1"/>
  <c r="AC82"/>
  <c r="AD82"/>
  <c r="AG82"/>
  <c r="Y83"/>
  <c r="AB83" s="1"/>
  <c r="AF83" s="1"/>
  <c r="AC83"/>
  <c r="AD83"/>
  <c r="AG83"/>
  <c r="Y84"/>
  <c r="AB84" s="1"/>
  <c r="AF84" s="1"/>
  <c r="AC84"/>
  <c r="AD84"/>
  <c r="AG84"/>
  <c r="Y85"/>
  <c r="AB85" s="1"/>
  <c r="AF85" s="1"/>
  <c r="AC85"/>
  <c r="AD85"/>
  <c r="AG85"/>
  <c r="Y86"/>
  <c r="AB86" s="1"/>
  <c r="AF86" s="1"/>
  <c r="AC86"/>
  <c r="AD86"/>
  <c r="AG86"/>
  <c r="Y87"/>
  <c r="AB87" s="1"/>
  <c r="AF87" s="1"/>
  <c r="AC87"/>
  <c r="AD87"/>
  <c r="AG87"/>
  <c r="Y88"/>
  <c r="AB88" s="1"/>
  <c r="AF88" s="1"/>
  <c r="AC88"/>
  <c r="AD88"/>
  <c r="AG88"/>
  <c r="Y89"/>
  <c r="AB89" s="1"/>
  <c r="AF89" s="1"/>
  <c r="AC89"/>
  <c r="AD89"/>
  <c r="AG89"/>
  <c r="Y90"/>
  <c r="AB90" s="1"/>
  <c r="AF90" s="1"/>
  <c r="AC90"/>
  <c r="AD90"/>
  <c r="AG90"/>
  <c r="Y91"/>
  <c r="AB91" s="1"/>
  <c r="AF91" s="1"/>
  <c r="AC91"/>
  <c r="AD91"/>
  <c r="AG91"/>
  <c r="Y92"/>
  <c r="AB92" s="1"/>
  <c r="AF92" s="1"/>
  <c r="AC92"/>
  <c r="AD92"/>
  <c r="AG92"/>
  <c r="Y93"/>
  <c r="AB93" s="1"/>
  <c r="AF93" s="1"/>
  <c r="AC93"/>
  <c r="AD93"/>
  <c r="AG93"/>
  <c r="Y94"/>
  <c r="AB94" s="1"/>
  <c r="AF94" s="1"/>
  <c r="AC94"/>
  <c r="AD94"/>
  <c r="AG94"/>
  <c r="Y95"/>
  <c r="AB95" s="1"/>
  <c r="AF95" s="1"/>
  <c r="AC95"/>
  <c r="AD95"/>
  <c r="AG95"/>
  <c r="Y96"/>
  <c r="AB96" s="1"/>
  <c r="AF96" s="1"/>
  <c r="AC96"/>
  <c r="AD96"/>
  <c r="AG96"/>
  <c r="Y97"/>
  <c r="AB97" s="1"/>
  <c r="AF97" s="1"/>
  <c r="AC97"/>
  <c r="AD97"/>
  <c r="AG97"/>
  <c r="Y98"/>
  <c r="AB98" s="1"/>
  <c r="AF98" s="1"/>
  <c r="AC98"/>
  <c r="AD98"/>
  <c r="AG98"/>
  <c r="Y99"/>
  <c r="AB99" s="1"/>
  <c r="AF99" s="1"/>
  <c r="AC99"/>
  <c r="AD99"/>
  <c r="AG99"/>
  <c r="Y100"/>
  <c r="AB100" s="1"/>
  <c r="AF100" s="1"/>
  <c r="AC100"/>
  <c r="AD100"/>
  <c r="AG100"/>
  <c r="Y101"/>
  <c r="AB101" s="1"/>
  <c r="AF101" s="1"/>
  <c r="AC101"/>
  <c r="AD101"/>
  <c r="AG101"/>
  <c r="Y102"/>
  <c r="AB102" s="1"/>
  <c r="AF102" s="1"/>
  <c r="AC102"/>
  <c r="AD102"/>
  <c r="AG102"/>
  <c r="Y103"/>
  <c r="AB103" s="1"/>
  <c r="AF103" s="1"/>
  <c r="AC103"/>
  <c r="AD103"/>
  <c r="AG103"/>
  <c r="Y104"/>
  <c r="AB104" s="1"/>
  <c r="AF104" s="1"/>
  <c r="AC104"/>
  <c r="AD104"/>
  <c r="AG104"/>
  <c r="Y105"/>
  <c r="AB105" s="1"/>
  <c r="AF105" s="1"/>
  <c r="AC105"/>
  <c r="AD105"/>
  <c r="AG105"/>
  <c r="Y106"/>
  <c r="AB106" s="1"/>
  <c r="AF106" s="1"/>
  <c r="AC106"/>
  <c r="AD106"/>
  <c r="AG106"/>
  <c r="Y107"/>
  <c r="AB107" s="1"/>
  <c r="AF107" s="1"/>
  <c r="AC107"/>
  <c r="AD107"/>
  <c r="AG107"/>
  <c r="Y108"/>
  <c r="AB108" s="1"/>
  <c r="AF108" s="1"/>
  <c r="AC108"/>
  <c r="AD108"/>
  <c r="AG108"/>
  <c r="Y109"/>
  <c r="AB109" s="1"/>
  <c r="AF109" s="1"/>
  <c r="AC109"/>
  <c r="AD109"/>
  <c r="AG109"/>
  <c r="Y110"/>
  <c r="AB110" s="1"/>
  <c r="AF110" s="1"/>
  <c r="AC110"/>
  <c r="AD110"/>
  <c r="AG110"/>
  <c r="Y111"/>
  <c r="AB111" s="1"/>
  <c r="AF111" s="1"/>
  <c r="AC111"/>
  <c r="AD111"/>
  <c r="AG111"/>
  <c r="Y112"/>
  <c r="AB112" s="1"/>
  <c r="AF112" s="1"/>
  <c r="AC112"/>
  <c r="AD112"/>
  <c r="AG112"/>
  <c r="Y113"/>
  <c r="AB113" s="1"/>
  <c r="AF113" s="1"/>
  <c r="AC113"/>
  <c r="AD113"/>
  <c r="AG113"/>
  <c r="Y114"/>
  <c r="AB114" s="1"/>
  <c r="AF114" s="1"/>
  <c r="AC114"/>
  <c r="AD114"/>
  <c r="AG114"/>
  <c r="Y115"/>
  <c r="AB115" s="1"/>
  <c r="AF115" s="1"/>
  <c r="AC115"/>
  <c r="AD115"/>
  <c r="AG115"/>
  <c r="Y116"/>
  <c r="AB116" s="1"/>
  <c r="AF116" s="1"/>
  <c r="AC116"/>
  <c r="AD116"/>
  <c r="AG116"/>
  <c r="Y117"/>
  <c r="AB117" s="1"/>
  <c r="AF117" s="1"/>
  <c r="AC117"/>
  <c r="AD117"/>
  <c r="AG117"/>
  <c r="Y118"/>
  <c r="AB118" s="1"/>
  <c r="AF118" s="1"/>
  <c r="AC118"/>
  <c r="AD118"/>
  <c r="AG118"/>
  <c r="Y119"/>
  <c r="AB119" s="1"/>
  <c r="AF119" s="1"/>
  <c r="AC119"/>
  <c r="AD119"/>
  <c r="AG119"/>
  <c r="Y120"/>
  <c r="AB120" s="1"/>
  <c r="AF120" s="1"/>
  <c r="AC120"/>
  <c r="AD120"/>
  <c r="AG120"/>
  <c r="Y121"/>
  <c r="AB121" s="1"/>
  <c r="AF121" s="1"/>
  <c r="AC121"/>
  <c r="AD121"/>
  <c r="AG121"/>
  <c r="Y122"/>
  <c r="AB122" s="1"/>
  <c r="AF122" s="1"/>
  <c r="AC122"/>
  <c r="AD122"/>
  <c r="AG122"/>
  <c r="Y123"/>
  <c r="AB123" s="1"/>
  <c r="AF123" s="1"/>
  <c r="AC123"/>
  <c r="AD123"/>
  <c r="AG123"/>
  <c r="Y124"/>
  <c r="AB124" s="1"/>
  <c r="AF124" s="1"/>
  <c r="AC124"/>
  <c r="AD124"/>
  <c r="AG124"/>
  <c r="Y125"/>
  <c r="AB125" s="1"/>
  <c r="AF125" s="1"/>
  <c r="AC125"/>
  <c r="AD125"/>
  <c r="AG125"/>
  <c r="Y126"/>
  <c r="AB126" s="1"/>
  <c r="AF126" s="1"/>
  <c r="AC126"/>
  <c r="AD126"/>
  <c r="AG126"/>
  <c r="Y127"/>
  <c r="AB127" s="1"/>
  <c r="AF127" s="1"/>
  <c r="AC127"/>
  <c r="AD127"/>
  <c r="AG127"/>
  <c r="Y128"/>
  <c r="AB128" s="1"/>
  <c r="AF128" s="1"/>
  <c r="AC128"/>
  <c r="AD128"/>
  <c r="AG128"/>
  <c r="Y129"/>
  <c r="AB129" s="1"/>
  <c r="AF129" s="1"/>
  <c r="AC129"/>
  <c r="AD129"/>
  <c r="AG129"/>
  <c r="Y130"/>
  <c r="AB130" s="1"/>
  <c r="AF130" s="1"/>
  <c r="AC130"/>
  <c r="AD130"/>
  <c r="AG130"/>
  <c r="Y131"/>
  <c r="AB131" s="1"/>
  <c r="AF131" s="1"/>
  <c r="AC131"/>
  <c r="AD131"/>
  <c r="AG131"/>
  <c r="Y132"/>
  <c r="AB132" s="1"/>
  <c r="AF132" s="1"/>
  <c r="AC132"/>
  <c r="AD132"/>
  <c r="AG132"/>
  <c r="Y133"/>
  <c r="AB133" s="1"/>
  <c r="AF133" s="1"/>
  <c r="AC133"/>
  <c r="AD133"/>
  <c r="AG133"/>
  <c r="Y134"/>
  <c r="AB134" s="1"/>
  <c r="AF134" s="1"/>
  <c r="AC134"/>
  <c r="AD134"/>
  <c r="AG134"/>
  <c r="Y135"/>
  <c r="AB135" s="1"/>
  <c r="AF135" s="1"/>
  <c r="AC135"/>
  <c r="AD135"/>
  <c r="AG135"/>
  <c r="Y136"/>
  <c r="AB136" s="1"/>
  <c r="AF136" s="1"/>
  <c r="AC136"/>
  <c r="AD136"/>
  <c r="AG136"/>
  <c r="Y137"/>
  <c r="AB137" s="1"/>
  <c r="AF137" s="1"/>
  <c r="AC137"/>
  <c r="AD137"/>
  <c r="AG137"/>
  <c r="Y138"/>
  <c r="AB138" s="1"/>
  <c r="AF138" s="1"/>
  <c r="AC138"/>
  <c r="AD138"/>
  <c r="AG138"/>
  <c r="Y139"/>
  <c r="AB139" s="1"/>
  <c r="AF139" s="1"/>
  <c r="AC139"/>
  <c r="AD139"/>
  <c r="AG139"/>
  <c r="Y140"/>
  <c r="AB140" s="1"/>
  <c r="AF140" s="1"/>
  <c r="AC140"/>
  <c r="AD140"/>
  <c r="AG140"/>
  <c r="Y141"/>
  <c r="AB141" s="1"/>
  <c r="AF141" s="1"/>
  <c r="AC141"/>
  <c r="AD141"/>
  <c r="AG141"/>
  <c r="Y142"/>
  <c r="AB142" s="1"/>
  <c r="AF142" s="1"/>
  <c r="AC142"/>
  <c r="AD142"/>
  <c r="AG142"/>
  <c r="Y143"/>
  <c r="AB143" s="1"/>
  <c r="AF143" s="1"/>
  <c r="AC143"/>
  <c r="AD143"/>
  <c r="AG143"/>
  <c r="Y144"/>
  <c r="AB144" s="1"/>
  <c r="AF144" s="1"/>
  <c r="AC144"/>
  <c r="AD144"/>
  <c r="AG144"/>
  <c r="Y145"/>
  <c r="AB145" s="1"/>
  <c r="AF145" s="1"/>
  <c r="AC145"/>
  <c r="AD145"/>
  <c r="AG145"/>
  <c r="Y146"/>
  <c r="AB146" s="1"/>
  <c r="AF146" s="1"/>
  <c r="AC146"/>
  <c r="AD146"/>
  <c r="AG146"/>
  <c r="Y147"/>
  <c r="AB147" s="1"/>
  <c r="AF147" s="1"/>
  <c r="AC147"/>
  <c r="AD147"/>
  <c r="AG147"/>
  <c r="Y148"/>
  <c r="AB148" s="1"/>
  <c r="AF148" s="1"/>
  <c r="AC148"/>
  <c r="AD148"/>
  <c r="AG148"/>
  <c r="Y149"/>
  <c r="AB149" s="1"/>
  <c r="AF149" s="1"/>
  <c r="AC149"/>
  <c r="AD149"/>
  <c r="AG149"/>
  <c r="Y150"/>
  <c r="AB150" s="1"/>
  <c r="AF150" s="1"/>
  <c r="AC150"/>
  <c r="AD150"/>
  <c r="AG150"/>
  <c r="Y151"/>
  <c r="AB151" s="1"/>
  <c r="AF151" s="1"/>
  <c r="AC151"/>
  <c r="AD151"/>
  <c r="AG151"/>
  <c r="Y152"/>
  <c r="AB152" s="1"/>
  <c r="AF152" s="1"/>
  <c r="AC152"/>
  <c r="AD152"/>
  <c r="AG152"/>
  <c r="Y153"/>
  <c r="AB153" s="1"/>
  <c r="AF153" s="1"/>
  <c r="AC153"/>
  <c r="AD153"/>
  <c r="AG153"/>
  <c r="Y154"/>
  <c r="AB154" s="1"/>
  <c r="AF154" s="1"/>
  <c r="AC154"/>
  <c r="AD154"/>
  <c r="AG154"/>
  <c r="Y155"/>
  <c r="AB155" s="1"/>
  <c r="AF155" s="1"/>
  <c r="AC155"/>
  <c r="AD155"/>
  <c r="AG155"/>
  <c r="Y156"/>
  <c r="AB156" s="1"/>
  <c r="AF156" s="1"/>
  <c r="AC156"/>
  <c r="AD156"/>
  <c r="AG156"/>
  <c r="Y157"/>
  <c r="AB157" s="1"/>
  <c r="AF157" s="1"/>
  <c r="AC157"/>
  <c r="AD157"/>
  <c r="AG157"/>
  <c r="Y158"/>
  <c r="AB158" s="1"/>
  <c r="AF158" s="1"/>
  <c r="AC158"/>
  <c r="AD158"/>
  <c r="AG158"/>
  <c r="Y159"/>
  <c r="AB159" s="1"/>
  <c r="AF159" s="1"/>
  <c r="AC159"/>
  <c r="AD159"/>
  <c r="AG159"/>
  <c r="Y160"/>
  <c r="AB160" s="1"/>
  <c r="AF160" s="1"/>
  <c r="AC160"/>
  <c r="AD160"/>
  <c r="AG160"/>
  <c r="Y161"/>
  <c r="AB161" s="1"/>
  <c r="AF161" s="1"/>
  <c r="AC161"/>
  <c r="AD161"/>
  <c r="AG161"/>
  <c r="Y162"/>
  <c r="AB162" s="1"/>
  <c r="AF162" s="1"/>
  <c r="AC162"/>
  <c r="AD162"/>
  <c r="AG162"/>
  <c r="Y163"/>
  <c r="AB163" s="1"/>
  <c r="AF163" s="1"/>
  <c r="AC163"/>
  <c r="AD163"/>
  <c r="AG163"/>
  <c r="Y164"/>
  <c r="AB164" s="1"/>
  <c r="AF164" s="1"/>
  <c r="AC164"/>
  <c r="AD164"/>
  <c r="AG164"/>
  <c r="Y165"/>
  <c r="AB165" s="1"/>
  <c r="AF165" s="1"/>
  <c r="AC165"/>
  <c r="AD165"/>
  <c r="AG165"/>
  <c r="Y166"/>
  <c r="AB166" s="1"/>
  <c r="AF166" s="1"/>
  <c r="AC166"/>
  <c r="AD166"/>
  <c r="AG166"/>
  <c r="Y167"/>
  <c r="AB167" s="1"/>
  <c r="AF167" s="1"/>
  <c r="AC167"/>
  <c r="AD167"/>
  <c r="AG167"/>
  <c r="Y168"/>
  <c r="AB168" s="1"/>
  <c r="AF168" s="1"/>
  <c r="AC168"/>
  <c r="AD168"/>
  <c r="AG168"/>
  <c r="Y169"/>
  <c r="AB169" s="1"/>
  <c r="AF169" s="1"/>
  <c r="AC169"/>
  <c r="AD169"/>
  <c r="AG169"/>
  <c r="Y170"/>
  <c r="AB170" s="1"/>
  <c r="AF170" s="1"/>
  <c r="AC170"/>
  <c r="AD170"/>
  <c r="AG170"/>
  <c r="Y171"/>
  <c r="AB171" s="1"/>
  <c r="AF171" s="1"/>
  <c r="AC171"/>
  <c r="AD171"/>
  <c r="AG171"/>
  <c r="Y172"/>
  <c r="AB172" s="1"/>
  <c r="AF172" s="1"/>
  <c r="AC172"/>
  <c r="AD172"/>
  <c r="AG172"/>
  <c r="Y173"/>
  <c r="AB173" s="1"/>
  <c r="AF173" s="1"/>
  <c r="AC173"/>
  <c r="AD173"/>
  <c r="AG173"/>
  <c r="Y174"/>
  <c r="AB174" s="1"/>
  <c r="AF174" s="1"/>
  <c r="AC174"/>
  <c r="AD174"/>
  <c r="AG174"/>
  <c r="Y175"/>
  <c r="AB175" s="1"/>
  <c r="AF175" s="1"/>
  <c r="AC175"/>
  <c r="AD175"/>
  <c r="AG175"/>
  <c r="Y176"/>
  <c r="AB176" s="1"/>
  <c r="AF176" s="1"/>
  <c r="AC176"/>
  <c r="AD176"/>
  <c r="AG176"/>
  <c r="Y177"/>
  <c r="AB177" s="1"/>
  <c r="AF177" s="1"/>
  <c r="AC177"/>
  <c r="AD177"/>
  <c r="AG177"/>
  <c r="Y178"/>
  <c r="AB178" s="1"/>
  <c r="AF178" s="1"/>
  <c r="AC178"/>
  <c r="AD178"/>
  <c r="AG178"/>
  <c r="Y179"/>
  <c r="AB179" s="1"/>
  <c r="AF179" s="1"/>
  <c r="AC179"/>
  <c r="AD179"/>
  <c r="AG179"/>
  <c r="Y180"/>
  <c r="AB180" s="1"/>
  <c r="AF180" s="1"/>
  <c r="AC180"/>
  <c r="AD180"/>
  <c r="AG180"/>
  <c r="Y181"/>
  <c r="AB181" s="1"/>
  <c r="AF181" s="1"/>
  <c r="AC181"/>
  <c r="AD181"/>
  <c r="AG181"/>
  <c r="Y182"/>
  <c r="AB182" s="1"/>
  <c r="AF182" s="1"/>
  <c r="AC182"/>
  <c r="AD182"/>
  <c r="AG182"/>
  <c r="Y183"/>
  <c r="AB183" s="1"/>
  <c r="AF183" s="1"/>
  <c r="AC183"/>
  <c r="AD183"/>
  <c r="AG183"/>
  <c r="Y184"/>
  <c r="AB184" s="1"/>
  <c r="AF184" s="1"/>
  <c r="AC184"/>
  <c r="AD184"/>
  <c r="AG184"/>
  <c r="Y185"/>
  <c r="AB185" s="1"/>
  <c r="AF185" s="1"/>
  <c r="AC185"/>
  <c r="AD185"/>
  <c r="AG185"/>
  <c r="Y186"/>
  <c r="AB186" s="1"/>
  <c r="AF186" s="1"/>
  <c r="AC186"/>
  <c r="AD186"/>
  <c r="AG186"/>
  <c r="Y187"/>
  <c r="AB187" s="1"/>
  <c r="AF187" s="1"/>
  <c r="AC187"/>
  <c r="AD187"/>
  <c r="AG187"/>
  <c r="Y188"/>
  <c r="AB188" s="1"/>
  <c r="AF188" s="1"/>
  <c r="AC188"/>
  <c r="AD188"/>
  <c r="AG188"/>
  <c r="Y189"/>
  <c r="AB189" s="1"/>
  <c r="AF189" s="1"/>
  <c r="AC189"/>
  <c r="AD189"/>
  <c r="AG189"/>
  <c r="Y190"/>
  <c r="AB190" s="1"/>
  <c r="AF190" s="1"/>
  <c r="AC190"/>
  <c r="AD190"/>
  <c r="AG190"/>
  <c r="Y191"/>
  <c r="AB191" s="1"/>
  <c r="AF191" s="1"/>
  <c r="AC191"/>
  <c r="AD191"/>
  <c r="AG191"/>
  <c r="Y192"/>
  <c r="AB192" s="1"/>
  <c r="AF192" s="1"/>
  <c r="AC192"/>
  <c r="AD192"/>
  <c r="AG192"/>
  <c r="Y193"/>
  <c r="AB193" s="1"/>
  <c r="AF193" s="1"/>
  <c r="AC193"/>
  <c r="AD193"/>
  <c r="AG193"/>
  <c r="Y194"/>
  <c r="AB194" s="1"/>
  <c r="AF194" s="1"/>
  <c r="AC194"/>
  <c r="AD194"/>
  <c r="AG194"/>
  <c r="Y195"/>
  <c r="AB195" s="1"/>
  <c r="AF195" s="1"/>
  <c r="AC195"/>
  <c r="AD195"/>
  <c r="AG195"/>
  <c r="Y196"/>
  <c r="AB196" s="1"/>
  <c r="AF196" s="1"/>
  <c r="AC196"/>
  <c r="AD196"/>
  <c r="AG196"/>
  <c r="Y197"/>
  <c r="AB197" s="1"/>
  <c r="AF197" s="1"/>
  <c r="AC197"/>
  <c r="AD197"/>
  <c r="AG197"/>
  <c r="Y198"/>
  <c r="AB198" s="1"/>
  <c r="AF198" s="1"/>
  <c r="AC198"/>
  <c r="AD198"/>
  <c r="AG198"/>
  <c r="Y199"/>
  <c r="AB199" s="1"/>
  <c r="AF199" s="1"/>
  <c r="AC199"/>
  <c r="AD199"/>
  <c r="AG199"/>
  <c r="Y200"/>
  <c r="AB200" s="1"/>
  <c r="AF200" s="1"/>
  <c r="AC200"/>
  <c r="AD200"/>
  <c r="AG200"/>
  <c r="Y201"/>
  <c r="AB201" s="1"/>
  <c r="AF201" s="1"/>
  <c r="AC201"/>
  <c r="AD201"/>
  <c r="AG201"/>
  <c r="Y202"/>
  <c r="AB202" s="1"/>
  <c r="AF202" s="1"/>
  <c r="AC202"/>
  <c r="AD202"/>
  <c r="AG202"/>
  <c r="Y203"/>
  <c r="AB203" s="1"/>
  <c r="AF203" s="1"/>
  <c r="AC203"/>
  <c r="AD203"/>
  <c r="AG203"/>
  <c r="Y204"/>
  <c r="AB204" s="1"/>
  <c r="AF204" s="1"/>
  <c r="AC204"/>
  <c r="AD204"/>
  <c r="AG204"/>
  <c r="Y205"/>
  <c r="AB205" s="1"/>
  <c r="AF205" s="1"/>
  <c r="AC205"/>
  <c r="AD205"/>
  <c r="AG205"/>
  <c r="Y206"/>
  <c r="AB206" s="1"/>
  <c r="AF206" s="1"/>
  <c r="AC206"/>
  <c r="AD206"/>
  <c r="AG206"/>
  <c r="Y207"/>
  <c r="AB207" s="1"/>
  <c r="AF207" s="1"/>
  <c r="AC207"/>
  <c r="AD207"/>
  <c r="AG207"/>
  <c r="Y208"/>
  <c r="AB208" s="1"/>
  <c r="AF208" s="1"/>
  <c r="AC208"/>
  <c r="AD208"/>
  <c r="AG208"/>
  <c r="Y209"/>
  <c r="AB209" s="1"/>
  <c r="AF209" s="1"/>
  <c r="AC209"/>
  <c r="AD209"/>
  <c r="AG209"/>
  <c r="Y210"/>
  <c r="AB210" s="1"/>
  <c r="AF210" s="1"/>
  <c r="AC210"/>
  <c r="AD210"/>
  <c r="AG210"/>
  <c r="Y211"/>
  <c r="AB211" s="1"/>
  <c r="AF211" s="1"/>
  <c r="AC211"/>
  <c r="AD211"/>
  <c r="AG211"/>
  <c r="Y212"/>
  <c r="AB212" s="1"/>
  <c r="AF212" s="1"/>
  <c r="AC212"/>
  <c r="AD212"/>
  <c r="AG212"/>
  <c r="Y213"/>
  <c r="AB213" s="1"/>
  <c r="AF213" s="1"/>
  <c r="AC213"/>
  <c r="AD213"/>
  <c r="AG213"/>
  <c r="Y214"/>
  <c r="AB214" s="1"/>
  <c r="AF214" s="1"/>
  <c r="AC214"/>
  <c r="AD214"/>
  <c r="AG214"/>
  <c r="Y215"/>
  <c r="AB215" s="1"/>
  <c r="AF215" s="1"/>
  <c r="AC215"/>
  <c r="AD215"/>
  <c r="AG215"/>
  <c r="Y216"/>
  <c r="AB216" s="1"/>
  <c r="AF216" s="1"/>
  <c r="AC216"/>
  <c r="AD216"/>
  <c r="AG216"/>
  <c r="Y217"/>
  <c r="AB217" s="1"/>
  <c r="AF217" s="1"/>
  <c r="AC217"/>
  <c r="AD217"/>
  <c r="AG217"/>
  <c r="Y218"/>
  <c r="AB218" s="1"/>
  <c r="AF218" s="1"/>
  <c r="AC218"/>
  <c r="AD218"/>
  <c r="AG218"/>
  <c r="Y219"/>
  <c r="AB219" s="1"/>
  <c r="AF219" s="1"/>
  <c r="AC219"/>
  <c r="AD219"/>
  <c r="AG219"/>
  <c r="Y220"/>
  <c r="AB220" s="1"/>
  <c r="AF220" s="1"/>
  <c r="AC220"/>
  <c r="AD220"/>
  <c r="AG220"/>
  <c r="Y221"/>
  <c r="AB221" s="1"/>
  <c r="AF221" s="1"/>
  <c r="AC221"/>
  <c r="AD221"/>
  <c r="AG221"/>
  <c r="Y222"/>
  <c r="AB222" s="1"/>
  <c r="AF222" s="1"/>
  <c r="AC222"/>
  <c r="AD222"/>
  <c r="AG222"/>
  <c r="Y223"/>
  <c r="AB223" s="1"/>
  <c r="AF223" s="1"/>
  <c r="AC223"/>
  <c r="AD223"/>
  <c r="AG223"/>
  <c r="Y224"/>
  <c r="AB224" s="1"/>
  <c r="AF224" s="1"/>
  <c r="AC224"/>
  <c r="AD224"/>
  <c r="AG224"/>
  <c r="Y225"/>
  <c r="AB225" s="1"/>
  <c r="AF225" s="1"/>
  <c r="AC225"/>
  <c r="AD225"/>
  <c r="AG225"/>
  <c r="Y226"/>
  <c r="AB226" s="1"/>
  <c r="AF226" s="1"/>
  <c r="AC226"/>
  <c r="AD226"/>
  <c r="AG226"/>
  <c r="Y227"/>
  <c r="AB227" s="1"/>
  <c r="AF227" s="1"/>
  <c r="AC227"/>
  <c r="AD227"/>
  <c r="AG227"/>
  <c r="Y228"/>
  <c r="AB228" s="1"/>
  <c r="AF228" s="1"/>
  <c r="AC228"/>
  <c r="AD228"/>
  <c r="AG228"/>
  <c r="Y229"/>
  <c r="AB229" s="1"/>
  <c r="AF229" s="1"/>
  <c r="AC229"/>
  <c r="AD229"/>
  <c r="AG229"/>
  <c r="Y230"/>
  <c r="AB230" s="1"/>
  <c r="AF230" s="1"/>
  <c r="AC230"/>
  <c r="AD230"/>
  <c r="AG230"/>
  <c r="Y231"/>
  <c r="AB231" s="1"/>
  <c r="AF231" s="1"/>
  <c r="AC231"/>
  <c r="AD231"/>
  <c r="AG231"/>
  <c r="Y232"/>
  <c r="AB232" s="1"/>
  <c r="AF232" s="1"/>
  <c r="AC232"/>
  <c r="AD232"/>
  <c r="AG232"/>
  <c r="Y233"/>
  <c r="AB233" s="1"/>
  <c r="AF233" s="1"/>
  <c r="AC233"/>
  <c r="AD233"/>
  <c r="AG233"/>
  <c r="Y234"/>
  <c r="AB234" s="1"/>
  <c r="AF234" s="1"/>
  <c r="AC234"/>
  <c r="AD234"/>
  <c r="AG234"/>
  <c r="Y235"/>
  <c r="AB235" s="1"/>
  <c r="AF235" s="1"/>
  <c r="AC235"/>
  <c r="AD235"/>
  <c r="AG235"/>
  <c r="Y236"/>
  <c r="AB236" s="1"/>
  <c r="AF236" s="1"/>
  <c r="AC236"/>
  <c r="AD236"/>
  <c r="AG236"/>
  <c r="Y237"/>
  <c r="AB237" s="1"/>
  <c r="AF237" s="1"/>
  <c r="AC237"/>
  <c r="AD237"/>
  <c r="AG237"/>
  <c r="Y238"/>
  <c r="AB238" s="1"/>
  <c r="AF238" s="1"/>
  <c r="AC238"/>
  <c r="AD238"/>
  <c r="AG238"/>
  <c r="Y239"/>
  <c r="AB239" s="1"/>
  <c r="AF239" s="1"/>
  <c r="AC239"/>
  <c r="AD239"/>
  <c r="AG239"/>
  <c r="Y240"/>
  <c r="AB240" s="1"/>
  <c r="AF240" s="1"/>
  <c r="AC240"/>
  <c r="AD240"/>
  <c r="AG240"/>
  <c r="Y241"/>
  <c r="AB241" s="1"/>
  <c r="AF241" s="1"/>
  <c r="AC241"/>
  <c r="AD241"/>
  <c r="AG241"/>
  <c r="Y242"/>
  <c r="AB242" s="1"/>
  <c r="AF242" s="1"/>
  <c r="AC242"/>
  <c r="AD242"/>
  <c r="AG242"/>
  <c r="Y243"/>
  <c r="AB243" s="1"/>
  <c r="AF243" s="1"/>
  <c r="AC243"/>
  <c r="AD243"/>
  <c r="AG243"/>
  <c r="Y244"/>
  <c r="AB244" s="1"/>
  <c r="AF244" s="1"/>
  <c r="AC244"/>
  <c r="AD244"/>
  <c r="AG244"/>
  <c r="Y245"/>
  <c r="AB245" s="1"/>
  <c r="AF245" s="1"/>
  <c r="AC245"/>
  <c r="AD245"/>
  <c r="AG245"/>
  <c r="Y246"/>
  <c r="AB246" s="1"/>
  <c r="AF246" s="1"/>
  <c r="AC246"/>
  <c r="AD246"/>
  <c r="AG246"/>
  <c r="Y247"/>
  <c r="AB247" s="1"/>
  <c r="AF247" s="1"/>
  <c r="AC247"/>
  <c r="AD247"/>
  <c r="AG247"/>
  <c r="Y248"/>
  <c r="AB248" s="1"/>
  <c r="AF248" s="1"/>
  <c r="AC248"/>
  <c r="AD248"/>
  <c r="AG248"/>
  <c r="Y249"/>
  <c r="AB249" s="1"/>
  <c r="AF249" s="1"/>
  <c r="AC249"/>
  <c r="AD249"/>
  <c r="AG249"/>
  <c r="Y250"/>
  <c r="AB250" s="1"/>
  <c r="AF250" s="1"/>
  <c r="AC250"/>
  <c r="AD250"/>
  <c r="AG250"/>
  <c r="Y251"/>
  <c r="AB251" s="1"/>
  <c r="AF251" s="1"/>
  <c r="AC251"/>
  <c r="AD251"/>
  <c r="AG251"/>
  <c r="Y252"/>
  <c r="AB252" s="1"/>
  <c r="AF252" s="1"/>
  <c r="AC252"/>
  <c r="AD252"/>
  <c r="AG252"/>
  <c r="Y253"/>
  <c r="AB253" s="1"/>
  <c r="AF253" s="1"/>
  <c r="AC253"/>
  <c r="AD253"/>
  <c r="AG253"/>
  <c r="Y254"/>
  <c r="AB254" s="1"/>
  <c r="AF254" s="1"/>
  <c r="AC254"/>
  <c r="AD254"/>
  <c r="AG254"/>
  <c r="Y255"/>
  <c r="AB255" s="1"/>
  <c r="AF255" s="1"/>
  <c r="AC255"/>
  <c r="AD255"/>
  <c r="AG255"/>
  <c r="Y256"/>
  <c r="AB256" s="1"/>
  <c r="AF256" s="1"/>
  <c r="AC256"/>
  <c r="AD256"/>
  <c r="AG256"/>
  <c r="Y257"/>
  <c r="AB257" s="1"/>
  <c r="AF257" s="1"/>
  <c r="AC257"/>
  <c r="AD257"/>
  <c r="AG257"/>
  <c r="Y258"/>
  <c r="AB258" s="1"/>
  <c r="AF258" s="1"/>
  <c r="AC258"/>
  <c r="AD258"/>
  <c r="AG258"/>
  <c r="Y259"/>
  <c r="AB259" s="1"/>
  <c r="AF259" s="1"/>
  <c r="AC259"/>
  <c r="AD259"/>
  <c r="AG259"/>
  <c r="Y260"/>
  <c r="AB260" s="1"/>
  <c r="AF260" s="1"/>
  <c r="AC260"/>
  <c r="AD260"/>
  <c r="AG260"/>
  <c r="Y261"/>
  <c r="AB261" s="1"/>
  <c r="AF261" s="1"/>
  <c r="AC261"/>
  <c r="AD261"/>
  <c r="AG261"/>
  <c r="Y262"/>
  <c r="AB262" s="1"/>
  <c r="AF262" s="1"/>
  <c r="AC262"/>
  <c r="AD262"/>
  <c r="AG262"/>
  <c r="Y263"/>
  <c r="AB263" s="1"/>
  <c r="AF263" s="1"/>
  <c r="AC263"/>
  <c r="AD263"/>
  <c r="AG263"/>
  <c r="Y264"/>
  <c r="AB264" s="1"/>
  <c r="AF264" s="1"/>
  <c r="AC264"/>
  <c r="AD264"/>
  <c r="AG264"/>
  <c r="Y265"/>
  <c r="AB265" s="1"/>
  <c r="AF265" s="1"/>
  <c r="AC265"/>
  <c r="AD265"/>
  <c r="AG265"/>
  <c r="Y266"/>
  <c r="AB266" s="1"/>
  <c r="AF266" s="1"/>
  <c r="AC266"/>
  <c r="AD266"/>
  <c r="AG266"/>
  <c r="Y267"/>
  <c r="AB267" s="1"/>
  <c r="AF267" s="1"/>
  <c r="AC267"/>
  <c r="AD267"/>
  <c r="AG267"/>
  <c r="Y268"/>
  <c r="AB268" s="1"/>
  <c r="AF268" s="1"/>
  <c r="AC268"/>
  <c r="AD268"/>
  <c r="AG268"/>
  <c r="Y269"/>
  <c r="AB269" s="1"/>
  <c r="AF269" s="1"/>
  <c r="AC269"/>
  <c r="AD269"/>
  <c r="AG269"/>
  <c r="Y270"/>
  <c r="AB270" s="1"/>
  <c r="AF270" s="1"/>
  <c r="AC270"/>
  <c r="AD270"/>
  <c r="AG270"/>
  <c r="Y271"/>
  <c r="AB271" s="1"/>
  <c r="AF271" s="1"/>
  <c r="AC271"/>
  <c r="AD271"/>
  <c r="AG271"/>
  <c r="Y272"/>
  <c r="AB272" s="1"/>
  <c r="AF272" s="1"/>
  <c r="AC272"/>
  <c r="AD272"/>
  <c r="AG272"/>
  <c r="Y273"/>
  <c r="AB273" s="1"/>
  <c r="AF273" s="1"/>
  <c r="AC273"/>
  <c r="AD273"/>
  <c r="AG273"/>
  <c r="Y274"/>
  <c r="AB274" s="1"/>
  <c r="AF274" s="1"/>
  <c r="AC274"/>
  <c r="AD274"/>
  <c r="AG274"/>
  <c r="Y275"/>
  <c r="AB275" s="1"/>
  <c r="AF275" s="1"/>
  <c r="AC275"/>
  <c r="AD275"/>
  <c r="AG275"/>
  <c r="Y276"/>
  <c r="AB276" s="1"/>
  <c r="AF276" s="1"/>
  <c r="AC276"/>
  <c r="AD276"/>
  <c r="AG276"/>
  <c r="Y277"/>
  <c r="AB277" s="1"/>
  <c r="AF277" s="1"/>
  <c r="AC277"/>
  <c r="AD277"/>
  <c r="AG277"/>
  <c r="Y278"/>
  <c r="AB278" s="1"/>
  <c r="AF278" s="1"/>
  <c r="AC278"/>
  <c r="AD278"/>
  <c r="AG278"/>
  <c r="Y279"/>
  <c r="AB279" s="1"/>
  <c r="AF279" s="1"/>
  <c r="AC279"/>
  <c r="AD279"/>
  <c r="AG279"/>
  <c r="Y280"/>
  <c r="AB280" s="1"/>
  <c r="AF280" s="1"/>
  <c r="AC280"/>
  <c r="AD280"/>
  <c r="AG280"/>
  <c r="Y281"/>
  <c r="AB281" s="1"/>
  <c r="AF281" s="1"/>
  <c r="AC281"/>
  <c r="AD281"/>
  <c r="AG281"/>
  <c r="Y282"/>
  <c r="AB282" s="1"/>
  <c r="AF282" s="1"/>
  <c r="AC282"/>
  <c r="AD282"/>
  <c r="AG282"/>
  <c r="Y283"/>
  <c r="AB283" s="1"/>
  <c r="AF283" s="1"/>
  <c r="AC283"/>
  <c r="AD283"/>
  <c r="AG283"/>
  <c r="Y284"/>
  <c r="AB284" s="1"/>
  <c r="AF284" s="1"/>
  <c r="AC284"/>
  <c r="AD284"/>
  <c r="AG284"/>
  <c r="Y285"/>
  <c r="AB285" s="1"/>
  <c r="AF285" s="1"/>
  <c r="AC285"/>
  <c r="AD285"/>
  <c r="AG285"/>
  <c r="Y286"/>
  <c r="AB286" s="1"/>
  <c r="AF286" s="1"/>
  <c r="AC286"/>
  <c r="AD286"/>
  <c r="AG286"/>
  <c r="Y287"/>
  <c r="AB287" s="1"/>
  <c r="AF287" s="1"/>
  <c r="AC287"/>
  <c r="AD287"/>
  <c r="AG287"/>
  <c r="Y288"/>
  <c r="AB288" s="1"/>
  <c r="AF288" s="1"/>
  <c r="AC288"/>
  <c r="AD288"/>
  <c r="AG288"/>
  <c r="Y289"/>
  <c r="AB289" s="1"/>
  <c r="AF289" s="1"/>
  <c r="AC289"/>
  <c r="AD289"/>
  <c r="AG289"/>
  <c r="Y290"/>
  <c r="AB290" s="1"/>
  <c r="AF290" s="1"/>
  <c r="AC290"/>
  <c r="AD290"/>
  <c r="AG290"/>
  <c r="Y291"/>
  <c r="AB291" s="1"/>
  <c r="AF291" s="1"/>
  <c r="AC291"/>
  <c r="AD291"/>
  <c r="AG291"/>
  <c r="Y292"/>
  <c r="AB292" s="1"/>
  <c r="AF292" s="1"/>
  <c r="AC292"/>
  <c r="AD292"/>
  <c r="AG292"/>
  <c r="Y293"/>
  <c r="AB293" s="1"/>
  <c r="AF293" s="1"/>
  <c r="AC293"/>
  <c r="AD293"/>
  <c r="AG293"/>
  <c r="Y294"/>
  <c r="AB294" s="1"/>
  <c r="AF294" s="1"/>
  <c r="AC294"/>
  <c r="AD294"/>
  <c r="AG294"/>
  <c r="Y295"/>
  <c r="AB295" s="1"/>
  <c r="AF295" s="1"/>
  <c r="AC295"/>
  <c r="AD295"/>
  <c r="AG295"/>
  <c r="Y296"/>
  <c r="AB296" s="1"/>
  <c r="AF296" s="1"/>
  <c r="AC296"/>
  <c r="AD296"/>
  <c r="AG296"/>
  <c r="Y297"/>
  <c r="AB297" s="1"/>
  <c r="AF297" s="1"/>
  <c r="AC297"/>
  <c r="AD297"/>
  <c r="AG297"/>
  <c r="Y298"/>
  <c r="AB298" s="1"/>
  <c r="AF298" s="1"/>
  <c r="AC298"/>
  <c r="AD298"/>
  <c r="AG298"/>
  <c r="Y299"/>
  <c r="AB299" s="1"/>
  <c r="AF299" s="1"/>
  <c r="AC299"/>
  <c r="AD299"/>
  <c r="AG299"/>
  <c r="Y300"/>
  <c r="AB300" s="1"/>
  <c r="AF300" s="1"/>
  <c r="AC300"/>
  <c r="AD300"/>
  <c r="AG300"/>
  <c r="Y301"/>
  <c r="AB301" s="1"/>
  <c r="AF301" s="1"/>
  <c r="AC301"/>
  <c r="AD301"/>
  <c r="AG301"/>
  <c r="Y302"/>
  <c r="AB302" s="1"/>
  <c r="AF302" s="1"/>
  <c r="AC302"/>
  <c r="AD302"/>
  <c r="AG302"/>
  <c r="Y303"/>
  <c r="AB303" s="1"/>
  <c r="AF303" s="1"/>
  <c r="AC303"/>
  <c r="AD303"/>
  <c r="AG303"/>
  <c r="Y304"/>
  <c r="AB304" s="1"/>
  <c r="AF304" s="1"/>
  <c r="AC304"/>
  <c r="AD304"/>
  <c r="AG304"/>
  <c r="Y305"/>
  <c r="AB305" s="1"/>
  <c r="AF305" s="1"/>
  <c r="AC305"/>
  <c r="AD305"/>
  <c r="AG305"/>
  <c r="Y306"/>
  <c r="AB306" s="1"/>
  <c r="AF306" s="1"/>
  <c r="AC306"/>
  <c r="AD306"/>
  <c r="AG306"/>
  <c r="Y307"/>
  <c r="AB307" s="1"/>
  <c r="AF307" s="1"/>
  <c r="AC307"/>
  <c r="AD307"/>
  <c r="AG307"/>
  <c r="Y308"/>
  <c r="AB308" s="1"/>
  <c r="AF308" s="1"/>
  <c r="AC308"/>
  <c r="AD308"/>
  <c r="AG308"/>
  <c r="Y309"/>
  <c r="AC309"/>
  <c r="AD309"/>
  <c r="AG309"/>
  <c r="Y310"/>
  <c r="AC310"/>
  <c r="AD310"/>
  <c r="AG310"/>
  <c r="Y311"/>
  <c r="AC311"/>
  <c r="AD311"/>
  <c r="AG311"/>
  <c r="Y312"/>
  <c r="AC312"/>
  <c r="AD312"/>
  <c r="AG312"/>
  <c r="Y313"/>
  <c r="AC313"/>
  <c r="AD313"/>
  <c r="AG313"/>
  <c r="Y314"/>
  <c r="AC314"/>
  <c r="AD314"/>
  <c r="AG314"/>
  <c r="Y315"/>
  <c r="AC315"/>
  <c r="AD315"/>
  <c r="AG315"/>
  <c r="Y316"/>
  <c r="AC316"/>
  <c r="AD316"/>
  <c r="AG316"/>
  <c r="Y317"/>
  <c r="AC317"/>
  <c r="AD317"/>
  <c r="AG317"/>
  <c r="Y318"/>
  <c r="AC318"/>
  <c r="AD318"/>
  <c r="AG318"/>
  <c r="Y319"/>
  <c r="AC319"/>
  <c r="AD319"/>
  <c r="AG319"/>
  <c r="Y320"/>
  <c r="AC320"/>
  <c r="AD320"/>
  <c r="AG320"/>
  <c r="Y321"/>
  <c r="AC321"/>
  <c r="AD321"/>
  <c r="AG321"/>
  <c r="Y322"/>
  <c r="AC322"/>
  <c r="AD322"/>
  <c r="AG322"/>
  <c r="Y323"/>
  <c r="AC323"/>
  <c r="AD323"/>
  <c r="AG323"/>
  <c r="Y324"/>
  <c r="AC324"/>
  <c r="AD324"/>
  <c r="AG324"/>
  <c r="Y325"/>
  <c r="AC325"/>
  <c r="AD325"/>
  <c r="AG325"/>
  <c r="Y326"/>
  <c r="AC326"/>
  <c r="AD326"/>
  <c r="AG326"/>
  <c r="Y327"/>
  <c r="AC327"/>
  <c r="AD327"/>
  <c r="AG327"/>
  <c r="Y328"/>
  <c r="AC328"/>
  <c r="AD328"/>
  <c r="AG328"/>
  <c r="Y329"/>
  <c r="AC329"/>
  <c r="AD329"/>
  <c r="AG329"/>
  <c r="Y330"/>
  <c r="AC330"/>
  <c r="AD330"/>
  <c r="AG330"/>
  <c r="Y331"/>
  <c r="AC331"/>
  <c r="AD331"/>
  <c r="AG331"/>
  <c r="Y332"/>
  <c r="AC332"/>
  <c r="AD332"/>
  <c r="AG332"/>
  <c r="Y333"/>
  <c r="AC333"/>
  <c r="AD333"/>
  <c r="AG333"/>
  <c r="Y334"/>
  <c r="AC334"/>
  <c r="AD334"/>
  <c r="AG334"/>
  <c r="Y335"/>
  <c r="AC335"/>
  <c r="AD335"/>
  <c r="AG335"/>
  <c r="Y336"/>
  <c r="AC336"/>
  <c r="AD336"/>
  <c r="AG336"/>
  <c r="Y337"/>
  <c r="AC337"/>
  <c r="AD337"/>
  <c r="AG337"/>
  <c r="Y338"/>
  <c r="AC338"/>
  <c r="AD338"/>
  <c r="AG338"/>
  <c r="Y339"/>
  <c r="AC339"/>
  <c r="AD339"/>
  <c r="AG339"/>
  <c r="Y340"/>
  <c r="AC340"/>
  <c r="AD340"/>
  <c r="AG340"/>
  <c r="Y341"/>
  <c r="AC341"/>
  <c r="AD341"/>
  <c r="AG341"/>
  <c r="Y342"/>
  <c r="AC342"/>
  <c r="AD342"/>
  <c r="AG342"/>
  <c r="Y343"/>
  <c r="AC343"/>
  <c r="AD343"/>
  <c r="AG343"/>
  <c r="Y344"/>
  <c r="AC344"/>
  <c r="AD344"/>
  <c r="AG344"/>
  <c r="Y345"/>
  <c r="AC345"/>
  <c r="AD345"/>
  <c r="AG345"/>
  <c r="Y346"/>
  <c r="AC346"/>
  <c r="AD346"/>
  <c r="AG346"/>
  <c r="Y347"/>
  <c r="AC347"/>
  <c r="AD347"/>
  <c r="AG347"/>
  <c r="Y348"/>
  <c r="AC348"/>
  <c r="AD348"/>
  <c r="AG348"/>
  <c r="Y349"/>
  <c r="AC349"/>
  <c r="AD349"/>
  <c r="AG349"/>
  <c r="Y350"/>
  <c r="AC350"/>
  <c r="AD350"/>
  <c r="AG350"/>
  <c r="Y351"/>
  <c r="AC351"/>
  <c r="AD351"/>
  <c r="AG351"/>
  <c r="Y352"/>
  <c r="AC352"/>
  <c r="AD352"/>
  <c r="AG352"/>
  <c r="Y353"/>
  <c r="AC353"/>
  <c r="AD353"/>
  <c r="AG353"/>
  <c r="Y354"/>
  <c r="AC354"/>
  <c r="AD354"/>
  <c r="AG354"/>
  <c r="Y355"/>
  <c r="AC355"/>
  <c r="AD355"/>
  <c r="AG355"/>
  <c r="Y356"/>
  <c r="AC356"/>
  <c r="AD356"/>
  <c r="AG356"/>
  <c r="Y357"/>
  <c r="AC357"/>
  <c r="AD357"/>
  <c r="AG357"/>
  <c r="Y358"/>
  <c r="AC358"/>
  <c r="AD358"/>
  <c r="AG358"/>
  <c r="Y359"/>
  <c r="AC359"/>
  <c r="AD359"/>
  <c r="AG359"/>
  <c r="Y360"/>
  <c r="AC360"/>
  <c r="AD360"/>
  <c r="AG360"/>
  <c r="Y361"/>
  <c r="AC361"/>
  <c r="AD361"/>
  <c r="AG361"/>
  <c r="Y362"/>
  <c r="AC362"/>
  <c r="AD362"/>
  <c r="AG362"/>
  <c r="Y363"/>
  <c r="AC363"/>
  <c r="AD363"/>
  <c r="AG363"/>
  <c r="Y364"/>
  <c r="AC364"/>
  <c r="AD364"/>
  <c r="AG364"/>
  <c r="Y365"/>
  <c r="AC365"/>
  <c r="AD365"/>
  <c r="AG365"/>
  <c r="Y366"/>
  <c r="AC366"/>
  <c r="AD366"/>
  <c r="AG366"/>
  <c r="Y367"/>
  <c r="AC367"/>
  <c r="AD367"/>
  <c r="AG367"/>
  <c r="Y368"/>
  <c r="AC368"/>
  <c r="AD368"/>
  <c r="AG368"/>
  <c r="Y369"/>
  <c r="AC369"/>
  <c r="AD369"/>
  <c r="AG369"/>
  <c r="Y370"/>
  <c r="AC370"/>
  <c r="AD370"/>
  <c r="AG370"/>
  <c r="G371"/>
  <c r="Y371"/>
  <c r="AC371"/>
  <c r="AD371"/>
  <c r="AG371"/>
  <c r="Y372"/>
  <c r="AC372"/>
  <c r="AD372"/>
  <c r="AG372"/>
  <c r="Y373"/>
  <c r="AC373"/>
  <c r="AD373"/>
  <c r="AG373"/>
  <c r="Y374"/>
  <c r="AC374"/>
  <c r="AD374"/>
  <c r="AG374"/>
  <c r="Y375"/>
  <c r="AC375"/>
  <c r="AD375"/>
  <c r="AG375"/>
  <c r="Y376"/>
  <c r="AC376"/>
  <c r="AD376"/>
  <c r="AG376"/>
  <c r="Y377"/>
  <c r="AC377"/>
  <c r="AD377"/>
  <c r="AG377"/>
  <c r="Y378"/>
  <c r="AC378"/>
  <c r="AD378"/>
  <c r="AG378"/>
  <c r="Y379"/>
  <c r="AC379"/>
  <c r="AD379"/>
  <c r="AG379"/>
  <c r="Y380"/>
  <c r="AC380"/>
  <c r="AD380"/>
  <c r="AG380"/>
  <c r="Y381"/>
  <c r="AC381"/>
  <c r="AD381"/>
  <c r="AG381"/>
  <c r="Y382"/>
  <c r="AC382"/>
  <c r="AD382"/>
  <c r="AG382"/>
  <c r="Y383"/>
  <c r="AC383"/>
  <c r="AD383"/>
  <c r="AG383"/>
  <c r="Y384"/>
  <c r="AC384"/>
  <c r="AD384"/>
  <c r="AG384"/>
  <c r="H385"/>
  <c r="Y385"/>
  <c r="AC385"/>
  <c r="AD385"/>
  <c r="AG385"/>
  <c r="Y386"/>
  <c r="AC386"/>
  <c r="AD386"/>
  <c r="AG386"/>
  <c r="Y387"/>
  <c r="AC387"/>
  <c r="AD387"/>
  <c r="AG387"/>
  <c r="Y388"/>
  <c r="AC388"/>
  <c r="AD388"/>
  <c r="AG388"/>
  <c r="Y389"/>
  <c r="AC389"/>
  <c r="AD389"/>
  <c r="AG389"/>
  <c r="Y390"/>
  <c r="AC390"/>
  <c r="AD390"/>
  <c r="AG390"/>
  <c r="Y391"/>
  <c r="AC391"/>
  <c r="AD391"/>
  <c r="AG391"/>
  <c r="Y392"/>
  <c r="AC392"/>
  <c r="AD392"/>
  <c r="AG392"/>
  <c r="Y393"/>
  <c r="AC393"/>
  <c r="AD393"/>
  <c r="AG393"/>
  <c r="Y394"/>
  <c r="AC394"/>
  <c r="AD394"/>
  <c r="AG394"/>
  <c r="Y395"/>
  <c r="AC395"/>
  <c r="AD395"/>
  <c r="AG395"/>
  <c r="Y396"/>
  <c r="AC396"/>
  <c r="AD396"/>
  <c r="AG396"/>
  <c r="Y397"/>
  <c r="AC397"/>
  <c r="AD397"/>
  <c r="AG397"/>
  <c r="Y398"/>
  <c r="AC398"/>
  <c r="AD398"/>
  <c r="AG398"/>
  <c r="Y399"/>
  <c r="AC399"/>
  <c r="AD399"/>
  <c r="AG399"/>
  <c r="Y400"/>
  <c r="AC400"/>
  <c r="AD400"/>
  <c r="AG400"/>
  <c r="Y401"/>
  <c r="AC401"/>
  <c r="AD401"/>
  <c r="AG401"/>
  <c r="Y402"/>
  <c r="AC402"/>
  <c r="AD402"/>
  <c r="AG402"/>
  <c r="Y403"/>
  <c r="AC403"/>
  <c r="AD403"/>
  <c r="AG403"/>
  <c r="Y404"/>
  <c r="AC404"/>
  <c r="AD404"/>
  <c r="AG404"/>
  <c r="Y405"/>
  <c r="AC405"/>
  <c r="AD405"/>
  <c r="AG405"/>
  <c r="Y406"/>
  <c r="AC406"/>
  <c r="AD406"/>
  <c r="AG406"/>
  <c r="Y407"/>
  <c r="AC407"/>
  <c r="AD407"/>
  <c r="AG407"/>
  <c r="Y408"/>
  <c r="AC408"/>
  <c r="AD408"/>
  <c r="AG408"/>
  <c r="Y409"/>
  <c r="AC409"/>
  <c r="AD409"/>
  <c r="AG409"/>
  <c r="Y410"/>
  <c r="AC410"/>
  <c r="AD410"/>
  <c r="AG410"/>
  <c r="Y411"/>
  <c r="AC411"/>
  <c r="AD411"/>
  <c r="AG411"/>
  <c r="Y412"/>
  <c r="AC412"/>
  <c r="AD412"/>
  <c r="AG412"/>
  <c r="Y413"/>
  <c r="AC413"/>
  <c r="AD413"/>
  <c r="AG413"/>
  <c r="Y414"/>
  <c r="AC414"/>
  <c r="AD414"/>
  <c r="AG414"/>
  <c r="Y415"/>
  <c r="AC415"/>
  <c r="AD415"/>
  <c r="AG415"/>
  <c r="Y416"/>
  <c r="AC416"/>
  <c r="AD416"/>
  <c r="AG416"/>
  <c r="Y417"/>
  <c r="AC417"/>
  <c r="AD417"/>
  <c r="AG417"/>
  <c r="Y418"/>
  <c r="AC418"/>
  <c r="AD418"/>
  <c r="AG418"/>
  <c r="Y419"/>
  <c r="AC419"/>
  <c r="AD419"/>
  <c r="AG419"/>
  <c r="Y420"/>
  <c r="AC420"/>
  <c r="AD420"/>
  <c r="AG420"/>
  <c r="Y421"/>
  <c r="AC421"/>
  <c r="AD421"/>
  <c r="AG421"/>
  <c r="Y422"/>
  <c r="AC422"/>
  <c r="AD422"/>
  <c r="AG422"/>
  <c r="Y423"/>
  <c r="AC423"/>
  <c r="AD423"/>
  <c r="AG423"/>
  <c r="Y424"/>
  <c r="AC424"/>
  <c r="AD424"/>
  <c r="AG424"/>
  <c r="Y425"/>
  <c r="AC425"/>
  <c r="AD425"/>
  <c r="AG425"/>
  <c r="Y426"/>
  <c r="AC426"/>
  <c r="AD426"/>
  <c r="AG426"/>
  <c r="Y427"/>
  <c r="AC427"/>
  <c r="AD427"/>
  <c r="AG427"/>
  <c r="Y428"/>
  <c r="AC428"/>
  <c r="AD428"/>
  <c r="AG428"/>
  <c r="Y429"/>
  <c r="AC429"/>
  <c r="AD429"/>
  <c r="AG429"/>
  <c r="Y430"/>
  <c r="AC430"/>
  <c r="AD430"/>
  <c r="AG430"/>
  <c r="Y431"/>
  <c r="AC431"/>
  <c r="AD431"/>
  <c r="AG431"/>
  <c r="Y432"/>
  <c r="AC432"/>
  <c r="AD432"/>
  <c r="AG432"/>
  <c r="Y433"/>
  <c r="AC433"/>
  <c r="AD433"/>
  <c r="AG433"/>
  <c r="Y434"/>
  <c r="AC434"/>
  <c r="AD434"/>
  <c r="AG434"/>
  <c r="Y435"/>
  <c r="AC435"/>
  <c r="AD435"/>
  <c r="AG435"/>
  <c r="Y436"/>
  <c r="AC436"/>
  <c r="AD436"/>
  <c r="AG436"/>
  <c r="Y437"/>
  <c r="AC437"/>
  <c r="AD437"/>
  <c r="AG437"/>
  <c r="Y438"/>
  <c r="AC438"/>
  <c r="AD438"/>
  <c r="AG438"/>
  <c r="Y439"/>
  <c r="AC439"/>
  <c r="AD439"/>
  <c r="AG439"/>
  <c r="Y440"/>
  <c r="AC440"/>
  <c r="AD440"/>
  <c r="AG440"/>
  <c r="Y441"/>
  <c r="AC441"/>
  <c r="AD441"/>
  <c r="AG441"/>
  <c r="Y442"/>
  <c r="AC442"/>
  <c r="AD442"/>
  <c r="AG442"/>
  <c r="F443"/>
  <c r="Y443"/>
  <c r="AC443"/>
  <c r="AD443"/>
  <c r="AG443"/>
  <c r="Y444"/>
  <c r="AC444"/>
  <c r="AD444"/>
  <c r="AG444"/>
  <c r="Y445"/>
  <c r="AC445"/>
  <c r="AD445"/>
  <c r="AG445"/>
  <c r="Y446"/>
  <c r="AC446"/>
  <c r="AD446"/>
  <c r="AG446"/>
  <c r="Y447"/>
  <c r="AC447"/>
  <c r="AD447"/>
  <c r="AG447"/>
  <c r="Y448"/>
  <c r="AC448"/>
  <c r="AD448"/>
  <c r="AG448"/>
  <c r="Y449"/>
  <c r="AC449"/>
  <c r="AD449"/>
  <c r="AG449"/>
  <c r="Y450"/>
  <c r="AC450"/>
  <c r="AD450"/>
  <c r="AG450"/>
  <c r="Y451"/>
  <c r="AC451"/>
  <c r="AD451"/>
  <c r="AG451"/>
  <c r="Y452"/>
  <c r="AC452"/>
  <c r="AD452"/>
  <c r="AG452"/>
  <c r="Y453"/>
  <c r="AC453"/>
  <c r="AD453"/>
  <c r="AG453"/>
  <c r="Y454"/>
  <c r="AC454"/>
  <c r="AD454"/>
  <c r="AG454"/>
  <c r="Y455"/>
  <c r="AC455"/>
  <c r="AD455"/>
  <c r="AG455"/>
  <c r="Y456"/>
  <c r="AC456"/>
  <c r="AD456"/>
  <c r="AG456"/>
  <c r="Y457"/>
  <c r="AC457"/>
  <c r="AD457"/>
  <c r="AG457"/>
  <c r="Y458"/>
  <c r="AC458"/>
  <c r="AD458"/>
  <c r="AG458"/>
  <c r="Y459"/>
  <c r="AC459"/>
  <c r="AD459"/>
  <c r="AG459"/>
  <c r="Y460"/>
  <c r="AC460"/>
  <c r="AD460"/>
  <c r="AG460"/>
  <c r="Y461"/>
  <c r="AC461"/>
  <c r="AD461"/>
  <c r="AG461"/>
  <c r="Y462"/>
  <c r="AC462"/>
  <c r="AD462"/>
  <c r="AG462"/>
  <c r="Y463"/>
  <c r="AC463"/>
  <c r="AD463"/>
  <c r="AG463"/>
  <c r="G464"/>
  <c r="Y464"/>
  <c r="AC464"/>
  <c r="AD464"/>
  <c r="AG464"/>
  <c r="Y465"/>
  <c r="AC465"/>
  <c r="AD465"/>
  <c r="AG465"/>
  <c r="Y466"/>
  <c r="AC466"/>
  <c r="AD466"/>
  <c r="AG466"/>
  <c r="Y467"/>
  <c r="AC467"/>
  <c r="AD467"/>
  <c r="AG467"/>
  <c r="Y468"/>
  <c r="AC468"/>
  <c r="AD468"/>
  <c r="AG468"/>
  <c r="Y469"/>
  <c r="AC469"/>
  <c r="AD469"/>
  <c r="AG469"/>
  <c r="Y470"/>
  <c r="AC470"/>
  <c r="AD470"/>
  <c r="AG470"/>
  <c r="Y471"/>
  <c r="AC471"/>
  <c r="AD471"/>
  <c r="AG471"/>
  <c r="Y472"/>
  <c r="AC472"/>
  <c r="AD472"/>
  <c r="AG472"/>
  <c r="Y473"/>
  <c r="AC473"/>
  <c r="AD473"/>
  <c r="AG473"/>
  <c r="Y474"/>
  <c r="AC474"/>
  <c r="AD474"/>
  <c r="AG474"/>
  <c r="Y475"/>
  <c r="AC475"/>
  <c r="AD475"/>
  <c r="AG475"/>
  <c r="Y476"/>
  <c r="AC476"/>
  <c r="AD476"/>
  <c r="AG476"/>
  <c r="Y477"/>
  <c r="AC477"/>
  <c r="AD477"/>
  <c r="AG477"/>
  <c r="H478"/>
  <c r="Y478"/>
  <c r="AC478"/>
  <c r="AD478"/>
  <c r="AG478"/>
  <c r="Y479"/>
  <c r="AC479"/>
  <c r="AD479"/>
  <c r="AG479"/>
  <c r="Y480"/>
  <c r="AC480"/>
  <c r="AD480"/>
  <c r="AG480"/>
  <c r="Y481"/>
  <c r="AC481"/>
  <c r="AD481"/>
  <c r="AG481"/>
  <c r="Y482"/>
  <c r="AC482"/>
  <c r="AD482"/>
  <c r="AG482"/>
  <c r="Y483"/>
  <c r="AC483"/>
  <c r="AD483"/>
  <c r="AG483"/>
  <c r="Y484"/>
  <c r="AC484"/>
  <c r="AD484"/>
  <c r="AG484"/>
  <c r="Y485"/>
  <c r="AC485"/>
  <c r="AD485"/>
  <c r="AG485"/>
  <c r="Y486"/>
  <c r="AC486"/>
  <c r="AD486"/>
  <c r="AG486"/>
  <c r="Y487"/>
  <c r="AC487"/>
  <c r="AD487"/>
  <c r="AG487"/>
  <c r="Y488"/>
  <c r="AC488"/>
  <c r="AD488"/>
  <c r="AG488"/>
  <c r="G489"/>
  <c r="Y489"/>
  <c r="AC489"/>
  <c r="AD489"/>
  <c r="AG489"/>
  <c r="Y490"/>
  <c r="AC490"/>
  <c r="AD490"/>
  <c r="AG490"/>
  <c r="Y491"/>
  <c r="AC491"/>
  <c r="AD491"/>
  <c r="AG491"/>
  <c r="Y492"/>
  <c r="AC492"/>
  <c r="AD492"/>
  <c r="AG492"/>
  <c r="Y493"/>
  <c r="AC493"/>
  <c r="AD493"/>
  <c r="AG493"/>
  <c r="Y494"/>
  <c r="AC494"/>
  <c r="AD494"/>
  <c r="AG494"/>
  <c r="Y495"/>
  <c r="AC495"/>
  <c r="AD495"/>
  <c r="AG495"/>
  <c r="Y496"/>
  <c r="AC496"/>
  <c r="AD496"/>
  <c r="AG496"/>
  <c r="Y497"/>
  <c r="AC497"/>
  <c r="AD497"/>
  <c r="AG497"/>
  <c r="Y498"/>
  <c r="AC498"/>
  <c r="AD498"/>
  <c r="AG498"/>
  <c r="Y499"/>
  <c r="AC499"/>
  <c r="AD499"/>
  <c r="AG499"/>
  <c r="F500"/>
  <c r="Y500"/>
  <c r="AC500"/>
  <c r="AD500"/>
  <c r="AG500"/>
  <c r="Y501"/>
  <c r="AC501"/>
  <c r="AD501"/>
  <c r="AG501"/>
  <c r="Y502"/>
  <c r="AC502"/>
  <c r="AD502"/>
  <c r="AG502"/>
  <c r="Y503"/>
  <c r="AC503"/>
  <c r="AD503"/>
  <c r="AG503"/>
  <c r="Y504"/>
  <c r="AC504"/>
  <c r="AD504"/>
  <c r="AG504"/>
  <c r="Y505"/>
  <c r="AC505"/>
  <c r="AD505"/>
  <c r="AG505"/>
  <c r="Y506"/>
  <c r="AC506"/>
  <c r="AD506"/>
  <c r="AG506"/>
  <c r="Y507"/>
  <c r="AC507"/>
  <c r="AD507"/>
  <c r="AG507"/>
  <c r="Y508"/>
  <c r="AC508"/>
  <c r="AD508"/>
  <c r="AG508"/>
  <c r="Y509"/>
  <c r="AC509"/>
  <c r="AD509"/>
  <c r="AG509"/>
  <c r="H510"/>
  <c r="Y510"/>
  <c r="AC510"/>
  <c r="AD510"/>
  <c r="AG510"/>
  <c r="Y511"/>
  <c r="AC511"/>
  <c r="AD511"/>
  <c r="AG511"/>
  <c r="Y512"/>
  <c r="AC512"/>
  <c r="AD512"/>
  <c r="AG512"/>
  <c r="Y513"/>
  <c r="AC513"/>
  <c r="AD513"/>
  <c r="AG513"/>
  <c r="Y514"/>
  <c r="AC514"/>
  <c r="AD514"/>
  <c r="AG514"/>
  <c r="Y515"/>
  <c r="AC515"/>
  <c r="AD515"/>
  <c r="AG515"/>
  <c r="Y516"/>
  <c r="AC516"/>
  <c r="AD516"/>
  <c r="AG516"/>
  <c r="Y517"/>
  <c r="AC517"/>
  <c r="AD517"/>
  <c r="AG517"/>
  <c r="Y518"/>
  <c r="AC518"/>
  <c r="AD518"/>
  <c r="AG518"/>
  <c r="Y519"/>
  <c r="AC519"/>
  <c r="AD519"/>
  <c r="AG519"/>
  <c r="Y520"/>
  <c r="AC520"/>
  <c r="AD520"/>
  <c r="AG520"/>
  <c r="G521"/>
  <c r="Y521"/>
  <c r="AC521"/>
  <c r="AD521"/>
  <c r="AG521"/>
  <c r="Y522"/>
  <c r="AC522"/>
  <c r="AD522"/>
  <c r="AG522"/>
  <c r="Y523"/>
  <c r="AC523"/>
  <c r="AD523"/>
  <c r="AG523"/>
  <c r="Y524"/>
  <c r="AC524"/>
  <c r="AD524"/>
  <c r="AG524"/>
  <c r="Y525"/>
  <c r="AC525"/>
  <c r="AD525"/>
  <c r="AG525"/>
  <c r="Y526"/>
  <c r="AC526"/>
  <c r="AD526"/>
  <c r="AG526"/>
  <c r="Y527"/>
  <c r="AC527"/>
  <c r="AD527"/>
  <c r="AG527"/>
  <c r="Y528"/>
  <c r="AC528"/>
  <c r="AD528"/>
  <c r="AG528"/>
  <c r="Y529"/>
  <c r="AC529"/>
  <c r="AD529"/>
  <c r="AG529"/>
  <c r="Y530"/>
  <c r="AC530"/>
  <c r="AD530"/>
  <c r="AG530"/>
  <c r="Y531"/>
  <c r="AC531"/>
  <c r="AD531"/>
  <c r="AG531"/>
  <c r="F532"/>
  <c r="Y532"/>
  <c r="AC532"/>
  <c r="AD532"/>
  <c r="AG532"/>
  <c r="Y533"/>
  <c r="AC533"/>
  <c r="AD533"/>
  <c r="AG533"/>
  <c r="Y534"/>
  <c r="AC534"/>
  <c r="AD534"/>
  <c r="AG534"/>
  <c r="Y535"/>
  <c r="AC535"/>
  <c r="AD535"/>
  <c r="AG535"/>
  <c r="Y536"/>
  <c r="AC536"/>
  <c r="AD536"/>
  <c r="AG536"/>
  <c r="Y537"/>
  <c r="AC537"/>
  <c r="AD537"/>
  <c r="AG537"/>
  <c r="Y538"/>
  <c r="AC538"/>
  <c r="AD538"/>
  <c r="AG538"/>
  <c r="Y539"/>
  <c r="AC539"/>
  <c r="AD539"/>
  <c r="AG539"/>
  <c r="Y540"/>
  <c r="AC540"/>
  <c r="AD540"/>
  <c r="AG540"/>
  <c r="Y541"/>
  <c r="AC541"/>
  <c r="AD541"/>
  <c r="AG541"/>
  <c r="H542"/>
  <c r="Y542"/>
  <c r="AC542"/>
  <c r="AD542"/>
  <c r="AG542"/>
  <c r="Y543"/>
  <c r="AC543"/>
  <c r="AD543"/>
  <c r="AG543"/>
  <c r="Y544"/>
  <c r="AC544"/>
  <c r="AD544"/>
  <c r="AG544"/>
  <c r="Y545"/>
  <c r="AC545"/>
  <c r="AD545"/>
  <c r="AG545"/>
  <c r="Y546"/>
  <c r="AC546"/>
  <c r="AD546"/>
  <c r="AG546"/>
  <c r="Y547"/>
  <c r="AC547"/>
  <c r="AD547"/>
  <c r="AG547"/>
  <c r="Y548"/>
  <c r="AC548"/>
  <c r="AD548"/>
  <c r="AG548"/>
  <c r="Y549"/>
  <c r="AC549"/>
  <c r="AD549"/>
  <c r="AG549"/>
  <c r="Y550"/>
  <c r="AC550"/>
  <c r="AD550"/>
  <c r="AG550"/>
  <c r="Y551"/>
  <c r="AC551"/>
  <c r="AD551"/>
  <c r="AG551"/>
  <c r="Y552"/>
  <c r="AC552"/>
  <c r="AD552"/>
  <c r="AG552"/>
  <c r="G553"/>
  <c r="Y553"/>
  <c r="AC553"/>
  <c r="AD553"/>
  <c r="AG553"/>
  <c r="Y554"/>
  <c r="AC554"/>
  <c r="AD554"/>
  <c r="AG554"/>
  <c r="Y555"/>
  <c r="AC555"/>
  <c r="AD555"/>
  <c r="AG555"/>
  <c r="Y556"/>
  <c r="AC556"/>
  <c r="AD556"/>
  <c r="AG556"/>
  <c r="Y557"/>
  <c r="AC557"/>
  <c r="AD557"/>
  <c r="AG557"/>
  <c r="Y558"/>
  <c r="AC558"/>
  <c r="AD558"/>
  <c r="AG558"/>
  <c r="Y559"/>
  <c r="AC559"/>
  <c r="AD559"/>
  <c r="AG559"/>
  <c r="Y560"/>
  <c r="AC560"/>
  <c r="AD560"/>
  <c r="AG560"/>
  <c r="Y561"/>
  <c r="AC561"/>
  <c r="AD561"/>
  <c r="AG561"/>
  <c r="Y562"/>
  <c r="AC562"/>
  <c r="AD562"/>
  <c r="AG562"/>
  <c r="Y563"/>
  <c r="AC563"/>
  <c r="AD563"/>
  <c r="AG563"/>
  <c r="F564"/>
  <c r="Y564"/>
  <c r="AC564"/>
  <c r="AD564"/>
  <c r="AG564"/>
  <c r="Y565"/>
  <c r="AC565"/>
  <c r="AD565"/>
  <c r="AG565"/>
  <c r="Y566"/>
  <c r="AC566"/>
  <c r="AD566"/>
  <c r="AG566"/>
  <c r="Y567"/>
  <c r="AC567"/>
  <c r="AD567"/>
  <c r="AG567"/>
  <c r="Y568"/>
  <c r="AC568"/>
  <c r="AD568"/>
  <c r="AG568"/>
  <c r="Y569"/>
  <c r="AC569"/>
  <c r="AD569"/>
  <c r="AG569"/>
  <c r="Y570"/>
  <c r="AC570"/>
  <c r="AD570"/>
  <c r="AG570"/>
  <c r="Y571"/>
  <c r="AC571"/>
  <c r="AD571"/>
  <c r="AG571"/>
  <c r="Y572"/>
  <c r="AC572"/>
  <c r="AD572"/>
  <c r="AG572"/>
  <c r="Y573"/>
  <c r="AC573"/>
  <c r="AD573"/>
  <c r="AG573"/>
  <c r="H574"/>
  <c r="Y574"/>
  <c r="AC574"/>
  <c r="AD574"/>
  <c r="AG574"/>
  <c r="Y575"/>
  <c r="AC575"/>
  <c r="AD575"/>
  <c r="AG575"/>
  <c r="Y576"/>
  <c r="AC576"/>
  <c r="AD576"/>
  <c r="AG576"/>
  <c r="Y577"/>
  <c r="AC577"/>
  <c r="AD577"/>
  <c r="AG577"/>
  <c r="Y578"/>
  <c r="AC578"/>
  <c r="AD578"/>
  <c r="AG578"/>
  <c r="Y579"/>
  <c r="AC579"/>
  <c r="AD579"/>
  <c r="AG579"/>
  <c r="Y580"/>
  <c r="AC580"/>
  <c r="AD580"/>
  <c r="AG580"/>
  <c r="Y581"/>
  <c r="AC581"/>
  <c r="AD581"/>
  <c r="AG581"/>
  <c r="Y582"/>
  <c r="AC582"/>
  <c r="AD582"/>
  <c r="AG582"/>
  <c r="F583"/>
  <c r="Y583"/>
  <c r="AC583"/>
  <c r="AD583"/>
  <c r="AG583"/>
  <c r="Y584"/>
  <c r="AC584"/>
  <c r="AD584"/>
  <c r="AG584"/>
  <c r="Y585"/>
  <c r="AC585"/>
  <c r="AD585"/>
  <c r="AG585"/>
  <c r="Y586"/>
  <c r="AC586"/>
  <c r="AD586"/>
  <c r="AG586"/>
  <c r="Y587"/>
  <c r="AC587"/>
  <c r="AD587"/>
  <c r="AG587"/>
  <c r="G588"/>
  <c r="Y588"/>
  <c r="AC588"/>
  <c r="AD588"/>
  <c r="AG588"/>
  <c r="Y589"/>
  <c r="AC589"/>
  <c r="AD589"/>
  <c r="AG589"/>
  <c r="Y590"/>
  <c r="AC590"/>
  <c r="AD590"/>
  <c r="AG590"/>
  <c r="Y591"/>
  <c r="AC591"/>
  <c r="AD591"/>
  <c r="AG591"/>
  <c r="Y592"/>
  <c r="AC592"/>
  <c r="AD592"/>
  <c r="AG592"/>
  <c r="H593"/>
  <c r="Y593"/>
  <c r="AC593"/>
  <c r="AD593"/>
  <c r="AG593"/>
  <c r="Y594"/>
  <c r="AC594"/>
  <c r="AD594"/>
  <c r="AG594"/>
  <c r="Y595"/>
  <c r="AC595"/>
  <c r="AD595"/>
  <c r="AG595"/>
  <c r="Y596"/>
  <c r="AC596"/>
  <c r="AD596"/>
  <c r="AG596"/>
  <c r="Y597"/>
  <c r="AC597"/>
  <c r="AD597"/>
  <c r="AG597"/>
  <c r="Y598"/>
  <c r="AC598"/>
  <c r="AD598"/>
  <c r="AG598"/>
  <c r="F599"/>
  <c r="Y599"/>
  <c r="AC599"/>
  <c r="AD599"/>
  <c r="AG599"/>
  <c r="Y600"/>
  <c r="AC600"/>
  <c r="AD600"/>
  <c r="AG600"/>
  <c r="Y601"/>
  <c r="AC601"/>
  <c r="AD601"/>
  <c r="AG601"/>
  <c r="Y602"/>
  <c r="AC602"/>
  <c r="AD602"/>
  <c r="AG602"/>
  <c r="Y603"/>
  <c r="AC603"/>
  <c r="AD603"/>
  <c r="AG603"/>
  <c r="G604"/>
  <c r="Y604"/>
  <c r="AC604"/>
  <c r="AD604"/>
  <c r="AG604"/>
  <c r="Y605"/>
  <c r="AC605"/>
  <c r="AD605"/>
  <c r="AG605"/>
  <c r="Y606"/>
  <c r="AC606"/>
  <c r="AD606"/>
  <c r="AG606"/>
  <c r="Y607"/>
  <c r="AC607"/>
  <c r="AD607"/>
  <c r="AG607"/>
  <c r="Y608"/>
  <c r="AC608"/>
  <c r="AD608"/>
  <c r="AG608"/>
  <c r="H609"/>
  <c r="Y609"/>
  <c r="AC609"/>
  <c r="AD609"/>
  <c r="AG609"/>
  <c r="Y610"/>
  <c r="AC610"/>
  <c r="AD610"/>
  <c r="AG610"/>
  <c r="Y611"/>
  <c r="AC611"/>
  <c r="AD611"/>
  <c r="AG611"/>
  <c r="Y612"/>
  <c r="AC612"/>
  <c r="AD612"/>
  <c r="AG612"/>
  <c r="Y613"/>
  <c r="AC613"/>
  <c r="AD613"/>
  <c r="AG613"/>
  <c r="Y614"/>
  <c r="AC614"/>
  <c r="AD614"/>
  <c r="AG614"/>
  <c r="F615"/>
  <c r="Y615"/>
  <c r="AC615"/>
  <c r="AD615"/>
  <c r="AG615"/>
  <c r="Y616"/>
  <c r="AC616"/>
  <c r="AD616"/>
  <c r="AG616"/>
  <c r="Y617"/>
  <c r="AC617"/>
  <c r="AD617"/>
  <c r="AG617"/>
  <c r="Y618"/>
  <c r="AC618"/>
  <c r="AD618"/>
  <c r="AG618"/>
  <c r="Y619"/>
  <c r="AC619"/>
  <c r="AD619"/>
  <c r="AG619"/>
  <c r="G620"/>
  <c r="Y620"/>
  <c r="AC620"/>
  <c r="AD620"/>
  <c r="AG620"/>
  <c r="Y621"/>
  <c r="AC621"/>
  <c r="AD621"/>
  <c r="AG621"/>
  <c r="Y622"/>
  <c r="AC622"/>
  <c r="AD622"/>
  <c r="AG622"/>
  <c r="Y623"/>
  <c r="AC623"/>
  <c r="AD623"/>
  <c r="AG623"/>
  <c r="Y624"/>
  <c r="AC624"/>
  <c r="AD624"/>
  <c r="AG624"/>
  <c r="H625"/>
  <c r="Y625"/>
  <c r="AC625"/>
  <c r="AD625"/>
  <c r="AG625"/>
  <c r="Y626"/>
  <c r="AC626"/>
  <c r="AD626"/>
  <c r="AG626"/>
  <c r="Y627"/>
  <c r="AC627"/>
  <c r="AD627"/>
  <c r="AG627"/>
  <c r="Y628"/>
  <c r="AC628"/>
  <c r="AD628"/>
  <c r="AG628"/>
  <c r="Y629"/>
  <c r="AC629"/>
  <c r="AD629"/>
  <c r="AG629"/>
  <c r="Y630"/>
  <c r="AC630"/>
  <c r="AD630"/>
  <c r="AG630"/>
  <c r="F631"/>
  <c r="Y631"/>
  <c r="AC631"/>
  <c r="AD631"/>
  <c r="AG631"/>
  <c r="Y632"/>
  <c r="AC632"/>
  <c r="AD632"/>
  <c r="AG632"/>
  <c r="Y633"/>
  <c r="AC633"/>
  <c r="AD633"/>
  <c r="AG633"/>
  <c r="Y634"/>
  <c r="AC634"/>
  <c r="AD634"/>
  <c r="AG634"/>
  <c r="Y635"/>
  <c r="AC635"/>
  <c r="AD635"/>
  <c r="AG635"/>
  <c r="G636"/>
  <c r="Y636"/>
  <c r="AC636"/>
  <c r="AD636"/>
  <c r="AG636"/>
  <c r="Y637"/>
  <c r="AC637"/>
  <c r="AD637"/>
  <c r="AG637"/>
  <c r="Y638"/>
  <c r="AC638"/>
  <c r="AD638"/>
  <c r="AG638"/>
  <c r="Y639"/>
  <c r="AC639"/>
  <c r="AD639"/>
  <c r="AG639"/>
  <c r="Y640"/>
  <c r="AC640"/>
  <c r="AD640"/>
  <c r="AG640"/>
  <c r="H641"/>
  <c r="Y641"/>
  <c r="AC641"/>
  <c r="AD641"/>
  <c r="AG641"/>
  <c r="Y642"/>
  <c r="AC642"/>
  <c r="AD642"/>
  <c r="AG642"/>
  <c r="Y643"/>
  <c r="AC643"/>
  <c r="AD643"/>
  <c r="AG643"/>
  <c r="Y644"/>
  <c r="AC644"/>
  <c r="AD644"/>
  <c r="AG644"/>
  <c r="Y645"/>
  <c r="AC645"/>
  <c r="AD645"/>
  <c r="AG645"/>
  <c r="Y646"/>
  <c r="AC646"/>
  <c r="AD646"/>
  <c r="AG646"/>
  <c r="F647"/>
  <c r="Y647"/>
  <c r="AC647"/>
  <c r="AD647"/>
  <c r="AG647"/>
  <c r="Y648"/>
  <c r="AC648"/>
  <c r="AD648"/>
  <c r="AG648"/>
  <c r="Y649"/>
  <c r="AC649"/>
  <c r="AD649"/>
  <c r="AG649"/>
  <c r="Y650"/>
  <c r="AC650"/>
  <c r="AD650"/>
  <c r="AG650"/>
  <c r="Y651"/>
  <c r="AC651"/>
  <c r="AD651"/>
  <c r="AG651"/>
  <c r="G652"/>
  <c r="Y652"/>
  <c r="AC652"/>
  <c r="AD652"/>
  <c r="AG652"/>
  <c r="Y653"/>
  <c r="AC653"/>
  <c r="AD653"/>
  <c r="AG653"/>
  <c r="Y654"/>
  <c r="AC654"/>
  <c r="AD654"/>
  <c r="AG654"/>
  <c r="Y655"/>
  <c r="AC655"/>
  <c r="AD655"/>
  <c r="AG655"/>
  <c r="Y656"/>
  <c r="AC656"/>
  <c r="AD656"/>
  <c r="AG656"/>
  <c r="H657"/>
  <c r="Y657"/>
  <c r="AC657"/>
  <c r="AD657"/>
  <c r="AG657"/>
  <c r="Y658"/>
  <c r="AC658"/>
  <c r="AD658"/>
  <c r="AG658"/>
  <c r="Y659"/>
  <c r="AC659"/>
  <c r="AD659"/>
  <c r="AG659"/>
  <c r="Y660"/>
  <c r="AC660"/>
  <c r="AD660"/>
  <c r="AG660"/>
  <c r="Y661"/>
  <c r="AC661"/>
  <c r="AD661"/>
  <c r="AG661"/>
  <c r="Y662"/>
  <c r="AC662"/>
  <c r="AD662"/>
  <c r="AG662"/>
  <c r="F663"/>
  <c r="Y663"/>
  <c r="AC663"/>
  <c r="AD663"/>
  <c r="AG663"/>
  <c r="Y664"/>
  <c r="AC664"/>
  <c r="AD664"/>
  <c r="AG664"/>
  <c r="Y665"/>
  <c r="AC665"/>
  <c r="AD665"/>
  <c r="AG665"/>
  <c r="Y666"/>
  <c r="AC666"/>
  <c r="AD666"/>
  <c r="AG666"/>
  <c r="Y667"/>
  <c r="AC667"/>
  <c r="AD667"/>
  <c r="AG667"/>
  <c r="G668"/>
  <c r="Y668"/>
  <c r="AC668"/>
  <c r="AD668"/>
  <c r="AG668"/>
  <c r="Y669"/>
  <c r="AC669"/>
  <c r="AD669"/>
  <c r="AG669"/>
  <c r="Y670"/>
  <c r="AC670"/>
  <c r="AD670"/>
  <c r="AG670"/>
  <c r="Y671"/>
  <c r="AC671"/>
  <c r="AD671"/>
  <c r="AG671"/>
  <c r="Y672"/>
  <c r="AC672"/>
  <c r="AD672"/>
  <c r="AG672"/>
  <c r="H673"/>
  <c r="Y673"/>
  <c r="AC673"/>
  <c r="AD673"/>
  <c r="AG673"/>
  <c r="Y674"/>
  <c r="AC674"/>
  <c r="AD674"/>
  <c r="AG674"/>
  <c r="Y675"/>
  <c r="AC675"/>
  <c r="AD675"/>
  <c r="AG675"/>
  <c r="Y676"/>
  <c r="AC676"/>
  <c r="AD676"/>
  <c r="AG676"/>
  <c r="F677"/>
  <c r="Y677"/>
  <c r="AC677"/>
  <c r="AD677"/>
  <c r="AG677"/>
  <c r="Y678"/>
  <c r="AC678"/>
  <c r="AD678"/>
  <c r="AG678"/>
  <c r="H679"/>
  <c r="Y679"/>
  <c r="AC679"/>
  <c r="AD679"/>
  <c r="AG679"/>
  <c r="Y680"/>
  <c r="AC680"/>
  <c r="AD680"/>
  <c r="AG680"/>
  <c r="Y681"/>
  <c r="AC681"/>
  <c r="AD681"/>
  <c r="AG681"/>
  <c r="G682"/>
  <c r="Y682"/>
  <c r="AC682"/>
  <c r="AD682"/>
  <c r="AG682"/>
  <c r="Y683"/>
  <c r="AC683"/>
  <c r="AD683"/>
  <c r="AG683"/>
  <c r="Y684"/>
  <c r="AC684"/>
  <c r="AD684"/>
  <c r="AG684"/>
  <c r="F685"/>
  <c r="Y685"/>
  <c r="AC685"/>
  <c r="AD685"/>
  <c r="AG685"/>
  <c r="Y686"/>
  <c r="AC686"/>
  <c r="AD686"/>
  <c r="AG686"/>
  <c r="H687"/>
  <c r="Y687"/>
  <c r="AC687"/>
  <c r="AD687"/>
  <c r="AG687"/>
  <c r="Y688"/>
  <c r="AC688"/>
  <c r="AD688"/>
  <c r="AG688"/>
  <c r="Y689"/>
  <c r="AC689"/>
  <c r="AD689"/>
  <c r="AG689"/>
  <c r="G690"/>
  <c r="Y690"/>
  <c r="AC690"/>
  <c r="AD690"/>
  <c r="AG690"/>
  <c r="Y691"/>
  <c r="AC691"/>
  <c r="AD691"/>
  <c r="AG691"/>
  <c r="Y692"/>
  <c r="AC692"/>
  <c r="AD692"/>
  <c r="AG692"/>
  <c r="F693"/>
  <c r="Y693"/>
  <c r="AC693"/>
  <c r="AD693"/>
  <c r="AG693"/>
  <c r="Y694"/>
  <c r="AC694"/>
  <c r="AD694"/>
  <c r="AG694"/>
  <c r="H695"/>
  <c r="Y695"/>
  <c r="AC695"/>
  <c r="AD695"/>
  <c r="AG695"/>
  <c r="Y696"/>
  <c r="AC696"/>
  <c r="AD696"/>
  <c r="AG696"/>
  <c r="Y697"/>
  <c r="AC697"/>
  <c r="AD697"/>
  <c r="AG697"/>
  <c r="G698"/>
  <c r="Y698"/>
  <c r="AC698"/>
  <c r="AD698"/>
  <c r="AG698"/>
  <c r="Y699"/>
  <c r="AC699"/>
  <c r="AD699"/>
  <c r="AG699"/>
  <c r="Y700"/>
  <c r="AC700"/>
  <c r="AD700"/>
  <c r="AG700"/>
  <c r="F701"/>
  <c r="Y701"/>
  <c r="AC701"/>
  <c r="AD701"/>
  <c r="AG701"/>
  <c r="Y702"/>
  <c r="AC702"/>
  <c r="AD702"/>
  <c r="AG702"/>
  <c r="H703"/>
  <c r="Y703"/>
  <c r="AC703"/>
  <c r="AD703"/>
  <c r="AG703"/>
  <c r="Y704"/>
  <c r="AC704"/>
  <c r="AD704"/>
  <c r="AG704"/>
  <c r="Y705"/>
  <c r="AC705"/>
  <c r="AD705"/>
  <c r="AG705"/>
  <c r="G706"/>
  <c r="Y706"/>
  <c r="AC706"/>
  <c r="AD706"/>
  <c r="AG706"/>
  <c r="Y707"/>
  <c r="AC707"/>
  <c r="AD707"/>
  <c r="AG707"/>
  <c r="Y708"/>
  <c r="AC708"/>
  <c r="AD708"/>
  <c r="AG708"/>
  <c r="F709"/>
  <c r="Y709"/>
  <c r="AC709"/>
  <c r="AD709"/>
  <c r="AG709"/>
  <c r="Y710"/>
  <c r="AC710"/>
  <c r="AD710"/>
  <c r="AG710"/>
  <c r="H711"/>
  <c r="Y711"/>
  <c r="AC711"/>
  <c r="AD711"/>
  <c r="AG711"/>
  <c r="Y712"/>
  <c r="AC712"/>
  <c r="AD712"/>
  <c r="AG712"/>
  <c r="Y713"/>
  <c r="AC713"/>
  <c r="AD713"/>
  <c r="AG713"/>
  <c r="G714"/>
  <c r="Y714"/>
  <c r="AC714"/>
  <c r="AD714"/>
  <c r="AG714"/>
  <c r="Y715"/>
  <c r="AC715"/>
  <c r="AD715"/>
  <c r="AG715"/>
  <c r="Y716"/>
  <c r="AC716"/>
  <c r="AD716"/>
  <c r="AG716"/>
  <c r="F717"/>
  <c r="Y717"/>
  <c r="AC717"/>
  <c r="AD717"/>
  <c r="AG717"/>
  <c r="Y718"/>
  <c r="AC718"/>
  <c r="AD718"/>
  <c r="AG718"/>
  <c r="H719"/>
  <c r="Y719"/>
  <c r="AC719"/>
  <c r="AD719"/>
  <c r="AG719"/>
  <c r="Y720"/>
  <c r="AC720"/>
  <c r="AD720"/>
  <c r="AG720"/>
  <c r="Y721"/>
  <c r="AC721"/>
  <c r="AD721"/>
  <c r="AG721"/>
  <c r="G722"/>
  <c r="Y722"/>
  <c r="AC722"/>
  <c r="AD722"/>
  <c r="AG722"/>
  <c r="Y723"/>
  <c r="AC723"/>
  <c r="AD723"/>
  <c r="AG723"/>
  <c r="Y724"/>
  <c r="AC724"/>
  <c r="AD724"/>
  <c r="AG724"/>
  <c r="F725"/>
  <c r="Y725"/>
  <c r="AC725"/>
  <c r="AD725"/>
  <c r="AG725"/>
  <c r="Y726"/>
  <c r="AC726"/>
  <c r="AD726"/>
  <c r="AG726"/>
  <c r="H727"/>
  <c r="Y727"/>
  <c r="AC727"/>
  <c r="AD727"/>
  <c r="AG727"/>
  <c r="Y728"/>
  <c r="AC728"/>
  <c r="AD728"/>
  <c r="AG728"/>
  <c r="Y729"/>
  <c r="AC729"/>
  <c r="AD729"/>
  <c r="AG729"/>
  <c r="G730"/>
  <c r="Y730"/>
  <c r="AC730"/>
  <c r="AD730"/>
  <c r="AG730"/>
  <c r="Y731"/>
  <c r="AC731"/>
  <c r="AD731"/>
  <c r="AG731"/>
  <c r="Y732"/>
  <c r="AC732"/>
  <c r="AD732"/>
  <c r="AG732"/>
  <c r="F733"/>
  <c r="Y733"/>
  <c r="AC733"/>
  <c r="AD733"/>
  <c r="AG733"/>
  <c r="Y734"/>
  <c r="AC734"/>
  <c r="AD734"/>
  <c r="AG734"/>
  <c r="H735"/>
  <c r="Y735"/>
  <c r="AC735"/>
  <c r="AD735"/>
  <c r="AG735"/>
  <c r="Y736"/>
  <c r="AC736"/>
  <c r="AD736"/>
  <c r="AG736"/>
  <c r="Y737"/>
  <c r="AC737"/>
  <c r="AD737"/>
  <c r="AG737"/>
  <c r="G738"/>
  <c r="Y738"/>
  <c r="AC738"/>
  <c r="AD738"/>
  <c r="AG738"/>
  <c r="Y739"/>
  <c r="AC739"/>
  <c r="AD739"/>
  <c r="AG739"/>
  <c r="G740"/>
  <c r="Y740"/>
  <c r="AC740"/>
  <c r="AD740"/>
  <c r="AG740"/>
  <c r="H741"/>
  <c r="Y741"/>
  <c r="AC741"/>
  <c r="AD741"/>
  <c r="AG741"/>
  <c r="Y742"/>
  <c r="AC742"/>
  <c r="AD742"/>
  <c r="AG742"/>
  <c r="F743"/>
  <c r="Y743"/>
  <c r="AC743"/>
  <c r="AD743"/>
  <c r="AG743"/>
  <c r="G744"/>
  <c r="Y744"/>
  <c r="AC744"/>
  <c r="AD744"/>
  <c r="AG744"/>
  <c r="H745"/>
  <c r="Y745"/>
  <c r="AC745"/>
  <c r="AD745"/>
  <c r="AG745"/>
  <c r="Y746"/>
  <c r="AC746"/>
  <c r="AD746"/>
  <c r="AG746"/>
  <c r="F747"/>
  <c r="Y747"/>
  <c r="AC747"/>
  <c r="AD747"/>
  <c r="AG747"/>
  <c r="G748"/>
  <c r="Y748"/>
  <c r="AC748"/>
  <c r="AD748"/>
  <c r="AG748"/>
  <c r="H749"/>
  <c r="Y749"/>
  <c r="AC749"/>
  <c r="AD749"/>
  <c r="AG749"/>
  <c r="Y750"/>
  <c r="AC750"/>
  <c r="AD750"/>
  <c r="AG750"/>
  <c r="F751"/>
  <c r="Y751"/>
  <c r="AC751"/>
  <c r="AD751"/>
  <c r="AG751"/>
  <c r="G752"/>
  <c r="Y752"/>
  <c r="AC752"/>
  <c r="AD752"/>
  <c r="AG752"/>
  <c r="H753"/>
  <c r="Y753"/>
  <c r="AC753"/>
  <c r="AD753"/>
  <c r="AG753"/>
  <c r="Y754"/>
  <c r="AC754"/>
  <c r="AD754"/>
  <c r="AG754"/>
  <c r="F755"/>
  <c r="Y755"/>
  <c r="AC755"/>
  <c r="AD755"/>
  <c r="AG755"/>
  <c r="G756"/>
  <c r="Y756"/>
  <c r="AC756"/>
  <c r="AD756"/>
  <c r="AG756"/>
  <c r="H757"/>
  <c r="Y757"/>
  <c r="AC757"/>
  <c r="AD757"/>
  <c r="AG757"/>
  <c r="Y758"/>
  <c r="AC758"/>
  <c r="AD758"/>
  <c r="AG758"/>
  <c r="F759"/>
  <c r="Y759"/>
  <c r="AC759"/>
  <c r="AD759"/>
  <c r="AG759"/>
  <c r="G760"/>
  <c r="Y760"/>
  <c r="AC760"/>
  <c r="AD760"/>
  <c r="AG760"/>
  <c r="H761"/>
  <c r="Y761"/>
  <c r="AC761"/>
  <c r="AD761"/>
  <c r="AG761"/>
  <c r="Y762"/>
  <c r="AC762"/>
  <c r="AD762"/>
  <c r="AG762"/>
  <c r="F763"/>
  <c r="Y763"/>
  <c r="AC763"/>
  <c r="AD763"/>
  <c r="AG763"/>
  <c r="G764"/>
  <c r="Y764"/>
  <c r="AC764"/>
  <c r="AD764"/>
  <c r="AG764"/>
  <c r="H765"/>
  <c r="Y765"/>
  <c r="AC765"/>
  <c r="AD765"/>
  <c r="AG765"/>
  <c r="Y766"/>
  <c r="AC766"/>
  <c r="AD766"/>
  <c r="AG766"/>
  <c r="F767"/>
  <c r="Y767"/>
  <c r="AC767"/>
  <c r="AD767"/>
  <c r="AG767"/>
  <c r="G768"/>
  <c r="Y768"/>
  <c r="AC768"/>
  <c r="AD768"/>
  <c r="AG768"/>
  <c r="F769"/>
  <c r="H769"/>
  <c r="Y769"/>
  <c r="AC769"/>
  <c r="AD769"/>
  <c r="AG769"/>
  <c r="G770"/>
  <c r="Y770"/>
  <c r="AC770"/>
  <c r="AD770"/>
  <c r="AG770"/>
  <c r="F771"/>
  <c r="H771"/>
  <c r="Y771"/>
  <c r="AC771"/>
  <c r="AD771"/>
  <c r="AG771"/>
  <c r="G772"/>
  <c r="Y772"/>
  <c r="AC772"/>
  <c r="AD772"/>
  <c r="AG772"/>
  <c r="F773"/>
  <c r="H773"/>
  <c r="Y773"/>
  <c r="AC773"/>
  <c r="AD773"/>
  <c r="AG773"/>
  <c r="G774"/>
  <c r="Y774"/>
  <c r="AC774"/>
  <c r="AD774"/>
  <c r="AG774"/>
  <c r="F775"/>
  <c r="H775"/>
  <c r="Y775"/>
  <c r="AC775"/>
  <c r="AD775"/>
  <c r="AG775"/>
  <c r="G776"/>
  <c r="Y776"/>
  <c r="AC776"/>
  <c r="AD776"/>
  <c r="AG776"/>
  <c r="F777"/>
  <c r="H777"/>
  <c r="Y777"/>
  <c r="AC777"/>
  <c r="AD777"/>
  <c r="AG777"/>
  <c r="G778"/>
  <c r="Y778"/>
  <c r="AC778"/>
  <c r="AD778"/>
  <c r="AG778"/>
  <c r="F779"/>
  <c r="H779"/>
  <c r="Y779"/>
  <c r="AC779"/>
  <c r="AD779"/>
  <c r="AG779"/>
  <c r="G780"/>
  <c r="Y780"/>
  <c r="AC780"/>
  <c r="AD780"/>
  <c r="AG780"/>
  <c r="F781"/>
  <c r="H781"/>
  <c r="Y781"/>
  <c r="AC781"/>
  <c r="AD781"/>
  <c r="AG781"/>
  <c r="G782"/>
  <c r="Y782"/>
  <c r="AC782"/>
  <c r="AD782"/>
  <c r="AG782"/>
  <c r="F783"/>
  <c r="H783"/>
  <c r="Y783"/>
  <c r="AC783"/>
  <c r="AD783"/>
  <c r="AG783"/>
  <c r="G784"/>
  <c r="Y784"/>
  <c r="AC784"/>
  <c r="AD784"/>
  <c r="AG784"/>
  <c r="F785"/>
  <c r="H785"/>
  <c r="Y785"/>
  <c r="AC785"/>
  <c r="AD785"/>
  <c r="AG785"/>
  <c r="G786"/>
  <c r="Y786"/>
  <c r="AC786"/>
  <c r="AD786"/>
  <c r="AG786"/>
  <c r="F787"/>
  <c r="H787"/>
  <c r="Y787"/>
  <c r="AC787"/>
  <c r="AD787"/>
  <c r="AG787"/>
  <c r="G788"/>
  <c r="Y788"/>
  <c r="AC788"/>
  <c r="AD788"/>
  <c r="AG788"/>
  <c r="F789"/>
  <c r="H789"/>
  <c r="Y789"/>
  <c r="AC789"/>
  <c r="AD789"/>
  <c r="AG789"/>
  <c r="G790"/>
  <c r="Y790"/>
  <c r="AC790"/>
  <c r="AD790"/>
  <c r="AG790"/>
  <c r="F791"/>
  <c r="H791"/>
  <c r="Y791"/>
  <c r="AC791"/>
  <c r="AD791"/>
  <c r="AG791"/>
  <c r="G792"/>
  <c r="Y792"/>
  <c r="AC792"/>
  <c r="AD792"/>
  <c r="AG792"/>
  <c r="F793"/>
  <c r="H793"/>
  <c r="Y793"/>
  <c r="AC793"/>
  <c r="AD793"/>
  <c r="AG793"/>
  <c r="G794"/>
  <c r="Y794"/>
  <c r="AC794"/>
  <c r="AD794"/>
  <c r="AG794"/>
  <c r="F795"/>
  <c r="H795"/>
  <c r="Y795"/>
  <c r="AC795"/>
  <c r="AD795"/>
  <c r="AG795"/>
  <c r="G796"/>
  <c r="Y796"/>
  <c r="AC796"/>
  <c r="AD796"/>
  <c r="AG796"/>
  <c r="F797"/>
  <c r="H797"/>
  <c r="Y797"/>
  <c r="AC797"/>
  <c r="AD797"/>
  <c r="AG797"/>
  <c r="G798"/>
  <c r="Y798"/>
  <c r="AC798"/>
  <c r="AD798"/>
  <c r="AG798"/>
  <c r="F799"/>
  <c r="H799"/>
  <c r="Y799"/>
  <c r="AC799"/>
  <c r="AD799"/>
  <c r="AG799"/>
  <c r="G800"/>
  <c r="Y800"/>
  <c r="AC800"/>
  <c r="AD800"/>
  <c r="AG800"/>
  <c r="F801"/>
  <c r="H801"/>
  <c r="Y801"/>
  <c r="AC801"/>
  <c r="AD801"/>
  <c r="AG801"/>
  <c r="G802"/>
  <c r="Y802"/>
  <c r="AC802"/>
  <c r="AD802"/>
  <c r="AG802"/>
  <c r="F803"/>
  <c r="H803"/>
  <c r="Y803"/>
  <c r="AC803"/>
  <c r="AD803"/>
  <c r="AG803"/>
  <c r="G804"/>
  <c r="Y804"/>
  <c r="AC804"/>
  <c r="AD804"/>
  <c r="AG804"/>
  <c r="F805"/>
  <c r="H805"/>
  <c r="Y805"/>
  <c r="AC805"/>
  <c r="AD805"/>
  <c r="AG805"/>
  <c r="G806"/>
  <c r="Y806"/>
  <c r="AC806"/>
  <c r="AD806"/>
  <c r="AG806"/>
  <c r="F807"/>
  <c r="H807"/>
  <c r="Y807"/>
  <c r="AC807"/>
  <c r="AD807"/>
  <c r="AG807"/>
  <c r="G808"/>
  <c r="Y808"/>
  <c r="AC808"/>
  <c r="AD808"/>
  <c r="AG808"/>
  <c r="F809"/>
  <c r="H809"/>
  <c r="Y809"/>
  <c r="AC809"/>
  <c r="AD809"/>
  <c r="AG809"/>
  <c r="G810"/>
  <c r="Y810"/>
  <c r="AC810"/>
  <c r="AD810"/>
  <c r="AG810"/>
  <c r="F811"/>
  <c r="H811"/>
  <c r="Y811"/>
  <c r="AC811"/>
  <c r="AD811"/>
  <c r="AG811"/>
  <c r="G812"/>
  <c r="Y812"/>
  <c r="AC812"/>
  <c r="AD812"/>
  <c r="AG812"/>
  <c r="F813"/>
  <c r="H813"/>
  <c r="Y813"/>
  <c r="AC813"/>
  <c r="AD813"/>
  <c r="AG813"/>
  <c r="G814"/>
  <c r="Y814"/>
  <c r="AC814"/>
  <c r="AD814"/>
  <c r="AG814"/>
  <c r="F815"/>
  <c r="H815"/>
  <c r="Y815"/>
  <c r="AC815"/>
  <c r="AD815"/>
  <c r="AG815"/>
  <c r="G816"/>
  <c r="Y816"/>
  <c r="AC816"/>
  <c r="AD816"/>
  <c r="AG816"/>
  <c r="F817"/>
  <c r="H817"/>
  <c r="Y817"/>
  <c r="AC817"/>
  <c r="AD817"/>
  <c r="AG817"/>
  <c r="G818"/>
  <c r="Y818"/>
  <c r="AC818"/>
  <c r="AD818"/>
  <c r="AG818"/>
  <c r="F819"/>
  <c r="H819"/>
  <c r="Y819"/>
  <c r="AC819"/>
  <c r="AD819"/>
  <c r="AG819"/>
  <c r="G820"/>
  <c r="Y820"/>
  <c r="AC820"/>
  <c r="AD820"/>
  <c r="AG820"/>
  <c r="F821"/>
  <c r="H821"/>
  <c r="Y821"/>
  <c r="AC821"/>
  <c r="AD821"/>
  <c r="AG821"/>
  <c r="G822"/>
  <c r="Y822"/>
  <c r="AC822"/>
  <c r="AD822"/>
  <c r="AG822"/>
  <c r="F823"/>
  <c r="H823"/>
  <c r="Y823"/>
  <c r="AC823"/>
  <c r="AD823"/>
  <c r="AG823"/>
  <c r="G824"/>
  <c r="Y824"/>
  <c r="AC824"/>
  <c r="AD824"/>
  <c r="AG824"/>
  <c r="F825"/>
  <c r="H825"/>
  <c r="Y825"/>
  <c r="AC825"/>
  <c r="AD825"/>
  <c r="AG825"/>
  <c r="G826"/>
  <c r="Y826"/>
  <c r="AC826"/>
  <c r="AD826"/>
  <c r="AG826"/>
  <c r="F827"/>
  <c r="H827"/>
  <c r="Y827"/>
  <c r="AC827"/>
  <c r="AD827"/>
  <c r="AG827"/>
  <c r="G828"/>
  <c r="Y828"/>
  <c r="AC828"/>
  <c r="AD828"/>
  <c r="AG828"/>
  <c r="F829"/>
  <c r="H829"/>
  <c r="Y829"/>
  <c r="AC829"/>
  <c r="AD829"/>
  <c r="AG829"/>
  <c r="G830"/>
  <c r="Y830"/>
  <c r="AC830"/>
  <c r="AD830"/>
  <c r="AG830"/>
  <c r="F831"/>
  <c r="H831"/>
  <c r="Y831"/>
  <c r="AC831"/>
  <c r="AD831"/>
  <c r="AG831"/>
  <c r="G832"/>
  <c r="Y832"/>
  <c r="AC832"/>
  <c r="AD832"/>
  <c r="AG832"/>
  <c r="F833"/>
  <c r="H833"/>
  <c r="Y833"/>
  <c r="AC833"/>
  <c r="AD833"/>
  <c r="AG833"/>
  <c r="G834"/>
  <c r="Y834"/>
  <c r="AC834"/>
  <c r="AD834"/>
  <c r="AG834"/>
  <c r="F835"/>
  <c r="H835"/>
  <c r="Y835"/>
  <c r="AC835"/>
  <c r="AD835"/>
  <c r="AG835"/>
  <c r="F836"/>
  <c r="G836"/>
  <c r="H836"/>
  <c r="Y836"/>
  <c r="AC836"/>
  <c r="AD836"/>
  <c r="AG836"/>
  <c r="F837"/>
  <c r="G837"/>
  <c r="H837"/>
  <c r="Y837"/>
  <c r="AC837"/>
  <c r="AD837"/>
  <c r="AG837"/>
  <c r="F838"/>
  <c r="G838"/>
  <c r="H838"/>
  <c r="Y838"/>
  <c r="AC838"/>
  <c r="AD838"/>
  <c r="AG838"/>
  <c r="F839"/>
  <c r="G839"/>
  <c r="H839"/>
  <c r="Y839"/>
  <c r="AC839"/>
  <c r="AD839"/>
  <c r="AG839"/>
  <c r="F840"/>
  <c r="G840"/>
  <c r="H840"/>
  <c r="Y840"/>
  <c r="AC840"/>
  <c r="AD840"/>
  <c r="AG840"/>
  <c r="F841"/>
  <c r="G841"/>
  <c r="H841"/>
  <c r="Y841"/>
  <c r="AC841"/>
  <c r="AD841"/>
  <c r="AG841"/>
  <c r="F842"/>
  <c r="G842"/>
  <c r="H842"/>
  <c r="Y842"/>
  <c r="AC842"/>
  <c r="AD842"/>
  <c r="AG842"/>
  <c r="F843"/>
  <c r="G843"/>
  <c r="H843"/>
  <c r="Y843"/>
  <c r="AC843"/>
  <c r="AD843"/>
  <c r="AG843"/>
  <c r="F844"/>
  <c r="G844"/>
  <c r="H844"/>
  <c r="Y844"/>
  <c r="AC844"/>
  <c r="AD844"/>
  <c r="AG844"/>
  <c r="F845"/>
  <c r="G845"/>
  <c r="H845"/>
  <c r="Y845"/>
  <c r="AC845"/>
  <c r="AD845"/>
  <c r="AG845"/>
  <c r="F846"/>
  <c r="G846"/>
  <c r="H846"/>
  <c r="Y846"/>
  <c r="AC846"/>
  <c r="AD846"/>
  <c r="AG846"/>
  <c r="F847"/>
  <c r="G847"/>
  <c r="H847"/>
  <c r="Y847"/>
  <c r="AC847"/>
  <c r="AD847"/>
  <c r="AG847"/>
  <c r="F848"/>
  <c r="G848"/>
  <c r="H848"/>
  <c r="Y848"/>
  <c r="AC848"/>
  <c r="AD848"/>
  <c r="AG848"/>
  <c r="F849"/>
  <c r="G849"/>
  <c r="H849"/>
  <c r="Y849"/>
  <c r="AC849"/>
  <c r="AD849"/>
  <c r="AG849"/>
  <c r="F850"/>
  <c r="G850"/>
  <c r="H850"/>
  <c r="Y850"/>
  <c r="AC850"/>
  <c r="AD850"/>
  <c r="AG850"/>
  <c r="F851"/>
  <c r="G851"/>
  <c r="H851"/>
  <c r="Y851"/>
  <c r="AC851"/>
  <c r="AD851"/>
  <c r="AG851"/>
  <c r="F852"/>
  <c r="G852"/>
  <c r="H852"/>
  <c r="Y852"/>
  <c r="AC852"/>
  <c r="AD852"/>
  <c r="AG852"/>
  <c r="F853"/>
  <c r="G853"/>
  <c r="H853"/>
  <c r="Y853"/>
  <c r="AC853"/>
  <c r="AD853"/>
  <c r="AG853"/>
  <c r="F854"/>
  <c r="G854"/>
  <c r="H854"/>
  <c r="Y854"/>
  <c r="AC854"/>
  <c r="AD854"/>
  <c r="AG854"/>
  <c r="F855"/>
  <c r="G855"/>
  <c r="H855"/>
  <c r="Y855"/>
  <c r="AC855"/>
  <c r="AD855"/>
  <c r="AG855"/>
  <c r="F856"/>
  <c r="G856"/>
  <c r="H856"/>
  <c r="Y856"/>
  <c r="AC856"/>
  <c r="AD856"/>
  <c r="AG856"/>
  <c r="F857"/>
  <c r="G857"/>
  <c r="H857"/>
  <c r="Y857"/>
  <c r="AC857"/>
  <c r="AD857"/>
  <c r="AG857"/>
  <c r="F858"/>
  <c r="G858"/>
  <c r="H858"/>
  <c r="Y858"/>
  <c r="AC858"/>
  <c r="AD858"/>
  <c r="AG858"/>
  <c r="F859"/>
  <c r="G859"/>
  <c r="H859"/>
  <c r="Y859"/>
  <c r="AC859"/>
  <c r="AD859"/>
  <c r="AG859"/>
  <c r="F860"/>
  <c r="G860"/>
  <c r="H860"/>
  <c r="Y860"/>
  <c r="AC860"/>
  <c r="AD860"/>
  <c r="AG860"/>
  <c r="F861"/>
  <c r="G861"/>
  <c r="H861"/>
  <c r="Y861"/>
  <c r="AC861"/>
  <c r="AD861"/>
  <c r="AG861"/>
  <c r="F862"/>
  <c r="G862"/>
  <c r="H862"/>
  <c r="Y862"/>
  <c r="AC862"/>
  <c r="AD862"/>
  <c r="AG862"/>
  <c r="F863"/>
  <c r="G863"/>
  <c r="H863"/>
  <c r="Y863"/>
  <c r="AC863"/>
  <c r="AD863"/>
  <c r="AG863"/>
  <c r="F864"/>
  <c r="G864"/>
  <c r="H864"/>
  <c r="Y864"/>
  <c r="AC864"/>
  <c r="AD864"/>
  <c r="AG864"/>
  <c r="F865"/>
  <c r="G865"/>
  <c r="H865"/>
  <c r="Y865"/>
  <c r="AC865"/>
  <c r="AD865"/>
  <c r="AG865"/>
  <c r="F866"/>
  <c r="G866"/>
  <c r="H866"/>
  <c r="Y866"/>
  <c r="AC866"/>
  <c r="AD866"/>
  <c r="AG866"/>
  <c r="F867"/>
  <c r="G867"/>
  <c r="H867"/>
  <c r="Y867"/>
  <c r="AC867"/>
  <c r="AD867"/>
  <c r="AG867"/>
  <c r="F868"/>
  <c r="G868"/>
  <c r="H868"/>
  <c r="Y868"/>
  <c r="AC868"/>
  <c r="AD868"/>
  <c r="AG868"/>
  <c r="F869"/>
  <c r="G869"/>
  <c r="H869"/>
  <c r="Y869"/>
  <c r="AC869"/>
  <c r="AD869"/>
  <c r="AG869"/>
  <c r="F870"/>
  <c r="G870"/>
  <c r="H870"/>
  <c r="Y870"/>
  <c r="AC870"/>
  <c r="AD870"/>
  <c r="AG870"/>
  <c r="F871"/>
  <c r="G871"/>
  <c r="H871"/>
  <c r="Y871"/>
  <c r="AC871"/>
  <c r="AD871"/>
  <c r="AG871"/>
  <c r="F872"/>
  <c r="G872"/>
  <c r="H872"/>
  <c r="Y872"/>
  <c r="AC872"/>
  <c r="AD872"/>
  <c r="AG872"/>
  <c r="F873"/>
  <c r="G873"/>
  <c r="H873"/>
  <c r="Y873"/>
  <c r="AC873"/>
  <c r="AD873"/>
  <c r="AG873"/>
  <c r="F874"/>
  <c r="G874"/>
  <c r="H874"/>
  <c r="Y874"/>
  <c r="AC874"/>
  <c r="AD874"/>
  <c r="AG874"/>
  <c r="F875"/>
  <c r="G875"/>
  <c r="H875"/>
  <c r="Y875"/>
  <c r="AC875"/>
  <c r="AD875"/>
  <c r="AG875"/>
  <c r="F876"/>
  <c r="G876"/>
  <c r="H876"/>
  <c r="Y876"/>
  <c r="AC876"/>
  <c r="AD876"/>
  <c r="AG876"/>
  <c r="F877"/>
  <c r="G877"/>
  <c r="H877"/>
  <c r="Y877"/>
  <c r="AC877"/>
  <c r="AD877"/>
  <c r="AG877"/>
  <c r="F878"/>
  <c r="G878"/>
  <c r="H878"/>
  <c r="Y878"/>
  <c r="AC878"/>
  <c r="AD878"/>
  <c r="AG878"/>
  <c r="F879"/>
  <c r="G879"/>
  <c r="H879"/>
  <c r="Y879"/>
  <c r="AC879"/>
  <c r="AD879"/>
  <c r="AG879"/>
  <c r="F880"/>
  <c r="G880"/>
  <c r="H880"/>
  <c r="Y880"/>
  <c r="AC880"/>
  <c r="AD880"/>
  <c r="AG880"/>
  <c r="F881"/>
  <c r="G881"/>
  <c r="H881"/>
  <c r="Y881"/>
  <c r="AC881"/>
  <c r="AD881"/>
  <c r="AG881"/>
  <c r="F882"/>
  <c r="G882"/>
  <c r="H882"/>
  <c r="Y882"/>
  <c r="AC882"/>
  <c r="AD882"/>
  <c r="AG882"/>
  <c r="F883"/>
  <c r="G883"/>
  <c r="H883"/>
  <c r="Y883"/>
  <c r="AC883"/>
  <c r="AD883"/>
  <c r="AG883"/>
  <c r="F884"/>
  <c r="G884"/>
  <c r="H884"/>
  <c r="Y884"/>
  <c r="AC884"/>
  <c r="AD884"/>
  <c r="AG884"/>
  <c r="F885"/>
  <c r="G885"/>
  <c r="H885"/>
  <c r="Y885"/>
  <c r="AC885"/>
  <c r="AD885"/>
  <c r="AG885"/>
  <c r="F886"/>
  <c r="G886"/>
  <c r="H886"/>
  <c r="Y886"/>
  <c r="AC886"/>
  <c r="AD886"/>
  <c r="AG886"/>
  <c r="F887"/>
  <c r="G887"/>
  <c r="H887"/>
  <c r="Y887"/>
  <c r="AC887"/>
  <c r="AD887"/>
  <c r="AG887"/>
  <c r="F888"/>
  <c r="G888"/>
  <c r="H888"/>
  <c r="Y888"/>
  <c r="AC888"/>
  <c r="AD888"/>
  <c r="AG888"/>
  <c r="F889"/>
  <c r="G889"/>
  <c r="H889"/>
  <c r="Y889"/>
  <c r="AC889"/>
  <c r="AD889"/>
  <c r="AG889"/>
  <c r="F890"/>
  <c r="G890"/>
  <c r="H890"/>
  <c r="Y890"/>
  <c r="AC890"/>
  <c r="AD890"/>
  <c r="AG890"/>
  <c r="F891"/>
  <c r="G891"/>
  <c r="H891"/>
  <c r="Y891"/>
  <c r="AC891"/>
  <c r="AD891"/>
  <c r="AG891"/>
  <c r="F892"/>
  <c r="G892"/>
  <c r="H892"/>
  <c r="Y892"/>
  <c r="AC892"/>
  <c r="AD892"/>
  <c r="AG892"/>
  <c r="F893"/>
  <c r="G893"/>
  <c r="H893"/>
  <c r="Y893"/>
  <c r="AC893"/>
  <c r="AD893"/>
  <c r="AG893"/>
  <c r="F894"/>
  <c r="G894"/>
  <c r="H894"/>
  <c r="Y894"/>
  <c r="AC894"/>
  <c r="AD894"/>
  <c r="AG894"/>
  <c r="F895"/>
  <c r="G895"/>
  <c r="H895"/>
  <c r="Y895"/>
  <c r="AC895"/>
  <c r="AD895"/>
  <c r="AG895"/>
  <c r="F896"/>
  <c r="G896"/>
  <c r="H896"/>
  <c r="Y896"/>
  <c r="AC896"/>
  <c r="AD896"/>
  <c r="AG896"/>
  <c r="F897"/>
  <c r="G897"/>
  <c r="H897"/>
  <c r="Y897"/>
  <c r="AC897"/>
  <c r="AD897"/>
  <c r="AG897"/>
  <c r="F898"/>
  <c r="G898"/>
  <c r="H898"/>
  <c r="Y898"/>
  <c r="AC898"/>
  <c r="AD898"/>
  <c r="AG898"/>
  <c r="F899"/>
  <c r="G899"/>
  <c r="H899"/>
  <c r="Y899"/>
  <c r="AC899"/>
  <c r="AD899"/>
  <c r="AG899"/>
  <c r="F900"/>
  <c r="G900"/>
  <c r="H900"/>
  <c r="Y900"/>
  <c r="AC900"/>
  <c r="AD900"/>
  <c r="AG900"/>
  <c r="F901"/>
  <c r="G901"/>
  <c r="H901"/>
  <c r="Y901"/>
  <c r="AC901"/>
  <c r="AD901"/>
  <c r="AG901"/>
  <c r="F902"/>
  <c r="G902"/>
  <c r="H902"/>
  <c r="Y902"/>
  <c r="AC902"/>
  <c r="AD902"/>
  <c r="AG902"/>
  <c r="F903"/>
  <c r="G903"/>
  <c r="H903"/>
  <c r="Y903"/>
  <c r="AC903"/>
  <c r="AD903"/>
  <c r="AG903"/>
  <c r="F904"/>
  <c r="G904"/>
  <c r="H904"/>
  <c r="Y904"/>
  <c r="AC904"/>
  <c r="AD904"/>
  <c r="AG904"/>
  <c r="F905"/>
  <c r="G905"/>
  <c r="H905"/>
  <c r="Y905"/>
  <c r="AC905"/>
  <c r="AD905"/>
  <c r="AG905"/>
  <c r="F906"/>
  <c r="G906"/>
  <c r="H906"/>
  <c r="Y906"/>
  <c r="AC906"/>
  <c r="AD906"/>
  <c r="AG906"/>
  <c r="F907"/>
  <c r="G907"/>
  <c r="H907"/>
  <c r="Y907"/>
  <c r="AC907"/>
  <c r="AD907"/>
  <c r="AG907"/>
  <c r="F908"/>
  <c r="G908"/>
  <c r="H908"/>
  <c r="Y908"/>
  <c r="AC908"/>
  <c r="AD908"/>
  <c r="AG908"/>
  <c r="F909"/>
  <c r="G909"/>
  <c r="H909"/>
  <c r="Y909"/>
  <c r="AC909"/>
  <c r="AD909"/>
  <c r="AG909"/>
  <c r="F910"/>
  <c r="G910"/>
  <c r="H910"/>
  <c r="Y910"/>
  <c r="AC910"/>
  <c r="AD910"/>
  <c r="AG910"/>
  <c r="F911"/>
  <c r="G911"/>
  <c r="H911"/>
  <c r="Y911"/>
  <c r="AC911"/>
  <c r="AD911"/>
  <c r="AG911"/>
  <c r="F912"/>
  <c r="G912"/>
  <c r="H912"/>
  <c r="Y912"/>
  <c r="AC912"/>
  <c r="AD912"/>
  <c r="AG912"/>
  <c r="F913"/>
  <c r="G913"/>
  <c r="H913"/>
  <c r="Y913"/>
  <c r="AC913"/>
  <c r="AD913"/>
  <c r="AG913"/>
  <c r="F914"/>
  <c r="G914"/>
  <c r="H914"/>
  <c r="Y914"/>
  <c r="AC914"/>
  <c r="AD914"/>
  <c r="AG914"/>
  <c r="F915"/>
  <c r="G915"/>
  <c r="H915"/>
  <c r="Y915"/>
  <c r="AC915"/>
  <c r="AD915"/>
  <c r="AG915"/>
  <c r="F916"/>
  <c r="G916"/>
  <c r="H916"/>
  <c r="Y916"/>
  <c r="AC916"/>
  <c r="AD916"/>
  <c r="AG916"/>
  <c r="F917"/>
  <c r="G917"/>
  <c r="H917"/>
  <c r="Y917"/>
  <c r="AC917"/>
  <c r="AD917"/>
  <c r="AG917"/>
  <c r="F918"/>
  <c r="G918"/>
  <c r="H918"/>
  <c r="Y918"/>
  <c r="AC918"/>
  <c r="AD918"/>
  <c r="AG918"/>
  <c r="F919"/>
  <c r="G919"/>
  <c r="H919"/>
  <c r="Y919"/>
  <c r="AC919"/>
  <c r="AD919"/>
  <c r="AG919"/>
  <c r="F920"/>
  <c r="G920"/>
  <c r="H920"/>
  <c r="Y920"/>
  <c r="AC920"/>
  <c r="AD920"/>
  <c r="AG920"/>
  <c r="F921"/>
  <c r="G921"/>
  <c r="H921"/>
  <c r="Y921"/>
  <c r="AC921"/>
  <c r="AD921"/>
  <c r="AG921"/>
  <c r="F922"/>
  <c r="G922"/>
  <c r="H922"/>
  <c r="Y922"/>
  <c r="AC922"/>
  <c r="AD922"/>
  <c r="AG922"/>
  <c r="F923"/>
  <c r="G923"/>
  <c r="H923"/>
  <c r="Y923"/>
  <c r="AC923"/>
  <c r="AD923"/>
  <c r="AG923"/>
  <c r="F924"/>
  <c r="G924"/>
  <c r="H924"/>
  <c r="Y924"/>
  <c r="AC924"/>
  <c r="AD924"/>
  <c r="AG924"/>
  <c r="F925"/>
  <c r="G925"/>
  <c r="H925"/>
  <c r="Y925"/>
  <c r="AC925"/>
  <c r="AD925"/>
  <c r="AG925"/>
  <c r="F926"/>
  <c r="G926"/>
  <c r="H926"/>
  <c r="Y926"/>
  <c r="AC926"/>
  <c r="AD926"/>
  <c r="AG926"/>
  <c r="F927"/>
  <c r="G927"/>
  <c r="H927"/>
  <c r="Y927"/>
  <c r="AC927"/>
  <c r="AD927"/>
  <c r="AG927"/>
  <c r="F928"/>
  <c r="G928"/>
  <c r="H928"/>
  <c r="Y928"/>
  <c r="AC928"/>
  <c r="AD928"/>
  <c r="AG928"/>
  <c r="F929"/>
  <c r="G929"/>
  <c r="H929"/>
  <c r="Y929"/>
  <c r="AC929"/>
  <c r="AD929"/>
  <c r="AG929"/>
  <c r="F930"/>
  <c r="G930"/>
  <c r="H930"/>
  <c r="Y930"/>
  <c r="AC930"/>
  <c r="AD930"/>
  <c r="AG930"/>
  <c r="F931"/>
  <c r="G931"/>
  <c r="H931"/>
  <c r="Y931"/>
  <c r="AC931"/>
  <c r="AD931"/>
  <c r="AG931"/>
  <c r="F932"/>
  <c r="G932"/>
  <c r="H932"/>
  <c r="Y932"/>
  <c r="AC932"/>
  <c r="AD932"/>
  <c r="AG932"/>
  <c r="F933"/>
  <c r="G933"/>
  <c r="H933"/>
  <c r="Y933"/>
  <c r="AC933"/>
  <c r="AD933"/>
  <c r="AG933"/>
  <c r="F934"/>
  <c r="G934"/>
  <c r="H934"/>
  <c r="Y934"/>
  <c r="AC934"/>
  <c r="AD934"/>
  <c r="AG934"/>
  <c r="F935"/>
  <c r="G935"/>
  <c r="H935"/>
  <c r="Y935"/>
  <c r="AC935"/>
  <c r="AD935"/>
  <c r="AG935"/>
  <c r="F936"/>
  <c r="G936"/>
  <c r="H936"/>
  <c r="Y936"/>
  <c r="AC936"/>
  <c r="AD936"/>
  <c r="AG936"/>
  <c r="F937"/>
  <c r="G937"/>
  <c r="H937"/>
  <c r="Y937"/>
  <c r="AC937"/>
  <c r="AD937"/>
  <c r="AG937"/>
  <c r="F938"/>
  <c r="G938"/>
  <c r="H938"/>
  <c r="Y938"/>
  <c r="AC938"/>
  <c r="AD938"/>
  <c r="AG938"/>
  <c r="F939"/>
  <c r="G939"/>
  <c r="H939"/>
  <c r="Y939"/>
  <c r="AC939"/>
  <c r="AD939"/>
  <c r="AG939"/>
  <c r="F940"/>
  <c r="G940"/>
  <c r="H940"/>
  <c r="Y940"/>
  <c r="AC940"/>
  <c r="AD940"/>
  <c r="AG940"/>
  <c r="F941"/>
  <c r="G941"/>
  <c r="H941"/>
  <c r="Y941"/>
  <c r="AC941"/>
  <c r="AD941"/>
  <c r="AG941"/>
  <c r="F942"/>
  <c r="G942"/>
  <c r="H942"/>
  <c r="Y942"/>
  <c r="AC942"/>
  <c r="AD942"/>
  <c r="AG942"/>
  <c r="F943"/>
  <c r="G943"/>
  <c r="H943"/>
  <c r="Y943"/>
  <c r="AC943"/>
  <c r="AD943"/>
  <c r="AG943"/>
  <c r="F944"/>
  <c r="G944"/>
  <c r="H944"/>
  <c r="Y944"/>
  <c r="AC944"/>
  <c r="AD944"/>
  <c r="AG944"/>
  <c r="F945"/>
  <c r="G945"/>
  <c r="H945"/>
  <c r="Y945"/>
  <c r="AC945"/>
  <c r="AD945"/>
  <c r="AG945"/>
  <c r="F946"/>
  <c r="G946"/>
  <c r="H946"/>
  <c r="Y946"/>
  <c r="AC946"/>
  <c r="AD946"/>
  <c r="AG946"/>
  <c r="F947"/>
  <c r="G947"/>
  <c r="H947"/>
  <c r="Y947"/>
  <c r="AC947"/>
  <c r="AD947"/>
  <c r="AG947"/>
  <c r="F948"/>
  <c r="G948"/>
  <c r="H948"/>
  <c r="Y948"/>
  <c r="AC948"/>
  <c r="AD948"/>
  <c r="AG948"/>
  <c r="F949"/>
  <c r="G949"/>
  <c r="H949"/>
  <c r="Y949"/>
  <c r="AC949"/>
  <c r="AD949"/>
  <c r="AG949"/>
  <c r="F950"/>
  <c r="G950"/>
  <c r="H950"/>
  <c r="Y950"/>
  <c r="AC950"/>
  <c r="AD950"/>
  <c r="AG950"/>
  <c r="F951"/>
  <c r="G951"/>
  <c r="H951"/>
  <c r="Y951"/>
  <c r="AC951"/>
  <c r="AD951"/>
  <c r="AG951"/>
  <c r="F952"/>
  <c r="G952"/>
  <c r="H952"/>
  <c r="Y952"/>
  <c r="AC952"/>
  <c r="AD952"/>
  <c r="AG952"/>
  <c r="F953"/>
  <c r="G953"/>
  <c r="H953"/>
  <c r="Y953"/>
  <c r="AC953"/>
  <c r="AD953"/>
  <c r="AG953"/>
  <c r="F954"/>
  <c r="G954"/>
  <c r="H954"/>
  <c r="Y954"/>
  <c r="AC954"/>
  <c r="AD954"/>
  <c r="AG954"/>
  <c r="F955"/>
  <c r="G955"/>
  <c r="H955"/>
  <c r="Y955"/>
  <c r="AC955"/>
  <c r="AD955"/>
  <c r="AG955"/>
  <c r="F956"/>
  <c r="G956"/>
  <c r="H956"/>
  <c r="Y956"/>
  <c r="AC956"/>
  <c r="AD956"/>
  <c r="AG956"/>
  <c r="F957"/>
  <c r="G957"/>
  <c r="H957"/>
  <c r="Y957"/>
  <c r="AC957"/>
  <c r="AD957"/>
  <c r="AG957"/>
  <c r="F958"/>
  <c r="G958"/>
  <c r="H958"/>
  <c r="Y958"/>
  <c r="AC958"/>
  <c r="AD958"/>
  <c r="AG958"/>
  <c r="F959"/>
  <c r="G959"/>
  <c r="H959"/>
  <c r="Y959"/>
  <c r="AC959"/>
  <c r="AD959"/>
  <c r="AG959"/>
  <c r="F960"/>
  <c r="G960"/>
  <c r="H960"/>
  <c r="Y960"/>
  <c r="AC960"/>
  <c r="AD960"/>
  <c r="AG960"/>
  <c r="F961"/>
  <c r="G961"/>
  <c r="H961"/>
  <c r="Y961"/>
  <c r="AC961"/>
  <c r="AD961"/>
  <c r="AG961"/>
  <c r="F962"/>
  <c r="G962"/>
  <c r="H962"/>
  <c r="Y962"/>
  <c r="AC962"/>
  <c r="AD962"/>
  <c r="AG962"/>
  <c r="F963"/>
  <c r="G963"/>
  <c r="H963"/>
  <c r="Y963"/>
  <c r="AC963"/>
  <c r="AD963"/>
  <c r="AG963"/>
  <c r="F964"/>
  <c r="G964"/>
  <c r="H964"/>
  <c r="Y964"/>
  <c r="AC964"/>
  <c r="AD964"/>
  <c r="AG964"/>
  <c r="F965"/>
  <c r="G965"/>
  <c r="H965"/>
  <c r="Y965"/>
  <c r="AC965"/>
  <c r="AD965"/>
  <c r="AG965"/>
  <c r="F966"/>
  <c r="G966"/>
  <c r="H966"/>
  <c r="Y966"/>
  <c r="AC966"/>
  <c r="AD966"/>
  <c r="AG966"/>
  <c r="F967"/>
  <c r="G967"/>
  <c r="H967"/>
  <c r="Y967"/>
  <c r="AC967"/>
  <c r="AD967"/>
  <c r="AG967"/>
  <c r="F968"/>
  <c r="G968"/>
  <c r="H968"/>
  <c r="Y968"/>
  <c r="AC968"/>
  <c r="AD968"/>
  <c r="AG968"/>
  <c r="F969"/>
  <c r="G969"/>
  <c r="H969"/>
  <c r="Y969"/>
  <c r="AC969"/>
  <c r="AD969"/>
  <c r="AG969"/>
  <c r="F970"/>
  <c r="G970"/>
  <c r="H970"/>
  <c r="Y970"/>
  <c r="AC970"/>
  <c r="AD970"/>
  <c r="AG970"/>
  <c r="F971"/>
  <c r="G971"/>
  <c r="H971"/>
  <c r="Y971"/>
  <c r="AC971"/>
  <c r="AD971"/>
  <c r="AG971"/>
  <c r="F972"/>
  <c r="G972"/>
  <c r="H972"/>
  <c r="Y972"/>
  <c r="AC972"/>
  <c r="AD972"/>
  <c r="AG972"/>
  <c r="F973"/>
  <c r="G973"/>
  <c r="H973"/>
  <c r="Y973"/>
  <c r="AC973"/>
  <c r="AD973"/>
  <c r="AG973"/>
  <c r="F974"/>
  <c r="G974"/>
  <c r="H974"/>
  <c r="Y974"/>
  <c r="AC974"/>
  <c r="AD974"/>
  <c r="AG974"/>
  <c r="F975"/>
  <c r="G975"/>
  <c r="H975"/>
  <c r="Y975"/>
  <c r="AC975"/>
  <c r="AD975"/>
  <c r="AG975"/>
  <c r="F976"/>
  <c r="G976"/>
  <c r="H976"/>
  <c r="Y976"/>
  <c r="AC976"/>
  <c r="AD976"/>
  <c r="AG976"/>
  <c r="F977"/>
  <c r="G977"/>
  <c r="H977"/>
  <c r="Y977"/>
  <c r="AC977"/>
  <c r="AD977"/>
  <c r="AG977"/>
  <c r="F978"/>
  <c r="G978"/>
  <c r="H978"/>
  <c r="Y978"/>
  <c r="AC978"/>
  <c r="AD978"/>
  <c r="AG978"/>
  <c r="F979"/>
  <c r="G979"/>
  <c r="H979"/>
  <c r="Y979"/>
  <c r="AC979"/>
  <c r="AD979"/>
  <c r="AG979"/>
  <c r="F980"/>
  <c r="G980"/>
  <c r="H980"/>
  <c r="Y980"/>
  <c r="AC980"/>
  <c r="AD980"/>
  <c r="AG980"/>
  <c r="F981"/>
  <c r="G981"/>
  <c r="H981"/>
  <c r="Y981"/>
  <c r="AC981"/>
  <c r="AD981"/>
  <c r="AG981"/>
  <c r="F982"/>
  <c r="G982"/>
  <c r="H982"/>
  <c r="Y982"/>
  <c r="AC982"/>
  <c r="AD982"/>
  <c r="AG982"/>
  <c r="F983"/>
  <c r="G983"/>
  <c r="H983"/>
  <c r="Y983"/>
  <c r="AC983"/>
  <c r="AD983"/>
  <c r="AG983"/>
  <c r="F984"/>
  <c r="G984"/>
  <c r="H984"/>
  <c r="Y984"/>
  <c r="AC984"/>
  <c r="AD984"/>
  <c r="AG984"/>
  <c r="F985"/>
  <c r="G985"/>
  <c r="H985"/>
  <c r="Y985"/>
  <c r="AC985"/>
  <c r="AD985"/>
  <c r="AG985"/>
  <c r="F986"/>
  <c r="G986"/>
  <c r="H986"/>
  <c r="Y986"/>
  <c r="AC986"/>
  <c r="AD986"/>
  <c r="AG986"/>
  <c r="F987"/>
  <c r="G987"/>
  <c r="H987"/>
  <c r="Y987"/>
  <c r="AC987"/>
  <c r="AD987"/>
  <c r="AG987"/>
  <c r="F988"/>
  <c r="G988"/>
  <c r="H988"/>
  <c r="Y988"/>
  <c r="AC988"/>
  <c r="AD988"/>
  <c r="AG988"/>
  <c r="F989"/>
  <c r="G989"/>
  <c r="H989"/>
  <c r="Y989"/>
  <c r="AC989"/>
  <c r="AD989"/>
  <c r="AG989"/>
  <c r="F990"/>
  <c r="G990"/>
  <c r="H990"/>
  <c r="Y990"/>
  <c r="AC990"/>
  <c r="AD990"/>
  <c r="AG990"/>
  <c r="F991"/>
  <c r="G991"/>
  <c r="H991"/>
  <c r="Y991"/>
  <c r="AC991"/>
  <c r="AD991"/>
  <c r="AG991"/>
  <c r="F992"/>
  <c r="G992"/>
  <c r="H992"/>
  <c r="Y992"/>
  <c r="AC992"/>
  <c r="AD992"/>
  <c r="AG992"/>
  <c r="F993"/>
  <c r="G993"/>
  <c r="H993"/>
  <c r="Y993"/>
  <c r="AC993"/>
  <c r="AD993"/>
  <c r="AG993"/>
  <c r="F994"/>
  <c r="G994"/>
  <c r="H994"/>
  <c r="Y994"/>
  <c r="AC994"/>
  <c r="AD994"/>
  <c r="AG994"/>
  <c r="F995"/>
  <c r="G995"/>
  <c r="H995"/>
  <c r="Y995"/>
  <c r="AC995"/>
  <c r="AD995"/>
  <c r="AG995"/>
  <c r="F996"/>
  <c r="G996"/>
  <c r="H996"/>
  <c r="Y996"/>
  <c r="AC996"/>
  <c r="AD996"/>
  <c r="AG996"/>
  <c r="F997"/>
  <c r="G997"/>
  <c r="H997"/>
  <c r="Y997"/>
  <c r="AC997"/>
  <c r="AD997"/>
  <c r="AG997"/>
  <c r="F998"/>
  <c r="G998"/>
  <c r="H998"/>
  <c r="Y998"/>
  <c r="AC998"/>
  <c r="AD998"/>
  <c r="AG998"/>
  <c r="F999"/>
  <c r="G999"/>
  <c r="H999"/>
  <c r="Y999"/>
  <c r="AC999"/>
  <c r="AD999"/>
  <c r="AG999"/>
  <c r="F1000"/>
  <c r="G1000"/>
  <c r="H1000"/>
  <c r="Y1000"/>
  <c r="AC1000"/>
  <c r="AD1000"/>
  <c r="AG1000"/>
  <c r="F1001"/>
  <c r="G1001"/>
  <c r="H1001"/>
  <c r="Y1001"/>
  <c r="AC1001"/>
  <c r="AD1001"/>
  <c r="AG1001"/>
  <c r="F1002"/>
  <c r="G1002"/>
  <c r="H1002"/>
  <c r="Y1002"/>
  <c r="AC1002"/>
  <c r="AD1002"/>
  <c r="AG1002"/>
  <c r="F1003"/>
  <c r="G1003"/>
  <c r="H1003"/>
  <c r="Y1003"/>
  <c r="AC1003"/>
  <c r="AD1003"/>
  <c r="AG1003"/>
  <c r="F1004"/>
  <c r="G1004"/>
  <c r="H1004"/>
  <c r="Y1004"/>
  <c r="AC1004"/>
  <c r="AD1004"/>
  <c r="AG1004"/>
  <c r="F1005"/>
  <c r="G1005"/>
  <c r="H1005"/>
  <c r="Y1005"/>
  <c r="AC1005"/>
  <c r="AD1005"/>
  <c r="AG1005"/>
  <c r="F1006"/>
  <c r="G1006"/>
  <c r="H1006"/>
  <c r="Y1006"/>
  <c r="AC1006"/>
  <c r="AD1006"/>
  <c r="AG1006"/>
  <c r="F1007"/>
  <c r="G1007"/>
  <c r="H1007"/>
  <c r="Y1007"/>
  <c r="AC1007"/>
  <c r="AD1007"/>
  <c r="AG1007"/>
  <c r="F1008"/>
  <c r="G1008"/>
  <c r="H1008"/>
  <c r="Y1008"/>
  <c r="AC1008"/>
  <c r="AD1008"/>
  <c r="AG1008"/>
  <c r="O23" i="12"/>
  <c r="R22" s="1"/>
  <c r="CD6" i="1"/>
  <c r="CC6"/>
  <c r="CB6"/>
  <c r="CA6"/>
  <c r="BZ6"/>
  <c r="BY6"/>
  <c r="BX6"/>
  <c r="BW6"/>
  <c r="BV6"/>
  <c r="BU6"/>
  <c r="BT6"/>
  <c r="BS6"/>
  <c r="BR6"/>
  <c r="BQ6"/>
  <c r="BP6"/>
  <c r="BO6"/>
  <c r="BN6"/>
  <c r="BM6"/>
  <c r="BL6"/>
  <c r="BK6"/>
  <c r="L6"/>
  <c r="L7" s="1"/>
  <c r="K6"/>
  <c r="K7" s="1"/>
  <c r="J6"/>
  <c r="J7" s="1"/>
  <c r="I6"/>
  <c r="I7" s="1"/>
  <c r="L5"/>
  <c r="K5"/>
  <c r="J5"/>
  <c r="I5"/>
  <c r="L4"/>
  <c r="K4"/>
  <c r="J4"/>
  <c r="I4"/>
  <c r="AA6"/>
  <c r="AA7" s="1"/>
  <c r="Z6"/>
  <c r="Z7" s="1"/>
  <c r="Y6"/>
  <c r="Y7" s="1"/>
  <c r="X6"/>
  <c r="X7" s="1"/>
  <c r="W6"/>
  <c r="W7" s="1"/>
  <c r="V6"/>
  <c r="V7" s="1"/>
  <c r="U6"/>
  <c r="U7" s="1"/>
  <c r="T6"/>
  <c r="T7" s="1"/>
  <c r="AA5"/>
  <c r="Z5"/>
  <c r="Y5"/>
  <c r="X5"/>
  <c r="W5"/>
  <c r="V5"/>
  <c r="U5"/>
  <c r="T5"/>
  <c r="AA4"/>
  <c r="Z4"/>
  <c r="Y4"/>
  <c r="X4"/>
  <c r="W4"/>
  <c r="V4"/>
  <c r="U4"/>
  <c r="T4"/>
  <c r="P4"/>
  <c r="P5"/>
  <c r="P6"/>
  <c r="P7" s="1"/>
  <c r="S6"/>
  <c r="S7" s="1"/>
  <c r="R6"/>
  <c r="R7" s="1"/>
  <c r="S5"/>
  <c r="R5"/>
  <c r="S4"/>
  <c r="R4"/>
  <c r="O6"/>
  <c r="O7" s="1"/>
  <c r="N6"/>
  <c r="N7" s="1"/>
  <c r="M6"/>
  <c r="M7" s="1"/>
  <c r="O5"/>
  <c r="N5"/>
  <c r="M5"/>
  <c r="O4"/>
  <c r="N4"/>
  <c r="M4"/>
  <c r="H6"/>
  <c r="H7" s="1"/>
  <c r="G6"/>
  <c r="G7" s="1"/>
  <c r="F6"/>
  <c r="F7" s="1"/>
  <c r="E6"/>
  <c r="E7" s="1"/>
  <c r="H5"/>
  <c r="G5"/>
  <c r="F5"/>
  <c r="E5"/>
  <c r="H4"/>
  <c r="G4"/>
  <c r="F4"/>
  <c r="E4"/>
  <c r="D6"/>
  <c r="D7" s="1"/>
  <c r="D5"/>
  <c r="D4"/>
  <c r="A82" i="45" l="1"/>
  <c r="A107"/>
  <c r="A87"/>
  <c r="A92"/>
  <c r="A97"/>
  <c r="H377" i="13"/>
  <c r="I1007"/>
  <c r="J1007" s="1"/>
  <c r="I1003"/>
  <c r="J1003" s="1"/>
  <c r="I997"/>
  <c r="J997" s="1"/>
  <c r="I991"/>
  <c r="J991" s="1"/>
  <c r="I983"/>
  <c r="J983" s="1"/>
  <c r="I973"/>
  <c r="J973" s="1"/>
  <c r="I971"/>
  <c r="J971" s="1"/>
  <c r="I967"/>
  <c r="J967" s="1"/>
  <c r="I965"/>
  <c r="J965" s="1"/>
  <c r="I961"/>
  <c r="J961" s="1"/>
  <c r="I955"/>
  <c r="J955" s="1"/>
  <c r="I951"/>
  <c r="J951" s="1"/>
  <c r="I947"/>
  <c r="J947" s="1"/>
  <c r="I943"/>
  <c r="J943" s="1"/>
  <c r="I939"/>
  <c r="J939" s="1"/>
  <c r="I935"/>
  <c r="J935" s="1"/>
  <c r="I933"/>
  <c r="J933" s="1"/>
  <c r="I931"/>
  <c r="J931" s="1"/>
  <c r="I927"/>
  <c r="J927" s="1"/>
  <c r="I923"/>
  <c r="J923" s="1"/>
  <c r="I919"/>
  <c r="J919" s="1"/>
  <c r="I915"/>
  <c r="J915" s="1"/>
  <c r="I913"/>
  <c r="J913" s="1"/>
  <c r="I909"/>
  <c r="J909" s="1"/>
  <c r="I907"/>
  <c r="J907" s="1"/>
  <c r="I903"/>
  <c r="J903" s="1"/>
  <c r="I901"/>
  <c r="J901" s="1"/>
  <c r="I899"/>
  <c r="J899" s="1"/>
  <c r="I893"/>
  <c r="J893" s="1"/>
  <c r="I891"/>
  <c r="J891" s="1"/>
  <c r="I887"/>
  <c r="J887" s="1"/>
  <c r="I885"/>
  <c r="J885" s="1"/>
  <c r="I883"/>
  <c r="J883" s="1"/>
  <c r="I881"/>
  <c r="J881" s="1"/>
  <c r="I879"/>
  <c r="J879" s="1"/>
  <c r="I877"/>
  <c r="J877" s="1"/>
  <c r="I875"/>
  <c r="J875" s="1"/>
  <c r="I873"/>
  <c r="J873" s="1"/>
  <c r="I871"/>
  <c r="J871" s="1"/>
  <c r="I869"/>
  <c r="J869" s="1"/>
  <c r="I867"/>
  <c r="J867" s="1"/>
  <c r="I865"/>
  <c r="J865" s="1"/>
  <c r="I863"/>
  <c r="J863" s="1"/>
  <c r="I861"/>
  <c r="J861" s="1"/>
  <c r="I859"/>
  <c r="J859" s="1"/>
  <c r="I857"/>
  <c r="J857" s="1"/>
  <c r="I855"/>
  <c r="J855" s="1"/>
  <c r="I853"/>
  <c r="J853" s="1"/>
  <c r="I851"/>
  <c r="J851" s="1"/>
  <c r="I849"/>
  <c r="J849" s="1"/>
  <c r="I847"/>
  <c r="J847" s="1"/>
  <c r="I845"/>
  <c r="J845" s="1"/>
  <c r="I843"/>
  <c r="J843" s="1"/>
  <c r="I841"/>
  <c r="J841" s="1"/>
  <c r="I839"/>
  <c r="J839" s="1"/>
  <c r="I837"/>
  <c r="J837" s="1"/>
  <c r="I833"/>
  <c r="J833" s="1"/>
  <c r="I829"/>
  <c r="J829" s="1"/>
  <c r="I825"/>
  <c r="J825" s="1"/>
  <c r="I821"/>
  <c r="J821" s="1"/>
  <c r="I817"/>
  <c r="J817" s="1"/>
  <c r="I813"/>
  <c r="J813" s="1"/>
  <c r="I809"/>
  <c r="J809" s="1"/>
  <c r="I805"/>
  <c r="J805" s="1"/>
  <c r="I801"/>
  <c r="J801" s="1"/>
  <c r="I797"/>
  <c r="J797" s="1"/>
  <c r="I793"/>
  <c r="J793" s="1"/>
  <c r="I789"/>
  <c r="J789" s="1"/>
  <c r="I785"/>
  <c r="J785" s="1"/>
  <c r="I781"/>
  <c r="J781" s="1"/>
  <c r="I777"/>
  <c r="J777" s="1"/>
  <c r="I773"/>
  <c r="J773" s="1"/>
  <c r="I769"/>
  <c r="J769" s="1"/>
  <c r="I767"/>
  <c r="J767" s="1"/>
  <c r="I759"/>
  <c r="J759" s="1"/>
  <c r="I751"/>
  <c r="J751" s="1"/>
  <c r="L751" s="1"/>
  <c r="I743"/>
  <c r="J743" s="1"/>
  <c r="I725"/>
  <c r="J725" s="1"/>
  <c r="I709"/>
  <c r="J709" s="1"/>
  <c r="I693"/>
  <c r="J693" s="1"/>
  <c r="L693" s="1"/>
  <c r="I677"/>
  <c r="J677" s="1"/>
  <c r="I647"/>
  <c r="J647" s="1"/>
  <c r="I615"/>
  <c r="J615" s="1"/>
  <c r="I583"/>
  <c r="J583" s="1"/>
  <c r="L583" s="1"/>
  <c r="I564"/>
  <c r="J564" s="1"/>
  <c r="I500"/>
  <c r="J500" s="1"/>
  <c r="I443"/>
  <c r="J443" s="1"/>
  <c r="I1005"/>
  <c r="J1005" s="1"/>
  <c r="I1001"/>
  <c r="J1001" s="1"/>
  <c r="I999"/>
  <c r="J999" s="1"/>
  <c r="I995"/>
  <c r="J995" s="1"/>
  <c r="I993"/>
  <c r="J993" s="1"/>
  <c r="I989"/>
  <c r="J989" s="1"/>
  <c r="I987"/>
  <c r="J987" s="1"/>
  <c r="I985"/>
  <c r="J985" s="1"/>
  <c r="I981"/>
  <c r="J981" s="1"/>
  <c r="I979"/>
  <c r="J979" s="1"/>
  <c r="I977"/>
  <c r="J977" s="1"/>
  <c r="I975"/>
  <c r="J975" s="1"/>
  <c r="I969"/>
  <c r="J969" s="1"/>
  <c r="I963"/>
  <c r="J963" s="1"/>
  <c r="I959"/>
  <c r="J959" s="1"/>
  <c r="I957"/>
  <c r="J957" s="1"/>
  <c r="I953"/>
  <c r="J953" s="1"/>
  <c r="I949"/>
  <c r="J949" s="1"/>
  <c r="I945"/>
  <c r="J945" s="1"/>
  <c r="I941"/>
  <c r="J941" s="1"/>
  <c r="I937"/>
  <c r="J937" s="1"/>
  <c r="I929"/>
  <c r="J929" s="1"/>
  <c r="I925"/>
  <c r="J925" s="1"/>
  <c r="I921"/>
  <c r="J921" s="1"/>
  <c r="I917"/>
  <c r="J917" s="1"/>
  <c r="I911"/>
  <c r="J911" s="1"/>
  <c r="I905"/>
  <c r="J905" s="1"/>
  <c r="I897"/>
  <c r="J897" s="1"/>
  <c r="I895"/>
  <c r="J895" s="1"/>
  <c r="I889"/>
  <c r="J889" s="1"/>
  <c r="I1008"/>
  <c r="J1008" s="1"/>
  <c r="I1006"/>
  <c r="J1006" s="1"/>
  <c r="I1004"/>
  <c r="J1004" s="1"/>
  <c r="I1002"/>
  <c r="J1002" s="1"/>
  <c r="I1000"/>
  <c r="J1000" s="1"/>
  <c r="I998"/>
  <c r="J998" s="1"/>
  <c r="I996"/>
  <c r="J996" s="1"/>
  <c r="I994"/>
  <c r="J994" s="1"/>
  <c r="I992"/>
  <c r="J992" s="1"/>
  <c r="I990"/>
  <c r="J990" s="1"/>
  <c r="I988"/>
  <c r="J988" s="1"/>
  <c r="I986"/>
  <c r="J986" s="1"/>
  <c r="I984"/>
  <c r="J984" s="1"/>
  <c r="I982"/>
  <c r="J982" s="1"/>
  <c r="I980"/>
  <c r="J980" s="1"/>
  <c r="I978"/>
  <c r="J978" s="1"/>
  <c r="I976"/>
  <c r="J976" s="1"/>
  <c r="I974"/>
  <c r="J974" s="1"/>
  <c r="I972"/>
  <c r="J972" s="1"/>
  <c r="I970"/>
  <c r="J970" s="1"/>
  <c r="I968"/>
  <c r="J968" s="1"/>
  <c r="I966"/>
  <c r="J966" s="1"/>
  <c r="I964"/>
  <c r="J964" s="1"/>
  <c r="I962"/>
  <c r="J962" s="1"/>
  <c r="I960"/>
  <c r="J960" s="1"/>
  <c r="I958"/>
  <c r="J958" s="1"/>
  <c r="I956"/>
  <c r="J956" s="1"/>
  <c r="I954"/>
  <c r="J954" s="1"/>
  <c r="I952"/>
  <c r="J952" s="1"/>
  <c r="I950"/>
  <c r="J950" s="1"/>
  <c r="I948"/>
  <c r="J948" s="1"/>
  <c r="I946"/>
  <c r="J946" s="1"/>
  <c r="I944"/>
  <c r="J944" s="1"/>
  <c r="I942"/>
  <c r="J942" s="1"/>
  <c r="I940"/>
  <c r="J940" s="1"/>
  <c r="I938"/>
  <c r="J938" s="1"/>
  <c r="I936"/>
  <c r="J936" s="1"/>
  <c r="I934"/>
  <c r="J934" s="1"/>
  <c r="I932"/>
  <c r="J932" s="1"/>
  <c r="I930"/>
  <c r="J930" s="1"/>
  <c r="I928"/>
  <c r="J928" s="1"/>
  <c r="I926"/>
  <c r="J926" s="1"/>
  <c r="I924"/>
  <c r="J924" s="1"/>
  <c r="I922"/>
  <c r="J922" s="1"/>
  <c r="I920"/>
  <c r="J920" s="1"/>
  <c r="I918"/>
  <c r="J918" s="1"/>
  <c r="I916"/>
  <c r="J916" s="1"/>
  <c r="I914"/>
  <c r="J914" s="1"/>
  <c r="I912"/>
  <c r="J912" s="1"/>
  <c r="I910"/>
  <c r="J910" s="1"/>
  <c r="I908"/>
  <c r="J908" s="1"/>
  <c r="I906"/>
  <c r="J906" s="1"/>
  <c r="I904"/>
  <c r="J904" s="1"/>
  <c r="I902"/>
  <c r="J902" s="1"/>
  <c r="I900"/>
  <c r="J900" s="1"/>
  <c r="I898"/>
  <c r="J898" s="1"/>
  <c r="I896"/>
  <c r="J896" s="1"/>
  <c r="I894"/>
  <c r="J894" s="1"/>
  <c r="I892"/>
  <c r="J892" s="1"/>
  <c r="I890"/>
  <c r="J890" s="1"/>
  <c r="I888"/>
  <c r="J888" s="1"/>
  <c r="I886"/>
  <c r="J886" s="1"/>
  <c r="I884"/>
  <c r="J884" s="1"/>
  <c r="I882"/>
  <c r="J882" s="1"/>
  <c r="I880"/>
  <c r="J880" s="1"/>
  <c r="I878"/>
  <c r="J878" s="1"/>
  <c r="I876"/>
  <c r="J876" s="1"/>
  <c r="I874"/>
  <c r="J874" s="1"/>
  <c r="I872"/>
  <c r="J872" s="1"/>
  <c r="I870"/>
  <c r="J870" s="1"/>
  <c r="I868"/>
  <c r="J868" s="1"/>
  <c r="I866"/>
  <c r="J866" s="1"/>
  <c r="I864"/>
  <c r="J864" s="1"/>
  <c r="I862"/>
  <c r="J862" s="1"/>
  <c r="I860"/>
  <c r="J860" s="1"/>
  <c r="I858"/>
  <c r="J858" s="1"/>
  <c r="I856"/>
  <c r="J856" s="1"/>
  <c r="I854"/>
  <c r="J854" s="1"/>
  <c r="I852"/>
  <c r="J852" s="1"/>
  <c r="I850"/>
  <c r="J850" s="1"/>
  <c r="I848"/>
  <c r="J848" s="1"/>
  <c r="I846"/>
  <c r="J846" s="1"/>
  <c r="I844"/>
  <c r="J844" s="1"/>
  <c r="I842"/>
  <c r="J842" s="1"/>
  <c r="I840"/>
  <c r="J840" s="1"/>
  <c r="I838"/>
  <c r="J838" s="1"/>
  <c r="I836"/>
  <c r="J836" s="1"/>
  <c r="I835"/>
  <c r="J835" s="1"/>
  <c r="I831"/>
  <c r="J831" s="1"/>
  <c r="I827"/>
  <c r="J827" s="1"/>
  <c r="I823"/>
  <c r="J823" s="1"/>
  <c r="I819"/>
  <c r="J819" s="1"/>
  <c r="I815"/>
  <c r="J815" s="1"/>
  <c r="I811"/>
  <c r="J811" s="1"/>
  <c r="I807"/>
  <c r="J807" s="1"/>
  <c r="I803"/>
  <c r="J803" s="1"/>
  <c r="I799"/>
  <c r="J799" s="1"/>
  <c r="I795"/>
  <c r="J795" s="1"/>
  <c r="I791"/>
  <c r="J791" s="1"/>
  <c r="I787"/>
  <c r="J787" s="1"/>
  <c r="I783"/>
  <c r="J783" s="1"/>
  <c r="I779"/>
  <c r="J779" s="1"/>
  <c r="L779" s="1"/>
  <c r="I775"/>
  <c r="J775" s="1"/>
  <c r="I771"/>
  <c r="J771" s="1"/>
  <c r="I763"/>
  <c r="J763" s="1"/>
  <c r="I755"/>
  <c r="J755" s="1"/>
  <c r="I747"/>
  <c r="J747" s="1"/>
  <c r="I733"/>
  <c r="J733" s="1"/>
  <c r="I717"/>
  <c r="J717" s="1"/>
  <c r="I701"/>
  <c r="J701" s="1"/>
  <c r="I685"/>
  <c r="J685" s="1"/>
  <c r="I663"/>
  <c r="J663" s="1"/>
  <c r="I631"/>
  <c r="J631" s="1"/>
  <c r="I599"/>
  <c r="J599" s="1"/>
  <c r="I532"/>
  <c r="J532" s="1"/>
  <c r="AF1007"/>
  <c r="AB1007"/>
  <c r="AF1003"/>
  <c r="AB1003"/>
  <c r="AF999"/>
  <c r="AB999"/>
  <c r="AF997"/>
  <c r="AB997"/>
  <c r="AF995"/>
  <c r="AB995"/>
  <c r="AF993"/>
  <c r="AB993"/>
  <c r="AF991"/>
  <c r="AB991"/>
  <c r="AF989"/>
  <c r="AB989"/>
  <c r="AF987"/>
  <c r="AB987"/>
  <c r="AF985"/>
  <c r="AB985"/>
  <c r="AF983"/>
  <c r="AB983"/>
  <c r="AF981"/>
  <c r="AB981"/>
  <c r="AF979"/>
  <c r="AB979"/>
  <c r="AF977"/>
  <c r="AB977"/>
  <c r="AF975"/>
  <c r="AB975"/>
  <c r="AF973"/>
  <c r="AB973"/>
  <c r="AF971"/>
  <c r="AB971"/>
  <c r="AF969"/>
  <c r="AB969"/>
  <c r="AF967"/>
  <c r="AB967"/>
  <c r="AF965"/>
  <c r="AB965"/>
  <c r="AF963"/>
  <c r="AB963"/>
  <c r="AF961"/>
  <c r="AB961"/>
  <c r="AF959"/>
  <c r="AB959"/>
  <c r="AF957"/>
  <c r="AB957"/>
  <c r="AF955"/>
  <c r="AB955"/>
  <c r="AF953"/>
  <c r="AB953"/>
  <c r="AF951"/>
  <c r="AB951"/>
  <c r="AF949"/>
  <c r="AB949"/>
  <c r="AF947"/>
  <c r="AB947"/>
  <c r="AF945"/>
  <c r="AB945"/>
  <c r="AF943"/>
  <c r="AB943"/>
  <c r="AF941"/>
  <c r="AB941"/>
  <c r="AF939"/>
  <c r="AB939"/>
  <c r="AF937"/>
  <c r="AB937"/>
  <c r="AF935"/>
  <c r="AB935"/>
  <c r="AF933"/>
  <c r="AB933"/>
  <c r="AF931"/>
  <c r="AB931"/>
  <c r="AF929"/>
  <c r="AB929"/>
  <c r="AF927"/>
  <c r="AB927"/>
  <c r="AF925"/>
  <c r="AB925"/>
  <c r="AF923"/>
  <c r="AB923"/>
  <c r="AF921"/>
  <c r="AB921"/>
  <c r="AF919"/>
  <c r="AB919"/>
  <c r="AF917"/>
  <c r="AB917"/>
  <c r="AF915"/>
  <c r="AB915"/>
  <c r="AF913"/>
  <c r="AB913"/>
  <c r="AF911"/>
  <c r="AB911"/>
  <c r="AF909"/>
  <c r="AB909"/>
  <c r="AF907"/>
  <c r="AB907"/>
  <c r="AF905"/>
  <c r="AB905"/>
  <c r="AF903"/>
  <c r="AB903"/>
  <c r="AF901"/>
  <c r="AB901"/>
  <c r="AF899"/>
  <c r="AB899"/>
  <c r="AF897"/>
  <c r="AB897"/>
  <c r="AF895"/>
  <c r="AB895"/>
  <c r="AF893"/>
  <c r="AB893"/>
  <c r="AF891"/>
  <c r="AB891"/>
  <c r="AF889"/>
  <c r="AB889"/>
  <c r="AF887"/>
  <c r="AB887"/>
  <c r="AF885"/>
  <c r="AB885"/>
  <c r="AF883"/>
  <c r="AB883"/>
  <c r="AF881"/>
  <c r="AB881"/>
  <c r="AF879"/>
  <c r="AB879"/>
  <c r="AF877"/>
  <c r="AB877"/>
  <c r="AF875"/>
  <c r="AB875"/>
  <c r="AF873"/>
  <c r="AB873"/>
  <c r="AF871"/>
  <c r="AB871"/>
  <c r="AF869"/>
  <c r="AB869"/>
  <c r="AF867"/>
  <c r="AB867"/>
  <c r="AF865"/>
  <c r="AB865"/>
  <c r="AF863"/>
  <c r="AB863"/>
  <c r="AF861"/>
  <c r="AB861"/>
  <c r="AF859"/>
  <c r="AB859"/>
  <c r="AF857"/>
  <c r="AB857"/>
  <c r="AF855"/>
  <c r="AB855"/>
  <c r="AF853"/>
  <c r="AB853"/>
  <c r="AF851"/>
  <c r="AB851"/>
  <c r="AF849"/>
  <c r="AB849"/>
  <c r="AF847"/>
  <c r="AB847"/>
  <c r="AF845"/>
  <c r="AB845"/>
  <c r="AF843"/>
  <c r="AB843"/>
  <c r="AF841"/>
  <c r="AB841"/>
  <c r="AF839"/>
  <c r="AB839"/>
  <c r="AF837"/>
  <c r="AB837"/>
  <c r="AF835"/>
  <c r="AB835"/>
  <c r="AF834"/>
  <c r="AB834"/>
  <c r="AF831"/>
  <c r="AB831"/>
  <c r="AF830"/>
  <c r="AB830"/>
  <c r="AF827"/>
  <c r="AB827"/>
  <c r="AF826"/>
  <c r="AB826"/>
  <c r="AF823"/>
  <c r="AB823"/>
  <c r="AF822"/>
  <c r="AB822"/>
  <c r="AF819"/>
  <c r="AB819"/>
  <c r="AF818"/>
  <c r="AB818"/>
  <c r="AF815"/>
  <c r="AB815"/>
  <c r="AF814"/>
  <c r="AB814"/>
  <c r="AF811"/>
  <c r="AB811"/>
  <c r="AF810"/>
  <c r="AB810"/>
  <c r="AF807"/>
  <c r="AB807"/>
  <c r="AF806"/>
  <c r="AB806"/>
  <c r="AF803"/>
  <c r="AB803"/>
  <c r="AF802"/>
  <c r="AB802"/>
  <c r="AF1005"/>
  <c r="AB1005"/>
  <c r="AF1001"/>
  <c r="AB1001"/>
  <c r="AF1008"/>
  <c r="AB1008"/>
  <c r="AF1006"/>
  <c r="AB1006"/>
  <c r="AF1004"/>
  <c r="AB1004"/>
  <c r="AF1002"/>
  <c r="AB1002"/>
  <c r="AF1000"/>
  <c r="AB1000"/>
  <c r="AF998"/>
  <c r="AB998"/>
  <c r="AF996"/>
  <c r="AB996"/>
  <c r="AF994"/>
  <c r="AB994"/>
  <c r="AF992"/>
  <c r="AB992"/>
  <c r="AF990"/>
  <c r="AB990"/>
  <c r="AF988"/>
  <c r="AB988"/>
  <c r="AF986"/>
  <c r="AB986"/>
  <c r="AF984"/>
  <c r="AB984"/>
  <c r="AF982"/>
  <c r="AB982"/>
  <c r="AF980"/>
  <c r="AB980"/>
  <c r="AF978"/>
  <c r="AB978"/>
  <c r="AF976"/>
  <c r="AB976"/>
  <c r="AF974"/>
  <c r="AB974"/>
  <c r="AF972"/>
  <c r="AB972"/>
  <c r="AF970"/>
  <c r="AB970"/>
  <c r="AF968"/>
  <c r="AB968"/>
  <c r="AF966"/>
  <c r="AB966"/>
  <c r="AF964"/>
  <c r="AB964"/>
  <c r="AF962"/>
  <c r="AB962"/>
  <c r="AF960"/>
  <c r="AB960"/>
  <c r="AF958"/>
  <c r="AB958"/>
  <c r="AF956"/>
  <c r="AB956"/>
  <c r="AF954"/>
  <c r="AB954"/>
  <c r="AF952"/>
  <c r="AB952"/>
  <c r="AF950"/>
  <c r="AB950"/>
  <c r="AF948"/>
  <c r="AB948"/>
  <c r="AF946"/>
  <c r="AB946"/>
  <c r="AF944"/>
  <c r="AB944"/>
  <c r="AF942"/>
  <c r="AB942"/>
  <c r="AF940"/>
  <c r="AB940"/>
  <c r="AF938"/>
  <c r="AB938"/>
  <c r="AF936"/>
  <c r="AB936"/>
  <c r="AF934"/>
  <c r="AB934"/>
  <c r="AF932"/>
  <c r="AB932"/>
  <c r="AF930"/>
  <c r="AB930"/>
  <c r="AF928"/>
  <c r="AB928"/>
  <c r="AF926"/>
  <c r="AB926"/>
  <c r="AF924"/>
  <c r="AB924"/>
  <c r="AF922"/>
  <c r="AB922"/>
  <c r="AF920"/>
  <c r="AB920"/>
  <c r="AF918"/>
  <c r="AB918"/>
  <c r="AF916"/>
  <c r="AB916"/>
  <c r="AF914"/>
  <c r="AB914"/>
  <c r="AF912"/>
  <c r="AB912"/>
  <c r="AF910"/>
  <c r="AB910"/>
  <c r="AF908"/>
  <c r="AB908"/>
  <c r="AF906"/>
  <c r="AB906"/>
  <c r="AF904"/>
  <c r="AB904"/>
  <c r="AF902"/>
  <c r="AB902"/>
  <c r="AF900"/>
  <c r="AB900"/>
  <c r="AF898"/>
  <c r="AB898"/>
  <c r="AF896"/>
  <c r="AB896"/>
  <c r="AF894"/>
  <c r="AB894"/>
  <c r="AF892"/>
  <c r="AB892"/>
  <c r="AF890"/>
  <c r="AB890"/>
  <c r="AF888"/>
  <c r="AB888"/>
  <c r="AF886"/>
  <c r="AB886"/>
  <c r="AF884"/>
  <c r="AB884"/>
  <c r="AF882"/>
  <c r="AB882"/>
  <c r="AF880"/>
  <c r="AB880"/>
  <c r="AF878"/>
  <c r="AB878"/>
  <c r="AF876"/>
  <c r="AB876"/>
  <c r="AF874"/>
  <c r="AB874"/>
  <c r="AF872"/>
  <c r="AB872"/>
  <c r="AF870"/>
  <c r="AB870"/>
  <c r="AF868"/>
  <c r="AB868"/>
  <c r="AF866"/>
  <c r="AB866"/>
  <c r="AF864"/>
  <c r="AB864"/>
  <c r="AF862"/>
  <c r="AB862"/>
  <c r="AF860"/>
  <c r="AB860"/>
  <c r="AF858"/>
  <c r="AB858"/>
  <c r="AF856"/>
  <c r="AB856"/>
  <c r="AF854"/>
  <c r="AB854"/>
  <c r="AF852"/>
  <c r="AB852"/>
  <c r="AF850"/>
  <c r="AB850"/>
  <c r="AF848"/>
  <c r="AB848"/>
  <c r="AF846"/>
  <c r="AB846"/>
  <c r="AF844"/>
  <c r="AB844"/>
  <c r="AF842"/>
  <c r="AB842"/>
  <c r="AF840"/>
  <c r="AB840"/>
  <c r="AF838"/>
  <c r="AB838"/>
  <c r="AF836"/>
  <c r="AB836"/>
  <c r="AF833"/>
  <c r="AB833"/>
  <c r="AF832"/>
  <c r="AB832"/>
  <c r="AF799"/>
  <c r="AB799"/>
  <c r="AF798"/>
  <c r="AB798"/>
  <c r="AF795"/>
  <c r="AB795"/>
  <c r="AF794"/>
  <c r="AB794"/>
  <c r="AF791"/>
  <c r="AB791"/>
  <c r="AF790"/>
  <c r="AB790"/>
  <c r="AF787"/>
  <c r="AB787"/>
  <c r="AF786"/>
  <c r="AB786"/>
  <c r="AF783"/>
  <c r="AB783"/>
  <c r="AF782"/>
  <c r="AB782"/>
  <c r="AF779"/>
  <c r="AB779"/>
  <c r="AF778"/>
  <c r="AB778"/>
  <c r="AF775"/>
  <c r="AB775"/>
  <c r="AF774"/>
  <c r="AB774"/>
  <c r="AF771"/>
  <c r="AB771"/>
  <c r="AF770"/>
  <c r="AB770"/>
  <c r="AF767"/>
  <c r="AB767"/>
  <c r="AF764"/>
  <c r="AB764"/>
  <c r="AF762"/>
  <c r="AB762"/>
  <c r="AF761"/>
  <c r="AB761"/>
  <c r="AF759"/>
  <c r="AB759"/>
  <c r="AF756"/>
  <c r="AB756"/>
  <c r="AF754"/>
  <c r="AB754"/>
  <c r="AF753"/>
  <c r="AB753"/>
  <c r="AF751"/>
  <c r="AB751"/>
  <c r="AF748"/>
  <c r="AB748"/>
  <c r="AF746"/>
  <c r="AB746"/>
  <c r="AF745"/>
  <c r="AB745"/>
  <c r="AF743"/>
  <c r="AB743"/>
  <c r="AF740"/>
  <c r="AB740"/>
  <c r="AF737"/>
  <c r="AB737"/>
  <c r="AF736"/>
  <c r="AB736"/>
  <c r="AF735"/>
  <c r="AB735"/>
  <c r="AF732"/>
  <c r="AB732"/>
  <c r="AF731"/>
  <c r="AB731"/>
  <c r="AF730"/>
  <c r="AB730"/>
  <c r="AF726"/>
  <c r="AB726"/>
  <c r="AF725"/>
  <c r="AB725"/>
  <c r="AF721"/>
  <c r="AB721"/>
  <c r="AF720"/>
  <c r="AB720"/>
  <c r="AF719"/>
  <c r="AB719"/>
  <c r="AF716"/>
  <c r="AB716"/>
  <c r="AF715"/>
  <c r="AB715"/>
  <c r="AF714"/>
  <c r="AB714"/>
  <c r="AF710"/>
  <c r="AB710"/>
  <c r="AF709"/>
  <c r="AB709"/>
  <c r="AF705"/>
  <c r="AB705"/>
  <c r="AF704"/>
  <c r="AB704"/>
  <c r="AF703"/>
  <c r="AB703"/>
  <c r="AF700"/>
  <c r="AB700"/>
  <c r="AF699"/>
  <c r="AB699"/>
  <c r="AF698"/>
  <c r="AB698"/>
  <c r="AF694"/>
  <c r="AB694"/>
  <c r="AF693"/>
  <c r="AB693"/>
  <c r="AF689"/>
  <c r="AB689"/>
  <c r="AF688"/>
  <c r="AB688"/>
  <c r="AF687"/>
  <c r="AB687"/>
  <c r="AF684"/>
  <c r="AB684"/>
  <c r="AF683"/>
  <c r="AB683"/>
  <c r="AF682"/>
  <c r="AB682"/>
  <c r="AF678"/>
  <c r="AB678"/>
  <c r="AF677"/>
  <c r="AB677"/>
  <c r="AF672"/>
  <c r="AB672"/>
  <c r="AF671"/>
  <c r="AB671"/>
  <c r="AF670"/>
  <c r="AB670"/>
  <c r="AF669"/>
  <c r="AB669"/>
  <c r="AF668"/>
  <c r="AB668"/>
  <c r="AF662"/>
  <c r="AB662"/>
  <c r="AF661"/>
  <c r="AB661"/>
  <c r="AF660"/>
  <c r="AB660"/>
  <c r="AF659"/>
  <c r="AB659"/>
  <c r="AF658"/>
  <c r="AB658"/>
  <c r="AF657"/>
  <c r="AB657"/>
  <c r="AF651"/>
  <c r="AB651"/>
  <c r="AF650"/>
  <c r="AB650"/>
  <c r="AF649"/>
  <c r="AB649"/>
  <c r="AF648"/>
  <c r="AB648"/>
  <c r="AF647"/>
  <c r="AB647"/>
  <c r="AF640"/>
  <c r="AB640"/>
  <c r="AF639"/>
  <c r="AB639"/>
  <c r="AF638"/>
  <c r="AB638"/>
  <c r="AF637"/>
  <c r="AB637"/>
  <c r="AF636"/>
  <c r="AB636"/>
  <c r="AF630"/>
  <c r="AB630"/>
  <c r="AF629"/>
  <c r="AB629"/>
  <c r="AF628"/>
  <c r="AB628"/>
  <c r="AF627"/>
  <c r="AB627"/>
  <c r="AF626"/>
  <c r="AB626"/>
  <c r="AF625"/>
  <c r="AB625"/>
  <c r="AF619"/>
  <c r="AB619"/>
  <c r="AF618"/>
  <c r="AB618"/>
  <c r="AF617"/>
  <c r="AB617"/>
  <c r="AF616"/>
  <c r="AB616"/>
  <c r="AF615"/>
  <c r="AB615"/>
  <c r="AF608"/>
  <c r="AB608"/>
  <c r="AF607"/>
  <c r="AB607"/>
  <c r="AF606"/>
  <c r="AB606"/>
  <c r="AF605"/>
  <c r="AB605"/>
  <c r="AF604"/>
  <c r="AB604"/>
  <c r="AF598"/>
  <c r="AB598"/>
  <c r="AF597"/>
  <c r="AB597"/>
  <c r="AF596"/>
  <c r="AB596"/>
  <c r="AF595"/>
  <c r="AB595"/>
  <c r="AF594"/>
  <c r="AB594"/>
  <c r="AF593"/>
  <c r="AB593"/>
  <c r="AF587"/>
  <c r="AB587"/>
  <c r="AF586"/>
  <c r="AB586"/>
  <c r="AF585"/>
  <c r="AB585"/>
  <c r="AF584"/>
  <c r="AB584"/>
  <c r="AF583"/>
  <c r="AB583"/>
  <c r="AF573"/>
  <c r="AB573"/>
  <c r="AF572"/>
  <c r="AB572"/>
  <c r="AF571"/>
  <c r="AB571"/>
  <c r="AF570"/>
  <c r="AB570"/>
  <c r="AF569"/>
  <c r="AB569"/>
  <c r="AF568"/>
  <c r="AB568"/>
  <c r="AF567"/>
  <c r="AB567"/>
  <c r="AF566"/>
  <c r="AB566"/>
  <c r="AF565"/>
  <c r="AB565"/>
  <c r="AF564"/>
  <c r="AB564"/>
  <c r="AF552"/>
  <c r="AB552"/>
  <c r="AF551"/>
  <c r="AB551"/>
  <c r="AF550"/>
  <c r="AB550"/>
  <c r="AF549"/>
  <c r="AB549"/>
  <c r="AF548"/>
  <c r="AB548"/>
  <c r="AF547"/>
  <c r="AB547"/>
  <c r="AF546"/>
  <c r="AB546"/>
  <c r="AF545"/>
  <c r="AB545"/>
  <c r="AF544"/>
  <c r="AB544"/>
  <c r="AF543"/>
  <c r="AB543"/>
  <c r="AF542"/>
  <c r="AB542"/>
  <c r="AF531"/>
  <c r="AB531"/>
  <c r="AF530"/>
  <c r="AB530"/>
  <c r="AF529"/>
  <c r="AB529"/>
  <c r="AF528"/>
  <c r="AB528"/>
  <c r="AF527"/>
  <c r="AB527"/>
  <c r="AF526"/>
  <c r="AB526"/>
  <c r="AF525"/>
  <c r="AB525"/>
  <c r="AF524"/>
  <c r="AB524"/>
  <c r="AF523"/>
  <c r="AB523"/>
  <c r="AF522"/>
  <c r="AB522"/>
  <c r="AF521"/>
  <c r="AB521"/>
  <c r="AF509"/>
  <c r="AB509"/>
  <c r="AF508"/>
  <c r="AB508"/>
  <c r="AF507"/>
  <c r="AB507"/>
  <c r="AF506"/>
  <c r="AB506"/>
  <c r="AF505"/>
  <c r="AB505"/>
  <c r="AF504"/>
  <c r="AB504"/>
  <c r="AF503"/>
  <c r="AB503"/>
  <c r="AF502"/>
  <c r="AB502"/>
  <c r="AF501"/>
  <c r="AB501"/>
  <c r="AF500"/>
  <c r="AB500"/>
  <c r="AF488"/>
  <c r="AB488"/>
  <c r="AF487"/>
  <c r="AB487"/>
  <c r="AF486"/>
  <c r="AB486"/>
  <c r="AF485"/>
  <c r="AB485"/>
  <c r="AF484"/>
  <c r="AB484"/>
  <c r="AF483"/>
  <c r="AB483"/>
  <c r="AF482"/>
  <c r="AB482"/>
  <c r="AF481"/>
  <c r="AB481"/>
  <c r="AF480"/>
  <c r="AB480"/>
  <c r="AF479"/>
  <c r="AB479"/>
  <c r="AF478"/>
  <c r="AB478"/>
  <c r="AF463"/>
  <c r="AB463"/>
  <c r="AF462"/>
  <c r="AB462"/>
  <c r="AF461"/>
  <c r="AB461"/>
  <c r="AF460"/>
  <c r="AB460"/>
  <c r="AF459"/>
  <c r="AB459"/>
  <c r="AF458"/>
  <c r="AB458"/>
  <c r="AF457"/>
  <c r="AB457"/>
  <c r="AF456"/>
  <c r="AB456"/>
  <c r="AF455"/>
  <c r="AB455"/>
  <c r="AF454"/>
  <c r="AB454"/>
  <c r="AF453"/>
  <c r="AB453"/>
  <c r="AF452"/>
  <c r="AB452"/>
  <c r="AF451"/>
  <c r="AB451"/>
  <c r="AF450"/>
  <c r="AB450"/>
  <c r="AF449"/>
  <c r="AB449"/>
  <c r="AF448"/>
  <c r="AB448"/>
  <c r="AF447"/>
  <c r="AB447"/>
  <c r="AF446"/>
  <c r="AB446"/>
  <c r="AF445"/>
  <c r="AB445"/>
  <c r="AF444"/>
  <c r="AB444"/>
  <c r="AF443"/>
  <c r="AB443"/>
  <c r="AF384"/>
  <c r="AB384"/>
  <c r="AF383"/>
  <c r="AB383"/>
  <c r="AF382"/>
  <c r="AB382"/>
  <c r="AF381"/>
  <c r="AB381"/>
  <c r="AF380"/>
  <c r="AB380"/>
  <c r="AF379"/>
  <c r="AB379"/>
  <c r="AF378"/>
  <c r="AB378"/>
  <c r="AF377"/>
  <c r="AB377"/>
  <c r="AF370"/>
  <c r="AB370"/>
  <c r="AF369"/>
  <c r="AB369"/>
  <c r="AF368"/>
  <c r="AB368"/>
  <c r="AF367"/>
  <c r="AB367"/>
  <c r="AF366"/>
  <c r="AB366"/>
  <c r="AF365"/>
  <c r="AB365"/>
  <c r="AF364"/>
  <c r="AB364"/>
  <c r="AF363"/>
  <c r="AB363"/>
  <c r="AF362"/>
  <c r="AB362"/>
  <c r="AF361"/>
  <c r="AB361"/>
  <c r="AF360"/>
  <c r="AB360"/>
  <c r="AF359"/>
  <c r="AB359"/>
  <c r="AF358"/>
  <c r="AB358"/>
  <c r="AF357"/>
  <c r="AB357"/>
  <c r="AF356"/>
  <c r="AB356"/>
  <c r="AF355"/>
  <c r="AB355"/>
  <c r="AF354"/>
  <c r="AB354"/>
  <c r="AF353"/>
  <c r="AB353"/>
  <c r="AF352"/>
  <c r="AB352"/>
  <c r="AF351"/>
  <c r="AB351"/>
  <c r="AF350"/>
  <c r="AB350"/>
  <c r="AF349"/>
  <c r="AB349"/>
  <c r="AF348"/>
  <c r="AB348"/>
  <c r="AF347"/>
  <c r="AB347"/>
  <c r="AF346"/>
  <c r="AB346"/>
  <c r="AF345"/>
  <c r="AB345"/>
  <c r="AF344"/>
  <c r="AB344"/>
  <c r="AF343"/>
  <c r="AB343"/>
  <c r="AF342"/>
  <c r="AB342"/>
  <c r="AF341"/>
  <c r="AB341"/>
  <c r="AF340"/>
  <c r="AB340"/>
  <c r="AF339"/>
  <c r="AB339"/>
  <c r="AF338"/>
  <c r="AB338"/>
  <c r="AF337"/>
  <c r="AB337"/>
  <c r="AF336"/>
  <c r="AB336"/>
  <c r="AF335"/>
  <c r="AB335"/>
  <c r="AF334"/>
  <c r="AB334"/>
  <c r="AF333"/>
  <c r="AB333"/>
  <c r="AF332"/>
  <c r="AB332"/>
  <c r="AF331"/>
  <c r="AB331"/>
  <c r="AF330"/>
  <c r="AB330"/>
  <c r="AF329"/>
  <c r="AB329"/>
  <c r="AF328"/>
  <c r="AB328"/>
  <c r="AF327"/>
  <c r="AB327"/>
  <c r="AF326"/>
  <c r="AB326"/>
  <c r="AF325"/>
  <c r="AB325"/>
  <c r="AF324"/>
  <c r="AB324"/>
  <c r="AF323"/>
  <c r="AB323"/>
  <c r="AF322"/>
  <c r="AB322"/>
  <c r="AF321"/>
  <c r="AB321"/>
  <c r="AF320"/>
  <c r="AB320"/>
  <c r="AF319"/>
  <c r="AB319"/>
  <c r="AF318"/>
  <c r="AB318"/>
  <c r="AF317"/>
  <c r="AB317"/>
  <c r="AF316"/>
  <c r="AB316"/>
  <c r="AF315"/>
  <c r="AB315"/>
  <c r="AF314"/>
  <c r="AB314"/>
  <c r="AF313"/>
  <c r="AB313"/>
  <c r="AF312"/>
  <c r="AB312"/>
  <c r="AF311"/>
  <c r="AB311"/>
  <c r="AF310"/>
  <c r="AB310"/>
  <c r="AB309"/>
  <c r="AF309"/>
  <c r="AF11"/>
  <c r="AB11"/>
  <c r="AF10"/>
  <c r="AB10"/>
  <c r="AF829"/>
  <c r="AB829"/>
  <c r="AF828"/>
  <c r="AB828"/>
  <c r="AF825"/>
  <c r="AB825"/>
  <c r="AF824"/>
  <c r="AB824"/>
  <c r="AF821"/>
  <c r="AB821"/>
  <c r="AF820"/>
  <c r="AB820"/>
  <c r="AF817"/>
  <c r="AB817"/>
  <c r="AF816"/>
  <c r="AB816"/>
  <c r="AF813"/>
  <c r="AB813"/>
  <c r="AF812"/>
  <c r="AB812"/>
  <c r="AF809"/>
  <c r="AB809"/>
  <c r="AF808"/>
  <c r="AB808"/>
  <c r="AF805"/>
  <c r="AB805"/>
  <c r="AF804"/>
  <c r="AB804"/>
  <c r="AF801"/>
  <c r="AB801"/>
  <c r="AF800"/>
  <c r="AB800"/>
  <c r="AF797"/>
  <c r="AB797"/>
  <c r="AF796"/>
  <c r="AB796"/>
  <c r="AF793"/>
  <c r="AB793"/>
  <c r="AF792"/>
  <c r="AB792"/>
  <c r="AF789"/>
  <c r="AB789"/>
  <c r="AF788"/>
  <c r="AB788"/>
  <c r="AF785"/>
  <c r="AB785"/>
  <c r="AF784"/>
  <c r="AB784"/>
  <c r="AF781"/>
  <c r="AB781"/>
  <c r="AF780"/>
  <c r="AB780"/>
  <c r="AF777"/>
  <c r="AB777"/>
  <c r="AF776"/>
  <c r="AB776"/>
  <c r="AF773"/>
  <c r="AB773"/>
  <c r="AF772"/>
  <c r="AB772"/>
  <c r="AF769"/>
  <c r="AB769"/>
  <c r="AF768"/>
  <c r="AB768"/>
  <c r="AF766"/>
  <c r="AB766"/>
  <c r="AF765"/>
  <c r="AB765"/>
  <c r="AF763"/>
  <c r="AB763"/>
  <c r="AF760"/>
  <c r="AB760"/>
  <c r="AF758"/>
  <c r="AB758"/>
  <c r="AF757"/>
  <c r="AB757"/>
  <c r="AF755"/>
  <c r="AB755"/>
  <c r="AF752"/>
  <c r="AB752"/>
  <c r="AF750"/>
  <c r="AB750"/>
  <c r="AF749"/>
  <c r="AB749"/>
  <c r="AF747"/>
  <c r="AB747"/>
  <c r="AF744"/>
  <c r="AB744"/>
  <c r="AF742"/>
  <c r="AB742"/>
  <c r="AF741"/>
  <c r="AB741"/>
  <c r="AF739"/>
  <c r="AB739"/>
  <c r="AF738"/>
  <c r="AB738"/>
  <c r="AF734"/>
  <c r="AB734"/>
  <c r="AF733"/>
  <c r="AB733"/>
  <c r="AF729"/>
  <c r="AB729"/>
  <c r="AF728"/>
  <c r="AB728"/>
  <c r="AF727"/>
  <c r="AB727"/>
  <c r="AF724"/>
  <c r="AB724"/>
  <c r="AF723"/>
  <c r="AB723"/>
  <c r="AF722"/>
  <c r="AB722"/>
  <c r="AF718"/>
  <c r="AB718"/>
  <c r="AF717"/>
  <c r="AB717"/>
  <c r="AF713"/>
  <c r="AB713"/>
  <c r="AF712"/>
  <c r="AB712"/>
  <c r="AF711"/>
  <c r="AB711"/>
  <c r="AF708"/>
  <c r="AB708"/>
  <c r="AF707"/>
  <c r="AB707"/>
  <c r="AF706"/>
  <c r="AB706"/>
  <c r="AF702"/>
  <c r="AB702"/>
  <c r="AF701"/>
  <c r="AB701"/>
  <c r="AF697"/>
  <c r="AB697"/>
  <c r="AF696"/>
  <c r="AB696"/>
  <c r="AF695"/>
  <c r="AB695"/>
  <c r="AF692"/>
  <c r="AB692"/>
  <c r="AF691"/>
  <c r="AB691"/>
  <c r="AF690"/>
  <c r="AB690"/>
  <c r="AF686"/>
  <c r="AB686"/>
  <c r="AF685"/>
  <c r="AB685"/>
  <c r="AF681"/>
  <c r="AB681"/>
  <c r="AF680"/>
  <c r="AB680"/>
  <c r="AF679"/>
  <c r="AB679"/>
  <c r="AF676"/>
  <c r="AB676"/>
  <c r="AF675"/>
  <c r="AB675"/>
  <c r="AF674"/>
  <c r="AB674"/>
  <c r="AF673"/>
  <c r="AB673"/>
  <c r="AF667"/>
  <c r="AB667"/>
  <c r="AF666"/>
  <c r="AB666"/>
  <c r="AF665"/>
  <c r="AB665"/>
  <c r="AF664"/>
  <c r="AB664"/>
  <c r="AF663"/>
  <c r="AB663"/>
  <c r="AF656"/>
  <c r="AB656"/>
  <c r="AF655"/>
  <c r="AB655"/>
  <c r="AF654"/>
  <c r="AB654"/>
  <c r="AF653"/>
  <c r="AB653"/>
  <c r="AF652"/>
  <c r="AB652"/>
  <c r="AF646"/>
  <c r="AB646"/>
  <c r="AF645"/>
  <c r="AB645"/>
  <c r="AF644"/>
  <c r="AB644"/>
  <c r="AF643"/>
  <c r="AB643"/>
  <c r="AF642"/>
  <c r="AB642"/>
  <c r="AF641"/>
  <c r="AB641"/>
  <c r="AF635"/>
  <c r="AB635"/>
  <c r="AF634"/>
  <c r="AB634"/>
  <c r="AF633"/>
  <c r="AB633"/>
  <c r="AF632"/>
  <c r="AB632"/>
  <c r="AF631"/>
  <c r="AB631"/>
  <c r="AF624"/>
  <c r="AB624"/>
  <c r="AF623"/>
  <c r="AB623"/>
  <c r="AF622"/>
  <c r="AB622"/>
  <c r="AF621"/>
  <c r="AB621"/>
  <c r="AF620"/>
  <c r="AB620"/>
  <c r="AF614"/>
  <c r="AB614"/>
  <c r="AF613"/>
  <c r="AB613"/>
  <c r="AF612"/>
  <c r="AB612"/>
  <c r="AF611"/>
  <c r="AB611"/>
  <c r="AF610"/>
  <c r="AB610"/>
  <c r="AF609"/>
  <c r="AB609"/>
  <c r="AF603"/>
  <c r="AB603"/>
  <c r="AF602"/>
  <c r="AB602"/>
  <c r="AF601"/>
  <c r="AB601"/>
  <c r="AF600"/>
  <c r="AB600"/>
  <c r="AF599"/>
  <c r="AB599"/>
  <c r="AF592"/>
  <c r="AB592"/>
  <c r="AF591"/>
  <c r="AB591"/>
  <c r="AF590"/>
  <c r="AB590"/>
  <c r="AF589"/>
  <c r="AB589"/>
  <c r="AF588"/>
  <c r="AB588"/>
  <c r="AF582"/>
  <c r="AB582"/>
  <c r="AF581"/>
  <c r="AB581"/>
  <c r="AF580"/>
  <c r="AB580"/>
  <c r="AF579"/>
  <c r="AB579"/>
  <c r="AF578"/>
  <c r="AB578"/>
  <c r="AF577"/>
  <c r="AB577"/>
  <c r="AF576"/>
  <c r="AB576"/>
  <c r="AF575"/>
  <c r="AB575"/>
  <c r="AF574"/>
  <c r="AB574"/>
  <c r="AF563"/>
  <c r="AB563"/>
  <c r="AF562"/>
  <c r="AB562"/>
  <c r="AF561"/>
  <c r="AB561"/>
  <c r="AF560"/>
  <c r="AB560"/>
  <c r="AF559"/>
  <c r="AB559"/>
  <c r="AF558"/>
  <c r="AB558"/>
  <c r="AF557"/>
  <c r="AB557"/>
  <c r="AF556"/>
  <c r="AB556"/>
  <c r="AF555"/>
  <c r="AB555"/>
  <c r="AF554"/>
  <c r="AB554"/>
  <c r="AF553"/>
  <c r="AB553"/>
  <c r="AF541"/>
  <c r="AB541"/>
  <c r="AF540"/>
  <c r="AB540"/>
  <c r="AF539"/>
  <c r="AB539"/>
  <c r="AF538"/>
  <c r="AB538"/>
  <c r="AF537"/>
  <c r="AB537"/>
  <c r="AF536"/>
  <c r="AB536"/>
  <c r="AF535"/>
  <c r="AB535"/>
  <c r="AF534"/>
  <c r="AB534"/>
  <c r="AF533"/>
  <c r="AB533"/>
  <c r="AF532"/>
  <c r="AB532"/>
  <c r="AF520"/>
  <c r="AB520"/>
  <c r="AF519"/>
  <c r="AB519"/>
  <c r="AF518"/>
  <c r="AB518"/>
  <c r="AF517"/>
  <c r="AB517"/>
  <c r="AF516"/>
  <c r="AB516"/>
  <c r="AF515"/>
  <c r="AB515"/>
  <c r="AF514"/>
  <c r="AB514"/>
  <c r="AF513"/>
  <c r="AB513"/>
  <c r="AF512"/>
  <c r="AB512"/>
  <c r="AF511"/>
  <c r="AB511"/>
  <c r="AF510"/>
  <c r="AB510"/>
  <c r="AF499"/>
  <c r="AB499"/>
  <c r="AF498"/>
  <c r="AB498"/>
  <c r="AF497"/>
  <c r="AB497"/>
  <c r="AF496"/>
  <c r="AB496"/>
  <c r="AF495"/>
  <c r="AB495"/>
  <c r="AF494"/>
  <c r="AB494"/>
  <c r="AF493"/>
  <c r="AB493"/>
  <c r="AF492"/>
  <c r="AB492"/>
  <c r="AF491"/>
  <c r="AB491"/>
  <c r="AF490"/>
  <c r="AB490"/>
  <c r="AF489"/>
  <c r="AB489"/>
  <c r="AF477"/>
  <c r="AB477"/>
  <c r="AF476"/>
  <c r="AB476"/>
  <c r="AF475"/>
  <c r="AB475"/>
  <c r="AF474"/>
  <c r="AB474"/>
  <c r="AF473"/>
  <c r="AB473"/>
  <c r="AF472"/>
  <c r="AB472"/>
  <c r="AF471"/>
  <c r="AB471"/>
  <c r="AF470"/>
  <c r="AB470"/>
  <c r="AF469"/>
  <c r="AB469"/>
  <c r="AF468"/>
  <c r="AB468"/>
  <c r="AF467"/>
  <c r="AB467"/>
  <c r="AF466"/>
  <c r="AB466"/>
  <c r="AF465"/>
  <c r="AB465"/>
  <c r="AF464"/>
  <c r="AB464"/>
  <c r="AF442"/>
  <c r="AB442"/>
  <c r="AF441"/>
  <c r="AB441"/>
  <c r="AF440"/>
  <c r="AB440"/>
  <c r="AF439"/>
  <c r="AB439"/>
  <c r="AF438"/>
  <c r="AB438"/>
  <c r="AF437"/>
  <c r="AB437"/>
  <c r="AF436"/>
  <c r="AB436"/>
  <c r="AF435"/>
  <c r="AB435"/>
  <c r="AF434"/>
  <c r="AB434"/>
  <c r="AF433"/>
  <c r="AB433"/>
  <c r="AF432"/>
  <c r="AB432"/>
  <c r="AF431"/>
  <c r="AB431"/>
  <c r="AF430"/>
  <c r="AB430"/>
  <c r="AF429"/>
  <c r="AB429"/>
  <c r="AF428"/>
  <c r="AB428"/>
  <c r="AF427"/>
  <c r="AB427"/>
  <c r="AF426"/>
  <c r="AB426"/>
  <c r="AF425"/>
  <c r="AB425"/>
  <c r="AF424"/>
  <c r="AB424"/>
  <c r="AF423"/>
  <c r="AB423"/>
  <c r="AF422"/>
  <c r="AB422"/>
  <c r="AF421"/>
  <c r="AB421"/>
  <c r="AF420"/>
  <c r="AB420"/>
  <c r="AF419"/>
  <c r="AB419"/>
  <c r="AF418"/>
  <c r="AB418"/>
  <c r="AF417"/>
  <c r="AB417"/>
  <c r="AF416"/>
  <c r="AB416"/>
  <c r="AF415"/>
  <c r="AB415"/>
  <c r="AF414"/>
  <c r="AB414"/>
  <c r="AF413"/>
  <c r="AB413"/>
  <c r="AF412"/>
  <c r="AB412"/>
  <c r="AF411"/>
  <c r="AB411"/>
  <c r="AF410"/>
  <c r="AB410"/>
  <c r="AF409"/>
  <c r="AB409"/>
  <c r="AF408"/>
  <c r="AB408"/>
  <c r="AF407"/>
  <c r="AB407"/>
  <c r="AF406"/>
  <c r="AB406"/>
  <c r="AF405"/>
  <c r="AB405"/>
  <c r="AF404"/>
  <c r="AB404"/>
  <c r="AF403"/>
  <c r="AB403"/>
  <c r="AF402"/>
  <c r="AB402"/>
  <c r="AF401"/>
  <c r="AB401"/>
  <c r="AF400"/>
  <c r="AB400"/>
  <c r="AF399"/>
  <c r="AB399"/>
  <c r="AF398"/>
  <c r="AB398"/>
  <c r="AF397"/>
  <c r="AB397"/>
  <c r="AF396"/>
  <c r="AB396"/>
  <c r="AF395"/>
  <c r="AB395"/>
  <c r="AF394"/>
  <c r="AB394"/>
  <c r="AF393"/>
  <c r="AB393"/>
  <c r="AF392"/>
  <c r="AB392"/>
  <c r="AF391"/>
  <c r="AB391"/>
  <c r="AF390"/>
  <c r="AB390"/>
  <c r="AF389"/>
  <c r="AB389"/>
  <c r="AF388"/>
  <c r="AB388"/>
  <c r="AF387"/>
  <c r="AB387"/>
  <c r="AF386"/>
  <c r="AB386"/>
  <c r="AF385"/>
  <c r="AB385"/>
  <c r="AF376"/>
  <c r="AB376"/>
  <c r="AF375"/>
  <c r="AB375"/>
  <c r="AF374"/>
  <c r="AB374"/>
  <c r="AF373"/>
  <c r="AB373"/>
  <c r="AF372"/>
  <c r="AB372"/>
  <c r="AF371"/>
  <c r="AB371"/>
  <c r="AE10"/>
  <c r="AE11"/>
  <c r="AE9"/>
  <c r="V121" i="32"/>
  <c r="A62" i="35"/>
  <c r="A84" i="41"/>
  <c r="A66" i="35"/>
  <c r="A89" i="41"/>
  <c r="A70" i="35"/>
  <c r="A94" i="41"/>
  <c r="A78" i="35"/>
  <c r="A104" i="41"/>
  <c r="AF9" i="13"/>
  <c r="AB9"/>
  <c r="A58" i="35"/>
  <c r="A79" i="41"/>
  <c r="BC64" i="13"/>
  <c r="V114" i="32"/>
  <c r="BA35" i="23"/>
  <c r="C35" s="1"/>
  <c r="BA33"/>
  <c r="C33" s="1"/>
  <c r="BA31"/>
  <c r="C31" s="1"/>
  <c r="BA32"/>
  <c r="C32" s="1"/>
  <c r="BA34"/>
  <c r="C34" s="1"/>
  <c r="BA25"/>
  <c r="C25" s="1"/>
  <c r="BA21"/>
  <c r="C21" s="1"/>
  <c r="C69" i="13"/>
  <c r="BA30" i="23"/>
  <c r="C30" s="1"/>
  <c r="BA28"/>
  <c r="C28" s="1"/>
  <c r="BA26"/>
  <c r="C26" s="1"/>
  <c r="BA24"/>
  <c r="C24" s="1"/>
  <c r="BA22"/>
  <c r="C22" s="1"/>
  <c r="BA20"/>
  <c r="C20" s="1"/>
  <c r="BA18"/>
  <c r="C18" s="1"/>
  <c r="BA16"/>
  <c r="C16" s="1"/>
  <c r="BA29"/>
  <c r="C29" s="1"/>
  <c r="BA27"/>
  <c r="C27" s="1"/>
  <c r="BA23"/>
  <c r="AK23" s="1"/>
  <c r="BA19"/>
  <c r="C19" s="1"/>
  <c r="BA17"/>
  <c r="C17" s="1"/>
  <c r="V103" i="32"/>
  <c r="V116"/>
  <c r="V107"/>
  <c r="G72"/>
  <c r="O72" s="1"/>
  <c r="A68" i="33"/>
  <c r="G73" i="32"/>
  <c r="O73" s="1"/>
  <c r="A73" i="33"/>
  <c r="V117" i="32"/>
  <c r="V108"/>
  <c r="V119"/>
  <c r="V118"/>
  <c r="V111"/>
  <c r="V106"/>
  <c r="G71"/>
  <c r="A63" i="33"/>
  <c r="G76" i="32"/>
  <c r="O76" s="1"/>
  <c r="A88" i="33"/>
  <c r="G74" i="32"/>
  <c r="O74" s="1"/>
  <c r="A78" i="33"/>
  <c r="V105" i="32"/>
  <c r="V109"/>
  <c r="V113"/>
  <c r="G27" i="13"/>
  <c r="V115" i="32"/>
  <c r="V110"/>
  <c r="V120"/>
  <c r="V104"/>
  <c r="V112"/>
  <c r="V102"/>
  <c r="E10" i="22"/>
  <c r="D8" i="23" s="1"/>
  <c r="A83" i="29"/>
  <c r="A83" i="27"/>
  <c r="A55" i="25"/>
  <c r="A88" i="29"/>
  <c r="A88" i="27"/>
  <c r="A57" i="25"/>
  <c r="AV53" i="13"/>
  <c r="A128" i="29"/>
  <c r="A128" i="27"/>
  <c r="AV51" i="13"/>
  <c r="A118" i="29"/>
  <c r="A118" i="27"/>
  <c r="D10" i="22"/>
  <c r="C8" i="23" s="1"/>
  <c r="A123" i="29"/>
  <c r="A123" i="27"/>
  <c r="A113" i="29"/>
  <c r="A113" i="27"/>
  <c r="E35" i="17"/>
  <c r="E6" i="18"/>
  <c r="D54" i="17"/>
  <c r="D25" i="18"/>
  <c r="E53" i="17"/>
  <c r="E24" i="18"/>
  <c r="AO62" i="13"/>
  <c r="C26" i="17"/>
  <c r="H26" s="1"/>
  <c r="D52"/>
  <c r="D23" i="18"/>
  <c r="E51" i="17"/>
  <c r="E22" i="18"/>
  <c r="AO60" i="13"/>
  <c r="C24" i="17"/>
  <c r="H24" s="1"/>
  <c r="D50"/>
  <c r="D21" i="18"/>
  <c r="D49" i="17"/>
  <c r="D20" i="18"/>
  <c r="E48" i="17"/>
  <c r="E19" i="18"/>
  <c r="E47" i="17"/>
  <c r="E18" i="18"/>
  <c r="E46" i="17"/>
  <c r="E17" i="18"/>
  <c r="D45" i="17"/>
  <c r="D16" i="18"/>
  <c r="D44" i="17"/>
  <c r="D15" i="18"/>
  <c r="E42" i="17"/>
  <c r="E13" i="18"/>
  <c r="E40" i="17"/>
  <c r="E11" i="18"/>
  <c r="E54" i="17"/>
  <c r="E25" i="18"/>
  <c r="AO63" i="13"/>
  <c r="C27" i="17"/>
  <c r="H27" s="1"/>
  <c r="D53"/>
  <c r="D24" i="18"/>
  <c r="E52" i="17"/>
  <c r="E23" i="18"/>
  <c r="AO61" i="13"/>
  <c r="C25" i="17"/>
  <c r="H25" s="1"/>
  <c r="D51"/>
  <c r="D22" i="18"/>
  <c r="E50" i="17"/>
  <c r="E21" i="18"/>
  <c r="AO59" i="13"/>
  <c r="C23" i="17"/>
  <c r="H23" s="1"/>
  <c r="AO58" i="13"/>
  <c r="C22" i="17"/>
  <c r="H22" s="1"/>
  <c r="D48"/>
  <c r="D19" i="18"/>
  <c r="D47" i="17"/>
  <c r="D18" i="18"/>
  <c r="E45" i="17"/>
  <c r="E16" i="18"/>
  <c r="E44" i="17"/>
  <c r="E15" i="18"/>
  <c r="E43" i="17"/>
  <c r="E14" i="18"/>
  <c r="E41" i="17"/>
  <c r="E12" i="18"/>
  <c r="E38" i="17"/>
  <c r="E9" i="18"/>
  <c r="E37" i="17"/>
  <c r="E8" i="18"/>
  <c r="D36" i="17"/>
  <c r="D7" i="18"/>
  <c r="E36" i="17"/>
  <c r="E7" i="18"/>
  <c r="D41" i="17"/>
  <c r="D12" i="18"/>
  <c r="H299" i="13"/>
  <c r="G426"/>
  <c r="F484"/>
  <c r="H767"/>
  <c r="G766"/>
  <c r="F765"/>
  <c r="H763"/>
  <c r="G762"/>
  <c r="F761"/>
  <c r="H759"/>
  <c r="G758"/>
  <c r="F757"/>
  <c r="H755"/>
  <c r="G754"/>
  <c r="F753"/>
  <c r="H751"/>
  <c r="G750"/>
  <c r="F749"/>
  <c r="H747"/>
  <c r="G746"/>
  <c r="F745"/>
  <c r="H743"/>
  <c r="G742"/>
  <c r="F741"/>
  <c r="H739"/>
  <c r="F737"/>
  <c r="G734"/>
  <c r="H731"/>
  <c r="F729"/>
  <c r="G726"/>
  <c r="H723"/>
  <c r="F721"/>
  <c r="G718"/>
  <c r="H715"/>
  <c r="F713"/>
  <c r="G710"/>
  <c r="H707"/>
  <c r="F705"/>
  <c r="G702"/>
  <c r="H699"/>
  <c r="F697"/>
  <c r="G694"/>
  <c r="H691"/>
  <c r="F689"/>
  <c r="G686"/>
  <c r="H683"/>
  <c r="F681"/>
  <c r="G678"/>
  <c r="H675"/>
  <c r="F671"/>
  <c r="H665"/>
  <c r="G660"/>
  <c r="F655"/>
  <c r="H649"/>
  <c r="G644"/>
  <c r="F639"/>
  <c r="H633"/>
  <c r="G628"/>
  <c r="F623"/>
  <c r="H617"/>
  <c r="G612"/>
  <c r="F607"/>
  <c r="H601"/>
  <c r="G596"/>
  <c r="F591"/>
  <c r="H585"/>
  <c r="F580"/>
  <c r="G569"/>
  <c r="H558"/>
  <c r="F548"/>
  <c r="G537"/>
  <c r="H526"/>
  <c r="F516"/>
  <c r="G505"/>
  <c r="H494"/>
  <c r="G473"/>
  <c r="H453"/>
  <c r="H335"/>
  <c r="H353"/>
  <c r="H405"/>
  <c r="H469"/>
  <c r="H486"/>
  <c r="H502"/>
  <c r="H518"/>
  <c r="H534"/>
  <c r="H550"/>
  <c r="H566"/>
  <c r="H581"/>
  <c r="H589"/>
  <c r="H597"/>
  <c r="H605"/>
  <c r="H613"/>
  <c r="H621"/>
  <c r="H629"/>
  <c r="H637"/>
  <c r="H645"/>
  <c r="H653"/>
  <c r="H661"/>
  <c r="H669"/>
  <c r="H677"/>
  <c r="H681"/>
  <c r="H685"/>
  <c r="H689"/>
  <c r="H693"/>
  <c r="H697"/>
  <c r="H701"/>
  <c r="H705"/>
  <c r="H709"/>
  <c r="H713"/>
  <c r="H717"/>
  <c r="H721"/>
  <c r="H725"/>
  <c r="H729"/>
  <c r="H733"/>
  <c r="H737"/>
  <c r="H740"/>
  <c r="H742"/>
  <c r="H744"/>
  <c r="H746"/>
  <c r="H748"/>
  <c r="H750"/>
  <c r="H752"/>
  <c r="H754"/>
  <c r="H756"/>
  <c r="H758"/>
  <c r="H760"/>
  <c r="H762"/>
  <c r="H764"/>
  <c r="H766"/>
  <c r="H768"/>
  <c r="H770"/>
  <c r="H772"/>
  <c r="H774"/>
  <c r="H776"/>
  <c r="H778"/>
  <c r="H780"/>
  <c r="H782"/>
  <c r="H784"/>
  <c r="H786"/>
  <c r="H788"/>
  <c r="H790"/>
  <c r="H792"/>
  <c r="H794"/>
  <c r="H796"/>
  <c r="H798"/>
  <c r="H800"/>
  <c r="H802"/>
  <c r="H804"/>
  <c r="H806"/>
  <c r="H808"/>
  <c r="H810"/>
  <c r="H812"/>
  <c r="H814"/>
  <c r="H816"/>
  <c r="H818"/>
  <c r="H820"/>
  <c r="H822"/>
  <c r="H824"/>
  <c r="H826"/>
  <c r="H828"/>
  <c r="H830"/>
  <c r="H832"/>
  <c r="H834"/>
  <c r="G158"/>
  <c r="G214"/>
  <c r="G448"/>
  <c r="G481"/>
  <c r="G497"/>
  <c r="G513"/>
  <c r="G529"/>
  <c r="G545"/>
  <c r="G561"/>
  <c r="G577"/>
  <c r="G584"/>
  <c r="G592"/>
  <c r="G600"/>
  <c r="G608"/>
  <c r="G616"/>
  <c r="G624"/>
  <c r="G632"/>
  <c r="G640"/>
  <c r="G648"/>
  <c r="G656"/>
  <c r="G664"/>
  <c r="G672"/>
  <c r="G676"/>
  <c r="G680"/>
  <c r="G684"/>
  <c r="G688"/>
  <c r="G692"/>
  <c r="G696"/>
  <c r="G700"/>
  <c r="G704"/>
  <c r="G708"/>
  <c r="G712"/>
  <c r="G716"/>
  <c r="G720"/>
  <c r="G724"/>
  <c r="G728"/>
  <c r="G732"/>
  <c r="G736"/>
  <c r="G741"/>
  <c r="G743"/>
  <c r="G745"/>
  <c r="G747"/>
  <c r="G749"/>
  <c r="G751"/>
  <c r="G753"/>
  <c r="G755"/>
  <c r="G757"/>
  <c r="G759"/>
  <c r="G761"/>
  <c r="G763"/>
  <c r="G765"/>
  <c r="G767"/>
  <c r="G769"/>
  <c r="G771"/>
  <c r="G773"/>
  <c r="G775"/>
  <c r="G777"/>
  <c r="G779"/>
  <c r="G781"/>
  <c r="G783"/>
  <c r="G785"/>
  <c r="G787"/>
  <c r="G789"/>
  <c r="G791"/>
  <c r="G793"/>
  <c r="G795"/>
  <c r="G797"/>
  <c r="G799"/>
  <c r="G801"/>
  <c r="G803"/>
  <c r="G805"/>
  <c r="G807"/>
  <c r="G809"/>
  <c r="G811"/>
  <c r="G813"/>
  <c r="G815"/>
  <c r="G817"/>
  <c r="G819"/>
  <c r="G821"/>
  <c r="G823"/>
  <c r="G825"/>
  <c r="G827"/>
  <c r="G829"/>
  <c r="G831"/>
  <c r="G833"/>
  <c r="G835"/>
  <c r="F257"/>
  <c r="F437"/>
  <c r="F459"/>
  <c r="F476"/>
  <c r="F492"/>
  <c r="F508"/>
  <c r="F524"/>
  <c r="F540"/>
  <c r="F556"/>
  <c r="F572"/>
  <c r="F587"/>
  <c r="F595"/>
  <c r="F603"/>
  <c r="F611"/>
  <c r="F619"/>
  <c r="F627"/>
  <c r="F635"/>
  <c r="F643"/>
  <c r="F651"/>
  <c r="F659"/>
  <c r="F667"/>
  <c r="F675"/>
  <c r="F679"/>
  <c r="F683"/>
  <c r="F687"/>
  <c r="F691"/>
  <c r="F695"/>
  <c r="F699"/>
  <c r="F703"/>
  <c r="F707"/>
  <c r="F711"/>
  <c r="F715"/>
  <c r="F719"/>
  <c r="F723"/>
  <c r="F727"/>
  <c r="F731"/>
  <c r="F735"/>
  <c r="F739"/>
  <c r="F740"/>
  <c r="F742"/>
  <c r="F744"/>
  <c r="F746"/>
  <c r="F748"/>
  <c r="F750"/>
  <c r="F752"/>
  <c r="F754"/>
  <c r="F756"/>
  <c r="F758"/>
  <c r="F760"/>
  <c r="F762"/>
  <c r="F764"/>
  <c r="F766"/>
  <c r="F768"/>
  <c r="F770"/>
  <c r="F772"/>
  <c r="F774"/>
  <c r="F776"/>
  <c r="F778"/>
  <c r="F780"/>
  <c r="F782"/>
  <c r="F784"/>
  <c r="F786"/>
  <c r="F788"/>
  <c r="F790"/>
  <c r="F792"/>
  <c r="F794"/>
  <c r="F796"/>
  <c r="F798"/>
  <c r="F800"/>
  <c r="F802"/>
  <c r="F804"/>
  <c r="F806"/>
  <c r="F808"/>
  <c r="F810"/>
  <c r="F812"/>
  <c r="F814"/>
  <c r="F816"/>
  <c r="F818"/>
  <c r="F820"/>
  <c r="F822"/>
  <c r="F824"/>
  <c r="F826"/>
  <c r="F828"/>
  <c r="F830"/>
  <c r="F832"/>
  <c r="F834"/>
  <c r="G739"/>
  <c r="H738"/>
  <c r="F738"/>
  <c r="G737"/>
  <c r="H736"/>
  <c r="F736"/>
  <c r="G735"/>
  <c r="H734"/>
  <c r="F734"/>
  <c r="G733"/>
  <c r="H732"/>
  <c r="F732"/>
  <c r="G731"/>
  <c r="H730"/>
  <c r="F730"/>
  <c r="G729"/>
  <c r="H728"/>
  <c r="F728"/>
  <c r="G727"/>
  <c r="H726"/>
  <c r="F726"/>
  <c r="G725"/>
  <c r="H724"/>
  <c r="F724"/>
  <c r="G723"/>
  <c r="H722"/>
  <c r="F722"/>
  <c r="G721"/>
  <c r="H720"/>
  <c r="F720"/>
  <c r="G719"/>
  <c r="H718"/>
  <c r="F718"/>
  <c r="G717"/>
  <c r="H716"/>
  <c r="F716"/>
  <c r="G715"/>
  <c r="H714"/>
  <c r="F714"/>
  <c r="G713"/>
  <c r="H712"/>
  <c r="F712"/>
  <c r="G711"/>
  <c r="H710"/>
  <c r="F710"/>
  <c r="G709"/>
  <c r="H708"/>
  <c r="F708"/>
  <c r="G707"/>
  <c r="H706"/>
  <c r="F706"/>
  <c r="G705"/>
  <c r="H704"/>
  <c r="F704"/>
  <c r="G703"/>
  <c r="H702"/>
  <c r="F702"/>
  <c r="G701"/>
  <c r="H700"/>
  <c r="F700"/>
  <c r="G699"/>
  <c r="H698"/>
  <c r="F698"/>
  <c r="G697"/>
  <c r="H696"/>
  <c r="F696"/>
  <c r="G695"/>
  <c r="H694"/>
  <c r="F694"/>
  <c r="G693"/>
  <c r="H692"/>
  <c r="F692"/>
  <c r="G691"/>
  <c r="H690"/>
  <c r="F690"/>
  <c r="G689"/>
  <c r="H688"/>
  <c r="F688"/>
  <c r="G687"/>
  <c r="H686"/>
  <c r="F686"/>
  <c r="G685"/>
  <c r="H684"/>
  <c r="F684"/>
  <c r="G683"/>
  <c r="H682"/>
  <c r="F682"/>
  <c r="G681"/>
  <c r="H680"/>
  <c r="F680"/>
  <c r="G679"/>
  <c r="H678"/>
  <c r="F678"/>
  <c r="G677"/>
  <c r="H676"/>
  <c r="F676"/>
  <c r="G675"/>
  <c r="G674"/>
  <c r="F673"/>
  <c r="H671"/>
  <c r="G670"/>
  <c r="F669"/>
  <c r="H667"/>
  <c r="G666"/>
  <c r="F665"/>
  <c r="H663"/>
  <c r="G662"/>
  <c r="F661"/>
  <c r="H659"/>
  <c r="G658"/>
  <c r="F657"/>
  <c r="H655"/>
  <c r="G654"/>
  <c r="F653"/>
  <c r="H651"/>
  <c r="G650"/>
  <c r="F649"/>
  <c r="H647"/>
  <c r="G646"/>
  <c r="F645"/>
  <c r="H643"/>
  <c r="G642"/>
  <c r="F641"/>
  <c r="H639"/>
  <c r="G638"/>
  <c r="F637"/>
  <c r="H635"/>
  <c r="G634"/>
  <c r="F633"/>
  <c r="H631"/>
  <c r="G630"/>
  <c r="F629"/>
  <c r="H627"/>
  <c r="G626"/>
  <c r="F625"/>
  <c r="H623"/>
  <c r="G622"/>
  <c r="F621"/>
  <c r="H619"/>
  <c r="G618"/>
  <c r="F617"/>
  <c r="H615"/>
  <c r="G614"/>
  <c r="F613"/>
  <c r="H611"/>
  <c r="G610"/>
  <c r="F609"/>
  <c r="H607"/>
  <c r="G606"/>
  <c r="F605"/>
  <c r="H603"/>
  <c r="G602"/>
  <c r="F601"/>
  <c r="H599"/>
  <c r="G598"/>
  <c r="F597"/>
  <c r="H595"/>
  <c r="G594"/>
  <c r="F593"/>
  <c r="H591"/>
  <c r="G590"/>
  <c r="F589"/>
  <c r="H587"/>
  <c r="G586"/>
  <c r="F585"/>
  <c r="H583"/>
  <c r="G582"/>
  <c r="F581"/>
  <c r="H578"/>
  <c r="F576"/>
  <c r="G573"/>
  <c r="H570"/>
  <c r="F568"/>
  <c r="G565"/>
  <c r="H562"/>
  <c r="F560"/>
  <c r="G557"/>
  <c r="H554"/>
  <c r="F552"/>
  <c r="G549"/>
  <c r="H546"/>
  <c r="F544"/>
  <c r="G541"/>
  <c r="H538"/>
  <c r="F536"/>
  <c r="G533"/>
  <c r="H530"/>
  <c r="F528"/>
  <c r="G525"/>
  <c r="H522"/>
  <c r="F520"/>
  <c r="G517"/>
  <c r="H514"/>
  <c r="F512"/>
  <c r="G509"/>
  <c r="H506"/>
  <c r="F504"/>
  <c r="G501"/>
  <c r="H498"/>
  <c r="F496"/>
  <c r="G493"/>
  <c r="H490"/>
  <c r="F488"/>
  <c r="G485"/>
  <c r="H482"/>
  <c r="F480"/>
  <c r="G477"/>
  <c r="H474"/>
  <c r="F472"/>
  <c r="F467"/>
  <c r="H461"/>
  <c r="G456"/>
  <c r="F451"/>
  <c r="H445"/>
  <c r="G440"/>
  <c r="H431"/>
  <c r="G416"/>
  <c r="F395"/>
  <c r="F362"/>
  <c r="H203"/>
  <c r="H235"/>
  <c r="H345"/>
  <c r="H369"/>
  <c r="H421"/>
  <c r="H441"/>
  <c r="H449"/>
  <c r="H457"/>
  <c r="H465"/>
  <c r="H472"/>
  <c r="H476"/>
  <c r="H480"/>
  <c r="H484"/>
  <c r="H488"/>
  <c r="H492"/>
  <c r="H496"/>
  <c r="H500"/>
  <c r="H504"/>
  <c r="H508"/>
  <c r="H512"/>
  <c r="H516"/>
  <c r="H520"/>
  <c r="H524"/>
  <c r="H528"/>
  <c r="H532"/>
  <c r="H536"/>
  <c r="H540"/>
  <c r="H544"/>
  <c r="H548"/>
  <c r="H552"/>
  <c r="H556"/>
  <c r="H560"/>
  <c r="H564"/>
  <c r="H568"/>
  <c r="H572"/>
  <c r="H576"/>
  <c r="H580"/>
  <c r="H582"/>
  <c r="H584"/>
  <c r="H586"/>
  <c r="H588"/>
  <c r="H590"/>
  <c r="H592"/>
  <c r="H594"/>
  <c r="H596"/>
  <c r="H598"/>
  <c r="H600"/>
  <c r="H602"/>
  <c r="H604"/>
  <c r="H606"/>
  <c r="H608"/>
  <c r="H610"/>
  <c r="H612"/>
  <c r="H614"/>
  <c r="H616"/>
  <c r="H618"/>
  <c r="H620"/>
  <c r="H622"/>
  <c r="H624"/>
  <c r="H626"/>
  <c r="H628"/>
  <c r="H630"/>
  <c r="H632"/>
  <c r="H634"/>
  <c r="H636"/>
  <c r="H638"/>
  <c r="H640"/>
  <c r="H642"/>
  <c r="H644"/>
  <c r="H646"/>
  <c r="H648"/>
  <c r="H650"/>
  <c r="H652"/>
  <c r="H654"/>
  <c r="H656"/>
  <c r="H658"/>
  <c r="H660"/>
  <c r="H662"/>
  <c r="H664"/>
  <c r="H666"/>
  <c r="H668"/>
  <c r="H670"/>
  <c r="H672"/>
  <c r="H674"/>
  <c r="G71"/>
  <c r="G103"/>
  <c r="G190"/>
  <c r="G278"/>
  <c r="G355"/>
  <c r="G387"/>
  <c r="G400"/>
  <c r="G434"/>
  <c r="G444"/>
  <c r="G452"/>
  <c r="G460"/>
  <c r="G468"/>
  <c r="G475"/>
  <c r="G479"/>
  <c r="G483"/>
  <c r="G487"/>
  <c r="G491"/>
  <c r="G495"/>
  <c r="G499"/>
  <c r="G503"/>
  <c r="G507"/>
  <c r="G511"/>
  <c r="G515"/>
  <c r="G519"/>
  <c r="G523"/>
  <c r="G527"/>
  <c r="G531"/>
  <c r="G535"/>
  <c r="G539"/>
  <c r="G543"/>
  <c r="G547"/>
  <c r="G551"/>
  <c r="G555"/>
  <c r="G559"/>
  <c r="G563"/>
  <c r="G567"/>
  <c r="G571"/>
  <c r="G575"/>
  <c r="G579"/>
  <c r="G581"/>
  <c r="G583"/>
  <c r="G585"/>
  <c r="G587"/>
  <c r="G589"/>
  <c r="G591"/>
  <c r="G593"/>
  <c r="G595"/>
  <c r="G597"/>
  <c r="G599"/>
  <c r="G601"/>
  <c r="G603"/>
  <c r="G605"/>
  <c r="G607"/>
  <c r="G609"/>
  <c r="G611"/>
  <c r="G613"/>
  <c r="G615"/>
  <c r="G617"/>
  <c r="G619"/>
  <c r="G621"/>
  <c r="G623"/>
  <c r="G625"/>
  <c r="G627"/>
  <c r="G629"/>
  <c r="G631"/>
  <c r="G633"/>
  <c r="G635"/>
  <c r="G637"/>
  <c r="G639"/>
  <c r="G641"/>
  <c r="G643"/>
  <c r="G645"/>
  <c r="G647"/>
  <c r="G649"/>
  <c r="G651"/>
  <c r="G653"/>
  <c r="G655"/>
  <c r="G657"/>
  <c r="G659"/>
  <c r="G661"/>
  <c r="G663"/>
  <c r="G665"/>
  <c r="G667"/>
  <c r="G669"/>
  <c r="G671"/>
  <c r="G673"/>
  <c r="F225"/>
  <c r="F321"/>
  <c r="F411"/>
  <c r="F429"/>
  <c r="F439"/>
  <c r="F447"/>
  <c r="F455"/>
  <c r="F463"/>
  <c r="F471"/>
  <c r="F474"/>
  <c r="F478"/>
  <c r="F482"/>
  <c r="F486"/>
  <c r="F490"/>
  <c r="F494"/>
  <c r="F498"/>
  <c r="F502"/>
  <c r="F506"/>
  <c r="F510"/>
  <c r="F514"/>
  <c r="F518"/>
  <c r="F522"/>
  <c r="F526"/>
  <c r="F530"/>
  <c r="F534"/>
  <c r="F538"/>
  <c r="F542"/>
  <c r="F546"/>
  <c r="F550"/>
  <c r="F554"/>
  <c r="F558"/>
  <c r="F562"/>
  <c r="F566"/>
  <c r="F570"/>
  <c r="F574"/>
  <c r="F578"/>
  <c r="F582"/>
  <c r="F584"/>
  <c r="F586"/>
  <c r="F588"/>
  <c r="F590"/>
  <c r="F592"/>
  <c r="F594"/>
  <c r="F596"/>
  <c r="F598"/>
  <c r="F600"/>
  <c r="F602"/>
  <c r="F604"/>
  <c r="F606"/>
  <c r="F608"/>
  <c r="F610"/>
  <c r="F612"/>
  <c r="F614"/>
  <c r="F616"/>
  <c r="F618"/>
  <c r="F620"/>
  <c r="F622"/>
  <c r="F624"/>
  <c r="F626"/>
  <c r="F628"/>
  <c r="F630"/>
  <c r="F632"/>
  <c r="F634"/>
  <c r="F636"/>
  <c r="F638"/>
  <c r="F640"/>
  <c r="F642"/>
  <c r="F644"/>
  <c r="F646"/>
  <c r="F648"/>
  <c r="F650"/>
  <c r="F652"/>
  <c r="F654"/>
  <c r="F656"/>
  <c r="F658"/>
  <c r="F660"/>
  <c r="F662"/>
  <c r="F664"/>
  <c r="F666"/>
  <c r="F668"/>
  <c r="F670"/>
  <c r="F672"/>
  <c r="F674"/>
  <c r="T23" i="12"/>
  <c r="G310" i="13"/>
  <c r="F289"/>
  <c r="H267"/>
  <c r="G246"/>
  <c r="G174"/>
  <c r="G135"/>
  <c r="H219"/>
  <c r="H251"/>
  <c r="H283"/>
  <c r="H315"/>
  <c r="H327"/>
  <c r="H342"/>
  <c r="H350"/>
  <c r="H358"/>
  <c r="H361"/>
  <c r="H366"/>
  <c r="H374"/>
  <c r="H382"/>
  <c r="H390"/>
  <c r="H394"/>
  <c r="H397"/>
  <c r="H413"/>
  <c r="H427"/>
  <c r="H435"/>
  <c r="H439"/>
  <c r="H443"/>
  <c r="H447"/>
  <c r="H451"/>
  <c r="H455"/>
  <c r="H459"/>
  <c r="H463"/>
  <c r="H467"/>
  <c r="H471"/>
  <c r="H473"/>
  <c r="H475"/>
  <c r="H477"/>
  <c r="H479"/>
  <c r="H481"/>
  <c r="H483"/>
  <c r="H485"/>
  <c r="H487"/>
  <c r="H489"/>
  <c r="H491"/>
  <c r="H493"/>
  <c r="H495"/>
  <c r="H497"/>
  <c r="H499"/>
  <c r="H501"/>
  <c r="H503"/>
  <c r="H505"/>
  <c r="H507"/>
  <c r="H509"/>
  <c r="H511"/>
  <c r="H513"/>
  <c r="H515"/>
  <c r="H517"/>
  <c r="H519"/>
  <c r="H521"/>
  <c r="H523"/>
  <c r="H525"/>
  <c r="H527"/>
  <c r="H529"/>
  <c r="H531"/>
  <c r="H533"/>
  <c r="H535"/>
  <c r="H537"/>
  <c r="H539"/>
  <c r="H541"/>
  <c r="H543"/>
  <c r="H545"/>
  <c r="H547"/>
  <c r="H549"/>
  <c r="H551"/>
  <c r="H553"/>
  <c r="H555"/>
  <c r="H557"/>
  <c r="H559"/>
  <c r="H561"/>
  <c r="H563"/>
  <c r="H565"/>
  <c r="H567"/>
  <c r="H569"/>
  <c r="H571"/>
  <c r="H573"/>
  <c r="H575"/>
  <c r="H577"/>
  <c r="H579"/>
  <c r="G55"/>
  <c r="G87"/>
  <c r="G119"/>
  <c r="G150"/>
  <c r="G166"/>
  <c r="G182"/>
  <c r="G198"/>
  <c r="G230"/>
  <c r="G262"/>
  <c r="G294"/>
  <c r="G347"/>
  <c r="G363"/>
  <c r="G379"/>
  <c r="G408"/>
  <c r="G424"/>
  <c r="G430"/>
  <c r="G438"/>
  <c r="G442"/>
  <c r="G446"/>
  <c r="G450"/>
  <c r="G454"/>
  <c r="G458"/>
  <c r="G462"/>
  <c r="G466"/>
  <c r="G470"/>
  <c r="G472"/>
  <c r="G474"/>
  <c r="G476"/>
  <c r="G478"/>
  <c r="G480"/>
  <c r="G482"/>
  <c r="G484"/>
  <c r="G486"/>
  <c r="G488"/>
  <c r="G490"/>
  <c r="G492"/>
  <c r="G494"/>
  <c r="G496"/>
  <c r="G498"/>
  <c r="G500"/>
  <c r="G502"/>
  <c r="G504"/>
  <c r="G506"/>
  <c r="G508"/>
  <c r="G510"/>
  <c r="G512"/>
  <c r="G514"/>
  <c r="G516"/>
  <c r="G518"/>
  <c r="G520"/>
  <c r="G522"/>
  <c r="G524"/>
  <c r="G526"/>
  <c r="G528"/>
  <c r="G530"/>
  <c r="G532"/>
  <c r="G534"/>
  <c r="G536"/>
  <c r="G538"/>
  <c r="G540"/>
  <c r="G542"/>
  <c r="G544"/>
  <c r="G546"/>
  <c r="G548"/>
  <c r="G550"/>
  <c r="G552"/>
  <c r="G554"/>
  <c r="G556"/>
  <c r="G558"/>
  <c r="G560"/>
  <c r="G562"/>
  <c r="G564"/>
  <c r="G566"/>
  <c r="G568"/>
  <c r="G570"/>
  <c r="G572"/>
  <c r="G574"/>
  <c r="G576"/>
  <c r="G578"/>
  <c r="G580"/>
  <c r="F209"/>
  <c r="F241"/>
  <c r="F273"/>
  <c r="F305"/>
  <c r="F346"/>
  <c r="F354"/>
  <c r="F370"/>
  <c r="F378"/>
  <c r="F386"/>
  <c r="F403"/>
  <c r="F419"/>
  <c r="F433"/>
  <c r="F441"/>
  <c r="F445"/>
  <c r="F449"/>
  <c r="F453"/>
  <c r="F457"/>
  <c r="F461"/>
  <c r="F465"/>
  <c r="F469"/>
  <c r="F473"/>
  <c r="F475"/>
  <c r="F477"/>
  <c r="F479"/>
  <c r="F481"/>
  <c r="F483"/>
  <c r="F485"/>
  <c r="F487"/>
  <c r="F489"/>
  <c r="F491"/>
  <c r="F493"/>
  <c r="F495"/>
  <c r="F497"/>
  <c r="F499"/>
  <c r="F501"/>
  <c r="F503"/>
  <c r="F505"/>
  <c r="F507"/>
  <c r="F509"/>
  <c r="F511"/>
  <c r="F513"/>
  <c r="F515"/>
  <c r="F517"/>
  <c r="F519"/>
  <c r="F521"/>
  <c r="F523"/>
  <c r="F525"/>
  <c r="F527"/>
  <c r="F529"/>
  <c r="F531"/>
  <c r="F533"/>
  <c r="F535"/>
  <c r="F537"/>
  <c r="F539"/>
  <c r="F541"/>
  <c r="F543"/>
  <c r="F545"/>
  <c r="F547"/>
  <c r="F549"/>
  <c r="F551"/>
  <c r="F553"/>
  <c r="F555"/>
  <c r="F557"/>
  <c r="F559"/>
  <c r="F561"/>
  <c r="F563"/>
  <c r="F565"/>
  <c r="F567"/>
  <c r="F569"/>
  <c r="F571"/>
  <c r="F573"/>
  <c r="F575"/>
  <c r="F577"/>
  <c r="F579"/>
  <c r="R23" i="12"/>
  <c r="H199" i="13"/>
  <c r="H207"/>
  <c r="H215"/>
  <c r="H223"/>
  <c r="H231"/>
  <c r="H239"/>
  <c r="H247"/>
  <c r="H255"/>
  <c r="H263"/>
  <c r="H271"/>
  <c r="H279"/>
  <c r="H287"/>
  <c r="H295"/>
  <c r="H303"/>
  <c r="H311"/>
  <c r="H319"/>
  <c r="H344"/>
  <c r="H346"/>
  <c r="H349"/>
  <c r="H352"/>
  <c r="H354"/>
  <c r="H357"/>
  <c r="H360"/>
  <c r="H362"/>
  <c r="H365"/>
  <c r="H368"/>
  <c r="H370"/>
  <c r="H373"/>
  <c r="H376"/>
  <c r="H378"/>
  <c r="H381"/>
  <c r="H384"/>
  <c r="H386"/>
  <c r="H389"/>
  <c r="H392"/>
  <c r="H395"/>
  <c r="H399"/>
  <c r="H403"/>
  <c r="H407"/>
  <c r="H411"/>
  <c r="H415"/>
  <c r="H419"/>
  <c r="H423"/>
  <c r="H426"/>
  <c r="H428"/>
  <c r="H430"/>
  <c r="H432"/>
  <c r="H434"/>
  <c r="H436"/>
  <c r="G59"/>
  <c r="G67"/>
  <c r="G75"/>
  <c r="G83"/>
  <c r="G91"/>
  <c r="G99"/>
  <c r="G107"/>
  <c r="G115"/>
  <c r="G123"/>
  <c r="G131"/>
  <c r="G139"/>
  <c r="G147"/>
  <c r="G152"/>
  <c r="G156"/>
  <c r="G160"/>
  <c r="G164"/>
  <c r="G168"/>
  <c r="G172"/>
  <c r="G176"/>
  <c r="G180"/>
  <c r="G184"/>
  <c r="G188"/>
  <c r="G192"/>
  <c r="G196"/>
  <c r="G202"/>
  <c r="G210"/>
  <c r="G218"/>
  <c r="G226"/>
  <c r="G234"/>
  <c r="G242"/>
  <c r="G250"/>
  <c r="G258"/>
  <c r="G266"/>
  <c r="G274"/>
  <c r="G282"/>
  <c r="G290"/>
  <c r="G298"/>
  <c r="G306"/>
  <c r="G314"/>
  <c r="G322"/>
  <c r="G325"/>
  <c r="G329"/>
  <c r="G333"/>
  <c r="G337"/>
  <c r="G341"/>
  <c r="G343"/>
  <c r="G351"/>
  <c r="G359"/>
  <c r="G367"/>
  <c r="G375"/>
  <c r="G383"/>
  <c r="G391"/>
  <c r="G398"/>
  <c r="G402"/>
  <c r="G406"/>
  <c r="G410"/>
  <c r="G414"/>
  <c r="G418"/>
  <c r="G422"/>
  <c r="G427"/>
  <c r="G429"/>
  <c r="G431"/>
  <c r="G433"/>
  <c r="G435"/>
  <c r="G437"/>
  <c r="F51"/>
  <c r="F205"/>
  <c r="F213"/>
  <c r="F221"/>
  <c r="F229"/>
  <c r="F237"/>
  <c r="F245"/>
  <c r="F253"/>
  <c r="F261"/>
  <c r="F269"/>
  <c r="F277"/>
  <c r="F285"/>
  <c r="F293"/>
  <c r="F301"/>
  <c r="F309"/>
  <c r="F317"/>
  <c r="F345"/>
  <c r="F348"/>
  <c r="F350"/>
  <c r="F353"/>
  <c r="F356"/>
  <c r="F358"/>
  <c r="F361"/>
  <c r="F364"/>
  <c r="F366"/>
  <c r="F369"/>
  <c r="F372"/>
  <c r="F374"/>
  <c r="F377"/>
  <c r="F380"/>
  <c r="F382"/>
  <c r="F385"/>
  <c r="F388"/>
  <c r="F390"/>
  <c r="F394"/>
  <c r="F397"/>
  <c r="F401"/>
  <c r="F405"/>
  <c r="F409"/>
  <c r="F413"/>
  <c r="F417"/>
  <c r="F421"/>
  <c r="F425"/>
  <c r="F426"/>
  <c r="F428"/>
  <c r="F430"/>
  <c r="F432"/>
  <c r="F434"/>
  <c r="F436"/>
  <c r="F438"/>
  <c r="G471"/>
  <c r="H470"/>
  <c r="F470"/>
  <c r="G469"/>
  <c r="H468"/>
  <c r="F468"/>
  <c r="G467"/>
  <c r="H466"/>
  <c r="F466"/>
  <c r="G465"/>
  <c r="H464"/>
  <c r="F464"/>
  <c r="G463"/>
  <c r="H462"/>
  <c r="F462"/>
  <c r="G461"/>
  <c r="H460"/>
  <c r="F460"/>
  <c r="G459"/>
  <c r="H458"/>
  <c r="F458"/>
  <c r="G457"/>
  <c r="H456"/>
  <c r="F456"/>
  <c r="G455"/>
  <c r="H454"/>
  <c r="F454"/>
  <c r="G453"/>
  <c r="H452"/>
  <c r="F452"/>
  <c r="G451"/>
  <c r="H450"/>
  <c r="F450"/>
  <c r="G449"/>
  <c r="H448"/>
  <c r="F448"/>
  <c r="G447"/>
  <c r="H446"/>
  <c r="F446"/>
  <c r="G445"/>
  <c r="H444"/>
  <c r="F444"/>
  <c r="G443"/>
  <c r="H442"/>
  <c r="F442"/>
  <c r="G441"/>
  <c r="H440"/>
  <c r="F440"/>
  <c r="G439"/>
  <c r="H438"/>
  <c r="H437"/>
  <c r="G436"/>
  <c r="F435"/>
  <c r="H433"/>
  <c r="G432"/>
  <c r="F431"/>
  <c r="H429"/>
  <c r="G428"/>
  <c r="F427"/>
  <c r="H425"/>
  <c r="F423"/>
  <c r="G420"/>
  <c r="H417"/>
  <c r="F415"/>
  <c r="G412"/>
  <c r="H409"/>
  <c r="F407"/>
  <c r="G404"/>
  <c r="H401"/>
  <c r="F399"/>
  <c r="G396"/>
  <c r="G393"/>
  <c r="F392"/>
  <c r="F389"/>
  <c r="H388"/>
  <c r="F384"/>
  <c r="F381"/>
  <c r="H380"/>
  <c r="F376"/>
  <c r="F373"/>
  <c r="H372"/>
  <c r="F368"/>
  <c r="F365"/>
  <c r="H364"/>
  <c r="F360"/>
  <c r="F357"/>
  <c r="H356"/>
  <c r="F352"/>
  <c r="F349"/>
  <c r="H348"/>
  <c r="F344"/>
  <c r="H339"/>
  <c r="H331"/>
  <c r="H323"/>
  <c r="G318"/>
  <c r="F313"/>
  <c r="H307"/>
  <c r="G302"/>
  <c r="F297"/>
  <c r="H291"/>
  <c r="G286"/>
  <c r="F281"/>
  <c r="H275"/>
  <c r="G270"/>
  <c r="F265"/>
  <c r="H259"/>
  <c r="G254"/>
  <c r="F249"/>
  <c r="H243"/>
  <c r="G238"/>
  <c r="F233"/>
  <c r="H227"/>
  <c r="G222"/>
  <c r="F217"/>
  <c r="H211"/>
  <c r="G206"/>
  <c r="F201"/>
  <c r="G194"/>
  <c r="G186"/>
  <c r="G178"/>
  <c r="G170"/>
  <c r="G162"/>
  <c r="G154"/>
  <c r="G143"/>
  <c r="G127"/>
  <c r="G111"/>
  <c r="G95"/>
  <c r="G79"/>
  <c r="G63"/>
  <c r="H44"/>
  <c r="H53"/>
  <c r="H55"/>
  <c r="H57"/>
  <c r="H59"/>
  <c r="H61"/>
  <c r="H63"/>
  <c r="H65"/>
  <c r="H67"/>
  <c r="H69"/>
  <c r="H71"/>
  <c r="H73"/>
  <c r="H75"/>
  <c r="H77"/>
  <c r="H79"/>
  <c r="H81"/>
  <c r="H83"/>
  <c r="H85"/>
  <c r="H87"/>
  <c r="H88"/>
  <c r="H89"/>
  <c r="H90"/>
  <c r="H91"/>
  <c r="H92"/>
  <c r="H93"/>
  <c r="H94"/>
  <c r="H95"/>
  <c r="H96"/>
  <c r="H97"/>
  <c r="H98"/>
  <c r="H99"/>
  <c r="H100"/>
  <c r="H101"/>
  <c r="H102"/>
  <c r="H103"/>
  <c r="H104"/>
  <c r="H105"/>
  <c r="H106"/>
  <c r="H107"/>
  <c r="H108"/>
  <c r="H109"/>
  <c r="H110"/>
  <c r="H111"/>
  <c r="H112"/>
  <c r="H113"/>
  <c r="H114"/>
  <c r="H115"/>
  <c r="H116"/>
  <c r="H117"/>
  <c r="H118"/>
  <c r="H119"/>
  <c r="H120"/>
  <c r="H121"/>
  <c r="H122"/>
  <c r="H123"/>
  <c r="H124"/>
  <c r="H125"/>
  <c r="H126"/>
  <c r="H127"/>
  <c r="H128"/>
  <c r="H129"/>
  <c r="H130"/>
  <c r="H131"/>
  <c r="H132"/>
  <c r="H133"/>
  <c r="H134"/>
  <c r="H135"/>
  <c r="H136"/>
  <c r="H137"/>
  <c r="H138"/>
  <c r="H139"/>
  <c r="H140"/>
  <c r="H141"/>
  <c r="H142"/>
  <c r="H143"/>
  <c r="H144"/>
  <c r="H145"/>
  <c r="H146"/>
  <c r="H147"/>
  <c r="H148"/>
  <c r="H149"/>
  <c r="H150"/>
  <c r="H151"/>
  <c r="H152"/>
  <c r="H153"/>
  <c r="H154"/>
  <c r="H155"/>
  <c r="H156"/>
  <c r="H157"/>
  <c r="H158"/>
  <c r="H159"/>
  <c r="H160"/>
  <c r="H161"/>
  <c r="H162"/>
  <c r="H163"/>
  <c r="H164"/>
  <c r="H165"/>
  <c r="H166"/>
  <c r="H167"/>
  <c r="H168"/>
  <c r="H169"/>
  <c r="H170"/>
  <c r="H171"/>
  <c r="H172"/>
  <c r="H173"/>
  <c r="H174"/>
  <c r="H175"/>
  <c r="H176"/>
  <c r="H177"/>
  <c r="H178"/>
  <c r="H179"/>
  <c r="H180"/>
  <c r="H181"/>
  <c r="H182"/>
  <c r="H183"/>
  <c r="H184"/>
  <c r="H185"/>
  <c r="H186"/>
  <c r="H187"/>
  <c r="H188"/>
  <c r="H189"/>
  <c r="H190"/>
  <c r="H191"/>
  <c r="H192"/>
  <c r="H193"/>
  <c r="H194"/>
  <c r="H195"/>
  <c r="H196"/>
  <c r="H197"/>
  <c r="H198"/>
  <c r="H200"/>
  <c r="H202"/>
  <c r="H204"/>
  <c r="H206"/>
  <c r="H208"/>
  <c r="H210"/>
  <c r="H212"/>
  <c r="H214"/>
  <c r="H216"/>
  <c r="H218"/>
  <c r="H220"/>
  <c r="H222"/>
  <c r="H224"/>
  <c r="H226"/>
  <c r="H228"/>
  <c r="H230"/>
  <c r="H232"/>
  <c r="H234"/>
  <c r="H236"/>
  <c r="H238"/>
  <c r="H240"/>
  <c r="H242"/>
  <c r="H244"/>
  <c r="H246"/>
  <c r="H248"/>
  <c r="H250"/>
  <c r="H252"/>
  <c r="H254"/>
  <c r="H256"/>
  <c r="H258"/>
  <c r="H260"/>
  <c r="H262"/>
  <c r="H264"/>
  <c r="H266"/>
  <c r="H268"/>
  <c r="H270"/>
  <c r="H272"/>
  <c r="H274"/>
  <c r="H276"/>
  <c r="H278"/>
  <c r="H280"/>
  <c r="H282"/>
  <c r="H284"/>
  <c r="H286"/>
  <c r="H288"/>
  <c r="H290"/>
  <c r="H292"/>
  <c r="H294"/>
  <c r="H296"/>
  <c r="H298"/>
  <c r="H300"/>
  <c r="H302"/>
  <c r="H304"/>
  <c r="H306"/>
  <c r="H308"/>
  <c r="H310"/>
  <c r="H312"/>
  <c r="H314"/>
  <c r="H316"/>
  <c r="H318"/>
  <c r="H320"/>
  <c r="H322"/>
  <c r="H324"/>
  <c r="H325"/>
  <c r="H326"/>
  <c r="H328"/>
  <c r="H329"/>
  <c r="H330"/>
  <c r="H332"/>
  <c r="H333"/>
  <c r="H334"/>
  <c r="H336"/>
  <c r="H337"/>
  <c r="H338"/>
  <c r="H340"/>
  <c r="H341"/>
  <c r="G16"/>
  <c r="G17"/>
  <c r="G35"/>
  <c r="G36"/>
  <c r="G37"/>
  <c r="G39"/>
  <c r="G41"/>
  <c r="G43"/>
  <c r="G45"/>
  <c r="G47"/>
  <c r="G49"/>
  <c r="G50"/>
  <c r="G20"/>
  <c r="G21"/>
  <c r="G24"/>
  <c r="G25"/>
  <c r="G52"/>
  <c r="G54"/>
  <c r="G56"/>
  <c r="G58"/>
  <c r="G60"/>
  <c r="G62"/>
  <c r="G64"/>
  <c r="G66"/>
  <c r="G68"/>
  <c r="G70"/>
  <c r="G72"/>
  <c r="G74"/>
  <c r="G76"/>
  <c r="G78"/>
  <c r="G80"/>
  <c r="G82"/>
  <c r="G84"/>
  <c r="G86"/>
  <c r="G88"/>
  <c r="G90"/>
  <c r="G92"/>
  <c r="G94"/>
  <c r="G96"/>
  <c r="G98"/>
  <c r="G100"/>
  <c r="G102"/>
  <c r="G104"/>
  <c r="G106"/>
  <c r="G108"/>
  <c r="G110"/>
  <c r="G112"/>
  <c r="G114"/>
  <c r="G116"/>
  <c r="G118"/>
  <c r="G120"/>
  <c r="G122"/>
  <c r="G124"/>
  <c r="G126"/>
  <c r="G128"/>
  <c r="G130"/>
  <c r="G132"/>
  <c r="G134"/>
  <c r="G136"/>
  <c r="G138"/>
  <c r="G140"/>
  <c r="G142"/>
  <c r="G144"/>
  <c r="G146"/>
  <c r="G148"/>
  <c r="G199"/>
  <c r="G201"/>
  <c r="G203"/>
  <c r="G205"/>
  <c r="G207"/>
  <c r="G209"/>
  <c r="G211"/>
  <c r="G213"/>
  <c r="G215"/>
  <c r="G217"/>
  <c r="G219"/>
  <c r="G221"/>
  <c r="G223"/>
  <c r="G225"/>
  <c r="G227"/>
  <c r="G229"/>
  <c r="G231"/>
  <c r="G233"/>
  <c r="G235"/>
  <c r="G237"/>
  <c r="G239"/>
  <c r="G241"/>
  <c r="G243"/>
  <c r="G245"/>
  <c r="G247"/>
  <c r="G249"/>
  <c r="G251"/>
  <c r="G253"/>
  <c r="G255"/>
  <c r="G257"/>
  <c r="G259"/>
  <c r="G261"/>
  <c r="G263"/>
  <c r="G265"/>
  <c r="G267"/>
  <c r="G269"/>
  <c r="G271"/>
  <c r="G273"/>
  <c r="G275"/>
  <c r="G277"/>
  <c r="G279"/>
  <c r="G281"/>
  <c r="G283"/>
  <c r="G285"/>
  <c r="G287"/>
  <c r="G289"/>
  <c r="G291"/>
  <c r="G293"/>
  <c r="G295"/>
  <c r="G297"/>
  <c r="G299"/>
  <c r="G301"/>
  <c r="G303"/>
  <c r="G305"/>
  <c r="G307"/>
  <c r="G309"/>
  <c r="G311"/>
  <c r="G313"/>
  <c r="G315"/>
  <c r="G317"/>
  <c r="G319"/>
  <c r="G321"/>
  <c r="G323"/>
  <c r="G327"/>
  <c r="G331"/>
  <c r="G335"/>
  <c r="G339"/>
  <c r="F14"/>
  <c r="F18"/>
  <c r="F19"/>
  <c r="F22"/>
  <c r="F23"/>
  <c r="F26"/>
  <c r="F28"/>
  <c r="F30"/>
  <c r="F32"/>
  <c r="F34"/>
  <c r="F52"/>
  <c r="F53"/>
  <c r="F55"/>
  <c r="F57"/>
  <c r="F59"/>
  <c r="F61"/>
  <c r="F63"/>
  <c r="F65"/>
  <c r="F67"/>
  <c r="F69"/>
  <c r="F71"/>
  <c r="F73"/>
  <c r="F75"/>
  <c r="F77"/>
  <c r="F79"/>
  <c r="F81"/>
  <c r="F83"/>
  <c r="F85"/>
  <c r="F87"/>
  <c r="F88"/>
  <c r="F89"/>
  <c r="F90"/>
  <c r="F91"/>
  <c r="F92"/>
  <c r="F93"/>
  <c r="F94"/>
  <c r="F95"/>
  <c r="F96"/>
  <c r="F97"/>
  <c r="F98"/>
  <c r="F99"/>
  <c r="F100"/>
  <c r="F101"/>
  <c r="F102"/>
  <c r="F103"/>
  <c r="F104"/>
  <c r="F105"/>
  <c r="F106"/>
  <c r="F107"/>
  <c r="F108"/>
  <c r="F109"/>
  <c r="F110"/>
  <c r="F111"/>
  <c r="F112"/>
  <c r="F113"/>
  <c r="F114"/>
  <c r="F115"/>
  <c r="F116"/>
  <c r="F117"/>
  <c r="F118"/>
  <c r="F119"/>
  <c r="F120"/>
  <c r="F121"/>
  <c r="F122"/>
  <c r="F123"/>
  <c r="F124"/>
  <c r="F125"/>
  <c r="F126"/>
  <c r="F127"/>
  <c r="F128"/>
  <c r="F129"/>
  <c r="F130"/>
  <c r="F131"/>
  <c r="F132"/>
  <c r="F133"/>
  <c r="F134"/>
  <c r="F135"/>
  <c r="F136"/>
  <c r="F137"/>
  <c r="F138"/>
  <c r="F139"/>
  <c r="F140"/>
  <c r="F141"/>
  <c r="F142"/>
  <c r="F143"/>
  <c r="F144"/>
  <c r="F145"/>
  <c r="F146"/>
  <c r="F147"/>
  <c r="F148"/>
  <c r="F149"/>
  <c r="F29"/>
  <c r="F33"/>
  <c r="F38"/>
  <c r="F42"/>
  <c r="F46"/>
  <c r="F50"/>
  <c r="F150"/>
  <c r="F151"/>
  <c r="F152"/>
  <c r="F153"/>
  <c r="F154"/>
  <c r="F155"/>
  <c r="F156"/>
  <c r="F157"/>
  <c r="F158"/>
  <c r="F159"/>
  <c r="F160"/>
  <c r="F161"/>
  <c r="F162"/>
  <c r="F163"/>
  <c r="F164"/>
  <c r="F165"/>
  <c r="F166"/>
  <c r="F167"/>
  <c r="F168"/>
  <c r="F169"/>
  <c r="F170"/>
  <c r="F171"/>
  <c r="F172"/>
  <c r="F173"/>
  <c r="F174"/>
  <c r="F175"/>
  <c r="F176"/>
  <c r="F177"/>
  <c r="F178"/>
  <c r="F179"/>
  <c r="F180"/>
  <c r="F181"/>
  <c r="F182"/>
  <c r="F183"/>
  <c r="F184"/>
  <c r="F185"/>
  <c r="F186"/>
  <c r="F187"/>
  <c r="F188"/>
  <c r="F189"/>
  <c r="F190"/>
  <c r="F191"/>
  <c r="F192"/>
  <c r="F193"/>
  <c r="F194"/>
  <c r="F195"/>
  <c r="F196"/>
  <c r="F197"/>
  <c r="F198"/>
  <c r="F200"/>
  <c r="F202"/>
  <c r="F204"/>
  <c r="F206"/>
  <c r="F208"/>
  <c r="F210"/>
  <c r="F212"/>
  <c r="F214"/>
  <c r="F216"/>
  <c r="F218"/>
  <c r="F220"/>
  <c r="F222"/>
  <c r="F224"/>
  <c r="F226"/>
  <c r="F228"/>
  <c r="F230"/>
  <c r="F232"/>
  <c r="F234"/>
  <c r="F236"/>
  <c r="F238"/>
  <c r="F240"/>
  <c r="F242"/>
  <c r="F244"/>
  <c r="F246"/>
  <c r="F248"/>
  <c r="F250"/>
  <c r="F252"/>
  <c r="F254"/>
  <c r="F256"/>
  <c r="F258"/>
  <c r="F260"/>
  <c r="F262"/>
  <c r="F264"/>
  <c r="F266"/>
  <c r="F268"/>
  <c r="F270"/>
  <c r="F272"/>
  <c r="F274"/>
  <c r="F276"/>
  <c r="F278"/>
  <c r="F280"/>
  <c r="F282"/>
  <c r="F284"/>
  <c r="F286"/>
  <c r="F288"/>
  <c r="F290"/>
  <c r="F292"/>
  <c r="F294"/>
  <c r="F296"/>
  <c r="F298"/>
  <c r="F300"/>
  <c r="F302"/>
  <c r="F304"/>
  <c r="F306"/>
  <c r="F308"/>
  <c r="F310"/>
  <c r="F312"/>
  <c r="F314"/>
  <c r="F316"/>
  <c r="F318"/>
  <c r="F320"/>
  <c r="F322"/>
  <c r="F324"/>
  <c r="F325"/>
  <c r="F326"/>
  <c r="F328"/>
  <c r="F329"/>
  <c r="F330"/>
  <c r="F332"/>
  <c r="F333"/>
  <c r="F334"/>
  <c r="F336"/>
  <c r="F337"/>
  <c r="F338"/>
  <c r="F340"/>
  <c r="F341"/>
  <c r="F342"/>
  <c r="G425"/>
  <c r="H424"/>
  <c r="F424"/>
  <c r="G423"/>
  <c r="H422"/>
  <c r="F422"/>
  <c r="G421"/>
  <c r="H420"/>
  <c r="F420"/>
  <c r="G419"/>
  <c r="H418"/>
  <c r="F418"/>
  <c r="G417"/>
  <c r="H416"/>
  <c r="F416"/>
  <c r="G415"/>
  <c r="H414"/>
  <c r="F414"/>
  <c r="G413"/>
  <c r="H412"/>
  <c r="F412"/>
  <c r="G411"/>
  <c r="H410"/>
  <c r="F410"/>
  <c r="G409"/>
  <c r="H408"/>
  <c r="F408"/>
  <c r="G407"/>
  <c r="H406"/>
  <c r="F406"/>
  <c r="G405"/>
  <c r="H404"/>
  <c r="F404"/>
  <c r="G403"/>
  <c r="H402"/>
  <c r="F402"/>
  <c r="G401"/>
  <c r="H400"/>
  <c r="F400"/>
  <c r="G399"/>
  <c r="H398"/>
  <c r="F398"/>
  <c r="G397"/>
  <c r="H396"/>
  <c r="F396"/>
  <c r="G395"/>
  <c r="G394"/>
  <c r="H393"/>
  <c r="F393"/>
  <c r="G392"/>
  <c r="H391"/>
  <c r="F391"/>
  <c r="G390"/>
  <c r="G389"/>
  <c r="G388"/>
  <c r="H387"/>
  <c r="F387"/>
  <c r="G386"/>
  <c r="G385"/>
  <c r="G384"/>
  <c r="H383"/>
  <c r="F383"/>
  <c r="G382"/>
  <c r="G381"/>
  <c r="G380"/>
  <c r="H379"/>
  <c r="F379"/>
  <c r="G378"/>
  <c r="G377"/>
  <c r="G376"/>
  <c r="H375"/>
  <c r="F375"/>
  <c r="G374"/>
  <c r="G373"/>
  <c r="G372"/>
  <c r="H371"/>
  <c r="F371"/>
  <c r="G370"/>
  <c r="G369"/>
  <c r="G368"/>
  <c r="H367"/>
  <c r="F367"/>
  <c r="G366"/>
  <c r="G365"/>
  <c r="G364"/>
  <c r="H363"/>
  <c r="F363"/>
  <c r="G362"/>
  <c r="G361"/>
  <c r="G360"/>
  <c r="H359"/>
  <c r="F359"/>
  <c r="G358"/>
  <c r="G357"/>
  <c r="G356"/>
  <c r="H355"/>
  <c r="F355"/>
  <c r="G354"/>
  <c r="G353"/>
  <c r="G352"/>
  <c r="H351"/>
  <c r="F351"/>
  <c r="G350"/>
  <c r="G349"/>
  <c r="G348"/>
  <c r="H347"/>
  <c r="F347"/>
  <c r="G346"/>
  <c r="G345"/>
  <c r="G344"/>
  <c r="H343"/>
  <c r="F343"/>
  <c r="G342"/>
  <c r="G340"/>
  <c r="F339"/>
  <c r="G338"/>
  <c r="G336"/>
  <c r="F335"/>
  <c r="G334"/>
  <c r="G332"/>
  <c r="F331"/>
  <c r="G330"/>
  <c r="G328"/>
  <c r="F327"/>
  <c r="G326"/>
  <c r="G324"/>
  <c r="F323"/>
  <c r="H321"/>
  <c r="G320"/>
  <c r="F319"/>
  <c r="H317"/>
  <c r="G316"/>
  <c r="F315"/>
  <c r="H313"/>
  <c r="G312"/>
  <c r="F311"/>
  <c r="H309"/>
  <c r="G308"/>
  <c r="F307"/>
  <c r="H305"/>
  <c r="G304"/>
  <c r="F303"/>
  <c r="H301"/>
  <c r="G300"/>
  <c r="F299"/>
  <c r="H297"/>
  <c r="G296"/>
  <c r="F295"/>
  <c r="H293"/>
  <c r="G292"/>
  <c r="F291"/>
  <c r="H289"/>
  <c r="G288"/>
  <c r="F287"/>
  <c r="H285"/>
  <c r="G284"/>
  <c r="F283"/>
  <c r="H281"/>
  <c r="G280"/>
  <c r="F279"/>
  <c r="H277"/>
  <c r="G276"/>
  <c r="F275"/>
  <c r="H273"/>
  <c r="G272"/>
  <c r="F271"/>
  <c r="H269"/>
  <c r="G268"/>
  <c r="F267"/>
  <c r="H265"/>
  <c r="G264"/>
  <c r="F263"/>
  <c r="H261"/>
  <c r="G260"/>
  <c r="F259"/>
  <c r="H257"/>
  <c r="G256"/>
  <c r="F255"/>
  <c r="H253"/>
  <c r="G252"/>
  <c r="F251"/>
  <c r="H249"/>
  <c r="G248"/>
  <c r="F247"/>
  <c r="H245"/>
  <c r="G244"/>
  <c r="F243"/>
  <c r="H241"/>
  <c r="G240"/>
  <c r="F239"/>
  <c r="H237"/>
  <c r="G236"/>
  <c r="F235"/>
  <c r="H233"/>
  <c r="G232"/>
  <c r="F231"/>
  <c r="H229"/>
  <c r="G228"/>
  <c r="F227"/>
  <c r="H225"/>
  <c r="G224"/>
  <c r="F223"/>
  <c r="H221"/>
  <c r="G220"/>
  <c r="F219"/>
  <c r="H217"/>
  <c r="G216"/>
  <c r="F215"/>
  <c r="H213"/>
  <c r="G212"/>
  <c r="F211"/>
  <c r="H209"/>
  <c r="G208"/>
  <c r="F207"/>
  <c r="H205"/>
  <c r="G204"/>
  <c r="F203"/>
  <c r="H201"/>
  <c r="G200"/>
  <c r="F199"/>
  <c r="G197"/>
  <c r="G195"/>
  <c r="G193"/>
  <c r="G191"/>
  <c r="G189"/>
  <c r="G187"/>
  <c r="G185"/>
  <c r="G183"/>
  <c r="G181"/>
  <c r="G179"/>
  <c r="G177"/>
  <c r="G175"/>
  <c r="G173"/>
  <c r="G171"/>
  <c r="G169"/>
  <c r="G167"/>
  <c r="G165"/>
  <c r="G163"/>
  <c r="G161"/>
  <c r="G159"/>
  <c r="G157"/>
  <c r="G155"/>
  <c r="G153"/>
  <c r="G151"/>
  <c r="G149"/>
  <c r="G145"/>
  <c r="G141"/>
  <c r="G137"/>
  <c r="G133"/>
  <c r="G129"/>
  <c r="G125"/>
  <c r="G121"/>
  <c r="G117"/>
  <c r="G113"/>
  <c r="G109"/>
  <c r="G105"/>
  <c r="G101"/>
  <c r="G97"/>
  <c r="G93"/>
  <c r="G89"/>
  <c r="G85"/>
  <c r="G81"/>
  <c r="G77"/>
  <c r="G73"/>
  <c r="G69"/>
  <c r="G65"/>
  <c r="G61"/>
  <c r="G57"/>
  <c r="G53"/>
  <c r="H48"/>
  <c r="H40"/>
  <c r="F31"/>
  <c r="H22"/>
  <c r="F11"/>
  <c r="H16" i="21"/>
  <c r="CA16" s="1"/>
  <c r="H86" i="13"/>
  <c r="F86"/>
  <c r="H84"/>
  <c r="F84"/>
  <c r="H82"/>
  <c r="F82"/>
  <c r="H80"/>
  <c r="F80"/>
  <c r="H78"/>
  <c r="F78"/>
  <c r="H76"/>
  <c r="F76"/>
  <c r="H74"/>
  <c r="F74"/>
  <c r="H72"/>
  <c r="F72"/>
  <c r="H70"/>
  <c r="F70"/>
  <c r="H68"/>
  <c r="F68"/>
  <c r="H66"/>
  <c r="F66"/>
  <c r="H64"/>
  <c r="F64"/>
  <c r="H62"/>
  <c r="F62"/>
  <c r="H60"/>
  <c r="F60"/>
  <c r="H58"/>
  <c r="F58"/>
  <c r="H56"/>
  <c r="F56"/>
  <c r="H54"/>
  <c r="F54"/>
  <c r="H51"/>
  <c r="F48"/>
  <c r="H46"/>
  <c r="F44"/>
  <c r="H42"/>
  <c r="F40"/>
  <c r="H38"/>
  <c r="H34"/>
  <c r="H33"/>
  <c r="H32"/>
  <c r="H31"/>
  <c r="H30"/>
  <c r="H29"/>
  <c r="H28"/>
  <c r="D13" i="21"/>
  <c r="D12"/>
  <c r="D11"/>
  <c r="D10"/>
  <c r="E13"/>
  <c r="E12"/>
  <c r="E11"/>
  <c r="E10"/>
  <c r="F13"/>
  <c r="F12"/>
  <c r="F11"/>
  <c r="F10"/>
  <c r="G13"/>
  <c r="G12"/>
  <c r="G11"/>
  <c r="G10"/>
  <c r="C13"/>
  <c r="C11"/>
  <c r="C12"/>
  <c r="C10"/>
  <c r="H26" i="13"/>
  <c r="H23"/>
  <c r="H21"/>
  <c r="G14"/>
  <c r="H52"/>
  <c r="G51"/>
  <c r="H50"/>
  <c r="H49"/>
  <c r="F49"/>
  <c r="G48"/>
  <c r="H47"/>
  <c r="F47"/>
  <c r="G46"/>
  <c r="H45"/>
  <c r="F45"/>
  <c r="G44"/>
  <c r="H43"/>
  <c r="F43"/>
  <c r="G42"/>
  <c r="H41"/>
  <c r="F41"/>
  <c r="G40"/>
  <c r="H39"/>
  <c r="F39"/>
  <c r="G38"/>
  <c r="H37"/>
  <c r="F37"/>
  <c r="H36"/>
  <c r="F36"/>
  <c r="H35"/>
  <c r="F35"/>
  <c r="G34"/>
  <c r="G33"/>
  <c r="G32"/>
  <c r="G31"/>
  <c r="G30"/>
  <c r="G29"/>
  <c r="G28"/>
  <c r="H27"/>
  <c r="F27"/>
  <c r="G26"/>
  <c r="H25"/>
  <c r="F25"/>
  <c r="H24"/>
  <c r="F24"/>
  <c r="G23"/>
  <c r="G22"/>
  <c r="F21"/>
  <c r="F20"/>
  <c r="G19"/>
  <c r="G18"/>
  <c r="F17"/>
  <c r="F16"/>
  <c r="F15"/>
  <c r="G13"/>
  <c r="F13"/>
  <c r="H17"/>
  <c r="G15"/>
  <c r="F12"/>
  <c r="AL52"/>
  <c r="BB52" s="1"/>
  <c r="AV45"/>
  <c r="AL57"/>
  <c r="BB57" s="1"/>
  <c r="AV44"/>
  <c r="AV52"/>
  <c r="AV50"/>
  <c r="AM52"/>
  <c r="D16" i="17" s="1"/>
  <c r="AM51" i="13"/>
  <c r="D15" i="17" s="1"/>
  <c r="AM48" i="13"/>
  <c r="D12" i="17" s="1"/>
  <c r="AM47" i="13"/>
  <c r="D11" i="17" s="1"/>
  <c r="AN58" i="13"/>
  <c r="E22" i="17" s="1"/>
  <c r="J22" s="1"/>
  <c r="AM55" i="13"/>
  <c r="D19" i="17" s="1"/>
  <c r="AL54" i="13"/>
  <c r="BB54" s="1"/>
  <c r="AM49"/>
  <c r="D13" i="17" s="1"/>
  <c r="AN48" i="13"/>
  <c r="E12" i="17" s="1"/>
  <c r="J12" s="1"/>
  <c r="AM46" i="13"/>
  <c r="D10" i="17" s="1"/>
  <c r="AM44" i="13"/>
  <c r="D8" i="17" s="1"/>
  <c r="G9" i="13"/>
  <c r="F9"/>
  <c r="AL28"/>
  <c r="H9"/>
  <c r="H14"/>
  <c r="AL55"/>
  <c r="BB55" s="1"/>
  <c r="AL53"/>
  <c r="BB53" s="1"/>
  <c r="AL56"/>
  <c r="BB56" s="1"/>
  <c r="AG7"/>
  <c r="AC7"/>
  <c r="AD7"/>
  <c r="AD6"/>
  <c r="K7"/>
  <c r="H20"/>
  <c r="H19"/>
  <c r="H18"/>
  <c r="H16"/>
  <c r="G12"/>
  <c r="G11"/>
  <c r="G10"/>
  <c r="AG6"/>
  <c r="AC6"/>
  <c r="K6"/>
  <c r="H15"/>
  <c r="H13"/>
  <c r="H12"/>
  <c r="H11"/>
  <c r="H10"/>
  <c r="F10"/>
  <c r="S22" i="12"/>
  <c r="Q22"/>
  <c r="S23"/>
  <c r="Q23"/>
  <c r="T22"/>
  <c r="BK7" i="1"/>
  <c r="BM7"/>
  <c r="BO7"/>
  <c r="BQ7"/>
  <c r="BS7"/>
  <c r="BU7"/>
  <c r="BW7"/>
  <c r="BY7"/>
  <c r="CA7"/>
  <c r="CC7"/>
  <c r="CD7"/>
  <c r="BL7"/>
  <c r="BN7"/>
  <c r="BP7"/>
  <c r="BR7"/>
  <c r="BT7"/>
  <c r="BV7"/>
  <c r="BX7"/>
  <c r="BZ7"/>
  <c r="CB7"/>
  <c r="K79" i="32" l="1"/>
  <c r="A123" i="45"/>
  <c r="K77" i="32"/>
  <c r="A113" i="45"/>
  <c r="A83"/>
  <c r="A88"/>
  <c r="K80" i="32"/>
  <c r="A128" i="45"/>
  <c r="J28" i="17"/>
  <c r="K78" i="32"/>
  <c r="A118" i="45"/>
  <c r="AO28" i="13"/>
  <c r="AQ28"/>
  <c r="AS28"/>
  <c r="AM28"/>
  <c r="AM32" s="1"/>
  <c r="AN28"/>
  <c r="AP28"/>
  <c r="AR28"/>
  <c r="AT28"/>
  <c r="AK28"/>
  <c r="I12"/>
  <c r="J12" s="1"/>
  <c r="I25"/>
  <c r="J25" s="1"/>
  <c r="I35"/>
  <c r="J35" s="1"/>
  <c r="I36"/>
  <c r="J36" s="1"/>
  <c r="I41"/>
  <c r="J41" s="1"/>
  <c r="I45"/>
  <c r="J45" s="1"/>
  <c r="I49"/>
  <c r="J49" s="1"/>
  <c r="I11"/>
  <c r="J11" s="1"/>
  <c r="I31"/>
  <c r="J31" s="1"/>
  <c r="I199"/>
  <c r="J199" s="1"/>
  <c r="I207"/>
  <c r="J207" s="1"/>
  <c r="I215"/>
  <c r="J215" s="1"/>
  <c r="L215" s="1"/>
  <c r="I223"/>
  <c r="J223" s="1"/>
  <c r="I231"/>
  <c r="J231" s="1"/>
  <c r="I239"/>
  <c r="J239" s="1"/>
  <c r="I247"/>
  <c r="J247" s="1"/>
  <c r="I255"/>
  <c r="J255" s="1"/>
  <c r="I263"/>
  <c r="J263" s="1"/>
  <c r="I271"/>
  <c r="J271" s="1"/>
  <c r="I279"/>
  <c r="J279" s="1"/>
  <c r="I287"/>
  <c r="J287" s="1"/>
  <c r="I295"/>
  <c r="J295" s="1"/>
  <c r="I303"/>
  <c r="J303" s="1"/>
  <c r="I311"/>
  <c r="J311" s="1"/>
  <c r="I319"/>
  <c r="J319" s="1"/>
  <c r="I327"/>
  <c r="J327" s="1"/>
  <c r="I335"/>
  <c r="J335" s="1"/>
  <c r="I343"/>
  <c r="J343" s="1"/>
  <c r="I351"/>
  <c r="J351" s="1"/>
  <c r="I359"/>
  <c r="J359" s="1"/>
  <c r="I367"/>
  <c r="J367" s="1"/>
  <c r="I375"/>
  <c r="J375" s="1"/>
  <c r="I383"/>
  <c r="J383" s="1"/>
  <c r="I391"/>
  <c r="J391" s="1"/>
  <c r="I398"/>
  <c r="J398" s="1"/>
  <c r="I402"/>
  <c r="J402" s="1"/>
  <c r="I406"/>
  <c r="J406" s="1"/>
  <c r="I410"/>
  <c r="J410" s="1"/>
  <c r="I414"/>
  <c r="J414" s="1"/>
  <c r="I418"/>
  <c r="J418" s="1"/>
  <c r="I422"/>
  <c r="J422" s="1"/>
  <c r="I342"/>
  <c r="J342" s="1"/>
  <c r="I340"/>
  <c r="J340" s="1"/>
  <c r="I337"/>
  <c r="J337" s="1"/>
  <c r="I334"/>
  <c r="J334" s="1"/>
  <c r="I332"/>
  <c r="J332" s="1"/>
  <c r="I329"/>
  <c r="J329" s="1"/>
  <c r="I326"/>
  <c r="J326" s="1"/>
  <c r="I324"/>
  <c r="J324" s="1"/>
  <c r="I320"/>
  <c r="J320" s="1"/>
  <c r="I316"/>
  <c r="J316" s="1"/>
  <c r="I312"/>
  <c r="J312" s="1"/>
  <c r="I308"/>
  <c r="J308" s="1"/>
  <c r="I304"/>
  <c r="J304" s="1"/>
  <c r="I300"/>
  <c r="J300" s="1"/>
  <c r="I296"/>
  <c r="J296" s="1"/>
  <c r="I292"/>
  <c r="J292" s="1"/>
  <c r="I288"/>
  <c r="J288" s="1"/>
  <c r="I284"/>
  <c r="J284" s="1"/>
  <c r="I280"/>
  <c r="J280" s="1"/>
  <c r="I276"/>
  <c r="J276" s="1"/>
  <c r="I272"/>
  <c r="J272" s="1"/>
  <c r="I268"/>
  <c r="J268" s="1"/>
  <c r="I264"/>
  <c r="J264" s="1"/>
  <c r="I260"/>
  <c r="J260" s="1"/>
  <c r="I256"/>
  <c r="J256" s="1"/>
  <c r="I252"/>
  <c r="J252" s="1"/>
  <c r="I248"/>
  <c r="J248" s="1"/>
  <c r="I244"/>
  <c r="J244" s="1"/>
  <c r="I240"/>
  <c r="J240" s="1"/>
  <c r="I236"/>
  <c r="J236" s="1"/>
  <c r="I232"/>
  <c r="J232" s="1"/>
  <c r="I228"/>
  <c r="J228" s="1"/>
  <c r="I224"/>
  <c r="J224" s="1"/>
  <c r="I220"/>
  <c r="J220" s="1"/>
  <c r="I216"/>
  <c r="J216" s="1"/>
  <c r="I212"/>
  <c r="J212" s="1"/>
  <c r="I208"/>
  <c r="J208" s="1"/>
  <c r="I204"/>
  <c r="J204" s="1"/>
  <c r="I200"/>
  <c r="J200" s="1"/>
  <c r="I197"/>
  <c r="J197" s="1"/>
  <c r="I195"/>
  <c r="J195" s="1"/>
  <c r="I193"/>
  <c r="J193" s="1"/>
  <c r="I191"/>
  <c r="J191" s="1"/>
  <c r="I189"/>
  <c r="J189" s="1"/>
  <c r="I187"/>
  <c r="J187" s="1"/>
  <c r="I185"/>
  <c r="J185" s="1"/>
  <c r="I183"/>
  <c r="J183" s="1"/>
  <c r="I181"/>
  <c r="J181" s="1"/>
  <c r="I179"/>
  <c r="J179" s="1"/>
  <c r="I177"/>
  <c r="J177" s="1"/>
  <c r="I175"/>
  <c r="J175" s="1"/>
  <c r="I173"/>
  <c r="J173" s="1"/>
  <c r="I171"/>
  <c r="J171" s="1"/>
  <c r="I169"/>
  <c r="J169" s="1"/>
  <c r="I167"/>
  <c r="J167" s="1"/>
  <c r="I165"/>
  <c r="J165" s="1"/>
  <c r="I163"/>
  <c r="J163" s="1"/>
  <c r="I161"/>
  <c r="J161" s="1"/>
  <c r="I159"/>
  <c r="J159" s="1"/>
  <c r="I157"/>
  <c r="J157" s="1"/>
  <c r="I155"/>
  <c r="J155" s="1"/>
  <c r="I153"/>
  <c r="J153" s="1"/>
  <c r="I151"/>
  <c r="J151" s="1"/>
  <c r="I50"/>
  <c r="J50" s="1"/>
  <c r="I42"/>
  <c r="J42" s="1"/>
  <c r="I33"/>
  <c r="J33" s="1"/>
  <c r="I149"/>
  <c r="J149" s="1"/>
  <c r="I147"/>
  <c r="J147" s="1"/>
  <c r="I145"/>
  <c r="J145" s="1"/>
  <c r="I143"/>
  <c r="J143" s="1"/>
  <c r="I141"/>
  <c r="J141" s="1"/>
  <c r="I139"/>
  <c r="J139" s="1"/>
  <c r="I137"/>
  <c r="J137" s="1"/>
  <c r="I135"/>
  <c r="J135" s="1"/>
  <c r="I133"/>
  <c r="J133" s="1"/>
  <c r="I131"/>
  <c r="J131" s="1"/>
  <c r="I129"/>
  <c r="J129" s="1"/>
  <c r="I127"/>
  <c r="J127" s="1"/>
  <c r="I125"/>
  <c r="J125" s="1"/>
  <c r="I123"/>
  <c r="J123" s="1"/>
  <c r="I121"/>
  <c r="J121" s="1"/>
  <c r="I119"/>
  <c r="J119" s="1"/>
  <c r="I117"/>
  <c r="J117" s="1"/>
  <c r="I115"/>
  <c r="J115" s="1"/>
  <c r="I113"/>
  <c r="J113" s="1"/>
  <c r="I111"/>
  <c r="J111" s="1"/>
  <c r="I10"/>
  <c r="J10" s="1"/>
  <c r="I16"/>
  <c r="J16" s="1"/>
  <c r="I20"/>
  <c r="J20" s="1"/>
  <c r="I24"/>
  <c r="J24" s="1"/>
  <c r="I37"/>
  <c r="J37" s="1"/>
  <c r="I13"/>
  <c r="J13" s="1"/>
  <c r="I15"/>
  <c r="J15" s="1"/>
  <c r="I17"/>
  <c r="J17" s="1"/>
  <c r="I21"/>
  <c r="J21" s="1"/>
  <c r="I27"/>
  <c r="J27" s="1"/>
  <c r="I39"/>
  <c r="J39" s="1"/>
  <c r="I43"/>
  <c r="J43" s="1"/>
  <c r="I47"/>
  <c r="J47" s="1"/>
  <c r="I40"/>
  <c r="J40" s="1"/>
  <c r="I44"/>
  <c r="J44" s="1"/>
  <c r="I48"/>
  <c r="J48" s="1"/>
  <c r="I54"/>
  <c r="J54" s="1"/>
  <c r="I56"/>
  <c r="J56" s="1"/>
  <c r="I58"/>
  <c r="J58" s="1"/>
  <c r="I60"/>
  <c r="J60" s="1"/>
  <c r="I62"/>
  <c r="J62" s="1"/>
  <c r="I64"/>
  <c r="J64" s="1"/>
  <c r="I66"/>
  <c r="J66" s="1"/>
  <c r="I68"/>
  <c r="J68" s="1"/>
  <c r="I70"/>
  <c r="J70" s="1"/>
  <c r="I72"/>
  <c r="J72" s="1"/>
  <c r="I74"/>
  <c r="J74" s="1"/>
  <c r="I76"/>
  <c r="J76" s="1"/>
  <c r="I78"/>
  <c r="J78" s="1"/>
  <c r="I80"/>
  <c r="J80" s="1"/>
  <c r="I82"/>
  <c r="J82" s="1"/>
  <c r="I84"/>
  <c r="J84" s="1"/>
  <c r="I86"/>
  <c r="J86" s="1"/>
  <c r="I203"/>
  <c r="J203" s="1"/>
  <c r="I211"/>
  <c r="J211" s="1"/>
  <c r="I219"/>
  <c r="J219" s="1"/>
  <c r="I227"/>
  <c r="J227" s="1"/>
  <c r="I235"/>
  <c r="J235" s="1"/>
  <c r="I243"/>
  <c r="J243" s="1"/>
  <c r="I251"/>
  <c r="J251" s="1"/>
  <c r="I259"/>
  <c r="J259" s="1"/>
  <c r="I267"/>
  <c r="J267" s="1"/>
  <c r="I275"/>
  <c r="J275" s="1"/>
  <c r="I283"/>
  <c r="J283" s="1"/>
  <c r="I291"/>
  <c r="J291" s="1"/>
  <c r="I299"/>
  <c r="J299" s="1"/>
  <c r="I307"/>
  <c r="J307" s="1"/>
  <c r="I315"/>
  <c r="J315" s="1"/>
  <c r="I323"/>
  <c r="J323" s="1"/>
  <c r="I331"/>
  <c r="J331" s="1"/>
  <c r="I339"/>
  <c r="J339" s="1"/>
  <c r="I347"/>
  <c r="J347" s="1"/>
  <c r="I355"/>
  <c r="J355" s="1"/>
  <c r="I363"/>
  <c r="J363" s="1"/>
  <c r="I371"/>
  <c r="J371" s="1"/>
  <c r="I379"/>
  <c r="J379" s="1"/>
  <c r="I387"/>
  <c r="J387" s="1"/>
  <c r="I393"/>
  <c r="J393" s="1"/>
  <c r="I396"/>
  <c r="J396" s="1"/>
  <c r="I400"/>
  <c r="J400" s="1"/>
  <c r="I404"/>
  <c r="J404" s="1"/>
  <c r="I408"/>
  <c r="J408" s="1"/>
  <c r="I412"/>
  <c r="J412" s="1"/>
  <c r="I416"/>
  <c r="J416" s="1"/>
  <c r="I420"/>
  <c r="J420" s="1"/>
  <c r="I424"/>
  <c r="J424" s="1"/>
  <c r="I341"/>
  <c r="J341" s="1"/>
  <c r="I338"/>
  <c r="J338" s="1"/>
  <c r="I336"/>
  <c r="J336" s="1"/>
  <c r="I333"/>
  <c r="J333" s="1"/>
  <c r="I330"/>
  <c r="J330" s="1"/>
  <c r="I328"/>
  <c r="J328" s="1"/>
  <c r="I325"/>
  <c r="J325" s="1"/>
  <c r="I322"/>
  <c r="J322" s="1"/>
  <c r="I318"/>
  <c r="J318" s="1"/>
  <c r="I314"/>
  <c r="J314" s="1"/>
  <c r="I310"/>
  <c r="J310" s="1"/>
  <c r="I306"/>
  <c r="J306" s="1"/>
  <c r="I302"/>
  <c r="J302" s="1"/>
  <c r="I298"/>
  <c r="J298" s="1"/>
  <c r="I294"/>
  <c r="J294" s="1"/>
  <c r="I290"/>
  <c r="J290" s="1"/>
  <c r="I286"/>
  <c r="J286" s="1"/>
  <c r="I282"/>
  <c r="J282" s="1"/>
  <c r="I278"/>
  <c r="J278" s="1"/>
  <c r="I274"/>
  <c r="J274" s="1"/>
  <c r="I270"/>
  <c r="J270" s="1"/>
  <c r="I266"/>
  <c r="J266" s="1"/>
  <c r="I262"/>
  <c r="J262" s="1"/>
  <c r="I258"/>
  <c r="J258" s="1"/>
  <c r="I254"/>
  <c r="J254" s="1"/>
  <c r="I250"/>
  <c r="J250" s="1"/>
  <c r="I246"/>
  <c r="J246" s="1"/>
  <c r="I242"/>
  <c r="J242" s="1"/>
  <c r="I238"/>
  <c r="J238" s="1"/>
  <c r="I234"/>
  <c r="J234" s="1"/>
  <c r="I230"/>
  <c r="J230" s="1"/>
  <c r="I226"/>
  <c r="J226" s="1"/>
  <c r="I222"/>
  <c r="J222" s="1"/>
  <c r="I218"/>
  <c r="J218" s="1"/>
  <c r="I214"/>
  <c r="J214" s="1"/>
  <c r="I210"/>
  <c r="J210" s="1"/>
  <c r="I206"/>
  <c r="J206" s="1"/>
  <c r="I202"/>
  <c r="J202" s="1"/>
  <c r="I198"/>
  <c r="J198" s="1"/>
  <c r="I196"/>
  <c r="J196" s="1"/>
  <c r="I194"/>
  <c r="J194" s="1"/>
  <c r="I192"/>
  <c r="J192" s="1"/>
  <c r="I190"/>
  <c r="J190" s="1"/>
  <c r="I188"/>
  <c r="J188" s="1"/>
  <c r="I186"/>
  <c r="J186" s="1"/>
  <c r="I184"/>
  <c r="J184" s="1"/>
  <c r="I182"/>
  <c r="J182" s="1"/>
  <c r="I180"/>
  <c r="J180" s="1"/>
  <c r="I178"/>
  <c r="J178" s="1"/>
  <c r="I176"/>
  <c r="J176" s="1"/>
  <c r="I174"/>
  <c r="J174" s="1"/>
  <c r="I172"/>
  <c r="J172" s="1"/>
  <c r="I170"/>
  <c r="J170" s="1"/>
  <c r="I168"/>
  <c r="J168" s="1"/>
  <c r="I166"/>
  <c r="J166" s="1"/>
  <c r="I164"/>
  <c r="J164" s="1"/>
  <c r="I162"/>
  <c r="J162" s="1"/>
  <c r="I160"/>
  <c r="J160" s="1"/>
  <c r="I158"/>
  <c r="J158" s="1"/>
  <c r="I156"/>
  <c r="J156" s="1"/>
  <c r="I154"/>
  <c r="J154" s="1"/>
  <c r="I152"/>
  <c r="J152" s="1"/>
  <c r="I150"/>
  <c r="J150" s="1"/>
  <c r="I46"/>
  <c r="J46" s="1"/>
  <c r="I38"/>
  <c r="J38" s="1"/>
  <c r="I29"/>
  <c r="J29" s="1"/>
  <c r="I148"/>
  <c r="J148" s="1"/>
  <c r="I146"/>
  <c r="J146" s="1"/>
  <c r="I144"/>
  <c r="J144" s="1"/>
  <c r="I142"/>
  <c r="J142" s="1"/>
  <c r="I140"/>
  <c r="J140" s="1"/>
  <c r="I138"/>
  <c r="J138" s="1"/>
  <c r="I136"/>
  <c r="J136" s="1"/>
  <c r="I134"/>
  <c r="J134" s="1"/>
  <c r="I132"/>
  <c r="J132" s="1"/>
  <c r="I109"/>
  <c r="J109" s="1"/>
  <c r="I107"/>
  <c r="J107" s="1"/>
  <c r="I105"/>
  <c r="J105" s="1"/>
  <c r="I103"/>
  <c r="J103" s="1"/>
  <c r="I101"/>
  <c r="J101" s="1"/>
  <c r="I99"/>
  <c r="J99" s="1"/>
  <c r="I97"/>
  <c r="J97" s="1"/>
  <c r="I95"/>
  <c r="J95" s="1"/>
  <c r="I93"/>
  <c r="J93" s="1"/>
  <c r="I91"/>
  <c r="J91" s="1"/>
  <c r="I89"/>
  <c r="J89" s="1"/>
  <c r="I87"/>
  <c r="J87" s="1"/>
  <c r="I83"/>
  <c r="J83" s="1"/>
  <c r="I79"/>
  <c r="J79" s="1"/>
  <c r="I75"/>
  <c r="J75" s="1"/>
  <c r="I71"/>
  <c r="J71" s="1"/>
  <c r="I67"/>
  <c r="J67" s="1"/>
  <c r="I63"/>
  <c r="J63" s="1"/>
  <c r="I59"/>
  <c r="J59" s="1"/>
  <c r="I55"/>
  <c r="J55" s="1"/>
  <c r="I52"/>
  <c r="J52" s="1"/>
  <c r="I32"/>
  <c r="J32" s="1"/>
  <c r="I28"/>
  <c r="J28" s="1"/>
  <c r="I23"/>
  <c r="J23" s="1"/>
  <c r="I19"/>
  <c r="J19" s="1"/>
  <c r="I14"/>
  <c r="J14" s="1"/>
  <c r="I217"/>
  <c r="J217" s="1"/>
  <c r="I249"/>
  <c r="J249" s="1"/>
  <c r="I281"/>
  <c r="J281" s="1"/>
  <c r="I313"/>
  <c r="J313" s="1"/>
  <c r="I352"/>
  <c r="J352" s="1"/>
  <c r="I357"/>
  <c r="J357" s="1"/>
  <c r="I368"/>
  <c r="J368" s="1"/>
  <c r="I373"/>
  <c r="J373" s="1"/>
  <c r="I384"/>
  <c r="J384" s="1"/>
  <c r="I389"/>
  <c r="J389" s="1"/>
  <c r="I399"/>
  <c r="J399" s="1"/>
  <c r="I415"/>
  <c r="J415" s="1"/>
  <c r="I431"/>
  <c r="J431" s="1"/>
  <c r="I440"/>
  <c r="J440" s="1"/>
  <c r="I444"/>
  <c r="J444" s="1"/>
  <c r="I448"/>
  <c r="J448" s="1"/>
  <c r="I452"/>
  <c r="J452" s="1"/>
  <c r="I456"/>
  <c r="J456" s="1"/>
  <c r="I460"/>
  <c r="J460" s="1"/>
  <c r="I464"/>
  <c r="J464" s="1"/>
  <c r="I468"/>
  <c r="J468" s="1"/>
  <c r="I438"/>
  <c r="J438" s="1"/>
  <c r="I434"/>
  <c r="J434" s="1"/>
  <c r="I430"/>
  <c r="J430" s="1"/>
  <c r="I426"/>
  <c r="J426" s="1"/>
  <c r="I421"/>
  <c r="J421" s="1"/>
  <c r="I413"/>
  <c r="J413" s="1"/>
  <c r="I405"/>
  <c r="J405" s="1"/>
  <c r="I397"/>
  <c r="J397" s="1"/>
  <c r="I390"/>
  <c r="J390" s="1"/>
  <c r="I385"/>
  <c r="J385" s="1"/>
  <c r="I380"/>
  <c r="J380" s="1"/>
  <c r="I374"/>
  <c r="J374" s="1"/>
  <c r="I369"/>
  <c r="J369" s="1"/>
  <c r="I364"/>
  <c r="J364" s="1"/>
  <c r="I358"/>
  <c r="J358" s="1"/>
  <c r="I353"/>
  <c r="J353" s="1"/>
  <c r="I348"/>
  <c r="J348" s="1"/>
  <c r="I317"/>
  <c r="J317" s="1"/>
  <c r="I301"/>
  <c r="J301" s="1"/>
  <c r="I285"/>
  <c r="J285" s="1"/>
  <c r="I269"/>
  <c r="J269" s="1"/>
  <c r="I253"/>
  <c r="J253" s="1"/>
  <c r="I237"/>
  <c r="J237" s="1"/>
  <c r="I221"/>
  <c r="J221" s="1"/>
  <c r="I205"/>
  <c r="J205" s="1"/>
  <c r="I577"/>
  <c r="J577" s="1"/>
  <c r="I573"/>
  <c r="J573" s="1"/>
  <c r="I569"/>
  <c r="J569" s="1"/>
  <c r="I565"/>
  <c r="J565" s="1"/>
  <c r="I561"/>
  <c r="J561" s="1"/>
  <c r="I557"/>
  <c r="J557" s="1"/>
  <c r="I553"/>
  <c r="J553" s="1"/>
  <c r="I549"/>
  <c r="J549" s="1"/>
  <c r="I545"/>
  <c r="J545" s="1"/>
  <c r="I541"/>
  <c r="J541" s="1"/>
  <c r="I537"/>
  <c r="J537" s="1"/>
  <c r="I533"/>
  <c r="J533" s="1"/>
  <c r="I529"/>
  <c r="J529" s="1"/>
  <c r="I525"/>
  <c r="J525" s="1"/>
  <c r="I521"/>
  <c r="J521" s="1"/>
  <c r="I517"/>
  <c r="J517" s="1"/>
  <c r="I513"/>
  <c r="J513" s="1"/>
  <c r="I509"/>
  <c r="J509" s="1"/>
  <c r="I505"/>
  <c r="J505" s="1"/>
  <c r="I501"/>
  <c r="J501" s="1"/>
  <c r="I497"/>
  <c r="J497" s="1"/>
  <c r="I493"/>
  <c r="J493" s="1"/>
  <c r="I489"/>
  <c r="J489" s="1"/>
  <c r="I485"/>
  <c r="J485" s="1"/>
  <c r="I481"/>
  <c r="J481" s="1"/>
  <c r="I477"/>
  <c r="J477" s="1"/>
  <c r="I473"/>
  <c r="J473" s="1"/>
  <c r="I465"/>
  <c r="J465" s="1"/>
  <c r="I457"/>
  <c r="J457" s="1"/>
  <c r="I449"/>
  <c r="J449" s="1"/>
  <c r="I441"/>
  <c r="J441" s="1"/>
  <c r="I419"/>
  <c r="J419" s="1"/>
  <c r="I386"/>
  <c r="J386" s="1"/>
  <c r="I370"/>
  <c r="J370" s="1"/>
  <c r="I346"/>
  <c r="J346" s="1"/>
  <c r="I273"/>
  <c r="J273" s="1"/>
  <c r="I209"/>
  <c r="J209" s="1"/>
  <c r="I289"/>
  <c r="J289" s="1"/>
  <c r="I672"/>
  <c r="J672" s="1"/>
  <c r="I668"/>
  <c r="J668" s="1"/>
  <c r="I664"/>
  <c r="J664" s="1"/>
  <c r="I660"/>
  <c r="J660" s="1"/>
  <c r="I656"/>
  <c r="J656" s="1"/>
  <c r="I652"/>
  <c r="J652" s="1"/>
  <c r="I648"/>
  <c r="J648" s="1"/>
  <c r="I644"/>
  <c r="J644" s="1"/>
  <c r="I640"/>
  <c r="J640" s="1"/>
  <c r="I636"/>
  <c r="J636" s="1"/>
  <c r="I632"/>
  <c r="J632" s="1"/>
  <c r="I628"/>
  <c r="J628" s="1"/>
  <c r="I624"/>
  <c r="J624" s="1"/>
  <c r="I620"/>
  <c r="J620" s="1"/>
  <c r="I616"/>
  <c r="J616" s="1"/>
  <c r="I612"/>
  <c r="J612" s="1"/>
  <c r="I608"/>
  <c r="J608" s="1"/>
  <c r="I604"/>
  <c r="J604" s="1"/>
  <c r="I600"/>
  <c r="J600" s="1"/>
  <c r="I596"/>
  <c r="J596" s="1"/>
  <c r="I592"/>
  <c r="J592" s="1"/>
  <c r="I588"/>
  <c r="J588" s="1"/>
  <c r="I584"/>
  <c r="J584" s="1"/>
  <c r="I578"/>
  <c r="J578" s="1"/>
  <c r="I570"/>
  <c r="J570" s="1"/>
  <c r="I562"/>
  <c r="J562" s="1"/>
  <c r="I554"/>
  <c r="J554" s="1"/>
  <c r="I546"/>
  <c r="J546" s="1"/>
  <c r="I538"/>
  <c r="J538" s="1"/>
  <c r="I530"/>
  <c r="J530" s="1"/>
  <c r="I522"/>
  <c r="J522" s="1"/>
  <c r="I514"/>
  <c r="J514" s="1"/>
  <c r="I506"/>
  <c r="J506" s="1"/>
  <c r="I498"/>
  <c r="J498" s="1"/>
  <c r="I490"/>
  <c r="J490" s="1"/>
  <c r="I482"/>
  <c r="J482" s="1"/>
  <c r="I474"/>
  <c r="J474" s="1"/>
  <c r="I463"/>
  <c r="J463" s="1"/>
  <c r="I447"/>
  <c r="J447" s="1"/>
  <c r="I429"/>
  <c r="J429" s="1"/>
  <c r="I321"/>
  <c r="J321" s="1"/>
  <c r="I362"/>
  <c r="J362" s="1"/>
  <c r="I451"/>
  <c r="J451" s="1"/>
  <c r="I472"/>
  <c r="J472" s="1"/>
  <c r="I488"/>
  <c r="J488" s="1"/>
  <c r="I504"/>
  <c r="J504" s="1"/>
  <c r="I520"/>
  <c r="J520" s="1"/>
  <c r="I536"/>
  <c r="J536" s="1"/>
  <c r="I552"/>
  <c r="J552" s="1"/>
  <c r="I568"/>
  <c r="J568" s="1"/>
  <c r="I585"/>
  <c r="J585" s="1"/>
  <c r="I593"/>
  <c r="J593" s="1"/>
  <c r="I601"/>
  <c r="J601" s="1"/>
  <c r="I609"/>
  <c r="J609" s="1"/>
  <c r="I617"/>
  <c r="J617" s="1"/>
  <c r="I625"/>
  <c r="J625" s="1"/>
  <c r="I633"/>
  <c r="J633" s="1"/>
  <c r="I641"/>
  <c r="J641" s="1"/>
  <c r="I649"/>
  <c r="J649" s="1"/>
  <c r="I657"/>
  <c r="J657" s="1"/>
  <c r="I665"/>
  <c r="J665" s="1"/>
  <c r="I673"/>
  <c r="J673" s="1"/>
  <c r="I678"/>
  <c r="J678" s="1"/>
  <c r="I682"/>
  <c r="J682" s="1"/>
  <c r="I686"/>
  <c r="J686" s="1"/>
  <c r="I690"/>
  <c r="J690" s="1"/>
  <c r="I694"/>
  <c r="J694" s="1"/>
  <c r="I698"/>
  <c r="J698" s="1"/>
  <c r="I702"/>
  <c r="J702" s="1"/>
  <c r="I706"/>
  <c r="J706" s="1"/>
  <c r="I710"/>
  <c r="J710" s="1"/>
  <c r="I714"/>
  <c r="J714" s="1"/>
  <c r="I718"/>
  <c r="J718" s="1"/>
  <c r="I722"/>
  <c r="J722" s="1"/>
  <c r="I726"/>
  <c r="J726" s="1"/>
  <c r="I730"/>
  <c r="J730" s="1"/>
  <c r="I734"/>
  <c r="J734" s="1"/>
  <c r="I738"/>
  <c r="J738" s="1"/>
  <c r="I832"/>
  <c r="J832" s="1"/>
  <c r="I828"/>
  <c r="J828" s="1"/>
  <c r="I824"/>
  <c r="J824" s="1"/>
  <c r="I820"/>
  <c r="J820" s="1"/>
  <c r="I816"/>
  <c r="J816" s="1"/>
  <c r="I812"/>
  <c r="J812" s="1"/>
  <c r="I808"/>
  <c r="J808" s="1"/>
  <c r="I804"/>
  <c r="J804" s="1"/>
  <c r="I800"/>
  <c r="J800" s="1"/>
  <c r="I796"/>
  <c r="J796" s="1"/>
  <c r="I792"/>
  <c r="J792" s="1"/>
  <c r="I788"/>
  <c r="J788" s="1"/>
  <c r="I784"/>
  <c r="J784" s="1"/>
  <c r="I780"/>
  <c r="J780" s="1"/>
  <c r="I776"/>
  <c r="J776" s="1"/>
  <c r="I772"/>
  <c r="J772" s="1"/>
  <c r="I768"/>
  <c r="J768" s="1"/>
  <c r="I764"/>
  <c r="J764" s="1"/>
  <c r="I760"/>
  <c r="J760" s="1"/>
  <c r="I756"/>
  <c r="J756" s="1"/>
  <c r="I752"/>
  <c r="J752" s="1"/>
  <c r="I748"/>
  <c r="J748" s="1"/>
  <c r="I744"/>
  <c r="J744" s="1"/>
  <c r="I740"/>
  <c r="J740" s="1"/>
  <c r="I735"/>
  <c r="J735" s="1"/>
  <c r="I727"/>
  <c r="J727" s="1"/>
  <c r="I719"/>
  <c r="J719" s="1"/>
  <c r="I711"/>
  <c r="J711" s="1"/>
  <c r="I703"/>
  <c r="J703" s="1"/>
  <c r="I695"/>
  <c r="J695" s="1"/>
  <c r="I687"/>
  <c r="J687" s="1"/>
  <c r="I679"/>
  <c r="J679" s="1"/>
  <c r="I667"/>
  <c r="J667" s="1"/>
  <c r="I651"/>
  <c r="J651" s="1"/>
  <c r="I635"/>
  <c r="J635" s="1"/>
  <c r="I619"/>
  <c r="J619" s="1"/>
  <c r="I603"/>
  <c r="J603" s="1"/>
  <c r="I587"/>
  <c r="J587" s="1"/>
  <c r="I556"/>
  <c r="J556" s="1"/>
  <c r="I524"/>
  <c r="J524" s="1"/>
  <c r="I492"/>
  <c r="J492" s="1"/>
  <c r="I459"/>
  <c r="J459" s="1"/>
  <c r="I257"/>
  <c r="J257" s="1"/>
  <c r="I548"/>
  <c r="J548" s="1"/>
  <c r="I607"/>
  <c r="J607" s="1"/>
  <c r="I639"/>
  <c r="J639" s="1"/>
  <c r="I671"/>
  <c r="J671" s="1"/>
  <c r="I689"/>
  <c r="J689" s="1"/>
  <c r="I705"/>
  <c r="J705" s="1"/>
  <c r="I721"/>
  <c r="J721" s="1"/>
  <c r="I737"/>
  <c r="J737" s="1"/>
  <c r="I741"/>
  <c r="J741" s="1"/>
  <c r="I749"/>
  <c r="J749" s="1"/>
  <c r="I757"/>
  <c r="J757" s="1"/>
  <c r="I765"/>
  <c r="J765" s="1"/>
  <c r="I130"/>
  <c r="J130" s="1"/>
  <c r="I128"/>
  <c r="J128" s="1"/>
  <c r="I126"/>
  <c r="J126" s="1"/>
  <c r="I124"/>
  <c r="J124" s="1"/>
  <c r="I122"/>
  <c r="J122" s="1"/>
  <c r="I120"/>
  <c r="J120" s="1"/>
  <c r="I118"/>
  <c r="J118" s="1"/>
  <c r="I116"/>
  <c r="J116" s="1"/>
  <c r="I114"/>
  <c r="J114" s="1"/>
  <c r="I112"/>
  <c r="J112" s="1"/>
  <c r="I110"/>
  <c r="J110" s="1"/>
  <c r="I108"/>
  <c r="J108" s="1"/>
  <c r="I106"/>
  <c r="J106" s="1"/>
  <c r="I104"/>
  <c r="J104" s="1"/>
  <c r="I102"/>
  <c r="J102" s="1"/>
  <c r="I100"/>
  <c r="J100" s="1"/>
  <c r="I98"/>
  <c r="J98" s="1"/>
  <c r="I96"/>
  <c r="J96" s="1"/>
  <c r="I94"/>
  <c r="J94" s="1"/>
  <c r="I92"/>
  <c r="J92" s="1"/>
  <c r="I90"/>
  <c r="J90" s="1"/>
  <c r="I88"/>
  <c r="J88" s="1"/>
  <c r="I85"/>
  <c r="J85" s="1"/>
  <c r="I81"/>
  <c r="J81" s="1"/>
  <c r="I77"/>
  <c r="J77" s="1"/>
  <c r="I73"/>
  <c r="J73" s="1"/>
  <c r="I69"/>
  <c r="J69" s="1"/>
  <c r="I65"/>
  <c r="J65" s="1"/>
  <c r="I61"/>
  <c r="J61" s="1"/>
  <c r="I57"/>
  <c r="J57" s="1"/>
  <c r="I53"/>
  <c r="J53" s="1"/>
  <c r="I34"/>
  <c r="J34" s="1"/>
  <c r="I30"/>
  <c r="J30" s="1"/>
  <c r="I26"/>
  <c r="J26" s="1"/>
  <c r="I22"/>
  <c r="J22" s="1"/>
  <c r="I18"/>
  <c r="J18" s="1"/>
  <c r="I201"/>
  <c r="J201" s="1"/>
  <c r="I233"/>
  <c r="J233" s="1"/>
  <c r="I265"/>
  <c r="J265" s="1"/>
  <c r="I297"/>
  <c r="J297" s="1"/>
  <c r="I344"/>
  <c r="J344" s="1"/>
  <c r="I349"/>
  <c r="J349" s="1"/>
  <c r="I360"/>
  <c r="J360" s="1"/>
  <c r="I365"/>
  <c r="J365" s="1"/>
  <c r="I376"/>
  <c r="J376" s="1"/>
  <c r="I381"/>
  <c r="J381" s="1"/>
  <c r="I392"/>
  <c r="J392" s="1"/>
  <c r="I407"/>
  <c r="J407" s="1"/>
  <c r="I423"/>
  <c r="J423" s="1"/>
  <c r="I427"/>
  <c r="J427" s="1"/>
  <c r="I435"/>
  <c r="J435" s="1"/>
  <c r="I442"/>
  <c r="J442" s="1"/>
  <c r="I446"/>
  <c r="J446" s="1"/>
  <c r="I450"/>
  <c r="J450" s="1"/>
  <c r="I454"/>
  <c r="J454" s="1"/>
  <c r="I458"/>
  <c r="J458" s="1"/>
  <c r="I462"/>
  <c r="J462" s="1"/>
  <c r="I466"/>
  <c r="J466" s="1"/>
  <c r="I470"/>
  <c r="J470" s="1"/>
  <c r="I436"/>
  <c r="J436" s="1"/>
  <c r="I432"/>
  <c r="J432" s="1"/>
  <c r="I428"/>
  <c r="J428" s="1"/>
  <c r="I425"/>
  <c r="J425" s="1"/>
  <c r="I417"/>
  <c r="J417" s="1"/>
  <c r="I409"/>
  <c r="J409" s="1"/>
  <c r="I401"/>
  <c r="J401" s="1"/>
  <c r="I394"/>
  <c r="J394" s="1"/>
  <c r="I388"/>
  <c r="J388" s="1"/>
  <c r="I382"/>
  <c r="J382" s="1"/>
  <c r="I377"/>
  <c r="J377" s="1"/>
  <c r="I372"/>
  <c r="J372" s="1"/>
  <c r="I366"/>
  <c r="J366" s="1"/>
  <c r="I361"/>
  <c r="J361" s="1"/>
  <c r="I356"/>
  <c r="J356" s="1"/>
  <c r="I350"/>
  <c r="J350" s="1"/>
  <c r="I345"/>
  <c r="J345" s="1"/>
  <c r="I309"/>
  <c r="J309" s="1"/>
  <c r="I293"/>
  <c r="J293" s="1"/>
  <c r="I277"/>
  <c r="J277" s="1"/>
  <c r="I261"/>
  <c r="J261" s="1"/>
  <c r="I245"/>
  <c r="J245" s="1"/>
  <c r="I229"/>
  <c r="J229" s="1"/>
  <c r="I213"/>
  <c r="J213" s="1"/>
  <c r="I51"/>
  <c r="J51" s="1"/>
  <c r="I579"/>
  <c r="J579" s="1"/>
  <c r="I575"/>
  <c r="J575" s="1"/>
  <c r="I571"/>
  <c r="J571" s="1"/>
  <c r="I567"/>
  <c r="J567" s="1"/>
  <c r="I563"/>
  <c r="J563" s="1"/>
  <c r="I559"/>
  <c r="J559" s="1"/>
  <c r="I555"/>
  <c r="J555" s="1"/>
  <c r="I551"/>
  <c r="J551" s="1"/>
  <c r="I547"/>
  <c r="J547" s="1"/>
  <c r="I543"/>
  <c r="J543" s="1"/>
  <c r="I539"/>
  <c r="J539" s="1"/>
  <c r="I535"/>
  <c r="J535" s="1"/>
  <c r="I531"/>
  <c r="J531" s="1"/>
  <c r="I527"/>
  <c r="J527" s="1"/>
  <c r="I523"/>
  <c r="J523" s="1"/>
  <c r="I519"/>
  <c r="J519" s="1"/>
  <c r="I515"/>
  <c r="J515" s="1"/>
  <c r="I511"/>
  <c r="J511" s="1"/>
  <c r="I507"/>
  <c r="J507" s="1"/>
  <c r="I503"/>
  <c r="J503" s="1"/>
  <c r="I499"/>
  <c r="J499" s="1"/>
  <c r="I495"/>
  <c r="J495" s="1"/>
  <c r="I491"/>
  <c r="J491" s="1"/>
  <c r="I487"/>
  <c r="J487" s="1"/>
  <c r="I483"/>
  <c r="J483" s="1"/>
  <c r="I479"/>
  <c r="J479" s="1"/>
  <c r="I475"/>
  <c r="J475" s="1"/>
  <c r="I469"/>
  <c r="J469" s="1"/>
  <c r="I461"/>
  <c r="J461" s="1"/>
  <c r="I453"/>
  <c r="J453" s="1"/>
  <c r="I445"/>
  <c r="J445" s="1"/>
  <c r="I433"/>
  <c r="J433" s="1"/>
  <c r="I403"/>
  <c r="J403" s="1"/>
  <c r="I378"/>
  <c r="J378" s="1"/>
  <c r="I354"/>
  <c r="J354" s="1"/>
  <c r="I305"/>
  <c r="J305" s="1"/>
  <c r="I241"/>
  <c r="J241" s="1"/>
  <c r="I674"/>
  <c r="J674" s="1"/>
  <c r="I670"/>
  <c r="J670" s="1"/>
  <c r="I666"/>
  <c r="J666" s="1"/>
  <c r="I662"/>
  <c r="J662" s="1"/>
  <c r="I658"/>
  <c r="J658" s="1"/>
  <c r="I654"/>
  <c r="J654" s="1"/>
  <c r="I650"/>
  <c r="J650" s="1"/>
  <c r="I646"/>
  <c r="J646" s="1"/>
  <c r="I642"/>
  <c r="J642" s="1"/>
  <c r="I638"/>
  <c r="J638" s="1"/>
  <c r="I634"/>
  <c r="J634" s="1"/>
  <c r="I630"/>
  <c r="J630" s="1"/>
  <c r="I626"/>
  <c r="J626" s="1"/>
  <c r="I622"/>
  <c r="J622" s="1"/>
  <c r="I618"/>
  <c r="J618" s="1"/>
  <c r="I614"/>
  <c r="J614" s="1"/>
  <c r="I610"/>
  <c r="J610" s="1"/>
  <c r="I606"/>
  <c r="J606" s="1"/>
  <c r="I602"/>
  <c r="J602" s="1"/>
  <c r="I598"/>
  <c r="J598" s="1"/>
  <c r="I594"/>
  <c r="J594" s="1"/>
  <c r="I590"/>
  <c r="J590" s="1"/>
  <c r="I586"/>
  <c r="J586" s="1"/>
  <c r="I582"/>
  <c r="J582" s="1"/>
  <c r="I574"/>
  <c r="J574" s="1"/>
  <c r="I566"/>
  <c r="J566" s="1"/>
  <c r="I558"/>
  <c r="J558" s="1"/>
  <c r="I550"/>
  <c r="J550" s="1"/>
  <c r="I542"/>
  <c r="J542" s="1"/>
  <c r="I534"/>
  <c r="J534" s="1"/>
  <c r="I526"/>
  <c r="J526" s="1"/>
  <c r="I518"/>
  <c r="J518" s="1"/>
  <c r="I510"/>
  <c r="J510" s="1"/>
  <c r="I502"/>
  <c r="J502" s="1"/>
  <c r="I494"/>
  <c r="J494" s="1"/>
  <c r="I486"/>
  <c r="J486" s="1"/>
  <c r="I478"/>
  <c r="J478" s="1"/>
  <c r="I471"/>
  <c r="J471" s="1"/>
  <c r="I455"/>
  <c r="J455" s="1"/>
  <c r="I439"/>
  <c r="J439" s="1"/>
  <c r="I411"/>
  <c r="J411" s="1"/>
  <c r="I225"/>
  <c r="J225" s="1"/>
  <c r="I395"/>
  <c r="J395" s="1"/>
  <c r="I467"/>
  <c r="J467" s="1"/>
  <c r="I480"/>
  <c r="J480" s="1"/>
  <c r="I496"/>
  <c r="J496" s="1"/>
  <c r="I512"/>
  <c r="J512" s="1"/>
  <c r="I528"/>
  <c r="J528" s="1"/>
  <c r="I544"/>
  <c r="J544" s="1"/>
  <c r="I560"/>
  <c r="J560" s="1"/>
  <c r="I576"/>
  <c r="J576" s="1"/>
  <c r="I581"/>
  <c r="J581" s="1"/>
  <c r="I589"/>
  <c r="J589" s="1"/>
  <c r="I597"/>
  <c r="J597" s="1"/>
  <c r="I605"/>
  <c r="J605" s="1"/>
  <c r="I613"/>
  <c r="J613" s="1"/>
  <c r="I621"/>
  <c r="J621" s="1"/>
  <c r="I629"/>
  <c r="J629" s="1"/>
  <c r="I637"/>
  <c r="J637" s="1"/>
  <c r="I645"/>
  <c r="J645" s="1"/>
  <c r="I653"/>
  <c r="J653" s="1"/>
  <c r="I661"/>
  <c r="J661" s="1"/>
  <c r="I669"/>
  <c r="J669" s="1"/>
  <c r="I676"/>
  <c r="J676" s="1"/>
  <c r="I680"/>
  <c r="J680" s="1"/>
  <c r="I684"/>
  <c r="J684" s="1"/>
  <c r="I688"/>
  <c r="J688" s="1"/>
  <c r="I692"/>
  <c r="J692" s="1"/>
  <c r="I696"/>
  <c r="J696" s="1"/>
  <c r="I700"/>
  <c r="J700" s="1"/>
  <c r="I704"/>
  <c r="J704" s="1"/>
  <c r="I708"/>
  <c r="J708" s="1"/>
  <c r="I712"/>
  <c r="J712" s="1"/>
  <c r="I716"/>
  <c r="J716" s="1"/>
  <c r="I720"/>
  <c r="J720" s="1"/>
  <c r="I724"/>
  <c r="J724" s="1"/>
  <c r="I728"/>
  <c r="J728" s="1"/>
  <c r="I732"/>
  <c r="J732" s="1"/>
  <c r="I736"/>
  <c r="J736" s="1"/>
  <c r="I834"/>
  <c r="J834" s="1"/>
  <c r="I830"/>
  <c r="J830" s="1"/>
  <c r="I826"/>
  <c r="J826" s="1"/>
  <c r="I822"/>
  <c r="J822" s="1"/>
  <c r="I818"/>
  <c r="J818" s="1"/>
  <c r="I814"/>
  <c r="J814" s="1"/>
  <c r="I810"/>
  <c r="J810" s="1"/>
  <c r="I806"/>
  <c r="J806" s="1"/>
  <c r="I802"/>
  <c r="J802" s="1"/>
  <c r="I798"/>
  <c r="J798" s="1"/>
  <c r="I794"/>
  <c r="J794" s="1"/>
  <c r="I790"/>
  <c r="J790" s="1"/>
  <c r="I786"/>
  <c r="J786" s="1"/>
  <c r="I782"/>
  <c r="J782" s="1"/>
  <c r="I778"/>
  <c r="J778" s="1"/>
  <c r="I774"/>
  <c r="J774" s="1"/>
  <c r="I770"/>
  <c r="J770" s="1"/>
  <c r="I766"/>
  <c r="J766" s="1"/>
  <c r="I762"/>
  <c r="J762" s="1"/>
  <c r="I758"/>
  <c r="J758" s="1"/>
  <c r="I754"/>
  <c r="J754" s="1"/>
  <c r="I750"/>
  <c r="J750" s="1"/>
  <c r="I746"/>
  <c r="J746" s="1"/>
  <c r="I742"/>
  <c r="J742" s="1"/>
  <c r="I739"/>
  <c r="J739" s="1"/>
  <c r="I731"/>
  <c r="J731" s="1"/>
  <c r="I723"/>
  <c r="J723" s="1"/>
  <c r="I715"/>
  <c r="J715" s="1"/>
  <c r="I707"/>
  <c r="J707" s="1"/>
  <c r="I699"/>
  <c r="J699" s="1"/>
  <c r="I691"/>
  <c r="J691" s="1"/>
  <c r="I683"/>
  <c r="J683" s="1"/>
  <c r="I675"/>
  <c r="J675" s="1"/>
  <c r="I659"/>
  <c r="J659" s="1"/>
  <c r="I643"/>
  <c r="J643" s="1"/>
  <c r="I627"/>
  <c r="J627" s="1"/>
  <c r="I611"/>
  <c r="J611" s="1"/>
  <c r="I595"/>
  <c r="J595" s="1"/>
  <c r="I572"/>
  <c r="J572" s="1"/>
  <c r="I540"/>
  <c r="J540" s="1"/>
  <c r="I508"/>
  <c r="J508" s="1"/>
  <c r="I476"/>
  <c r="J476" s="1"/>
  <c r="I437"/>
  <c r="J437" s="1"/>
  <c r="I516"/>
  <c r="J516" s="1"/>
  <c r="I580"/>
  <c r="J580" s="1"/>
  <c r="I591"/>
  <c r="J591" s="1"/>
  <c r="I623"/>
  <c r="J623" s="1"/>
  <c r="I655"/>
  <c r="J655" s="1"/>
  <c r="I681"/>
  <c r="J681" s="1"/>
  <c r="I697"/>
  <c r="J697" s="1"/>
  <c r="I713"/>
  <c r="J713" s="1"/>
  <c r="I729"/>
  <c r="J729" s="1"/>
  <c r="I745"/>
  <c r="J745" s="1"/>
  <c r="I753"/>
  <c r="J753" s="1"/>
  <c r="I761"/>
  <c r="J761" s="1"/>
  <c r="I484"/>
  <c r="J484" s="1"/>
  <c r="I9"/>
  <c r="J9" s="1"/>
  <c r="L663"/>
  <c r="L733"/>
  <c r="L773"/>
  <c r="L615"/>
  <c r="L677"/>
  <c r="L709"/>
  <c r="L743"/>
  <c r="L759"/>
  <c r="L769"/>
  <c r="L777"/>
  <c r="L785"/>
  <c r="L599"/>
  <c r="L647"/>
  <c r="L701"/>
  <c r="L725"/>
  <c r="L755"/>
  <c r="L767"/>
  <c r="L771"/>
  <c r="L781"/>
  <c r="L787"/>
  <c r="L631"/>
  <c r="L685"/>
  <c r="L717"/>
  <c r="L747"/>
  <c r="L763"/>
  <c r="L775"/>
  <c r="L783"/>
  <c r="L789"/>
  <c r="L829"/>
  <c r="L841"/>
  <c r="L869"/>
  <c r="L885"/>
  <c r="L921"/>
  <c r="L937"/>
  <c r="L941"/>
  <c r="L961"/>
  <c r="L981"/>
  <c r="L1005"/>
  <c r="L803"/>
  <c r="L819"/>
  <c r="L835"/>
  <c r="L842"/>
  <c r="L850"/>
  <c r="L858"/>
  <c r="L866"/>
  <c r="L874"/>
  <c r="L882"/>
  <c r="L890"/>
  <c r="L898"/>
  <c r="L906"/>
  <c r="L914"/>
  <c r="L930"/>
  <c r="L946"/>
  <c r="L962"/>
  <c r="L978"/>
  <c r="L994"/>
  <c r="L500"/>
  <c r="L797"/>
  <c r="L805"/>
  <c r="L813"/>
  <c r="L821"/>
  <c r="L837"/>
  <c r="L845"/>
  <c r="L849"/>
  <c r="L853"/>
  <c r="L857"/>
  <c r="L861"/>
  <c r="L865"/>
  <c r="L873"/>
  <c r="L877"/>
  <c r="L881"/>
  <c r="L889"/>
  <c r="L893"/>
  <c r="L897"/>
  <c r="L901"/>
  <c r="L905"/>
  <c r="L909"/>
  <c r="L913"/>
  <c r="L917"/>
  <c r="L925"/>
  <c r="L929"/>
  <c r="L933"/>
  <c r="L945"/>
  <c r="L949"/>
  <c r="L953"/>
  <c r="L957"/>
  <c r="L965"/>
  <c r="L969"/>
  <c r="L973"/>
  <c r="L977"/>
  <c r="L985"/>
  <c r="L989"/>
  <c r="L993"/>
  <c r="L997"/>
  <c r="L1001"/>
  <c r="L1002"/>
  <c r="L795"/>
  <c r="L811"/>
  <c r="L827"/>
  <c r="L838"/>
  <c r="L846"/>
  <c r="L854"/>
  <c r="L862"/>
  <c r="L870"/>
  <c r="L878"/>
  <c r="L886"/>
  <c r="L894"/>
  <c r="L902"/>
  <c r="L910"/>
  <c r="L922"/>
  <c r="L938"/>
  <c r="L954"/>
  <c r="L970"/>
  <c r="L986"/>
  <c r="L532"/>
  <c r="L791"/>
  <c r="L799"/>
  <c r="L807"/>
  <c r="L815"/>
  <c r="L823"/>
  <c r="L831"/>
  <c r="L836"/>
  <c r="L840"/>
  <c r="L844"/>
  <c r="L848"/>
  <c r="L852"/>
  <c r="L856"/>
  <c r="L860"/>
  <c r="L864"/>
  <c r="L868"/>
  <c r="L872"/>
  <c r="L876"/>
  <c r="L880"/>
  <c r="L884"/>
  <c r="L888"/>
  <c r="L892"/>
  <c r="L896"/>
  <c r="L900"/>
  <c r="L904"/>
  <c r="L908"/>
  <c r="L912"/>
  <c r="L916"/>
  <c r="L920"/>
  <c r="L924"/>
  <c r="L928"/>
  <c r="L932"/>
  <c r="L936"/>
  <c r="L940"/>
  <c r="L944"/>
  <c r="L948"/>
  <c r="L952"/>
  <c r="L956"/>
  <c r="L960"/>
  <c r="L964"/>
  <c r="L968"/>
  <c r="L972"/>
  <c r="L976"/>
  <c r="L980"/>
  <c r="L984"/>
  <c r="L988"/>
  <c r="L992"/>
  <c r="L996"/>
  <c r="L1000"/>
  <c r="L1008"/>
  <c r="L443"/>
  <c r="L564"/>
  <c r="L793"/>
  <c r="L801"/>
  <c r="L817"/>
  <c r="L825"/>
  <c r="L833"/>
  <c r="L839"/>
  <c r="L847"/>
  <c r="L855"/>
  <c r="L859"/>
  <c r="L863"/>
  <c r="L867"/>
  <c r="L871"/>
  <c r="L875"/>
  <c r="L879"/>
  <c r="L883"/>
  <c r="L887"/>
  <c r="L891"/>
  <c r="L899"/>
  <c r="L907"/>
  <c r="L911"/>
  <c r="L915"/>
  <c r="L919"/>
  <c r="L927"/>
  <c r="L931"/>
  <c r="L935"/>
  <c r="L939"/>
  <c r="L943"/>
  <c r="L947"/>
  <c r="L951"/>
  <c r="L959"/>
  <c r="L963"/>
  <c r="L967"/>
  <c r="L971"/>
  <c r="L975"/>
  <c r="L979"/>
  <c r="L983"/>
  <c r="L987"/>
  <c r="L991"/>
  <c r="L995"/>
  <c r="L1003"/>
  <c r="L1007"/>
  <c r="L1006"/>
  <c r="L918"/>
  <c r="L926"/>
  <c r="L934"/>
  <c r="L942"/>
  <c r="L950"/>
  <c r="L958"/>
  <c r="L966"/>
  <c r="L974"/>
  <c r="L982"/>
  <c r="L990"/>
  <c r="L998"/>
  <c r="L1004"/>
  <c r="L851"/>
  <c r="L809"/>
  <c r="L843"/>
  <c r="L903"/>
  <c r="L999"/>
  <c r="L895"/>
  <c r="L923"/>
  <c r="L955"/>
  <c r="A59" i="35"/>
  <c r="A80" i="41"/>
  <c r="A63" i="35"/>
  <c r="A85" i="41"/>
  <c r="BY16" i="21"/>
  <c r="BW16"/>
  <c r="BZ16"/>
  <c r="BX16"/>
  <c r="BV16"/>
  <c r="BP16"/>
  <c r="M16"/>
  <c r="BL16"/>
  <c r="BT16"/>
  <c r="BR16"/>
  <c r="BN16"/>
  <c r="BJ16"/>
  <c r="BH16"/>
  <c r="BU16"/>
  <c r="BS16"/>
  <c r="BQ16"/>
  <c r="BO16"/>
  <c r="BM16"/>
  <c r="BK16"/>
  <c r="BI16"/>
  <c r="BG16"/>
  <c r="K71" i="32"/>
  <c r="O71" s="1"/>
  <c r="A64" i="33"/>
  <c r="K72" i="32"/>
  <c r="A69" i="33"/>
  <c r="AY23" i="23"/>
  <c r="C23"/>
  <c r="AY21"/>
  <c r="J21"/>
  <c r="N21"/>
  <c r="R21"/>
  <c r="V21"/>
  <c r="Z21"/>
  <c r="AD21"/>
  <c r="AH21"/>
  <c r="AL21"/>
  <c r="AP21"/>
  <c r="AT21"/>
  <c r="AX21"/>
  <c r="K21"/>
  <c r="O21"/>
  <c r="S21"/>
  <c r="W21"/>
  <c r="AA21"/>
  <c r="AE21"/>
  <c r="AI21"/>
  <c r="AM21"/>
  <c r="AQ21"/>
  <c r="AU21"/>
  <c r="H21"/>
  <c r="L21"/>
  <c r="P21"/>
  <c r="T21"/>
  <c r="X21"/>
  <c r="AB21"/>
  <c r="AF21"/>
  <c r="AJ21"/>
  <c r="AN21"/>
  <c r="AR21"/>
  <c r="AV21"/>
  <c r="AZ21"/>
  <c r="I21"/>
  <c r="M21"/>
  <c r="Q21"/>
  <c r="U21"/>
  <c r="Y21"/>
  <c r="AC21"/>
  <c r="AG21"/>
  <c r="AK21"/>
  <c r="AO21"/>
  <c r="AS21"/>
  <c r="AW21"/>
  <c r="AW33"/>
  <c r="AS33"/>
  <c r="AO33"/>
  <c r="AK33"/>
  <c r="AG33"/>
  <c r="AC33"/>
  <c r="Y33"/>
  <c r="U33"/>
  <c r="Q33"/>
  <c r="M33"/>
  <c r="I33"/>
  <c r="AX33"/>
  <c r="AT33"/>
  <c r="AP33"/>
  <c r="AL33"/>
  <c r="AH33"/>
  <c r="AD33"/>
  <c r="Z33"/>
  <c r="V33"/>
  <c r="R33"/>
  <c r="N33"/>
  <c r="J33"/>
  <c r="AY33"/>
  <c r="AU33"/>
  <c r="AQ33"/>
  <c r="AM33"/>
  <c r="AI33"/>
  <c r="AE33"/>
  <c r="AA33"/>
  <c r="W33"/>
  <c r="S33"/>
  <c r="O33"/>
  <c r="K33"/>
  <c r="AZ33"/>
  <c r="AV33"/>
  <c r="AR33"/>
  <c r="AN33"/>
  <c r="AJ33"/>
  <c r="AF33"/>
  <c r="AB33"/>
  <c r="X33"/>
  <c r="T33"/>
  <c r="P33"/>
  <c r="L33"/>
  <c r="H33"/>
  <c r="AY25"/>
  <c r="AU25"/>
  <c r="AQ25"/>
  <c r="AM25"/>
  <c r="AI25"/>
  <c r="AE25"/>
  <c r="AA25"/>
  <c r="W25"/>
  <c r="S25"/>
  <c r="O25"/>
  <c r="K25"/>
  <c r="AZ25"/>
  <c r="AV25"/>
  <c r="AR25"/>
  <c r="AN25"/>
  <c r="AJ25"/>
  <c r="AF25"/>
  <c r="AB25"/>
  <c r="X25"/>
  <c r="T25"/>
  <c r="P25"/>
  <c r="L25"/>
  <c r="H25"/>
  <c r="AW25"/>
  <c r="AS25"/>
  <c r="AO25"/>
  <c r="AK25"/>
  <c r="AG25"/>
  <c r="AC25"/>
  <c r="Y25"/>
  <c r="U25"/>
  <c r="Q25"/>
  <c r="M25"/>
  <c r="I25"/>
  <c r="AX25"/>
  <c r="AT25"/>
  <c r="AP25"/>
  <c r="AL25"/>
  <c r="AH25"/>
  <c r="AD25"/>
  <c r="Z25"/>
  <c r="V25"/>
  <c r="R25"/>
  <c r="N25"/>
  <c r="J25"/>
  <c r="AZ34"/>
  <c r="AV34"/>
  <c r="AR34"/>
  <c r="AN34"/>
  <c r="AJ34"/>
  <c r="AF34"/>
  <c r="AB34"/>
  <c r="X34"/>
  <c r="T34"/>
  <c r="P34"/>
  <c r="L34"/>
  <c r="H34"/>
  <c r="AW34"/>
  <c r="AS34"/>
  <c r="AO34"/>
  <c r="AK34"/>
  <c r="AG34"/>
  <c r="AC34"/>
  <c r="Y34"/>
  <c r="U34"/>
  <c r="Q34"/>
  <c r="M34"/>
  <c r="I34"/>
  <c r="AX34"/>
  <c r="AT34"/>
  <c r="AP34"/>
  <c r="AL34"/>
  <c r="AH34"/>
  <c r="AD34"/>
  <c r="Z34"/>
  <c r="V34"/>
  <c r="R34"/>
  <c r="N34"/>
  <c r="J34"/>
  <c r="AY34"/>
  <c r="AU34"/>
  <c r="AQ34"/>
  <c r="AM34"/>
  <c r="AI34"/>
  <c r="AE34"/>
  <c r="AA34"/>
  <c r="W34"/>
  <c r="S34"/>
  <c r="O34"/>
  <c r="K34"/>
  <c r="AY31"/>
  <c r="AU31"/>
  <c r="AQ31"/>
  <c r="AM31"/>
  <c r="AI31"/>
  <c r="AE31"/>
  <c r="AA31"/>
  <c r="W31"/>
  <c r="S31"/>
  <c r="O31"/>
  <c r="K31"/>
  <c r="AZ31"/>
  <c r="AV31"/>
  <c r="AR31"/>
  <c r="AN31"/>
  <c r="AJ31"/>
  <c r="AF31"/>
  <c r="AB31"/>
  <c r="X31"/>
  <c r="T31"/>
  <c r="P31"/>
  <c r="L31"/>
  <c r="H31"/>
  <c r="AW31"/>
  <c r="AS31"/>
  <c r="AO31"/>
  <c r="AK31"/>
  <c r="AG31"/>
  <c r="AC31"/>
  <c r="Y31"/>
  <c r="U31"/>
  <c r="Q31"/>
  <c r="M31"/>
  <c r="I31"/>
  <c r="AX31"/>
  <c r="AT31"/>
  <c r="AP31"/>
  <c r="AL31"/>
  <c r="AH31"/>
  <c r="AD31"/>
  <c r="Z31"/>
  <c r="V31"/>
  <c r="R31"/>
  <c r="N31"/>
  <c r="J31"/>
  <c r="AY35"/>
  <c r="AU35"/>
  <c r="AQ35"/>
  <c r="AM35"/>
  <c r="AI35"/>
  <c r="AE35"/>
  <c r="AA35"/>
  <c r="W35"/>
  <c r="S35"/>
  <c r="O35"/>
  <c r="K35"/>
  <c r="AZ35"/>
  <c r="AV35"/>
  <c r="AR35"/>
  <c r="AN35"/>
  <c r="AJ35"/>
  <c r="AF35"/>
  <c r="AB35"/>
  <c r="X35"/>
  <c r="T35"/>
  <c r="P35"/>
  <c r="L35"/>
  <c r="H35"/>
  <c r="AW35"/>
  <c r="AS35"/>
  <c r="AO35"/>
  <c r="AK35"/>
  <c r="AG35"/>
  <c r="AC35"/>
  <c r="Y35"/>
  <c r="U35"/>
  <c r="Q35"/>
  <c r="M35"/>
  <c r="I35"/>
  <c r="AX35"/>
  <c r="AT35"/>
  <c r="AP35"/>
  <c r="AL35"/>
  <c r="AH35"/>
  <c r="AD35"/>
  <c r="Z35"/>
  <c r="V35"/>
  <c r="R35"/>
  <c r="N35"/>
  <c r="J35"/>
  <c r="AX32"/>
  <c r="AT32"/>
  <c r="AP32"/>
  <c r="AL32"/>
  <c r="AH32"/>
  <c r="AD32"/>
  <c r="Z32"/>
  <c r="V32"/>
  <c r="R32"/>
  <c r="N32"/>
  <c r="J32"/>
  <c r="AY32"/>
  <c r="AU32"/>
  <c r="AQ32"/>
  <c r="AM32"/>
  <c r="AI32"/>
  <c r="AE32"/>
  <c r="AA32"/>
  <c r="W32"/>
  <c r="S32"/>
  <c r="O32"/>
  <c r="K32"/>
  <c r="AZ32"/>
  <c r="AV32"/>
  <c r="AR32"/>
  <c r="AN32"/>
  <c r="AJ32"/>
  <c r="AF32"/>
  <c r="AB32"/>
  <c r="X32"/>
  <c r="T32"/>
  <c r="P32"/>
  <c r="L32"/>
  <c r="H32"/>
  <c r="AW32"/>
  <c r="AS32"/>
  <c r="AO32"/>
  <c r="AK32"/>
  <c r="AG32"/>
  <c r="AC32"/>
  <c r="Y32"/>
  <c r="U32"/>
  <c r="Q32"/>
  <c r="M32"/>
  <c r="I32"/>
  <c r="AZ30"/>
  <c r="AV30"/>
  <c r="AR30"/>
  <c r="AN30"/>
  <c r="AJ30"/>
  <c r="AF30"/>
  <c r="AB30"/>
  <c r="X30"/>
  <c r="T30"/>
  <c r="P30"/>
  <c r="L30"/>
  <c r="H30"/>
  <c r="AW30"/>
  <c r="AS30"/>
  <c r="AO30"/>
  <c r="AK30"/>
  <c r="AG30"/>
  <c r="AC30"/>
  <c r="Y30"/>
  <c r="U30"/>
  <c r="Q30"/>
  <c r="M30"/>
  <c r="I30"/>
  <c r="AX30"/>
  <c r="AT30"/>
  <c r="AP30"/>
  <c r="AL30"/>
  <c r="AH30"/>
  <c r="AD30"/>
  <c r="Z30"/>
  <c r="V30"/>
  <c r="R30"/>
  <c r="N30"/>
  <c r="J30"/>
  <c r="AY30"/>
  <c r="AU30"/>
  <c r="AQ30"/>
  <c r="AM30"/>
  <c r="AI30"/>
  <c r="AE30"/>
  <c r="AA30"/>
  <c r="W30"/>
  <c r="S30"/>
  <c r="O30"/>
  <c r="K30"/>
  <c r="AZ16"/>
  <c r="Y16"/>
  <c r="AC16"/>
  <c r="AG16"/>
  <c r="AK16"/>
  <c r="AO16"/>
  <c r="AS16"/>
  <c r="AW16"/>
  <c r="X16"/>
  <c r="AB16"/>
  <c r="AF16"/>
  <c r="AJ16"/>
  <c r="AN16"/>
  <c r="AR16"/>
  <c r="AV16"/>
  <c r="R16"/>
  <c r="N16"/>
  <c r="J16"/>
  <c r="U16"/>
  <c r="Q16"/>
  <c r="M16"/>
  <c r="I16"/>
  <c r="W16"/>
  <c r="AA16"/>
  <c r="AE16"/>
  <c r="AI16"/>
  <c r="AM16"/>
  <c r="AQ16"/>
  <c r="AU16"/>
  <c r="AY16"/>
  <c r="V16"/>
  <c r="Z16"/>
  <c r="AD16"/>
  <c r="AH16"/>
  <c r="AL16"/>
  <c r="AP16"/>
  <c r="AT16"/>
  <c r="AX16"/>
  <c r="T16"/>
  <c r="P16"/>
  <c r="L16"/>
  <c r="H16"/>
  <c r="S16"/>
  <c r="O16"/>
  <c r="K16"/>
  <c r="K16" i="21"/>
  <c r="BF16"/>
  <c r="I16"/>
  <c r="A103" i="29"/>
  <c r="A103" i="27"/>
  <c r="A63" i="25"/>
  <c r="A129" i="29"/>
  <c r="A129" i="27"/>
  <c r="A93" i="29"/>
  <c r="A93" i="27"/>
  <c r="A59" i="25"/>
  <c r="A124" i="29"/>
  <c r="A124" i="27"/>
  <c r="C10" i="22"/>
  <c r="B8" i="23" s="1"/>
  <c r="A98" i="29"/>
  <c r="A98" i="27"/>
  <c r="A61" i="25"/>
  <c r="A108" i="29"/>
  <c r="A108" i="27"/>
  <c r="A65" i="25"/>
  <c r="A114" i="29"/>
  <c r="A114" i="27"/>
  <c r="A84" i="29"/>
  <c r="A84" i="27"/>
  <c r="A56" i="25"/>
  <c r="A89" i="29"/>
  <c r="A89" i="27"/>
  <c r="A58" i="25"/>
  <c r="A119" i="29"/>
  <c r="A119" i="27"/>
  <c r="R23" i="23"/>
  <c r="AX23"/>
  <c r="AH23"/>
  <c r="U23"/>
  <c r="J23"/>
  <c r="Z23"/>
  <c r="AP23"/>
  <c r="M23"/>
  <c r="AC23"/>
  <c r="AS23"/>
  <c r="N23"/>
  <c r="V23"/>
  <c r="AD23"/>
  <c r="AL23"/>
  <c r="AT23"/>
  <c r="I23"/>
  <c r="Q23"/>
  <c r="Y23"/>
  <c r="AG23"/>
  <c r="AO23"/>
  <c r="AW23"/>
  <c r="H23"/>
  <c r="L23"/>
  <c r="P23"/>
  <c r="T23"/>
  <c r="X23"/>
  <c r="AB23"/>
  <c r="AF23"/>
  <c r="AJ23"/>
  <c r="AN23"/>
  <c r="AR23"/>
  <c r="AV23"/>
  <c r="AZ23"/>
  <c r="K23"/>
  <c r="O23"/>
  <c r="S23"/>
  <c r="W23"/>
  <c r="AA23"/>
  <c r="AE23"/>
  <c r="AI23"/>
  <c r="AM23"/>
  <c r="AQ23"/>
  <c r="AU23"/>
  <c r="AW29"/>
  <c r="AS29"/>
  <c r="AO29"/>
  <c r="AK29"/>
  <c r="AG29"/>
  <c r="AC29"/>
  <c r="Y29"/>
  <c r="U29"/>
  <c r="Q29"/>
  <c r="M29"/>
  <c r="I29"/>
  <c r="AX29"/>
  <c r="AT29"/>
  <c r="AP29"/>
  <c r="AL29"/>
  <c r="AH29"/>
  <c r="AD29"/>
  <c r="Z29"/>
  <c r="V29"/>
  <c r="R29"/>
  <c r="N29"/>
  <c r="J29"/>
  <c r="AY29"/>
  <c r="AU29"/>
  <c r="AQ29"/>
  <c r="AM29"/>
  <c r="AI29"/>
  <c r="AE29"/>
  <c r="AA29"/>
  <c r="W29"/>
  <c r="S29"/>
  <c r="O29"/>
  <c r="K29"/>
  <c r="AZ29"/>
  <c r="AV29"/>
  <c r="AR29"/>
  <c r="AN29"/>
  <c r="AJ29"/>
  <c r="AF29"/>
  <c r="AB29"/>
  <c r="X29"/>
  <c r="T29"/>
  <c r="P29"/>
  <c r="L29"/>
  <c r="H29"/>
  <c r="AO53" i="13"/>
  <c r="C17" i="17"/>
  <c r="H17" s="1"/>
  <c r="AZ9" i="13"/>
  <c r="AO56"/>
  <c r="C20" i="17"/>
  <c r="H20" s="1"/>
  <c r="AO55" i="13"/>
  <c r="C19" i="17"/>
  <c r="H19" s="1"/>
  <c r="D35"/>
  <c r="D6" i="18"/>
  <c r="D37" i="17"/>
  <c r="D8" i="18"/>
  <c r="AO54" i="13"/>
  <c r="C18" i="17"/>
  <c r="H18" s="1"/>
  <c r="D46"/>
  <c r="D17" i="18"/>
  <c r="D38" i="17"/>
  <c r="D9" i="18"/>
  <c r="D42" i="17"/>
  <c r="D13" i="18"/>
  <c r="C49" i="17"/>
  <c r="C20" i="18"/>
  <c r="C50" i="17"/>
  <c r="C21" i="18"/>
  <c r="C52" i="17"/>
  <c r="C23" i="18"/>
  <c r="C54" i="17"/>
  <c r="C25" i="18"/>
  <c r="E39" i="17"/>
  <c r="E10" i="18"/>
  <c r="D40" i="17"/>
  <c r="D11" i="18"/>
  <c r="E49" i="17"/>
  <c r="E20" i="18"/>
  <c r="D39" i="17"/>
  <c r="D10" i="18"/>
  <c r="D43" i="17"/>
  <c r="D14" i="18"/>
  <c r="AO57" i="13"/>
  <c r="C21" i="17"/>
  <c r="H21" s="1"/>
  <c r="AO52" i="13"/>
  <c r="C16" i="17"/>
  <c r="H16" s="1"/>
  <c r="C51"/>
  <c r="C22" i="18"/>
  <c r="C53" i="17"/>
  <c r="C24" i="18"/>
  <c r="AY17" i="23"/>
  <c r="AW17"/>
  <c r="AU17"/>
  <c r="AS17"/>
  <c r="AQ17"/>
  <c r="AO17"/>
  <c r="AM17"/>
  <c r="AK17"/>
  <c r="AI17"/>
  <c r="AG17"/>
  <c r="AE17"/>
  <c r="AC17"/>
  <c r="AA17"/>
  <c r="Y17"/>
  <c r="W17"/>
  <c r="U17"/>
  <c r="S17"/>
  <c r="Q17"/>
  <c r="O17"/>
  <c r="M17"/>
  <c r="K17"/>
  <c r="I17"/>
  <c r="AZ17"/>
  <c r="AX17"/>
  <c r="AV17"/>
  <c r="AT17"/>
  <c r="AR17"/>
  <c r="AP17"/>
  <c r="AN17"/>
  <c r="AL17"/>
  <c r="AJ17"/>
  <c r="AH17"/>
  <c r="AF17"/>
  <c r="AD17"/>
  <c r="AB17"/>
  <c r="Z17"/>
  <c r="X17"/>
  <c r="V17"/>
  <c r="T17"/>
  <c r="R17"/>
  <c r="P17"/>
  <c r="N17"/>
  <c r="L17"/>
  <c r="J17"/>
  <c r="H17"/>
  <c r="AZ22"/>
  <c r="AX22"/>
  <c r="AV22"/>
  <c r="AT22"/>
  <c r="AR22"/>
  <c r="AP22"/>
  <c r="AN22"/>
  <c r="AL22"/>
  <c r="AJ22"/>
  <c r="AH22"/>
  <c r="AF22"/>
  <c r="AD22"/>
  <c r="AB22"/>
  <c r="Z22"/>
  <c r="X22"/>
  <c r="V22"/>
  <c r="T22"/>
  <c r="R22"/>
  <c r="P22"/>
  <c r="N22"/>
  <c r="L22"/>
  <c r="J22"/>
  <c r="H22"/>
  <c r="AY22"/>
  <c r="AW22"/>
  <c r="AU22"/>
  <c r="AS22"/>
  <c r="AQ22"/>
  <c r="AO22"/>
  <c r="AM22"/>
  <c r="AK22"/>
  <c r="AI22"/>
  <c r="AG22"/>
  <c r="AE22"/>
  <c r="AC22"/>
  <c r="AA22"/>
  <c r="Y22"/>
  <c r="W22"/>
  <c r="U22"/>
  <c r="S22"/>
  <c r="Q22"/>
  <c r="O22"/>
  <c r="M22"/>
  <c r="K22"/>
  <c r="I22"/>
  <c r="AY19"/>
  <c r="AW19"/>
  <c r="AU19"/>
  <c r="AS19"/>
  <c r="AQ19"/>
  <c r="AO19"/>
  <c r="AM19"/>
  <c r="AK19"/>
  <c r="AI19"/>
  <c r="AG19"/>
  <c r="AE19"/>
  <c r="AC19"/>
  <c r="AA19"/>
  <c r="Y19"/>
  <c r="W19"/>
  <c r="U19"/>
  <c r="S19"/>
  <c r="Q19"/>
  <c r="O19"/>
  <c r="M19"/>
  <c r="K19"/>
  <c r="I19"/>
  <c r="AZ19"/>
  <c r="AX19"/>
  <c r="AV19"/>
  <c r="AT19"/>
  <c r="AR19"/>
  <c r="AP19"/>
  <c r="AN19"/>
  <c r="AL19"/>
  <c r="AJ19"/>
  <c r="AH19"/>
  <c r="AF19"/>
  <c r="AD19"/>
  <c r="AB19"/>
  <c r="Z19"/>
  <c r="X19"/>
  <c r="V19"/>
  <c r="T19"/>
  <c r="R19"/>
  <c r="P19"/>
  <c r="N19"/>
  <c r="L19"/>
  <c r="J19"/>
  <c r="H19"/>
  <c r="AZ24"/>
  <c r="AX24"/>
  <c r="AV24"/>
  <c r="AT24"/>
  <c r="AR24"/>
  <c r="AP24"/>
  <c r="AN24"/>
  <c r="AL24"/>
  <c r="AJ24"/>
  <c r="AY24"/>
  <c r="AW24"/>
  <c r="AU24"/>
  <c r="AS24"/>
  <c r="AQ24"/>
  <c r="AO24"/>
  <c r="AM24"/>
  <c r="AK24"/>
  <c r="AH24"/>
  <c r="AF24"/>
  <c r="AD24"/>
  <c r="AB24"/>
  <c r="Z24"/>
  <c r="X24"/>
  <c r="V24"/>
  <c r="T24"/>
  <c r="R24"/>
  <c r="P24"/>
  <c r="N24"/>
  <c r="L24"/>
  <c r="J24"/>
  <c r="H24"/>
  <c r="AI24"/>
  <c r="AG24"/>
  <c r="AE24"/>
  <c r="AC24"/>
  <c r="AA24"/>
  <c r="Y24"/>
  <c r="W24"/>
  <c r="U24"/>
  <c r="S24"/>
  <c r="Q24"/>
  <c r="O24"/>
  <c r="M24"/>
  <c r="K24"/>
  <c r="I24"/>
  <c r="AZ26"/>
  <c r="AX26"/>
  <c r="AV26"/>
  <c r="AT26"/>
  <c r="AR26"/>
  <c r="AP26"/>
  <c r="AN26"/>
  <c r="AL26"/>
  <c r="AJ26"/>
  <c r="AH26"/>
  <c r="AF26"/>
  <c r="AD26"/>
  <c r="AB26"/>
  <c r="Z26"/>
  <c r="X26"/>
  <c r="V26"/>
  <c r="T26"/>
  <c r="R26"/>
  <c r="P26"/>
  <c r="N26"/>
  <c r="L26"/>
  <c r="J26"/>
  <c r="H26"/>
  <c r="AY26"/>
  <c r="AW26"/>
  <c r="AU26"/>
  <c r="AS26"/>
  <c r="AQ26"/>
  <c r="AO26"/>
  <c r="AM26"/>
  <c r="AK26"/>
  <c r="AI26"/>
  <c r="AG26"/>
  <c r="AE26"/>
  <c r="AC26"/>
  <c r="AA26"/>
  <c r="Y26"/>
  <c r="W26"/>
  <c r="U26"/>
  <c r="S26"/>
  <c r="Q26"/>
  <c r="O26"/>
  <c r="M26"/>
  <c r="K26"/>
  <c r="I26"/>
  <c r="AZ18"/>
  <c r="AX18"/>
  <c r="AV18"/>
  <c r="AT18"/>
  <c r="AR18"/>
  <c r="AP18"/>
  <c r="AN18"/>
  <c r="AL18"/>
  <c r="AJ18"/>
  <c r="AH18"/>
  <c r="AF18"/>
  <c r="AD18"/>
  <c r="AB18"/>
  <c r="Z18"/>
  <c r="X18"/>
  <c r="V18"/>
  <c r="T18"/>
  <c r="R18"/>
  <c r="P18"/>
  <c r="N18"/>
  <c r="L18"/>
  <c r="J18"/>
  <c r="H18"/>
  <c r="AY18"/>
  <c r="AW18"/>
  <c r="AU18"/>
  <c r="AS18"/>
  <c r="AQ18"/>
  <c r="AO18"/>
  <c r="AM18"/>
  <c r="AK18"/>
  <c r="AI18"/>
  <c r="AG18"/>
  <c r="AE18"/>
  <c r="AC18"/>
  <c r="AA18"/>
  <c r="Y18"/>
  <c r="W18"/>
  <c r="U18"/>
  <c r="S18"/>
  <c r="Q18"/>
  <c r="O18"/>
  <c r="M18"/>
  <c r="K18"/>
  <c r="I18"/>
  <c r="AY27"/>
  <c r="AW27"/>
  <c r="AU27"/>
  <c r="AS27"/>
  <c r="AQ27"/>
  <c r="AO27"/>
  <c r="AM27"/>
  <c r="AK27"/>
  <c r="AI27"/>
  <c r="AG27"/>
  <c r="AE27"/>
  <c r="AC27"/>
  <c r="AA27"/>
  <c r="Y27"/>
  <c r="W27"/>
  <c r="U27"/>
  <c r="S27"/>
  <c r="Q27"/>
  <c r="O27"/>
  <c r="M27"/>
  <c r="K27"/>
  <c r="I27"/>
  <c r="AZ27"/>
  <c r="AX27"/>
  <c r="AV27"/>
  <c r="AT27"/>
  <c r="AR27"/>
  <c r="AP27"/>
  <c r="AN27"/>
  <c r="AL27"/>
  <c r="AJ27"/>
  <c r="AH27"/>
  <c r="AF27"/>
  <c r="AD27"/>
  <c r="AB27"/>
  <c r="Z27"/>
  <c r="X27"/>
  <c r="V27"/>
  <c r="T27"/>
  <c r="R27"/>
  <c r="P27"/>
  <c r="N27"/>
  <c r="L27"/>
  <c r="J27"/>
  <c r="H27"/>
  <c r="AZ28"/>
  <c r="AX28"/>
  <c r="AV28"/>
  <c r="AT28"/>
  <c r="AR28"/>
  <c r="AP28"/>
  <c r="AN28"/>
  <c r="AL28"/>
  <c r="AJ28"/>
  <c r="AH28"/>
  <c r="AF28"/>
  <c r="AD28"/>
  <c r="AB28"/>
  <c r="Z28"/>
  <c r="X28"/>
  <c r="V28"/>
  <c r="T28"/>
  <c r="R28"/>
  <c r="P28"/>
  <c r="N28"/>
  <c r="L28"/>
  <c r="J28"/>
  <c r="H28"/>
  <c r="AY28"/>
  <c r="AW28"/>
  <c r="AU28"/>
  <c r="AS28"/>
  <c r="AQ28"/>
  <c r="AO28"/>
  <c r="AM28"/>
  <c r="AK28"/>
  <c r="AI28"/>
  <c r="AG28"/>
  <c r="AE28"/>
  <c r="AC28"/>
  <c r="AA28"/>
  <c r="Y28"/>
  <c r="W28"/>
  <c r="U28"/>
  <c r="S28"/>
  <c r="Q28"/>
  <c r="O28"/>
  <c r="M28"/>
  <c r="K28"/>
  <c r="I28"/>
  <c r="AZ20"/>
  <c r="AX20"/>
  <c r="AV20"/>
  <c r="AT20"/>
  <c r="AR20"/>
  <c r="AP20"/>
  <c r="AN20"/>
  <c r="AL20"/>
  <c r="AJ20"/>
  <c r="AH20"/>
  <c r="AF20"/>
  <c r="AD20"/>
  <c r="AB20"/>
  <c r="Z20"/>
  <c r="X20"/>
  <c r="V20"/>
  <c r="T20"/>
  <c r="R20"/>
  <c r="P20"/>
  <c r="N20"/>
  <c r="L20"/>
  <c r="J20"/>
  <c r="H20"/>
  <c r="AY20"/>
  <c r="AW20"/>
  <c r="AU20"/>
  <c r="AS20"/>
  <c r="AQ20"/>
  <c r="AO20"/>
  <c r="AM20"/>
  <c r="AK20"/>
  <c r="AI20"/>
  <c r="AG20"/>
  <c r="AE20"/>
  <c r="AC20"/>
  <c r="AA20"/>
  <c r="Y20"/>
  <c r="W20"/>
  <c r="U20"/>
  <c r="S20"/>
  <c r="Q20"/>
  <c r="O20"/>
  <c r="M20"/>
  <c r="K20"/>
  <c r="I20"/>
  <c r="BE16" i="21"/>
  <c r="BD16"/>
  <c r="BB16"/>
  <c r="AZ16"/>
  <c r="AX16"/>
  <c r="AV16"/>
  <c r="AT16"/>
  <c r="AR16"/>
  <c r="AP16"/>
  <c r="AN16"/>
  <c r="AL16"/>
  <c r="AJ16"/>
  <c r="AH16"/>
  <c r="AF16"/>
  <c r="AD16"/>
  <c r="AB16"/>
  <c r="Z16"/>
  <c r="X16"/>
  <c r="V16"/>
  <c r="T16"/>
  <c r="R16"/>
  <c r="P16"/>
  <c r="N16"/>
  <c r="L16"/>
  <c r="J16"/>
  <c r="BC16"/>
  <c r="BA16"/>
  <c r="AY16"/>
  <c r="AW16"/>
  <c r="AU16"/>
  <c r="AS16"/>
  <c r="AQ16"/>
  <c r="AO16"/>
  <c r="AM16"/>
  <c r="AK16"/>
  <c r="AI16"/>
  <c r="AG16"/>
  <c r="AE16"/>
  <c r="AC16"/>
  <c r="AA16"/>
  <c r="Y16"/>
  <c r="W16"/>
  <c r="U16"/>
  <c r="S16"/>
  <c r="Q16"/>
  <c r="O16"/>
  <c r="CA13"/>
  <c r="H10"/>
  <c r="H12" s="1"/>
  <c r="H11"/>
  <c r="F10" i="22"/>
  <c r="AK32" i="13"/>
  <c r="AL47"/>
  <c r="BB47" s="1"/>
  <c r="AV46"/>
  <c r="AV47"/>
  <c r="AV48"/>
  <c r="AV49"/>
  <c r="AL51"/>
  <c r="BB51" s="1"/>
  <c r="AL44"/>
  <c r="BB44" s="1"/>
  <c r="AL48"/>
  <c r="BB48" s="1"/>
  <c r="AL50"/>
  <c r="BB50" s="1"/>
  <c r="AL49"/>
  <c r="BB49" s="1"/>
  <c r="AL46"/>
  <c r="BB46" s="1"/>
  <c r="AL45"/>
  <c r="BB45" s="1"/>
  <c r="H6"/>
  <c r="G7"/>
  <c r="H7"/>
  <c r="G6"/>
  <c r="F7"/>
  <c r="F6"/>
  <c r="A108" i="45" l="1"/>
  <c r="A98"/>
  <c r="A103"/>
  <c r="A93"/>
  <c r="BG13" i="21"/>
  <c r="K11"/>
  <c r="K10"/>
  <c r="L11"/>
  <c r="L10"/>
  <c r="BT11"/>
  <c r="N19" i="18" s="1"/>
  <c r="L339" i="13"/>
  <c r="L323"/>
  <c r="L307"/>
  <c r="L291"/>
  <c r="L275"/>
  <c r="L259"/>
  <c r="L243"/>
  <c r="L227"/>
  <c r="L211"/>
  <c r="L205"/>
  <c r="L422"/>
  <c r="L414"/>
  <c r="L406"/>
  <c r="L398"/>
  <c r="L383"/>
  <c r="L367"/>
  <c r="L351"/>
  <c r="L49"/>
  <c r="L25"/>
  <c r="L20"/>
  <c r="L12"/>
  <c r="L39"/>
  <c r="L541"/>
  <c r="L549"/>
  <c r="L557"/>
  <c r="L565"/>
  <c r="L573"/>
  <c r="L100"/>
  <c r="L104"/>
  <c r="L108"/>
  <c r="L112"/>
  <c r="L116"/>
  <c r="L120"/>
  <c r="L124"/>
  <c r="L128"/>
  <c r="L132"/>
  <c r="L38"/>
  <c r="L22"/>
  <c r="L30"/>
  <c r="L53"/>
  <c r="L61"/>
  <c r="L69"/>
  <c r="L77"/>
  <c r="L102"/>
  <c r="L106"/>
  <c r="L110"/>
  <c r="L114"/>
  <c r="L118"/>
  <c r="L122"/>
  <c r="L126"/>
  <c r="L130"/>
  <c r="L29"/>
  <c r="L46"/>
  <c r="L202"/>
  <c r="L210"/>
  <c r="L218"/>
  <c r="L226"/>
  <c r="L234"/>
  <c r="L242"/>
  <c r="L250"/>
  <c r="L258"/>
  <c r="L266"/>
  <c r="L274"/>
  <c r="L282"/>
  <c r="L290"/>
  <c r="L298"/>
  <c r="L306"/>
  <c r="L314"/>
  <c r="L322"/>
  <c r="L333"/>
  <c r="L338"/>
  <c r="L315"/>
  <c r="L299"/>
  <c r="L283"/>
  <c r="L267"/>
  <c r="L251"/>
  <c r="L235"/>
  <c r="L219"/>
  <c r="L203"/>
  <c r="L321"/>
  <c r="L447"/>
  <c r="L474"/>
  <c r="L490"/>
  <c r="L506"/>
  <c r="L522"/>
  <c r="L538"/>
  <c r="L554"/>
  <c r="L570"/>
  <c r="L209"/>
  <c r="L346"/>
  <c r="L386"/>
  <c r="L441"/>
  <c r="L457"/>
  <c r="L473"/>
  <c r="L481"/>
  <c r="L489"/>
  <c r="L497"/>
  <c r="L505"/>
  <c r="L513"/>
  <c r="L521"/>
  <c r="L529"/>
  <c r="L537"/>
  <c r="L545"/>
  <c r="L553"/>
  <c r="L561"/>
  <c r="L569"/>
  <c r="L285"/>
  <c r="L374"/>
  <c r="L426"/>
  <c r="L452"/>
  <c r="L384"/>
  <c r="L217"/>
  <c r="L327"/>
  <c r="L11"/>
  <c r="L24"/>
  <c r="L16"/>
  <c r="L43"/>
  <c r="L27"/>
  <c r="L169"/>
  <c r="L82"/>
  <c r="L98"/>
  <c r="L220"/>
  <c r="L154"/>
  <c r="L84"/>
  <c r="L144"/>
  <c r="L284"/>
  <c r="L252"/>
  <c r="L316"/>
  <c r="L236"/>
  <c r="L268"/>
  <c r="L300"/>
  <c r="L334"/>
  <c r="L10"/>
  <c r="L228"/>
  <c r="L244"/>
  <c r="L260"/>
  <c r="L276"/>
  <c r="L292"/>
  <c r="L308"/>
  <c r="L324"/>
  <c r="L363"/>
  <c r="L216"/>
  <c r="L224"/>
  <c r="L232"/>
  <c r="L240"/>
  <c r="L248"/>
  <c r="L256"/>
  <c r="L264"/>
  <c r="L272"/>
  <c r="L280"/>
  <c r="L288"/>
  <c r="L296"/>
  <c r="L304"/>
  <c r="L312"/>
  <c r="L320"/>
  <c r="L326"/>
  <c r="L80"/>
  <c r="L137"/>
  <c r="L28"/>
  <c r="L40"/>
  <c r="L186"/>
  <c r="L539"/>
  <c r="L75"/>
  <c r="L64"/>
  <c r="L546"/>
  <c r="L145"/>
  <c r="L330"/>
  <c r="L170"/>
  <c r="L716"/>
  <c r="L571"/>
  <c r="L59"/>
  <c r="L200"/>
  <c r="L72"/>
  <c r="L56"/>
  <c r="L796"/>
  <c r="L477"/>
  <c r="L149"/>
  <c r="L141"/>
  <c r="L133"/>
  <c r="L194"/>
  <c r="L178"/>
  <c r="L162"/>
  <c r="L93"/>
  <c r="L689"/>
  <c r="L555"/>
  <c r="L19"/>
  <c r="L52"/>
  <c r="L67"/>
  <c r="L42"/>
  <c r="L208"/>
  <c r="L76"/>
  <c r="L68"/>
  <c r="L60"/>
  <c r="L48"/>
  <c r="L15"/>
  <c r="L472"/>
  <c r="L370"/>
  <c r="L509"/>
  <c r="L654"/>
  <c r="L741"/>
  <c r="L531"/>
  <c r="L547"/>
  <c r="L563"/>
  <c r="L828"/>
  <c r="L482"/>
  <c r="L702"/>
  <c r="L640"/>
  <c r="L372"/>
  <c r="L669"/>
  <c r="L753"/>
  <c r="L680"/>
  <c r="L737"/>
  <c r="L265"/>
  <c r="L185"/>
  <c r="L153"/>
  <c r="L147"/>
  <c r="L143"/>
  <c r="L139"/>
  <c r="L135"/>
  <c r="L184"/>
  <c r="L329"/>
  <c r="L672"/>
  <c r="L608"/>
  <c r="L734"/>
  <c r="L633"/>
  <c r="L495"/>
  <c r="L454"/>
  <c r="L119"/>
  <c r="L408"/>
  <c r="L279"/>
  <c r="L328"/>
  <c r="L146"/>
  <c r="L85"/>
  <c r="L152"/>
  <c r="L331"/>
  <c r="L164"/>
  <c r="L172"/>
  <c r="L656"/>
  <c r="L624"/>
  <c r="L592"/>
  <c r="L605"/>
  <c r="L718"/>
  <c r="L665"/>
  <c r="L601"/>
  <c r="L704"/>
  <c r="L607"/>
  <c r="L395"/>
  <c r="L277"/>
  <c r="L425"/>
  <c r="L392"/>
  <c r="L103"/>
  <c r="L33"/>
  <c r="L50"/>
  <c r="L204"/>
  <c r="L212"/>
  <c r="L36"/>
  <c r="L637"/>
  <c r="L774"/>
  <c r="L699"/>
  <c r="L558"/>
  <c r="L193"/>
  <c r="L177"/>
  <c r="L161"/>
  <c r="L138"/>
  <c r="L90"/>
  <c r="L575"/>
  <c r="L168"/>
  <c r="L87"/>
  <c r="L196"/>
  <c r="L91"/>
  <c r="L188"/>
  <c r="L686"/>
  <c r="L664"/>
  <c r="L648"/>
  <c r="L632"/>
  <c r="L616"/>
  <c r="L600"/>
  <c r="L584"/>
  <c r="L653"/>
  <c r="L621"/>
  <c r="L589"/>
  <c r="L742"/>
  <c r="L726"/>
  <c r="L710"/>
  <c r="L683"/>
  <c r="L649"/>
  <c r="L617"/>
  <c r="L585"/>
  <c r="L591"/>
  <c r="L776"/>
  <c r="L731"/>
  <c r="L671"/>
  <c r="L494"/>
  <c r="L453"/>
  <c r="L527"/>
  <c r="L535"/>
  <c r="L543"/>
  <c r="L551"/>
  <c r="L559"/>
  <c r="L567"/>
  <c r="L213"/>
  <c r="L350"/>
  <c r="L394"/>
  <c r="L470"/>
  <c r="L435"/>
  <c r="L360"/>
  <c r="L14"/>
  <c r="L23"/>
  <c r="L32"/>
  <c r="L55"/>
  <c r="L63"/>
  <c r="L71"/>
  <c r="L79"/>
  <c r="L111"/>
  <c r="L127"/>
  <c r="L424"/>
  <c r="L393"/>
  <c r="L311"/>
  <c r="L247"/>
  <c r="L17"/>
  <c r="L579"/>
  <c r="L676"/>
  <c r="L661"/>
  <c r="L645"/>
  <c r="L629"/>
  <c r="L613"/>
  <c r="L597"/>
  <c r="L581"/>
  <c r="L590"/>
  <c r="L700"/>
  <c r="L739"/>
  <c r="L723"/>
  <c r="L646"/>
  <c r="L802"/>
  <c r="L459"/>
  <c r="L812"/>
  <c r="L536"/>
  <c r="L429"/>
  <c r="L514"/>
  <c r="L289"/>
  <c r="L449"/>
  <c r="L493"/>
  <c r="L525"/>
  <c r="L668"/>
  <c r="L660"/>
  <c r="L652"/>
  <c r="L644"/>
  <c r="L636"/>
  <c r="L628"/>
  <c r="L620"/>
  <c r="L612"/>
  <c r="L604"/>
  <c r="L596"/>
  <c r="L588"/>
  <c r="L692"/>
  <c r="L738"/>
  <c r="L730"/>
  <c r="L722"/>
  <c r="L714"/>
  <c r="L706"/>
  <c r="L698"/>
  <c r="L673"/>
  <c r="L657"/>
  <c r="L641"/>
  <c r="L625"/>
  <c r="L609"/>
  <c r="L593"/>
  <c r="L578"/>
  <c r="L614"/>
  <c r="L622"/>
  <c r="L732"/>
  <c r="L764"/>
  <c r="L772"/>
  <c r="L611"/>
  <c r="L757"/>
  <c r="L721"/>
  <c r="L437"/>
  <c r="L834"/>
  <c r="L548"/>
  <c r="L788"/>
  <c r="L804"/>
  <c r="L820"/>
  <c r="L568"/>
  <c r="L504"/>
  <c r="L362"/>
  <c r="L463"/>
  <c r="L498"/>
  <c r="L530"/>
  <c r="L562"/>
  <c r="L273"/>
  <c r="L419"/>
  <c r="L465"/>
  <c r="L485"/>
  <c r="L501"/>
  <c r="L517"/>
  <c r="L533"/>
  <c r="L758"/>
  <c r="L697"/>
  <c r="L720"/>
  <c r="L696"/>
  <c r="L627"/>
  <c r="L574"/>
  <c r="L512"/>
  <c r="L455"/>
  <c r="L526"/>
  <c r="L378"/>
  <c r="L479"/>
  <c r="L511"/>
  <c r="L197"/>
  <c r="L189"/>
  <c r="L181"/>
  <c r="L173"/>
  <c r="L165"/>
  <c r="L157"/>
  <c r="L142"/>
  <c r="L134"/>
  <c r="L94"/>
  <c r="L86"/>
  <c r="L192"/>
  <c r="L176"/>
  <c r="L160"/>
  <c r="L95"/>
  <c r="L180"/>
  <c r="L577"/>
  <c r="L156"/>
  <c r="L694"/>
  <c r="L678"/>
  <c r="L674"/>
  <c r="L666"/>
  <c r="L658"/>
  <c r="L650"/>
  <c r="L642"/>
  <c r="L634"/>
  <c r="L626"/>
  <c r="L618"/>
  <c r="L610"/>
  <c r="L602"/>
  <c r="L594"/>
  <c r="L586"/>
  <c r="L782"/>
  <c r="L766"/>
  <c r="L750"/>
  <c r="L729"/>
  <c r="L655"/>
  <c r="L784"/>
  <c r="L768"/>
  <c r="L728"/>
  <c r="L688"/>
  <c r="L659"/>
  <c r="L595"/>
  <c r="L576"/>
  <c r="L736"/>
  <c r="L712"/>
  <c r="L715"/>
  <c r="L749"/>
  <c r="L705"/>
  <c r="L765"/>
  <c r="L484"/>
  <c r="L544"/>
  <c r="L480"/>
  <c r="L411"/>
  <c r="L478"/>
  <c r="L510"/>
  <c r="L542"/>
  <c r="L305"/>
  <c r="L433"/>
  <c r="L469"/>
  <c r="L487"/>
  <c r="L503"/>
  <c r="L519"/>
  <c r="L245"/>
  <c r="L309"/>
  <c r="L361"/>
  <c r="L382"/>
  <c r="L409"/>
  <c r="L432"/>
  <c r="L462"/>
  <c r="L446"/>
  <c r="L423"/>
  <c r="L376"/>
  <c r="L344"/>
  <c r="L201"/>
  <c r="L99"/>
  <c r="L107"/>
  <c r="L115"/>
  <c r="L123"/>
  <c r="L131"/>
  <c r="L340"/>
  <c r="L416"/>
  <c r="L400"/>
  <c r="L379"/>
  <c r="L347"/>
  <c r="L295"/>
  <c r="L263"/>
  <c r="L231"/>
  <c r="L199"/>
  <c r="L78"/>
  <c r="L74"/>
  <c r="L70"/>
  <c r="L66"/>
  <c r="L62"/>
  <c r="L58"/>
  <c r="L54"/>
  <c r="L44"/>
  <c r="L41"/>
  <c r="L21"/>
  <c r="L257"/>
  <c r="L492"/>
  <c r="L792"/>
  <c r="L800"/>
  <c r="L808"/>
  <c r="L816"/>
  <c r="L824"/>
  <c r="L832"/>
  <c r="L552"/>
  <c r="L520"/>
  <c r="L488"/>
  <c r="L451"/>
  <c r="L524"/>
  <c r="L587"/>
  <c r="L619"/>
  <c r="L651"/>
  <c r="L679"/>
  <c r="L695"/>
  <c r="L711"/>
  <c r="L727"/>
  <c r="L740"/>
  <c r="L748"/>
  <c r="L756"/>
  <c r="L237"/>
  <c r="L269"/>
  <c r="L301"/>
  <c r="L348"/>
  <c r="L358"/>
  <c r="L369"/>
  <c r="L380"/>
  <c r="L390"/>
  <c r="L405"/>
  <c r="L421"/>
  <c r="L430"/>
  <c r="L438"/>
  <c r="L464"/>
  <c r="L456"/>
  <c r="L448"/>
  <c r="L440"/>
  <c r="L415"/>
  <c r="L389"/>
  <c r="L373"/>
  <c r="L357"/>
  <c r="L313"/>
  <c r="L249"/>
  <c r="L556"/>
  <c r="L603"/>
  <c r="L635"/>
  <c r="L667"/>
  <c r="L687"/>
  <c r="L703"/>
  <c r="L719"/>
  <c r="L735"/>
  <c r="L744"/>
  <c r="L752"/>
  <c r="L760"/>
  <c r="L516"/>
  <c r="L476"/>
  <c r="L540"/>
  <c r="L790"/>
  <c r="L798"/>
  <c r="L806"/>
  <c r="L814"/>
  <c r="L822"/>
  <c r="L830"/>
  <c r="L786"/>
  <c r="L778"/>
  <c r="L770"/>
  <c r="L762"/>
  <c r="L754"/>
  <c r="L746"/>
  <c r="L708"/>
  <c r="L580"/>
  <c r="L724"/>
  <c r="L572"/>
  <c r="L818"/>
  <c r="L241"/>
  <c r="L354"/>
  <c r="L403"/>
  <c r="L445"/>
  <c r="L461"/>
  <c r="L475"/>
  <c r="L483"/>
  <c r="L491"/>
  <c r="L499"/>
  <c r="L507"/>
  <c r="L515"/>
  <c r="L523"/>
  <c r="L221"/>
  <c r="L353"/>
  <c r="L397"/>
  <c r="L468"/>
  <c r="L431"/>
  <c r="L352"/>
  <c r="L83"/>
  <c r="L195"/>
  <c r="L191"/>
  <c r="L187"/>
  <c r="L183"/>
  <c r="L179"/>
  <c r="L175"/>
  <c r="L171"/>
  <c r="L167"/>
  <c r="L163"/>
  <c r="L159"/>
  <c r="L155"/>
  <c r="L151"/>
  <c r="L198"/>
  <c r="L190"/>
  <c r="L182"/>
  <c r="L174"/>
  <c r="L166"/>
  <c r="L158"/>
  <c r="L150"/>
  <c r="L96"/>
  <c r="L92"/>
  <c r="L88"/>
  <c r="L136"/>
  <c r="L97"/>
  <c r="L89"/>
  <c r="L148"/>
  <c r="L690"/>
  <c r="L682"/>
  <c r="L684"/>
  <c r="L140"/>
  <c r="L761"/>
  <c r="L745"/>
  <c r="L713"/>
  <c r="L691"/>
  <c r="L623"/>
  <c r="L662"/>
  <c r="L638"/>
  <c r="L598"/>
  <c r="L630"/>
  <c r="L707"/>
  <c r="L681"/>
  <c r="L643"/>
  <c r="L670"/>
  <c r="L606"/>
  <c r="L780"/>
  <c r="L582"/>
  <c r="L675"/>
  <c r="L639"/>
  <c r="L508"/>
  <c r="L794"/>
  <c r="L810"/>
  <c r="L826"/>
  <c r="L560"/>
  <c r="L528"/>
  <c r="L496"/>
  <c r="L467"/>
  <c r="L225"/>
  <c r="L439"/>
  <c r="L471"/>
  <c r="L486"/>
  <c r="L502"/>
  <c r="L518"/>
  <c r="L534"/>
  <c r="L550"/>
  <c r="L566"/>
  <c r="L51"/>
  <c r="L229"/>
  <c r="L261"/>
  <c r="L293"/>
  <c r="L345"/>
  <c r="L356"/>
  <c r="L366"/>
  <c r="L377"/>
  <c r="L388"/>
  <c r="L401"/>
  <c r="L417"/>
  <c r="L428"/>
  <c r="L436"/>
  <c r="L466"/>
  <c r="L458"/>
  <c r="L450"/>
  <c r="L442"/>
  <c r="L427"/>
  <c r="L407"/>
  <c r="L381"/>
  <c r="L365"/>
  <c r="L349"/>
  <c r="L297"/>
  <c r="L233"/>
  <c r="L101"/>
  <c r="L105"/>
  <c r="L109"/>
  <c r="L113"/>
  <c r="L117"/>
  <c r="L121"/>
  <c r="L125"/>
  <c r="L129"/>
  <c r="L332"/>
  <c r="L337"/>
  <c r="L342"/>
  <c r="L420"/>
  <c r="L412"/>
  <c r="L404"/>
  <c r="L396"/>
  <c r="L387"/>
  <c r="L371"/>
  <c r="L355"/>
  <c r="L319"/>
  <c r="L303"/>
  <c r="L287"/>
  <c r="L271"/>
  <c r="L255"/>
  <c r="L239"/>
  <c r="L223"/>
  <c r="L207"/>
  <c r="L31"/>
  <c r="L45"/>
  <c r="L37"/>
  <c r="L35"/>
  <c r="L13"/>
  <c r="L253"/>
  <c r="L317"/>
  <c r="L364"/>
  <c r="L385"/>
  <c r="L413"/>
  <c r="L434"/>
  <c r="L460"/>
  <c r="L444"/>
  <c r="L399"/>
  <c r="L368"/>
  <c r="L281"/>
  <c r="L18"/>
  <c r="L26"/>
  <c r="L34"/>
  <c r="L57"/>
  <c r="L65"/>
  <c r="L73"/>
  <c r="L81"/>
  <c r="L206"/>
  <c r="L214"/>
  <c r="L222"/>
  <c r="L230"/>
  <c r="L238"/>
  <c r="L246"/>
  <c r="L254"/>
  <c r="L262"/>
  <c r="L270"/>
  <c r="L278"/>
  <c r="L286"/>
  <c r="L294"/>
  <c r="L302"/>
  <c r="L310"/>
  <c r="L318"/>
  <c r="L325"/>
  <c r="L336"/>
  <c r="L341"/>
  <c r="L418"/>
  <c r="L410"/>
  <c r="L402"/>
  <c r="L391"/>
  <c r="L375"/>
  <c r="L359"/>
  <c r="L343"/>
  <c r="L335"/>
  <c r="L47"/>
  <c r="AZ17"/>
  <c r="L9"/>
  <c r="I10" i="21"/>
  <c r="I11"/>
  <c r="A79" i="35"/>
  <c r="A105" i="41"/>
  <c r="A71" i="35"/>
  <c r="A95" i="41"/>
  <c r="A75" i="35"/>
  <c r="A100" i="41"/>
  <c r="A67" i="35"/>
  <c r="A90" i="41"/>
  <c r="BV13" i="21"/>
  <c r="BV4"/>
  <c r="G21" i="18" s="1"/>
  <c r="BV9" i="21"/>
  <c r="L21" i="18" s="1"/>
  <c r="BV6" i="21"/>
  <c r="I21" i="18" s="1"/>
  <c r="BV5" i="21"/>
  <c r="H21" i="18" s="1"/>
  <c r="BV7" i="21"/>
  <c r="J21" i="18" s="1"/>
  <c r="BV3" i="21"/>
  <c r="F21" i="18" s="1"/>
  <c r="BV8" i="21"/>
  <c r="K21" i="18" s="1"/>
  <c r="BZ13" i="21"/>
  <c r="BZ4"/>
  <c r="G25" i="18" s="1"/>
  <c r="BZ9" i="21"/>
  <c r="L25" i="18" s="1"/>
  <c r="BZ6" i="21"/>
  <c r="I25" i="18" s="1"/>
  <c r="BZ5" i="21"/>
  <c r="H25" i="18" s="1"/>
  <c r="BZ7" i="21"/>
  <c r="J25" i="18" s="1"/>
  <c r="BZ3" i="21"/>
  <c r="F25" i="18" s="1"/>
  <c r="BZ8" i="21"/>
  <c r="K25" i="18" s="1"/>
  <c r="BY13" i="21"/>
  <c r="BY6"/>
  <c r="I24" i="18" s="1"/>
  <c r="BY7" i="21"/>
  <c r="J24" i="18" s="1"/>
  <c r="BY3" i="21"/>
  <c r="F24" i="18" s="1"/>
  <c r="BY8" i="21"/>
  <c r="K24" i="18" s="1"/>
  <c r="BY5" i="21"/>
  <c r="H24" i="18" s="1"/>
  <c r="BY4" i="21"/>
  <c r="G24" i="18" s="1"/>
  <c r="BY9" i="21"/>
  <c r="L24" i="18" s="1"/>
  <c r="BV11" i="21"/>
  <c r="N21" i="18" s="1"/>
  <c r="BW11" i="21"/>
  <c r="N22" i="18" s="1"/>
  <c r="BY10" i="21"/>
  <c r="M24" i="18" s="1"/>
  <c r="BX10" i="21"/>
  <c r="M23" i="18" s="1"/>
  <c r="BX7" i="21"/>
  <c r="J23" i="18" s="1"/>
  <c r="BX3" i="21"/>
  <c r="F23" i="18" s="1"/>
  <c r="BX8" i="21"/>
  <c r="K23" i="18" s="1"/>
  <c r="BX13" i="21"/>
  <c r="BX4"/>
  <c r="G23" i="18" s="1"/>
  <c r="BX9" i="21"/>
  <c r="L23" i="18" s="1"/>
  <c r="BX6" i="21"/>
  <c r="I23" i="18" s="1"/>
  <c r="BX5" i="21"/>
  <c r="H23" i="18" s="1"/>
  <c r="BW3" i="21"/>
  <c r="F22" i="18" s="1"/>
  <c r="BW8" i="21"/>
  <c r="K22" i="18" s="1"/>
  <c r="BW5" i="21"/>
  <c r="H22" i="18" s="1"/>
  <c r="BW4" i="21"/>
  <c r="G22" i="18" s="1"/>
  <c r="BW9" i="21"/>
  <c r="L22" i="18" s="1"/>
  <c r="BW13" i="21"/>
  <c r="BW6"/>
  <c r="I22" i="18" s="1"/>
  <c r="BW7" i="21"/>
  <c r="J22" i="18" s="1"/>
  <c r="BX11" i="21"/>
  <c r="N23" i="18" s="1"/>
  <c r="BZ11" i="21"/>
  <c r="N25" i="18" s="1"/>
  <c r="BY11" i="21"/>
  <c r="N24" i="18" s="1"/>
  <c r="BW10" i="21"/>
  <c r="M22" i="18" s="1"/>
  <c r="BV10" i="21"/>
  <c r="M21" i="18" s="1"/>
  <c r="BZ10" i="21"/>
  <c r="M25" i="18" s="1"/>
  <c r="BS11" i="21"/>
  <c r="N18" i="18" s="1"/>
  <c r="AG12" i="17"/>
  <c r="AG27"/>
  <c r="AG23"/>
  <c r="AG19"/>
  <c r="AG15"/>
  <c r="AG11"/>
  <c r="AG24"/>
  <c r="AG20"/>
  <c r="AG16"/>
  <c r="AG10"/>
  <c r="AG26"/>
  <c r="AG8"/>
  <c r="AG25"/>
  <c r="AG21"/>
  <c r="AG17"/>
  <c r="AG13"/>
  <c r="AG9"/>
  <c r="AG22"/>
  <c r="AG18"/>
  <c r="AG14"/>
  <c r="BR11" i="21"/>
  <c r="N17" i="18" s="1"/>
  <c r="BS10" i="21"/>
  <c r="M18" i="18" s="1"/>
  <c r="BT10" i="21"/>
  <c r="M19" i="18" s="1"/>
  <c r="BU11" i="21"/>
  <c r="N20" i="18" s="1"/>
  <c r="BU10" i="21"/>
  <c r="M20" i="18" s="1"/>
  <c r="BR10" i="21"/>
  <c r="M17" i="18" s="1"/>
  <c r="BH10" i="21"/>
  <c r="M7" i="18" s="1"/>
  <c r="BH11" i="21"/>
  <c r="N7" i="18" s="1"/>
  <c r="BL10" i="21"/>
  <c r="M11" i="18" s="1"/>
  <c r="BL11" i="21"/>
  <c r="N11" i="18" s="1"/>
  <c r="BJ11" i="21"/>
  <c r="N9" i="18" s="1"/>
  <c r="BJ10" i="21"/>
  <c r="M9" i="18" s="1"/>
  <c r="BN10" i="21"/>
  <c r="M13" i="18" s="1"/>
  <c r="BN11" i="21"/>
  <c r="N13" i="18" s="1"/>
  <c r="BK11" i="21"/>
  <c r="N10" i="18" s="1"/>
  <c r="BK10" i="21"/>
  <c r="M10" i="18" s="1"/>
  <c r="BO10" i="21"/>
  <c r="M14" i="18" s="1"/>
  <c r="BO11" i="21"/>
  <c r="N14" i="18" s="1"/>
  <c r="AZ8" i="13"/>
  <c r="AN32"/>
  <c r="AO32" s="1"/>
  <c r="AP32" s="1"/>
  <c r="AZ13"/>
  <c r="K76" i="32"/>
  <c r="A89" i="33"/>
  <c r="K74" i="32"/>
  <c r="A79" i="33"/>
  <c r="K75" i="32"/>
  <c r="A84" i="33"/>
  <c r="K73" i="32"/>
  <c r="A74" i="33"/>
  <c r="B13" i="21"/>
  <c r="BD13" s="1"/>
  <c r="AC27" i="17"/>
  <c r="AC25"/>
  <c r="AC23"/>
  <c r="AC21"/>
  <c r="AC19"/>
  <c r="AC17"/>
  <c r="AC15"/>
  <c r="AC13"/>
  <c r="AC11"/>
  <c r="AC9"/>
  <c r="AC26"/>
  <c r="AC24"/>
  <c r="AC22"/>
  <c r="AC20"/>
  <c r="K20" s="1"/>
  <c r="AC18"/>
  <c r="K18" s="1"/>
  <c r="AC16"/>
  <c r="AC14"/>
  <c r="AC12"/>
  <c r="AC8"/>
  <c r="I8" s="1"/>
  <c r="AC10"/>
  <c r="A104" i="29"/>
  <c r="A104" i="27"/>
  <c r="A64" i="25"/>
  <c r="A94" i="29"/>
  <c r="A94" i="27"/>
  <c r="A60" i="25"/>
  <c r="A109" i="29"/>
  <c r="A109" i="27"/>
  <c r="A66" i="25"/>
  <c r="A99" i="29"/>
  <c r="A99" i="27"/>
  <c r="A62" i="25"/>
  <c r="AZ16" i="13"/>
  <c r="BU6" i="21"/>
  <c r="I20" i="18" s="1"/>
  <c r="BU5" i="21"/>
  <c r="H20" i="18" s="1"/>
  <c r="BU7" i="21"/>
  <c r="J20" i="18" s="1"/>
  <c r="BU3" i="21"/>
  <c r="F20" i="18" s="1"/>
  <c r="BU8" i="21"/>
  <c r="K20" i="18" s="1"/>
  <c r="BU4" i="21"/>
  <c r="G20" i="18" s="1"/>
  <c r="BU9" i="21"/>
  <c r="L20" i="18" s="1"/>
  <c r="BT4" i="21"/>
  <c r="G19" i="18" s="1"/>
  <c r="BT9" i="21"/>
  <c r="L19" i="18" s="1"/>
  <c r="BT6" i="21"/>
  <c r="I19" i="18" s="1"/>
  <c r="BT7" i="21"/>
  <c r="J19" i="18" s="1"/>
  <c r="BT3" i="21"/>
  <c r="F19" i="18" s="1"/>
  <c r="BT8" i="21"/>
  <c r="K19" i="18" s="1"/>
  <c r="BT5" i="21"/>
  <c r="H19" i="18" s="1"/>
  <c r="BU13" i="21"/>
  <c r="BT13"/>
  <c r="AT10"/>
  <c r="AT13" s="1"/>
  <c r="AO45" i="13"/>
  <c r="C9" i="17"/>
  <c r="H9" s="1"/>
  <c r="AO49" i="13"/>
  <c r="C13" i="17"/>
  <c r="H13" s="1"/>
  <c r="AO48" i="13"/>
  <c r="C12" i="17"/>
  <c r="H12" s="1"/>
  <c r="AO51" i="13"/>
  <c r="C15" i="17"/>
  <c r="H15" s="1"/>
  <c r="AZ12" i="13"/>
  <c r="AZ11"/>
  <c r="AZ10"/>
  <c r="AZ14"/>
  <c r="AZ15"/>
  <c r="C43" i="17"/>
  <c r="C14" i="18"/>
  <c r="C48" i="17"/>
  <c r="C19" i="18"/>
  <c r="AO46" i="13"/>
  <c r="C10" i="17"/>
  <c r="H10" s="1"/>
  <c r="AO50" i="13"/>
  <c r="C14" i="17"/>
  <c r="H14" s="1"/>
  <c r="AO44" i="13"/>
  <c r="C8" i="17"/>
  <c r="H8" s="1"/>
  <c r="AO47" i="13"/>
  <c r="C11" i="17"/>
  <c r="H11" s="1"/>
  <c r="C45"/>
  <c r="C16" i="18"/>
  <c r="C46" i="17"/>
  <c r="C17" i="18"/>
  <c r="C47" i="17"/>
  <c r="C18" i="18"/>
  <c r="C44" i="17"/>
  <c r="C15" i="18"/>
  <c r="H10" i="23"/>
  <c r="H11"/>
  <c r="L11"/>
  <c r="L10"/>
  <c r="P11"/>
  <c r="P10"/>
  <c r="T11"/>
  <c r="T10"/>
  <c r="X10"/>
  <c r="X11"/>
  <c r="AB10"/>
  <c r="AB11"/>
  <c r="AF11"/>
  <c r="AF10"/>
  <c r="AJ11"/>
  <c r="AJ10"/>
  <c r="AN11"/>
  <c r="AN10"/>
  <c r="K10"/>
  <c r="K11"/>
  <c r="O10"/>
  <c r="O11"/>
  <c r="S10"/>
  <c r="S11"/>
  <c r="W10"/>
  <c r="W11"/>
  <c r="AA10"/>
  <c r="AA11"/>
  <c r="AE10"/>
  <c r="AE11"/>
  <c r="AI10"/>
  <c r="AI11"/>
  <c r="AM10"/>
  <c r="AM11"/>
  <c r="AQ10"/>
  <c r="AQ11"/>
  <c r="AR13"/>
  <c r="AV13"/>
  <c r="AZ13"/>
  <c r="AU13"/>
  <c r="AY13"/>
  <c r="J11"/>
  <c r="J10"/>
  <c r="N11"/>
  <c r="N10"/>
  <c r="R11"/>
  <c r="R10"/>
  <c r="V10"/>
  <c r="V11"/>
  <c r="Z10"/>
  <c r="Z11"/>
  <c r="AD10"/>
  <c r="AD11"/>
  <c r="AH11"/>
  <c r="AH10"/>
  <c r="AL11"/>
  <c r="AL10"/>
  <c r="AP10"/>
  <c r="AP11"/>
  <c r="I10"/>
  <c r="I11"/>
  <c r="M10"/>
  <c r="M11"/>
  <c r="Q10"/>
  <c r="Q11"/>
  <c r="U10"/>
  <c r="U11"/>
  <c r="Y10"/>
  <c r="Y11"/>
  <c r="AC10"/>
  <c r="AC11"/>
  <c r="AG10"/>
  <c r="AG11"/>
  <c r="AK10"/>
  <c r="AK11"/>
  <c r="AT13"/>
  <c r="AX13"/>
  <c r="AO10"/>
  <c r="AS13"/>
  <c r="AW13"/>
  <c r="M10" i="21"/>
  <c r="M11"/>
  <c r="Q10"/>
  <c r="Q11"/>
  <c r="U10"/>
  <c r="U11"/>
  <c r="Y10"/>
  <c r="Y11"/>
  <c r="AC10"/>
  <c r="AC11"/>
  <c r="AG10"/>
  <c r="AG11"/>
  <c r="AK10"/>
  <c r="AK11"/>
  <c r="AO10"/>
  <c r="AO11"/>
  <c r="AS10"/>
  <c r="AS11"/>
  <c r="N10"/>
  <c r="N11"/>
  <c r="R10"/>
  <c r="R11"/>
  <c r="V10"/>
  <c r="V11"/>
  <c r="Z10"/>
  <c r="Z11"/>
  <c r="AD10"/>
  <c r="AD11"/>
  <c r="AH10"/>
  <c r="AH11"/>
  <c r="AL10"/>
  <c r="AL11"/>
  <c r="AP11"/>
  <c r="AP10"/>
  <c r="O10"/>
  <c r="O11"/>
  <c r="S10"/>
  <c r="S11"/>
  <c r="W10"/>
  <c r="W11"/>
  <c r="AA10"/>
  <c r="AA11"/>
  <c r="AE10"/>
  <c r="AE11"/>
  <c r="AI10"/>
  <c r="AI11"/>
  <c r="AM10"/>
  <c r="AM11"/>
  <c r="AQ10"/>
  <c r="AQ11"/>
  <c r="AU10"/>
  <c r="AU11"/>
  <c r="P10"/>
  <c r="P11"/>
  <c r="T10"/>
  <c r="T11"/>
  <c r="X10"/>
  <c r="X11"/>
  <c r="AB10"/>
  <c r="AB11"/>
  <c r="AF10"/>
  <c r="AF11"/>
  <c r="AJ10"/>
  <c r="AJ11"/>
  <c r="AN11"/>
  <c r="AN10"/>
  <c r="AR11"/>
  <c r="AR10"/>
  <c r="AV11"/>
  <c r="AV10"/>
  <c r="G10" i="22"/>
  <c r="BG6" i="21"/>
  <c r="I6" i="18" s="1"/>
  <c r="BG7" i="21"/>
  <c r="J6" i="18" s="1"/>
  <c r="BG3" i="21"/>
  <c r="F6" i="18" s="1"/>
  <c r="BG4" i="21"/>
  <c r="G6" i="18" s="1"/>
  <c r="BG5" i="21"/>
  <c r="H6" i="18" s="1"/>
  <c r="BG8" i="21"/>
  <c r="K6" i="18" s="1"/>
  <c r="BG9" i="21"/>
  <c r="L6" i="18" s="1"/>
  <c r="BK5" i="21"/>
  <c r="H10" i="18" s="1"/>
  <c r="BK8" i="21"/>
  <c r="K10" i="18" s="1"/>
  <c r="BK3" i="21"/>
  <c r="F10" i="18" s="1"/>
  <c r="BK13" i="21"/>
  <c r="BK4"/>
  <c r="G10" i="18" s="1"/>
  <c r="BK6" i="21"/>
  <c r="I10" i="18" s="1"/>
  <c r="BK9" i="21"/>
  <c r="L10" i="18" s="1"/>
  <c r="BK7" i="21"/>
  <c r="J10" i="18" s="1"/>
  <c r="BO4" i="21"/>
  <c r="G14" i="18" s="1"/>
  <c r="BO6" i="21"/>
  <c r="I14" i="18" s="1"/>
  <c r="BO9" i="21"/>
  <c r="L14" i="18" s="1"/>
  <c r="BO7" i="21"/>
  <c r="J14" i="18" s="1"/>
  <c r="BO5" i="21"/>
  <c r="H14" i="18" s="1"/>
  <c r="BO8" i="21"/>
  <c r="K14" i="18" s="1"/>
  <c r="BO3" i="21"/>
  <c r="F14" i="18" s="1"/>
  <c r="BO13" i="21"/>
  <c r="BS5"/>
  <c r="H18" i="18" s="1"/>
  <c r="BS8" i="21"/>
  <c r="K18" i="18" s="1"/>
  <c r="BS3" i="21"/>
  <c r="F18" i="18" s="1"/>
  <c r="BS13" i="21"/>
  <c r="BS4"/>
  <c r="G18" i="18" s="1"/>
  <c r="BS6" i="21"/>
  <c r="I18" i="18" s="1"/>
  <c r="BS9" i="21"/>
  <c r="L18" i="18" s="1"/>
  <c r="BS7" i="21"/>
  <c r="J18" i="18" s="1"/>
  <c r="BJ5" i="21"/>
  <c r="H9" i="18" s="1"/>
  <c r="BJ3" i="21"/>
  <c r="F9" i="18" s="1"/>
  <c r="BJ4" i="21"/>
  <c r="G9" i="18" s="1"/>
  <c r="BJ6" i="21"/>
  <c r="I9" i="18" s="1"/>
  <c r="BJ8" i="21"/>
  <c r="K9" i="18" s="1"/>
  <c r="BJ13" i="21"/>
  <c r="BJ9"/>
  <c r="L9" i="18" s="1"/>
  <c r="BJ7" i="21"/>
  <c r="J9" i="18" s="1"/>
  <c r="BR5" i="21"/>
  <c r="H17" i="18" s="1"/>
  <c r="BR3" i="21"/>
  <c r="F17" i="18" s="1"/>
  <c r="BR4" i="21"/>
  <c r="G17" i="18" s="1"/>
  <c r="BR6" i="21"/>
  <c r="I17" i="18" s="1"/>
  <c r="BR8" i="21"/>
  <c r="K17" i="18" s="1"/>
  <c r="BR13" i="21"/>
  <c r="BR9"/>
  <c r="L17" i="18" s="1"/>
  <c r="BR7" i="21"/>
  <c r="J17" i="18" s="1"/>
  <c r="BL13" i="21"/>
  <c r="BL8"/>
  <c r="K11" i="18" s="1"/>
  <c r="BL4" i="21"/>
  <c r="G11" i="18" s="1"/>
  <c r="BL6" i="21"/>
  <c r="I11" i="18" s="1"/>
  <c r="BL7" i="21"/>
  <c r="J11" i="18" s="1"/>
  <c r="BL5" i="21"/>
  <c r="H11" i="18" s="1"/>
  <c r="BL3" i="21"/>
  <c r="F11" i="18" s="1"/>
  <c r="BL9" i="21"/>
  <c r="L11" i="18" s="1"/>
  <c r="BH6" i="21"/>
  <c r="I7" i="18" s="1"/>
  <c r="BH7" i="21"/>
  <c r="J7" i="18" s="1"/>
  <c r="BH5" i="21"/>
  <c r="H7" i="18" s="1"/>
  <c r="BH3" i="21"/>
  <c r="F7" i="18" s="1"/>
  <c r="BH9" i="21"/>
  <c r="L7" i="18" s="1"/>
  <c r="BH8" i="21"/>
  <c r="K7" i="18" s="1"/>
  <c r="BH4" i="21"/>
  <c r="G7" i="18" s="1"/>
  <c r="BH13" i="21"/>
  <c r="BN9"/>
  <c r="L13" i="18" s="1"/>
  <c r="BN7" i="21"/>
  <c r="J13" i="18" s="1"/>
  <c r="BN5" i="21"/>
  <c r="H13" i="18" s="1"/>
  <c r="BN3" i="21"/>
  <c r="F13" i="18" s="1"/>
  <c r="BN4" i="21"/>
  <c r="G13" i="18" s="1"/>
  <c r="BN6" i="21"/>
  <c r="I13" i="18" s="1"/>
  <c r="BN8" i="21"/>
  <c r="K13" i="18" s="1"/>
  <c r="BN13" i="21"/>
  <c r="I6" i="13"/>
  <c r="I7"/>
  <c r="H28" i="17" l="1"/>
  <c r="L13" i="21"/>
  <c r="L12"/>
  <c r="K13"/>
  <c r="K12"/>
  <c r="G9" i="17"/>
  <c r="G11"/>
  <c r="G16"/>
  <c r="G12"/>
  <c r="G13"/>
  <c r="G15"/>
  <c r="G19"/>
  <c r="G20"/>
  <c r="G8"/>
  <c r="L7" i="13"/>
  <c r="L6"/>
  <c r="BE13" i="21"/>
  <c r="J7" i="13"/>
  <c r="J6"/>
  <c r="L3"/>
  <c r="L4"/>
  <c r="I12" i="21"/>
  <c r="I13"/>
  <c r="K12" i="17"/>
  <c r="O24" i="18"/>
  <c r="G26" i="17"/>
  <c r="G27"/>
  <c r="O25" i="18"/>
  <c r="O21"/>
  <c r="G23" i="17"/>
  <c r="G24"/>
  <c r="O22" i="18"/>
  <c r="G25" i="17"/>
  <c r="O23" i="18"/>
  <c r="K21" i="17"/>
  <c r="K10"/>
  <c r="K13"/>
  <c r="K19"/>
  <c r="K15"/>
  <c r="K11"/>
  <c r="K14"/>
  <c r="K22"/>
  <c r="K16"/>
  <c r="K17"/>
  <c r="K8"/>
  <c r="K9"/>
  <c r="AG28"/>
  <c r="G22"/>
  <c r="BG11" i="21"/>
  <c r="N6" i="18" s="1"/>
  <c r="BG10" i="21"/>
  <c r="M6" i="18" s="1"/>
  <c r="G21" i="17"/>
  <c r="T11" i="13"/>
  <c r="T13"/>
  <c r="T17"/>
  <c r="T33"/>
  <c r="T35"/>
  <c r="T37"/>
  <c r="T41"/>
  <c r="T45"/>
  <c r="T49"/>
  <c r="T53"/>
  <c r="T57"/>
  <c r="T59"/>
  <c r="T61"/>
  <c r="T65"/>
  <c r="T71"/>
  <c r="T75"/>
  <c r="T77"/>
  <c r="T83"/>
  <c r="T89"/>
  <c r="T93"/>
  <c r="T109"/>
  <c r="T111"/>
  <c r="T113"/>
  <c r="T115"/>
  <c r="T119"/>
  <c r="T121"/>
  <c r="T125"/>
  <c r="T137"/>
  <c r="T155"/>
  <c r="T159"/>
  <c r="T165"/>
  <c r="T167"/>
  <c r="T171"/>
  <c r="T213"/>
  <c r="T215"/>
  <c r="T221"/>
  <c r="T229"/>
  <c r="T231"/>
  <c r="T239"/>
  <c r="T243"/>
  <c r="T247"/>
  <c r="T249"/>
  <c r="T251"/>
  <c r="T253"/>
  <c r="T261"/>
  <c r="T267"/>
  <c r="T271"/>
  <c r="T275"/>
  <c r="T303"/>
  <c r="T307"/>
  <c r="T323"/>
  <c r="T327"/>
  <c r="T341"/>
  <c r="T347"/>
  <c r="T351"/>
  <c r="T359"/>
  <c r="T381"/>
  <c r="T383"/>
  <c r="T391"/>
  <c r="T393"/>
  <c r="T395"/>
  <c r="T413"/>
  <c r="T423"/>
  <c r="T429"/>
  <c r="T445"/>
  <c r="T453"/>
  <c r="T469"/>
  <c r="T479"/>
  <c r="T481"/>
  <c r="T487"/>
  <c r="T493"/>
  <c r="T497"/>
  <c r="T507"/>
  <c r="T515"/>
  <c r="T517"/>
  <c r="T521"/>
  <c r="T18"/>
  <c r="T32"/>
  <c r="T34"/>
  <c r="T44"/>
  <c r="T68"/>
  <c r="T76"/>
  <c r="T80"/>
  <c r="T90"/>
  <c r="T94"/>
  <c r="T98"/>
  <c r="T100"/>
  <c r="T108"/>
  <c r="T142"/>
  <c r="T146"/>
  <c r="T162"/>
  <c r="T166"/>
  <c r="T172"/>
  <c r="T174"/>
  <c r="T184"/>
  <c r="T190"/>
  <c r="T192"/>
  <c r="T202"/>
  <c r="T210"/>
  <c r="T212"/>
  <c r="T222"/>
  <c r="T228"/>
  <c r="T236"/>
  <c r="T238"/>
  <c r="T240"/>
  <c r="T252"/>
  <c r="T262"/>
  <c r="T268"/>
  <c r="T274"/>
  <c r="T280"/>
  <c r="T292"/>
  <c r="T294"/>
  <c r="T310"/>
  <c r="T316"/>
  <c r="T320"/>
  <c r="T328"/>
  <c r="T336"/>
  <c r="T338"/>
  <c r="T352"/>
  <c r="T366"/>
  <c r="T372"/>
  <c r="T378"/>
  <c r="T380"/>
  <c r="T412"/>
  <c r="T414"/>
  <c r="T416"/>
  <c r="T428"/>
  <c r="T436"/>
  <c r="T446"/>
  <c r="T448"/>
  <c r="T468"/>
  <c r="T470"/>
  <c r="T472"/>
  <c r="T478"/>
  <c r="T480"/>
  <c r="T492"/>
  <c r="T494"/>
  <c r="T496"/>
  <c r="T508"/>
  <c r="T523"/>
  <c r="T525"/>
  <c r="T527"/>
  <c r="T531"/>
  <c r="T535"/>
  <c r="T539"/>
  <c r="T545"/>
  <c r="T547"/>
  <c r="T549"/>
  <c r="T555"/>
  <c r="T567"/>
  <c r="T569"/>
  <c r="T577"/>
  <c r="T579"/>
  <c r="T581"/>
  <c r="T595"/>
  <c r="T597"/>
  <c r="T607"/>
  <c r="T621"/>
  <c r="T629"/>
  <c r="T631"/>
  <c r="T637"/>
  <c r="T639"/>
  <c r="T641"/>
  <c r="T645"/>
  <c r="T655"/>
  <c r="T657"/>
  <c r="T665"/>
  <c r="T667"/>
  <c r="T675"/>
  <c r="T681"/>
  <c r="T689"/>
  <c r="T691"/>
  <c r="T705"/>
  <c r="T709"/>
  <c r="T713"/>
  <c r="T719"/>
  <c r="T727"/>
  <c r="T729"/>
  <c r="T733"/>
  <c r="T739"/>
  <c r="T741"/>
  <c r="T743"/>
  <c r="T749"/>
  <c r="T751"/>
  <c r="T755"/>
  <c r="T757"/>
  <c r="T759"/>
  <c r="T761"/>
  <c r="T775"/>
  <c r="T777"/>
  <c r="T791"/>
  <c r="T795"/>
  <c r="T797"/>
  <c r="T801"/>
  <c r="T803"/>
  <c r="T817"/>
  <c r="T821"/>
  <c r="T835"/>
  <c r="T837"/>
  <c r="T839"/>
  <c r="T843"/>
  <c r="T849"/>
  <c r="T851"/>
  <c r="T857"/>
  <c r="T859"/>
  <c r="T865"/>
  <c r="T877"/>
  <c r="T883"/>
  <c r="T889"/>
  <c r="T895"/>
  <c r="T897"/>
  <c r="T903"/>
  <c r="T913"/>
  <c r="T915"/>
  <c r="T933"/>
  <c r="T941"/>
  <c r="T947"/>
  <c r="T951"/>
  <c r="T955"/>
  <c r="T963"/>
  <c r="T977"/>
  <c r="T993"/>
  <c r="T526"/>
  <c r="T528"/>
  <c r="T530"/>
  <c r="T538"/>
  <c r="T556"/>
  <c r="T570"/>
  <c r="T572"/>
  <c r="T576"/>
  <c r="T582"/>
  <c r="T586"/>
  <c r="T598"/>
  <c r="T602"/>
  <c r="T606"/>
  <c r="T628"/>
  <c r="T632"/>
  <c r="T638"/>
  <c r="T644"/>
  <c r="T648"/>
  <c r="T660"/>
  <c r="T674"/>
  <c r="T680"/>
  <c r="T690"/>
  <c r="T700"/>
  <c r="T702"/>
  <c r="T706"/>
  <c r="T714"/>
  <c r="T720"/>
  <c r="T724"/>
  <c r="T726"/>
  <c r="T734"/>
  <c r="T736"/>
  <c r="T742"/>
  <c r="T744"/>
  <c r="T746"/>
  <c r="T754"/>
  <c r="T758"/>
  <c r="T762"/>
  <c r="T766"/>
  <c r="T770"/>
  <c r="T778"/>
  <c r="T782"/>
  <c r="T794"/>
  <c r="T798"/>
  <c r="T806"/>
  <c r="T814"/>
  <c r="T818"/>
  <c r="T830"/>
  <c r="T838"/>
  <c r="T840"/>
  <c r="T844"/>
  <c r="T850"/>
  <c r="T856"/>
  <c r="T858"/>
  <c r="T864"/>
  <c r="T872"/>
  <c r="T874"/>
  <c r="T884"/>
  <c r="T888"/>
  <c r="T898"/>
  <c r="T908"/>
  <c r="T912"/>
  <c r="T916"/>
  <c r="T924"/>
  <c r="T926"/>
  <c r="T928"/>
  <c r="T948"/>
  <c r="T958"/>
  <c r="T964"/>
  <c r="T968"/>
  <c r="T972"/>
  <c r="T978"/>
  <c r="T998"/>
  <c r="T1002"/>
  <c r="T1006"/>
  <c r="AH113"/>
  <c r="AH631"/>
  <c r="AH526"/>
  <c r="AH362"/>
  <c r="AH52"/>
  <c r="AQ32"/>
  <c r="AR32" s="1"/>
  <c r="AS32" s="1"/>
  <c r="AT32" s="1"/>
  <c r="AT12" i="21"/>
  <c r="AD8" i="17"/>
  <c r="AC28"/>
  <c r="AD14"/>
  <c r="G41" s="1"/>
  <c r="I14"/>
  <c r="AD18"/>
  <c r="G45" s="1"/>
  <c r="I18"/>
  <c r="AD22"/>
  <c r="G49" s="1"/>
  <c r="K49" s="1"/>
  <c r="I22"/>
  <c r="J49" s="1"/>
  <c r="AD26"/>
  <c r="G53" s="1"/>
  <c r="I26"/>
  <c r="J53" s="1"/>
  <c r="AD11"/>
  <c r="G38" s="1"/>
  <c r="K38" s="1"/>
  <c r="I11"/>
  <c r="AD15"/>
  <c r="G42" s="1"/>
  <c r="I15"/>
  <c r="J42" s="1"/>
  <c r="AD19"/>
  <c r="G46" s="1"/>
  <c r="I19"/>
  <c r="AD23"/>
  <c r="G50" s="1"/>
  <c r="I23"/>
  <c r="J50" s="1"/>
  <c r="AD27"/>
  <c r="G54" s="1"/>
  <c r="I27"/>
  <c r="J54" s="1"/>
  <c r="AD10"/>
  <c r="G37" s="1"/>
  <c r="I10"/>
  <c r="AD12"/>
  <c r="G39" s="1"/>
  <c r="I12"/>
  <c r="AD16"/>
  <c r="G43" s="1"/>
  <c r="I16"/>
  <c r="AD20"/>
  <c r="G47" s="1"/>
  <c r="I20"/>
  <c r="J47" s="1"/>
  <c r="AD24"/>
  <c r="G51" s="1"/>
  <c r="I24"/>
  <c r="J51" s="1"/>
  <c r="AD9"/>
  <c r="G36" s="1"/>
  <c r="I9"/>
  <c r="AD13"/>
  <c r="G40" s="1"/>
  <c r="K40" s="1"/>
  <c r="I13"/>
  <c r="AD17"/>
  <c r="G44" s="1"/>
  <c r="K44" s="1"/>
  <c r="I17"/>
  <c r="AD21"/>
  <c r="G48" s="1"/>
  <c r="K48" s="1"/>
  <c r="I21"/>
  <c r="J48" s="1"/>
  <c r="AD25"/>
  <c r="G52" s="1"/>
  <c r="I25"/>
  <c r="J52" s="1"/>
  <c r="BD11" i="13"/>
  <c r="BD15"/>
  <c r="BD19"/>
  <c r="BD23"/>
  <c r="AE23" i="17" s="1"/>
  <c r="AF23" s="1"/>
  <c r="BD27" i="13"/>
  <c r="AE27" i="17" s="1"/>
  <c r="AF27" s="1"/>
  <c r="BD10" i="13"/>
  <c r="BD14"/>
  <c r="BD18"/>
  <c r="BD22"/>
  <c r="AE22" i="17" s="1"/>
  <c r="AF22" s="1"/>
  <c r="BD26" i="13"/>
  <c r="AE26" i="17" s="1"/>
  <c r="AF26" s="1"/>
  <c r="BD9" i="13"/>
  <c r="BD13"/>
  <c r="BD17"/>
  <c r="BD21"/>
  <c r="BD25"/>
  <c r="AE25" i="17" s="1"/>
  <c r="AF25" s="1"/>
  <c r="BD8" i="13"/>
  <c r="BD12"/>
  <c r="BD16"/>
  <c r="BD20"/>
  <c r="BD24"/>
  <c r="AE24" i="17" s="1"/>
  <c r="AF24" s="1"/>
  <c r="AT11" i="21"/>
  <c r="O20" i="18"/>
  <c r="O19"/>
  <c r="O11"/>
  <c r="O13"/>
  <c r="O7"/>
  <c r="O17"/>
  <c r="O9"/>
  <c r="O18"/>
  <c r="O14"/>
  <c r="O10"/>
  <c r="O6"/>
  <c r="C38" i="17"/>
  <c r="C9" i="18"/>
  <c r="C35" i="17"/>
  <c r="C6" i="18"/>
  <c r="C41" i="17"/>
  <c r="C12" i="18"/>
  <c r="C37" i="17"/>
  <c r="C8" i="18"/>
  <c r="C42" i="17"/>
  <c r="C13" i="18"/>
  <c r="C39" i="17"/>
  <c r="C10" i="18"/>
  <c r="C40" i="17"/>
  <c r="C11" i="18"/>
  <c r="C36" i="17"/>
  <c r="C7" i="18"/>
  <c r="AL13" i="23"/>
  <c r="AL12"/>
  <c r="AH13"/>
  <c r="AH12"/>
  <c r="R13"/>
  <c r="R12"/>
  <c r="N13"/>
  <c r="N12"/>
  <c r="J13"/>
  <c r="J12"/>
  <c r="AQ12"/>
  <c r="AQ13"/>
  <c r="AM12"/>
  <c r="AM13"/>
  <c r="AI12"/>
  <c r="AI13"/>
  <c r="AE12"/>
  <c r="AE13"/>
  <c r="AA12"/>
  <c r="AA13"/>
  <c r="W12"/>
  <c r="W13"/>
  <c r="S12"/>
  <c r="S13"/>
  <c r="O12"/>
  <c r="O13"/>
  <c r="K12"/>
  <c r="K13"/>
  <c r="AB13"/>
  <c r="AB12"/>
  <c r="X13"/>
  <c r="X12"/>
  <c r="H12"/>
  <c r="H13"/>
  <c r="AO12"/>
  <c r="AO13"/>
  <c r="AO11"/>
  <c r="AK12"/>
  <c r="AK13"/>
  <c r="AG12"/>
  <c r="AG13"/>
  <c r="AC12"/>
  <c r="AC13"/>
  <c r="Y12"/>
  <c r="Y13"/>
  <c r="U12"/>
  <c r="U13"/>
  <c r="Q12"/>
  <c r="Q13"/>
  <c r="M12"/>
  <c r="M13"/>
  <c r="I12"/>
  <c r="I13"/>
  <c r="AP13"/>
  <c r="AP12"/>
  <c r="AD13"/>
  <c r="AD12"/>
  <c r="Z13"/>
  <c r="Z12"/>
  <c r="V13"/>
  <c r="V12"/>
  <c r="AN13"/>
  <c r="AN12"/>
  <c r="AJ13"/>
  <c r="AJ12"/>
  <c r="AF13"/>
  <c r="AF12"/>
  <c r="T13"/>
  <c r="T12"/>
  <c r="P13"/>
  <c r="P12"/>
  <c r="L13"/>
  <c r="L12"/>
  <c r="AJ13" i="21"/>
  <c r="AJ12"/>
  <c r="AF13"/>
  <c r="AF12"/>
  <c r="AB13"/>
  <c r="AB12"/>
  <c r="X13"/>
  <c r="X12"/>
  <c r="T13"/>
  <c r="T12"/>
  <c r="P13"/>
  <c r="P12"/>
  <c r="AU13"/>
  <c r="AU12"/>
  <c r="AQ13"/>
  <c r="AQ12"/>
  <c r="AM13"/>
  <c r="AM12"/>
  <c r="AI13"/>
  <c r="AI12"/>
  <c r="AE13"/>
  <c r="AE12"/>
  <c r="AA13"/>
  <c r="AA12"/>
  <c r="W13"/>
  <c r="W12"/>
  <c r="S13"/>
  <c r="S12"/>
  <c r="O13"/>
  <c r="O12"/>
  <c r="AP13"/>
  <c r="AP12"/>
  <c r="BE2"/>
  <c r="O26" i="18" s="1"/>
  <c r="BA13" i="21"/>
  <c r="AW13"/>
  <c r="BB13"/>
  <c r="AX13"/>
  <c r="BC13"/>
  <c r="AY13"/>
  <c r="AZ13"/>
  <c r="AV13"/>
  <c r="AV12"/>
  <c r="AR13"/>
  <c r="AR12"/>
  <c r="AN13"/>
  <c r="AN12"/>
  <c r="AL13"/>
  <c r="AL12"/>
  <c r="AH13"/>
  <c r="AH12"/>
  <c r="AD13"/>
  <c r="AD12"/>
  <c r="Z13"/>
  <c r="Z12"/>
  <c r="V13"/>
  <c r="V12"/>
  <c r="R13"/>
  <c r="R12"/>
  <c r="N13"/>
  <c r="N12"/>
  <c r="AS13"/>
  <c r="AS12"/>
  <c r="AO13"/>
  <c r="AO12"/>
  <c r="AK13"/>
  <c r="AK12"/>
  <c r="AG13"/>
  <c r="AG12"/>
  <c r="AC13"/>
  <c r="AC12"/>
  <c r="Y13"/>
  <c r="Y12"/>
  <c r="U13"/>
  <c r="U12"/>
  <c r="Q13"/>
  <c r="Q12"/>
  <c r="M12"/>
  <c r="M13"/>
  <c r="AH15" i="13" l="1"/>
  <c r="AH764"/>
  <c r="T944"/>
  <c r="T918"/>
  <c r="T876"/>
  <c r="T822"/>
  <c r="T816"/>
  <c r="T786"/>
  <c r="T780"/>
  <c r="T774"/>
  <c r="T756"/>
  <c r="T750"/>
  <c r="T730"/>
  <c r="T722"/>
  <c r="T704"/>
  <c r="T682"/>
  <c r="T658"/>
  <c r="T594"/>
  <c r="T536"/>
  <c r="T997"/>
  <c r="T991"/>
  <c r="T969"/>
  <c r="T949"/>
  <c r="T921"/>
  <c r="T907"/>
  <c r="T901"/>
  <c r="T873"/>
  <c r="T853"/>
  <c r="T827"/>
  <c r="T737"/>
  <c r="T695"/>
  <c r="T669"/>
  <c r="T591"/>
  <c r="T571"/>
  <c r="T537"/>
  <c r="T518"/>
  <c r="T500"/>
  <c r="T438"/>
  <c r="T418"/>
  <c r="T396"/>
  <c r="T386"/>
  <c r="T330"/>
  <c r="T304"/>
  <c r="T270"/>
  <c r="T226"/>
  <c r="T216"/>
  <c r="T158"/>
  <c r="T152"/>
  <c r="T140"/>
  <c r="T118"/>
  <c r="T110"/>
  <c r="T102"/>
  <c r="T92"/>
  <c r="T72"/>
  <c r="T56"/>
  <c r="T52"/>
  <c r="T38"/>
  <c r="T20"/>
  <c r="T501"/>
  <c r="T475"/>
  <c r="T471"/>
  <c r="T467"/>
  <c r="T435"/>
  <c r="T427"/>
  <c r="T421"/>
  <c r="T409"/>
  <c r="T365"/>
  <c r="T355"/>
  <c r="T335"/>
  <c r="T329"/>
  <c r="T305"/>
  <c r="T295"/>
  <c r="T175"/>
  <c r="T169"/>
  <c r="T153"/>
  <c r="T135"/>
  <c r="T105"/>
  <c r="T55"/>
  <c r="T1008"/>
  <c r="T1004"/>
  <c r="T974"/>
  <c r="T970"/>
  <c r="T936"/>
  <c r="T922"/>
  <c r="T894"/>
  <c r="T886"/>
  <c r="T880"/>
  <c r="T870"/>
  <c r="T834"/>
  <c r="T826"/>
  <c r="T804"/>
  <c r="T764"/>
  <c r="T728"/>
  <c r="T650"/>
  <c r="T634"/>
  <c r="T630"/>
  <c r="T534"/>
  <c r="T1003"/>
  <c r="T979"/>
  <c r="T973"/>
  <c r="T909"/>
  <c r="T893"/>
  <c r="T885"/>
  <c r="T867"/>
  <c r="T861"/>
  <c r="T831"/>
  <c r="T813"/>
  <c r="T735"/>
  <c r="T703"/>
  <c r="T693"/>
  <c r="T605"/>
  <c r="T563"/>
  <c r="T553"/>
  <c r="T456"/>
  <c r="T426"/>
  <c r="T388"/>
  <c r="T376"/>
  <c r="T368"/>
  <c r="T306"/>
  <c r="T300"/>
  <c r="T258"/>
  <c r="T248"/>
  <c r="T204"/>
  <c r="T188"/>
  <c r="T182"/>
  <c r="T156"/>
  <c r="T150"/>
  <c r="T122"/>
  <c r="T114"/>
  <c r="T54"/>
  <c r="T22"/>
  <c r="T473"/>
  <c r="T457"/>
  <c r="T417"/>
  <c r="T411"/>
  <c r="T405"/>
  <c r="T387"/>
  <c r="T333"/>
  <c r="T257"/>
  <c r="T241"/>
  <c r="T227"/>
  <c r="T193"/>
  <c r="T163"/>
  <c r="T131"/>
  <c r="T107"/>
  <c r="T69"/>
  <c r="AH11"/>
  <c r="AH578"/>
  <c r="AH440"/>
  <c r="AH463"/>
  <c r="AH884"/>
  <c r="AH68"/>
  <c r="AH487"/>
  <c r="AH474"/>
  <c r="AH173"/>
  <c r="AH12"/>
  <c r="AH205"/>
  <c r="AH863"/>
  <c r="AH10"/>
  <c r="K28" i="17"/>
  <c r="I28"/>
  <c r="T988" i="13"/>
  <c r="T824"/>
  <c r="T768"/>
  <c r="T694"/>
  <c r="T652"/>
  <c r="T524"/>
  <c r="T869"/>
  <c r="T833"/>
  <c r="T811"/>
  <c r="T745"/>
  <c r="T701"/>
  <c r="T643"/>
  <c r="T609"/>
  <c r="T533"/>
  <c r="T486"/>
  <c r="T450"/>
  <c r="T442"/>
  <c r="T358"/>
  <c r="T326"/>
  <c r="T308"/>
  <c r="T88"/>
  <c r="T48"/>
  <c r="T40"/>
  <c r="T30"/>
  <c r="T10"/>
  <c r="T511"/>
  <c r="T499"/>
  <c r="T451"/>
  <c r="T313"/>
  <c r="T245"/>
  <c r="T237"/>
  <c r="T205"/>
  <c r="T173"/>
  <c r="T133"/>
  <c r="T129"/>
  <c r="T85"/>
  <c r="T81"/>
  <c r="T19"/>
  <c r="T992"/>
  <c r="T980"/>
  <c r="T952"/>
  <c r="T932"/>
  <c r="T788"/>
  <c r="T740"/>
  <c r="T696"/>
  <c r="T670"/>
  <c r="T622"/>
  <c r="T604"/>
  <c r="T546"/>
  <c r="T1007"/>
  <c r="T847"/>
  <c r="T683"/>
  <c r="T617"/>
  <c r="T599"/>
  <c r="T506"/>
  <c r="T452"/>
  <c r="T444"/>
  <c r="T420"/>
  <c r="T392"/>
  <c r="T302"/>
  <c r="T246"/>
  <c r="T230"/>
  <c r="T168"/>
  <c r="T509"/>
  <c r="T491"/>
  <c r="T361"/>
  <c r="T309"/>
  <c r="T263"/>
  <c r="T217"/>
  <c r="T201"/>
  <c r="T147"/>
  <c r="T31"/>
  <c r="T946"/>
  <c r="T940"/>
  <c r="T934"/>
  <c r="T914"/>
  <c r="T854"/>
  <c r="T846"/>
  <c r="T784"/>
  <c r="T984"/>
  <c r="T902"/>
  <c r="T882"/>
  <c r="T820"/>
  <c r="T792"/>
  <c r="T596"/>
  <c r="T550"/>
  <c r="T995"/>
  <c r="T961"/>
  <c r="T943"/>
  <c r="T919"/>
  <c r="T829"/>
  <c r="T783"/>
  <c r="T763"/>
  <c r="T611"/>
  <c r="T402"/>
  <c r="T382"/>
  <c r="T344"/>
  <c r="T288"/>
  <c r="T260"/>
  <c r="T46"/>
  <c r="T42"/>
  <c r="T24"/>
  <c r="T461"/>
  <c r="T377"/>
  <c r="T277"/>
  <c r="T207"/>
  <c r="T189"/>
  <c r="T95"/>
  <c r="T91"/>
  <c r="T716"/>
  <c r="T708"/>
  <c r="T688"/>
  <c r="T959"/>
  <c r="T879"/>
  <c r="T785"/>
  <c r="T769"/>
  <c r="T673"/>
  <c r="T653"/>
  <c r="T627"/>
  <c r="T559"/>
  <c r="T400"/>
  <c r="T348"/>
  <c r="T334"/>
  <c r="T322"/>
  <c r="T318"/>
  <c r="T296"/>
  <c r="T242"/>
  <c r="T232"/>
  <c r="T200"/>
  <c r="T62"/>
  <c r="T503"/>
  <c r="T495"/>
  <c r="T483"/>
  <c r="T465"/>
  <c r="T459"/>
  <c r="T419"/>
  <c r="T379"/>
  <c r="T353"/>
  <c r="T337"/>
  <c r="T319"/>
  <c r="T269"/>
  <c r="T187"/>
  <c r="T161"/>
  <c r="T157"/>
  <c r="T145"/>
  <c r="T43"/>
  <c r="T25"/>
  <c r="AH748"/>
  <c r="AH573"/>
  <c r="T1000"/>
  <c r="T994"/>
  <c r="T976"/>
  <c r="T866"/>
  <c r="T860"/>
  <c r="T852"/>
  <c r="T828"/>
  <c r="T808"/>
  <c r="T738"/>
  <c r="T664"/>
  <c r="T608"/>
  <c r="T568"/>
  <c r="T554"/>
  <c r="T983"/>
  <c r="T967"/>
  <c r="T945"/>
  <c r="T925"/>
  <c r="T825"/>
  <c r="T809"/>
  <c r="T723"/>
  <c r="T661"/>
  <c r="T649"/>
  <c r="T623"/>
  <c r="T619"/>
  <c r="T615"/>
  <c r="T585"/>
  <c r="T514"/>
  <c r="T510"/>
  <c r="T430"/>
  <c r="T404"/>
  <c r="T298"/>
  <c r="T264"/>
  <c r="T220"/>
  <c r="T196"/>
  <c r="T144"/>
  <c r="T136"/>
  <c r="T78"/>
  <c r="T74"/>
  <c r="T36"/>
  <c r="T14"/>
  <c r="T489"/>
  <c r="T463"/>
  <c r="T433"/>
  <c r="T317"/>
  <c r="T311"/>
  <c r="T285"/>
  <c r="T179"/>
  <c r="T123"/>
  <c r="T101"/>
  <c r="T29"/>
  <c r="T23"/>
  <c r="AH736"/>
  <c r="AH818"/>
  <c r="AH742"/>
  <c r="T910"/>
  <c r="T906"/>
  <c r="T772"/>
  <c r="T760"/>
  <c r="T712"/>
  <c r="T668"/>
  <c r="T656"/>
  <c r="T636"/>
  <c r="T612"/>
  <c r="T540"/>
  <c r="T985"/>
  <c r="T981"/>
  <c r="T937"/>
  <c r="T927"/>
  <c r="T875"/>
  <c r="T871"/>
  <c r="T863"/>
  <c r="T845"/>
  <c r="T823"/>
  <c r="T799"/>
  <c r="T747"/>
  <c r="T731"/>
  <c r="T671"/>
  <c r="T663"/>
  <c r="T647"/>
  <c r="T589"/>
  <c r="T583"/>
  <c r="T575"/>
  <c r="T516"/>
  <c r="T512"/>
  <c r="T488"/>
  <c r="T482"/>
  <c r="T466"/>
  <c r="T434"/>
  <c r="T354"/>
  <c r="T340"/>
  <c r="T266"/>
  <c r="T218"/>
  <c r="T206"/>
  <c r="T198"/>
  <c r="T194"/>
  <c r="T176"/>
  <c r="T138"/>
  <c r="T66"/>
  <c r="T12"/>
  <c r="T477"/>
  <c r="T415"/>
  <c r="T407"/>
  <c r="T385"/>
  <c r="T345"/>
  <c r="T301"/>
  <c r="T293"/>
  <c r="T273"/>
  <c r="T235"/>
  <c r="T225"/>
  <c r="T219"/>
  <c r="T211"/>
  <c r="T195"/>
  <c r="T185"/>
  <c r="T141"/>
  <c r="T117"/>
  <c r="T63"/>
  <c r="T51"/>
  <c r="BP11" i="21"/>
  <c r="N15" i="18" s="1"/>
  <c r="BP10" i="21"/>
  <c r="M15" i="18" s="1"/>
  <c r="BP6" i="21"/>
  <c r="I15" i="18" s="1"/>
  <c r="BP5" i="21"/>
  <c r="H15" i="18" s="1"/>
  <c r="BP9" i="21"/>
  <c r="L15" i="18" s="1"/>
  <c r="BP4" i="21"/>
  <c r="G15" i="18" s="1"/>
  <c r="BP7" i="21"/>
  <c r="J15" i="18" s="1"/>
  <c r="BP3" i="21"/>
  <c r="F15" i="18" s="1"/>
  <c r="BP8" i="21"/>
  <c r="K15" i="18" s="1"/>
  <c r="BP13" i="21"/>
  <c r="BQ11"/>
  <c r="N16" i="18" s="1"/>
  <c r="BQ8" i="21"/>
  <c r="K16" i="18" s="1"/>
  <c r="BQ13" i="21"/>
  <c r="BQ3"/>
  <c r="F16" i="18" s="1"/>
  <c r="BQ5" i="21"/>
  <c r="H16" i="18" s="1"/>
  <c r="BQ10" i="21"/>
  <c r="M16" i="18" s="1"/>
  <c r="BQ6" i="21"/>
  <c r="I16" i="18" s="1"/>
  <c r="BQ7" i="21"/>
  <c r="J16" i="18" s="1"/>
  <c r="BQ4" i="21"/>
  <c r="G16" i="18" s="1"/>
  <c r="BQ9" i="21"/>
  <c r="L16" i="18" s="1"/>
  <c r="T990" i="13"/>
  <c r="T960"/>
  <c r="T956"/>
  <c r="T920"/>
  <c r="T904"/>
  <c r="T900"/>
  <c r="T890"/>
  <c r="T862"/>
  <c r="T776"/>
  <c r="T752"/>
  <c r="T642"/>
  <c r="T564"/>
  <c r="T544"/>
  <c r="T1001"/>
  <c r="T917"/>
  <c r="T807"/>
  <c r="T793"/>
  <c r="T789"/>
  <c r="T721"/>
  <c r="T715"/>
  <c r="T687"/>
  <c r="T679"/>
  <c r="T587"/>
  <c r="T557"/>
  <c r="T458"/>
  <c r="T454"/>
  <c r="T432"/>
  <c r="T424"/>
  <c r="T408"/>
  <c r="T398"/>
  <c r="T374"/>
  <c r="T290"/>
  <c r="T286"/>
  <c r="T254"/>
  <c r="T244"/>
  <c r="T186"/>
  <c r="T134"/>
  <c r="T124"/>
  <c r="T120"/>
  <c r="T58"/>
  <c r="T50"/>
  <c r="T16"/>
  <c r="T513"/>
  <c r="T447"/>
  <c r="T441"/>
  <c r="T437"/>
  <c r="T425"/>
  <c r="T397"/>
  <c r="T389"/>
  <c r="T367"/>
  <c r="T363"/>
  <c r="T297"/>
  <c r="T287"/>
  <c r="T283"/>
  <c r="T265"/>
  <c r="T197"/>
  <c r="T181"/>
  <c r="T177"/>
  <c r="T127"/>
  <c r="T87"/>
  <c r="T27"/>
  <c r="T9"/>
  <c r="AH392"/>
  <c r="AH34"/>
  <c r="T962"/>
  <c r="T954"/>
  <c r="T950"/>
  <c r="T930"/>
  <c r="T892"/>
  <c r="T842"/>
  <c r="T832"/>
  <c r="T790"/>
  <c r="T686"/>
  <c r="T672"/>
  <c r="T624"/>
  <c r="T614"/>
  <c r="T600"/>
  <c r="T592"/>
  <c r="T584"/>
  <c r="T578"/>
  <c r="T552"/>
  <c r="T532"/>
  <c r="T931"/>
  <c r="T905"/>
  <c r="T891"/>
  <c r="T881"/>
  <c r="T771"/>
  <c r="T707"/>
  <c r="T699"/>
  <c r="T685"/>
  <c r="T677"/>
  <c r="T625"/>
  <c r="T613"/>
  <c r="T593"/>
  <c r="T573"/>
  <c r="T565"/>
  <c r="T529"/>
  <c r="T460"/>
  <c r="T384"/>
  <c r="T332"/>
  <c r="T324"/>
  <c r="T282"/>
  <c r="T278"/>
  <c r="T224"/>
  <c r="T178"/>
  <c r="T128"/>
  <c r="T112"/>
  <c r="T86"/>
  <c r="T70"/>
  <c r="T60"/>
  <c r="T28"/>
  <c r="T519"/>
  <c r="T455"/>
  <c r="T439"/>
  <c r="T431"/>
  <c r="T401"/>
  <c r="T375"/>
  <c r="T315"/>
  <c r="T299"/>
  <c r="T289"/>
  <c r="T279"/>
  <c r="T259"/>
  <c r="T223"/>
  <c r="T199"/>
  <c r="T191"/>
  <c r="T183"/>
  <c r="T143"/>
  <c r="T99"/>
  <c r="T47"/>
  <c r="T21"/>
  <c r="T986"/>
  <c r="T982"/>
  <c r="T966"/>
  <c r="T942"/>
  <c r="T938"/>
  <c r="T878"/>
  <c r="T810"/>
  <c r="T802"/>
  <c r="T718"/>
  <c r="T710"/>
  <c r="T698"/>
  <c r="T678"/>
  <c r="T666"/>
  <c r="T662"/>
  <c r="T654"/>
  <c r="T646"/>
  <c r="T626"/>
  <c r="T618"/>
  <c r="T610"/>
  <c r="T590"/>
  <c r="T574"/>
  <c r="T566"/>
  <c r="T562"/>
  <c r="T558"/>
  <c r="T542"/>
  <c r="T522"/>
  <c r="T1005"/>
  <c r="T989"/>
  <c r="T965"/>
  <c r="T957"/>
  <c r="T953"/>
  <c r="T929"/>
  <c r="T841"/>
  <c r="T805"/>
  <c r="T781"/>
  <c r="T773"/>
  <c r="T765"/>
  <c r="T753"/>
  <c r="T725"/>
  <c r="T717"/>
  <c r="T697"/>
  <c r="T633"/>
  <c r="T601"/>
  <c r="T561"/>
  <c r="T541"/>
  <c r="T520"/>
  <c r="T504"/>
  <c r="T484"/>
  <c r="T476"/>
  <c r="T464"/>
  <c r="T440"/>
  <c r="T364"/>
  <c r="T360"/>
  <c r="T356"/>
  <c r="T312"/>
  <c r="T284"/>
  <c r="T276"/>
  <c r="T272"/>
  <c r="T256"/>
  <c r="T208"/>
  <c r="T180"/>
  <c r="T164"/>
  <c r="T160"/>
  <c r="T148"/>
  <c r="T132"/>
  <c r="T116"/>
  <c r="T104"/>
  <c r="T96"/>
  <c r="T84"/>
  <c r="T64"/>
  <c r="T505"/>
  <c r="T485"/>
  <c r="T449"/>
  <c r="T373"/>
  <c r="T369"/>
  <c r="T357"/>
  <c r="T349"/>
  <c r="T325"/>
  <c r="T321"/>
  <c r="T281"/>
  <c r="T233"/>
  <c r="T209"/>
  <c r="T149"/>
  <c r="T97"/>
  <c r="T73"/>
  <c r="AH450"/>
  <c r="T996"/>
  <c r="T896"/>
  <c r="T868"/>
  <c r="T848"/>
  <c r="T836"/>
  <c r="T812"/>
  <c r="T800"/>
  <c r="T796"/>
  <c r="T748"/>
  <c r="T732"/>
  <c r="T692"/>
  <c r="T684"/>
  <c r="T676"/>
  <c r="T640"/>
  <c r="T620"/>
  <c r="T616"/>
  <c r="T588"/>
  <c r="T580"/>
  <c r="T560"/>
  <c r="T548"/>
  <c r="T999"/>
  <c r="T987"/>
  <c r="T975"/>
  <c r="T971"/>
  <c r="T939"/>
  <c r="T935"/>
  <c r="T923"/>
  <c r="T911"/>
  <c r="T899"/>
  <c r="T887"/>
  <c r="T855"/>
  <c r="T819"/>
  <c r="T815"/>
  <c r="T787"/>
  <c r="T779"/>
  <c r="T767"/>
  <c r="T711"/>
  <c r="T659"/>
  <c r="T651"/>
  <c r="T635"/>
  <c r="T603"/>
  <c r="T551"/>
  <c r="T543"/>
  <c r="T502"/>
  <c r="T498"/>
  <c r="T490"/>
  <c r="T474"/>
  <c r="T462"/>
  <c r="T422"/>
  <c r="T410"/>
  <c r="T406"/>
  <c r="T394"/>
  <c r="T390"/>
  <c r="T370"/>
  <c r="T362"/>
  <c r="T350"/>
  <c r="T346"/>
  <c r="T342"/>
  <c r="T314"/>
  <c r="T250"/>
  <c r="T234"/>
  <c r="T214"/>
  <c r="T170"/>
  <c r="T154"/>
  <c r="T130"/>
  <c r="T126"/>
  <c r="T106"/>
  <c r="T82"/>
  <c r="T26"/>
  <c r="T443"/>
  <c r="T403"/>
  <c r="T399"/>
  <c r="T371"/>
  <c r="T343"/>
  <c r="T339"/>
  <c r="T331"/>
  <c r="T291"/>
  <c r="T255"/>
  <c r="T203"/>
  <c r="T151"/>
  <c r="T139"/>
  <c r="T103"/>
  <c r="T79"/>
  <c r="T67"/>
  <c r="T39"/>
  <c r="T15"/>
  <c r="AH695"/>
  <c r="AH402"/>
  <c r="AH207"/>
  <c r="AH187"/>
  <c r="AH316"/>
  <c r="AH476"/>
  <c r="AH774"/>
  <c r="AH796"/>
  <c r="AH971"/>
  <c r="AH835"/>
  <c r="AH394"/>
  <c r="AH574"/>
  <c r="AH598"/>
  <c r="AH201"/>
  <c r="AH214"/>
  <c r="AH390"/>
  <c r="AH970"/>
  <c r="AH431"/>
  <c r="AH103"/>
  <c r="AH56"/>
  <c r="AH872"/>
  <c r="AH570"/>
  <c r="AH423"/>
  <c r="AH984"/>
  <c r="AH954"/>
  <c r="AH595"/>
  <c r="AH331"/>
  <c r="AH955"/>
  <c r="AH407"/>
  <c r="AH135"/>
  <c r="AH616"/>
  <c r="AH122"/>
  <c r="AH65"/>
  <c r="AH287"/>
  <c r="AH384"/>
  <c r="AH672"/>
  <c r="AH106"/>
  <c r="AH875"/>
  <c r="AH60"/>
  <c r="AH468"/>
  <c r="AH462"/>
  <c r="AH646"/>
  <c r="AH758"/>
  <c r="AH589"/>
  <c r="AH983"/>
  <c r="AH323"/>
  <c r="AH13"/>
  <c r="AH202"/>
  <c r="AH957"/>
  <c r="AH771"/>
  <c r="AH144"/>
  <c r="AH364"/>
  <c r="AH652"/>
  <c r="AH518"/>
  <c r="AH904"/>
  <c r="AH617"/>
  <c r="AH773"/>
  <c r="AH265"/>
  <c r="AH185"/>
  <c r="AH240"/>
  <c r="AH332"/>
  <c r="AH532"/>
  <c r="AH54"/>
  <c r="AH510"/>
  <c r="AH690"/>
  <c r="AH961"/>
  <c r="AH865"/>
  <c r="AH125"/>
  <c r="AH336"/>
  <c r="AH428"/>
  <c r="AH452"/>
  <c r="AH852"/>
  <c r="AH42"/>
  <c r="AH350"/>
  <c r="AH458"/>
  <c r="AH889"/>
  <c r="AH303"/>
  <c r="AH263"/>
  <c r="AH107"/>
  <c r="AH292"/>
  <c r="AH416"/>
  <c r="AH190"/>
  <c r="AH498"/>
  <c r="AH810"/>
  <c r="AH848"/>
  <c r="AH821"/>
  <c r="AH953"/>
  <c r="AH261"/>
  <c r="AH999"/>
  <c r="AH489"/>
  <c r="AH369"/>
  <c r="AH281"/>
  <c r="AH443"/>
  <c r="AH291"/>
  <c r="AH188"/>
  <c r="AH252"/>
  <c r="AH412"/>
  <c r="AH850"/>
  <c r="AH110"/>
  <c r="AH162"/>
  <c r="AH670"/>
  <c r="AH829"/>
  <c r="AH725"/>
  <c r="AH429"/>
  <c r="AH1003"/>
  <c r="AH417"/>
  <c r="AH305"/>
  <c r="AH73"/>
  <c r="AH439"/>
  <c r="AH219"/>
  <c r="AH120"/>
  <c r="AH584"/>
  <c r="AH86"/>
  <c r="AH134"/>
  <c r="AH154"/>
  <c r="AH306"/>
  <c r="AH69"/>
  <c r="AH623"/>
  <c r="AH521"/>
  <c r="AH97"/>
  <c r="AH567"/>
  <c r="AH215"/>
  <c r="AH55"/>
  <c r="AH76"/>
  <c r="AH388"/>
  <c r="AH830"/>
  <c r="AH592"/>
  <c r="AH620"/>
  <c r="AH150"/>
  <c r="AH242"/>
  <c r="AH777"/>
  <c r="AH45"/>
  <c r="AH919"/>
  <c r="AH593"/>
  <c r="AH435"/>
  <c r="AH16"/>
  <c r="AH100"/>
  <c r="AH876"/>
  <c r="AH572"/>
  <c r="AH890"/>
  <c r="AH322"/>
  <c r="AH853"/>
  <c r="AH977"/>
  <c r="AH625"/>
  <c r="AH469"/>
  <c r="AH995"/>
  <c r="AH799"/>
  <c r="AH751"/>
  <c r="AH699"/>
  <c r="AH667"/>
  <c r="AH529"/>
  <c r="AH153"/>
  <c r="AH579"/>
  <c r="AH531"/>
  <c r="AH9"/>
  <c r="AH24"/>
  <c r="AH88"/>
  <c r="AH728"/>
  <c r="AH374"/>
  <c r="AH442"/>
  <c r="AH905"/>
  <c r="AH873"/>
  <c r="AH715"/>
  <c r="AH200"/>
  <c r="AH284"/>
  <c r="AH308"/>
  <c r="AH398"/>
  <c r="AH466"/>
  <c r="AH1002"/>
  <c r="AH718"/>
  <c r="AH738"/>
  <c r="AH765"/>
  <c r="AH641"/>
  <c r="AH663"/>
  <c r="AH137"/>
  <c r="AH28"/>
  <c r="AH116"/>
  <c r="AH128"/>
  <c r="AH272"/>
  <c r="AH380"/>
  <c r="AH756"/>
  <c r="AH916"/>
  <c r="AH382"/>
  <c r="AH558"/>
  <c r="AH594"/>
  <c r="AH722"/>
  <c r="AH854"/>
  <c r="AH789"/>
  <c r="AH649"/>
  <c r="AH925"/>
  <c r="AH783"/>
  <c r="AH601"/>
  <c r="AH233"/>
  <c r="AH145"/>
  <c r="AH351"/>
  <c r="AH59"/>
  <c r="AH18"/>
  <c r="AH152"/>
  <c r="AH288"/>
  <c r="AH50"/>
  <c r="AH298"/>
  <c r="AH486"/>
  <c r="AH962"/>
  <c r="AH986"/>
  <c r="AH550"/>
  <c r="AH1001"/>
  <c r="AH653"/>
  <c r="AH437"/>
  <c r="AH277"/>
  <c r="AH659"/>
  <c r="AH391"/>
  <c r="AH235"/>
  <c r="AH164"/>
  <c r="AH368"/>
  <c r="AH628"/>
  <c r="AH832"/>
  <c r="AH858"/>
  <c r="AH30"/>
  <c r="AH454"/>
  <c r="AH602"/>
  <c r="AH706"/>
  <c r="AH964"/>
  <c r="AH701"/>
  <c r="AH461"/>
  <c r="AH157"/>
  <c r="AH293"/>
  <c r="AH947"/>
  <c r="AH907"/>
  <c r="AH735"/>
  <c r="AH707"/>
  <c r="AH561"/>
  <c r="AH313"/>
  <c r="AH81"/>
  <c r="AH547"/>
  <c r="AH519"/>
  <c r="AH475"/>
  <c r="AH395"/>
  <c r="AH355"/>
  <c r="AH347"/>
  <c r="AH223"/>
  <c r="AH17"/>
  <c r="AH220"/>
  <c r="AH396"/>
  <c r="AH944"/>
  <c r="AH596"/>
  <c r="AH270"/>
  <c r="AH430"/>
  <c r="AH792"/>
  <c r="AH710"/>
  <c r="AH770"/>
  <c r="AH945"/>
  <c r="AH533"/>
  <c r="AH893"/>
  <c r="AH117"/>
  <c r="AH615"/>
  <c r="AH47"/>
  <c r="AH96"/>
  <c r="AH204"/>
  <c r="AH236"/>
  <c r="AH930"/>
  <c r="AH668"/>
  <c r="AH708"/>
  <c r="AH22"/>
  <c r="AH186"/>
  <c r="AH490"/>
  <c r="AH820"/>
  <c r="AH980"/>
  <c r="AH937"/>
  <c r="AH657"/>
  <c r="AH685"/>
  <c r="AH333"/>
  <c r="AH445"/>
  <c r="AH585"/>
  <c r="AH497"/>
  <c r="AH289"/>
  <c r="AH217"/>
  <c r="AH121"/>
  <c r="AH255"/>
  <c r="AH63"/>
  <c r="AH92"/>
  <c r="AH140"/>
  <c r="AH990"/>
  <c r="AH608"/>
  <c r="AH874"/>
  <c r="AH1000"/>
  <c r="AH82"/>
  <c r="AH230"/>
  <c r="AH522"/>
  <c r="AH538"/>
  <c r="AH790"/>
  <c r="AH886"/>
  <c r="AH972"/>
  <c r="AH989"/>
  <c r="AH669"/>
  <c r="AH645"/>
  <c r="AH895"/>
  <c r="AH537"/>
  <c r="AH385"/>
  <c r="AH353"/>
  <c r="AH495"/>
  <c r="AH459"/>
  <c r="AH411"/>
  <c r="AH399"/>
  <c r="AH79"/>
  <c r="AH19"/>
  <c r="AH32"/>
  <c r="AH328"/>
  <c r="AH400"/>
  <c r="AH1006"/>
  <c r="AH684"/>
  <c r="AH760"/>
  <c r="AH70"/>
  <c r="AH198"/>
  <c r="AH282"/>
  <c r="AH634"/>
  <c r="AH912"/>
  <c r="AH681"/>
  <c r="AH1005"/>
  <c r="AH909"/>
  <c r="AH509"/>
  <c r="AH229"/>
  <c r="AH935"/>
  <c r="AH795"/>
  <c r="AH743"/>
  <c r="AH727"/>
  <c r="AH511"/>
  <c r="AH379"/>
  <c r="AH335"/>
  <c r="AH251"/>
  <c r="AH99"/>
  <c r="AH80"/>
  <c r="AH208"/>
  <c r="AH356"/>
  <c r="AH496"/>
  <c r="AH952"/>
  <c r="AH660"/>
  <c r="AH724"/>
  <c r="AH958"/>
  <c r="AH26"/>
  <c r="AH66"/>
  <c r="AH98"/>
  <c r="AH546"/>
  <c r="AH622"/>
  <c r="AH658"/>
  <c r="AH714"/>
  <c r="AH828"/>
  <c r="AH870"/>
  <c r="AH894"/>
  <c r="AH928"/>
  <c r="AH993"/>
  <c r="AH881"/>
  <c r="AH793"/>
  <c r="AH745"/>
  <c r="AH501"/>
  <c r="AH741"/>
  <c r="AH637"/>
  <c r="AH357"/>
  <c r="AH987"/>
  <c r="AH975"/>
  <c r="AH851"/>
  <c r="AH823"/>
  <c r="AH747"/>
  <c r="AH719"/>
  <c r="AH505"/>
  <c r="AH33"/>
  <c r="AH575"/>
  <c r="AH555"/>
  <c r="AH447"/>
  <c r="AH375"/>
  <c r="AH327"/>
  <c r="AH195"/>
  <c r="AH31"/>
  <c r="AH156"/>
  <c r="AH256"/>
  <c r="AH352"/>
  <c r="AH540"/>
  <c r="AH656"/>
  <c r="AH716"/>
  <c r="AH816"/>
  <c r="AH118"/>
  <c r="AH130"/>
  <c r="AH146"/>
  <c r="AH210"/>
  <c r="AH226"/>
  <c r="AH238"/>
  <c r="AH250"/>
  <c r="AH514"/>
  <c r="AH566"/>
  <c r="AH626"/>
  <c r="AH666"/>
  <c r="AH734"/>
  <c r="AH841"/>
  <c r="AH661"/>
  <c r="AH613"/>
  <c r="AH365"/>
  <c r="AH325"/>
  <c r="AH61"/>
  <c r="AH703"/>
  <c r="AH655"/>
  <c r="AH457"/>
  <c r="AH603"/>
  <c r="AH295"/>
  <c r="AH211"/>
  <c r="AH203"/>
  <c r="AH35"/>
  <c r="AH112"/>
  <c r="AH324"/>
  <c r="AH376"/>
  <c r="AH456"/>
  <c r="AH500"/>
  <c r="AH536"/>
  <c r="AH544"/>
  <c r="AH676"/>
  <c r="AH692"/>
  <c r="AH720"/>
  <c r="AH740"/>
  <c r="AH824"/>
  <c r="AH906"/>
  <c r="AH942"/>
  <c r="AH968"/>
  <c r="AH1008"/>
  <c r="AH46"/>
  <c r="AH178"/>
  <c r="AH286"/>
  <c r="AH354"/>
  <c r="AH618"/>
  <c r="AH678"/>
  <c r="AH702"/>
  <c r="AH800"/>
  <c r="AH921"/>
  <c r="AH557"/>
  <c r="AH77"/>
  <c r="AH963"/>
  <c r="AH867"/>
  <c r="AH839"/>
  <c r="AH739"/>
  <c r="AH639"/>
  <c r="AH433"/>
  <c r="AH401"/>
  <c r="AH297"/>
  <c r="AH515"/>
  <c r="AH415"/>
  <c r="AH387"/>
  <c r="AH359"/>
  <c r="AH343"/>
  <c r="AH267"/>
  <c r="AH75"/>
  <c r="AH172"/>
  <c r="AH268"/>
  <c r="AH524"/>
  <c r="AH556"/>
  <c r="AH576"/>
  <c r="AH700"/>
  <c r="AH976"/>
  <c r="AH194"/>
  <c r="AH266"/>
  <c r="AH318"/>
  <c r="AH378"/>
  <c r="AH682"/>
  <c r="AH698"/>
  <c r="AH812"/>
  <c r="AH862"/>
  <c r="AH769"/>
  <c r="AH565"/>
  <c r="AH877"/>
  <c r="AH525"/>
  <c r="AH405"/>
  <c r="AH269"/>
  <c r="AH381"/>
  <c r="AH883"/>
  <c r="AH871"/>
  <c r="AH847"/>
  <c r="AH819"/>
  <c r="AH779"/>
  <c r="AH671"/>
  <c r="AH449"/>
  <c r="AH559"/>
  <c r="AH455"/>
  <c r="AH367"/>
  <c r="AH283"/>
  <c r="AH84"/>
  <c r="AH196"/>
  <c r="AH404"/>
  <c r="AH516"/>
  <c r="AH914"/>
  <c r="AH966"/>
  <c r="AH624"/>
  <c r="AH632"/>
  <c r="AH712"/>
  <c r="AH74"/>
  <c r="AH114"/>
  <c r="AH234"/>
  <c r="AH334"/>
  <c r="AH342"/>
  <c r="AH366"/>
  <c r="AH506"/>
  <c r="AH910"/>
  <c r="AH934"/>
  <c r="AH994"/>
  <c r="AH582"/>
  <c r="AH686"/>
  <c r="AH694"/>
  <c r="AH726"/>
  <c r="AH878"/>
  <c r="AH949"/>
  <c r="AH857"/>
  <c r="AH493"/>
  <c r="AH213"/>
  <c r="AH807"/>
  <c r="AH723"/>
  <c r="AH635"/>
  <c r="AH209"/>
  <c r="AH193"/>
  <c r="AH587"/>
  <c r="AH491"/>
  <c r="AH275"/>
  <c r="AH247"/>
  <c r="AH139"/>
  <c r="AH119"/>
  <c r="AH95"/>
  <c r="AH51"/>
  <c r="AH43"/>
  <c r="AH64"/>
  <c r="AH72"/>
  <c r="AH132"/>
  <c r="AH192"/>
  <c r="AH312"/>
  <c r="AH420"/>
  <c r="AH860"/>
  <c r="AH974"/>
  <c r="AH696"/>
  <c r="AH808"/>
  <c r="AH138"/>
  <c r="AH246"/>
  <c r="AH326"/>
  <c r="AH338"/>
  <c r="AH470"/>
  <c r="AH926"/>
  <c r="AH981"/>
  <c r="AH761"/>
  <c r="AH597"/>
  <c r="AH869"/>
  <c r="AH781"/>
  <c r="AH141"/>
  <c r="AH943"/>
  <c r="AH931"/>
  <c r="AH787"/>
  <c r="AH763"/>
  <c r="AH683"/>
  <c r="AH569"/>
  <c r="AH249"/>
  <c r="AH57"/>
  <c r="AH591"/>
  <c r="AH427"/>
  <c r="AH299"/>
  <c r="AH259"/>
  <c r="AH239"/>
  <c r="AH151"/>
  <c r="AH20"/>
  <c r="AH36"/>
  <c r="AH108"/>
  <c r="AH136"/>
  <c r="AH168"/>
  <c r="AH216"/>
  <c r="AH228"/>
  <c r="AH280"/>
  <c r="AH300"/>
  <c r="AH320"/>
  <c r="AH448"/>
  <c r="AH464"/>
  <c r="AH528"/>
  <c r="AH806"/>
  <c r="AH838"/>
  <c r="AH580"/>
  <c r="AH664"/>
  <c r="AH680"/>
  <c r="AH732"/>
  <c r="AH752"/>
  <c r="AH772"/>
  <c r="AH866"/>
  <c r="AH882"/>
  <c r="AH900"/>
  <c r="AH58"/>
  <c r="AH78"/>
  <c r="AH170"/>
  <c r="AH182"/>
  <c r="AH218"/>
  <c r="AH254"/>
  <c r="AH278"/>
  <c r="AH346"/>
  <c r="AH896"/>
  <c r="AH978"/>
  <c r="AH638"/>
  <c r="AH778"/>
  <c r="AH804"/>
  <c r="AH846"/>
  <c r="AH920"/>
  <c r="AH938"/>
  <c r="AH929"/>
  <c r="AH849"/>
  <c r="AH825"/>
  <c r="AH785"/>
  <c r="AH705"/>
  <c r="AH673"/>
  <c r="AH693"/>
  <c r="AH301"/>
  <c r="AH237"/>
  <c r="AH413"/>
  <c r="AH181"/>
  <c r="AH149"/>
  <c r="AH887"/>
  <c r="AH643"/>
  <c r="AH627"/>
  <c r="AH577"/>
  <c r="AH465"/>
  <c r="AH393"/>
  <c r="AH257"/>
  <c r="AH169"/>
  <c r="AH419"/>
  <c r="AH383"/>
  <c r="AH311"/>
  <c r="AH115"/>
  <c r="AH67"/>
  <c r="AH44"/>
  <c r="AH104"/>
  <c r="AH264"/>
  <c r="AH344"/>
  <c r="AH424"/>
  <c r="AH460"/>
  <c r="AH480"/>
  <c r="AH908"/>
  <c r="AH552"/>
  <c r="AH568"/>
  <c r="AH612"/>
  <c r="AH704"/>
  <c r="AH798"/>
  <c r="AH932"/>
  <c r="AH950"/>
  <c r="AH158"/>
  <c r="AH166"/>
  <c r="AH262"/>
  <c r="AH294"/>
  <c r="AH478"/>
  <c r="AH530"/>
  <c r="AH880"/>
  <c r="AH918"/>
  <c r="AH554"/>
  <c r="AH562"/>
  <c r="AH590"/>
  <c r="AH614"/>
  <c r="AH996"/>
  <c r="AH965"/>
  <c r="AH933"/>
  <c r="AH969"/>
  <c r="AH713"/>
  <c r="AH665"/>
  <c r="AH633"/>
  <c r="AH581"/>
  <c r="AH549"/>
  <c r="AH845"/>
  <c r="AH453"/>
  <c r="AH421"/>
  <c r="AH373"/>
  <c r="AH317"/>
  <c r="AH221"/>
  <c r="AH101"/>
  <c r="AH53"/>
  <c r="AH165"/>
  <c r="AH133"/>
  <c r="AH93"/>
  <c r="AH29"/>
  <c r="AH791"/>
  <c r="AH775"/>
  <c r="AH687"/>
  <c r="AH679"/>
  <c r="AH651"/>
  <c r="AH481"/>
  <c r="AH599"/>
  <c r="AH583"/>
  <c r="AH339"/>
  <c r="AH279"/>
  <c r="AH231"/>
  <c r="AH91"/>
  <c r="AH48"/>
  <c r="AH160"/>
  <c r="AH180"/>
  <c r="AH408"/>
  <c r="AH492"/>
  <c r="AH512"/>
  <c r="AH844"/>
  <c r="AH922"/>
  <c r="AH960"/>
  <c r="AH548"/>
  <c r="AH636"/>
  <c r="AH644"/>
  <c r="AH688"/>
  <c r="AH744"/>
  <c r="AH788"/>
  <c r="AH802"/>
  <c r="AH94"/>
  <c r="AH258"/>
  <c r="AH406"/>
  <c r="AH438"/>
  <c r="AH446"/>
  <c r="AH834"/>
  <c r="AH864"/>
  <c r="AH948"/>
  <c r="AH542"/>
  <c r="AH997"/>
  <c r="AH901"/>
  <c r="AH861"/>
  <c r="AH801"/>
  <c r="AH689"/>
  <c r="AH609"/>
  <c r="AH749"/>
  <c r="AH733"/>
  <c r="AH709"/>
  <c r="AH677"/>
  <c r="AH629"/>
  <c r="AH349"/>
  <c r="AH341"/>
  <c r="AH967"/>
  <c r="AH939"/>
  <c r="AH923"/>
  <c r="AH915"/>
  <c r="AH831"/>
  <c r="AH811"/>
  <c r="AH803"/>
  <c r="AH553"/>
  <c r="AH409"/>
  <c r="AH329"/>
  <c r="AH241"/>
  <c r="AH225"/>
  <c r="AH177"/>
  <c r="AH527"/>
  <c r="AH507"/>
  <c r="AH499"/>
  <c r="AH483"/>
  <c r="AH471"/>
  <c r="AH371"/>
  <c r="AH363"/>
  <c r="AH243"/>
  <c r="AH179"/>
  <c r="AH167"/>
  <c r="AH131"/>
  <c r="AH83"/>
  <c r="AH39"/>
  <c r="AH14"/>
  <c r="AH184"/>
  <c r="AH248"/>
  <c r="AH348"/>
  <c r="AH444"/>
  <c r="AH508"/>
  <c r="AH892"/>
  <c r="AH560"/>
  <c r="AH640"/>
  <c r="AH784"/>
  <c r="AH842"/>
  <c r="AH924"/>
  <c r="AH38"/>
  <c r="AH90"/>
  <c r="AH222"/>
  <c r="AH290"/>
  <c r="AH314"/>
  <c r="AH358"/>
  <c r="AH386"/>
  <c r="AH482"/>
  <c r="AH502"/>
  <c r="AH888"/>
  <c r="AH610"/>
  <c r="AH654"/>
  <c r="AH662"/>
  <c r="AH766"/>
  <c r="AH786"/>
  <c r="AH836"/>
  <c r="AH917"/>
  <c r="AH885"/>
  <c r="AH913"/>
  <c r="AH897"/>
  <c r="AH737"/>
  <c r="AH485"/>
  <c r="AH797"/>
  <c r="AH621"/>
  <c r="AH605"/>
  <c r="AH541"/>
  <c r="AH477"/>
  <c r="AH85"/>
  <c r="AH245"/>
  <c r="AH979"/>
  <c r="AH951"/>
  <c r="AH927"/>
  <c r="AH855"/>
  <c r="AH827"/>
  <c r="AH767"/>
  <c r="AH759"/>
  <c r="AH711"/>
  <c r="AH545"/>
  <c r="AH513"/>
  <c r="AH441"/>
  <c r="AH321"/>
  <c r="AH571"/>
  <c r="AH551"/>
  <c r="AH503"/>
  <c r="AH467"/>
  <c r="AH451"/>
  <c r="AH319"/>
  <c r="AH271"/>
  <c r="AH175"/>
  <c r="AH155"/>
  <c r="AH147"/>
  <c r="AH123"/>
  <c r="AH87"/>
  <c r="AH40"/>
  <c r="AH176"/>
  <c r="AH224"/>
  <c r="AH232"/>
  <c r="AH296"/>
  <c r="AH304"/>
  <c r="AH360"/>
  <c r="AH432"/>
  <c r="AH472"/>
  <c r="AH488"/>
  <c r="AH504"/>
  <c r="AH520"/>
  <c r="AH822"/>
  <c r="AH868"/>
  <c r="AH898"/>
  <c r="AH564"/>
  <c r="AH588"/>
  <c r="AH604"/>
  <c r="AH780"/>
  <c r="AH992"/>
  <c r="AH274"/>
  <c r="AH330"/>
  <c r="AH370"/>
  <c r="AH410"/>
  <c r="AH418"/>
  <c r="AH426"/>
  <c r="AH434"/>
  <c r="AH826"/>
  <c r="AH840"/>
  <c r="AH856"/>
  <c r="AH534"/>
  <c r="AH606"/>
  <c r="AH630"/>
  <c r="AH750"/>
  <c r="AH782"/>
  <c r="AH946"/>
  <c r="AH837"/>
  <c r="AH805"/>
  <c r="AH833"/>
  <c r="AH817"/>
  <c r="AH753"/>
  <c r="AH721"/>
  <c r="AH517"/>
  <c r="AH973"/>
  <c r="AH941"/>
  <c r="AH813"/>
  <c r="AH757"/>
  <c r="AH37"/>
  <c r="AH397"/>
  <c r="AH309"/>
  <c r="AH899"/>
  <c r="AH891"/>
  <c r="AH859"/>
  <c r="AH843"/>
  <c r="AH755"/>
  <c r="AH731"/>
  <c r="AH691"/>
  <c r="AH675"/>
  <c r="AH619"/>
  <c r="AH611"/>
  <c r="AH473"/>
  <c r="AH425"/>
  <c r="AH377"/>
  <c r="AH361"/>
  <c r="AH345"/>
  <c r="AH105"/>
  <c r="AH89"/>
  <c r="AH41"/>
  <c r="AH25"/>
  <c r="AH543"/>
  <c r="AH535"/>
  <c r="AH479"/>
  <c r="AH199"/>
  <c r="AH191"/>
  <c r="AH183"/>
  <c r="AH159"/>
  <c r="AH143"/>
  <c r="AH127"/>
  <c r="AH111"/>
  <c r="AH71"/>
  <c r="AH23"/>
  <c r="AH124"/>
  <c r="AH148"/>
  <c r="AH212"/>
  <c r="AH244"/>
  <c r="AH260"/>
  <c r="AH276"/>
  <c r="AH340"/>
  <c r="AH372"/>
  <c r="AH436"/>
  <c r="AH484"/>
  <c r="AH814"/>
  <c r="AH936"/>
  <c r="AH982"/>
  <c r="AH998"/>
  <c r="AH600"/>
  <c r="AH648"/>
  <c r="AH768"/>
  <c r="AH776"/>
  <c r="AH794"/>
  <c r="AH62"/>
  <c r="AH102"/>
  <c r="AH126"/>
  <c r="AH142"/>
  <c r="AH174"/>
  <c r="AH206"/>
  <c r="AH302"/>
  <c r="AH310"/>
  <c r="AH414"/>
  <c r="AH422"/>
  <c r="AH494"/>
  <c r="AH940"/>
  <c r="AH956"/>
  <c r="AH586"/>
  <c r="AH642"/>
  <c r="AH650"/>
  <c r="AH674"/>
  <c r="AH730"/>
  <c r="AH746"/>
  <c r="AH754"/>
  <c r="AH762"/>
  <c r="AH902"/>
  <c r="AH988"/>
  <c r="AH1004"/>
  <c r="AH985"/>
  <c r="AH809"/>
  <c r="AH729"/>
  <c r="AH697"/>
  <c r="AH717"/>
  <c r="AH389"/>
  <c r="AH285"/>
  <c r="AH253"/>
  <c r="AH189"/>
  <c r="AH197"/>
  <c r="AH109"/>
  <c r="AH1007"/>
  <c r="AH991"/>
  <c r="AH959"/>
  <c r="AH911"/>
  <c r="AH903"/>
  <c r="AH879"/>
  <c r="AH815"/>
  <c r="AH647"/>
  <c r="AH607"/>
  <c r="AH337"/>
  <c r="AH273"/>
  <c r="AH161"/>
  <c r="AH129"/>
  <c r="AH49"/>
  <c r="AH563"/>
  <c r="AH539"/>
  <c r="AH523"/>
  <c r="AH403"/>
  <c r="AH315"/>
  <c r="AH307"/>
  <c r="AH227"/>
  <c r="AH171"/>
  <c r="AH163"/>
  <c r="AH27"/>
  <c r="AH21"/>
  <c r="I52" i="17"/>
  <c r="K52"/>
  <c r="I36"/>
  <c r="K36"/>
  <c r="I51"/>
  <c r="K51"/>
  <c r="I47"/>
  <c r="K47"/>
  <c r="I43"/>
  <c r="K43"/>
  <c r="I39"/>
  <c r="K39"/>
  <c r="I37"/>
  <c r="K37"/>
  <c r="I54"/>
  <c r="K54"/>
  <c r="I50"/>
  <c r="K50"/>
  <c r="I46"/>
  <c r="K46"/>
  <c r="I42"/>
  <c r="K42"/>
  <c r="I53"/>
  <c r="K53"/>
  <c r="I45"/>
  <c r="K45"/>
  <c r="I41"/>
  <c r="K41"/>
  <c r="I44"/>
  <c r="I48"/>
  <c r="I40"/>
  <c r="I38"/>
  <c r="I49"/>
  <c r="AD28"/>
  <c r="G35"/>
  <c r="AE20"/>
  <c r="AF20" s="1"/>
  <c r="AE12"/>
  <c r="AF12" s="1"/>
  <c r="AE17"/>
  <c r="AF17" s="1"/>
  <c r="AE9"/>
  <c r="AF9" s="1"/>
  <c r="AE14"/>
  <c r="AF14" s="1"/>
  <c r="AE19"/>
  <c r="AF19" s="1"/>
  <c r="AE11"/>
  <c r="AF11" s="1"/>
  <c r="AE16"/>
  <c r="AF16" s="1"/>
  <c r="AE8"/>
  <c r="AE21"/>
  <c r="AF21" s="1"/>
  <c r="AE13"/>
  <c r="AF13" s="1"/>
  <c r="AE18"/>
  <c r="AF18" s="1"/>
  <c r="AE10"/>
  <c r="AF10" s="1"/>
  <c r="AE15"/>
  <c r="AF15" s="1"/>
  <c r="BM7" i="21" l="1"/>
  <c r="J12" i="18" s="1"/>
  <c r="BM4" i="21"/>
  <c r="G12" i="18" s="1"/>
  <c r="BM9" i="21"/>
  <c r="L12" i="18" s="1"/>
  <c r="BM6" i="21"/>
  <c r="I12" i="18" s="1"/>
  <c r="BM3" i="21"/>
  <c r="F12" i="18" s="1"/>
  <c r="BM5" i="21"/>
  <c r="H12" i="18" s="1"/>
  <c r="BM8" i="21"/>
  <c r="K12" i="18" s="1"/>
  <c r="BM13" i="21"/>
  <c r="BM10"/>
  <c r="M12" i="18" s="1"/>
  <c r="BM11" i="21"/>
  <c r="N12" i="18" s="1"/>
  <c r="G18" i="17"/>
  <c r="O16" i="18"/>
  <c r="G17" i="17"/>
  <c r="O15" i="18"/>
  <c r="I35" i="17"/>
  <c r="K35"/>
  <c r="K56" s="1"/>
  <c r="AF8"/>
  <c r="AF28" s="1"/>
  <c r="AE28"/>
  <c r="G14" l="1"/>
  <c r="O12" i="18"/>
  <c r="BI11" i="21"/>
  <c r="N8" i="18" s="1"/>
  <c r="BI10" i="21"/>
  <c r="M8" i="18" s="1"/>
  <c r="BI8" i="21"/>
  <c r="K8" i="18" s="1"/>
  <c r="BI7" i="21"/>
  <c r="J8" i="18" s="1"/>
  <c r="BI4" i="21"/>
  <c r="G8" i="18" s="1"/>
  <c r="BI9" i="21"/>
  <c r="L8" i="18" s="1"/>
  <c r="BI6" i="21"/>
  <c r="I8" i="18" s="1"/>
  <c r="BI3" i="21"/>
  <c r="F8" i="18" s="1"/>
  <c r="BI5" i="21"/>
  <c r="H8" i="18" s="1"/>
  <c r="BI13" i="21"/>
  <c r="I55" i="17"/>
  <c r="K57"/>
  <c r="I56"/>
  <c r="K55"/>
  <c r="G55"/>
  <c r="G10" l="1"/>
  <c r="O8" i="18"/>
  <c r="H36" i="17"/>
  <c r="J36" s="1"/>
  <c r="H38"/>
  <c r="J38" s="1"/>
  <c r="H40"/>
  <c r="J40" s="1"/>
  <c r="H42"/>
  <c r="H44"/>
  <c r="J44" s="1"/>
  <c r="H46"/>
  <c r="J46" s="1"/>
  <c r="H48"/>
  <c r="H35"/>
  <c r="J35" s="1"/>
  <c r="H37"/>
  <c r="H39"/>
  <c r="J39" s="1"/>
  <c r="H41"/>
  <c r="J41" s="1"/>
  <c r="H43"/>
  <c r="J43" s="1"/>
  <c r="H45"/>
  <c r="J45" s="1"/>
  <c r="H47"/>
  <c r="H49"/>
  <c r="H51"/>
  <c r="H50"/>
  <c r="H53"/>
  <c r="H52"/>
  <c r="H54"/>
  <c r="J37" l="1"/>
  <c r="J55" s="1"/>
  <c r="I58"/>
  <c r="I59"/>
  <c r="J59"/>
  <c r="K59"/>
  <c r="H55"/>
  <c r="J57" l="1"/>
  <c r="J56"/>
  <c r="AE309" i="13"/>
  <c r="AE975" l="1"/>
  <c r="AE834"/>
  <c r="AE491"/>
  <c r="AE861"/>
  <c r="AE997"/>
  <c r="AE952"/>
  <c r="AE719"/>
  <c r="AE824"/>
  <c r="AE753"/>
  <c r="AE494"/>
  <c r="AE583"/>
  <c r="AE602"/>
  <c r="AE832"/>
  <c r="AE948"/>
  <c r="AE783"/>
  <c r="AE513"/>
  <c r="AE903"/>
  <c r="AE697"/>
  <c r="AE744"/>
  <c r="AE685"/>
  <c r="AE451"/>
  <c r="AE966"/>
  <c r="AE709"/>
  <c r="AE559"/>
  <c r="AE626"/>
  <c r="AE467"/>
  <c r="AE363"/>
  <c r="AE665"/>
  <c r="AE613"/>
  <c r="AE983"/>
  <c r="AE502"/>
  <c r="AE539"/>
  <c r="AE589"/>
  <c r="AE512"/>
  <c r="AE625"/>
  <c r="AE865"/>
  <c r="AE581"/>
  <c r="AE677"/>
  <c r="AE321"/>
  <c r="AE445"/>
  <c r="AE450"/>
  <c r="AE327"/>
  <c r="AE599"/>
  <c r="AE386"/>
  <c r="AE965"/>
  <c r="AE825"/>
  <c r="AE995"/>
  <c r="AE649"/>
  <c r="AE672"/>
  <c r="AE920"/>
  <c r="AE590"/>
  <c r="AE1004"/>
  <c r="AE687"/>
  <c r="AE591"/>
  <c r="AE532"/>
  <c r="AE946"/>
  <c r="AE547"/>
  <c r="AE999"/>
  <c r="AE551"/>
  <c r="AE607"/>
  <c r="AE561"/>
  <c r="AE343"/>
  <c r="AE859"/>
  <c r="AE993"/>
  <c r="AE405"/>
  <c r="AE793"/>
  <c r="AE891"/>
  <c r="AE679"/>
  <c r="AE378"/>
  <c r="AE763"/>
  <c r="AE873"/>
  <c r="AE682"/>
  <c r="AE954"/>
  <c r="AE771"/>
  <c r="AE945"/>
  <c r="AE739"/>
  <c r="AE690"/>
  <c r="AE827"/>
  <c r="AE990"/>
  <c r="AE712"/>
  <c r="AE939"/>
  <c r="AE916"/>
  <c r="AE748"/>
  <c r="AE922"/>
  <c r="AE1000"/>
  <c r="AE355"/>
  <c r="AE908"/>
  <c r="AE489"/>
  <c r="AE541"/>
  <c r="AE888"/>
  <c r="AE949"/>
  <c r="AE882"/>
  <c r="AE330"/>
  <c r="AE375"/>
  <c r="AE686"/>
  <c r="AE466"/>
  <c r="AE346"/>
  <c r="AE775"/>
  <c r="AE555"/>
  <c r="AE621"/>
  <c r="AE761"/>
  <c r="AE329"/>
  <c r="AE373"/>
  <c r="AE984"/>
  <c r="AE815"/>
  <c r="AE681"/>
  <c r="AE989"/>
  <c r="AE506"/>
  <c r="AE1003"/>
  <c r="AE586"/>
  <c r="AE1007"/>
  <c r="AE630"/>
  <c r="AE699"/>
  <c r="AE499"/>
  <c r="AE656"/>
  <c r="AE921"/>
  <c r="AE969"/>
  <c r="AE552"/>
  <c r="AE957"/>
  <c r="AE674"/>
  <c r="AE380"/>
  <c r="AE842"/>
  <c r="AE454"/>
  <c r="AE797"/>
  <c r="AE936"/>
  <c r="AE789"/>
  <c r="AE318"/>
  <c r="AE769"/>
  <c r="AE575"/>
  <c r="AE822"/>
  <c r="AE847"/>
  <c r="AE578"/>
  <c r="AE819"/>
  <c r="AE641"/>
  <c r="AE835"/>
  <c r="AE471"/>
  <c r="AE688"/>
  <c r="AE553"/>
  <c r="AE914"/>
  <c r="AE905"/>
  <c r="AE455"/>
  <c r="AE788"/>
  <c r="AE531"/>
  <c r="AE752"/>
  <c r="AE973"/>
  <c r="AE354"/>
  <c r="AE362"/>
  <c r="AE615"/>
  <c r="AE577"/>
  <c r="AE497"/>
  <c r="AE576"/>
  <c r="AE950"/>
  <c r="AE569"/>
  <c r="AE877"/>
  <c r="AE857"/>
  <c r="AE747"/>
  <c r="AE707"/>
  <c r="AE371"/>
  <c r="AE658"/>
  <c r="AE751"/>
  <c r="AE542"/>
  <c r="AE1002"/>
  <c r="AE787"/>
  <c r="AE909"/>
  <c r="AE391"/>
  <c r="AE533"/>
  <c r="AE803"/>
  <c r="AE967"/>
  <c r="AE418"/>
  <c r="AE570"/>
  <c r="AE470"/>
  <c r="AE817"/>
  <c r="AE608"/>
  <c r="AE654"/>
  <c r="AE874"/>
  <c r="AE503"/>
  <c r="AE714"/>
  <c r="AE902"/>
  <c r="AE944"/>
  <c r="AE601"/>
  <c r="AE734"/>
  <c r="AE974"/>
  <c r="AE833"/>
  <c r="AE918"/>
  <c r="AE538"/>
  <c r="AE611"/>
  <c r="AE634"/>
  <c r="AE762"/>
  <c r="AE863"/>
  <c r="AE779"/>
  <c r="AE933"/>
  <c r="AE837"/>
  <c r="AE778"/>
  <c r="AE462"/>
  <c r="AE323"/>
  <c r="AE801"/>
  <c r="AE426"/>
  <c r="AE322"/>
  <c r="AE478"/>
  <c r="AE650"/>
  <c r="AE831"/>
  <c r="AE504"/>
  <c r="AE593"/>
  <c r="AE411"/>
  <c r="AE536"/>
  <c r="AE774"/>
  <c r="AE653"/>
  <c r="AE545"/>
  <c r="AE629"/>
  <c r="AE849"/>
  <c r="AE730"/>
  <c r="AE485"/>
  <c r="AE725"/>
  <c r="AE881"/>
  <c r="AE754"/>
  <c r="AE864"/>
  <c r="AE711"/>
  <c r="AE662"/>
  <c r="AE487"/>
  <c r="AE910"/>
  <c r="AE419"/>
  <c r="AE843"/>
  <c r="AE486"/>
  <c r="AE962"/>
  <c r="AE913"/>
  <c r="AE992"/>
  <c r="AE964"/>
  <c r="AE549"/>
  <c r="AE631"/>
  <c r="AE811"/>
  <c r="AE823"/>
  <c r="AE871"/>
  <c r="AE351"/>
  <c r="AE721"/>
  <c r="AE757"/>
  <c r="AE742"/>
  <c r="AE410"/>
  <c r="AE854"/>
  <c r="AE622"/>
  <c r="AE328"/>
  <c r="AE749"/>
  <c r="AE934"/>
  <c r="AE637"/>
  <c r="AE942"/>
  <c r="AE1006"/>
  <c r="AE717"/>
  <c r="AE357"/>
  <c r="AE978"/>
  <c r="AE393"/>
  <c r="AE448"/>
  <c r="AE759"/>
  <c r="AE399"/>
  <c r="AE683"/>
  <c r="AE855"/>
  <c r="AE701"/>
  <c r="AE442"/>
  <c r="AE537"/>
  <c r="AE705"/>
  <c r="AE627"/>
  <c r="AE668"/>
  <c r="AE850"/>
  <c r="AE702"/>
  <c r="AE876"/>
  <c r="AE477"/>
  <c r="AE796"/>
  <c r="AE439"/>
  <c r="AE845"/>
  <c r="AE388"/>
  <c r="AE519"/>
  <c r="AE610"/>
  <c r="AE860"/>
  <c r="AE605"/>
  <c r="AE403"/>
  <c r="AE441"/>
  <c r="AE666"/>
  <c r="AE507"/>
  <c r="AE556"/>
  <c r="AE603"/>
  <c r="AE412"/>
  <c r="AE802"/>
  <c r="AE988"/>
  <c r="AE838"/>
  <c r="AE340"/>
  <c r="AE970"/>
  <c r="AE694"/>
  <c r="AE879"/>
  <c r="AE361"/>
  <c r="AE514"/>
  <c r="AE773"/>
  <c r="AE526"/>
  <c r="AE868"/>
  <c r="AE609"/>
  <c r="AE799"/>
  <c r="AE566"/>
  <c r="AE858"/>
  <c r="AE830"/>
  <c r="AE840"/>
  <c r="AE606"/>
  <c r="AE895"/>
  <c r="AE397"/>
  <c r="AE746"/>
  <c r="AE726"/>
  <c r="AE981"/>
  <c r="AE693"/>
  <c r="AE528"/>
  <c r="AE437"/>
  <c r="AE767"/>
  <c r="AE911"/>
  <c r="AE573"/>
  <c r="AE313"/>
  <c r="AE795"/>
  <c r="AE359"/>
  <c r="AE691"/>
  <c r="AE738"/>
  <c r="AE743"/>
  <c r="AE977"/>
  <c r="AE805"/>
  <c r="AE515"/>
  <c r="AE928"/>
  <c r="AE723"/>
  <c r="AE671"/>
  <c r="AE453"/>
  <c r="AE706"/>
  <c r="AE413"/>
  <c r="AE554"/>
  <c r="AE339"/>
  <c r="AE417"/>
  <c r="AE596"/>
  <c r="AE404"/>
  <c r="AE912"/>
  <c r="AE584"/>
  <c r="AE435"/>
  <c r="AE643"/>
  <c r="AE331"/>
  <c r="AE971"/>
  <c r="AE635"/>
  <c r="AE474"/>
  <c r="AE344"/>
  <c r="AE786"/>
  <c r="AE614"/>
  <c r="AE520"/>
  <c r="AE692"/>
  <c r="AE809"/>
  <c r="AE813"/>
  <c r="AE335"/>
  <c r="AE923"/>
  <c r="AE516"/>
  <c r="AE956"/>
  <c r="AE468"/>
  <c r="AE342"/>
  <c r="AE866"/>
  <c r="AE568"/>
  <c r="AE766"/>
  <c r="AE479"/>
  <c r="AE314"/>
  <c r="AE447"/>
  <c r="AE959"/>
  <c r="AE334"/>
  <c r="AE947"/>
  <c r="AE917"/>
  <c r="AE851"/>
  <c r="AE459"/>
  <c r="AE446"/>
  <c r="AE758"/>
  <c r="AE644"/>
  <c r="AE517"/>
  <c r="AE457"/>
  <c r="AE523"/>
  <c r="AE659"/>
  <c r="AE826"/>
  <c r="AE808"/>
  <c r="AE932"/>
  <c r="AE755"/>
  <c r="AE623"/>
  <c r="AE731"/>
  <c r="AE897"/>
  <c r="AE407"/>
  <c r="AE791"/>
  <c r="AE483"/>
  <c r="AE511"/>
  <c r="AE853"/>
  <c r="AE429"/>
  <c r="AE597"/>
  <c r="AE557"/>
  <c r="AE618"/>
  <c r="AE816"/>
  <c r="AE926"/>
  <c r="AE415"/>
  <c r="AE987"/>
  <c r="AE720"/>
  <c r="AE924"/>
  <c r="AE678"/>
  <c r="AE632"/>
  <c r="AE422"/>
  <c r="AE675"/>
  <c r="AE732"/>
  <c r="AE878"/>
  <c r="AE356"/>
  <c r="AE444"/>
  <c r="AE703"/>
  <c r="AE885"/>
  <c r="AE727"/>
  <c r="AE420"/>
  <c r="AE718"/>
  <c r="AE698"/>
  <c r="AE612"/>
  <c r="AE383"/>
  <c r="AE406"/>
  <c r="AE673"/>
  <c r="AE349"/>
  <c r="AE856"/>
  <c r="AE704"/>
  <c r="AE480"/>
  <c r="AE376"/>
  <c r="AE481"/>
  <c r="AE919"/>
  <c r="AE976"/>
  <c r="AE998"/>
  <c r="AE544"/>
  <c r="AE484"/>
  <c r="AE765"/>
  <c r="AE972"/>
  <c r="AE465"/>
  <c r="AE505"/>
  <c r="AE565"/>
  <c r="AE660"/>
  <c r="AE935"/>
  <c r="AE736"/>
  <c r="AE320"/>
  <c r="AE324"/>
  <c r="AE862"/>
  <c r="AE906"/>
  <c r="AE700"/>
  <c r="AE645"/>
  <c r="AE846"/>
  <c r="AE980"/>
  <c r="AE807"/>
  <c r="AE571"/>
  <c r="AE986"/>
  <c r="AE931"/>
  <c r="AE907"/>
  <c r="AE518"/>
  <c r="AE784"/>
  <c r="AE941"/>
  <c r="AE619"/>
  <c r="AE436"/>
  <c r="AE546"/>
  <c r="AE724"/>
  <c r="AE715"/>
  <c r="AE365"/>
  <c r="AE1008"/>
  <c r="AE887"/>
  <c r="AE894"/>
  <c r="AE729"/>
  <c r="AE460"/>
  <c r="AE394"/>
  <c r="AE585"/>
  <c r="AE421"/>
  <c r="AE938"/>
  <c r="AE722"/>
  <c r="AE509"/>
  <c r="AE804"/>
  <c r="AE961"/>
  <c r="AE633"/>
  <c r="AE387"/>
  <c r="AE760"/>
  <c r="AE836"/>
  <c r="AE841"/>
  <c r="AE530"/>
  <c r="AE852"/>
  <c r="AE979"/>
  <c r="AE741"/>
  <c r="AE348"/>
  <c r="AE639"/>
  <c r="AE396"/>
  <c r="AE358"/>
  <c r="AE900"/>
  <c r="AE820"/>
  <c r="AE582"/>
  <c r="AE955"/>
  <c r="AE648"/>
  <c r="AE558"/>
  <c r="AE535"/>
  <c r="AE425"/>
  <c r="AE620"/>
  <c r="AE521"/>
  <c r="AE452"/>
  <c r="AE927"/>
  <c r="AE937"/>
  <c r="AE669"/>
  <c r="AE562"/>
  <c r="AE745"/>
  <c r="AE402"/>
  <c r="AE794"/>
  <c r="AE353"/>
  <c r="AE550"/>
  <c r="AE464"/>
  <c r="AE592"/>
  <c r="AE821"/>
  <c r="AE994"/>
  <c r="AE661"/>
  <c r="AE925"/>
  <c r="AE563"/>
  <c r="AE587"/>
  <c r="AE735"/>
  <c r="AE750"/>
  <c r="AE370"/>
  <c r="AE384"/>
  <c r="AE338"/>
  <c r="AE469"/>
  <c r="AE646"/>
  <c r="AE337"/>
  <c r="AE872"/>
  <c r="AE642"/>
  <c r="AE463"/>
  <c r="AE792"/>
  <c r="AE893"/>
  <c r="AE640"/>
  <c r="AE414"/>
  <c r="AE869"/>
  <c r="AE684"/>
  <c r="AE1001"/>
  <c r="AE564"/>
  <c r="AE434"/>
  <c r="AE848"/>
  <c r="AE381"/>
  <c r="AE696"/>
  <c r="AE319"/>
  <c r="AE379"/>
  <c r="AE958"/>
  <c r="AE382"/>
  <c r="AE432"/>
  <c r="AE341"/>
  <c r="AE960"/>
  <c r="AE498"/>
  <c r="AE326"/>
  <c r="AE482"/>
  <c r="AE548"/>
  <c r="AE883"/>
  <c r="AE492"/>
  <c r="AE733"/>
  <c r="AE901"/>
  <c r="AE366"/>
  <c r="AE951"/>
  <c r="AE408"/>
  <c r="AE985"/>
  <c r="AE713"/>
  <c r="AE663"/>
  <c r="AE839"/>
  <c r="AE695"/>
  <c r="AE647"/>
  <c r="AE493"/>
  <c r="AE604"/>
  <c r="AE594"/>
  <c r="AE829"/>
  <c r="AE929"/>
  <c r="AE616"/>
  <c r="AE638"/>
  <c r="AE600"/>
  <c r="AE676"/>
  <c r="AE991"/>
  <c r="AE501"/>
  <c r="AE780"/>
  <c r="AE385"/>
  <c r="AE428"/>
  <c r="AE953"/>
  <c r="AE389"/>
  <c r="AE392"/>
  <c r="AE560"/>
  <c r="AE886"/>
  <c r="AE588"/>
  <c r="AE810"/>
  <c r="AE500"/>
  <c r="AE798"/>
  <c r="AE710"/>
  <c r="AE476"/>
  <c r="AE580"/>
  <c r="AE982"/>
  <c r="AE400"/>
  <c r="AE772"/>
  <c r="AE781"/>
  <c r="AE443"/>
  <c r="AE398"/>
  <c r="AE1005"/>
  <c r="AE316"/>
  <c r="AE800"/>
  <c r="AE624"/>
  <c r="AE716"/>
  <c r="AE657"/>
  <c r="AE490"/>
  <c r="AE438"/>
  <c r="AE433"/>
  <c r="AE870"/>
  <c r="AE369"/>
  <c r="AE828"/>
  <c r="AE777"/>
  <c r="AE360"/>
  <c r="AE347"/>
  <c r="AE898"/>
  <c r="AE461"/>
  <c r="AE680"/>
  <c r="AE785"/>
  <c r="AE844"/>
  <c r="AE416"/>
  <c r="AE430"/>
  <c r="AE904"/>
  <c r="AE628"/>
  <c r="AE884"/>
  <c r="AE664"/>
  <c r="AE367"/>
  <c r="AE996"/>
  <c r="AE449"/>
  <c r="AE806"/>
  <c r="AE534"/>
  <c r="AE890"/>
  <c r="AE522"/>
  <c r="AE456"/>
  <c r="AE543"/>
  <c r="AE875"/>
  <c r="AE818"/>
  <c r="AE670"/>
  <c r="AE540"/>
  <c r="AE756"/>
  <c r="AE310"/>
  <c r="AE595"/>
  <c r="AE525"/>
  <c r="AE651"/>
  <c r="AE790"/>
  <c r="AE401"/>
  <c r="AE315"/>
  <c r="AE440"/>
  <c r="AE572"/>
  <c r="AE940"/>
  <c r="AE770"/>
  <c r="AE423"/>
  <c r="AE776"/>
  <c r="AE374"/>
  <c r="AE496"/>
  <c r="AE325"/>
  <c r="AE473"/>
  <c r="AE708"/>
  <c r="AE574"/>
  <c r="AE968"/>
  <c r="AE896"/>
  <c r="AE395"/>
  <c r="AE368"/>
  <c r="AE667"/>
  <c r="AE579"/>
  <c r="AE652"/>
  <c r="AE636"/>
  <c r="AE915"/>
  <c r="AE689"/>
  <c r="AE598"/>
  <c r="AE332"/>
  <c r="AE963"/>
  <c r="AE350"/>
  <c r="AE510"/>
  <c r="AE814"/>
  <c r="AE737"/>
  <c r="AE333"/>
  <c r="AE930"/>
  <c r="AE352"/>
  <c r="AE424"/>
  <c r="AE728"/>
  <c r="AE390"/>
  <c r="AE812"/>
  <c r="AE372"/>
  <c r="AE345"/>
  <c r="AE889"/>
  <c r="AE311"/>
  <c r="AE529"/>
  <c r="AE768"/>
  <c r="AE892"/>
  <c r="AE364"/>
  <c r="AE475"/>
  <c r="AE336"/>
  <c r="AE527"/>
  <c r="AE495"/>
  <c r="AE312"/>
  <c r="AE409"/>
  <c r="AE427"/>
  <c r="AE764"/>
  <c r="AE567"/>
  <c r="AE880"/>
  <c r="AE508"/>
  <c r="AE524"/>
  <c r="AE488"/>
  <c r="AE458"/>
  <c r="AE740"/>
  <c r="AE943"/>
  <c r="AE655"/>
  <c r="AE617"/>
  <c r="AE472"/>
  <c r="AE317"/>
  <c r="AE867"/>
  <c r="AE377"/>
  <c r="AE782"/>
  <c r="AE431"/>
  <c r="AE899"/>
  <c r="AE102"/>
  <c r="AE110"/>
  <c r="AE118"/>
  <c r="AE126"/>
  <c r="AE134"/>
  <c r="AE142"/>
  <c r="AE150"/>
  <c r="AE158"/>
  <c r="AE166"/>
  <c r="AE174"/>
  <c r="AE182"/>
  <c r="AE190"/>
  <c r="AE198"/>
  <c r="AE206"/>
  <c r="AE214"/>
  <c r="AE222"/>
  <c r="AE230"/>
  <c r="AE238"/>
  <c r="AE246"/>
  <c r="AE254"/>
  <c r="AE139"/>
  <c r="AE131"/>
  <c r="AE123"/>
  <c r="AE115"/>
  <c r="AE107"/>
  <c r="AE99"/>
  <c r="AE91"/>
  <c r="AE83"/>
  <c r="AE75"/>
  <c r="AE67"/>
  <c r="AE59"/>
  <c r="AE51"/>
  <c r="AE43"/>
  <c r="AE35"/>
  <c r="AE27"/>
  <c r="AE19"/>
  <c r="AE15"/>
  <c r="AE23"/>
  <c r="AE31"/>
  <c r="AE39"/>
  <c r="AE47"/>
  <c r="AE55"/>
  <c r="AE63"/>
  <c r="AE71"/>
  <c r="AE79"/>
  <c r="AE87"/>
  <c r="AE95"/>
  <c r="AE103"/>
  <c r="AE111"/>
  <c r="AE119"/>
  <c r="AE127"/>
  <c r="AE135"/>
  <c r="AE98"/>
  <c r="AE106"/>
  <c r="AE114"/>
  <c r="AE122"/>
  <c r="AE130"/>
  <c r="AE138"/>
  <c r="AE146"/>
  <c r="AE154"/>
  <c r="AE162"/>
  <c r="AE170"/>
  <c r="AE178"/>
  <c r="AE186"/>
  <c r="AE194"/>
  <c r="AE202"/>
  <c r="AE210"/>
  <c r="AE218"/>
  <c r="AE226"/>
  <c r="AE234"/>
  <c r="AE242"/>
  <c r="AE250"/>
  <c r="AE262"/>
  <c r="AE270"/>
  <c r="AE278"/>
  <c r="AE286"/>
  <c r="AE294"/>
  <c r="AE302"/>
  <c r="AE143"/>
  <c r="AE151"/>
  <c r="AE159"/>
  <c r="AE167"/>
  <c r="AE175"/>
  <c r="AE183"/>
  <c r="AE191"/>
  <c r="AE199"/>
  <c r="AE207"/>
  <c r="AE215"/>
  <c r="AE223"/>
  <c r="AE231"/>
  <c r="AE239"/>
  <c r="AE247"/>
  <c r="AE255"/>
  <c r="AE263"/>
  <c r="AE271"/>
  <c r="AE279"/>
  <c r="AE287"/>
  <c r="AE295"/>
  <c r="AE303"/>
  <c r="AE13"/>
  <c r="AE21"/>
  <c r="AE29"/>
  <c r="AE37"/>
  <c r="AE45"/>
  <c r="AE53"/>
  <c r="AE61"/>
  <c r="AE69"/>
  <c r="AE77"/>
  <c r="AE85"/>
  <c r="AE93"/>
  <c r="AE101"/>
  <c r="AE109"/>
  <c r="AE117"/>
  <c r="AE125"/>
  <c r="AE133"/>
  <c r="AE141"/>
  <c r="AE16"/>
  <c r="AE20"/>
  <c r="AE24"/>
  <c r="AE28"/>
  <c r="AE32"/>
  <c r="AE36"/>
  <c r="AE40"/>
  <c r="AE44"/>
  <c r="AE48"/>
  <c r="AE52"/>
  <c r="AE56"/>
  <c r="AE60"/>
  <c r="AE64"/>
  <c r="AE68"/>
  <c r="AE72"/>
  <c r="AE76"/>
  <c r="AE80"/>
  <c r="AE84"/>
  <c r="AE88"/>
  <c r="AE92"/>
  <c r="AE96"/>
  <c r="AE104"/>
  <c r="AE112"/>
  <c r="AE120"/>
  <c r="AE128"/>
  <c r="AE136"/>
  <c r="AE144"/>
  <c r="AE152"/>
  <c r="AE160"/>
  <c r="AE168"/>
  <c r="AE176"/>
  <c r="AE184"/>
  <c r="AE192"/>
  <c r="AE200"/>
  <c r="AE208"/>
  <c r="AE216"/>
  <c r="AE224"/>
  <c r="AE232"/>
  <c r="AE240"/>
  <c r="AE248"/>
  <c r="AE256"/>
  <c r="AE264"/>
  <c r="AE272"/>
  <c r="AE280"/>
  <c r="AE288"/>
  <c r="AE296"/>
  <c r="AE304"/>
  <c r="AE145"/>
  <c r="AE153"/>
  <c r="AE161"/>
  <c r="AE169"/>
  <c r="AE177"/>
  <c r="AE185"/>
  <c r="AE193"/>
  <c r="AE201"/>
  <c r="AE209"/>
  <c r="AE217"/>
  <c r="AE225"/>
  <c r="AE233"/>
  <c r="AE241"/>
  <c r="AE249"/>
  <c r="AE257"/>
  <c r="AE265"/>
  <c r="AE273"/>
  <c r="AE281"/>
  <c r="AE289"/>
  <c r="AE297"/>
  <c r="AE305"/>
  <c r="AE258"/>
  <c r="AE266"/>
  <c r="AE274"/>
  <c r="AE282"/>
  <c r="AE290"/>
  <c r="AE298"/>
  <c r="AE306"/>
  <c r="AE147"/>
  <c r="AE155"/>
  <c r="AE163"/>
  <c r="AE171"/>
  <c r="AE179"/>
  <c r="AE187"/>
  <c r="AE195"/>
  <c r="AE203"/>
  <c r="AE211"/>
  <c r="AE219"/>
  <c r="AE227"/>
  <c r="AE235"/>
  <c r="AE243"/>
  <c r="AE251"/>
  <c r="AE259"/>
  <c r="AE267"/>
  <c r="AE275"/>
  <c r="AE283"/>
  <c r="AE291"/>
  <c r="AE299"/>
  <c r="AE307"/>
  <c r="AE17"/>
  <c r="AE25"/>
  <c r="AE33"/>
  <c r="AE41"/>
  <c r="AE49"/>
  <c r="AE57"/>
  <c r="AE65"/>
  <c r="AE73"/>
  <c r="AE81"/>
  <c r="AE89"/>
  <c r="AE97"/>
  <c r="AE105"/>
  <c r="AE113"/>
  <c r="AE121"/>
  <c r="AE129"/>
  <c r="AE137"/>
  <c r="AE14"/>
  <c r="AE18"/>
  <c r="AE22"/>
  <c r="AE26"/>
  <c r="AE30"/>
  <c r="AE34"/>
  <c r="AE38"/>
  <c r="AE42"/>
  <c r="AE46"/>
  <c r="AE50"/>
  <c r="AE54"/>
  <c r="AE58"/>
  <c r="AE62"/>
  <c r="AE66"/>
  <c r="AE70"/>
  <c r="AE74"/>
  <c r="AE78"/>
  <c r="AE82"/>
  <c r="AE86"/>
  <c r="AE90"/>
  <c r="AE94"/>
  <c r="AE100"/>
  <c r="AE108"/>
  <c r="AE116"/>
  <c r="AE124"/>
  <c r="AE132"/>
  <c r="AE140"/>
  <c r="AE148"/>
  <c r="AE156"/>
  <c r="AE164"/>
  <c r="AE172"/>
  <c r="AE180"/>
  <c r="AE188"/>
  <c r="AE196"/>
  <c r="AE204"/>
  <c r="AE212"/>
  <c r="AE220"/>
  <c r="AE228"/>
  <c r="AE236"/>
  <c r="AE244"/>
  <c r="AE252"/>
  <c r="AE260"/>
  <c r="AE268"/>
  <c r="AE276"/>
  <c r="AE284"/>
  <c r="AE292"/>
  <c r="AE300"/>
  <c r="AE149"/>
  <c r="AE157"/>
  <c r="AE165"/>
  <c r="AE173"/>
  <c r="AE181"/>
  <c r="AE189"/>
  <c r="AE197"/>
  <c r="AE205"/>
  <c r="AE213"/>
  <c r="AE221"/>
  <c r="AE229"/>
  <c r="AE237"/>
  <c r="AE245"/>
  <c r="AE253"/>
  <c r="AE261"/>
  <c r="AE269"/>
  <c r="AE277"/>
  <c r="AE285"/>
  <c r="AE293"/>
  <c r="AE301"/>
  <c r="AE12"/>
  <c r="AB6" l="1"/>
  <c r="AE308"/>
  <c r="AE6" s="1"/>
  <c r="AE7" l="1"/>
  <c r="AB7"/>
  <c r="AF6" l="1"/>
  <c r="AF7"/>
</calcChain>
</file>

<file path=xl/comments1.xml><?xml version="1.0" encoding="utf-8"?>
<comments xmlns="http://schemas.openxmlformats.org/spreadsheetml/2006/main">
  <authors>
    <author>jpitusb</author>
  </authors>
  <commentList>
    <comment ref="AB3" authorId="0">
      <text>
        <r>
          <rPr>
            <b/>
            <sz val="8"/>
            <color indexed="81"/>
            <rFont val="Tahoma"/>
            <family val="2"/>
          </rPr>
          <t>jpitusb:</t>
        </r>
        <r>
          <rPr>
            <sz val="8"/>
            <color indexed="81"/>
            <rFont val="Tahoma"/>
            <family val="2"/>
          </rPr>
          <t xml:space="preserve">
Y or N
To run local add-ins different than the network version.</t>
        </r>
      </text>
    </comment>
  </commentList>
</comments>
</file>

<file path=xl/comments2.xml><?xml version="1.0" encoding="utf-8"?>
<comments xmlns="http://schemas.openxmlformats.org/spreadsheetml/2006/main">
  <authors>
    <author>rl04933</author>
    <author>jpitusb</author>
  </authors>
  <commentList>
    <comment ref="J10" authorId="0">
      <text>
        <r>
          <rPr>
            <b/>
            <sz val="10"/>
            <color indexed="81"/>
            <rFont val="Tahoma"/>
            <family val="2"/>
          </rPr>
          <t>Select one or more of the three Volume Management options. The most conservative one selected will be applied.</t>
        </r>
      </text>
    </comment>
    <comment ref="C11" authorId="1">
      <text>
        <r>
          <rPr>
            <b/>
            <sz val="8"/>
            <color indexed="81"/>
            <rFont val="Tahoma"/>
            <family val="2"/>
          </rPr>
          <t>1=AMAPP (limited dist.)
2=6.PAS (limited dist.)</t>
        </r>
      </text>
    </comment>
    <comment ref="C15" authorId="1">
      <text>
        <r>
          <rPr>
            <b/>
            <sz val="8"/>
            <color indexed="81"/>
            <rFont val="Tahoma"/>
            <family val="2"/>
          </rPr>
          <t>Only a feature in v5.1 and v6.0</t>
        </r>
      </text>
    </comment>
    <comment ref="J15" authorId="1">
      <text>
        <r>
          <rPr>
            <b/>
            <sz val="8"/>
            <color indexed="81"/>
            <rFont val="Tahoma"/>
            <family val="2"/>
          </rPr>
          <t>Japan limits are to the RIGHT of this screen --&gt;</t>
        </r>
      </text>
    </comment>
    <comment ref="C21" authorId="1">
      <text>
        <r>
          <rPr>
            <b/>
            <sz val="8"/>
            <color indexed="81"/>
            <rFont val="Tahoma"/>
            <family val="2"/>
          </rPr>
          <t>ONLY works with Direct Input Donor Sample.</t>
        </r>
      </text>
    </comment>
    <comment ref="J21" authorId="0">
      <text>
        <r>
          <rPr>
            <b/>
            <sz val="10"/>
            <color indexed="81"/>
            <rFont val="Tahoma"/>
            <family val="2"/>
          </rPr>
          <t>An entered platelet product volume supersedes an entered platelet product concentration.</t>
        </r>
      </text>
    </comment>
    <comment ref="C22" authorId="1">
      <text>
        <r>
          <rPr>
            <b/>
            <sz val="8"/>
            <color indexed="81"/>
            <rFont val="Tahoma"/>
            <family val="2"/>
          </rPr>
          <t>ONLY works with Direct Input Donor Sample.</t>
        </r>
      </text>
    </comment>
    <comment ref="J23" authorId="0">
      <text>
        <r>
          <rPr>
            <b/>
            <sz val="10"/>
            <color indexed="81"/>
            <rFont val="Tahoma"/>
            <family val="2"/>
          </rPr>
          <t>Enter both Minimum and Maximum values.</t>
        </r>
      </text>
    </comment>
    <comment ref="J25" authorId="0">
      <text>
        <r>
          <rPr>
            <b/>
            <sz val="10"/>
            <color indexed="81"/>
            <rFont val="Tahoma"/>
            <family val="2"/>
          </rPr>
          <t>For Input Lab Min Yields, enter the Coefficient of Variation (CV) of the Yield Scaling Factor (YSF).  This is obtained from the YSF Tool that analyzes Yield Ratio data.  Typically, the CV is between 10% and 15%.  The CV is not required for Input Target Yields.</t>
        </r>
      </text>
    </comment>
    <comment ref="J32" authorId="0">
      <text>
        <r>
          <rPr>
            <b/>
            <sz val="10"/>
            <color indexed="81"/>
            <rFont val="Tahoma"/>
            <family val="2"/>
          </rPr>
          <t>This option is a feature of V6.0.</t>
        </r>
      </text>
    </comment>
    <comment ref="J33" authorId="0">
      <text>
        <r>
          <rPr>
            <b/>
            <sz val="10"/>
            <color indexed="81"/>
            <rFont val="Tahoma"/>
            <family val="2"/>
          </rPr>
          <t>This option is a feature of V6.0.</t>
        </r>
      </text>
    </comment>
    <comment ref="J34" authorId="0">
      <text>
        <r>
          <rPr>
            <b/>
            <sz val="10"/>
            <color indexed="81"/>
            <rFont val="Tahoma"/>
            <family val="2"/>
          </rPr>
          <t>This option is a feature of V6.0.</t>
        </r>
      </text>
    </comment>
    <comment ref="J35" authorId="0">
      <text>
        <r>
          <rPr>
            <b/>
            <sz val="10"/>
            <color indexed="81"/>
            <rFont val="Tahoma"/>
            <family val="2"/>
          </rPr>
          <t>This option is a feature of V6.0.</t>
        </r>
      </text>
    </comment>
    <comment ref="J36" authorId="0">
      <text>
        <r>
          <rPr>
            <b/>
            <sz val="10"/>
            <color indexed="81"/>
            <rFont val="Tahoma"/>
            <family val="2"/>
          </rPr>
          <t>This option is a feature of V6.0.</t>
        </r>
      </text>
    </comment>
    <comment ref="P39" authorId="1">
      <text>
        <r>
          <rPr>
            <b/>
            <sz val="8"/>
            <color indexed="81"/>
            <rFont val="Tahoma"/>
            <family val="2"/>
          </rPr>
          <t>This if for convenience only.  It does not affect the operation of the tool.</t>
        </r>
      </text>
    </comment>
    <comment ref="D42" authorId="0">
      <text>
        <r>
          <rPr>
            <b/>
            <sz val="10"/>
            <color indexed="81"/>
            <rFont val="Arial"/>
            <family val="2"/>
          </rPr>
          <t>The number of possible Procedures depends on the Software Version.
Like Trima, entries are designations from 'Configured Targets'.</t>
        </r>
      </text>
    </comment>
    <comment ref="J42" authorId="0">
      <text>
        <r>
          <rPr>
            <b/>
            <sz val="10"/>
            <color indexed="81"/>
            <rFont val="Arial"/>
            <family val="2"/>
          </rPr>
          <t>The number of possible Platelet Yields depends on the Software Version.</t>
        </r>
      </text>
    </comment>
    <comment ref="K42" authorId="0">
      <text>
        <r>
          <rPr>
            <b/>
            <sz val="10"/>
            <color indexed="81"/>
            <rFont val="Tahoma"/>
            <family val="2"/>
          </rPr>
          <t>OVERRIDE: A platelet product volume can be specified for each procedure.  If so, it supersedes the specified Platelet Product Concentration.</t>
        </r>
      </text>
    </comment>
    <comment ref="L42" authorId="0">
      <text>
        <r>
          <rPr>
            <b/>
            <sz val="10"/>
            <color indexed="81"/>
            <rFont val="Tahoma"/>
            <family val="2"/>
          </rPr>
          <t>See General Note 5.</t>
        </r>
      </text>
    </comment>
    <comment ref="M42" authorId="0">
      <text>
        <r>
          <rPr>
            <b/>
            <sz val="10"/>
            <color indexed="81"/>
            <rFont val="Tahoma"/>
            <family val="2"/>
          </rPr>
          <t xml:space="preserve">For both Target Yields and Lab Min Yields, enter a Confidence Level (CL) between 50% and 99% for each platelet product.
</t>
        </r>
      </text>
    </comment>
    <comment ref="G43" authorId="0">
      <text>
        <r>
          <rPr>
            <b/>
            <sz val="10"/>
            <color indexed="81"/>
            <rFont val="Tahoma"/>
            <family val="2"/>
          </rPr>
          <t>A procedure time limit can be specified for each procedure, if it is not larger than the Maximum Procedure Time.</t>
        </r>
      </text>
    </comment>
    <comment ref="H43" authorId="0">
      <text>
        <r>
          <rPr>
            <b/>
            <sz val="10"/>
            <color indexed="81"/>
            <rFont val="Tahoma"/>
            <family val="2"/>
          </rPr>
          <t>A blank cell is interpreted as All Types.</t>
        </r>
      </text>
    </comment>
  </commentList>
</comments>
</file>

<file path=xl/comments3.xml><?xml version="1.0" encoding="utf-8"?>
<comments xmlns="http://schemas.openxmlformats.org/spreadsheetml/2006/main">
  <authors>
    <author>jpitusb</author>
    <author>rl04933</author>
  </authors>
  <commentList>
    <comment ref="AF15" authorId="0">
      <text>
        <r>
          <rPr>
            <b/>
            <sz val="8"/>
            <color indexed="81"/>
            <rFont val="Tahoma"/>
            <family val="2"/>
          </rPr>
          <t>This cell is calculated so the total always =100%.</t>
        </r>
        <r>
          <rPr>
            <sz val="8"/>
            <color indexed="81"/>
            <rFont val="Tahoma"/>
            <family val="2"/>
          </rPr>
          <t xml:space="preserve">
</t>
        </r>
      </text>
    </comment>
    <comment ref="P20" authorId="0">
      <text>
        <r>
          <rPr>
            <b/>
            <sz val="8"/>
            <color indexed="81"/>
            <rFont val="Tahoma"/>
            <family val="2"/>
          </rPr>
          <t>CUSTOM entry is to the right on this sheet.</t>
        </r>
      </text>
    </comment>
    <comment ref="C21" authorId="0">
      <text>
        <r>
          <rPr>
            <b/>
            <sz val="8"/>
            <color indexed="81"/>
            <rFont val="Tahoma"/>
            <family val="2"/>
          </rPr>
          <t>CUSTOM entry is to the right on this sheet.</t>
        </r>
      </text>
    </comment>
    <comment ref="D24" authorId="0">
      <text>
        <r>
          <rPr>
            <b/>
            <sz val="8"/>
            <color indexed="81"/>
            <rFont val="Tahoma"/>
            <family val="2"/>
          </rPr>
          <t>jpitusb:</t>
        </r>
        <r>
          <rPr>
            <sz val="8"/>
            <color indexed="81"/>
            <rFont val="Tahoma"/>
            <family val="2"/>
          </rPr>
          <t xml:space="preserve">
Updated 1/25/10 with Q4'09 stats, &gt;160k US donations.</t>
        </r>
      </text>
    </comment>
    <comment ref="M26" authorId="1">
      <text>
        <r>
          <rPr>
            <b/>
            <sz val="10"/>
            <color indexed="81"/>
            <rFont val="Arial"/>
            <family val="2"/>
          </rPr>
          <t>For Single-Donor analysis, enter the donor data in this row, and select the Single-Donor option above.</t>
        </r>
      </text>
    </comment>
  </commentList>
</comments>
</file>

<file path=xl/comments4.xml><?xml version="1.0" encoding="utf-8"?>
<comments xmlns="http://schemas.openxmlformats.org/spreadsheetml/2006/main">
  <authors>
    <author>jpitusb</author>
  </authors>
  <commentList>
    <comment ref="G6" authorId="0">
      <text>
        <r>
          <rPr>
            <b/>
            <sz val="8"/>
            <color indexed="81"/>
            <rFont val="Tahoma"/>
            <family val="2"/>
          </rPr>
          <t xml:space="preserve">Does NOT consider donor Blood Type </t>
        </r>
      </text>
    </comment>
    <comment ref="K6" authorId="0">
      <text>
        <r>
          <rPr>
            <b/>
            <sz val="8"/>
            <color indexed="81"/>
            <rFont val="Tahoma"/>
            <family val="2"/>
          </rPr>
          <t>NQ= None Qualified
This is a sign that procedures are not ordered correctly.</t>
        </r>
      </text>
    </comment>
    <comment ref="C7" authorId="0">
      <text>
        <r>
          <rPr>
            <b/>
            <sz val="8"/>
            <color indexed="81"/>
            <rFont val="Tahoma"/>
            <family val="2"/>
          </rPr>
          <t>DO NOT use these platelet targets to configure your device.  
USE THE YSF TOOL!</t>
        </r>
      </text>
    </comment>
    <comment ref="E28" authorId="0">
      <text>
        <r>
          <rPr>
            <b/>
            <sz val="8"/>
            <color indexed="81"/>
            <rFont val="Tahoma"/>
            <family val="2"/>
          </rPr>
          <t>See MD Details for weighted Average values</t>
        </r>
      </text>
    </comment>
    <comment ref="K28" authorId="0">
      <text>
        <r>
          <rPr>
            <b/>
            <sz val="8"/>
            <color indexed="81"/>
            <rFont val="Tahoma"/>
            <family val="2"/>
          </rPr>
          <t>UNWEIGHTED average time!  See MD Details for weighted average values.</t>
        </r>
      </text>
    </comment>
    <comment ref="G33" authorId="0">
      <text>
        <r>
          <rPr>
            <b/>
            <sz val="8"/>
            <color indexed="81"/>
            <rFont val="Tahoma"/>
            <family val="2"/>
          </rPr>
          <t>Does NOT consider Donor Blood Type</t>
        </r>
      </text>
    </comment>
    <comment ref="C34" authorId="0">
      <text>
        <r>
          <rPr>
            <b/>
            <sz val="8"/>
            <color indexed="81"/>
            <rFont val="Tahoma"/>
            <family val="2"/>
          </rPr>
          <t>DO NOT use these platelet targets to configure your device.  
USE THE YSF TOOL!</t>
        </r>
      </text>
    </comment>
    <comment ref="I55" authorId="0">
      <text>
        <r>
          <rPr>
            <b/>
            <sz val="8"/>
            <color indexed="81"/>
            <rFont val="Tahoma"/>
            <family val="2"/>
          </rPr>
          <t>Statistical yield failures have been acounted for.</t>
        </r>
      </text>
    </comment>
  </commentList>
</comments>
</file>

<file path=xl/comments5.xml><?xml version="1.0" encoding="utf-8"?>
<comments xmlns="http://schemas.openxmlformats.org/spreadsheetml/2006/main">
  <authors>
    <author>rl04933</author>
  </authors>
  <commentList>
    <comment ref="BC2" authorId="0">
      <text>
        <r>
          <rPr>
            <b/>
            <sz val="10"/>
            <color indexed="81"/>
            <rFont val="Arial"/>
            <family val="2"/>
          </rPr>
          <t>Percent of the donor sample that qualified for at least one of the designated procedures.</t>
        </r>
      </text>
    </comment>
    <comment ref="B10" authorId="0">
      <text>
        <r>
          <rPr>
            <b/>
            <sz val="10"/>
            <color indexed="81"/>
            <rFont val="Arial"/>
            <family val="2"/>
          </rPr>
          <t xml:space="preserve">Donor sample size
</t>
        </r>
      </text>
    </comment>
    <comment ref="B12" authorId="0">
      <text>
        <r>
          <rPr>
            <b/>
            <sz val="10"/>
            <color indexed="81"/>
            <rFont val="Arial"/>
            <family val="2"/>
          </rPr>
          <t>Number of donors that qualified for at least one of the designated procedures.</t>
        </r>
      </text>
    </comment>
    <comment ref="BG12" authorId="0">
      <text>
        <r>
          <rPr>
            <b/>
            <sz val="10"/>
            <color indexed="81"/>
            <rFont val="Arial"/>
            <family val="2"/>
          </rPr>
          <t>Statistics apply to all blood types.</t>
        </r>
      </text>
    </comment>
    <comment ref="J13" authorId="0">
      <text>
        <r>
          <rPr>
            <b/>
            <sz val="10"/>
            <color indexed="81"/>
            <rFont val="Tahoma"/>
            <family val="2"/>
          </rPr>
          <t xml:space="preserve">Not all data will follow a normal distribution.
</t>
        </r>
      </text>
    </comment>
    <comment ref="I14" authorId="0">
      <text>
        <r>
          <rPr>
            <b/>
            <sz val="10"/>
            <color indexed="81"/>
            <rFont val="Arial"/>
            <family val="2"/>
          </rPr>
          <t xml:space="preserve">The indicated procedure is the highest one on the Procedure Priority List for which the donor qualified.  (See qualification data on far right of table.)  If all product targets are blank, that indicates the donor is disqualified for all designated procedures.
</t>
        </r>
      </text>
    </comment>
    <comment ref="AL14" authorId="0">
      <text>
        <r>
          <rPr>
            <b/>
            <sz val="10"/>
            <color indexed="81"/>
            <rFont val="Tahoma"/>
            <family val="2"/>
          </rPr>
          <t>Refers to the ratio of Return/Draw inlet pump flows.</t>
        </r>
      </text>
    </comment>
    <comment ref="AT14" authorId="0">
      <text>
        <r>
          <rPr>
            <b/>
            <sz val="10"/>
            <color indexed="81"/>
            <rFont val="Tahoma"/>
            <family val="2"/>
          </rPr>
          <t xml:space="preserve">Platelets collected in LRS chamber, but not delivered to collect bag.
</t>
        </r>
      </text>
    </comment>
    <comment ref="BG14" authorId="0">
      <text>
        <r>
          <rPr>
            <b/>
            <sz val="10"/>
            <color indexed="81"/>
            <rFont val="Arial"/>
            <family val="2"/>
          </rPr>
          <t>Numbers 1 to 8 means procedure is disqualified by one of the following limits.  Zero means not disqualified.
  0 - Not Disqualified.
  1 - Procedure Time
  2 - Collect Volume (Hypovolemia)
  3 - Platelet Postcount
  4 - Post Hematocrit
  5 - DRBC TBV Limit
  6 - Donation Frequency
  7 - TRALI Criteria
  8 - Other
  9 - Miscellaneous</t>
        </r>
      </text>
    </comment>
    <comment ref="F15" authorId="0">
      <text>
        <r>
          <rPr>
            <b/>
            <sz val="10"/>
            <color indexed="81"/>
            <rFont val="Tahoma"/>
            <family val="2"/>
          </rPr>
          <t>Pounds</t>
        </r>
      </text>
    </comment>
    <comment ref="G15" authorId="0">
      <text>
        <r>
          <rPr>
            <b/>
            <sz val="10"/>
            <color indexed="81"/>
            <rFont val="Tahoma"/>
            <family val="2"/>
          </rPr>
          <t>Inches</t>
        </r>
      </text>
    </comment>
    <comment ref="H15" authorId="0">
      <text>
        <r>
          <rPr>
            <b/>
            <sz val="10"/>
            <color indexed="81"/>
            <rFont val="Tahoma"/>
            <family val="2"/>
          </rPr>
          <t>Annual apheresis donation frequency used to manage RBC collections.</t>
        </r>
      </text>
    </comment>
    <comment ref="L15" authorId="0">
      <text>
        <r>
          <rPr>
            <b/>
            <sz val="10"/>
            <color indexed="81"/>
            <rFont val="Tahoma"/>
            <family val="2"/>
          </rPr>
          <t xml:space="preserve">RBC dose volume
</t>
        </r>
      </text>
    </comment>
    <comment ref="M15" authorId="0">
      <text>
        <r>
          <rPr>
            <b/>
            <sz val="10"/>
            <color indexed="81"/>
            <rFont val="Tahoma"/>
            <family val="2"/>
          </rPr>
          <t xml:space="preserve">Procedure time.  Does not include rinseback. 
</t>
        </r>
      </text>
    </comment>
    <comment ref="N15" authorId="0">
      <text>
        <r>
          <rPr>
            <b/>
            <sz val="10"/>
            <color indexed="81"/>
            <rFont val="Tahoma"/>
            <family val="2"/>
          </rPr>
          <t xml:space="preserve">Time for platelet collection phase.  
</t>
        </r>
      </text>
    </comment>
    <comment ref="O15" authorId="0">
      <text>
        <r>
          <rPr>
            <b/>
            <sz val="10"/>
            <color indexed="81"/>
            <rFont val="Tahoma"/>
            <family val="2"/>
          </rPr>
          <t xml:space="preserve">Draw flow
</t>
        </r>
      </text>
    </comment>
    <comment ref="P15" authorId="0">
      <text>
        <r>
          <rPr>
            <b/>
            <sz val="10"/>
            <color indexed="81"/>
            <rFont val="Tahoma"/>
            <family val="2"/>
          </rPr>
          <t xml:space="preserve">AC flow is only during the draw cycle.
</t>
        </r>
      </text>
    </comment>
    <comment ref="Q15" authorId="0">
      <text>
        <r>
          <rPr>
            <b/>
            <sz val="10"/>
            <color indexed="81"/>
            <rFont val="Tahoma"/>
            <family val="2"/>
          </rPr>
          <t xml:space="preserve">LRS chamber flow is continuous throughout the SN cycle.
</t>
        </r>
      </text>
    </comment>
    <comment ref="R15" authorId="0">
      <text>
        <r>
          <rPr>
            <b/>
            <sz val="10"/>
            <color indexed="81"/>
            <rFont val="Tahoma"/>
            <family val="2"/>
          </rPr>
          <t xml:space="preserve">Draw flow
</t>
        </r>
      </text>
    </comment>
    <comment ref="S15" authorId="0">
      <text>
        <r>
          <rPr>
            <b/>
            <sz val="10"/>
            <color indexed="81"/>
            <rFont val="Tahoma"/>
            <family val="2"/>
          </rPr>
          <t xml:space="preserve">AC flow is only during the draw cycle.
</t>
        </r>
      </text>
    </comment>
    <comment ref="T15" authorId="0">
      <text>
        <r>
          <rPr>
            <b/>
            <sz val="10"/>
            <color indexed="81"/>
            <rFont val="Tahoma"/>
            <family val="2"/>
          </rPr>
          <t xml:space="preserve">LRS chamber flow is continuous throughout the SN cycle.
</t>
        </r>
      </text>
    </comment>
    <comment ref="U15" authorId="0">
      <text>
        <r>
          <rPr>
            <b/>
            <sz val="10"/>
            <color indexed="81"/>
            <rFont val="Tahoma"/>
            <family val="2"/>
          </rPr>
          <t xml:space="preserve">Draw flow
</t>
        </r>
      </text>
    </comment>
    <comment ref="V15" authorId="0">
      <text>
        <r>
          <rPr>
            <b/>
            <sz val="10"/>
            <color indexed="81"/>
            <rFont val="Tahoma"/>
            <family val="2"/>
          </rPr>
          <t xml:space="preserve">AC flow is only during the draw cycle.
</t>
        </r>
      </text>
    </comment>
    <comment ref="W15" authorId="0">
      <text>
        <r>
          <rPr>
            <b/>
            <sz val="10"/>
            <color indexed="81"/>
            <rFont val="Tahoma"/>
            <family val="2"/>
          </rPr>
          <t xml:space="preserve">LRS chamber flow is continuous throughout the SN cycle.
</t>
        </r>
      </text>
    </comment>
    <comment ref="X15" authorId="0">
      <text>
        <r>
          <rPr>
            <b/>
            <sz val="10"/>
            <color indexed="81"/>
            <rFont val="Tahoma"/>
            <family val="2"/>
          </rPr>
          <t xml:space="preserve">Draw flow
</t>
        </r>
      </text>
    </comment>
    <comment ref="Y15" authorId="0">
      <text>
        <r>
          <rPr>
            <b/>
            <sz val="10"/>
            <color indexed="81"/>
            <rFont val="Tahoma"/>
            <family val="2"/>
          </rPr>
          <t xml:space="preserve">AC flow is only during the draw cycle.
</t>
        </r>
      </text>
    </comment>
    <comment ref="Z15" authorId="0">
      <text>
        <r>
          <rPr>
            <b/>
            <sz val="10"/>
            <color indexed="81"/>
            <rFont val="Tahoma"/>
            <family val="2"/>
          </rPr>
          <t xml:space="preserve">LRS chamber flow is continuous throughout the SN cycle.
</t>
        </r>
      </text>
    </comment>
    <comment ref="AA15" authorId="0">
      <text>
        <r>
          <rPr>
            <b/>
            <sz val="10"/>
            <color indexed="81"/>
            <rFont val="Tahoma"/>
            <family val="2"/>
          </rPr>
          <t xml:space="preserve">Draw flow
</t>
        </r>
      </text>
    </comment>
    <comment ref="AB15" authorId="0">
      <text>
        <r>
          <rPr>
            <b/>
            <sz val="10"/>
            <color indexed="81"/>
            <rFont val="Tahoma"/>
            <family val="2"/>
          </rPr>
          <t xml:space="preserve">AC flow is only during the draw cycle.
</t>
        </r>
      </text>
    </comment>
    <comment ref="AC15" authorId="0">
      <text>
        <r>
          <rPr>
            <b/>
            <sz val="10"/>
            <color indexed="81"/>
            <rFont val="Tahoma"/>
            <family val="2"/>
          </rPr>
          <t xml:space="preserve">LRS chamber flow is continuous throughout the SN cycle.
</t>
        </r>
      </text>
    </comment>
    <comment ref="AD15" authorId="0">
      <text>
        <r>
          <rPr>
            <b/>
            <sz val="10"/>
            <color indexed="81"/>
            <rFont val="Tahoma"/>
            <family val="2"/>
          </rPr>
          <t xml:space="preserve">Draw flow
</t>
        </r>
      </text>
    </comment>
    <comment ref="AE15" authorId="0">
      <text>
        <r>
          <rPr>
            <b/>
            <sz val="10"/>
            <color indexed="81"/>
            <rFont val="Tahoma"/>
            <family val="2"/>
          </rPr>
          <t xml:space="preserve">AC flow is only during the draw cycle.
</t>
        </r>
      </text>
    </comment>
    <comment ref="AF15" authorId="0">
      <text>
        <r>
          <rPr>
            <b/>
            <sz val="10"/>
            <color indexed="81"/>
            <rFont val="Tahoma"/>
            <family val="2"/>
          </rPr>
          <t xml:space="preserve">Draw flow
</t>
        </r>
      </text>
    </comment>
    <comment ref="AG15" authorId="0">
      <text>
        <r>
          <rPr>
            <b/>
            <sz val="10"/>
            <color indexed="81"/>
            <rFont val="Tahoma"/>
            <family val="2"/>
          </rPr>
          <t xml:space="preserve">AC flow is only during the draw cycle.
</t>
        </r>
      </text>
    </comment>
    <comment ref="AH15" authorId="0">
      <text>
        <r>
          <rPr>
            <b/>
            <sz val="10"/>
            <color indexed="81"/>
            <rFont val="Tahoma"/>
            <family val="2"/>
          </rPr>
          <t xml:space="preserve">Draw flow
</t>
        </r>
      </text>
    </comment>
    <comment ref="AI15" authorId="0">
      <text>
        <r>
          <rPr>
            <b/>
            <sz val="10"/>
            <color indexed="81"/>
            <rFont val="Tahoma"/>
            <family val="2"/>
          </rPr>
          <t xml:space="preserve">AC flow is only during the draw cycle.
</t>
        </r>
      </text>
    </comment>
    <comment ref="AQ15" authorId="0">
      <text>
        <r>
          <rPr>
            <b/>
            <sz val="10"/>
            <color indexed="81"/>
            <rFont val="Tahoma"/>
            <family val="2"/>
          </rPr>
          <t xml:space="preserve">Platelet collect bag concentration (E6/ml)
</t>
        </r>
      </text>
    </comment>
    <comment ref="AR15" authorId="0">
      <text>
        <r>
          <rPr>
            <b/>
            <sz val="10"/>
            <color indexed="81"/>
            <rFont val="Tahoma"/>
            <family val="2"/>
          </rPr>
          <t>Donor postcount (E6/ml)</t>
        </r>
      </text>
    </comment>
    <comment ref="AS15" authorId="0">
      <text>
        <r>
          <rPr>
            <b/>
            <sz val="10"/>
            <color indexed="81"/>
            <rFont val="Tahoma"/>
            <family val="2"/>
          </rPr>
          <t>Donor post-Hct (%)</t>
        </r>
      </text>
    </comment>
    <comment ref="AT15" authorId="0">
      <text>
        <r>
          <rPr>
            <b/>
            <sz val="10"/>
            <color indexed="81"/>
            <rFont val="Tahoma"/>
            <family val="2"/>
          </rPr>
          <t>Loss due to doing LRS WBC purges.</t>
        </r>
      </text>
    </comment>
    <comment ref="AU15" authorId="0">
      <text>
        <r>
          <rPr>
            <b/>
            <sz val="10"/>
            <color indexed="81"/>
            <rFont val="Tahoma"/>
            <family val="2"/>
          </rPr>
          <t>Loss due to platelets left in LRS at end of procedure.</t>
        </r>
      </text>
    </comment>
    <comment ref="AV15" authorId="0">
      <text>
        <r>
          <rPr>
            <b/>
            <sz val="10"/>
            <color indexed="81"/>
            <rFont val="Tahoma"/>
            <family val="2"/>
          </rPr>
          <t>Loss due to not doing a PIR due to exclusion criterion.</t>
        </r>
      </text>
    </comment>
  </commentList>
</comments>
</file>

<file path=xl/comments6.xml><?xml version="1.0" encoding="utf-8"?>
<comments xmlns="http://schemas.openxmlformats.org/spreadsheetml/2006/main">
  <authors>
    <author>rl04933</author>
  </authors>
  <commentList>
    <comment ref="N26" authorId="0">
      <text>
        <r>
          <rPr>
            <b/>
            <sz val="10"/>
            <color indexed="81"/>
            <rFont val="Arial"/>
            <family val="2"/>
          </rPr>
          <t xml:space="preserve">Percent of donor sample that qualified for at least one of the designated procedures.
</t>
        </r>
      </text>
    </comment>
  </commentList>
</comments>
</file>

<file path=xl/comments7.xml><?xml version="1.0" encoding="utf-8"?>
<comments xmlns="http://schemas.openxmlformats.org/spreadsheetml/2006/main">
  <authors>
    <author>rl04933</author>
    <author>jpitusb</author>
  </authors>
  <commentList>
    <comment ref="G7" authorId="0">
      <text>
        <r>
          <rPr>
            <b/>
            <sz val="10"/>
            <color indexed="81"/>
            <rFont val="Tahoma"/>
            <family val="2"/>
          </rPr>
          <t>Annual apheresis donation frequency used to manage RBC collections.</t>
        </r>
      </text>
    </comment>
    <comment ref="D13" authorId="0">
      <text>
        <r>
          <rPr>
            <b/>
            <sz val="10"/>
            <color indexed="81"/>
            <rFont val="Tahoma"/>
            <family val="2"/>
          </rPr>
          <t xml:space="preserve">Not all data will follow a normal distribution.
</t>
        </r>
      </text>
    </comment>
    <comment ref="AG14" authorId="0">
      <text>
        <r>
          <rPr>
            <b/>
            <sz val="10"/>
            <color indexed="81"/>
            <rFont val="Tahoma"/>
            <family val="2"/>
          </rPr>
          <t>Refers to the ratio of Return/Draw inlet pump flows.</t>
        </r>
      </text>
    </comment>
    <comment ref="AO14" authorId="0">
      <text>
        <r>
          <rPr>
            <b/>
            <sz val="10"/>
            <color indexed="81"/>
            <rFont val="Tahoma"/>
            <family val="2"/>
          </rPr>
          <t xml:space="preserve">Platelets collected in LRS chamber, but not delivered to collect bag.
</t>
        </r>
      </text>
    </comment>
    <comment ref="BA14" authorId="0">
      <text>
        <r>
          <rPr>
            <b/>
            <sz val="10"/>
            <color indexed="81"/>
            <rFont val="Arial"/>
            <family val="2"/>
          </rPr>
          <t xml:space="preserve">Numbers 1 to 8 means procedure is disqualified by one of the following limits.  Zero means qualified.
  0 - Qualified
  1 - Procedure Time
  2 - Collect Volume (Hypovolemia)
  3 - Platelet Postcount
  4 - Post Hematocrit
  5 - DRBC TBV Limit
  6 - Donation Frequency
  7 - TRALI Criteria
  8 - Blood Type
  9 - Miscellaneous
</t>
        </r>
      </text>
    </comment>
    <comment ref="D15" authorId="1">
      <text>
        <r>
          <rPr>
            <b/>
            <sz val="8"/>
            <color indexed="81"/>
            <rFont val="Tahoma"/>
            <family val="2"/>
          </rPr>
          <t>DO NOT use these platelet targets to configure your device.  
USE THE YSF TOOL!</t>
        </r>
      </text>
    </comment>
    <comment ref="G15" authorId="0">
      <text>
        <r>
          <rPr>
            <b/>
            <sz val="10"/>
            <color indexed="81"/>
            <rFont val="Tahoma"/>
            <family val="2"/>
          </rPr>
          <t xml:space="preserve">RBC dose volume
</t>
        </r>
      </text>
    </comment>
    <comment ref="H15" authorId="0">
      <text>
        <r>
          <rPr>
            <b/>
            <sz val="10"/>
            <color indexed="81"/>
            <rFont val="Tahoma"/>
            <family val="2"/>
          </rPr>
          <t xml:space="preserve">Procedure time.  Does not include rinseback. 
</t>
        </r>
      </text>
    </comment>
    <comment ref="I15" authorId="0">
      <text>
        <r>
          <rPr>
            <b/>
            <sz val="10"/>
            <color indexed="81"/>
            <rFont val="Tahoma"/>
            <family val="2"/>
          </rPr>
          <t xml:space="preserve">Time for platelet collection phase.  
</t>
        </r>
      </text>
    </comment>
    <comment ref="J15" authorId="0">
      <text>
        <r>
          <rPr>
            <b/>
            <sz val="10"/>
            <color indexed="81"/>
            <rFont val="Tahoma"/>
            <family val="2"/>
          </rPr>
          <t xml:space="preserve">Draw flow
</t>
        </r>
      </text>
    </comment>
    <comment ref="K15" authorId="0">
      <text>
        <r>
          <rPr>
            <b/>
            <sz val="10"/>
            <color indexed="81"/>
            <rFont val="Tahoma"/>
            <family val="2"/>
          </rPr>
          <t xml:space="preserve">AC flow is only during the draw cycle.
</t>
        </r>
      </text>
    </comment>
    <comment ref="L15" authorId="0">
      <text>
        <r>
          <rPr>
            <b/>
            <sz val="10"/>
            <color indexed="81"/>
            <rFont val="Tahoma"/>
            <family val="2"/>
          </rPr>
          <t xml:space="preserve">LRS chamber flow is continuous throughout the SN cycle.
</t>
        </r>
      </text>
    </comment>
    <comment ref="M15" authorId="0">
      <text>
        <r>
          <rPr>
            <b/>
            <sz val="10"/>
            <color indexed="81"/>
            <rFont val="Tahoma"/>
            <family val="2"/>
          </rPr>
          <t xml:space="preserve">Draw flow
</t>
        </r>
      </text>
    </comment>
    <comment ref="N15" authorId="0">
      <text>
        <r>
          <rPr>
            <b/>
            <sz val="10"/>
            <color indexed="81"/>
            <rFont val="Tahoma"/>
            <family val="2"/>
          </rPr>
          <t xml:space="preserve">AC flow is only during the draw cycle.
</t>
        </r>
      </text>
    </comment>
    <comment ref="O15" authorId="0">
      <text>
        <r>
          <rPr>
            <b/>
            <sz val="10"/>
            <color indexed="81"/>
            <rFont val="Tahoma"/>
            <family val="2"/>
          </rPr>
          <t xml:space="preserve">LRS chamber flow is continuous throughout the SN cycle.
</t>
        </r>
      </text>
    </comment>
    <comment ref="P15" authorId="0">
      <text>
        <r>
          <rPr>
            <b/>
            <sz val="10"/>
            <color indexed="81"/>
            <rFont val="Tahoma"/>
            <family val="2"/>
          </rPr>
          <t xml:space="preserve">Draw flow
</t>
        </r>
      </text>
    </comment>
    <comment ref="Q15" authorId="0">
      <text>
        <r>
          <rPr>
            <b/>
            <sz val="10"/>
            <color indexed="81"/>
            <rFont val="Tahoma"/>
            <family val="2"/>
          </rPr>
          <t xml:space="preserve">AC flow is only during the draw cycle.
</t>
        </r>
      </text>
    </comment>
    <comment ref="R15" authorId="0">
      <text>
        <r>
          <rPr>
            <b/>
            <sz val="10"/>
            <color indexed="81"/>
            <rFont val="Tahoma"/>
            <family val="2"/>
          </rPr>
          <t xml:space="preserve">LRS chamber flow is continuous throughout the SN cycle.
</t>
        </r>
      </text>
    </comment>
    <comment ref="S15" authorId="0">
      <text>
        <r>
          <rPr>
            <b/>
            <sz val="10"/>
            <color indexed="81"/>
            <rFont val="Tahoma"/>
            <family val="2"/>
          </rPr>
          <t xml:space="preserve">Draw flow
</t>
        </r>
      </text>
    </comment>
    <comment ref="T15" authorId="0">
      <text>
        <r>
          <rPr>
            <b/>
            <sz val="10"/>
            <color indexed="81"/>
            <rFont val="Tahoma"/>
            <family val="2"/>
          </rPr>
          <t xml:space="preserve">AC flow is only during the draw cycle.
</t>
        </r>
      </text>
    </comment>
    <comment ref="U15" authorId="0">
      <text>
        <r>
          <rPr>
            <b/>
            <sz val="10"/>
            <color indexed="81"/>
            <rFont val="Tahoma"/>
            <family val="2"/>
          </rPr>
          <t xml:space="preserve">LRS chamber flow is continuous throughout the SN cycle.
</t>
        </r>
      </text>
    </comment>
    <comment ref="V15" authorId="0">
      <text>
        <r>
          <rPr>
            <b/>
            <sz val="10"/>
            <color indexed="81"/>
            <rFont val="Tahoma"/>
            <family val="2"/>
          </rPr>
          <t xml:space="preserve">Draw flow
</t>
        </r>
      </text>
    </comment>
    <comment ref="W15" authorId="0">
      <text>
        <r>
          <rPr>
            <b/>
            <sz val="10"/>
            <color indexed="81"/>
            <rFont val="Tahoma"/>
            <family val="2"/>
          </rPr>
          <t xml:space="preserve">AC flow is only during the draw cycle.
</t>
        </r>
      </text>
    </comment>
    <comment ref="X15" authorId="0">
      <text>
        <r>
          <rPr>
            <b/>
            <sz val="10"/>
            <color indexed="81"/>
            <rFont val="Tahoma"/>
            <family val="2"/>
          </rPr>
          <t xml:space="preserve">LRS chamber flow is continuous throughout the SN cycle.
</t>
        </r>
      </text>
    </comment>
    <comment ref="Y15" authorId="0">
      <text>
        <r>
          <rPr>
            <b/>
            <sz val="10"/>
            <color indexed="81"/>
            <rFont val="Tahoma"/>
            <family val="2"/>
          </rPr>
          <t xml:space="preserve">Draw flow
</t>
        </r>
      </text>
    </comment>
    <comment ref="Z15" authorId="0">
      <text>
        <r>
          <rPr>
            <b/>
            <sz val="10"/>
            <color indexed="81"/>
            <rFont val="Tahoma"/>
            <family val="2"/>
          </rPr>
          <t xml:space="preserve">AC flow is only during the draw cycle.
</t>
        </r>
      </text>
    </comment>
    <comment ref="AA15" authorId="0">
      <text>
        <r>
          <rPr>
            <b/>
            <sz val="10"/>
            <color indexed="81"/>
            <rFont val="Tahoma"/>
            <family val="2"/>
          </rPr>
          <t xml:space="preserve">Draw flow
</t>
        </r>
      </text>
    </comment>
    <comment ref="AB15" authorId="0">
      <text>
        <r>
          <rPr>
            <b/>
            <sz val="10"/>
            <color indexed="81"/>
            <rFont val="Tahoma"/>
            <family val="2"/>
          </rPr>
          <t xml:space="preserve">AC flow is only during the draw cycle.
</t>
        </r>
      </text>
    </comment>
    <comment ref="AC15" authorId="0">
      <text>
        <r>
          <rPr>
            <b/>
            <sz val="10"/>
            <color indexed="81"/>
            <rFont val="Tahoma"/>
            <family val="2"/>
          </rPr>
          <t xml:space="preserve">Draw flow
</t>
        </r>
      </text>
    </comment>
    <comment ref="AD15" authorId="0">
      <text>
        <r>
          <rPr>
            <b/>
            <sz val="10"/>
            <color indexed="81"/>
            <rFont val="Tahoma"/>
            <family val="2"/>
          </rPr>
          <t xml:space="preserve">AC flow is only during the draw cycle.
</t>
        </r>
      </text>
    </comment>
    <comment ref="AL15" authorId="0">
      <text>
        <r>
          <rPr>
            <b/>
            <sz val="10"/>
            <color indexed="81"/>
            <rFont val="Tahoma"/>
            <family val="2"/>
          </rPr>
          <t xml:space="preserve">Platelet collect bag concentration (E6/ml)
</t>
        </r>
      </text>
    </comment>
    <comment ref="AM15" authorId="0">
      <text>
        <r>
          <rPr>
            <b/>
            <sz val="10"/>
            <color indexed="81"/>
            <rFont val="Tahoma"/>
            <family val="2"/>
          </rPr>
          <t>Donor postcount (E6/ml)</t>
        </r>
      </text>
    </comment>
    <comment ref="AN15" authorId="0">
      <text>
        <r>
          <rPr>
            <b/>
            <sz val="10"/>
            <color indexed="81"/>
            <rFont val="Tahoma"/>
            <family val="2"/>
          </rPr>
          <t>Donor post-Hct (%)</t>
        </r>
      </text>
    </comment>
    <comment ref="AO15" authorId="0">
      <text>
        <r>
          <rPr>
            <b/>
            <sz val="10"/>
            <color indexed="81"/>
            <rFont val="Tahoma"/>
            <family val="2"/>
          </rPr>
          <t>Loss due to doing LRS WBC purges.</t>
        </r>
      </text>
    </comment>
    <comment ref="AP15" authorId="0">
      <text>
        <r>
          <rPr>
            <b/>
            <sz val="10"/>
            <color indexed="81"/>
            <rFont val="Tahoma"/>
            <family val="2"/>
          </rPr>
          <t>Loss due to platelets left in LRS at end of procedure.</t>
        </r>
      </text>
    </comment>
    <comment ref="AQ15" authorId="0">
      <text>
        <r>
          <rPr>
            <b/>
            <sz val="10"/>
            <color indexed="81"/>
            <rFont val="Tahoma"/>
            <family val="2"/>
          </rPr>
          <t>Loss due to not doing a PIR due to exclusion criterion.</t>
        </r>
      </text>
    </comment>
  </commentList>
</comments>
</file>

<file path=xl/comments8.xml><?xml version="1.0" encoding="utf-8"?>
<comments xmlns="http://schemas.openxmlformats.org/spreadsheetml/2006/main">
  <authors>
    <author>jpitusb</author>
  </authors>
  <commentList>
    <comment ref="Z9" authorId="0">
      <text>
        <r>
          <rPr>
            <b/>
            <sz val="10"/>
            <color indexed="81"/>
            <rFont val="Arial"/>
            <family val="2"/>
          </rPr>
          <t>Calculated, not from predict.</t>
        </r>
      </text>
    </comment>
    <comment ref="AA9" authorId="0">
      <text>
        <r>
          <rPr>
            <b/>
            <sz val="10"/>
            <color indexed="81"/>
            <rFont val="Arial"/>
            <family val="2"/>
          </rPr>
          <t>Calculated, not from predict.</t>
        </r>
      </text>
    </comment>
  </commentList>
</comments>
</file>

<file path=xl/comments9.xml><?xml version="1.0" encoding="utf-8"?>
<comments xmlns="http://schemas.openxmlformats.org/spreadsheetml/2006/main">
  <authors>
    <author>jpitusb</author>
  </authors>
  <commentList>
    <comment ref="R2" authorId="0">
      <text>
        <r>
          <rPr>
            <b/>
            <sz val="10"/>
            <color indexed="81"/>
            <rFont val="Tahoma"/>
            <family val="2"/>
          </rPr>
          <t>This allows an advanced user to view all qualified procs for multiple donors.  Copy results to a new workbook; they will be deleted when this file is closed.</t>
        </r>
      </text>
    </comment>
    <comment ref="Z9" authorId="0">
      <text>
        <r>
          <rPr>
            <b/>
            <sz val="10"/>
            <color indexed="81"/>
            <rFont val="Arial"/>
            <family val="2"/>
          </rPr>
          <t>Calculated, not from predict.</t>
        </r>
      </text>
    </comment>
    <comment ref="AA9" authorId="0">
      <text>
        <r>
          <rPr>
            <b/>
            <sz val="10"/>
            <color indexed="81"/>
            <rFont val="Arial"/>
            <family val="2"/>
          </rPr>
          <t>Calculated, not from predict.</t>
        </r>
      </text>
    </comment>
  </commentList>
</comments>
</file>

<file path=xl/comments10.xml><?xml version="1.0" encoding="utf-8"?>
<comments xmlns="http://schemas.openxmlformats.org/spreadsheetml/2006/main">
  <authors>
    <author>jpitusb</author>
  </authors>
  <commentList>
    <comment ref="AI8" authorId="0">
      <text>
        <r>
          <rPr>
            <b/>
            <sz val="8"/>
            <color indexed="81"/>
            <rFont val="Tahoma"/>
            <family val="2"/>
          </rPr>
          <t>Many columns in this sheet use this fixed random variable!</t>
        </r>
      </text>
    </comment>
    <comment ref="B31" authorId="0">
      <text>
        <r>
          <rPr>
            <b/>
            <sz val="8"/>
            <color indexed="81"/>
            <rFont val="Tahoma"/>
            <family val="2"/>
          </rPr>
          <t>Creates broader range of donor BMI.  Should prob. keep &lt;10.</t>
        </r>
      </text>
    </comment>
    <comment ref="C33" authorId="0">
      <text>
        <r>
          <rPr>
            <b/>
            <sz val="8"/>
            <color indexed="81"/>
            <rFont val="Tahoma"/>
            <family val="2"/>
          </rPr>
          <t>Typ. 2/1 M:F TBV Constant = 464 (from M=604, F=183)</t>
        </r>
      </text>
    </comment>
    <comment ref="AK34" authorId="0">
      <text>
        <r>
          <rPr>
            <b/>
            <sz val="8"/>
            <color indexed="81"/>
            <rFont val="Tahoma"/>
            <family val="2"/>
          </rPr>
          <t>This Offset allows the HLOOKUP() to work for donor's blood type.</t>
        </r>
        <r>
          <rPr>
            <sz val="8"/>
            <color indexed="81"/>
            <rFont val="Tahoma"/>
            <family val="2"/>
          </rPr>
          <t xml:space="preserve">
</t>
        </r>
      </text>
    </comment>
  </commentList>
</comments>
</file>

<file path=xl/comments11.xml><?xml version="1.0" encoding="utf-8"?>
<comments xmlns="http://schemas.openxmlformats.org/spreadsheetml/2006/main">
  <authors>
    <author>jpitusb</author>
  </authors>
  <commentList>
    <comment ref="J35" authorId="0">
      <text>
        <r>
          <rPr>
            <b/>
            <sz val="8"/>
            <color indexed="81"/>
            <rFont val="Tahoma"/>
            <family val="2"/>
          </rPr>
          <t>Set priority of products: 0=off, 1, 2, or 3.</t>
        </r>
      </text>
    </comment>
    <comment ref="K36" authorId="0">
      <text>
        <r>
          <rPr>
            <b/>
            <sz val="8"/>
            <color indexed="81"/>
            <rFont val="Tahoma"/>
            <family val="2"/>
          </rPr>
          <t>Includes a 0 plt target</t>
        </r>
      </text>
    </comment>
  </commentList>
</comments>
</file>

<file path=xl/sharedStrings.xml><?xml version="1.0" encoding="utf-8"?>
<sst xmlns="http://schemas.openxmlformats.org/spreadsheetml/2006/main" count="8414" uniqueCount="2030">
  <si>
    <t>%</t>
  </si>
  <si>
    <t>Minimum</t>
  </si>
  <si>
    <t>Maximum</t>
  </si>
  <si>
    <t>Mean</t>
  </si>
  <si>
    <t>Average</t>
  </si>
  <si>
    <t>Runs</t>
  </si>
  <si>
    <t>CV (%)</t>
  </si>
  <si>
    <t>Donor Data</t>
  </si>
  <si>
    <t>Product Targets</t>
  </si>
  <si>
    <t>Times (min)</t>
  </si>
  <si>
    <t>Return Flows</t>
  </si>
  <si>
    <t>Qin Return/Draw</t>
  </si>
  <si>
    <t>Procedure Vols (ml)</t>
  </si>
  <si>
    <t>Concentrations</t>
  </si>
  <si>
    <t>Yield Losses (E11)</t>
  </si>
  <si>
    <t>TBV</t>
  </si>
  <si>
    <t>Cpre</t>
  </si>
  <si>
    <t>Hct</t>
  </si>
  <si>
    <t>Wt</t>
  </si>
  <si>
    <t>Ytarg</t>
  </si>
  <si>
    <t>Vp</t>
  </si>
  <si>
    <t>Vrbc</t>
  </si>
  <si>
    <t>Tp</t>
  </si>
  <si>
    <t>Tc</t>
  </si>
  <si>
    <t>Plt/Pls</t>
  </si>
  <si>
    <t>Midrun</t>
  </si>
  <si>
    <t>Vintarg</t>
  </si>
  <si>
    <t>Vac</t>
  </si>
  <si>
    <t>Vc</t>
  </si>
  <si>
    <t>Plt</t>
  </si>
  <si>
    <t>Cpost</t>
  </si>
  <si>
    <t>Hpost</t>
  </si>
  <si>
    <t>PCA</t>
  </si>
  <si>
    <t>MR</t>
  </si>
  <si>
    <t>PIR</t>
  </si>
  <si>
    <t>Number</t>
  </si>
  <si>
    <t>Ht</t>
  </si>
  <si>
    <t>Purges</t>
  </si>
  <si>
    <t>Qcmr</t>
  </si>
  <si>
    <t>Max Qin</t>
  </si>
  <si>
    <t>Flows (ml/min)</t>
  </si>
  <si>
    <t>SNA Qinc</t>
  </si>
  <si>
    <t>Ydpur</t>
  </si>
  <si>
    <t>Ydch</t>
  </si>
  <si>
    <t>YdchPIR</t>
  </si>
  <si>
    <t>TOTAL COLLECTION VOLUME MANAGEMENT</t>
  </si>
  <si>
    <t>Software Version</t>
  </si>
  <si>
    <t xml:space="preserve">Use TBV-Based Volume Limit </t>
  </si>
  <si>
    <t>YES</t>
  </si>
  <si>
    <t>TBV-Based Volume Limit (%)</t>
  </si>
  <si>
    <t>DONOR RELATED CONFIGURATIONS</t>
  </si>
  <si>
    <t xml:space="preserve">Use Weight-Based Volume Limit </t>
  </si>
  <si>
    <t>NO</t>
  </si>
  <si>
    <t>Postcount Platelet Mobilization</t>
  </si>
  <si>
    <t>Maximum Procedure Time (min)</t>
  </si>
  <si>
    <t>Plasma</t>
  </si>
  <si>
    <t>AC AND FLOW MANAGEMENT</t>
  </si>
  <si>
    <t>AC Infusion Rate Management</t>
  </si>
  <si>
    <t xml:space="preserve">Maximum Draw Flow </t>
  </si>
  <si>
    <t xml:space="preserve">Draw Flow Management </t>
  </si>
  <si>
    <t xml:space="preserve">Return Flow Management </t>
  </si>
  <si>
    <t>Inlet Flow Ramp</t>
  </si>
  <si>
    <t>No.</t>
  </si>
  <si>
    <t>Plasma 1 Target Volume (ml)</t>
  </si>
  <si>
    <t>STATISTICAL DONOR BASE</t>
  </si>
  <si>
    <t>STATISTICAL NOTES</t>
  </si>
  <si>
    <t>Average TBV (ml)</t>
  </si>
  <si>
    <t>TBV SD (ml)</t>
  </si>
  <si>
    <t>Minimum TBV (ml)</t>
  </si>
  <si>
    <t xml:space="preserve">2) Enter statistical donor base data, or </t>
  </si>
  <si>
    <t>Maximum TBV (ml)</t>
  </si>
  <si>
    <t xml:space="preserve">    copy typical data from the table below.</t>
  </si>
  <si>
    <t>Average Precount (E6/ml)</t>
  </si>
  <si>
    <t>Precount SD (E3/ml)</t>
  </si>
  <si>
    <t xml:space="preserve">    sample from new input data, or to obtain </t>
  </si>
  <si>
    <t>Min Precount (E3/ml)</t>
  </si>
  <si>
    <t xml:space="preserve">    a new sample from unchanged input data.</t>
  </si>
  <si>
    <t>Max Precount (E3/ml)</t>
  </si>
  <si>
    <t xml:space="preserve">    The sample is fixed until the button is</t>
  </si>
  <si>
    <t>Precount</t>
  </si>
  <si>
    <t xml:space="preserve">Hct </t>
  </si>
  <si>
    <t>Average Hematocrit (%)</t>
  </si>
  <si>
    <t xml:space="preserve">    again clicked.</t>
  </si>
  <si>
    <t>(ml)</t>
  </si>
  <si>
    <t>(E6/ml)</t>
  </si>
  <si>
    <t>(%)</t>
  </si>
  <si>
    <t>Hematocrit SD (%)</t>
  </si>
  <si>
    <t>Min Hematocrit (%)</t>
  </si>
  <si>
    <t>Max Hematocrit (%)</t>
  </si>
  <si>
    <t>TYPICAL VALUES FOR STATISTICAL DONOR BASES</t>
  </si>
  <si>
    <t>Donor Base Parameter</t>
  </si>
  <si>
    <t>USA</t>
  </si>
  <si>
    <t>Germany</t>
  </si>
  <si>
    <t>France</t>
  </si>
  <si>
    <t>S. Europe</t>
  </si>
  <si>
    <t>Japan</t>
  </si>
  <si>
    <t>Egypt</t>
  </si>
  <si>
    <t>Top Offered Procedure</t>
  </si>
  <si>
    <t>Count</t>
  </si>
  <si>
    <t>% Qual</t>
  </si>
  <si>
    <t>[LANGUAGE_UNIT_CONFIG]</t>
  </si>
  <si>
    <t>key_lang=0</t>
  </si>
  <si>
    <t>key_height=1</t>
  </si>
  <si>
    <t>key_weight=1</t>
  </si>
  <si>
    <t>key_date_format=1</t>
  </si>
  <si>
    <t>key_time_format=1</t>
  </si>
  <si>
    <t>key_decimal_delimiter=0</t>
  </si>
  <si>
    <t>key_crit_or_glob=0</t>
  </si>
  <si>
    <t>[PROCEDURE_CONFIG]</t>
  </si>
  <si>
    <t>key_return_press=310</t>
  </si>
  <si>
    <t>key_draw_press=-250</t>
  </si>
  <si>
    <t>key_min_replacement_volume=0</t>
  </si>
  <si>
    <t>key_plt_mss_split_notif=0</t>
  </si>
  <si>
    <t>key_show_residual_loss=0</t>
  </si>
  <si>
    <t>key_override_pas_bag_vol=0</t>
  </si>
  <si>
    <t>key_drbc_alert=1</t>
  </si>
  <si>
    <t>key_audit_tracking=0</t>
  </si>
  <si>
    <t>key_air_removal=1</t>
  </si>
  <si>
    <t>key_blood_diversion=0</t>
  </si>
  <si>
    <t>key_mss_plt_on=0</t>
  </si>
  <si>
    <t>key_mss_rbc_on=1</t>
  </si>
  <si>
    <t>key_show_pre_aas_flags=1</t>
  </si>
  <si>
    <t>[PREDICTION_CONFIG]</t>
  </si>
  <si>
    <t>key_guaranteed_yield=0.0</t>
  </si>
  <si>
    <t>key_confidence_level=95</t>
  </si>
  <si>
    <t>key_coefficient_of_variation=10</t>
  </si>
  <si>
    <t>[PRODUCT_TEMPLATES]</t>
  </si>
  <si>
    <t>key_rbc_mss_volume_1=100</t>
  </si>
  <si>
    <t>key_rbc_mss_volume_2=100</t>
  </si>
  <si>
    <t>key_rbc_mss_volume_3=100</t>
  </si>
  <si>
    <t>key_plt_mss_1=0</t>
  </si>
  <si>
    <t>key_plt_pct_carryover_1=50</t>
  </si>
  <si>
    <t>key_plt_mss_2=0</t>
  </si>
  <si>
    <t>key_plt_pct_carryover_2=50</t>
  </si>
  <si>
    <t>key_plt_mss_3=0</t>
  </si>
  <si>
    <t>key_plt_pct_carryover_3=50</t>
  </si>
  <si>
    <t>key_plt_mss_4=0</t>
  </si>
  <si>
    <t>key_plt_pct_carryover_4=50</t>
  </si>
  <si>
    <t>key_plt_mss_5=0</t>
  </si>
  <si>
    <t>key_plt_pct_carryover_5=50</t>
  </si>
  <si>
    <t>key_plt_mss_6=0</t>
  </si>
  <si>
    <t>key_plt_pct_carryover_6=50</t>
  </si>
  <si>
    <t>key_plt_mss_7=0</t>
  </si>
  <si>
    <t>key_plt_pct_carryover_7=50</t>
  </si>
  <si>
    <t>key_plt_mss_8=0</t>
  </si>
  <si>
    <t>key_plt_pct_carryover_8=50</t>
  </si>
  <si>
    <t>key_plt_mss_9=0</t>
  </si>
  <si>
    <t>key_plt_pct_carryover_9=50</t>
  </si>
  <si>
    <t>key_plt_mss_10=0</t>
  </si>
  <si>
    <t>key_plt_pct_carryover_10=50</t>
  </si>
  <si>
    <t>#</t>
  </si>
  <si>
    <t>#   The product definitions shown are indices into the product templates:</t>
  </si>
  <si>
    <t>#      key_platelet_   : 0=none; 1=plt1, 2=plt2, ... 6=plt6</t>
  </si>
  <si>
    <t>#      key_plasma_     : 0=none; 1=pls1; 2=pls2; ... 6=pls6; 7=AMAP; 8=Max concurrent</t>
  </si>
  <si>
    <t>#      key_rbc_        : 0=none; 1=rbc1; 2=rbc2; 3=rbc3</t>
  </si>
  <si>
    <t>#      key_blood_type_ : 0=all; 1=O-/O+; 2=O-; 3=O-/O+/A-/A+; 4=O-/O+/A-; 5=O-/A-</t>
  </si>
  <si>
    <t>#                        6=O-/O+/B-/B+; 7=O-/O+/A-/A+/B-/B+; 8=O-/O+/A-/A+/B-; 9=A-/A+</t>
  </si>
  <si>
    <t>#                        10=A-/A+/B-/B+/AB-/AB+, 11=B-/B+, 12=AB-/AB+</t>
  </si>
  <si>
    <t>#      key_time_       : minutes, range 10-150</t>
  </si>
  <si>
    <t>[PRODUCT_DEFINITIONS]</t>
  </si>
  <si>
    <t>[BASIC_MACHINE_CONFIG]</t>
  </si>
  <si>
    <t>key_set_time=12</t>
  </si>
  <si>
    <t>key_set_date=10</t>
  </si>
  <si>
    <t>key_set_audio=1</t>
  </si>
  <si>
    <t>key_pword=789852</t>
  </si>
  <si>
    <t>key_drbc_alert=0</t>
  </si>
  <si>
    <t>key_rinseback_protocol=0</t>
  </si>
  <si>
    <t># 1.) This file must have lines that are less than 255 characters long in order</t>
  </si>
  <si>
    <t>#     for the name/value to be read properly.</t>
  </si>
  <si>
    <t># 2.) Each entry (or VALUE) is completely specified by SECTION_NAME and NAME.</t>
  </si>
  <si>
    <t>#     The format for data which is to be seen by the computer is as follows:</t>
  </si>
  <si>
    <t># [SECTION_NAME]</t>
  </si>
  <si>
    <t># name0=value0</t>
  </si>
  <si>
    <t># name1=value1</t>
  </si>
  <si>
    <t># name2=value2</t>
  </si>
  <si>
    <t># ...</t>
  </si>
  <si>
    <t># [SECTION_NAME1]</t>
  </si>
  <si>
    <t>[SYSTEM]</t>
  </si>
  <si>
    <t>control_minimum_memory=32380.0</t>
  </si>
  <si>
    <t>safety_minimum_memory=3712.0</t>
  </si>
  <si>
    <t>minimum_pump_rpm=0.5</t>
  </si>
  <si>
    <t>rbc_volume_kluge=1.0</t>
  </si>
  <si>
    <t>#    APS auto-zero settings</t>
  </si>
  <si>
    <t># aps_auto_zero_average   - count of readings to be averaged for auto-zero</t>
  </si>
  <si>
    <t># aps_auto_zero_range</t>
  </si>
  <si>
    <t># aps_auto_zero_min</t>
  </si>
  <si>
    <t># aps_auto_zero_max       - max allowed auto-zero value (mmHg)</t>
  </si>
  <si>
    <t># aps_auto_zero_max_diff  - max difference allowed from previous auto-zero value (mmHg)</t>
  </si>
  <si>
    <t>aps_auto_zero_average=3</t>
  </si>
  <si>
    <t>aps_auto_zero_range=20.0</t>
  </si>
  <si>
    <t>aps_auto_zero_min=-200.0</t>
  </si>
  <si>
    <t>aps_auto_zero_max=200.0</t>
  </si>
  <si>
    <t>aps_auto_zero_max_diff=100.0</t>
  </si>
  <si>
    <t>#    Reservoir related limits</t>
  </si>
  <si>
    <t>reservoir_volume=55.0</t>
  </si>
  <si>
    <t>draw_too_large_warning=67.0</t>
  </si>
  <si>
    <t>draw_too_large_limit=134.0</t>
  </si>
  <si>
    <t>draw_too_small_warning=45.0</t>
  </si>
  <si>
    <t>return_too_small_warning=-38.0</t>
  </si>
  <si>
    <t>return_too_large_warning=-65.0</t>
  </si>
  <si>
    <t>return_first_cycle_margin=0.0</t>
  </si>
  <si>
    <t>reservoir_mix_volume=6.0</t>
  </si>
  <si>
    <t>#  Disposable set related limits</t>
  </si>
  <si>
    <t>#   First cycle limits for V5 from IT4844</t>
  </si>
  <si>
    <t>#   First cycle and nominal volumes include return prime volume.</t>
  </si>
  <si>
    <t>pltplsrbc_first_cycle_too_soon = 168.17</t>
  </si>
  <si>
    <t>pltplsrbc_first_cycle_too_late = 226.57</t>
  </si>
  <si>
    <t>pltplsrbc_extracorporeal_volume=188.17</t>
  </si>
  <si>
    <t>pltplsrbc_nominal_fill_volume=188.17</t>
  </si>
  <si>
    <t>rbcpls_first_cycle_too_soon = 150.41</t>
  </si>
  <si>
    <t>rbcpls_first_cycle_too_late = 206.81</t>
  </si>
  <si>
    <t>rbcpls_extracorporeal_volume=170.41</t>
  </si>
  <si>
    <t>rbcpls_nominal_fill_volume=170.41</t>
  </si>
  <si>
    <t>#   Miscellaneous volume constants</t>
  </si>
  <si>
    <t>nominal_return_line_volume=28.0</t>
  </si>
  <si>
    <t>low_level_too_soon_limit = -17.0</t>
  </si>
  <si>
    <t>low_level_too_late_limit = -45.0</t>
  </si>
  <si>
    <t>sample_volume=20</t>
  </si>
  <si>
    <t>ako_volume=4.0</t>
  </si>
  <si>
    <t>qrp_ako=20.0</t>
  </si>
  <si>
    <t>ac_prime_volume=18.0</t>
  </si>
  <si>
    <t>first_return_nocollect_infusion_rate = 0.7</t>
  </si>
  <si>
    <t># V5 residual values as measured by Linda Taylor</t>
  </si>
  <si>
    <t>pltplsrbc_total_residual_volume=51.0</t>
  </si>
  <si>
    <t>rbcpls_total_residual_volume=45.0</t>
  </si>
  <si>
    <t># The following system parameters control the centrifuge shutdown</t>
  </si>
  <si>
    <t># test.  The maximum_centrifuge_stop_current value specifies maximum</t>
  </si>
  <si>
    <t># current value (in mAmps) expected with the centrifuge stopped.  The</t>
  </si>
  <si>
    <t># maximum_centrifuge_error_time specifies the maximum time (in seconds)</t>
  </si>
  <si>
    <t># allowed for the error signal received from the centrifuge motor</t>
  </si>
  <si>
    <t># controller to be cleared after the inhibit bit is cleared (with</t>
  </si>
  <si>
    <t># power already applied).  The centrifuge_shutdown_test_duration</t>
  </si>
  <si>
    <t># value specifies the total length of time (in seconds) for the</t>
  </si>
  <si>
    <t># centrifuge shutdown test.</t>
  </si>
  <si>
    <t>maximum_centrifuge_stop_current=50.0</t>
  </si>
  <si>
    <t>maximum_centrifuge_error_time=1.0</t>
  </si>
  <si>
    <t>centrifuge_shutdown_test_duration=2.0</t>
  </si>
  <si>
    <t>#  The prediction task is monitored to ensure that it is still responding.</t>
  </si>
  <si>
    <t>#  This number is the duration (in seconds) that the predict task is allowed</t>
  </si>
  <si>
    <t>#  to complete a reprediction for a single procedure and respond.  A value</t>
  </si>
  <si>
    <t>#  of zero disables the check.  Multiple procedure requests are half the</t>
  </si>
  <si>
    <t>#  config value (e.g. if the timeout is specified as 20 seconds, the allowed</t>
  </si>
  <si>
    <t>#  time for 15 procedures would be 20*15/2, or 150 seconds).</t>
  </si>
  <si>
    <t>predict_timeout=30.0</t>
  </si>
  <si>
    <t>[HYPOVOLEMIA]</t>
  </si>
  <si>
    <t># constants related to the hypovolemia condition and alarm monitor for the same</t>
  </si>
  <si>
    <t># hypovolemia_adjust is the volume allowed (in ml) for proc to close the</t>
  </si>
  <si>
    <t># valves and transition to rinseback when a potential hypovolemia condition</t>
  </si>
  <si>
    <t># is detected.  This amount eats into the margins.</t>
  </si>
  <si>
    <t>hypovolemia_adjust=5.0</t>
  </si>
  <si>
    <t>#  These numbers are the margins for hypovolemia monitoring</t>
  </si>
  <si>
    <t>hypovolemia_control_current=15.0</t>
  </si>
  <si>
    <t>hypovolemia_control_other=20.0</t>
  </si>
  <si>
    <t>hypovolemia_safety_current=25.0</t>
  </si>
  <si>
    <t>hypovolemia_safety_other=30.0</t>
  </si>
  <si>
    <t>#  AMAP procedures aim for this amount of additional margin</t>
  </si>
  <si>
    <t>hypovolemia_amap_margin=20.0</t>
  </si>
  <si>
    <t>[LRS]</t>
  </si>
  <si>
    <t>collect_minimum_flow=0.5</t>
  </si>
  <si>
    <t>collect_ramp_rate=0.20</t>
  </si>
  <si>
    <t>#_standard for standard conc. collection &lt;= 2100</t>
  </si>
  <si>
    <t>#_high for Higher conc. collection &gt; 2100</t>
  </si>
  <si>
    <t>collect_maximum_flow_high=4.0</t>
  </si>
  <si>
    <t>collect_maximum_flow_standard=5.0</t>
  </si>
  <si>
    <t>first_max_pir_chamber_flow_high=2.0</t>
  </si>
  <si>
    <t>first_max_pir_chamber_flow_standard=2.5</t>
  </si>
  <si>
    <t>first_pir_flow_limit_high=1.0</t>
  </si>
  <si>
    <t>first_pir_flow_limit_standard=1.5</t>
  </si>
  <si>
    <t>second_max_pir_chamber_flow_high=3.0</t>
  </si>
  <si>
    <t>second_max_pir_chamber_flow_standard=3.8</t>
  </si>
  <si>
    <t>second_pir_flow_limit=2.0</t>
  </si>
  <si>
    <t>post_purge_wbc_in_chamber=6.5</t>
  </si>
  <si>
    <t>post_purge_wbc_in_chamber_large_bmi=6.0</t>
  </si>
  <si>
    <t>plasma_minimum_flow=0.5</t>
  </si>
  <si>
    <t>bmi_for_increased_purges=30.0</t>
  </si>
  <si>
    <t>[QIN]</t>
  </si>
  <si>
    <t>qin_limit_min=20.0</t>
  </si>
  <si>
    <t>qrp_limit_min=20.0</t>
  </si>
  <si>
    <t>qin_limit_max=142.0</t>
  </si>
  <si>
    <t>qin_flow_limit_slow=100.0</t>
  </si>
  <si>
    <t>qin_flow_limit_medium=120.0</t>
  </si>
  <si>
    <t>qin_flow_limit_fast=142.0</t>
  </si>
  <si>
    <t>qneedle_limit_max=302.5</t>
  </si>
  <si>
    <t>max_instant_qreturn=400</t>
  </si>
  <si>
    <t>tbv_qin_max_coefficient=0.030</t>
  </si>
  <si>
    <t>tbv_qnret_max_coefficient=0.075</t>
  </si>
  <si>
    <t>inlet_flow_ramp_constant=0.95</t>
  </si>
  <si>
    <t>inlet_flow_ramp_max_start_qin=45.0</t>
  </si>
  <si>
    <t>max_qin_plasma_collect=120.0</t>
  </si>
  <si>
    <t>max_qin_pc=120.0</t>
  </si>
  <si>
    <t>max_qin_pcae=100.0</t>
  </si>
  <si>
    <t>max_qin_pce=120.0</t>
  </si>
  <si>
    <t>max_qch_for_qin_during_pc=4.5</t>
  </si>
  <si>
    <t>[VIN]</t>
  </si>
  <si>
    <t>vin_max_target=10000</t>
  </si>
  <si>
    <t>vin_min_target=1000</t>
  </si>
  <si>
    <t>vin_plasma_start=200</t>
  </si>
  <si>
    <t>vin_end_of_qin_ramp=600</t>
  </si>
  <si>
    <t>vin_collect_start_constant=0.90</t>
  </si>
  <si>
    <t>min_vin_collect_start=400</t>
  </si>
  <si>
    <t>max_vin_collect_start=2000</t>
  </si>
  <si>
    <t>vin_interface_setup=50</t>
  </si>
  <si>
    <t xml:space="preserve"># Constants used for Ydpur (yield decrement due to WBC purge) </t>
  </si>
  <si>
    <t># calculation (Ydpur is used to calculate VinTarg)</t>
  </si>
  <si>
    <t>[PURGE]</t>
  </si>
  <si>
    <t>purge_loss_plt_in_chamber=0.40</t>
  </si>
  <si>
    <t>purge_loss_max_fraction_ytarg=0.50</t>
  </si>
  <si>
    <t>purge_scale_variable=0.1</t>
  </si>
  <si>
    <t>purge_max_total_volume=10.0</t>
  </si>
  <si>
    <t>vin_chamber_pack=15.0</t>
  </si>
  <si>
    <t>qplasma_purge=6.0</t>
  </si>
  <si>
    <t>vplasma_purge_cycle=1.1</t>
  </si>
  <si>
    <t>vin_clear_channel=15.0</t>
  </si>
  <si>
    <t>min_num_of_purge_cycles=5.0</t>
  </si>
  <si>
    <t>purge_suppress_ml_from_vintarg=500.0</t>
  </si>
  <si>
    <t>[CLEAR_LINE]</t>
  </si>
  <si>
    <t>#In addition to adjusting the length of clear line</t>
  </si>
  <si>
    <t>#after RBC spillover recovery, this variable</t>
  </si>
  <si>
    <t>#implicitly accelerates/delays valve opening.</t>
  </si>
  <si>
    <t>spillover_clear_line_vcollect=15.0</t>
  </si>
  <si>
    <t>#Same as above, but standard WBC purges</t>
  </si>
  <si>
    <t>clear_line_vcollect=15.0</t>
  </si>
  <si>
    <t>clear_line_qin=45.0</t>
  </si>
  <si>
    <t>clear_line_qplasma=10.0</t>
  </si>
  <si>
    <t>clear_line_qcollect=15.0</t>
  </si>
  <si>
    <t>[AIR_BLOCK]</t>
  </si>
  <si>
    <t>air_block_centrifuge_rpm=550.0</t>
  </si>
  <si>
    <t>air_block_start_rpm_target=750.0</t>
  </si>
  <si>
    <t>air_block_qplasma=10.0</t>
  </si>
  <si>
    <t>air_block_qchamber=2.5</t>
  </si>
  <si>
    <t>air_block_vplasma_target=4.0</t>
  </si>
  <si>
    <t>[PUMPS_PAUSE]</t>
  </si>
  <si>
    <t>pause_vin_processed_target=15.0</t>
  </si>
  <si>
    <t>pause_qplasma=0.0</t>
  </si>
  <si>
    <t>pause_qcollect=0.0</t>
  </si>
  <si>
    <t>[CENTRIFUGE_SLOW]</t>
  </si>
  <si>
    <t>centslow_rpm_trigger=2650.0</t>
  </si>
  <si>
    <t>centslow_rpm_target=2700.0</t>
  </si>
  <si>
    <t>centslow_interface_setup_time=15.0</t>
  </si>
  <si>
    <t>centslow_num_expected=0.0</t>
  </si>
  <si>
    <t>[CENTRIFUGE_STOP]</t>
  </si>
  <si>
    <t>centstop_rpm_trigger=1650.0</t>
  </si>
  <si>
    <t>centstop_rpm_target=2700.0</t>
  </si>
  <si>
    <t>centstop_interface_setup_time=60.0</t>
  </si>
  <si>
    <t>centstop_qplasma=5.0</t>
  </si>
  <si>
    <t>centstop_qcollect=5.0</t>
  </si>
  <si>
    <t>centstop_num_expected=0.0</t>
  </si>
  <si>
    <t>[RBC_PURGE]</t>
  </si>
  <si>
    <t>rbcpurge_qplasma=15.0</t>
  </si>
  <si>
    <t>rbcpurge_qcollect=0.0</t>
  </si>
  <si>
    <t>rbcpurge_vplasma=0.0</t>
  </si>
  <si>
    <t>rbcpurge_num_expected=1.0</t>
  </si>
  <si>
    <t>[PLASMA_VALVE_MOTION]</t>
  </si>
  <si>
    <t>pumps_stop_wait_time=1.0</t>
  </si>
  <si>
    <t>[SETTLE_CHANNEL]</t>
  </si>
  <si>
    <t>settle_channel_vin=50.0</t>
  </si>
  <si>
    <t>settle_channel_qin=70.0</t>
  </si>
  <si>
    <t># Constants used to calculate return flows</t>
  </si>
  <si>
    <t>[RECIRCULATE]</t>
  </si>
  <si>
    <t>min_recirculate_platelet_collect=0.5</t>
  </si>
  <si>
    <t>max_recirculate_platelet_collect=0.75</t>
  </si>
  <si>
    <t>recirculate_platelet_collect=1.0</t>
  </si>
  <si>
    <t>recirculate_concentration=2100</t>
  </si>
  <si>
    <t>recirculate_pce_prerbc=1.0</t>
  </si>
  <si>
    <t>recirculate_sn_draw_vol=3</t>
  </si>
  <si>
    <t>plt_pls_crr=1.0</t>
  </si>
  <si>
    <t>rbc_pl_recirc_constant=1.0</t>
  </si>
  <si>
    <t>#  Constants for collections utilizing the RBC/Plasma protocols</t>
  </si>
  <si>
    <t>[RBC_PLASMA]</t>
  </si>
  <si>
    <t>rbc_plasma_prime_volume=165.0</t>
  </si>
  <si>
    <t>rbc_plasma_prime_time=5.7</t>
  </si>
  <si>
    <t>max_rbc_plasma_hrbc=0.65</t>
  </si>
  <si>
    <t>rbc_plasma_qinmaxr=90.0</t>
  </si>
  <si>
    <t>rbc_plasma_qmaxr=90.0</t>
  </si>
  <si>
    <t>rbc_hct_delta=0.15</t>
  </si>
  <si>
    <t>#adjustments for PTF with rbc_hct_delta &gt; 0.0</t>
  </si>
  <si>
    <t xml:space="preserve">rbc_hct_delta_IR_adjustment=1  </t>
  </si>
  <si>
    <t xml:space="preserve">rbc_hct_delta_IR_harmonizer=1.0 </t>
  </si>
  <si>
    <t>minimum_IR_adjustment_ratio=0.3</t>
  </si>
  <si>
    <t>apply_adjustment_safetyIR=1.2</t>
  </si>
  <si>
    <t>apply_adjustment_controlIR=1.2</t>
  </si>
  <si>
    <t>safety_IR_multiplier=2.0</t>
  </si>
  <si>
    <t>rachet_adjustment_ratio=0</t>
  </si>
  <si>
    <t>[RBC_COLLECTION]</t>
  </si>
  <si>
    <t>rbc_qch=5.0</t>
  </si>
  <si>
    <t>#  Max inlet flow for rbc collection is defined as average Qin</t>
  </si>
  <si>
    <t>max_qin_rbc_collection=90.0</t>
  </si>
  <si>
    <t>[WBC]</t>
  </si>
  <si>
    <t>wbc_aw_saturation_constant=112</t>
  </si>
  <si>
    <t>wbc_bw_saturation_constant=0.062</t>
  </si>
  <si>
    <t>wbc_channel_inventory=2.0</t>
  </si>
  <si>
    <t>[MNC]</t>
  </si>
  <si>
    <t>mnc_precount_for_purge=2.6</t>
  </si>
  <si>
    <t>mnc_precount_for_purge_large_bmi=3.1</t>
  </si>
  <si>
    <t>mnc_precount_for_plt_loss=1.7</t>
  </si>
  <si>
    <t>[PIR]</t>
  </si>
  <si>
    <t>pir_min_fraction_of_ytarg_loss=0.30</t>
  </si>
  <si>
    <t>[PLATELET]</t>
  </si>
  <si>
    <t>platelet_plasma_prime_volume=181.0</t>
  </si>
  <si>
    <t>platelet_plasma_prime_time=6.0</t>
  </si>
  <si>
    <t>max_platelet_plasma_hrbc=0.65</t>
  </si>
  <si>
    <t>platelet_saturation_ap=3.43</t>
  </si>
  <si>
    <t>platelet_saturation_bp=0.086</t>
  </si>
  <si>
    <t>channel_platelet_inventory=0.2</t>
  </si>
  <si>
    <t>chamber_flow_avg_time=5.0</t>
  </si>
  <si>
    <t>maximum_epca_volume=250.0</t>
  </si>
  <si>
    <t>epca_chamber_flow=2.0</t>
  </si>
  <si>
    <t>platelet_delta_vin_yield=200.0</t>
  </si>
  <si>
    <t>minimum_collect_volume=50.0</t>
  </si>
  <si>
    <t>platelet_mobilization_factor=0.80</t>
  </si>
  <si>
    <t>[CENTRIFUGE]</t>
  </si>
  <si>
    <t xml:space="preserve">#   These ramp rates are enforced during normal </t>
  </si>
  <si>
    <t>#   sequencing unless overridden by pause or recovery rates.</t>
  </si>
  <si>
    <t>standard_low_centrifuge_ramp=100.0</t>
  </si>
  <si>
    <t>standard_high_centrifuge_ramp=20.0</t>
  </si>
  <si>
    <t>standard_centrifuge_ramp_transition=2500.0</t>
  </si>
  <si>
    <t>ramp_down_rate=50.0</t>
  </si>
  <si>
    <t>#   This ramp rate is enforced during centrifuge slow and</t>
  </si>
  <si>
    <t>#   centrifuge stop recoveries.</t>
  </si>
  <si>
    <t>stop_recovery_low_centrifuge_ramp=100.0</t>
  </si>
  <si>
    <t>cent_min_cmd_run_spd=200.0</t>
  </si>
  <si>
    <t>cent_open_speed=50.0</t>
  </si>
  <si>
    <t>cent_pumps_paused_speed=1800.0</t>
  </si>
  <si>
    <t>cent_speed_error=50.0</t>
  </si>
  <si>
    <t>#  This number is used for determination of speed at which we will</t>
  </si>
  <si>
    <t>#  transition to the air_block_centrifuge_rpm during a pause to</t>
  </si>
  <si>
    <t>#  avoid resonant frequencies.  If the current centrifuge speed is</t>
  </si>
  <si>
    <t xml:space="preserve">#  greater than this number we will hold that speed; between </t>
  </si>
  <si>
    <t>#  cent_min_cmd_run_spd and cent_resonant_rpm we will run at the</t>
  </si>
  <si>
    <t>#  air_block_centrifuge_rpm speed.</t>
  </si>
  <si>
    <t>cent_resonant_rpm=1000.0</t>
  </si>
  <si>
    <t>#  These are the pressure sensor alarm limits</t>
  </si>
  <si>
    <t>cent_pres_limit_low=1350.0</t>
  </si>
  <si>
    <t>cent_pres_limit_high=1800.0</t>
  </si>
  <si>
    <t>#  Maximum centrifuge speed</t>
  </si>
  <si>
    <t>#  Different than max_collect, this is the trigger point for the cent overspeed alarm</t>
  </si>
  <si>
    <t>cent_speed_max=3000.0</t>
  </si>
  <si>
    <t>[DISPOSABLE_TEST]</t>
  </si>
  <si>
    <t># evacuation_volume = return pump volume for air evacuation in product bags</t>
  </si>
  <si>
    <t># evacuation_delta_pressure_limit = max APS pressure rise during evacuation</t>
  </si>
  <si>
    <t># evacuation_abs_pressure_limit = max absolute APS pressure for continue allowed after</t>
  </si>
  <si>
    <t>#                                  evacuation pressure alarm</t>
  </si>
  <si>
    <t># evacuation_startup_delay = delay before starting evacuation after cassette load</t>
  </si>
  <si>
    <t xml:space="preserve">#                             to allow pressure to equalize (seconds) </t>
  </si>
  <si>
    <t># evacuation_valve_open_dwell = time for which valves should remain open during</t>
  </si>
  <si>
    <t>#                                  evacendsetvalves state (seconds)</t>
  </si>
  <si>
    <t># evacuation_return_speed = speed for return pump during air evacuation</t>
  </si>
  <si>
    <t># Note that if evacuation volume is 0, all evacuation related states are</t>
  </si>
  <si>
    <t># effectively disabled.</t>
  </si>
  <si>
    <t>evacuation_volume=140.0</t>
  </si>
  <si>
    <t>evacuation_delta_pressure_limit=25.0</t>
  </si>
  <si>
    <t>evacuation_abs_pressure_limit=40.0</t>
  </si>
  <si>
    <t>evacuation_startup_delay=6.0</t>
  </si>
  <si>
    <t>evacuation_valve_open_dwell=5.0</t>
  </si>
  <si>
    <t>evacuation_return_speed=90.0</t>
  </si>
  <si>
    <t>#  Disposable test check limits for unclamped sample line</t>
  </si>
  <si>
    <t>disptest_volume_fail=50.0</t>
  </si>
  <si>
    <t>disptest_volume_check=10.0</t>
  </si>
  <si>
    <t>disptest_delta_aps=51.0</t>
  </si>
  <si>
    <t>disptest_aps_threshold=30.0</t>
  </si>
  <si>
    <t>disptest_volume_fail2=115.0</t>
  </si>
  <si>
    <t>disptest_return_speed1=300.0</t>
  </si>
  <si>
    <t>disptest_samplebag_vol=15.0</t>
  </si>
  <si>
    <t>disptest_aps_max=500.0</t>
  </si>
  <si>
    <t>disptest_crossover_low=100.0</t>
  </si>
  <si>
    <t>disptest_crossover_high=300.0</t>
  </si>
  <si>
    <t>disptest_crossover_delta=10.0</t>
  </si>
  <si>
    <t>disptest_crackpressure_volm=115.0</t>
  </si>
  <si>
    <t>disptest_aps_min=-350.0</t>
  </si>
  <si>
    <t>[STARTUP]</t>
  </si>
  <si>
    <t>#  Graphical limits for the first cycle pressure meter</t>
  </si>
  <si>
    <t>pressure_meter_min_limit=-150.0</t>
  </si>
  <si>
    <t>pressure_meter_max_limit=150.0</t>
  </si>
  <si>
    <t># Inlet flow rate limit for startup in ml/min</t>
  </si>
  <si>
    <t># Collect flow rate limit for startup in ml/min</t>
  </si>
  <si>
    <t># RPM limits for startup in RPM</t>
  </si>
  <si>
    <t># Vin limits for startup in ml</t>
  </si>
  <si>
    <t># Hrbc limits for startup as percent crit</t>
  </si>
  <si>
    <t>rpm_blood_prime=200.0</t>
  </si>
  <si>
    <t>qin_blood_prime=40.0</t>
  </si>
  <si>
    <t>qrp_blood_prime=40.0</t>
  </si>
  <si>
    <t>vin_blood_prime_inlet=24.0</t>
  </si>
  <si>
    <t>qrp_startup=155.0</t>
  </si>
  <si>
    <t>qin_startup=45.0</t>
  </si>
  <si>
    <t>#   cps_startup overrides the CPS alarm limit for substates</t>
  </si>
  <si>
    <t>#   prime_channel, prime_channel2, and prime_channel3</t>
  </si>
  <si>
    <t>cps_startup=1800.0</t>
  </si>
  <si>
    <t>qin_prime_channel=35.0</t>
  </si>
  <si>
    <t>qcol_prime_channel=30.0</t>
  </si>
  <si>
    <t>qp_prime_channel_pltplsrbc=5.0</t>
  </si>
  <si>
    <t>qp_prime_channel_rbcpls=30.0</t>
  </si>
  <si>
    <t>rpm_prime_channel=2000.0</t>
  </si>
  <si>
    <t>vin_prime_channel=70.0</t>
  </si>
  <si>
    <t>qin_prime_channel2=35.0</t>
  </si>
  <si>
    <t>qcol_prime_channel2=30.0</t>
  </si>
  <si>
    <t>qp_prime_channel2=5.0</t>
  </si>
  <si>
    <t>rpm_prime_channel2=2500.0</t>
  </si>
  <si>
    <t>vin_prime_channel2=80.0</t>
  </si>
  <si>
    <t>qin_prime_channel2a=13.0</t>
  </si>
  <si>
    <t>qcol_prime_channel2a=11.0</t>
  </si>
  <si>
    <t>qp_prime_channel2a=2.0</t>
  </si>
  <si>
    <t>rpm_prime_channel2a=2500.0</t>
  </si>
  <si>
    <t>vin_prime_channel2a=80.0</t>
  </si>
  <si>
    <t>hct_trigger_channel2a=32.0</t>
  </si>
  <si>
    <t>qin_prime_channel3=35.0</t>
  </si>
  <si>
    <t>qcol_prime_channel3=0.0</t>
  </si>
  <si>
    <t>qp_prime_channel3=0.0</t>
  </si>
  <si>
    <t>rpm_prime_channel3=2500.0</t>
  </si>
  <si>
    <t>vin_prime_channel3=110.0</t>
  </si>
  <si>
    <t>qin_prime_channel4=45.0</t>
  </si>
  <si>
    <t>qcol_prime_channel4=15.0</t>
  </si>
  <si>
    <t>qp_prime_channel4=15.0</t>
  </si>
  <si>
    <t>rpm_prime_channel4=2500.0</t>
  </si>
  <si>
    <t>vin_prime_channel4=118.0</t>
  </si>
  <si>
    <t>qin_prime_vent=45.0</t>
  </si>
  <si>
    <t>qcol_prime_vent=15.0</t>
  </si>
  <si>
    <t>qp_prime_vent=15.0</t>
  </si>
  <si>
    <t>rpm_prime_vent=2500.0</t>
  </si>
  <si>
    <t>vin_prime_vent=126.0</t>
  </si>
  <si>
    <t>#  Note: The ramp centrifuge state continues until the first return.  If</t>
  </si>
  <si>
    <t>#  no RPM decrease is programmed for the prime airout 1 substate, the value</t>
  </si>
  <si>
    <t>#  for return_first_cycle_margin should be set to zero.</t>
  </si>
  <si>
    <t>qin_ramp_centrifuge=45.0</t>
  </si>
  <si>
    <t>qcol_ramp_centrifuge=0.0</t>
  </si>
  <si>
    <t>qp_ramp_centrifuge=12.0</t>
  </si>
  <si>
    <t>rpm_ramp_centrifuge=3000.0</t>
  </si>
  <si>
    <t>qin_prime_airout_1=0.0</t>
  </si>
  <si>
    <t>qcol_prime_airout_1=0.0</t>
  </si>
  <si>
    <t>qp_prime_airout_1=0.0</t>
  </si>
  <si>
    <t>rpm_prime_airout_1=3200.0</t>
  </si>
  <si>
    <t>qin_prime_airout_2=45.0</t>
  </si>
  <si>
    <t>qcol_prime_airout_2=10.0</t>
  </si>
  <si>
    <t>qp_prime_airout_2=5.0</t>
  </si>
  <si>
    <t>rpm_prime_airout_2=3000.0</t>
  </si>
  <si>
    <t># This number should be less than 55.0 mls to maintain proper behavior</t>
  </si>
  <si>
    <t>delta_vin_prime_airout_2=50.0</t>
  </si>
  <si>
    <t>#percent increase to watch for Prime Spillover Signature</t>
  </si>
  <si>
    <t>rbc_prime_spillover_rise_percent = 10.0</t>
  </si>
  <si>
    <t>prime_spillover_sample_threshold = 6</t>
  </si>
  <si>
    <t>hct_to_hgb_conversion_factor = 3.01</t>
  </si>
  <si>
    <t>max_consecutive_spillovers = 3</t>
  </si>
  <si>
    <t>[COLLECT]</t>
  </si>
  <si>
    <t>rpm_collect=3000.0</t>
  </si>
  <si>
    <t>duty_cycle_limit=0.73</t>
  </si>
  <si>
    <t>rbc_duty_cycle_limit=0.9</t>
  </si>
  <si>
    <t>qneedle_ramp_coefficient=1.00</t>
  </si>
  <si>
    <t>[RINSEBACK]</t>
  </si>
  <si>
    <t>rinseback_i_rbmin=0.6</t>
  </si>
  <si>
    <t>rinseback_q_chrb1=20.0</t>
  </si>
  <si>
    <t>rinseback_q_chrb2=20.0</t>
  </si>
  <si>
    <t>rinseback_q_cspill=20.0</t>
  </si>
  <si>
    <t>rinseback_q_cpurge=100.0</t>
  </si>
  <si>
    <t>rinseback_q_crinse=100.0</t>
  </si>
  <si>
    <t>rinseback_q_inrb=100.0</t>
  </si>
  <si>
    <t>rinseback_q_inrec=100.0</t>
  </si>
  <si>
    <t>rinseback_q_pm=5.0</t>
  </si>
  <si>
    <t>rinseback_q_pmev=5.0</t>
  </si>
  <si>
    <t>rinseback_q_pmrb1=0.0</t>
  </si>
  <si>
    <t>rinseback_q_pmrb2=0.0</t>
  </si>
  <si>
    <t>rinseback_q_rrec=100.0</t>
  </si>
  <si>
    <t>rinseback_q_cdecel=20.0</t>
  </si>
  <si>
    <t>rinseback_v_plsdecel=1.5</t>
  </si>
  <si>
    <t>rinseback_v_cpurge=19.0</t>
  </si>
  <si>
    <t>rinseback_v_crb1=40.0</t>
  </si>
  <si>
    <t>rinseback_v_crinse1=37.0</t>
  </si>
  <si>
    <t>rinseback_v_crinse2=37.0</t>
  </si>
  <si>
    <t>rinseback_v_inrec=125.0</t>
  </si>
  <si>
    <t>rinseback_v_pevhold=15.0</t>
  </si>
  <si>
    <t>rinseback_v_plrb=60.0</t>
  </si>
  <si>
    <t>rinseback_v_prec=20.0</t>
  </si>
  <si>
    <t>rinseback_v_pvalve=20.0</t>
  </si>
  <si>
    <t>rinseback_v_r=18.0</t>
  </si>
  <si>
    <t>rinseback_v_rpevmin=2.0</t>
  </si>
  <si>
    <t>rinseback_v_s=20.0</t>
  </si>
  <si>
    <t>rinseback_v_trplt=51.0</t>
  </si>
  <si>
    <t>rinseback_v_trrbc=45.0</t>
  </si>
  <si>
    <t>rpm_rinseback_spillandpurge=550.0</t>
  </si>
  <si>
    <t>rpm_rinseback_threshold=2000.0</t>
  </si>
  <si>
    <t>##################################################</t>
  </si>
  <si>
    <t># Old v5 values</t>
  </si>
  <si>
    <t>rinseback_qin_recirculate=100.0</t>
  </si>
  <si>
    <t>rinseback_qchamber_recirculate=20.0</t>
  </si>
  <si>
    <t>rinseback_vp_recirculate=20.0</t>
  </si>
  <si>
    <t>rinseback_qcol_margin=5.0</t>
  </si>
  <si>
    <t>rinseback_qchamber=20.0</t>
  </si>
  <si>
    <t>rinseback_min_infusion=0.6</t>
  </si>
  <si>
    <t>rinseback_vret_lower=18.0</t>
  </si>
  <si>
    <t>#  Rinseback evacuation parameters: continue rinseback after the low level</t>
  </si>
  <si>
    <t>#  sensor reads empty.  At that point, the return pump will be paused for</t>
  </si>
  <si>
    <t>#  the hold_volume.  Once the hold volume has been accrued by the plasma</t>
  </si>
  <si>
    <t>#  pump, the return pump will restart.  If the return pump then accrues less</t>
  </si>
  <si>
    <t>#  than the min_volume before the low level sensor indicates empty then</t>
  </si>
  <si>
    <t>#  rinseback will be terminated.</t>
  </si>
  <si>
    <t>rinseback_evacuation_hold_volume=20.0</t>
  </si>
  <si>
    <t>rinseback_evacuation_min_volume=2.0</t>
  </si>
  <si>
    <t>#   During rinseback the RBC valve will be thrown to the collect position</t>
  </si>
  <si>
    <t>#   if no RBC product has been collected.  The rinseback_valve_volume</t>
  </si>
  <si>
    <t>#   parameter describes the plasma volume needed before the valve will</t>
  </si>
  <si>
    <t>#   move.  A value of zero disables the valve motion.</t>
  </si>
  <si>
    <t>rinseback_valve_volume=20.0</t>
  </si>
  <si>
    <t>[YIELD]</t>
  </si>
  <si>
    <t>yield_qin_constant=0.68</t>
  </si>
  <si>
    <t>yield_vin_constant=-0.67</t>
  </si>
  <si>
    <t>platelet_efficiency_multiplier=0.98</t>
  </si>
  <si>
    <t>yield_startup_volume=500</t>
  </si>
  <si>
    <t>[APS_PAUSE]</t>
  </si>
  <si>
    <t>#- - - - - - - - - - - - - - - - - - - - - - - - - - - - - - - - - - - - -</t>
  </si>
  <si>
    <t>#   The following configuration variables are used to control the</t>
  </si>
  <si>
    <t>#   APS pause function.</t>
  </si>
  <si>
    <t>#   Define the period during which we keep track of pauses.  This</t>
  </si>
  <si>
    <t>#   quantity is in MINUTES.  For example, if it is set to 1.5 then</t>
  </si>
  <si>
    <t>#   the APS alarm will occur if MORE than aps_max_pauses_in_period</t>
  </si>
  <si>
    <t>#   occur within any 90-second timeframe.</t>
  </si>
  <si>
    <t>aps_pause_period=3.0</t>
  </si>
  <si>
    <t>aps_max_pauses_in_period=3.0</t>
  </si>
  <si>
    <t>#  A pause is only allowed to last this long before the alarm is</t>
  </si>
  <si>
    <t>#  generated.  This quantity is in SECONDS.  This value may be set to</t>
  </si>
  <si>
    <t>#  zero, in which case the APS pause function is inactive (the alarm</t>
  </si>
  <si>
    <t>#  will occur immediately when the APS is detected out of range).</t>
  </si>
  <si>
    <t>aps_pause_time_before_alarm=6.0</t>
  </si>
  <si>
    <t>#  Once we have paused, the pumps will not resume until the pressure reaches</t>
  </si>
  <si>
    <t>#  both the nominal range and we have paused for the minimum amount of time. To</t>
  </si>
  <si>
    <t>#  disable these you can set the minimum pause time to 0.0 and/or the pressure</t>
  </si>
  <si>
    <t>#  to a large value.  The nominal pressure should always be POSITIVE since we</t>
  </si>
  <si>
    <t>#  compare absolute values.  The minimum pause time is specified in SECONDS;</t>
  </si>
  <si>
    <t>#  the nominal pressure is in mmHg.</t>
  </si>
  <si>
    <t>aps_minimum_pause_time=1.0</t>
  </si>
  <si>
    <t>aps_nominal_pressure=50.0</t>
  </si>
  <si>
    <t>#  This value specifies the flow reduction factor for APS alarm handling</t>
  </si>
  <si>
    <t>#  as a multiplier (i.e., 0.5 = 50% of nominal speed)</t>
  </si>
  <si>
    <t>aps_flow_reduction_factor=0.5</t>
  </si>
  <si>
    <t xml:space="preserve">#   </t>
  </si>
  <si>
    <t>#  Additional delay to allow vein to inflate</t>
  </si>
  <si>
    <t>#    in seconds</t>
  </si>
  <si>
    <t xml:space="preserve">#  </t>
  </si>
  <si>
    <t>aps_additional_delay=3.0</t>
  </si>
  <si>
    <t xml:space="preserve">#- - - - - - - - - - - - - - - - - - - - - - - - - - - - - - - - - - - - - </t>
  </si>
  <si>
    <t>[VERIFY_FLAGS]</t>
  </si>
  <si>
    <t># Maximum platelet concentration before a HIGH_PLATELET_CONCENTRATION reason</t>
  </si>
  <si>
    <t># to verify platelets is declared.</t>
  </si>
  <si>
    <t>maximum_concentration_for_no_verify_flag=4200.0</t>
  </si>
  <si>
    <t># Minimum donor hematocrit change that will trigger a HIGH_DELTA_HCT</t>
  </si>
  <si>
    <t># reason to verify platelets.</t>
  </si>
  <si>
    <t>minimum_donor_hematocrit_change_for_no_verify_flag=5.0</t>
  </si>
  <si>
    <t># Donor hematocrit above which a HIGH_HCT reason to verify platelets is declared.</t>
  </si>
  <si>
    <t>maximum_donor_hematocrit_for_no_verify_flag=52.0</t>
  </si>
  <si>
    <t># Minimum LRS chamber flow before a HIGH_PLATELET_CONCENTRATION</t>
  </si>
  <si>
    <t># or LOW_CHAMBER_FLOW reason to verify platelets is declared.</t>
  </si>
  <si>
    <t>minimum_chamber_flow_rate_for_no_verify_flag=1.2</t>
  </si>
  <si>
    <t># Platelet collecting time after which to start checking for high</t>
  </si>
  <si>
    <t># donor hematocrit or an excessive change in donor hematocrit.</t>
  </si>
  <si>
    <t>initial_platelet_collecting_time_for_no_verify_flag=0.0</t>
  </si>
  <si>
    <t># Milliliters of Inlet that must pass after a "disturbance" before which</t>
  </si>
  <si>
    <t># Steady State Platelet collection is assumed to be reestablished.</t>
  </si>
  <si>
    <t>steady_state_inlet_volume=320.0</t>
  </si>
  <si>
    <t># Milliliters of deviation from the target that the actual platelet volume is allowed</t>
  </si>
  <si>
    <t># before a PLATELET_VOLUME_ERROR reason is declared.</t>
  </si>
  <si>
    <t>maximum_plt_volume_deviation_for_no_verify_flag=10.0</t>
  </si>
  <si>
    <t># Milliliters of deviation from the target that the actual plasma volume is allowed</t>
  </si>
  <si>
    <t># before a PLASMA_VOLUME_ERROR reason is declared.</t>
  </si>
  <si>
    <t>maximum_plasma_volume_deviation_for_no_verify_flag=10.0</t>
  </si>
  <si>
    <t># Milliliters of deviation from the target that the actual RBC volume is allowed</t>
  </si>
  <si>
    <t># before a RBC_VOLUME_ERROR reason is declared.</t>
  </si>
  <si>
    <t>maximum_rbc_volume_deviation_for_no_verify_flag=10.0</t>
  </si>
  <si>
    <t>[RETURN_OCCLUSION]</t>
  </si>
  <si>
    <t># Parameters for return line occlusion</t>
  </si>
  <si>
    <t># stabilization_delay - length of time (in seconds) for which inlet and return</t>
  </si>
  <si>
    <t>#                       pump RPM must be stable before starting to collect APS</t>
  </si>
  <si>
    <t>#                       data</t>
  </si>
  <si>
    <t># alarm_power_limit   - minimum computed return power (scaled to a nominal 100</t>
  </si>
  <si>
    <t>#                       RPM) allowed without raising alarm.  Nominally, the</t>
  </si>
  <si>
    <t>#                       return pump power should be approximately 100.0</t>
  </si>
  <si>
    <t># alarm_type          - set to 1 for normal operation (R1 alarm), 2 for A1</t>
  </si>
  <si>
    <t>#                       alarm, 0 to disable alarm entirely.</t>
  </si>
  <si>
    <t># inlet_first_harmonic_scale</t>
  </si>
  <si>
    <t># inlet_second_harmonic_scale</t>
  </si>
  <si>
    <t>#                     - ratio between squared inlet power at fundamental and</t>
  </si>
  <si>
    <t>#                       first and second harmonics</t>
  </si>
  <si>
    <t>stabilization_delay=2.0</t>
  </si>
  <si>
    <t>alarm_power_limit=39.0</t>
  </si>
  <si>
    <t>alarm_type=0</t>
  </si>
  <si>
    <t>inlet_first_harmonic_scale=0.30</t>
  </si>
  <si>
    <t>inlet_second_harmonic_scale=0.07</t>
  </si>
  <si>
    <t>[CHAMBER_SATURATION]</t>
  </si>
  <si>
    <t>chamber_sat_vs3a=900.0</t>
  </si>
  <si>
    <t>chamber_sat_ts3b=5.0</t>
  </si>
  <si>
    <t>chamber_sat_ts3a_aps=30.0</t>
  </si>
  <si>
    <t>chamber_sat_ts3b_aps=10.0</t>
  </si>
  <si>
    <t>chamber_sat_ts4_aps=4.0</t>
  </si>
  <si>
    <t>chamber_sat_fs3a=2.07</t>
  </si>
  <si>
    <t>chamber_sat_fs3b=3.10</t>
  </si>
  <si>
    <t>chamber_sat_dur_3a=6.0</t>
  </si>
  <si>
    <t>chamber_sat_drgrmd_3a=1.013</t>
  </si>
  <si>
    <t>chamber_sat_dur_3b=6.0</t>
  </si>
  <si>
    <t>chamber_sat_drgrmd_3b=1.005</t>
  </si>
  <si>
    <t>chamber_sat_rgpmd_4a=0.032</t>
  </si>
  <si>
    <t>chamber_sat_rgpmd_4b=0.023</t>
  </si>
  <si>
    <t>[PTF]</t>
  </si>
  <si>
    <t xml:space="preserve"># to ease the return APS during setup </t>
  </si>
  <si>
    <t>ptf_setup_return_pump_multiple= 0.60</t>
  </si>
  <si>
    <t># PltPlsRBC setup/prime state</t>
  </si>
  <si>
    <t>ptf_pltplsrbc_setup_1_volume=50.0</t>
  </si>
  <si>
    <t>ptf_pltplsrbc_setup_1_hrbc=99.9</t>
  </si>
  <si>
    <t>ptf_pltplsrbc_setup_2_volume=50.0</t>
  </si>
  <si>
    <t>ptf_pltplsrbc_setup_2_hrbc=60.0</t>
  </si>
  <si>
    <t>ptf_pltplsrbc_prime_volume=0.0</t>
  </si>
  <si>
    <t>ptf_pltplsrbc_prime_hrbc=80.0</t>
  </si>
  <si>
    <t>ptf_pltplsrbc_prime_qrbc=30.0</t>
  </si>
  <si>
    <t># Rbcpls setup/prime state</t>
  </si>
  <si>
    <t>ptf_rbcpls_setup_1_volume=0.0;</t>
  </si>
  <si>
    <t>ptf_rbcpls_setup_1_hrbc=99.9;</t>
  </si>
  <si>
    <t>ptf_rbcpls_setup_2_volume=0.0</t>
  </si>
  <si>
    <t>#double state</t>
  </si>
  <si>
    <t>ptf_rbcpls_setup_1B_volume=0.0;</t>
  </si>
  <si>
    <t>ptf_rbcpls_setup_1B_hrbc=99.9;</t>
  </si>
  <si>
    <t>ptf_rbcpls_setup_2B_volume=80.0</t>
  </si>
  <si>
    <t>ptf_rbcpls_setup_2B_plasma_ramp_volume=50.0</t>
  </si>
  <si>
    <t>#HCT scalar at inlet pump for setup2 A&amp;B</t>
  </si>
  <si>
    <t>ptf_hct_scaling_factor=1.0</t>
  </si>
  <si>
    <t># RBC flow during PTF RBC collection</t>
  </si>
  <si>
    <t xml:space="preserve">ptf_qrbc=30.0   </t>
  </si>
  <si>
    <t># valid range for the CPS zero-ing</t>
  </si>
  <si>
    <t>ptf_cps_load_low=-350.0</t>
  </si>
  <si>
    <t>ptf_cps_load_high=350.0</t>
  </si>
  <si>
    <t># Delta for CPS test during channel prime</t>
  </si>
  <si>
    <t>ptf_cps_test_change=500.0</t>
  </si>
  <si>
    <t># amount of RBC collected to establish the CPS baseline pressure</t>
  </si>
  <si>
    <t>ptf_vrbc_collect_point=50.0</t>
  </si>
  <si>
    <t>#amount of collect to allow cps alarms to not count against limit</t>
  </si>
  <si>
    <t>ptf_vrbc_collect_cps_nocount= 25.0</t>
  </si>
  <si>
    <t>#alert counts  before alarm occurs</t>
  </si>
  <si>
    <t>ptf_cps_alerts_per_product=1</t>
  </si>
  <si>
    <t>ptf_aps_alerts_per_product=2</t>
  </si>
  <si>
    <t>#Initial CPS alarm point during RBC collection before baseline calculation</t>
  </si>
  <si>
    <t>ptf_rbc_initial_cps_limit=1000.0</t>
  </si>
  <si>
    <t># Delta CPS pressure from calculated baseline for alarm point</t>
  </si>
  <si>
    <t>ptf_rbc_collect_delta=455.0</t>
  </si>
  <si>
    <t># Max RBC PTF collection CPS limit</t>
  </si>
  <si>
    <t>ptf_rbc_collect_limit=1100.0</t>
  </si>
  <si>
    <t>[MSS]</t>
  </si>
  <si>
    <t>#speed we run Qin at after a APS too high alert to bleed of pressure.</t>
  </si>
  <si>
    <t>mss_aps_recovery_qin = 10.0</t>
  </si>
  <si>
    <t>#minimum amount of PLT volume needed to do PAS</t>
  </si>
  <si>
    <t xml:space="preserve">mss_min_plt_volume          = 25 </t>
  </si>
  <si>
    <t>mss_cvl_white               = 37</t>
  </si>
  <si>
    <t>mss_cvl_black               = 34</t>
  </si>
  <si>
    <t>mss_cps_high                = 1350</t>
  </si>
  <si>
    <t>mss_cassette_vol_max        = 6</t>
  </si>
  <si>
    <t>mss_prime_return_vol        = 2.0</t>
  </si>
  <si>
    <t>mss_aps_backPressure        = 200</t>
  </si>
  <si>
    <t>mss_aps_high                = 500</t>
  </si>
  <si>
    <t>mss_plt_mss_min_prime_vol   = 13</t>
  </si>
  <si>
    <t>mss_plt_mss_max_prime_vol   = 27</t>
  </si>
  <si>
    <t>mss_vacuum_cycles           = 4</t>
  </si>
  <si>
    <t>mss_vac_1_collect_speed     = 100.0f</t>
  </si>
  <si>
    <t>mss_vac_1_plasma_speed      =   9.0f</t>
  </si>
  <si>
    <t>mss_vac_2_collect_speed     =   0.0f</t>
  </si>
  <si>
    <t>mss_vac_2_plasma_speed      =  50.0f</t>
  </si>
  <si>
    <t>mss_vac_3_collect_speed     = 110.0f</t>
  </si>
  <si>
    <t>mss_vac_3_plasma_speed      = 110.0f</t>
  </si>
  <si>
    <t>mss_vac_1_collect_vol       =  15.0f</t>
  </si>
  <si>
    <t>mss_vac_1_plasma_vol        =   1.3f</t>
  </si>
  <si>
    <t>mss_vac_2_plasma_vol        =   2.6f</t>
  </si>
  <si>
    <t>mss_vac_3_plasma_vol        =   6.0f</t>
  </si>
  <si>
    <t>mss_vac_4_collect_speed     = 110.0f</t>
  </si>
  <si>
    <t>mss_vac_4_plasma_speed      = 110.0f</t>
  </si>
  <si>
    <t>mss_vac_4_plasma_vol        =   5.0f</t>
  </si>
  <si>
    <t>mss_plt_ss_add_speed        = 100</t>
  </si>
  <si>
    <t xml:space="preserve">mss_plt_valve_timer         = 1.0 </t>
  </si>
  <si>
    <t>mss_plt_second_order_const  =  -9.0e-06</t>
  </si>
  <si>
    <t>mss_plt_linear_const        =   1.0e-04</t>
  </si>
  <si>
    <t>mss_plt_offset              =   0.7733</t>
  </si>
  <si>
    <t>mss_ac_second_order_const   =  -6.0e-06</t>
  </si>
  <si>
    <t>mss_ac_linear_const         =   1.0e-04</t>
  </si>
  <si>
    <t>mss_ac_offset               =   0.8103</t>
  </si>
  <si>
    <t>mss_pls_second_order_const  =  -9.0e-06</t>
  </si>
  <si>
    <t>mss_pls_linear_const        =   1.0e-04</t>
  </si>
  <si>
    <t>mss_pls_offset              =   0.7733</t>
  </si>
  <si>
    <t>mss_prime_speed_percent     =   0.9</t>
  </si>
  <si>
    <t>mss_plt_prime_speed         =  60.0</t>
  </si>
  <si>
    <t>mss_plt_prime_final_speed   =  30.0</t>
  </si>
  <si>
    <t>mss_plt_prime_final_vol     =   1.3</t>
  </si>
  <si>
    <t>mss_return_inlet_match_speed         =  27.0</t>
  </si>
  <si>
    <t>mss_return_acdisco_match_speed       =  60.0</t>
  </si>
  <si>
    <t>mss_channel_check1_collect_speed     =  18.38</t>
  </si>
  <si>
    <t>mss_channel_check1_collect_vol       =  10.0</t>
  </si>
  <si>
    <t>mss_channel_check2_collect_speed     = 100.0</t>
  </si>
  <si>
    <t xml:space="preserve">mss_channel_check2_plasma_speed      =  80.0                                  </t>
  </si>
  <si>
    <t>mss_channel_check2_plasma_vol        =  8.0</t>
  </si>
  <si>
    <t>mss_post_purge_fill_plasma_speed     = 110.0</t>
  </si>
  <si>
    <t>mss_post_purge_fill_collect_speed    = 110.0</t>
  </si>
  <si>
    <t>mss_post_purge_fill_plasma_volume    = 10.0</t>
  </si>
  <si>
    <t># 100 - this number for % :</t>
  </si>
  <si>
    <t xml:space="preserve">mss_plt_ss_empty_percentage          =   5.0  </t>
  </si>
  <si>
    <t>mss_rbc_ss_empty_percentage          =   5.0</t>
  </si>
  <si>
    <t>mss_rbc_detector_offset_from_avg     =   4.0</t>
  </si>
  <si>
    <t>mss_rbc_detector_trigger_samples     =   1.0</t>
  </si>
  <si>
    <t>mss_rbc_detector_z_samples           =   10.0</t>
  </si>
  <si>
    <t>mss_connection_samples               =   50.0</t>
  </si>
  <si>
    <t>mss_channel_volume_w                   = 70.0</t>
  </si>
  <si>
    <t>mss_channel_volume_b                   = 60.0</t>
  </si>
  <si>
    <t>mss_rinseback_success_w                = 50.0</t>
  </si>
  <si>
    <t>mss_rinseback_success_b                = 40.0</t>
  </si>
  <si>
    <t>mss_plasma_rinseback_volume            = 60.0</t>
  </si>
  <si>
    <t>mss_saline_rinseback_volume            = 91.0</t>
  </si>
  <si>
    <t>mss_rbc_ss_min_prime_vol    = 8.0</t>
  </si>
  <si>
    <t>mss_rbc_ss_max_prime_vol    = 25</t>
  </si>
  <si>
    <t>mss_rbc_ss_add_ac_speed     = 90</t>
  </si>
  <si>
    <t>mss_rbc_ss_add_prime1_speed = 15</t>
  </si>
  <si>
    <t>mss_rbc_ss_add_prime2_speed = 30</t>
  </si>
  <si>
    <t>mss_rbc_ss_add_prime3_speed = 50</t>
  </si>
  <si>
    <t>mss_rbc_ss_add_meter_speed  = 75</t>
  </si>
  <si>
    <t>mss_rbc_ss_add_prime1_vol   = 4.5</t>
  </si>
  <si>
    <t>mss_rbc_ss_add_prime2_vol   = 15.0</t>
  </si>
  <si>
    <t>mss_rbc_ss_add_prime3_vol   = 12.5</t>
  </si>
  <si>
    <t>mss_rbc_prime_speed         =  50.0</t>
  </si>
  <si>
    <t># Filter and Line Volm:</t>
  </si>
  <si>
    <t>mss_ptf_ss_volume           = 59.0</t>
  </si>
  <si>
    <t>mss_ptf_filter_no           = 2</t>
  </si>
  <si>
    <t>mss_acprime_pause           = 1.0</t>
  </si>
  <si>
    <t>mss_ptf_aps_high            = 500</t>
  </si>
  <si>
    <t>mss_ac_closure_aps          = -250</t>
  </si>
  <si>
    <t>mss_ac_closure_max_vol      = 11</t>
  </si>
  <si>
    <t>mss_connection_deltaRGmax  = 0.5</t>
  </si>
  <si>
    <t>mss_connection_RGmax_vol   = 30.0</t>
  </si>
  <si>
    <t>mss_ptf_filter_loss        = 12.5</t>
  </si>
  <si>
    <t>#time between donor disco and metering</t>
  </si>
  <si>
    <t>[PRIME_HEMOLYSIS]</t>
  </si>
  <si>
    <t>prime_hemolysis_rg_trigger          = 50.0</t>
  </si>
  <si>
    <t>prime_hemolysis_rg_return_level     =  1.1</t>
  </si>
  <si>
    <t>prime_hemolysis_green_return_limit  = 1000.0</t>
  </si>
  <si>
    <t>[SALINE_RINSEBACK]</t>
  </si>
  <si>
    <t>sr_recirc1_qin   = 100.0</t>
  </si>
  <si>
    <t>sr_recirc1_qp    = 0.0</t>
  </si>
  <si>
    <t>sr_recirc1_mod   = 50.0</t>
  </si>
  <si>
    <t>sr_recirc1_vr    = 15.0</t>
  </si>
  <si>
    <t>sr_recirc1_vin   = 35.0</t>
  </si>
  <si>
    <t>sr_evac1_qp       = 90.0</t>
  </si>
  <si>
    <t>sr_evac1_vr_limit = 2.0</t>
  </si>
  <si>
    <t>sr_evac1_vp_limit = 15.0</t>
  </si>
  <si>
    <t>sr_evac1_min_vp =   57.5</t>
  </si>
  <si>
    <t>sr_evac1_max_vp =  140.0</t>
  </si>
  <si>
    <t>sr_draw_vr  = 28.0</t>
  </si>
  <si>
    <t>sr_recirc2_qin   = 100.0</t>
  </si>
  <si>
    <t>sr_recirc2_qp    = 100.0</t>
  </si>
  <si>
    <t>sr_recirc2_qr    = 100.0</t>
  </si>
  <si>
    <t>sr_recirc2_vin   = 33.0</t>
  </si>
  <si>
    <t>sr_evac2_qp       = 90.0</t>
  </si>
  <si>
    <t>sr_evac2_vr_limit = 2.0</t>
  </si>
  <si>
    <t>sr_evac2_vp_limit = 15.0</t>
  </si>
  <si>
    <t>sr_evac2_min_vp =   57.5</t>
  </si>
  <si>
    <t>sr_evac2_max_vp =  140.0</t>
  </si>
  <si>
    <t>sr_flush_vr = 32.0</t>
  </si>
  <si>
    <t>sr_total_residual_volume = 50.0</t>
  </si>
  <si>
    <t>sr_max_return_volume_buffer = 0.0</t>
  </si>
  <si>
    <t>[RESIDUAL_ALGORITHM]</t>
  </si>
  <si>
    <t>ResPltPlsRbc_NormalRB_RBC = 30.0</t>
  </si>
  <si>
    <t>ResPltPlsRbc_NormalRB_PLS = 33.0</t>
  </si>
  <si>
    <t>ResPltPlsRbc_NoRB_RBC     = 85.0</t>
  </si>
  <si>
    <t>ResPltPlsRbc_NoRB_PLS     = 121.0</t>
  </si>
  <si>
    <t>ResPltPlsRbc_PlasmaRB_RBC = 13.0</t>
  </si>
  <si>
    <t>ResPltPlsRbc_PlasmaRB_PLS = 58.0</t>
  </si>
  <si>
    <t>ResPlsRbc_NormalRB_RBC = 25.0</t>
  </si>
  <si>
    <t>ResPlsRbc_NormalRB_PLS = 40.0</t>
  </si>
  <si>
    <t>ResPlsRbc_NoRB_RBC     = 91.0</t>
  </si>
  <si>
    <t>ResPlsRbc_NoRB_PLS     = 83.0</t>
  </si>
  <si>
    <t>ResPlsRbc_SalineRB_RBC = 10.0</t>
  </si>
  <si>
    <t>ResPlsRbc_SalineRB_PLS = 17.0</t>
  </si>
  <si>
    <t>[DISPOSABLE_CONSTRAINTS]</t>
  </si>
  <si>
    <t>#check during metering to insure PLTvol + PAS doesnt go over this amount:</t>
  </si>
  <si>
    <t>max_Platelet_bag_Volume= 1200.0</t>
  </si>
  <si>
    <t>[PUMP_HW]</t>
  </si>
  <si>
    <t>#In the transition to Midrun from PCA, if the commanded ratio (Qp-pca / Qp-midrun)</t>
  </si>
  <si>
    <t>#is &gt; 28.0, suppress the first MHF - Failure to maintain speed alarm.</t>
  </si>
  <si>
    <t>plasma_large_cmd_ratio=28.0</t>
  </si>
  <si>
    <t>pltplsrbc_residual_rbc_volume=30.0</t>
  </si>
  <si>
    <t>rbcpls_residual_rbc_volume=23.0</t>
  </si>
  <si>
    <t>collect_maximum_flow=5.0</t>
  </si>
  <si>
    <t>first_max_pir_chamber_flow=2.5</t>
  </si>
  <si>
    <t>first_pir_flow_limit=1.5</t>
  </si>
  <si>
    <t>second_max_pir_chamber_flow=3.8</t>
  </si>
  <si>
    <t>vplasma_purge_cycle=1.3</t>
  </si>
  <si>
    <t>rbc_setup_volume=0.0</t>
  </si>
  <si>
    <t># Percentage of target volume from which actual platelet volume must deviate</t>
  </si>
  <si>
    <t>maximum_percentage_volume_deviation_for_no_verify_flag=5.0</t>
  </si>
  <si>
    <t># Milliters of Inlet that must pass after a "disturbance" before which</t>
  </si>
  <si>
    <t># Milliters of deviation from the target that the actual plasma volume is allowed</t>
  </si>
  <si>
    <t># Milliters of deviation from the target that the actual RBC volume is allowed</t>
  </si>
  <si>
    <t>Substate Time, min</t>
  </si>
  <si>
    <t>GOOD_PRODUCT</t>
  </si>
  <si>
    <t>Min</t>
  </si>
  <si>
    <t>Max</t>
  </si>
  <si>
    <t>CV</t>
  </si>
  <si>
    <t>RBC</t>
  </si>
  <si>
    <t>PPP</t>
  </si>
  <si>
    <t>Substate Specific Flows</t>
  </si>
  <si>
    <t>Tot Vin</t>
  </si>
  <si>
    <t>Case Identification</t>
  </si>
  <si>
    <t>Date Analyzed</t>
  </si>
  <si>
    <t>GENERAL NOTES</t>
  </si>
  <si>
    <t>TRIMA ACCEL SYSTEM</t>
  </si>
  <si>
    <t>1) Enter data into all the yellow Donor and Configuration Input Data cells.  Some cells</t>
  </si>
  <si>
    <t xml:space="preserve">    have a drop-down menu (click on the cell and the arrow.)</t>
  </si>
  <si>
    <t>2) Read the instructions in the Comments indicated by red triangles in some cells.</t>
  </si>
  <si>
    <t>3) For up to 20 procedures, enter Product Target Designations into yellow cells.  That</t>
  </si>
  <si>
    <t>Postcount Limit (E6/ml)</t>
  </si>
  <si>
    <t>Weight-Based Volume Limit (ml/kg)</t>
  </si>
  <si>
    <t xml:space="preserve">    is, 1,2,3, etc., as indicated by the Configured Product Targets.  Enter A for AMAP</t>
  </si>
  <si>
    <t xml:space="preserve">Use Fixed Volume Limit </t>
  </si>
  <si>
    <t xml:space="preserve">    Plasma and M for MC Plasma.  An entry is highlighted in gold.  The ABO Grouping</t>
  </si>
  <si>
    <t>Post-Hematocrit Limit (%)</t>
  </si>
  <si>
    <t>Lower Fixed Volume Limit (ml)</t>
  </si>
  <si>
    <t xml:space="preserve">    entry has a drop-down menu.  A blank ABO Grouping entry is the same as All Types.</t>
  </si>
  <si>
    <t>Fluid Balance Management For Pls/RBC</t>
  </si>
  <si>
    <t>Upper Fixed Volume Limit (ml)</t>
  </si>
  <si>
    <t>4) Enter Configured Product Targets into yellow cells.  Leave inapplicable cells blank.</t>
  </si>
  <si>
    <t>Fluid Balance Percent</t>
  </si>
  <si>
    <r>
      <t>5)</t>
    </r>
    <r>
      <rPr>
        <b/>
        <sz val="10"/>
        <color indexed="12"/>
        <rFont val="Arial"/>
        <family val="2"/>
      </rPr>
      <t xml:space="preserve"> </t>
    </r>
    <r>
      <rPr>
        <b/>
        <sz val="10"/>
        <color indexed="8"/>
        <rFont val="Arial"/>
        <family val="2"/>
      </rPr>
      <t>For Platelet Products, use the drop-down menu to specify whether the entered yields</t>
    </r>
  </si>
  <si>
    <t>Fluid Balance Product Vol Threshold (ml)</t>
  </si>
  <si>
    <t xml:space="preserve">    are Target Yields or Lab Minimum Yields.  In either case, also enter Confidence Level</t>
  </si>
  <si>
    <t>PRODUCT RELATED CONFIGURATIONS</t>
  </si>
  <si>
    <t xml:space="preserve">    values.  For Lab Min Yields, also enter a CV under Product Related Configurations.</t>
  </si>
  <si>
    <t>Platelet Product Concentration (E6/ml)</t>
  </si>
  <si>
    <t xml:space="preserve">    The Summary Results are always given in terms of Target Yields.</t>
  </si>
  <si>
    <t>RBC Product Hematocrit (%)</t>
  </si>
  <si>
    <t>6) Enter Single-Product Definitions.  They are used in determining summary results.</t>
  </si>
  <si>
    <t>AC Ratio For Plt/Pls Collection</t>
  </si>
  <si>
    <t>Yield Scaling Factor (YSF)</t>
  </si>
  <si>
    <t>AC Ratio For RBC Collection</t>
  </si>
  <si>
    <t>Yield Scaling Factor CV (%)</t>
  </si>
  <si>
    <t>RBC Scaling Factor</t>
  </si>
  <si>
    <t>RBC DONATION MANAGEMENT</t>
  </si>
  <si>
    <t>Donation Below This Annual Frequency</t>
  </si>
  <si>
    <t>No Donation Above This Annual Frequency</t>
  </si>
  <si>
    <t>Donation Above This Hct For Middle Freq</t>
  </si>
  <si>
    <t>Enforce DRBC TBV Limit</t>
  </si>
  <si>
    <t>DRBC TBV Limit (L)</t>
  </si>
  <si>
    <t>Press Through Filtration</t>
  </si>
  <si>
    <t>Plasma Rinseback For Plt/RBC</t>
  </si>
  <si>
    <t>Saline Rinseback For Pls/RBC</t>
  </si>
  <si>
    <t xml:space="preserve">PROCEDURE PRIORITY LIST AND PRODUCT TARGET INPUT DATA </t>
  </si>
  <si>
    <t>Procedure Priority List Designations</t>
  </si>
  <si>
    <t>Configured Product Targets</t>
  </si>
  <si>
    <t>Procedure</t>
  </si>
  <si>
    <t>Product Target Designations</t>
  </si>
  <si>
    <t>Product Designations</t>
  </si>
  <si>
    <t>CL (%)</t>
  </si>
  <si>
    <t>Priority</t>
  </si>
  <si>
    <t>Platelet</t>
  </si>
  <si>
    <t xml:space="preserve">RBC </t>
  </si>
  <si>
    <t>Plt Vol</t>
  </si>
  <si>
    <t>ABO Grouping</t>
  </si>
  <si>
    <t>Platelet 1 Yield (E11)</t>
  </si>
  <si>
    <t>All Types</t>
  </si>
  <si>
    <t>O-/O+/A-/A+</t>
  </si>
  <si>
    <t>O-</t>
  </si>
  <si>
    <t>O-/A-</t>
  </si>
  <si>
    <t>M</t>
  </si>
  <si>
    <t>A-/A+/B-/B+/AB-/AB+</t>
  </si>
  <si>
    <t>Single-Product Definitions</t>
  </si>
  <si>
    <t>Plt (E11)</t>
  </si>
  <si>
    <t>Plas (ml)</t>
  </si>
  <si>
    <t>RBC (ml)</t>
  </si>
  <si>
    <t>(Don/Yr)</t>
  </si>
  <si>
    <t>(M,F)</t>
  </si>
  <si>
    <t>Frequency</t>
  </si>
  <si>
    <t>Sex</t>
  </si>
  <si>
    <t>Population Area</t>
  </si>
  <si>
    <t>SD</t>
  </si>
  <si>
    <t>ABO DISTRIBUTION - STATISTICAL</t>
  </si>
  <si>
    <t>Avg</t>
  </si>
  <si>
    <t>Australia</t>
  </si>
  <si>
    <t>ABO DISTRIBUTION - DIRECT INPUT</t>
  </si>
  <si>
    <t xml:space="preserve">4) Click on the button below to obtain a </t>
  </si>
  <si>
    <t>3) Select an area for the ABO distribution.</t>
  </si>
  <si>
    <t xml:space="preserve">    Annual donation frequency is optional input.</t>
  </si>
  <si>
    <t xml:space="preserve">    TBV is not shown if the sex, height &amp; weight option is used.</t>
  </si>
  <si>
    <t xml:space="preserve">    is used for RBC donation management.</t>
  </si>
  <si>
    <t xml:space="preserve">    typical donation frequency distribution</t>
  </si>
  <si>
    <t xml:space="preserve">    donor sample from the input data, and a</t>
  </si>
  <si>
    <t>1) Enter data for up to 1000 donors.  The more donors, the</t>
  </si>
  <si>
    <t>1) The Statistical Donor Base generates a</t>
  </si>
  <si>
    <t>DIRECT INPUT NOTES</t>
  </si>
  <si>
    <t>OPTION 2 - DIRECT INPUT DONOR BASE SAMPLE</t>
  </si>
  <si>
    <t>OPTION 1 - STATISTICAL DONOR BASE SAMPLE</t>
  </si>
  <si>
    <t>Plt Conc</t>
  </si>
  <si>
    <t>YSF CV</t>
  </si>
  <si>
    <t>Yield Type</t>
  </si>
  <si>
    <t>Plas</t>
  </si>
  <si>
    <t>CL</t>
  </si>
  <si>
    <t>Configured Targets</t>
  </si>
  <si>
    <t>dependence is virtually the same.</t>
  </si>
  <si>
    <t>Donor Base Area No. For Option 2</t>
  </si>
  <si>
    <t>TBV algorithms is virtually only a</t>
  </si>
  <si>
    <t>Donor Base Area No. For Option 1</t>
  </si>
  <si>
    <t>Difference between male &amp; female</t>
  </si>
  <si>
    <t>Donor Base Option</t>
  </si>
  <si>
    <t>2/1 M/F TBV Constant</t>
  </si>
  <si>
    <t>AB-</t>
  </si>
  <si>
    <t>AB+</t>
  </si>
  <si>
    <t>B-</t>
  </si>
  <si>
    <t>B+</t>
  </si>
  <si>
    <t>A-</t>
  </si>
  <si>
    <t>A+</t>
  </si>
  <si>
    <t>O+</t>
  </si>
  <si>
    <t>Area</t>
  </si>
  <si>
    <t>Height &amp; Weight Distributions</t>
  </si>
  <si>
    <t>F = Annual Donation Frequency</t>
  </si>
  <si>
    <t>Probability  P = A/F - B</t>
  </si>
  <si>
    <t>Canada</t>
  </si>
  <si>
    <t>Constant B</t>
  </si>
  <si>
    <t>Constant A</t>
  </si>
  <si>
    <t>Asia</t>
  </si>
  <si>
    <t>Donation Frequency Distribution</t>
  </si>
  <si>
    <t>General</t>
  </si>
  <si>
    <t>Freq</t>
  </si>
  <si>
    <t>Ht (in)</t>
  </si>
  <si>
    <t>Wt (lb)</t>
  </si>
  <si>
    <t xml:space="preserve">Wt </t>
  </si>
  <si>
    <t>Total</t>
  </si>
  <si>
    <t>Input Blood Type Percents</t>
  </si>
  <si>
    <t>Statistical Donor Base</t>
  </si>
  <si>
    <t>Direct Input Sample</t>
  </si>
  <si>
    <t>Fixed Statistical Sample</t>
  </si>
  <si>
    <t>Varying Statistical Sample</t>
  </si>
  <si>
    <t>Donor Base Sample Input</t>
  </si>
  <si>
    <t>Donor Units</t>
  </si>
  <si>
    <t>DONOR SAMPLE ANALYSIS</t>
  </si>
  <si>
    <t>Platelet 2</t>
  </si>
  <si>
    <t>Platelet 3</t>
  </si>
  <si>
    <t>Platelet 4</t>
  </si>
  <si>
    <t>Platelet 5</t>
  </si>
  <si>
    <t>Platelet 6</t>
  </si>
  <si>
    <t>Platelet 7</t>
  </si>
  <si>
    <t>Platelet 8</t>
  </si>
  <si>
    <t>Platelet 9</t>
  </si>
  <si>
    <t>Platelet 10</t>
  </si>
  <si>
    <t xml:space="preserve">Plasma 2 </t>
  </si>
  <si>
    <t xml:space="preserve">Plasma 3 </t>
  </si>
  <si>
    <t xml:space="preserve">Plasma 4 </t>
  </si>
  <si>
    <t xml:space="preserve">Plasma 5 </t>
  </si>
  <si>
    <t xml:space="preserve">Plasma 6 </t>
  </si>
  <si>
    <t xml:space="preserve">RBC 2 </t>
  </si>
  <si>
    <t>RBC 3</t>
  </si>
  <si>
    <t>Yvol</t>
  </si>
  <si>
    <t>O-/O+</t>
  </si>
  <si>
    <t>EPCA</t>
  </si>
  <si>
    <t>EPC</t>
  </si>
  <si>
    <t>#For male only options (plt/pls) , 0 – Male Only, 1 – Males and AB Females, 2 - All</t>
  </si>
  <si>
    <t>constant of 400 ml. That is, H &amp; W</t>
  </si>
  <si>
    <t>AMAP &amp; MC Plasma Limit, Min/Max (ml)</t>
  </si>
  <si>
    <t>Time</t>
  </si>
  <si>
    <t>Male-Only Plasma Collection</t>
  </si>
  <si>
    <t>Male-Only Platelet Collection</t>
  </si>
  <si>
    <t>Volume</t>
  </si>
  <si>
    <t>Postcount</t>
  </si>
  <si>
    <t>Post Hct</t>
  </si>
  <si>
    <t>Standard Deviation</t>
  </si>
  <si>
    <t>Plt/Plasma Flows</t>
  </si>
  <si>
    <t>PCA Flows</t>
  </si>
  <si>
    <t>Midrun Flows</t>
  </si>
  <si>
    <t>PIR Flows</t>
  </si>
  <si>
    <t>PCAE Flows</t>
  </si>
  <si>
    <t>PCE Flows</t>
  </si>
  <si>
    <t>RBC Flows</t>
  </si>
  <si>
    <t>Procedure Volumes (ml)</t>
  </si>
  <si>
    <t>Qualified</t>
  </si>
  <si>
    <t>Vplt</t>
  </si>
  <si>
    <t>Vpls</t>
  </si>
  <si>
    <t>Tproc</t>
  </si>
  <si>
    <t>Tcol</t>
  </si>
  <si>
    <t>Qin</t>
  </si>
  <si>
    <t>Qac</t>
  </si>
  <si>
    <t>Qch</t>
  </si>
  <si>
    <t>Total Vin</t>
  </si>
  <si>
    <t>Purge</t>
  </si>
  <si>
    <t>LRS</t>
  </si>
  <si>
    <t>No-PIR</t>
  </si>
  <si>
    <t>Pre-Plt Pls</t>
  </si>
  <si>
    <t>PCAE</t>
  </si>
  <si>
    <t>PCE</t>
  </si>
  <si>
    <t>CARIDIAN BCT</t>
  </si>
  <si>
    <t>Trima Accel Prediction Tool</t>
  </si>
  <si>
    <t>FOR INTERNAL USE ONLY</t>
  </si>
  <si>
    <t>All rights reserved.</t>
  </si>
  <si>
    <t>Description</t>
  </si>
  <si>
    <t xml:space="preserve">    This simulation tool provides a wide range of detailed performance data for Accel in the context of a specified</t>
  </si>
  <si>
    <t>The differences between V5.0 to V5.2 software versions, while functionally significant, do not have a significant</t>
  </si>
  <si>
    <t>effect on the donor-base-averaged performance data that are generated by this tool to provide an accurate over-</t>
  </si>
  <si>
    <t>view.  However, some V6.0 features that do generally affect performance, like postcount with platelet mobilization,</t>
  </si>
  <si>
    <t>the 4.5 L TBV limit on DRBC collections, and optional PTF RBC collections, can be optionally specified in the Input</t>
  </si>
  <si>
    <t>Data such that they can be turned either on or off, to determine their individual effects on performance.</t>
  </si>
  <si>
    <t xml:space="preserve">    This tool produces a summary report of performance, production, and estimated revenue data for apheresis</t>
  </si>
  <si>
    <t>procedures run on Trima Accel.  The results are based on the analysis of a specified sample of donors and a</t>
  </si>
  <si>
    <t>donors generated by the tool from a statistically defined donor base population.  The specified procedures can be</t>
  </si>
  <si>
    <t>any that Accel can perform, using the full set of relevant configuration variables that Accel requires.</t>
  </si>
  <si>
    <t xml:space="preserve">    Each procedure can be identified as being for a particular ABO group, and the tool applies the ABO fractions to</t>
  </si>
  <si>
    <t>the number of products produced by that procedure.  The ABO type distribution can be selected for one of several</t>
  </si>
  <si>
    <t>world areas.  ABO typing can also be ignored for any procedure.</t>
  </si>
  <si>
    <t xml:space="preserve">    There is an option to use either the conservative postcount prediction without platelet mobilization, or the 95%</t>
  </si>
  <si>
    <t>confidence postcount prediction that accurately accounts for platelet mobilization.</t>
  </si>
  <si>
    <t xml:space="preserve">    There is an option for platelet products to enter either Target Yields or Lab Minimum Yields.  Both require that a</t>
  </si>
  <si>
    <t>Confidence Level be entered for each yield, in order to accurately predict platelet productivity.  Only Lab Minimum</t>
  </si>
  <si>
    <t>Yields also require the entry of a YSF CV.  The Analysis Results are always expressed in terms of Target Yields.</t>
  </si>
  <si>
    <t xml:space="preserve">    RBC Donation Management is available as an option.  When the option is exercised, any procedure with an RBC </t>
  </si>
  <si>
    <t>product is qualified if the donor's donation frequency is less than a specified lower limit, or if it is between the</t>
  </si>
  <si>
    <t xml:space="preserve">lower limit and a specified upper limit and the donor's hematocrit is greater than a specified number. Otherwise, </t>
  </si>
  <si>
    <t>the procedure is disqualified.  If the donor sample is input, the frequency for each donor is input.  If the donor</t>
  </si>
  <si>
    <t>sample is statistical, the donation frequency is based on data from US centers.  There is also the option of dis-</t>
  </si>
  <si>
    <t>qualifying an RBC donation if the product dose is as much as 400 ml and the donor TBV is less than 4.5 L.</t>
  </si>
  <si>
    <t>5) When copying values into yellow cells, always use Paste Special/Values in order to retain the format integrity.</t>
  </si>
  <si>
    <t xml:space="preserve">PERFORMANCE DATA FOR EACH PRIORITY PROCEDURE </t>
  </si>
  <si>
    <t>Procedure Definition</t>
  </si>
  <si>
    <t>Platelets</t>
  </si>
  <si>
    <t>RBC Product</t>
  </si>
  <si>
    <r>
      <t>(x 10</t>
    </r>
    <r>
      <rPr>
        <b/>
        <vertAlign val="superscript"/>
        <sz val="10"/>
        <rFont val="Arial"/>
        <family val="2"/>
      </rPr>
      <t>11</t>
    </r>
    <r>
      <rPr>
        <b/>
        <sz val="10"/>
        <rFont val="Arial"/>
        <family val="2"/>
      </rPr>
      <t>)</t>
    </r>
  </si>
  <si>
    <t>Volume (ml)</t>
  </si>
  <si>
    <t xml:space="preserve">PRODUCT DATA FOR EACH PRIORITY PROCEDURE </t>
  </si>
  <si>
    <t xml:space="preserve">Procedures </t>
  </si>
  <si>
    <t>% of Total</t>
  </si>
  <si>
    <t>Avg Procedure</t>
  </si>
  <si>
    <t>Per 100 Donors</t>
  </si>
  <si>
    <t>Procedures</t>
  </si>
  <si>
    <t>SDP</t>
  </si>
  <si>
    <t xml:space="preserve">Plasma </t>
  </si>
  <si>
    <t>Time (min)</t>
  </si>
  <si>
    <t>Totals</t>
  </si>
  <si>
    <t>Percent Of All Platelet Procedures</t>
  </si>
  <si>
    <t>% Pls of All</t>
  </si>
  <si>
    <t>% RBC of All</t>
  </si>
  <si>
    <t>With DPP Splits Or All Other Splits</t>
  </si>
  <si>
    <t>SUMMARY OF DONOR QUALIFICATION STATISTICS</t>
  </si>
  <si>
    <t>SUMMARY STATISTICS FOR QUALIFIED PROCEDURES</t>
  </si>
  <si>
    <t>Parameter</t>
  </si>
  <si>
    <t xml:space="preserve"> Times (min)</t>
  </si>
  <si>
    <t>SN Averaged Flows (ml/min)</t>
  </si>
  <si>
    <t>Statistic</t>
  </si>
  <si>
    <t>Plt Collect</t>
  </si>
  <si>
    <t>Collect Inlet</t>
  </si>
  <si>
    <t>Collect AC</t>
  </si>
  <si>
    <t>Chamber</t>
  </si>
  <si>
    <t>RBC Inlet</t>
  </si>
  <si>
    <t>Concentrations (E6/ml, %)</t>
  </si>
  <si>
    <t>Duty Cycles</t>
  </si>
  <si>
    <t>Inlet</t>
  </si>
  <si>
    <t>AC</t>
  </si>
  <si>
    <t>Collect</t>
  </si>
  <si>
    <t>Return Flows (ml/min)</t>
  </si>
  <si>
    <t>Needle Flows (ml/min)</t>
  </si>
  <si>
    <t>AC Infusions</t>
  </si>
  <si>
    <t>RBC Line Hcts</t>
  </si>
  <si>
    <t>Percent Occurrences (PCA, PCAE &amp; PCE Are % of Plt/Plasma Procedures)</t>
  </si>
  <si>
    <t>Number of</t>
  </si>
  <si>
    <t>Donors</t>
  </si>
  <si>
    <t>Activated Platelet Substates</t>
  </si>
  <si>
    <t>Platelet Purges</t>
  </si>
  <si>
    <t>Plt/Plasma</t>
  </si>
  <si>
    <t>Occurred</t>
  </si>
  <si>
    <t>Limited</t>
  </si>
  <si>
    <r>
      <t xml:space="preserve">Note: Go to </t>
    </r>
    <r>
      <rPr>
        <b/>
        <sz val="11"/>
        <color indexed="12"/>
        <rFont val="Arial"/>
        <family val="2"/>
      </rPr>
      <t>Predict</t>
    </r>
    <r>
      <rPr>
        <b/>
        <sz val="11"/>
        <rFont val="Arial"/>
        <family val="2"/>
      </rPr>
      <t xml:space="preserve"> </t>
    </r>
    <r>
      <rPr>
        <b/>
        <sz val="11"/>
        <color indexed="12"/>
        <rFont val="Arial"/>
        <family val="2"/>
      </rPr>
      <t>Details</t>
    </r>
    <r>
      <rPr>
        <b/>
        <sz val="11"/>
        <rFont val="Arial"/>
        <family val="2"/>
      </rPr>
      <t xml:space="preserve"> for more detailed results.  See Comment Boxes there for definition of variables.</t>
    </r>
  </si>
  <si>
    <t>DQ N</t>
  </si>
  <si>
    <t>DQ Reason Codes</t>
  </si>
  <si>
    <t>Qininst Draw, ml/min</t>
  </si>
  <si>
    <t>Substate Times (min)</t>
  </si>
  <si>
    <t>Donor</t>
  </si>
  <si>
    <t>Pre-Plt Plasma Flows</t>
  </si>
  <si>
    <t>Percent of Procedures With Plt Substates &amp; Purges Occurring</t>
  </si>
  <si>
    <t>Timer</t>
  </si>
  <si>
    <t>Procedure DQ Reasons</t>
  </si>
  <si>
    <t>NA</t>
  </si>
  <si>
    <t>DQ</t>
  </si>
  <si>
    <t>Percent of Donor Sample Qualified For Each Designated Procedure, DQP</t>
  </si>
  <si>
    <t>Percent of Donor Sample Disqualified For Different Reasons</t>
  </si>
  <si>
    <t>TRALI Criteria</t>
  </si>
  <si>
    <t>Collect Volume</t>
  </si>
  <si>
    <t>Procedure Time</t>
  </si>
  <si>
    <t>Post Hematocrit</t>
  </si>
  <si>
    <t>DRBC TBV Limit</t>
  </si>
  <si>
    <t>Donation Frequency</t>
  </si>
  <si>
    <t>No. of</t>
  </si>
  <si>
    <t>Total DQP</t>
  </si>
  <si>
    <t>Samp N</t>
  </si>
  <si>
    <t>Coded Donor Disqualification Reason For Each Designated Procedure</t>
  </si>
  <si>
    <t>DETAILED RESULTS OF ALL PROCEDURES FOR A SINGLE DONOR</t>
  </si>
  <si>
    <t>DQ Reason</t>
  </si>
  <si>
    <t>Proc</t>
  </si>
  <si>
    <t>Num</t>
  </si>
  <si>
    <t>Single Donor Data</t>
  </si>
  <si>
    <t>DETAILED RESULTS OF ALL MULTIPLE DONORS</t>
  </si>
  <si>
    <t>Qac Inst. Draw, ml/min</t>
  </si>
  <si>
    <t>Qch Inst. Draw, ml/min</t>
  </si>
  <si>
    <t xml:space="preserve">    better the statistical accuracy for donor base performance.</t>
  </si>
  <si>
    <t>3) Enter either TBV or sex, height &amp; weight for each donor.</t>
  </si>
  <si>
    <t>4) Select units for donor height and weight.</t>
  </si>
  <si>
    <t>6) Use Paste Special/Values when importing donor sample.</t>
  </si>
  <si>
    <t>HIGHEST RANKED QUALIFIED PROCEDURE ON THE PRIORITY LIST</t>
  </si>
  <si>
    <t>PREDICTION DETAILS FOR ALL MULTIPLE DONORS FOR THE</t>
  </si>
  <si>
    <t>FOR ALL THE DESIGNATED PROCEDURES</t>
  </si>
  <si>
    <t>Reason</t>
  </si>
  <si>
    <t>Donor Disqual.</t>
  </si>
  <si>
    <t>7) Click on Go To Directory button to choose next step.</t>
  </si>
  <si>
    <t>STEP 1</t>
  </si>
  <si>
    <t>STEP 2</t>
  </si>
  <si>
    <t>To operate the Trima Prediction Tool requires a definition of the Trima</t>
  </si>
  <si>
    <t>Configurations and Procedures, and a definition of the Donor Sample.</t>
  </si>
  <si>
    <t>These two input locations, followed by the Prediction Update, is Step 1.</t>
  </si>
  <si>
    <t>Step 2 is accessing the type of Prediction Results of interest.  Click on</t>
  </si>
  <si>
    <t>the appropriate buttons below to go to the desired information.</t>
  </si>
  <si>
    <t>Sample Qualified</t>
  </si>
  <si>
    <t>Percent of Donor</t>
  </si>
  <si>
    <t>NOTES</t>
  </si>
  <si>
    <t>Post-Hct</t>
  </si>
  <si>
    <t>TRALI</t>
  </si>
  <si>
    <t>Qualification (DQP)</t>
  </si>
  <si>
    <t>Donation Freq</t>
  </si>
  <si>
    <t xml:space="preserve">    by running the tool with different options.</t>
  </si>
  <si>
    <t>`</t>
  </si>
  <si>
    <t>Overall % Donor</t>
  </si>
  <si>
    <t>Blood Type Percents = DQP Factors Used In Analysis</t>
  </si>
  <si>
    <t>Available ABO Groups</t>
  </si>
  <si>
    <t>Factor</t>
  </si>
  <si>
    <t>O-/O+/B-/B+</t>
  </si>
  <si>
    <t>O-/O+/A-/A+/B-/B+</t>
  </si>
  <si>
    <t>A-/A+</t>
  </si>
  <si>
    <t>B-/B+</t>
  </si>
  <si>
    <t>AB-/AB+</t>
  </si>
  <si>
    <t>Input Specified</t>
  </si>
  <si>
    <t>Group</t>
  </si>
  <si>
    <t>ABO Groups</t>
  </si>
  <si>
    <t>ABO Group Factors</t>
  </si>
  <si>
    <t>ABO Group Factors For Procedures</t>
  </si>
  <si>
    <t>ABO Blood Type Statistics</t>
  </si>
  <si>
    <t>Avg Plasma</t>
  </si>
  <si>
    <t>A</t>
  </si>
  <si>
    <t>Donor No.</t>
  </si>
  <si>
    <t>Proced</t>
  </si>
  <si>
    <t>Percent</t>
  </si>
  <si>
    <t>Donor Qual</t>
  </si>
  <si>
    <t># of Donors</t>
  </si>
  <si>
    <t>Single Donor Procedure</t>
  </si>
  <si>
    <t>Qac inst. draw, ml/min</t>
  </si>
  <si>
    <t>Qch inst. draw, ml/min</t>
  </si>
  <si>
    <t>v6.1 Centrifuge Speed Factor</t>
  </si>
  <si>
    <t>key_plt_def_bag_vol=500.0</t>
  </si>
  <si>
    <t>key_rbc_def_bag_vol=200.0</t>
  </si>
  <si>
    <t>mss_vac_purge_cycle_pause   =   3.0</t>
  </si>
  <si>
    <t># max PAS addition speed</t>
  </si>
  <si>
    <t># ramp up to mss_plt_ss_add_speed  on=1/off=0</t>
  </si>
  <si>
    <t>centslow_rpm_trigger_scaled_delta=300.0</t>
  </si>
  <si>
    <t>centslow_rpm_target_scaled_delta=300.0</t>
  </si>
  <si>
    <t>centstop_rpm_trigger_scaled=1300.0</t>
  </si>
  <si>
    <t xml:space="preserve">                                                       </t>
  </si>
  <si>
    <t>pir_delta_procedure_time_trigger=5.0</t>
  </si>
  <si>
    <t>pir_ramp_rate_coefficient=0.07</t>
  </si>
  <si>
    <t>pir_linear_ramp_qch_limit=1.5</t>
  </si>
  <si>
    <t>pir_linear_ramp_rate=0.10</t>
  </si>
  <si>
    <t>pir_qcdot=0.2</t>
  </si>
  <si>
    <t xml:space="preserve">#centrifuge speed factor </t>
  </si>
  <si>
    <t>csf_max=1.0</t>
  </si>
  <si>
    <t>csf_min=0.284</t>
  </si>
  <si>
    <t>csf_qin=70.0</t>
  </si>
  <si>
    <t>mss_vac_1_collect_speed     = 100.0</t>
  </si>
  <si>
    <t>mss_vac_1_plasma_speed      =   9.0</t>
  </si>
  <si>
    <t>mss_vac_2_collect_speed     =   0.0</t>
  </si>
  <si>
    <t>mss_vac_2_plasma_speed      =  50.0</t>
  </si>
  <si>
    <t>mss_vac_1_collect_vol       =  15.0</t>
  </si>
  <si>
    <t>mss_vac_1_plasma_vol        =   1.3</t>
  </si>
  <si>
    <t>mss_vac_2_plasma_vol        =   2.6</t>
  </si>
  <si>
    <t>mss_vac_4_collect_speed     = 110.0</t>
  </si>
  <si>
    <t>mss_vac_4_plasma_speed      = 110.0</t>
  </si>
  <si>
    <t>mss_vac_4_plasma_vol        =   5.0</t>
  </si>
  <si>
    <t>Developer Notes:</t>
  </si>
  <si>
    <t>To add a software version:</t>
  </si>
  <si>
    <t xml:space="preserve">2. Create new Class Module (C##) and </t>
  </si>
  <si>
    <t>4. Add software (SWVer) detection to Modules</t>
  </si>
  <si>
    <t>5. Create new config.dat and cobe config.dat sheets and modify conditional in Configs module.</t>
  </si>
  <si>
    <t>To add fields to Details sheet:</t>
  </si>
  <si>
    <t>To add fields to SD_Details sheet:</t>
  </si>
  <si>
    <t>-Formats must match EXACTLY with SW build, otherwise it will crash</t>
  </si>
  <si>
    <t>1. Build .xll and reference add-in in Excel</t>
  </si>
  <si>
    <t>-Copy previous Module and change .xll name, modify as necessary following existing format</t>
  </si>
  <si>
    <t>Things this tool should do:</t>
  </si>
  <si>
    <t>CONFIGURATION CENTER &amp; TRIMA IDENTIFICATION</t>
  </si>
  <si>
    <t>Center</t>
  </si>
  <si>
    <t>Machines</t>
  </si>
  <si>
    <t/>
  </si>
  <si>
    <t>Project Leader</t>
  </si>
  <si>
    <t>Date applicable (from)</t>
  </si>
  <si>
    <t>Configured by</t>
  </si>
  <si>
    <t>(end date)</t>
  </si>
  <si>
    <t>Project Name</t>
  </si>
  <si>
    <t>MACHINE</t>
  </si>
  <si>
    <t>A2</t>
  </si>
  <si>
    <t>Date</t>
  </si>
  <si>
    <t>Audible Alert Volume</t>
  </si>
  <si>
    <t>LANGUAGE/UNIT</t>
  </si>
  <si>
    <t>Language</t>
  </si>
  <si>
    <t>B2</t>
  </si>
  <si>
    <t>Eng</t>
  </si>
  <si>
    <t>Date Format</t>
  </si>
  <si>
    <t>B5</t>
  </si>
  <si>
    <t>mm/dd/yy</t>
  </si>
  <si>
    <t>Height</t>
  </si>
  <si>
    <t>B3</t>
  </si>
  <si>
    <t>ft/inch</t>
  </si>
  <si>
    <t>Time Format</t>
  </si>
  <si>
    <t>B6</t>
  </si>
  <si>
    <t>military</t>
  </si>
  <si>
    <t>Weight</t>
  </si>
  <si>
    <t>B4</t>
  </si>
  <si>
    <t>lbs</t>
  </si>
  <si>
    <t>Decimal Delimiter</t>
  </si>
  <si>
    <t>B7</t>
  </si>
  <si>
    <t>low</t>
  </si>
  <si>
    <t>PROCEDURE</t>
  </si>
  <si>
    <t>Maxium Procedure Time (minute)</t>
  </si>
  <si>
    <t>D2</t>
  </si>
  <si>
    <t>Inlet/AC Start Ramp Ratio</t>
  </si>
  <si>
    <t>D5</t>
  </si>
  <si>
    <t>Return Pressure High Limit (mmHg)</t>
  </si>
  <si>
    <t>D3</t>
  </si>
  <si>
    <t>RBC Inlet/AC ratio</t>
  </si>
  <si>
    <t>D6</t>
  </si>
  <si>
    <t>Draw Pressure Low Limit (mmHg)</t>
  </si>
  <si>
    <t>D4</t>
  </si>
  <si>
    <t>Operator Action Validation</t>
  </si>
  <si>
    <t>D7</t>
  </si>
  <si>
    <t>OFF</t>
  </si>
  <si>
    <t>Always leave OFF</t>
  </si>
  <si>
    <t>DONOR</t>
  </si>
  <si>
    <t>E2</t>
  </si>
  <si>
    <t>Maximum Draw Flow</t>
  </si>
  <si>
    <t>E6</t>
  </si>
  <si>
    <t>Return Management</t>
  </si>
  <si>
    <t>Minimum Donor Post Hematocrit</t>
  </si>
  <si>
    <t>E3</t>
  </si>
  <si>
    <t>Initial Draw Ramp</t>
  </si>
  <si>
    <t>E7</t>
  </si>
  <si>
    <t>These parameters may be changed.  These are the settings that have been used most frequently at Bonfils.</t>
  </si>
  <si>
    <t>Minimum Donor Post Platelet Count</t>
  </si>
  <si>
    <t>E4</t>
  </si>
  <si>
    <t>Draw Management</t>
  </si>
  <si>
    <t>E8</t>
  </si>
  <si>
    <t>Volume Limits</t>
  </si>
  <si>
    <t xml:space="preserve">Weight </t>
  </si>
  <si>
    <t>Volume &lt;= weight</t>
  </si>
  <si>
    <t>Volume &gt; weight</t>
  </si>
  <si>
    <t>-</t>
  </si>
  <si>
    <t>The Volume Limits are set by the Investigator.  We may not change them.</t>
  </si>
  <si>
    <t>Body Weight</t>
  </si>
  <si>
    <t>PLASMA</t>
  </si>
  <si>
    <t>Plasma 1</t>
  </si>
  <si>
    <t>Plasma 4</t>
  </si>
  <si>
    <t>Plasma 2</t>
  </si>
  <si>
    <t>Plasma 5</t>
  </si>
  <si>
    <t>Plasma 3</t>
  </si>
  <si>
    <t>Plasma 6</t>
  </si>
  <si>
    <t>As-Much-As Possible Plasma  min Volume (ml)</t>
  </si>
  <si>
    <t>C3</t>
  </si>
  <si>
    <t>As-Much-As Possible Plasma max Volume (ml)</t>
  </si>
  <si>
    <t>PLATELET</t>
  </si>
  <si>
    <t>Ft1</t>
  </si>
  <si>
    <t>Ft2</t>
  </si>
  <si>
    <t>Ft3</t>
  </si>
  <si>
    <t>F1</t>
  </si>
  <si>
    <t>Platelet 1</t>
  </si>
  <si>
    <t>F2</t>
  </si>
  <si>
    <t>F3</t>
  </si>
  <si>
    <t>F4</t>
  </si>
  <si>
    <t>Yield Scaling Factor</t>
  </si>
  <si>
    <t>C5</t>
  </si>
  <si>
    <t>Minimum Product Volume</t>
  </si>
  <si>
    <t>% Fluid Balance</t>
  </si>
  <si>
    <t>G1</t>
  </si>
  <si>
    <t>RBC Dose at 100% HCT</t>
  </si>
  <si>
    <t>gt1</t>
  </si>
  <si>
    <t>gt2</t>
  </si>
  <si>
    <t>RBC Collect Volume (ml)</t>
  </si>
  <si>
    <t>gt3</t>
  </si>
  <si>
    <t>RBC1</t>
  </si>
  <si>
    <t>g2</t>
  </si>
  <si>
    <t>RSF</t>
  </si>
  <si>
    <t>RBC2</t>
  </si>
  <si>
    <t>dRBC Split</t>
  </si>
  <si>
    <t>RBC3</t>
  </si>
  <si>
    <t>PROCEDURE PRIORITY</t>
  </si>
  <si>
    <t>h1</t>
  </si>
  <si>
    <t>ht1</t>
  </si>
  <si>
    <t>ht2</t>
  </si>
  <si>
    <t>ht3</t>
  </si>
  <si>
    <t>Type</t>
  </si>
  <si>
    <t>ht4</t>
  </si>
  <si>
    <t>Procedure 1</t>
  </si>
  <si>
    <t>h2</t>
  </si>
  <si>
    <t>100 min</t>
  </si>
  <si>
    <t>Procedure 2</t>
  </si>
  <si>
    <t>h3</t>
  </si>
  <si>
    <t>Procedure 3</t>
  </si>
  <si>
    <t>h4</t>
  </si>
  <si>
    <t>Procedure 4</t>
  </si>
  <si>
    <t>h5</t>
  </si>
  <si>
    <t>Procedure 5</t>
  </si>
  <si>
    <t>h6</t>
  </si>
  <si>
    <t>Procedure 6</t>
  </si>
  <si>
    <t>h7</t>
  </si>
  <si>
    <t>Procedure 7</t>
  </si>
  <si>
    <t>H8</t>
  </si>
  <si>
    <t>Procedure 8</t>
  </si>
  <si>
    <t>h9</t>
  </si>
  <si>
    <t>Procedure 9</t>
  </si>
  <si>
    <t>i1</t>
  </si>
  <si>
    <t>Procedure 10</t>
  </si>
  <si>
    <t>i2</t>
  </si>
  <si>
    <t>Procedure 11</t>
  </si>
  <si>
    <t>i3</t>
  </si>
  <si>
    <t>Procedure 12</t>
  </si>
  <si>
    <t>i4</t>
  </si>
  <si>
    <t>Procedure 13</t>
  </si>
  <si>
    <t>i5</t>
  </si>
  <si>
    <t>Procedure 14</t>
  </si>
  <si>
    <t>i6</t>
  </si>
  <si>
    <t>Procedure 15</t>
  </si>
  <si>
    <t>i7</t>
  </si>
  <si>
    <t>*Simulation will take a few minutes to complete.  Please be patient.</t>
  </si>
  <si>
    <t>% TBV</t>
  </si>
  <si>
    <t>101 min</t>
  </si>
  <si>
    <t>102 min</t>
  </si>
  <si>
    <t>103 min</t>
  </si>
  <si>
    <t>104 min</t>
  </si>
  <si>
    <t>105 min</t>
  </si>
  <si>
    <t>106 min</t>
  </si>
  <si>
    <t>107 min</t>
  </si>
  <si>
    <t>108 min</t>
  </si>
  <si>
    <t>109 min</t>
  </si>
  <si>
    <t>110 min</t>
  </si>
  <si>
    <t>111 min</t>
  </si>
  <si>
    <t>112 min</t>
  </si>
  <si>
    <t>113 min</t>
  </si>
  <si>
    <t>114 min</t>
  </si>
  <si>
    <t>115 min</t>
  </si>
  <si>
    <t>116 min</t>
  </si>
  <si>
    <t>117 min</t>
  </si>
  <si>
    <t>118 min</t>
  </si>
  <si>
    <t>119 min</t>
  </si>
  <si>
    <t>Procedure 16</t>
  </si>
  <si>
    <t>Procedure 17</t>
  </si>
  <si>
    <t>Procedure 18</t>
  </si>
  <si>
    <t>Procedure 19</t>
  </si>
  <si>
    <t>Procedure 20</t>
  </si>
  <si>
    <t>Simulation Status:</t>
  </si>
  <si>
    <t xml:space="preserve"> Results For Multi-Donor And Single Donor Predictions</t>
  </si>
  <si>
    <t>Input Data And Perform Predictions</t>
  </si>
  <si>
    <t>Other Tool Outputs</t>
  </si>
  <si>
    <t>3. Add software to User input (drop down on Configs &amp; Procedures)</t>
  </si>
  <si>
    <t>Optional</t>
  </si>
  <si>
    <t>Trima Configuration Sheet</t>
  </si>
  <si>
    <t>*Print to PDF button</t>
  </si>
  <si>
    <t>Yield (x e+11)</t>
  </si>
  <si>
    <t>Concentration (x e+3/µl)</t>
  </si>
  <si>
    <t>REPLACEMENT FLUID</t>
  </si>
  <si>
    <t>Hematocrit of RBC prod (%)</t>
  </si>
  <si>
    <t>sample of donors that represent a specific donor base.  It is applicable to Accel versions V5.1 and on.</t>
  </si>
  <si>
    <t>specified procedure priority list of procedures.  The specified sample of donors, taken to represent a</t>
  </si>
  <si>
    <t>particular donor base, can be either an input sample of up to 1000 specific donors, or a statistical sample of 1000</t>
  </si>
  <si>
    <t xml:space="preserve">    In addition to the results summary table, DQP Data are available.  (DQP is the percent of the donor sample that</t>
  </si>
  <si>
    <t>is qualified for a particular procedure.)  One table gives the DQP values for all procedures that are possible for</t>
  </si>
  <si>
    <t>any combination of Configured Product Targets, in ranked order.  Another table gives a DQP breakout for the four</t>
  </si>
  <si>
    <t>safety box parameters, as well as the overall DQP that includes disqualifications by RBC Donation Management.</t>
  </si>
  <si>
    <t xml:space="preserve">    Accurate predictions for a single donor are also provided by this tool.  This tool replaces the Accel Multi-Run Prediction Tool and the Accel Single-Run Prediction Tool.</t>
  </si>
  <si>
    <r>
      <t xml:space="preserve">1) Go to </t>
    </r>
    <r>
      <rPr>
        <b/>
        <sz val="11"/>
        <color indexed="12"/>
        <rFont val="Arial"/>
        <family val="2"/>
      </rPr>
      <t xml:space="preserve">Directory </t>
    </r>
    <r>
      <rPr>
        <b/>
        <sz val="11"/>
        <rFont val="Arial"/>
        <family val="2"/>
      </rPr>
      <t xml:space="preserve">for navigation throughout this tool.  </t>
    </r>
  </si>
  <si>
    <r>
      <t xml:space="preserve">2) Go to </t>
    </r>
    <r>
      <rPr>
        <b/>
        <sz val="11"/>
        <color indexed="12"/>
        <rFont val="Arial"/>
        <family val="2"/>
      </rPr>
      <t xml:space="preserve">Configs &amp; Procedures.  </t>
    </r>
    <r>
      <rPr>
        <b/>
        <sz val="11"/>
        <rFont val="Arial"/>
        <family val="2"/>
      </rPr>
      <t>Read the Notes and Comments and enter data as instructed.</t>
    </r>
  </si>
  <si>
    <r>
      <t xml:space="preserve">3) Go to </t>
    </r>
    <r>
      <rPr>
        <b/>
        <sz val="11"/>
        <color indexed="12"/>
        <rFont val="Arial"/>
        <family val="2"/>
      </rPr>
      <t>Donor Base</t>
    </r>
    <r>
      <rPr>
        <b/>
        <sz val="11"/>
        <rFont val="Arial"/>
        <family val="2"/>
      </rPr>
      <t>,</t>
    </r>
    <r>
      <rPr>
        <b/>
        <sz val="11"/>
        <color indexed="12"/>
        <rFont val="Arial"/>
        <family val="2"/>
      </rPr>
      <t xml:space="preserve"> </t>
    </r>
    <r>
      <rPr>
        <b/>
        <sz val="11"/>
        <rFont val="Arial"/>
        <family val="2"/>
      </rPr>
      <t>read the Notes, select the desired Donor Base Option, and enter data as instructed.</t>
    </r>
  </si>
  <si>
    <t>4) Click on the Update Results button.  Select the Multi or Single Donor desired results.</t>
  </si>
  <si>
    <t>RBC 1 Target Dose (ml) @100% Hct</t>
  </si>
  <si>
    <t>Q</t>
  </si>
  <si>
    <t>P</t>
  </si>
  <si>
    <t>Qual.</t>
  </si>
  <si>
    <t>repeats</t>
  </si>
  <si>
    <t>BT</t>
  </si>
  <si>
    <t>Top</t>
  </si>
  <si>
    <t>Cumulative Probabilities</t>
  </si>
  <si>
    <t>n</t>
  </si>
  <si>
    <t>Plt Prod/Proc</t>
  </si>
  <si>
    <t>P/P</t>
  </si>
  <si>
    <t>LookUp</t>
  </si>
  <si>
    <t xml:space="preserve">% DPP </t>
  </si>
  <si>
    <t xml:space="preserve">% TPP </t>
  </si>
  <si>
    <t xml:space="preserve"> DESCRIPTION AND INSTRUCTIONS</t>
  </si>
  <si>
    <t>centslow_system_state_timeout_seconds=10.0</t>
  </si>
  <si>
    <t>Platelet-Plasma-RBC Products</t>
  </si>
  <si>
    <t>Plasma-RBC Products</t>
  </si>
  <si>
    <t>Products Per 100 Total Donors</t>
  </si>
  <si>
    <t>AMAP platelet and plasma potential product comparison</t>
  </si>
  <si>
    <t>PREDICTION SUMMARY FOR A SINGLE DONOR</t>
  </si>
  <si>
    <t>Donor Sample Option:</t>
  </si>
  <si>
    <t>Concentration Calculator</t>
  </si>
  <si>
    <t>Input</t>
  </si>
  <si>
    <t>Output</t>
  </si>
  <si>
    <t>Volume, mL</t>
  </si>
  <si>
    <t>Yield, e11</t>
  </si>
  <si>
    <t>Conc=</t>
  </si>
  <si>
    <t>qrp_blood_prime=80.0</t>
  </si>
  <si>
    <t>mss_aps_nom                 = 200</t>
  </si>
  <si>
    <t>mss_plt_mss_max_prime_vol   = 25</t>
  </si>
  <si>
    <t>mss_plt_ss_empty_percentage          =   5.0</t>
  </si>
  <si>
    <t>mss_channel_volume                   = 60.0</t>
  </si>
  <si>
    <t>mss_rinseback_success                = 50.0</t>
  </si>
  <si>
    <t>mss_connection_deltaRGmax            = 0.5</t>
  </si>
  <si>
    <t>mss_connection_RGmax_vol             = 30.0</t>
  </si>
  <si>
    <t>mss_connection_samples               = 50</t>
  </si>
  <si>
    <t>key_mss_plt_on=1</t>
  </si>
  <si>
    <t>key_plt_def_bag_vol=250.0</t>
  </si>
  <si>
    <t>Config</t>
  </si>
  <si>
    <t>Code</t>
  </si>
  <si>
    <t>Lookup</t>
  </si>
  <si>
    <t>O-/O+/A-</t>
  </si>
  <si>
    <t>O-/O+/A-/A+/B-</t>
  </si>
  <si>
    <t>a</t>
  </si>
  <si>
    <t>b</t>
  </si>
  <si>
    <t>c</t>
  </si>
  <si>
    <t>d</t>
  </si>
  <si>
    <t>e</t>
  </si>
  <si>
    <t>f</t>
  </si>
  <si>
    <t>g</t>
  </si>
  <si>
    <t>h</t>
  </si>
  <si>
    <t>i</t>
  </si>
  <si>
    <t>j</t>
  </si>
  <si>
    <t>k</t>
  </si>
  <si>
    <t>l</t>
  </si>
  <si>
    <t>m</t>
  </si>
  <si>
    <t>o</t>
  </si>
  <si>
    <t>p</t>
  </si>
  <si>
    <t>q</t>
  </si>
  <si>
    <t>r</t>
  </si>
  <si>
    <t>s</t>
  </si>
  <si>
    <t>t</t>
  </si>
  <si>
    <t>Config.dat</t>
  </si>
  <si>
    <t>String</t>
  </si>
  <si>
    <t>v6.1 Centrifuge Speed</t>
  </si>
  <si>
    <t>Blood Type Cumulative Percents</t>
  </si>
  <si>
    <t>BT Enum</t>
  </si>
  <si>
    <t>Offset</t>
  </si>
  <si>
    <t>Rand</t>
  </si>
  <si>
    <t>ABO Type</t>
  </si>
  <si>
    <t>Blood Type</t>
  </si>
  <si>
    <t>Other</t>
  </si>
  <si>
    <t>CONFIGURATION INPUT DATA</t>
  </si>
  <si>
    <t>1) See Multi-Donor Details for more information.</t>
  </si>
  <si>
    <t>2) A breakout of disqualifications can be obtained</t>
  </si>
  <si>
    <t xml:space="preserve">     option above, and enter the donor data in the top row below.</t>
  </si>
  <si>
    <t>2) To analyze the performance of a Single Donor, enter the</t>
  </si>
  <si>
    <t xml:space="preserve"> SUMMARY RESULTS OF MULTI-DONOR SAMPLE PREDICTIONS</t>
  </si>
  <si>
    <t>Last Loaded Inputs</t>
  </si>
  <si>
    <t>Difference</t>
  </si>
  <si>
    <t>Differences</t>
  </si>
  <si>
    <t>key_plt_amap_2=0</t>
  </si>
  <si>
    <t>key_plt_amap_3=0</t>
  </si>
  <si>
    <t>key_plt_amap_4=0</t>
  </si>
  <si>
    <t>key_plt_amap_5=0</t>
  </si>
  <si>
    <t>key_plt_amap_6=1</t>
  </si>
  <si>
    <t>key_plt_amap_min_yield=3.0</t>
  </si>
  <si>
    <t>key_plt_amap_step=0.1</t>
  </si>
  <si>
    <t>key_plt_amap_1=1</t>
  </si>
  <si>
    <t>Target</t>
  </si>
  <si>
    <t>inlet_flow_ramp_constant=1.0</t>
  </si>
  <si>
    <t>platelet_plasma_prime_time=7.0</t>
  </si>
  <si>
    <t># evacuation_pressure_recovery_limit = pressure we will reduce aps to if clamp close alarms</t>
  </si>
  <si>
    <t># evacuation_recovery_volume_limit = volume limit for the pressure reduction to keep from endless running</t>
  </si>
  <si>
    <t>evacuation_pressure_recovery_limit=100.0</t>
  </si>
  <si>
    <t>evacuation_recovery_volume_limit=-50.0</t>
  </si>
  <si>
    <t>mss_plt_ss_salvage_prime_vol = 27.0</t>
  </si>
  <si>
    <t>mss_vac_3_collect_speed     = 125.0</t>
  </si>
  <si>
    <t>mss_vac_3_plasma_speed      = 125.0</t>
  </si>
  <si>
    <t>mss_vac_3_plasma_vol        =   2.5</t>
  </si>
  <si>
    <t>mss_plt_ss_add_speed        = 80</t>
  </si>
  <si>
    <t xml:space="preserve">mss_plt_ss_add_rampup       = 1 </t>
  </si>
  <si>
    <t>mss_channel_check1_collect_speed     =  60.0</t>
  </si>
  <si>
    <t>mss_channel_check1_collect_vol       =  15.0</t>
  </si>
  <si>
    <t>mss_channel_check2_collect_speed     =  125.0</t>
  </si>
  <si>
    <t xml:space="preserve">mss_channel_check2_plasma_speed      =  100.0                                  </t>
  </si>
  <si>
    <t>mss_channel_check2_plasma_vol        =  16.0</t>
  </si>
  <si>
    <t>mss_rbc_ss_salvage_prime_vol = 25.0</t>
  </si>
  <si>
    <t># sw.dat - software options for Trima</t>
  </si>
  <si>
    <t># 1.) This file must have lines that are less then 255 characters long in order</t>
  </si>
  <si>
    <t># 2.) NO SPACES ARE ALLOWED BETWEEN name=value!</t>
  </si>
  <si>
    <t># 3.) Each entry (or VALUE) is completely specified by SECTION_NAME and NAME.</t>
  </si>
  <si>
    <t># NO SPACES ARE ALLOWED BETWEEN name=value</t>
  </si>
  <si>
    <t>[OPTIONS]</t>
  </si>
  <si>
    <t># The following version number must be changed if the format of this</t>
  </si>
  <si>
    <t># file changes, allowing install or downgrade scripts to determine</t>
  </si>
  <si>
    <t># when file conversion is necessary.</t>
  </si>
  <si>
    <t>[FEATURES]</t>
  </si>
  <si>
    <t>#  Each feature is described by the format:</t>
  </si>
  <si>
    <t>#     feature=enable,CRC</t>
  </si>
  <si>
    <t>#  Each feature contains an enable field.  This is a 32-bit value entered</t>
  </si>
  <si>
    <t>#  in binary (e.g. a value of 10010 has bits 1 and 4 set).  The meaning of</t>
  </si>
  <si>
    <t>#  each bit is:</t>
  </si>
  <si>
    <t>#    bit0 = enable regardless of language selected</t>
  </si>
  <si>
    <t>#    bit1 = enable feature if English language is selected</t>
  </si>
  <si>
    <t>#    bit2 = French</t>
  </si>
  <si>
    <t>#    bit3 = German</t>
  </si>
  <si>
    <t>#    bit4 = Italian</t>
  </si>
  <si>
    <t>#    bit5 = Japanese</t>
  </si>
  <si>
    <t>#    bit6 = Spanish</t>
  </si>
  <si>
    <t>#    bit7 = Dutch</t>
  </si>
  <si>
    <t>#    bit8 = Portuguese</t>
  </si>
  <si>
    <t>#    bit9 = Swedish</t>
  </si>
  <si>
    <t>#    bit10 = Korean</t>
  </si>
  <si>
    <t>#    bit11 = Russian</t>
  </si>
  <si>
    <t>#    bit12 = Czech</t>
  </si>
  <si>
    <t>#    bits 15-24 reserved future languages</t>
  </si>
  <si>
    <t>#    bits 25-31 reserved</t>
  </si>
  <si>
    <t>#  Each line in this section is individually CRCd.  The CRC generated from the</t>
  </si>
  <si>
    <t>#  feature line must match the given CRC or an error will be given and the</t>
  </si>
  <si>
    <t>#  Trima machine will generate safe state.  Note that the CRC is based on the</t>
  </si>
  <si>
    <t>#  actual string used in the setting, not the numeric value.  Thus, the</t>
  </si>
  <si>
    <t>#  following two sample lines would have different CRC values, although they</t>
  </si>
  <si>
    <t>#  would result in the same software option selection.  The CRC must be entered</t>
  </si>
  <si>
    <t>#  as a hex value.</t>
  </si>
  <si>
    <t>#    setting=1</t>
  </si>
  <si>
    <t>#    setting=001</t>
  </si>
  <si>
    <t># Confirm AC connection</t>
  </si>
  <si>
    <t>confirm_ac_connection=0,3ce9087</t>
  </si>
  <si>
    <t># FTP options - note that this is not a language sensitive setting.  A zero value will</t>
  </si>
  <si>
    <t># disallow FTP with the cassette down (except in service boot or single step boot mode),</t>
  </si>
  <si>
    <t># and a non-zero value will allow it.</t>
  </si>
  <si>
    <t>allow_ftp_with_cassette_down=0,5e1b0bf3</t>
  </si>
  <si>
    <t># Configuration screen options</t>
  </si>
  <si>
    <t>four_way_volume_cutoff=0,072e8f00</t>
  </si>
  <si>
    <t>allow_extra_wbc_messages=0,3306924a</t>
  </si>
  <si>
    <t># alternate gui</t>
  </si>
  <si>
    <t>alternate_gui=0,c5a1f257</t>
  </si>
  <si>
    <t># periodic logging in service mode</t>
  </si>
  <si>
    <t># Procedure selection screen options</t>
  </si>
  <si>
    <t>select_screen_display_platelet_volume=0,658a694c</t>
  </si>
  <si>
    <t>allow_adjust_flow_rates_on_procedure_select=0,bdc63c96</t>
  </si>
  <si>
    <t># Donor connect screen options</t>
  </si>
  <si>
    <t>jp_sample_bag_configuration=0,6d65baf4</t>
  </si>
  <si>
    <t># Set load options</t>
  </si>
  <si>
    <t>dont_connect_ac_msg_at_set_load=0,1659e888</t>
  </si>
  <si>
    <t># Run summary options</t>
  </si>
  <si>
    <t>display_average_inlet_flow=0,f9431ad0</t>
  </si>
  <si>
    <t>display_residual_volumes=111111111011111,70f7a94f</t>
  </si>
  <si>
    <t>alternate_next_procedure_button=0,28fd9829</t>
  </si>
  <si>
    <t># Screenshot button</t>
  </si>
  <si>
    <t>enable_screenshot_button=0,efa60ced</t>
  </si>
  <si>
    <t># Enable APS and CPS high speed logging</t>
  </si>
  <si>
    <t># WARNING: turn these on for versalogic only -- ampro will crash!</t>
  </si>
  <si>
    <t>aps_high_speed_log_enable=0,adf9c8ed</t>
  </si>
  <si>
    <t>cps_high_speed_log_enable=0,70e1fe6f</t>
  </si>
  <si>
    <t># Time-Only config mode</t>
  </si>
  <si>
    <t># Having this item turned on means that the operator can enter</t>
  </si>
  <si>
    <t># the configuration screens and configure only time.</t>
  </si>
  <si>
    <t>time_only_config_mode=0,55090f16</t>
  </si>
  <si>
    <t>#  If enabled, use platelet postcount equation to account for platelet mobilization</t>
  </si>
  <si>
    <t>[GUI]</t>
  </si>
  <si>
    <t># De-bounce delay (in clock ticks) for touch screen</t>
  </si>
  <si>
    <t>touchscreen_bounce_delay=8,c42cfd98</t>
  </si>
  <si>
    <t># The following GUI settings are used for string substitutions in displayed text.</t>
  </si>
  <si>
    <t># In general, the are limited to numeric values since there is no provision</t>
  </si>
  <si>
    <t># for translation, and they are in ASCII rather than Unicode.</t>
  </si>
  <si>
    <t># The GUI string tables should contain sub-strings such as #!{low_platelet_conc}</t>
  </si>
  <si>
    <t># These sub-strings will be replaced by the corresponding values from this</t>
  </si>
  <si>
    <t># configuration file.</t>
  </si>
  <si>
    <t># Platelet concentration storage limits</t>
  </si>
  <si>
    <t>low_platelet_conc=1000,50fc77c1</t>
  </si>
  <si>
    <t>high_platelet_conc=2100,b63fc124</t>
  </si>
  <si>
    <t># RBC bag capacity for cfg rbc</t>
  </si>
  <si>
    <t># This is the maximum configurable volume for an RBC product.  It represents</t>
  </si>
  <si>
    <t># the max bag capacity for a DRBC set. (Keep here so it's not hard-coded)</t>
  </si>
  <si>
    <t>rbc_max_prod_vol=1000,ad1ba85c</t>
  </si>
  <si>
    <t># this time is the time limit between donor disconnect and the end of metering.</t>
  </si>
  <si>
    <t># if this time limit is exceeded then we will flag the PLT product for WBC</t>
  </si>
  <si>
    <t xml:space="preserve">max_metering_duration=30.0,eafe882a </t>
  </si>
  <si>
    <t>Sum</t>
  </si>
  <si>
    <t>Unweighted Averages</t>
  </si>
  <si>
    <t>[LARGE_DONOR_COEFFICIENTS]</t>
  </si>
  <si>
    <t>#male</t>
  </si>
  <si>
    <t>#female</t>
  </si>
  <si>
    <t>Fixed Volume Limit Wt. Cutoff,</t>
  </si>
  <si>
    <t>FVLC=</t>
  </si>
  <si>
    <t>unit convet:</t>
  </si>
  <si>
    <t># how log to pause to see if this is a true ULS signal as opposed to foaming (msec)</t>
  </si>
  <si>
    <t>first_cycle_too_soon_pause_doublecheck = 2000</t>
  </si>
  <si>
    <t># number of times to attempt this pause and double check.</t>
  </si>
  <si>
    <t>first_cycle_too_soon_retry_doublecheck = 5</t>
  </si>
  <si>
    <t>file_version=6.0.1</t>
  </si>
  <si>
    <t>#    bit13 = Chinese</t>
  </si>
  <si>
    <t>#    bit14 = Polish</t>
  </si>
  <si>
    <t xml:space="preserve">service_mode_periodic_log=0,5826596d </t>
  </si>
  <si>
    <t># Use secondary filter for upper level sensor</t>
  </si>
  <si>
    <t>second_stage_uls_filtering=0,a4c9dad7</t>
  </si>
  <si>
    <t xml:space="preserve"> </t>
  </si>
  <si>
    <t>max_qin_pca=120.0</t>
  </si>
  <si>
    <t>aps_additional_delay=0.0</t>
  </si>
  <si>
    <t>Qmax_lr_min                     = 100.0</t>
  </si>
  <si>
    <t>Clr1m =55400</t>
  </si>
  <si>
    <t>Clr2m =606</t>
  </si>
  <si>
    <t>Clr3m=0</t>
  </si>
  <si>
    <t>Clr1f=65200</t>
  </si>
  <si>
    <t>Clr2f =955</t>
  </si>
  <si>
    <t>Clr3f=0</t>
  </si>
  <si>
    <t>collect_maximum_flow_high=3.0</t>
  </si>
  <si>
    <t>collect_maximum_flow_standard=3.0</t>
  </si>
  <si>
    <t>first_max_pir_chamber_flow_high=3.0</t>
  </si>
  <si>
    <t>first_max_pir_chamber_flow_standard=3.0</t>
  </si>
  <si>
    <t>first_pir_flow_limit_high=3.0</t>
  </si>
  <si>
    <t>first_pir_flow_limit_standard=3.0</t>
  </si>
  <si>
    <t>second_max_pir_chamber_flow_standard=3.0</t>
  </si>
  <si>
    <t>second_pir_flow_limit=3.0</t>
  </si>
  <si>
    <t>max_chamber_flow_limit=3.0</t>
  </si>
  <si>
    <t>#Qch's lower limit can be overridden by Qcmr.</t>
  </si>
  <si>
    <t>min_chamber_flow=1.5</t>
  </si>
  <si>
    <t>wbc_aw_saturation_constant=124 #112</t>
  </si>
  <si>
    <t>wbc_bw_saturation_constant=0.078 #0.062</t>
  </si>
  <si>
    <t>pir_min_fraction_of_ytarg_loss=5.0</t>
  </si>
  <si>
    <t>pir_max_flow_rate=3.0</t>
  </si>
  <si>
    <t>platelet_saturation_ap=3.81 #3.43</t>
  </si>
  <si>
    <t>platelet_saturation_bp=0.108 #0.086</t>
  </si>
  <si>
    <t>collect_pump_error_specification=0.06</t>
  </si>
  <si>
    <t>collect_pump_error_multiplier=1.30</t>
  </si>
  <si>
    <t>Clr2m=606</t>
  </si>
  <si>
    <t>Clr2f=955</t>
  </si>
  <si>
    <t>Dynamic Configuration- Overrides info on Configs &amp; Procedures sheet.</t>
  </si>
  <si>
    <t>This process will find the highest qualified procedure for each donor based on the procedure priority list.</t>
  </si>
  <si>
    <t>Procedure Priority  *extend as needed</t>
  </si>
  <si>
    <t>Product List</t>
  </si>
  <si>
    <t>Overide normal config list with this sheet?</t>
  </si>
  <si>
    <t>Counts:</t>
  </si>
  <si>
    <t>Yti</t>
  </si>
  <si>
    <t>Yt</t>
  </si>
  <si>
    <t>Vt</t>
  </si>
  <si>
    <t>Vti</t>
  </si>
  <si>
    <t>ProdNum</t>
  </si>
  <si>
    <t>Ct</t>
  </si>
  <si>
    <t># configured procs</t>
  </si>
  <si>
    <t>Total:</t>
  </si>
  <si>
    <t>min</t>
  </si>
  <si>
    <t>max</t>
  </si>
  <si>
    <t>step</t>
  </si>
  <si>
    <t>PlsProd</t>
  </si>
  <si>
    <t>RBCProd</t>
  </si>
  <si>
    <t>Use Iterative loop instead of fixed list?</t>
  </si>
  <si>
    <t>Loop Cnt</t>
  </si>
  <si>
    <t>Tot. Loop</t>
  </si>
  <si>
    <t>ProcNum</t>
  </si>
  <si>
    <t>Pls</t>
  </si>
  <si>
    <t>Platelet Product Ranges:</t>
  </si>
  <si>
    <t>DPP</t>
  </si>
  <si>
    <t>TPP</t>
  </si>
  <si>
    <t>Tot. Targets</t>
  </si>
  <si>
    <t>Loop Generated Priority List:</t>
  </si>
  <si>
    <t>Override number of donors? 1001=No</t>
  </si>
  <si>
    <t>no</t>
  </si>
  <si>
    <t>Iterative loop of all products (replaces AMAPP):</t>
  </si>
  <si>
    <t># V5 residual using plasma rinseback from Todd Green -</t>
  </si>
  <si>
    <t># based on clinical tests (mean plus 2 sigma)</t>
  </si>
  <si>
    <t>pltplsrbc_plsrinseback_residual_rbc_volume=13.0</t>
  </si>
  <si>
    <t>qplasma_purge_std=6.0</t>
  </si>
  <si>
    <t>qplasma_purge_high=3.0</t>
  </si>
  <si>
    <t>vplasma_purge_cycle1_std=1.3</t>
  </si>
  <si>
    <t>vplasma_purge_cycle1_high=1.3</t>
  </si>
  <si>
    <t>vplasma_purge_cycle2_std=1.3</t>
  </si>
  <si>
    <t>vin_clear_channel_std=15.0</t>
  </si>
  <si>
    <t>min_num_of_purge_cycles_std=5.0</t>
  </si>
  <si>
    <t>min_num_of_purge_cycles_high=7.0</t>
  </si>
  <si>
    <t>min_purge_distance_from_midrun=500.0</t>
  </si>
  <si>
    <t>min_purge_distance_from_pir=1500.0</t>
  </si>
  <si>
    <t>qch_epca_scale_factor=0.6</t>
  </si>
  <si>
    <t>[WBC_PURGE_MONITOR]</t>
  </si>
  <si>
    <t>max_red_threshold       = 2000.0</t>
  </si>
  <si>
    <t>min_delta_qch           =  0.1</t>
  </si>
  <si>
    <t>red_pls_upper_offset    = 30.0</t>
  </si>
  <si>
    <t>red_pls_lower_offset    = 30.0</t>
  </si>
  <si>
    <t>dirty_pls_multiplier    =  1.0</t>
  </si>
  <si>
    <t>clean_pls_base_minimum  = 1000.0</t>
  </si>
  <si>
    <t>clean_pls_base_maximum  = 1600.0</t>
  </si>
  <si>
    <t>dirty_plt_sdev_minimum  = 10.0</t>
  </si>
  <si>
    <t>dirty_plt_sdev_maximum  = 100.0</t>
  </si>
  <si>
    <t>dirty_purge_trigger_window_minimum = 120.0</t>
  </si>
  <si>
    <t>dirty_purge_trigger_window_maximum = 1000.0</t>
  </si>
  <si>
    <t>post_aps_blackout_time = 3.0</t>
  </si>
  <si>
    <t>ptf_rbcpls_setup_2_volume=50.0</t>
  </si>
  <si>
    <t>ptf_rbcpls_setup_2B_volume=50.0</t>
  </si>
  <si>
    <t>ptf_rbc_collect_delta=430.0</t>
  </si>
  <si>
    <t>ptf_rbc_collect_limit=1000.0</t>
  </si>
  <si>
    <t>mss_cvl_black               = 25</t>
  </si>
  <si>
    <t>mss_rinseback_success_b                = 50.0</t>
  </si>
  <si>
    <t>mss_ptf_filter_loss        = 13.0</t>
  </si>
  <si>
    <t>[CONVERGENCE]</t>
  </si>
  <si>
    <t>num_iterations_midrun_epca = 15</t>
  </si>
  <si>
    <t>file_version=5.32</t>
  </si>
  <si>
    <t>#    bit13 = Polish</t>
  </si>
  <si>
    <t>#    bit14 = Chinese</t>
  </si>
  <si>
    <t># APS auto-zero</t>
  </si>
  <si>
    <t>aps_auto_zero_enable=1,8866f149</t>
  </si>
  <si>
    <t>allow_summary_during_rinseback=1,74195d45</t>
  </si>
  <si>
    <t># ftp client</t>
  </si>
  <si>
    <t>ftp_client=0,7a5dfc6e</t>
  </si>
  <si>
    <t># RBC storage solution validated volumes</t>
  </si>
  <si>
    <t>min_validated_ras_vol=70,4f86c7a6</t>
  </si>
  <si>
    <t>max_validated_ras_vol=130,836574f</t>
  </si>
  <si>
    <t>key_drbc_threshold=300</t>
  </si>
  <si>
    <t>key_rbc_def_bag_vol=100.0</t>
  </si>
  <si>
    <t>key_male_only_plt=2</t>
  </si>
  <si>
    <t>key_male_only_plasma=2</t>
  </si>
  <si>
    <t>key_rbc_mss_1=0</t>
  </si>
  <si>
    <t>key_rbc_ptf_1=0</t>
  </si>
  <si>
    <t>key_rbc_mss_2=0</t>
  </si>
  <si>
    <t>key_rbc_ptf_2=0</t>
  </si>
  <si>
    <t>key_rbc_mss_3=0</t>
  </si>
  <si>
    <t>key_rbc_ptf_3=0</t>
  </si>
  <si>
    <t>No</t>
  </si>
  <si>
    <t>vplasma_purge_cycle2_high=0.8</t>
  </si>
  <si>
    <t>vin_clear_channel_high=4.5</t>
  </si>
  <si>
    <t>purge_time_std=4.0</t>
  </si>
  <si>
    <t>purge_time_ppc=4.0</t>
  </si>
  <si>
    <t>pir_delta_procedure_time_trigger=8.0</t>
  </si>
  <si>
    <t>pir_percent_offload=0.4</t>
  </si>
  <si>
    <t>num_iterations_qcmr_hold_std=3</t>
  </si>
  <si>
    <t>num_iterations_qcmr_hold_ppc=5</t>
  </si>
  <si>
    <t>Vin Purge</t>
  </si>
  <si>
    <t>bmi</t>
  </si>
  <si>
    <t>TBV/Wt Noise</t>
  </si>
  <si>
    <t>TBV/Wt Constant (ml/lb)</t>
  </si>
  <si>
    <t>Round this column?</t>
  </si>
  <si>
    <t>qn_coeff_third_order=-0.0004</t>
  </si>
  <si>
    <t>qn_coeff_second_order=0.0108</t>
  </si>
  <si>
    <t>qn_coeff_first_order=-0.2342</t>
  </si>
  <si>
    <t>qn_const=258.17</t>
  </si>
  <si>
    <t>ptf_cps_test_change=0.0</t>
  </si>
  <si>
    <t>BAD_POSTHCT</t>
  </si>
  <si>
    <t>BAD_POSTCOUNT</t>
  </si>
  <si>
    <t>BAD_HCT_WITH_PLASMA</t>
  </si>
  <si>
    <t>YIELD_NOT_ACHIEVED</t>
  </si>
  <si>
    <t>PLASMA_NOT_ACHIEVED</t>
  </si>
  <si>
    <t>RBC_NOT_ACHIEVED</t>
  </si>
  <si>
    <t>HYPOVOLEMIA_EXCEEDED</t>
  </si>
  <si>
    <t>BAD_POSTHCT_TYPE2</t>
  </si>
  <si>
    <t>BAD_POSTCOUNT_TYPE2</t>
  </si>
  <si>
    <t>INTERNAL_ERROR</t>
  </si>
  <si>
    <t>INVALID_PRODUCT_COMBINATION</t>
  </si>
  <si>
    <t>PRODUCT_ACHIEVED</t>
  </si>
  <si>
    <t>TIME_EXCEEDED</t>
  </si>
  <si>
    <t>RBC_VBP_EXCEEDED</t>
  </si>
  <si>
    <t>BLOOD_TYPE_MISMATCH</t>
  </si>
  <si>
    <t>CASSETTE_TYPE_MISMATCH</t>
  </si>
  <si>
    <t>VBP_EXCEEDED</t>
  </si>
  <si>
    <t>REMAINING_TIME_TOO_SHORT</t>
  </si>
  <si>
    <t>DUPLICATE_PRODUCT</t>
  </si>
  <si>
    <t>QIN_BELOW_MINIMUM_SPEC</t>
  </si>
  <si>
    <t>QRP_BELOW_MINIMUM_SPEC</t>
  </si>
  <si>
    <t>INCORRECT_DESIGNATOR</t>
  </si>
  <si>
    <t>DONOR_INFO_OUT_OF_RANGE</t>
  </si>
  <si>
    <t>UNOPTIMIZED</t>
  </si>
  <si>
    <t>VIN_MAX_EXCEEDED</t>
  </si>
  <si>
    <t>VIN_MIN_NOT_MET</t>
  </si>
  <si>
    <t>CPS_PRESSURE_PRECLUDES_RBCS</t>
  </si>
  <si>
    <t>TRALI_CRITERIA_NOT_MET</t>
  </si>
  <si>
    <t>RBC_BAG_VOLUME_VIOLATION</t>
  </si>
  <si>
    <t>DRBC_VOL_LIMIT_VIOLATION</t>
  </si>
  <si>
    <t>PRODUCT_METERING_STATUS_LOCKED</t>
  </si>
  <si>
    <t>file_version=6.1.3</t>
  </si>
  <si>
    <t>allow_ftp_with_cassette_down=1,291c3b65</t>
  </si>
  <si>
    <t xml:space="preserve"># If on, PIRs all the time. Ydch-max and other PIR limits from cobe config </t>
  </si>
  <si>
    <t># still apply</t>
  </si>
  <si>
    <t>always_recover_platelet_inventory=0,4125a426</t>
  </si>
  <si>
    <t xml:space="preserve">first_return_nocollect_qn_cap = 60.0 </t>
  </si>
  <si>
    <t>pir_min_fraction_of_ytarg_loss=0.3</t>
  </si>
  <si>
    <t>pir_min_fraction_of_ytarg_loss_pir_always=0.03</t>
  </si>
  <si>
    <t>[SALINE_PRIME]</t>
  </si>
  <si>
    <t>saline_prime_speed=50.0</t>
  </si>
  <si>
    <t>saline_prime_volume=9.0</t>
  </si>
  <si>
    <t>saline_prime_vinPoint=195.0</t>
  </si>
  <si>
    <t>ptf_setup_return_max = 110.0</t>
  </si>
  <si>
    <t>qneedle_limit_min=50.0</t>
  </si>
  <si>
    <t>cent_speed_error_prime=20.0</t>
  </si>
  <si>
    <t># Maximum Vin allowed during RBC centrifuge recovery.</t>
  </si>
  <si>
    <t>cent_recovery_max_volume=200.0</t>
  </si>
  <si>
    <t>######################################</t>
  </si>
  <si>
    <t xml:space="preserve">#  Test spin the centrifuge at </t>
  </si>
  <si>
    <t xml:space="preserve">#        disptest_testspin_speed rmps </t>
  </si>
  <si>
    <t xml:space="preserve">#        for </t>
  </si>
  <si>
    <t xml:space="preserve">#        disptest_testspin_time seconds </t>
  </si>
  <si>
    <t>mss_plt_mss_min_prime_vol   = 10</t>
  </si>
  <si>
    <t>Static Config?</t>
  </si>
  <si>
    <t>#  Control side first cycle volumes for safety mimic</t>
  </si>
  <si>
    <t>hypovolemia_fcv_white = 185.0</t>
  </si>
  <si>
    <t>hypovolemia_fcv_black = 167.0</t>
  </si>
  <si>
    <t>purge_deadband=225.0</t>
  </si>
  <si>
    <t>saline_prime_vinPoint=205.0</t>
  </si>
  <si>
    <t>add donor sex to list?</t>
  </si>
  <si>
    <t>F</t>
  </si>
  <si>
    <t>Copyright © 2010 CaridianBCT, Inc.</t>
  </si>
  <si>
    <t>GENERAL OVERRIDES</t>
  </si>
  <si>
    <t># check this diff in draw to short and return too short volumes to see if we need to flag for WBCs IT 9161</t>
  </si>
  <si>
    <t>draw_return_delta_for_wbc_flag = 2.5</t>
  </si>
  <si>
    <t>min_vin_collect_start=300</t>
  </si>
  <si>
    <t>disptest_testspin_speed=1000.0</t>
  </si>
  <si>
    <t>disptest_testspin_time=60.0</t>
  </si>
  <si>
    <t>#yield_vin_constant=-0.67</t>
  </si>
  <si>
    <t>#platelet_efficiency_multiplier=0.98</t>
  </si>
  <si>
    <t>yield_efficiency_constant=1.462</t>
  </si>
  <si>
    <t>yield_qin_constant=-0.0038</t>
  </si>
  <si>
    <t>yield_postplt_constant=-0.0018</t>
  </si>
  <si>
    <t>yield_startup_volume=100</t>
  </si>
  <si>
    <t>kg</t>
  </si>
  <si>
    <t>Add-in Version Control</t>
  </si>
  <si>
    <t>Filename</t>
  </si>
  <si>
    <t>Local</t>
  </si>
  <si>
    <t>ExcelPredict.5.1.xll</t>
  </si>
  <si>
    <t>ExcelPredict.6.0.xll</t>
  </si>
  <si>
    <t>ExcelPredict.5.2.xll</t>
  </si>
  <si>
    <t>ExcelPredict.6.1.xll</t>
  </si>
  <si>
    <t>Override?</t>
  </si>
  <si>
    <t>N</t>
  </si>
  <si>
    <t>Wt, kg</t>
  </si>
  <si>
    <t>Vol, mL</t>
  </si>
  <si>
    <t>*Active in v5.1 and v6.1 only</t>
  </si>
  <si>
    <t>weight-1 (low)</t>
  </si>
  <si>
    <t>weight-3 (high)</t>
  </si>
  <si>
    <t xml:space="preserve">volume limit </t>
  </si>
  <si>
    <t>weight-2 (middle)</t>
  </si>
  <si>
    <t xml:space="preserve">    Japanese-Specific Fixed Volume Limits</t>
  </si>
  <si>
    <t>&lt;-zero priorities to not collect</t>
  </si>
  <si>
    <t>Instructions For Use</t>
  </si>
  <si>
    <t>FIRST TIME USE</t>
  </si>
  <si>
    <t>1) Close all Excel Windows.</t>
  </si>
  <si>
    <t>3) Make sure you are connected to the BCT network.</t>
  </si>
  <si>
    <t>2) Copy tool from network to your local machine.  If using 'save-as', close tool once save-as is complete.</t>
  </si>
  <si>
    <t>4) Open tool.  This will install the necessary Trima addins for the prediction code.  Proceed to IFU.</t>
  </si>
  <si>
    <t>You will be notified if a new version of the tool is available.  You MUST be connected to the network when you open the tool in order to check for updates.  The update will NOT automatically download, you must get it yourself.</t>
  </si>
  <si>
    <t>Add-ins</t>
  </si>
  <si>
    <t>Updates</t>
  </si>
  <si>
    <t>Custom</t>
  </si>
  <si>
    <t>ABO Blood Type Statistics- With CUSTOM ENTRY</t>
  </si>
  <si>
    <t>5) Select an area or CUSTOM for the ABO distribution.</t>
  </si>
  <si>
    <t>6) Performance will be better (faster) if other Excel windows are closed and CPU perf. is set to max.</t>
  </si>
  <si>
    <t>Trima version specific add-ins are installed on your computer the first time you open this tool.  You must have BCT network Aurora access to the Excel Tool Chest in order to copy the files to your harddrive.  This is also done when upgrades are available.  They should be located on your machine at 'C:\Documents and Settings\&lt;user&gt;\Application Data\Microsoft\AddIns'.  These files should be listed under Excel Options&gt;Add-Ins&gt;Active Application Add-ins, if not add/activate manually.</t>
  </si>
  <si>
    <t>SLOW</t>
  </si>
  <si>
    <t>ACCEL VERSION 6.3</t>
  </si>
  <si>
    <t>2012.10.9</t>
  </si>
  <si>
    <t>ExcelPredict.6.3.xll</t>
  </si>
  <si>
    <t>Y</t>
  </si>
  <si>
    <t>key_max_plasma_plt_setting=1</t>
  </si>
  <si>
    <t>key_max_plasma_pls_setting=1</t>
  </si>
  <si>
    <t>key_max_plasma_plt=400</t>
  </si>
  <si>
    <t>key_max_plasma_pls=600</t>
  </si>
  <si>
    <t>key_plasma_ratio=13</t>
  </si>
  <si>
    <t>key_plt_mss_split_notif=1</t>
  </si>
  <si>
    <t>key_air_removal=0</t>
  </si>
  <si>
    <t>key_mss_rbc_on=0</t>
  </si>
  <si>
    <t>key_plt_def_bag_vol=500</t>
  </si>
  <si>
    <t>key_rbc_def_bag_vol=200</t>
  </si>
  <si>
    <t>key_complementary_plasma=0</t>
  </si>
  <si>
    <t>key_ffp_volume=470</t>
  </si>
  <si>
    <t>key_plt_amap_single_yield_min=3.2</t>
  </si>
  <si>
    <t>key_plt_amap_single_yield_max=4.0</t>
  </si>
  <si>
    <t>key_plt_amap_double_yield_min=6.3</t>
  </si>
  <si>
    <t>key_plt_amap_double_yield_max=8.0</t>
  </si>
  <si>
    <t>key_plt_amap_triple_yield_min=9.5</t>
  </si>
  <si>
    <t>key_plt_amap_triple_yield_max=11.8</t>
  </si>
  <si>
    <t>key_plt_amap_single_conc=1400</t>
  </si>
  <si>
    <t>key_plt_amap_double_conc=1400</t>
  </si>
  <si>
    <t>key_plt_amap_triple_conc=1400</t>
  </si>
  <si>
    <t>#      key_platelet_amap_  : 0=none; 1=single, 2=double, 3=triple</t>
  </si>
  <si>
    <t>#                        10=A-/A+&amp;&amp; data.run_complete )  // only check at the end of the run... it is always short before that  /B-/B+/AB-/AB+, 11=B-/B+, 12=AB-/AB+</t>
  </si>
  <si>
    <t>key_platelet_amap_a=0</t>
  </si>
  <si>
    <t>key_platelet_amap_b=0</t>
  </si>
  <si>
    <t>key_platelet_amap_c=0</t>
  </si>
  <si>
    <t>key_platelet_amap_d=0</t>
  </si>
  <si>
    <t>key_platelet_amap_e=0</t>
  </si>
  <si>
    <t>key_platelet_amap_f=0</t>
  </si>
  <si>
    <t>key_platelet_amap_g=0</t>
  </si>
  <si>
    <t>key_platelet_amap_h=0</t>
  </si>
  <si>
    <t>key_platelet_amap_i=0</t>
  </si>
  <si>
    <t>key_platelet_amap_j=0</t>
  </si>
  <si>
    <t>key_platelet_amap_k=0</t>
  </si>
  <si>
    <t>key_platelet_amap_l=0</t>
  </si>
  <si>
    <t>key_platelet_amap_m=0</t>
  </si>
  <si>
    <t>key_platelet_amap_n=0</t>
  </si>
  <si>
    <t>key_platelet_amap_o=0</t>
  </si>
  <si>
    <t>key_platelet_amap_p=0</t>
  </si>
  <si>
    <t>key_platelet_amap_q=0</t>
  </si>
  <si>
    <t>key_platelet_amap_r=0</t>
  </si>
  <si>
    <t>key_platelet_amap_s=0</t>
  </si>
  <si>
    <t>key_platelet_amap_t=0</t>
  </si>
  <si>
    <t>##################   VERSION NUMBER  #################################</t>
  </si>
  <si>
    <t># Japan Default:</t>
  </si>
  <si>
    <t>file_version=11.0.0.0</t>
  </si>
  <si>
    <t>#######################################################################</t>
  </si>
  <si>
    <t># Asia enabled features</t>
  </si>
  <si>
    <t>alternate_next_procedure_button=1,5ffaa8bf</t>
  </si>
  <si>
    <t>display_average_inlet_flow=1,8e442a46</t>
  </si>
  <si>
    <t>select_screen_display_platelet_volume=1,128d59da</t>
  </si>
  <si>
    <t># Japan Only features</t>
  </si>
  <si>
    <t>alternate_gui=1,b2a6c2c1</t>
  </si>
  <si>
    <t>allow_adjust_flow_rates_on_procedure_select=1,cac10c00</t>
  </si>
  <si>
    <t>allow_extra_wbc_messages=1,4401a2dc</t>
  </si>
  <si>
    <t>confirm_ac_connection=1,74c9a011</t>
  </si>
  <si>
    <t>dont_connect_ac_msg_at_set_load=1,615ed81e</t>
  </si>
  <si>
    <t>jp_sample_bag_configuration=1,1a628a62</t>
  </si>
  <si>
    <t>special_black_stamp_needle=000000000100000,e07ac16</t>
  </si>
  <si>
    <t># Country specific options</t>
  </si>
  <si>
    <t>display_residual_volumes=0,9b9f41d6</t>
  </si>
  <si>
    <t># Features Under Evaluation</t>
  </si>
  <si>
    <t>second_stage_uls_filtering=1,d3ceea41</t>
  </si>
  <si>
    <t># PLO Monitoring</t>
  </si>
  <si>
    <t>plo_flag=1,e713af2d</t>
  </si>
  <si>
    <t xml:space="preserve">plopca_flag=1,79a04d3d  </t>
  </si>
  <si>
    <t># Enable Air To Donor Mitigation</t>
  </si>
  <si>
    <t>airout_mitigation=0,4022dede</t>
  </si>
  <si>
    <t># AMAP PLATELETS</t>
  </si>
  <si>
    <t>amap_platelets_available=0,bc8f020c</t>
  </si>
  <si>
    <t># COMPLEMENTARY PLASMA</t>
  </si>
  <si>
    <t>complementary_plasma_available=0,cb143c23</t>
  </si>
  <si>
    <t># R&amp;D only options.  Should always be set to 0 in the field.</t>
  </si>
  <si>
    <t># Stack Monitor (QA only)</t>
  </si>
  <si>
    <t>enable_sumo=0,1b44c5de</t>
  </si>
  <si>
    <t>cfr11_pin_logging=0,29ea10a7</t>
  </si>
  <si>
    <t># special donor pressure recovery check IT 11181</t>
  </si>
  <si>
    <t>aps_alarm_detect_pos_pressure=0,bb2b7b08</t>
  </si>
  <si>
    <t># Turn this on for internal debugging or QA</t>
  </si>
  <si>
    <t>#pump_stroke_volume_logging=1,b6dd711a</t>
  </si>
  <si>
    <t>pump_stroke_volume_logging=0,c1da418c</t>
  </si>
  <si>
    <t>Multi-Donor Inputs are current.</t>
  </si>
  <si>
    <t>CM</t>
  </si>
  <si>
    <t>KG</t>
  </si>
  <si>
    <t>Statistical</t>
  </si>
  <si>
    <t>Single-Donor Inputs have changed.</t>
  </si>
</sst>
</file>

<file path=xl/styles.xml><?xml version="1.0" encoding="utf-8"?>
<styleSheet xmlns="http://schemas.openxmlformats.org/spreadsheetml/2006/main">
  <numFmts count="5">
    <numFmt numFmtId="164" formatCode="0.0"/>
    <numFmt numFmtId="165" formatCode="0.0%"/>
    <numFmt numFmtId="166" formatCode="mmmm\ d\,\ yyyy"/>
    <numFmt numFmtId="167" formatCode="0.000"/>
    <numFmt numFmtId="168" formatCode="m/d/yy"/>
  </numFmts>
  <fonts count="53">
    <font>
      <sz val="11"/>
      <color theme="1"/>
      <name val="Calibri"/>
      <family val="2"/>
      <scheme val="minor"/>
    </font>
    <font>
      <sz val="10"/>
      <color theme="1"/>
      <name val="Arial"/>
      <family val="2"/>
    </font>
    <font>
      <b/>
      <sz val="12"/>
      <name val="Arial"/>
      <family val="2"/>
    </font>
    <font>
      <b/>
      <sz val="10"/>
      <name val="Arial"/>
      <family val="2"/>
    </font>
    <font>
      <b/>
      <sz val="10"/>
      <name val="Arial"/>
      <family val="2"/>
    </font>
    <font>
      <sz val="11"/>
      <color theme="1"/>
      <name val="Calibri"/>
      <family val="2"/>
      <scheme val="minor"/>
    </font>
    <font>
      <sz val="8"/>
      <color theme="1"/>
      <name val="Arial"/>
      <family val="2"/>
    </font>
    <font>
      <sz val="10"/>
      <name val="Arial"/>
      <family val="2"/>
    </font>
    <font>
      <b/>
      <sz val="14"/>
      <name val="Arial"/>
      <family val="2"/>
    </font>
    <font>
      <b/>
      <sz val="10"/>
      <color indexed="12"/>
      <name val="Arial"/>
      <family val="2"/>
    </font>
    <font>
      <b/>
      <sz val="10"/>
      <color indexed="81"/>
      <name val="Tahoma"/>
      <family val="2"/>
    </font>
    <font>
      <b/>
      <sz val="10"/>
      <color theme="1"/>
      <name val="Arial"/>
      <family val="2"/>
    </font>
    <font>
      <b/>
      <sz val="10"/>
      <color indexed="8"/>
      <name val="Arial"/>
      <family val="2"/>
    </font>
    <font>
      <sz val="10"/>
      <color theme="1"/>
      <name val="Arial"/>
      <family val="2"/>
    </font>
    <font>
      <b/>
      <sz val="10"/>
      <color indexed="81"/>
      <name val="Arial"/>
      <family val="2"/>
    </font>
    <font>
      <b/>
      <sz val="28"/>
      <name val="Arial"/>
      <family val="2"/>
    </font>
    <font>
      <b/>
      <sz val="16"/>
      <name val="Arial"/>
      <family val="2"/>
    </font>
    <font>
      <b/>
      <sz val="18"/>
      <color indexed="10"/>
      <name val="Arial"/>
      <family val="2"/>
    </font>
    <font>
      <b/>
      <sz val="11"/>
      <name val="Arial"/>
      <family val="2"/>
    </font>
    <font>
      <b/>
      <u/>
      <sz val="11"/>
      <name val="Arial"/>
      <family val="2"/>
    </font>
    <font>
      <b/>
      <sz val="11"/>
      <color indexed="12"/>
      <name val="Arial"/>
      <family val="2"/>
    </font>
    <font>
      <b/>
      <sz val="22"/>
      <name val="Arial"/>
      <family val="2"/>
    </font>
    <font>
      <b/>
      <sz val="18"/>
      <name val="Arial"/>
      <family val="2"/>
    </font>
    <font>
      <b/>
      <vertAlign val="superscript"/>
      <sz val="10"/>
      <name val="Arial"/>
      <family val="2"/>
    </font>
    <font>
      <sz val="11"/>
      <name val="Arial"/>
      <family val="2"/>
    </font>
    <font>
      <b/>
      <sz val="12"/>
      <color theme="1"/>
      <name val="Arial"/>
      <family val="2"/>
    </font>
    <font>
      <b/>
      <sz val="18"/>
      <color rgb="FF000000"/>
      <name val="Calibri"/>
      <family val="2"/>
      <scheme val="minor"/>
    </font>
    <font>
      <sz val="11"/>
      <color theme="1"/>
      <name val="Arial"/>
      <family val="2"/>
    </font>
    <font>
      <b/>
      <sz val="12"/>
      <color indexed="12"/>
      <name val="Arial"/>
      <family val="2"/>
    </font>
    <font>
      <b/>
      <sz val="11"/>
      <color theme="1"/>
      <name val="Arial"/>
      <family val="2"/>
    </font>
    <font>
      <b/>
      <sz val="12"/>
      <color theme="1"/>
      <name val="Calibri"/>
      <family val="2"/>
      <scheme val="minor"/>
    </font>
    <font>
      <sz val="12"/>
      <name val="Arial"/>
      <family val="2"/>
    </font>
    <font>
      <b/>
      <sz val="14"/>
      <color rgb="FF000000"/>
      <name val="Calibri"/>
      <family val="2"/>
      <scheme val="minor"/>
    </font>
    <font>
      <b/>
      <sz val="14"/>
      <color indexed="10"/>
      <name val="Arial"/>
      <family val="2"/>
    </font>
    <font>
      <b/>
      <sz val="10"/>
      <color indexed="10"/>
      <name val="Arial"/>
      <family val="2"/>
    </font>
    <font>
      <b/>
      <sz val="16"/>
      <color indexed="10"/>
      <name val="Arial"/>
      <family val="2"/>
    </font>
    <font>
      <b/>
      <i/>
      <sz val="16"/>
      <color indexed="10"/>
      <name val="Arial"/>
      <family val="2"/>
    </font>
    <font>
      <b/>
      <i/>
      <sz val="12"/>
      <color indexed="10"/>
      <name val="Arial"/>
      <family val="2"/>
    </font>
    <font>
      <sz val="22"/>
      <name val="Arial"/>
      <family val="2"/>
    </font>
    <font>
      <b/>
      <i/>
      <sz val="14"/>
      <color indexed="10"/>
      <name val="Arial"/>
      <family val="2"/>
    </font>
    <font>
      <b/>
      <i/>
      <sz val="18"/>
      <color indexed="10"/>
      <name val="Arial"/>
      <family val="2"/>
    </font>
    <font>
      <sz val="12"/>
      <color theme="1"/>
      <name val="Arial"/>
      <family val="2"/>
    </font>
    <font>
      <b/>
      <sz val="14"/>
      <color theme="1"/>
      <name val="Arial"/>
      <family val="2"/>
    </font>
    <font>
      <sz val="24"/>
      <name val="Arial"/>
      <family val="2"/>
    </font>
    <font>
      <b/>
      <i/>
      <sz val="11"/>
      <color indexed="10"/>
      <name val="Arial"/>
      <family val="2"/>
    </font>
    <font>
      <b/>
      <sz val="8"/>
      <color indexed="81"/>
      <name val="Tahoma"/>
      <family val="2"/>
    </font>
    <font>
      <sz val="8"/>
      <color indexed="81"/>
      <name val="Tahoma"/>
      <family val="2"/>
    </font>
    <font>
      <b/>
      <u/>
      <sz val="10"/>
      <color theme="1"/>
      <name val="Arial"/>
      <family val="2"/>
    </font>
    <font>
      <sz val="10"/>
      <color theme="0"/>
      <name val="Arial"/>
      <family val="2"/>
    </font>
    <font>
      <b/>
      <u/>
      <sz val="14"/>
      <color theme="1"/>
      <name val="Arial"/>
      <family val="2"/>
    </font>
    <font>
      <sz val="11"/>
      <color theme="0"/>
      <name val="Calibri"/>
      <family val="2"/>
      <scheme val="minor"/>
    </font>
    <font>
      <b/>
      <u/>
      <sz val="11"/>
      <color rgb="FFFF0000"/>
      <name val="Arial"/>
      <family val="2"/>
    </font>
    <font>
      <i/>
      <sz val="11"/>
      <color theme="1"/>
      <name val="Calibri"/>
      <family val="2"/>
      <scheme val="minor"/>
    </font>
  </fonts>
  <fills count="27">
    <fill>
      <patternFill patternType="none"/>
    </fill>
    <fill>
      <patternFill patternType="gray125"/>
    </fill>
    <fill>
      <patternFill patternType="solid">
        <fgColor indexed="40"/>
        <bgColor indexed="64"/>
      </patternFill>
    </fill>
    <fill>
      <patternFill patternType="solid">
        <fgColor indexed="15"/>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rgb="FFCCFFFF"/>
        <bgColor indexed="64"/>
      </patternFill>
    </fill>
    <fill>
      <patternFill patternType="solid">
        <fgColor rgb="FF00B0F0"/>
        <bgColor indexed="64"/>
      </patternFill>
    </fill>
    <fill>
      <patternFill patternType="solid">
        <fgColor rgb="FFFFFF00"/>
        <bgColor indexed="64"/>
      </patternFill>
    </fill>
    <fill>
      <patternFill patternType="solid">
        <fgColor rgb="FFFFFFCC"/>
        <bgColor indexed="64"/>
      </patternFill>
    </fill>
    <fill>
      <patternFill patternType="solid">
        <fgColor rgb="FF33CCCC"/>
        <bgColor indexed="64"/>
      </patternFill>
    </fill>
    <fill>
      <patternFill patternType="solid">
        <fgColor rgb="FF82E6D5"/>
        <bgColor indexed="64"/>
      </patternFill>
    </fill>
    <fill>
      <patternFill patternType="solid">
        <fgColor rgb="FFCCFFCC"/>
        <bgColor indexed="64"/>
      </patternFill>
    </fill>
    <fill>
      <patternFill patternType="solid">
        <fgColor rgb="FFCCECFF"/>
        <bgColor indexed="64"/>
      </patternFill>
    </fill>
    <fill>
      <patternFill patternType="solid">
        <fgColor rgb="FFCCCCFF"/>
        <bgColor indexed="64"/>
      </patternFill>
    </fill>
    <fill>
      <patternFill patternType="solid">
        <fgColor rgb="FF00FFFF"/>
        <bgColor indexed="64"/>
      </patternFill>
    </fill>
    <fill>
      <patternFill patternType="solid">
        <fgColor rgb="FF00FF00"/>
        <bgColor indexed="64"/>
      </patternFill>
    </fill>
    <fill>
      <patternFill patternType="solid">
        <fgColor rgb="FFFFCCFF"/>
        <bgColor indexed="64"/>
      </patternFill>
    </fill>
    <fill>
      <patternFill patternType="solid">
        <fgColor rgb="FF33CCFF"/>
        <bgColor indexed="64"/>
      </patternFill>
    </fill>
    <fill>
      <patternFill patternType="solid">
        <fgColor rgb="FFFF0000"/>
        <bgColor indexed="64"/>
      </patternFill>
    </fill>
    <fill>
      <patternFill patternType="solid">
        <fgColor rgb="FF99FFCC"/>
        <bgColor indexed="64"/>
      </patternFill>
    </fill>
    <fill>
      <patternFill patternType="solid">
        <fgColor indexed="26"/>
        <bgColor indexed="64"/>
      </patternFill>
    </fill>
    <fill>
      <patternFill patternType="solid">
        <fgColor indexed="9"/>
        <bgColor indexed="64"/>
      </patternFill>
    </fill>
    <fill>
      <patternFill patternType="darkUp">
        <bgColor indexed="9"/>
      </patternFill>
    </fill>
    <fill>
      <patternFill patternType="solid">
        <fgColor theme="0" tint="-0.14999847407452621"/>
        <bgColor indexed="64"/>
      </patternFill>
    </fill>
    <fill>
      <patternFill patternType="solid">
        <fgColor theme="0"/>
        <bgColor indexed="64"/>
      </patternFill>
    </fill>
  </fills>
  <borders count="8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thin">
        <color indexed="64"/>
      </right>
      <top style="thin">
        <color indexed="64"/>
      </top>
      <bottom/>
      <diagonal/>
    </border>
    <border>
      <left style="medium">
        <color indexed="64"/>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top/>
      <bottom/>
      <diagonal/>
    </border>
    <border>
      <left/>
      <right style="medium">
        <color indexed="64"/>
      </right>
      <top/>
      <bottom/>
      <diagonal/>
    </border>
    <border>
      <left/>
      <right style="thin">
        <color indexed="64"/>
      </right>
      <top/>
      <bottom/>
      <diagonal/>
    </border>
    <border>
      <left style="medium">
        <color indexed="64"/>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style="medium">
        <color indexed="64"/>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medium">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bottom style="medium">
        <color indexed="64"/>
      </bottom>
      <diagonal/>
    </border>
  </borders>
  <cellStyleXfs count="3">
    <xf numFmtId="0" fontId="0" fillId="0" borderId="0"/>
    <xf numFmtId="9" fontId="5" fillId="0" borderId="0" applyFont="0" applyFill="0" applyBorder="0" applyAlignment="0" applyProtection="0"/>
    <xf numFmtId="0" fontId="7" fillId="0" borderId="0"/>
  </cellStyleXfs>
  <cellXfs count="1670">
    <xf numFmtId="0" fontId="0" fillId="0" borderId="0" xfId="0"/>
    <xf numFmtId="0" fontId="0" fillId="0" borderId="0" xfId="0" applyProtection="1">
      <protection hidden="1"/>
    </xf>
    <xf numFmtId="1" fontId="0" fillId="0" borderId="0" xfId="0" applyNumberFormat="1" applyProtection="1">
      <protection hidden="1"/>
    </xf>
    <xf numFmtId="2" fontId="0" fillId="0" borderId="0" xfId="0" applyNumberFormat="1" applyProtection="1">
      <protection hidden="1"/>
    </xf>
    <xf numFmtId="1" fontId="3" fillId="3" borderId="4" xfId="0" applyNumberFormat="1" applyFont="1" applyFill="1" applyBorder="1" applyAlignment="1" applyProtection="1">
      <alignment horizontal="center"/>
      <protection hidden="1"/>
    </xf>
    <xf numFmtId="1" fontId="3" fillId="3" borderId="5" xfId="0" applyNumberFormat="1" applyFont="1" applyFill="1" applyBorder="1" applyAlignment="1" applyProtection="1">
      <protection hidden="1"/>
    </xf>
    <xf numFmtId="1" fontId="3" fillId="4" borderId="6" xfId="0" applyNumberFormat="1" applyFont="1" applyFill="1" applyBorder="1" applyAlignment="1" applyProtection="1">
      <alignment horizontal="center"/>
      <protection hidden="1"/>
    </xf>
    <xf numFmtId="1" fontId="3" fillId="4" borderId="7" xfId="0" applyNumberFormat="1" applyFont="1" applyFill="1" applyBorder="1" applyAlignment="1" applyProtection="1">
      <alignment horizontal="center"/>
      <protection hidden="1"/>
    </xf>
    <xf numFmtId="1" fontId="3" fillId="4" borderId="11" xfId="0" applyNumberFormat="1" applyFont="1" applyFill="1" applyBorder="1" applyAlignment="1" applyProtection="1">
      <alignment horizontal="center"/>
      <protection hidden="1"/>
    </xf>
    <xf numFmtId="1" fontId="3" fillId="4" borderId="12" xfId="0" applyNumberFormat="1" applyFont="1" applyFill="1" applyBorder="1" applyAlignment="1" applyProtection="1">
      <alignment horizontal="center"/>
      <protection hidden="1"/>
    </xf>
    <xf numFmtId="2" fontId="3" fillId="4" borderId="6" xfId="0" applyNumberFormat="1" applyFont="1" applyFill="1" applyBorder="1" applyAlignment="1" applyProtection="1">
      <alignment horizontal="center"/>
      <protection hidden="1"/>
    </xf>
    <xf numFmtId="1" fontId="3" fillId="4" borderId="13" xfId="0" applyNumberFormat="1" applyFont="1" applyFill="1" applyBorder="1" applyAlignment="1" applyProtection="1">
      <alignment horizontal="center"/>
      <protection hidden="1"/>
    </xf>
    <xf numFmtId="1" fontId="3" fillId="4" borderId="15" xfId="0" applyNumberFormat="1" applyFont="1" applyFill="1" applyBorder="1" applyAlignment="1" applyProtection="1">
      <alignment horizontal="center"/>
      <protection hidden="1"/>
    </xf>
    <xf numFmtId="2" fontId="3" fillId="4" borderId="10" xfId="0" applyNumberFormat="1" applyFont="1" applyFill="1" applyBorder="1" applyAlignment="1" applyProtection="1">
      <alignment horizontal="center"/>
      <protection hidden="1"/>
    </xf>
    <xf numFmtId="1" fontId="3" fillId="3" borderId="16" xfId="0" applyNumberFormat="1" applyFont="1" applyFill="1" applyBorder="1" applyAlignment="1" applyProtection="1">
      <alignment horizontal="center"/>
      <protection hidden="1"/>
    </xf>
    <xf numFmtId="1" fontId="3" fillId="3" borderId="17" xfId="0" applyNumberFormat="1" applyFont="1" applyFill="1" applyBorder="1" applyAlignment="1" applyProtection="1">
      <protection hidden="1"/>
    </xf>
    <xf numFmtId="1" fontId="3" fillId="4" borderId="18" xfId="0" applyNumberFormat="1" applyFont="1" applyFill="1" applyBorder="1" applyAlignment="1" applyProtection="1">
      <alignment horizontal="center"/>
      <protection hidden="1"/>
    </xf>
    <xf numFmtId="1" fontId="3" fillId="4" borderId="19" xfId="0" applyNumberFormat="1" applyFont="1" applyFill="1" applyBorder="1" applyAlignment="1" applyProtection="1">
      <alignment horizontal="center"/>
      <protection hidden="1"/>
    </xf>
    <xf numFmtId="1" fontId="3" fillId="4" borderId="20" xfId="0" applyNumberFormat="1" applyFont="1" applyFill="1" applyBorder="1" applyAlignment="1" applyProtection="1">
      <alignment horizontal="center"/>
      <protection hidden="1"/>
    </xf>
    <xf numFmtId="1" fontId="3" fillId="4" borderId="23" xfId="0" applyNumberFormat="1" applyFont="1" applyFill="1" applyBorder="1" applyAlignment="1" applyProtection="1">
      <alignment horizontal="center"/>
      <protection hidden="1"/>
    </xf>
    <xf numFmtId="2" fontId="3" fillId="4" borderId="18" xfId="0" applyNumberFormat="1" applyFont="1" applyFill="1" applyBorder="1" applyAlignment="1" applyProtection="1">
      <alignment horizontal="center"/>
      <protection hidden="1"/>
    </xf>
    <xf numFmtId="2" fontId="3" fillId="4" borderId="21" xfId="0" applyNumberFormat="1" applyFont="1" applyFill="1" applyBorder="1" applyAlignment="1" applyProtection="1">
      <alignment horizontal="center"/>
      <protection hidden="1"/>
    </xf>
    <xf numFmtId="1" fontId="3" fillId="4" borderId="25" xfId="0" applyNumberFormat="1" applyFont="1" applyFill="1" applyBorder="1" applyAlignment="1" applyProtection="1">
      <alignment horizontal="center"/>
      <protection hidden="1"/>
    </xf>
    <xf numFmtId="1" fontId="3" fillId="3" borderId="26" xfId="0" applyNumberFormat="1" applyFont="1" applyFill="1" applyBorder="1" applyAlignment="1" applyProtection="1">
      <protection hidden="1"/>
    </xf>
    <xf numFmtId="1" fontId="4" fillId="4" borderId="27" xfId="0" applyNumberFormat="1" applyFont="1" applyFill="1" applyBorder="1" applyAlignment="1" applyProtection="1">
      <alignment horizontal="center"/>
      <protection hidden="1"/>
    </xf>
    <xf numFmtId="1" fontId="3" fillId="3" borderId="1" xfId="0" applyNumberFormat="1" applyFont="1" applyFill="1" applyBorder="1" applyAlignment="1" applyProtection="1">
      <alignment horizontal="center"/>
      <protection hidden="1"/>
    </xf>
    <xf numFmtId="1" fontId="3" fillId="3" borderId="28" xfId="0" applyNumberFormat="1" applyFont="1" applyFill="1" applyBorder="1" applyAlignment="1" applyProtection="1">
      <protection hidden="1"/>
    </xf>
    <xf numFmtId="1" fontId="3" fillId="4" borderId="29" xfId="0" applyNumberFormat="1" applyFont="1" applyFill="1" applyBorder="1" applyAlignment="1" applyProtection="1">
      <alignment horizontal="center"/>
      <protection hidden="1"/>
    </xf>
    <xf numFmtId="1" fontId="3" fillId="4" borderId="31" xfId="0" applyNumberFormat="1" applyFont="1" applyFill="1" applyBorder="1" applyAlignment="1" applyProtection="1">
      <alignment horizontal="center"/>
      <protection hidden="1"/>
    </xf>
    <xf numFmtId="1" fontId="3" fillId="4" borderId="34" xfId="0" applyNumberFormat="1" applyFont="1" applyFill="1" applyBorder="1" applyAlignment="1" applyProtection="1">
      <alignment horizontal="center"/>
      <protection hidden="1"/>
    </xf>
    <xf numFmtId="164" fontId="3" fillId="4" borderId="29" xfId="0" applyNumberFormat="1" applyFont="1" applyFill="1" applyBorder="1" applyAlignment="1" applyProtection="1">
      <alignment horizontal="center"/>
      <protection hidden="1"/>
    </xf>
    <xf numFmtId="2" fontId="3" fillId="4" borderId="32" xfId="0" applyNumberFormat="1" applyFont="1" applyFill="1" applyBorder="1" applyAlignment="1" applyProtection="1">
      <alignment horizontal="center"/>
      <protection hidden="1"/>
    </xf>
    <xf numFmtId="1" fontId="4" fillId="3" borderId="38" xfId="0" applyNumberFormat="1" applyFont="1" applyFill="1" applyBorder="1" applyAlignment="1" applyProtection="1">
      <alignment horizontal="center" vertical="center"/>
      <protection hidden="1"/>
    </xf>
    <xf numFmtId="1" fontId="4" fillId="3" borderId="41" xfId="0" applyNumberFormat="1" applyFont="1" applyFill="1" applyBorder="1" applyAlignment="1" applyProtection="1">
      <alignment horizontal="center" vertical="center"/>
      <protection hidden="1"/>
    </xf>
    <xf numFmtId="2" fontId="4" fillId="3" borderId="38" xfId="0" applyNumberFormat="1" applyFont="1" applyFill="1" applyBorder="1" applyAlignment="1" applyProtection="1">
      <alignment horizontal="center" vertical="center"/>
      <protection hidden="1"/>
    </xf>
    <xf numFmtId="2" fontId="4" fillId="3" borderId="41" xfId="0" applyNumberFormat="1" applyFont="1" applyFill="1" applyBorder="1" applyAlignment="1" applyProtection="1">
      <alignment horizontal="center" vertical="center"/>
      <protection hidden="1"/>
    </xf>
    <xf numFmtId="0" fontId="4" fillId="3" borderId="38" xfId="0" applyFont="1" applyFill="1" applyBorder="1" applyAlignment="1" applyProtection="1">
      <alignment horizontal="center" vertical="center"/>
      <protection hidden="1"/>
    </xf>
    <xf numFmtId="0" fontId="4" fillId="3" borderId="40" xfId="0" applyFont="1" applyFill="1" applyBorder="1" applyAlignment="1" applyProtection="1">
      <alignment horizontal="center" vertical="center"/>
      <protection hidden="1"/>
    </xf>
    <xf numFmtId="0" fontId="4" fillId="3" borderId="41" xfId="0" applyFont="1" applyFill="1" applyBorder="1" applyAlignment="1" applyProtection="1">
      <alignment horizontal="center" vertical="center"/>
      <protection hidden="1"/>
    </xf>
    <xf numFmtId="1" fontId="3" fillId="4" borderId="0" xfId="0" applyNumberFormat="1" applyFont="1" applyFill="1" applyBorder="1" applyAlignment="1" applyProtection="1">
      <alignment horizontal="center"/>
      <protection hidden="1"/>
    </xf>
    <xf numFmtId="2" fontId="3" fillId="4" borderId="47" xfId="0" applyNumberFormat="1" applyFont="1" applyFill="1" applyBorder="1" applyAlignment="1" applyProtection="1">
      <alignment horizontal="center"/>
      <protection hidden="1"/>
    </xf>
    <xf numFmtId="2" fontId="3" fillId="4" borderId="48" xfId="0" applyNumberFormat="1" applyFont="1" applyFill="1" applyBorder="1" applyAlignment="1" applyProtection="1">
      <alignment horizontal="center"/>
      <protection hidden="1"/>
    </xf>
    <xf numFmtId="1" fontId="3" fillId="4" borderId="51" xfId="0" applyNumberFormat="1" applyFont="1" applyFill="1" applyBorder="1" applyAlignment="1" applyProtection="1">
      <alignment horizontal="center"/>
      <protection hidden="1"/>
    </xf>
    <xf numFmtId="1" fontId="3" fillId="4" borderId="52" xfId="0" applyNumberFormat="1" applyFont="1" applyFill="1" applyBorder="1" applyAlignment="1" applyProtection="1">
      <alignment horizontal="center"/>
      <protection hidden="1"/>
    </xf>
    <xf numFmtId="1" fontId="3" fillId="4" borderId="54" xfId="0" applyNumberFormat="1" applyFont="1" applyFill="1" applyBorder="1" applyAlignment="1" applyProtection="1">
      <alignment horizontal="center"/>
      <protection hidden="1"/>
    </xf>
    <xf numFmtId="1" fontId="4" fillId="0" borderId="56" xfId="0" applyNumberFormat="1" applyFont="1" applyFill="1" applyBorder="1" applyAlignment="1" applyProtection="1">
      <alignment horizontal="center" vertical="center"/>
      <protection hidden="1"/>
    </xf>
    <xf numFmtId="164" fontId="4" fillId="0" borderId="56" xfId="0" applyNumberFormat="1" applyFont="1" applyFill="1" applyBorder="1" applyAlignment="1" applyProtection="1">
      <alignment horizontal="center" vertical="center"/>
      <protection hidden="1"/>
    </xf>
    <xf numFmtId="1" fontId="4" fillId="0" borderId="57" xfId="0" applyNumberFormat="1" applyFont="1" applyFill="1" applyBorder="1" applyAlignment="1" applyProtection="1">
      <alignment horizontal="center" vertical="center"/>
      <protection hidden="1"/>
    </xf>
    <xf numFmtId="164" fontId="4" fillId="0" borderId="59" xfId="0" applyNumberFormat="1" applyFont="1" applyFill="1" applyBorder="1" applyAlignment="1" applyProtection="1">
      <alignment horizontal="center" vertical="center"/>
      <protection hidden="1"/>
    </xf>
    <xf numFmtId="0" fontId="6" fillId="0" borderId="0" xfId="0" applyFont="1" applyAlignment="1" applyProtection="1">
      <alignment horizontal="center"/>
      <protection hidden="1"/>
    </xf>
    <xf numFmtId="9" fontId="3" fillId="4" borderId="29" xfId="1" applyFont="1" applyFill="1" applyBorder="1" applyAlignment="1" applyProtection="1">
      <alignment horizontal="center"/>
      <protection hidden="1"/>
    </xf>
    <xf numFmtId="9" fontId="3" fillId="4" borderId="30" xfId="1" applyFont="1" applyFill="1" applyBorder="1" applyAlignment="1" applyProtection="1">
      <alignment horizontal="center"/>
      <protection hidden="1"/>
    </xf>
    <xf numFmtId="1" fontId="3" fillId="4" borderId="60" xfId="0" applyNumberFormat="1" applyFont="1" applyFill="1" applyBorder="1" applyAlignment="1" applyProtection="1">
      <alignment horizontal="center"/>
      <protection hidden="1"/>
    </xf>
    <xf numFmtId="2" fontId="4" fillId="0" borderId="59" xfId="0" applyNumberFormat="1" applyFont="1" applyFill="1" applyBorder="1" applyAlignment="1" applyProtection="1">
      <alignment horizontal="center" vertical="center"/>
      <protection hidden="1"/>
    </xf>
    <xf numFmtId="2" fontId="4" fillId="0" borderId="56" xfId="0" applyNumberFormat="1" applyFont="1" applyFill="1" applyBorder="1" applyAlignment="1" applyProtection="1">
      <alignment horizontal="center" vertical="center"/>
      <protection hidden="1"/>
    </xf>
    <xf numFmtId="0" fontId="3" fillId="3" borderId="40" xfId="0" applyFont="1" applyFill="1" applyBorder="1" applyAlignment="1" applyProtection="1">
      <alignment horizontal="center" vertical="center"/>
      <protection hidden="1"/>
    </xf>
    <xf numFmtId="0" fontId="3" fillId="3" borderId="38" xfId="0" applyFont="1" applyFill="1" applyBorder="1" applyAlignment="1" applyProtection="1">
      <alignment horizontal="center" vertical="center"/>
      <protection hidden="1"/>
    </xf>
    <xf numFmtId="0" fontId="3" fillId="3" borderId="39" xfId="0" applyFont="1" applyFill="1" applyBorder="1" applyAlignment="1" applyProtection="1">
      <alignment horizontal="center" vertical="center"/>
      <protection hidden="1"/>
    </xf>
    <xf numFmtId="0" fontId="3" fillId="3" borderId="41" xfId="0" applyFont="1" applyFill="1" applyBorder="1" applyAlignment="1" applyProtection="1">
      <alignment horizontal="center" vertical="center"/>
      <protection hidden="1"/>
    </xf>
    <xf numFmtId="0" fontId="3" fillId="3" borderId="3" xfId="0" applyFont="1" applyFill="1" applyBorder="1" applyAlignment="1" applyProtection="1">
      <alignment horizontal="center" vertical="center"/>
      <protection hidden="1"/>
    </xf>
    <xf numFmtId="1" fontId="3" fillId="4" borderId="46" xfId="0" applyNumberFormat="1" applyFont="1" applyFill="1" applyBorder="1" applyAlignment="1" applyProtection="1">
      <alignment horizontal="center"/>
      <protection hidden="1"/>
    </xf>
    <xf numFmtId="9" fontId="3" fillId="4" borderId="36" xfId="1" applyFont="1" applyFill="1" applyBorder="1" applyAlignment="1" applyProtection="1">
      <alignment horizontal="center"/>
      <protection hidden="1"/>
    </xf>
    <xf numFmtId="1" fontId="3" fillId="4" borderId="61" xfId="0" applyNumberFormat="1" applyFont="1" applyFill="1" applyBorder="1" applyAlignment="1" applyProtection="1">
      <alignment horizontal="center"/>
      <protection hidden="1"/>
    </xf>
    <xf numFmtId="1" fontId="3" fillId="4" borderId="21" xfId="0" applyNumberFormat="1" applyFont="1" applyFill="1" applyBorder="1" applyAlignment="1" applyProtection="1">
      <alignment horizontal="center"/>
      <protection hidden="1"/>
    </xf>
    <xf numFmtId="1" fontId="3" fillId="4" borderId="10" xfId="0" applyNumberFormat="1" applyFont="1" applyFill="1" applyBorder="1" applyAlignment="1" applyProtection="1">
      <alignment horizontal="center"/>
      <protection hidden="1"/>
    </xf>
    <xf numFmtId="9" fontId="3" fillId="4" borderId="32" xfId="1" applyFont="1" applyFill="1" applyBorder="1" applyAlignment="1" applyProtection="1">
      <alignment horizontal="center"/>
      <protection hidden="1"/>
    </xf>
    <xf numFmtId="1" fontId="3" fillId="4" borderId="24" xfId="0" applyNumberFormat="1" applyFont="1" applyFill="1" applyBorder="1" applyAlignment="1" applyProtection="1">
      <alignment horizontal="center"/>
      <protection hidden="1"/>
    </xf>
    <xf numFmtId="1" fontId="3" fillId="4" borderId="14" xfId="0" applyNumberFormat="1" applyFont="1" applyFill="1" applyBorder="1" applyAlignment="1" applyProtection="1">
      <alignment horizontal="center"/>
      <protection hidden="1"/>
    </xf>
    <xf numFmtId="9" fontId="3" fillId="4" borderId="35" xfId="1" applyFont="1" applyFill="1" applyBorder="1" applyAlignment="1" applyProtection="1">
      <alignment horizontal="center"/>
      <protection hidden="1"/>
    </xf>
    <xf numFmtId="164" fontId="3" fillId="4" borderId="46" xfId="0" applyNumberFormat="1" applyFont="1" applyFill="1" applyBorder="1" applyAlignment="1" applyProtection="1">
      <alignment horizontal="center"/>
      <protection hidden="1"/>
    </xf>
    <xf numFmtId="164" fontId="3" fillId="4" borderId="25" xfId="0" applyNumberFormat="1" applyFont="1" applyFill="1" applyBorder="1" applyAlignment="1" applyProtection="1">
      <alignment horizontal="center"/>
      <protection hidden="1"/>
    </xf>
    <xf numFmtId="164" fontId="3" fillId="4" borderId="15" xfId="0" applyNumberFormat="1" applyFont="1" applyFill="1" applyBorder="1" applyAlignment="1" applyProtection="1">
      <alignment horizontal="center"/>
      <protection hidden="1"/>
    </xf>
    <xf numFmtId="1" fontId="3" fillId="4" borderId="47" xfId="0" applyNumberFormat="1" applyFont="1" applyFill="1" applyBorder="1" applyAlignment="1" applyProtection="1">
      <alignment horizontal="center"/>
      <protection hidden="1"/>
    </xf>
    <xf numFmtId="1" fontId="3" fillId="4" borderId="48" xfId="0" applyNumberFormat="1" applyFont="1" applyFill="1" applyBorder="1" applyAlignment="1" applyProtection="1">
      <alignment horizontal="center"/>
      <protection hidden="1"/>
    </xf>
    <xf numFmtId="1" fontId="3" fillId="4" borderId="30" xfId="1" applyNumberFormat="1" applyFont="1" applyFill="1" applyBorder="1" applyAlignment="1" applyProtection="1">
      <alignment horizontal="center"/>
      <protection hidden="1"/>
    </xf>
    <xf numFmtId="1" fontId="4" fillId="0" borderId="59" xfId="0" applyNumberFormat="1" applyFont="1" applyFill="1" applyBorder="1" applyAlignment="1" applyProtection="1">
      <alignment horizontal="center" vertical="center"/>
      <protection hidden="1"/>
    </xf>
    <xf numFmtId="0" fontId="7" fillId="0" borderId="0" xfId="2" applyProtection="1">
      <protection hidden="1"/>
    </xf>
    <xf numFmtId="0" fontId="7" fillId="0" borderId="0" xfId="2"/>
    <xf numFmtId="0" fontId="7" fillId="0" borderId="0" xfId="2" applyAlignment="1" applyProtection="1">
      <protection hidden="1"/>
    </xf>
    <xf numFmtId="0" fontId="7" fillId="4" borderId="9" xfId="2" applyFill="1" applyBorder="1" applyProtection="1">
      <protection hidden="1"/>
    </xf>
    <xf numFmtId="0" fontId="7" fillId="4" borderId="12" xfId="2" applyFill="1" applyBorder="1" applyProtection="1">
      <protection hidden="1"/>
    </xf>
    <xf numFmtId="0" fontId="7" fillId="4" borderId="14" xfId="2" applyFill="1" applyBorder="1" applyProtection="1">
      <protection hidden="1"/>
    </xf>
    <xf numFmtId="0" fontId="7" fillId="4" borderId="49" xfId="2" applyFill="1" applyBorder="1" applyProtection="1">
      <protection hidden="1"/>
    </xf>
    <xf numFmtId="0" fontId="7" fillId="4" borderId="53" xfId="2" applyFill="1" applyBorder="1" applyProtection="1">
      <protection hidden="1"/>
    </xf>
    <xf numFmtId="0" fontId="3" fillId="5" borderId="37" xfId="2" applyFont="1" applyFill="1" applyBorder="1" applyAlignment="1" applyProtection="1">
      <alignment horizontal="left" vertical="center"/>
      <protection hidden="1"/>
    </xf>
    <xf numFmtId="0" fontId="7" fillId="4" borderId="0" xfId="2" applyFill="1" applyBorder="1" applyProtection="1">
      <protection hidden="1"/>
    </xf>
    <xf numFmtId="0" fontId="3" fillId="5" borderId="66" xfId="2" applyFont="1" applyFill="1" applyBorder="1" applyAlignment="1" applyProtection="1">
      <alignment horizontal="left" vertical="center"/>
      <protection hidden="1"/>
    </xf>
    <xf numFmtId="0" fontId="3" fillId="5" borderId="65" xfId="2" applyFont="1" applyFill="1" applyBorder="1" applyAlignment="1" applyProtection="1">
      <alignment horizontal="left" vertical="center"/>
      <protection hidden="1"/>
    </xf>
    <xf numFmtId="0" fontId="7" fillId="0" borderId="0" xfId="2" applyFill="1" applyProtection="1">
      <protection hidden="1"/>
    </xf>
    <xf numFmtId="0" fontId="8" fillId="4" borderId="12" xfId="2" applyFont="1" applyFill="1" applyBorder="1" applyAlignment="1" applyProtection="1">
      <alignment horizontal="centerContinuous"/>
      <protection hidden="1"/>
    </xf>
    <xf numFmtId="0" fontId="7" fillId="4" borderId="12" xfId="2" applyFill="1" applyBorder="1" applyAlignment="1" applyProtection="1">
      <alignment horizontal="centerContinuous"/>
      <protection hidden="1"/>
    </xf>
    <xf numFmtId="0" fontId="7" fillId="5" borderId="12" xfId="2" applyFont="1" applyFill="1" applyBorder="1" applyAlignment="1" applyProtection="1">
      <alignment vertical="center"/>
      <protection hidden="1"/>
    </xf>
    <xf numFmtId="0" fontId="7" fillId="5" borderId="14" xfId="2" applyFont="1" applyFill="1" applyBorder="1" applyAlignment="1" applyProtection="1">
      <alignment vertical="center"/>
      <protection hidden="1"/>
    </xf>
    <xf numFmtId="0" fontId="3" fillId="5" borderId="0" xfId="2" applyFont="1" applyFill="1" applyBorder="1" applyAlignment="1" applyProtection="1">
      <alignment vertical="center"/>
      <protection hidden="1"/>
    </xf>
    <xf numFmtId="0" fontId="3" fillId="5" borderId="53" xfId="2" applyFont="1" applyFill="1" applyBorder="1" applyAlignment="1" applyProtection="1">
      <alignment vertical="center"/>
      <protection hidden="1"/>
    </xf>
    <xf numFmtId="0" fontId="7" fillId="5" borderId="0" xfId="2" applyFont="1" applyFill="1" applyBorder="1" applyAlignment="1" applyProtection="1">
      <alignment vertical="center"/>
      <protection hidden="1"/>
    </xf>
    <xf numFmtId="0" fontId="7" fillId="5" borderId="53" xfId="2" applyFont="1" applyFill="1" applyBorder="1" applyAlignment="1" applyProtection="1">
      <alignment vertical="center"/>
      <protection hidden="1"/>
    </xf>
    <xf numFmtId="0" fontId="3" fillId="5" borderId="43" xfId="2" applyFont="1" applyFill="1" applyBorder="1" applyAlignment="1" applyProtection="1">
      <alignment vertical="center"/>
      <protection hidden="1"/>
    </xf>
    <xf numFmtId="0" fontId="3" fillId="4" borderId="0" xfId="2" applyFont="1" applyFill="1" applyBorder="1" applyAlignment="1" applyProtection="1">
      <alignment vertical="center"/>
      <protection hidden="1"/>
    </xf>
    <xf numFmtId="0" fontId="3" fillId="5" borderId="49" xfId="2" applyFont="1" applyFill="1" applyBorder="1" applyAlignment="1" applyProtection="1">
      <alignment vertical="top"/>
      <protection hidden="1"/>
    </xf>
    <xf numFmtId="0" fontId="7" fillId="5" borderId="0" xfId="2" applyFont="1" applyFill="1" applyBorder="1" applyAlignment="1" applyProtection="1">
      <alignment vertical="top"/>
      <protection hidden="1"/>
    </xf>
    <xf numFmtId="0" fontId="7" fillId="5" borderId="53" xfId="2" applyFont="1" applyFill="1" applyBorder="1" applyAlignment="1" applyProtection="1">
      <alignment vertical="top"/>
      <protection hidden="1"/>
    </xf>
    <xf numFmtId="1" fontId="3" fillId="5" borderId="11" xfId="2" applyNumberFormat="1" applyFont="1" applyFill="1" applyBorder="1" applyAlignment="1" applyProtection="1">
      <alignment horizontal="center" vertical="center"/>
      <protection hidden="1"/>
    </xf>
    <xf numFmtId="1" fontId="3" fillId="5" borderId="10" xfId="2" applyNumberFormat="1" applyFont="1" applyFill="1" applyBorder="1" applyAlignment="1" applyProtection="1">
      <alignment horizontal="center" vertical="center"/>
      <protection hidden="1"/>
    </xf>
    <xf numFmtId="0" fontId="3" fillId="5" borderId="44" xfId="2" applyFont="1" applyFill="1" applyBorder="1" applyAlignment="1" applyProtection="1">
      <alignment vertical="center"/>
      <protection hidden="1"/>
    </xf>
    <xf numFmtId="0" fontId="3" fillId="5" borderId="67" xfId="2" applyFont="1" applyFill="1" applyBorder="1" applyAlignment="1" applyProtection="1">
      <alignment vertical="center"/>
      <protection hidden="1"/>
    </xf>
    <xf numFmtId="1" fontId="3" fillId="5" borderId="68" xfId="2" applyNumberFormat="1" applyFont="1" applyFill="1" applyBorder="1" applyAlignment="1" applyProtection="1">
      <alignment horizontal="center" vertical="center"/>
      <protection hidden="1"/>
    </xf>
    <xf numFmtId="1" fontId="3" fillId="5" borderId="69" xfId="2" applyNumberFormat="1" applyFont="1" applyFill="1" applyBorder="1" applyAlignment="1" applyProtection="1">
      <alignment horizontal="center" vertical="center"/>
      <protection hidden="1"/>
    </xf>
    <xf numFmtId="0" fontId="7" fillId="4" borderId="0" xfId="2" applyFill="1" applyProtection="1">
      <protection hidden="1"/>
    </xf>
    <xf numFmtId="1" fontId="3" fillId="5" borderId="55" xfId="2" applyNumberFormat="1" applyFont="1" applyFill="1" applyBorder="1" applyAlignment="1" applyProtection="1">
      <alignment horizontal="center"/>
      <protection hidden="1"/>
    </xf>
    <xf numFmtId="1" fontId="3" fillId="5" borderId="65" xfId="2" applyNumberFormat="1" applyFont="1" applyFill="1" applyBorder="1" applyAlignment="1" applyProtection="1">
      <alignment horizontal="center"/>
      <protection hidden="1"/>
    </xf>
    <xf numFmtId="0" fontId="3" fillId="5" borderId="66" xfId="2" applyFont="1" applyFill="1" applyBorder="1" applyAlignment="1" applyProtection="1">
      <alignment horizontal="center" vertical="center"/>
      <protection hidden="1"/>
    </xf>
    <xf numFmtId="1" fontId="3" fillId="5" borderId="61" xfId="2" applyNumberFormat="1" applyFont="1" applyFill="1" applyBorder="1" applyAlignment="1" applyProtection="1">
      <alignment horizontal="center" vertical="center"/>
      <protection hidden="1"/>
    </xf>
    <xf numFmtId="1" fontId="3" fillId="5" borderId="63" xfId="2" applyNumberFormat="1" applyFont="1" applyFill="1" applyBorder="1" applyAlignment="1" applyProtection="1">
      <alignment horizontal="center" vertical="center"/>
      <protection hidden="1"/>
    </xf>
    <xf numFmtId="1" fontId="3" fillId="5" borderId="32" xfId="2" applyNumberFormat="1" applyFont="1" applyFill="1" applyBorder="1" applyAlignment="1" applyProtection="1">
      <alignment horizontal="center" vertical="center"/>
      <protection hidden="1"/>
    </xf>
    <xf numFmtId="0" fontId="3" fillId="5" borderId="61" xfId="2" applyNumberFormat="1" applyFont="1" applyFill="1" applyBorder="1" applyAlignment="1" applyProtection="1">
      <alignment horizontal="center" vertical="center"/>
      <protection hidden="1"/>
    </xf>
    <xf numFmtId="0" fontId="3" fillId="5" borderId="63" xfId="2" applyNumberFormat="1" applyFont="1" applyFill="1" applyBorder="1" applyAlignment="1" applyProtection="1">
      <alignment horizontal="center" vertical="center"/>
      <protection hidden="1"/>
    </xf>
    <xf numFmtId="164" fontId="3" fillId="5" borderId="63" xfId="2" applyNumberFormat="1" applyFont="1" applyFill="1" applyBorder="1" applyAlignment="1" applyProtection="1">
      <alignment horizontal="center" vertical="center"/>
      <protection hidden="1"/>
    </xf>
    <xf numFmtId="0" fontId="3" fillId="5" borderId="32" xfId="2" applyNumberFormat="1" applyFont="1" applyFill="1" applyBorder="1" applyAlignment="1" applyProtection="1">
      <alignment horizontal="center" vertical="center"/>
      <protection hidden="1"/>
    </xf>
    <xf numFmtId="0" fontId="7" fillId="4" borderId="43" xfId="2" applyFill="1" applyBorder="1" applyProtection="1">
      <protection hidden="1"/>
    </xf>
    <xf numFmtId="0" fontId="7" fillId="4" borderId="44" xfId="2" applyFill="1" applyBorder="1" applyProtection="1">
      <protection hidden="1"/>
    </xf>
    <xf numFmtId="0" fontId="7" fillId="4" borderId="67" xfId="2" applyFill="1" applyBorder="1" applyProtection="1">
      <protection hidden="1"/>
    </xf>
    <xf numFmtId="1" fontId="3" fillId="5" borderId="37" xfId="2" applyNumberFormat="1" applyFont="1" applyFill="1" applyBorder="1" applyAlignment="1" applyProtection="1">
      <alignment horizontal="center"/>
      <protection hidden="1"/>
    </xf>
    <xf numFmtId="1" fontId="3" fillId="3" borderId="37" xfId="0" applyNumberFormat="1" applyFont="1" applyFill="1" applyBorder="1" applyAlignment="1" applyProtection="1">
      <alignment horizontal="center"/>
      <protection hidden="1"/>
    </xf>
    <xf numFmtId="0" fontId="0" fillId="8" borderId="0" xfId="0" applyFill="1"/>
    <xf numFmtId="0" fontId="3" fillId="3" borderId="4" xfId="0" applyFont="1" applyFill="1" applyBorder="1" applyAlignment="1" applyProtection="1">
      <alignment horizontal="center" vertical="center"/>
      <protection hidden="1"/>
    </xf>
    <xf numFmtId="165" fontId="4" fillId="4" borderId="27" xfId="1" applyNumberFormat="1" applyFont="1" applyFill="1" applyBorder="1" applyAlignment="1" applyProtection="1">
      <alignment horizontal="center"/>
      <protection hidden="1"/>
    </xf>
    <xf numFmtId="1" fontId="3" fillId="0" borderId="56" xfId="0" applyNumberFormat="1" applyFont="1" applyFill="1" applyBorder="1" applyAlignment="1" applyProtection="1">
      <alignment horizontal="center" vertical="center"/>
      <protection hidden="1"/>
    </xf>
    <xf numFmtId="165" fontId="3" fillId="3" borderId="42" xfId="1" applyNumberFormat="1" applyFont="1" applyFill="1" applyBorder="1" applyAlignment="1" applyProtection="1">
      <alignment horizontal="center" vertical="center"/>
      <protection hidden="1"/>
    </xf>
    <xf numFmtId="1" fontId="3" fillId="0" borderId="59" xfId="0" applyNumberFormat="1" applyFont="1" applyFill="1" applyBorder="1" applyAlignment="1" applyProtection="1">
      <alignment horizontal="center" vertical="center"/>
      <protection hidden="1"/>
    </xf>
    <xf numFmtId="1" fontId="4" fillId="0" borderId="71" xfId="0" applyNumberFormat="1" applyFont="1" applyFill="1" applyBorder="1" applyAlignment="1" applyProtection="1">
      <alignment horizontal="center" vertical="center"/>
      <protection hidden="1"/>
    </xf>
    <xf numFmtId="1" fontId="3" fillId="0" borderId="48" xfId="0" applyNumberFormat="1" applyFont="1" applyFill="1" applyBorder="1" applyAlignment="1" applyProtection="1">
      <alignment horizontal="center" vertical="center"/>
      <protection hidden="1"/>
    </xf>
    <xf numFmtId="1" fontId="3" fillId="0" borderId="63" xfId="0" applyNumberFormat="1" applyFont="1" applyFill="1" applyBorder="1" applyAlignment="1" applyProtection="1">
      <alignment horizontal="center" vertical="center"/>
      <protection hidden="1"/>
    </xf>
    <xf numFmtId="164" fontId="3" fillId="4" borderId="36" xfId="0" applyNumberFormat="1" applyFont="1" applyFill="1" applyBorder="1" applyAlignment="1" applyProtection="1">
      <alignment horizontal="center"/>
      <protection hidden="1"/>
    </xf>
    <xf numFmtId="1" fontId="3" fillId="6" borderId="3" xfId="0" applyNumberFormat="1" applyFont="1" applyFill="1" applyBorder="1" applyAlignment="1" applyProtection="1">
      <alignment horizontal="center" vertical="center"/>
      <protection locked="0"/>
    </xf>
    <xf numFmtId="0" fontId="4" fillId="3" borderId="27" xfId="0" applyFont="1" applyFill="1" applyBorder="1" applyAlignment="1" applyProtection="1">
      <alignment horizontal="center"/>
      <protection hidden="1"/>
    </xf>
    <xf numFmtId="0" fontId="4" fillId="3" borderId="62" xfId="0" applyFont="1" applyFill="1" applyBorder="1" applyAlignment="1" applyProtection="1">
      <alignment horizontal="center"/>
      <protection hidden="1"/>
    </xf>
    <xf numFmtId="1" fontId="4" fillId="0" borderId="66" xfId="0" applyNumberFormat="1" applyFont="1" applyFill="1" applyBorder="1" applyAlignment="1" applyProtection="1">
      <alignment horizontal="center" vertical="center"/>
      <protection hidden="1"/>
    </xf>
    <xf numFmtId="1" fontId="4" fillId="0" borderId="65" xfId="0" applyNumberFormat="1" applyFont="1" applyFill="1" applyBorder="1" applyAlignment="1" applyProtection="1">
      <alignment horizontal="center" vertical="center"/>
      <protection hidden="1"/>
    </xf>
    <xf numFmtId="0" fontId="7" fillId="4" borderId="9" xfId="2" applyFill="1" applyBorder="1" applyAlignment="1" applyProtection="1">
      <protection hidden="1"/>
    </xf>
    <xf numFmtId="0" fontId="7" fillId="4" borderId="12" xfId="2" applyFill="1" applyBorder="1" applyAlignment="1" applyProtection="1">
      <protection hidden="1"/>
    </xf>
    <xf numFmtId="0" fontId="7" fillId="4" borderId="14" xfId="2" applyFill="1" applyBorder="1" applyAlignment="1" applyProtection="1">
      <protection hidden="1"/>
    </xf>
    <xf numFmtId="0" fontId="7" fillId="4" borderId="49" xfId="2" applyFill="1" applyBorder="1" applyAlignment="1" applyProtection="1">
      <protection hidden="1"/>
    </xf>
    <xf numFmtId="0" fontId="7" fillId="4" borderId="53" xfId="2" applyFill="1" applyBorder="1" applyAlignment="1" applyProtection="1">
      <protection hidden="1"/>
    </xf>
    <xf numFmtId="0" fontId="7" fillId="4" borderId="43" xfId="2" applyFill="1" applyBorder="1" applyAlignment="1" applyProtection="1">
      <protection hidden="1"/>
    </xf>
    <xf numFmtId="0" fontId="7" fillId="4" borderId="44" xfId="2" applyFill="1" applyBorder="1" applyAlignment="1" applyProtection="1">
      <protection hidden="1"/>
    </xf>
    <xf numFmtId="0" fontId="7" fillId="4" borderId="67" xfId="2" applyFill="1" applyBorder="1" applyAlignment="1" applyProtection="1">
      <protection hidden="1"/>
    </xf>
    <xf numFmtId="0" fontId="7" fillId="0" borderId="0" xfId="2" applyBorder="1" applyAlignment="1" applyProtection="1">
      <protection hidden="1"/>
    </xf>
    <xf numFmtId="0" fontId="7" fillId="4" borderId="12" xfId="2" applyFill="1" applyBorder="1" applyAlignment="1" applyProtection="1">
      <alignment vertical="center"/>
      <protection hidden="1"/>
    </xf>
    <xf numFmtId="0" fontId="3" fillId="4" borderId="12" xfId="2" applyFont="1" applyFill="1" applyBorder="1" applyAlignment="1" applyProtection="1">
      <alignment horizontal="left" vertical="center"/>
      <protection hidden="1"/>
    </xf>
    <xf numFmtId="0" fontId="7" fillId="7" borderId="12" xfId="2" applyFill="1" applyBorder="1" applyProtection="1">
      <protection hidden="1"/>
    </xf>
    <xf numFmtId="0" fontId="7" fillId="4" borderId="53" xfId="2" applyFill="1" applyBorder="1" applyAlignment="1" applyProtection="1">
      <alignment vertical="center"/>
      <protection hidden="1"/>
    </xf>
    <xf numFmtId="1" fontId="3" fillId="4" borderId="53" xfId="2" applyNumberFormat="1" applyFont="1" applyFill="1" applyBorder="1" applyAlignment="1" applyProtection="1">
      <alignment horizontal="center" vertical="center"/>
      <protection hidden="1"/>
    </xf>
    <xf numFmtId="0" fontId="3" fillId="13" borderId="9" xfId="2" applyFont="1" applyFill="1" applyBorder="1" applyAlignment="1" applyProtection="1">
      <alignment horizontal="left" vertical="center"/>
      <protection hidden="1"/>
    </xf>
    <xf numFmtId="0" fontId="7" fillId="13" borderId="12" xfId="2" applyFill="1" applyBorder="1" applyAlignment="1" applyProtection="1">
      <protection hidden="1"/>
    </xf>
    <xf numFmtId="0" fontId="7" fillId="13" borderId="12" xfId="2" applyFill="1" applyBorder="1" applyProtection="1">
      <protection hidden="1"/>
    </xf>
    <xf numFmtId="0" fontId="7" fillId="13" borderId="14" xfId="2" applyFill="1" applyBorder="1" applyAlignment="1" applyProtection="1">
      <protection hidden="1"/>
    </xf>
    <xf numFmtId="0" fontId="3" fillId="13" borderId="49" xfId="2" applyFont="1" applyFill="1" applyBorder="1" applyAlignment="1" applyProtection="1">
      <alignment horizontal="left" vertical="center"/>
      <protection hidden="1"/>
    </xf>
    <xf numFmtId="0" fontId="7" fillId="13" borderId="0" xfId="2" applyFill="1" applyBorder="1" applyAlignment="1" applyProtection="1">
      <protection hidden="1"/>
    </xf>
    <xf numFmtId="0" fontId="7" fillId="13" borderId="0" xfId="2" applyFill="1" applyBorder="1" applyProtection="1">
      <protection hidden="1"/>
    </xf>
    <xf numFmtId="0" fontId="7" fillId="13" borderId="53" xfId="2" applyFill="1" applyBorder="1" applyAlignment="1" applyProtection="1">
      <protection hidden="1"/>
    </xf>
    <xf numFmtId="0" fontId="7" fillId="4" borderId="0" xfId="2" applyFill="1" applyBorder="1" applyAlignment="1" applyProtection="1">
      <alignment vertical="center"/>
      <protection hidden="1"/>
    </xf>
    <xf numFmtId="0" fontId="3" fillId="13" borderId="49" xfId="2" applyFont="1" applyFill="1" applyBorder="1" applyAlignment="1" applyProtection="1">
      <alignment vertical="center"/>
      <protection hidden="1"/>
    </xf>
    <xf numFmtId="0" fontId="3" fillId="13" borderId="0" xfId="2" applyFont="1" applyFill="1" applyBorder="1" applyAlignment="1" applyProtection="1">
      <alignment horizontal="center" vertical="center"/>
      <protection hidden="1"/>
    </xf>
    <xf numFmtId="0" fontId="3" fillId="13" borderId="53" xfId="2" applyFont="1" applyFill="1" applyBorder="1" applyAlignment="1" applyProtection="1">
      <alignment horizontal="center" vertical="center"/>
      <protection hidden="1"/>
    </xf>
    <xf numFmtId="2" fontId="3" fillId="4" borderId="53" xfId="2" applyNumberFormat="1" applyFont="1" applyFill="1" applyBorder="1" applyAlignment="1" applyProtection="1">
      <alignment horizontal="center" vertical="center"/>
      <protection hidden="1"/>
    </xf>
    <xf numFmtId="1" fontId="3" fillId="4" borderId="0" xfId="2" applyNumberFormat="1" applyFont="1" applyFill="1" applyBorder="1" applyAlignment="1" applyProtection="1">
      <alignment horizontal="center" vertical="center"/>
      <protection hidden="1"/>
    </xf>
    <xf numFmtId="0" fontId="7" fillId="4" borderId="0" xfId="2" applyFill="1" applyBorder="1" applyAlignment="1" applyProtection="1">
      <protection hidden="1"/>
    </xf>
    <xf numFmtId="0" fontId="7" fillId="7" borderId="49" xfId="2" applyFill="1" applyBorder="1" applyAlignment="1" applyProtection="1">
      <protection hidden="1"/>
    </xf>
    <xf numFmtId="0" fontId="11" fillId="13" borderId="49" xfId="2" applyFont="1" applyFill="1" applyBorder="1" applyAlignment="1" applyProtection="1">
      <alignment vertical="center"/>
      <protection hidden="1"/>
    </xf>
    <xf numFmtId="0" fontId="13" fillId="13" borderId="0" xfId="2" applyFont="1" applyFill="1" applyBorder="1" applyAlignment="1" applyProtection="1">
      <protection hidden="1"/>
    </xf>
    <xf numFmtId="0" fontId="7" fillId="7" borderId="49" xfId="2" applyFill="1" applyBorder="1" applyProtection="1">
      <protection hidden="1"/>
    </xf>
    <xf numFmtId="0" fontId="7" fillId="7" borderId="0" xfId="2" applyFill="1" applyBorder="1" applyAlignment="1" applyProtection="1">
      <protection hidden="1"/>
    </xf>
    <xf numFmtId="0" fontId="3" fillId="13" borderId="43" xfId="2" applyFont="1" applyFill="1" applyBorder="1" applyAlignment="1" applyProtection="1">
      <protection hidden="1"/>
    </xf>
    <xf numFmtId="0" fontId="7" fillId="13" borderId="44" xfId="2" applyFill="1" applyBorder="1" applyAlignment="1" applyProtection="1">
      <protection hidden="1"/>
    </xf>
    <xf numFmtId="0" fontId="7" fillId="13" borderId="44" xfId="2" applyFill="1" applyBorder="1" applyProtection="1">
      <protection hidden="1"/>
    </xf>
    <xf numFmtId="0" fontId="7" fillId="13" borderId="67" xfId="2" applyFill="1" applyBorder="1" applyAlignment="1" applyProtection="1">
      <protection hidden="1"/>
    </xf>
    <xf numFmtId="0" fontId="7" fillId="7" borderId="43" xfId="2" applyFill="1" applyBorder="1" applyProtection="1">
      <protection hidden="1"/>
    </xf>
    <xf numFmtId="0" fontId="7" fillId="7" borderId="44" xfId="2" applyFill="1" applyBorder="1" applyProtection="1">
      <protection hidden="1"/>
    </xf>
    <xf numFmtId="0" fontId="7" fillId="7" borderId="67" xfId="2" applyFill="1" applyBorder="1" applyProtection="1">
      <protection hidden="1"/>
    </xf>
    <xf numFmtId="0" fontId="7" fillId="7" borderId="0" xfId="2" applyFill="1" applyBorder="1" applyProtection="1">
      <protection hidden="1"/>
    </xf>
    <xf numFmtId="0" fontId="7" fillId="7" borderId="0" xfId="2" applyFill="1"/>
    <xf numFmtId="0" fontId="7" fillId="0" borderId="0" xfId="2" applyFill="1" applyBorder="1" applyAlignment="1" applyProtection="1">
      <protection hidden="1"/>
    </xf>
    <xf numFmtId="0" fontId="7" fillId="0" borderId="0" xfId="2" applyFill="1" applyAlignment="1" applyProtection="1">
      <protection hidden="1"/>
    </xf>
    <xf numFmtId="1" fontId="3" fillId="7" borderId="53" xfId="2" applyNumberFormat="1" applyFont="1" applyFill="1" applyBorder="1" applyAlignment="1" applyProtection="1">
      <alignment horizontal="center" vertical="center"/>
      <protection hidden="1"/>
    </xf>
    <xf numFmtId="0" fontId="7" fillId="7" borderId="43" xfId="2" applyFill="1" applyBorder="1" applyAlignment="1" applyProtection="1">
      <protection hidden="1"/>
    </xf>
    <xf numFmtId="0" fontId="3" fillId="7" borderId="44" xfId="2" applyFont="1" applyFill="1" applyBorder="1" applyAlignment="1" applyProtection="1">
      <alignment vertical="top"/>
      <protection hidden="1"/>
    </xf>
    <xf numFmtId="0" fontId="7" fillId="7" borderId="44" xfId="2" applyFill="1" applyBorder="1" applyAlignment="1" applyProtection="1">
      <protection hidden="1"/>
    </xf>
    <xf numFmtId="0" fontId="7" fillId="7" borderId="44" xfId="2" applyFill="1" applyBorder="1"/>
    <xf numFmtId="0" fontId="7" fillId="7" borderId="67" xfId="2" applyFill="1" applyBorder="1" applyAlignment="1" applyProtection="1">
      <protection hidden="1"/>
    </xf>
    <xf numFmtId="1" fontId="3" fillId="4" borderId="12" xfId="2" applyNumberFormat="1" applyFont="1" applyFill="1" applyBorder="1" applyAlignment="1" applyProtection="1">
      <alignment horizontal="center" vertical="center"/>
      <protection hidden="1"/>
    </xf>
    <xf numFmtId="1" fontId="3" fillId="4" borderId="14" xfId="2" applyNumberFormat="1" applyFont="1" applyFill="1" applyBorder="1" applyAlignment="1" applyProtection="1">
      <alignment horizontal="center" vertical="center"/>
      <protection hidden="1"/>
    </xf>
    <xf numFmtId="0" fontId="3" fillId="5" borderId="9" xfId="2" applyFont="1" applyFill="1" applyBorder="1" applyAlignment="1" applyProtection="1">
      <alignment horizontal="center"/>
      <protection hidden="1"/>
    </xf>
    <xf numFmtId="0" fontId="3" fillId="10" borderId="28" xfId="2" applyFont="1" applyFill="1" applyBorder="1" applyAlignment="1" applyProtection="1">
      <alignment horizontal="center"/>
      <protection locked="0"/>
    </xf>
    <xf numFmtId="0" fontId="3" fillId="12" borderId="28" xfId="2" applyFont="1" applyFill="1" applyBorder="1" applyAlignment="1" applyProtection="1">
      <alignment horizontal="center"/>
      <protection hidden="1"/>
    </xf>
    <xf numFmtId="0" fontId="3" fillId="5" borderId="42" xfId="2" applyFont="1" applyFill="1" applyBorder="1" applyAlignment="1" applyProtection="1">
      <alignment horizontal="center"/>
      <protection hidden="1"/>
    </xf>
    <xf numFmtId="0" fontId="3" fillId="5" borderId="40" xfId="2" applyFont="1" applyFill="1" applyBorder="1" applyAlignment="1" applyProtection="1">
      <alignment horizontal="center"/>
      <protection hidden="1"/>
    </xf>
    <xf numFmtId="0" fontId="3" fillId="5" borderId="4" xfId="2" applyFont="1" applyFill="1" applyBorder="1" applyAlignment="1" applyProtection="1">
      <alignment horizontal="center"/>
      <protection hidden="1"/>
    </xf>
    <xf numFmtId="0" fontId="3" fillId="10" borderId="48" xfId="2" applyNumberFormat="1" applyFont="1" applyFill="1" applyBorder="1" applyAlignment="1" applyProtection="1">
      <alignment horizontal="center" vertical="center"/>
      <protection locked="0"/>
    </xf>
    <xf numFmtId="0" fontId="3" fillId="5" borderId="64" xfId="2" applyFont="1" applyFill="1" applyBorder="1" applyAlignment="1" applyProtection="1">
      <alignment horizontal="center" vertical="center"/>
      <protection hidden="1"/>
    </xf>
    <xf numFmtId="1" fontId="3" fillId="10" borderId="7" xfId="2" applyNumberFormat="1" applyFont="1" applyFill="1" applyBorder="1" applyAlignment="1" applyProtection="1">
      <alignment horizontal="center" vertical="center"/>
      <protection locked="0"/>
    </xf>
    <xf numFmtId="0" fontId="3" fillId="10" borderId="63" xfId="2" applyNumberFormat="1" applyFont="1" applyFill="1" applyBorder="1" applyAlignment="1" applyProtection="1">
      <alignment horizontal="center" vertical="center"/>
      <protection locked="0"/>
    </xf>
    <xf numFmtId="0" fontId="3" fillId="5" borderId="62" xfId="2" applyFont="1" applyFill="1" applyBorder="1" applyAlignment="1" applyProtection="1">
      <alignment horizontal="center" vertical="center"/>
      <protection hidden="1"/>
    </xf>
    <xf numFmtId="1" fontId="3" fillId="10" borderId="59" xfId="2" applyNumberFormat="1" applyFont="1" applyFill="1" applyBorder="1" applyAlignment="1" applyProtection="1">
      <alignment horizontal="center" vertical="center"/>
      <protection locked="0"/>
    </xf>
    <xf numFmtId="0" fontId="3" fillId="5" borderId="22" xfId="2" applyFont="1" applyFill="1" applyBorder="1" applyAlignment="1" applyProtection="1">
      <alignment horizontal="center" vertical="center"/>
      <protection hidden="1"/>
    </xf>
    <xf numFmtId="1" fontId="3" fillId="10" borderId="58" xfId="2" applyNumberFormat="1" applyFont="1" applyFill="1" applyBorder="1" applyAlignment="1" applyProtection="1">
      <alignment horizontal="center" vertical="center"/>
      <protection locked="0"/>
    </xf>
    <xf numFmtId="1" fontId="3" fillId="10" borderId="56" xfId="2" applyNumberFormat="1" applyFont="1" applyFill="1" applyBorder="1" applyAlignment="1" applyProtection="1">
      <alignment horizontal="center" vertical="center"/>
      <protection locked="0"/>
    </xf>
    <xf numFmtId="1" fontId="3" fillId="10" borderId="63" xfId="2" applyNumberFormat="1" applyFont="1" applyFill="1" applyBorder="1" applyAlignment="1" applyProtection="1">
      <alignment horizontal="center" vertical="center"/>
      <protection locked="0"/>
    </xf>
    <xf numFmtId="0" fontId="7" fillId="7" borderId="53" xfId="2" applyFill="1" applyBorder="1" applyAlignment="1" applyProtection="1">
      <protection hidden="1"/>
    </xf>
    <xf numFmtId="0" fontId="3" fillId="5" borderId="33" xfId="2" applyFont="1" applyFill="1" applyBorder="1" applyAlignment="1" applyProtection="1">
      <alignment horizontal="center" vertical="center"/>
      <protection hidden="1"/>
    </xf>
    <xf numFmtId="1" fontId="3" fillId="10" borderId="29" xfId="2" applyNumberFormat="1" applyFont="1" applyFill="1" applyBorder="1" applyAlignment="1" applyProtection="1">
      <alignment horizontal="center" vertical="center"/>
      <protection locked="0"/>
    </xf>
    <xf numFmtId="1" fontId="3" fillId="10" borderId="30" xfId="2" applyNumberFormat="1" applyFont="1" applyFill="1" applyBorder="1" applyAlignment="1" applyProtection="1">
      <alignment horizontal="center" vertical="center"/>
      <protection locked="0"/>
    </xf>
    <xf numFmtId="1" fontId="3" fillId="10" borderId="32" xfId="2" applyNumberFormat="1" applyFont="1" applyFill="1" applyBorder="1" applyAlignment="1" applyProtection="1">
      <alignment horizontal="center" vertical="center"/>
      <protection locked="0"/>
    </xf>
    <xf numFmtId="0" fontId="7" fillId="7" borderId="0" xfId="2" applyFill="1" applyBorder="1"/>
    <xf numFmtId="2" fontId="3" fillId="5" borderId="38" xfId="2" applyNumberFormat="1" applyFont="1" applyFill="1" applyBorder="1" applyAlignment="1" applyProtection="1">
      <alignment horizontal="center" vertical="center"/>
      <protection hidden="1"/>
    </xf>
    <xf numFmtId="2" fontId="3" fillId="5" borderId="40" xfId="2" applyNumberFormat="1" applyFont="1" applyFill="1" applyBorder="1" applyAlignment="1" applyProtection="1">
      <alignment horizontal="center" vertical="center"/>
      <protection hidden="1"/>
    </xf>
    <xf numFmtId="2" fontId="3" fillId="5" borderId="41" xfId="2" applyNumberFormat="1" applyFont="1" applyFill="1" applyBorder="1" applyAlignment="1" applyProtection="1">
      <alignment horizontal="center" vertical="center"/>
      <protection hidden="1"/>
    </xf>
    <xf numFmtId="164" fontId="3" fillId="10" borderId="38" xfId="2" applyNumberFormat="1" applyFont="1" applyFill="1" applyBorder="1" applyAlignment="1" applyProtection="1">
      <alignment horizontal="center"/>
      <protection locked="0"/>
    </xf>
    <xf numFmtId="1" fontId="3" fillId="10" borderId="40" xfId="2" applyNumberFormat="1" applyFont="1" applyFill="1" applyBorder="1" applyAlignment="1" applyProtection="1">
      <alignment horizontal="center"/>
      <protection locked="0"/>
    </xf>
    <xf numFmtId="1" fontId="3" fillId="10" borderId="41" xfId="2" applyNumberFormat="1" applyFont="1" applyFill="1" applyBorder="1" applyAlignment="1" applyProtection="1">
      <alignment horizontal="center"/>
      <protection locked="0"/>
    </xf>
    <xf numFmtId="1" fontId="3" fillId="10" borderId="31" xfId="2" applyNumberFormat="1" applyFont="1" applyFill="1" applyBorder="1" applyAlignment="1" applyProtection="1">
      <alignment horizontal="center" vertical="center"/>
      <protection locked="0"/>
    </xf>
    <xf numFmtId="1" fontId="3" fillId="10" borderId="30" xfId="2" applyNumberFormat="1" applyFont="1" applyFill="1" applyBorder="1" applyAlignment="1" applyProtection="1">
      <alignment horizontal="center"/>
      <protection locked="0"/>
    </xf>
    <xf numFmtId="1" fontId="3" fillId="10" borderId="57" xfId="2" applyNumberFormat="1" applyFont="1" applyFill="1" applyBorder="1" applyAlignment="1" applyProtection="1">
      <alignment horizontal="center" vertical="center"/>
      <protection locked="0"/>
    </xf>
    <xf numFmtId="1" fontId="3" fillId="10" borderId="56" xfId="2" applyNumberFormat="1" applyFont="1" applyFill="1" applyBorder="1" applyAlignment="1" applyProtection="1">
      <alignment horizontal="center"/>
      <protection locked="0"/>
    </xf>
    <xf numFmtId="1" fontId="3" fillId="10" borderId="59" xfId="2" applyNumberFormat="1" applyFont="1" applyFill="1" applyBorder="1" applyAlignment="1" applyProtection="1">
      <alignment horizontal="center"/>
      <protection locked="0"/>
    </xf>
    <xf numFmtId="1" fontId="3" fillId="5" borderId="73" xfId="2" applyNumberFormat="1" applyFont="1" applyFill="1" applyBorder="1" applyAlignment="1" applyProtection="1">
      <alignment horizontal="center" vertical="center"/>
      <protection hidden="1"/>
    </xf>
    <xf numFmtId="1" fontId="3" fillId="5" borderId="74" xfId="2" applyNumberFormat="1" applyFont="1" applyFill="1" applyBorder="1" applyAlignment="1" applyProtection="1">
      <alignment horizontal="center" vertical="center"/>
      <protection hidden="1"/>
    </xf>
    <xf numFmtId="0" fontId="3" fillId="10" borderId="35" xfId="2" applyFont="1" applyFill="1" applyBorder="1" applyAlignment="1" applyProtection="1">
      <alignment horizontal="center" vertical="center"/>
      <protection locked="0"/>
    </xf>
    <xf numFmtId="0" fontId="3" fillId="10" borderId="30" xfId="2" applyFont="1" applyFill="1" applyBorder="1" applyAlignment="1" applyProtection="1">
      <alignment horizontal="center" vertical="center"/>
      <protection locked="0"/>
    </xf>
    <xf numFmtId="0" fontId="3" fillId="5" borderId="43" xfId="2" applyFont="1" applyFill="1" applyBorder="1" applyAlignment="1" applyProtection="1">
      <alignment horizontal="center" vertical="center"/>
      <protection hidden="1"/>
    </xf>
    <xf numFmtId="0" fontId="3" fillId="4" borderId="0" xfId="2" applyFont="1" applyFill="1" applyBorder="1" applyAlignment="1" applyProtection="1">
      <alignment horizontal="center"/>
      <protection hidden="1"/>
    </xf>
    <xf numFmtId="1" fontId="3" fillId="5" borderId="13" xfId="2" applyNumberFormat="1" applyFont="1" applyFill="1" applyBorder="1" applyAlignment="1" applyProtection="1">
      <alignment horizontal="center" vertical="center"/>
      <protection hidden="1"/>
    </xf>
    <xf numFmtId="1" fontId="3" fillId="5" borderId="15" xfId="2" applyNumberFormat="1" applyFont="1" applyFill="1" applyBorder="1" applyAlignment="1" applyProtection="1">
      <alignment horizontal="center" vertical="center"/>
      <protection hidden="1"/>
    </xf>
    <xf numFmtId="0" fontId="3" fillId="5" borderId="10" xfId="2" applyFont="1" applyFill="1" applyBorder="1" applyAlignment="1" applyProtection="1">
      <alignment horizontal="center" vertical="center"/>
      <protection hidden="1"/>
    </xf>
    <xf numFmtId="0" fontId="3" fillId="5" borderId="11" xfId="2" applyFont="1" applyFill="1" applyBorder="1" applyAlignment="1" applyProtection="1">
      <alignment horizontal="center" vertical="center"/>
      <protection hidden="1"/>
    </xf>
    <xf numFmtId="0" fontId="3" fillId="5" borderId="9" xfId="2" applyFont="1" applyFill="1" applyBorder="1" applyAlignment="1" applyProtection="1">
      <alignment horizontal="center" vertical="center"/>
      <protection hidden="1"/>
    </xf>
    <xf numFmtId="0" fontId="3" fillId="5" borderId="28" xfId="2" applyFont="1" applyFill="1" applyBorder="1" applyAlignment="1" applyProtection="1">
      <protection hidden="1"/>
    </xf>
    <xf numFmtId="164" fontId="3" fillId="14" borderId="32" xfId="2" applyNumberFormat="1" applyFont="1" applyFill="1" applyBorder="1" applyAlignment="1" applyProtection="1">
      <alignment horizontal="center" vertical="center"/>
      <protection hidden="1"/>
    </xf>
    <xf numFmtId="164" fontId="3" fillId="14" borderId="34" xfId="2" applyNumberFormat="1" applyFont="1" applyFill="1" applyBorder="1" applyAlignment="1" applyProtection="1">
      <alignment horizontal="center" vertical="center"/>
      <protection hidden="1"/>
    </xf>
    <xf numFmtId="1" fontId="3" fillId="14" borderId="30" xfId="2" applyNumberFormat="1" applyFont="1" applyFill="1" applyBorder="1" applyAlignment="1" applyProtection="1">
      <alignment horizontal="center" vertical="center"/>
      <protection hidden="1"/>
    </xf>
    <xf numFmtId="1" fontId="3" fillId="14" borderId="29" xfId="2" applyNumberFormat="1" applyFont="1" applyFill="1" applyBorder="1" applyAlignment="1" applyProtection="1">
      <alignment horizontal="center" vertical="center"/>
      <protection hidden="1"/>
    </xf>
    <xf numFmtId="0" fontId="3" fillId="5" borderId="37" xfId="2" applyFont="1" applyFill="1" applyBorder="1" applyAlignment="1" applyProtection="1">
      <alignment horizontal="center" vertical="center"/>
      <protection hidden="1"/>
    </xf>
    <xf numFmtId="0" fontId="3" fillId="14" borderId="28" xfId="2" applyFont="1" applyFill="1" applyBorder="1" applyAlignment="1" applyProtection="1">
      <alignment horizontal="center" vertical="center"/>
      <protection hidden="1"/>
    </xf>
    <xf numFmtId="164" fontId="3" fillId="14" borderId="61" xfId="2" applyNumberFormat="1" applyFont="1" applyFill="1" applyBorder="1" applyAlignment="1" applyProtection="1">
      <alignment horizontal="center" vertical="center"/>
      <protection hidden="1"/>
    </xf>
    <xf numFmtId="1" fontId="3" fillId="14" borderId="72" xfId="2" applyNumberFormat="1" applyFont="1" applyFill="1" applyBorder="1" applyAlignment="1" applyProtection="1">
      <alignment horizontal="center" vertical="center"/>
      <protection hidden="1"/>
    </xf>
    <xf numFmtId="1" fontId="3" fillId="14" borderId="7" xfId="2" applyNumberFormat="1" applyFont="1" applyFill="1" applyBorder="1" applyAlignment="1" applyProtection="1">
      <alignment horizontal="center" vertical="center"/>
      <protection hidden="1"/>
    </xf>
    <xf numFmtId="1" fontId="3" fillId="14" borderId="60" xfId="2" applyNumberFormat="1" applyFont="1" applyFill="1" applyBorder="1" applyAlignment="1" applyProtection="1">
      <alignment horizontal="center" vertical="center"/>
      <protection hidden="1"/>
    </xf>
    <xf numFmtId="0" fontId="7" fillId="4" borderId="0" xfId="2" applyFill="1" applyBorder="1" applyAlignment="1" applyProtection="1">
      <alignment horizontal="center" vertical="center"/>
      <protection hidden="1"/>
    </xf>
    <xf numFmtId="0" fontId="7" fillId="4" borderId="0" xfId="2" applyFill="1" applyBorder="1" applyAlignment="1" applyProtection="1">
      <alignment vertical="top"/>
      <protection hidden="1"/>
    </xf>
    <xf numFmtId="0" fontId="7" fillId="4" borderId="0" xfId="2" applyFont="1" applyFill="1" applyBorder="1" applyAlignment="1" applyProtection="1">
      <alignment vertical="top"/>
      <protection hidden="1"/>
    </xf>
    <xf numFmtId="0" fontId="3" fillId="4" borderId="0" xfId="2" applyFont="1" applyFill="1" applyBorder="1" applyAlignment="1" applyProtection="1">
      <alignment vertical="top"/>
      <protection hidden="1"/>
    </xf>
    <xf numFmtId="0" fontId="7" fillId="5" borderId="67" xfId="2" applyFill="1" applyBorder="1" applyAlignment="1" applyProtection="1">
      <alignment vertical="top"/>
      <protection hidden="1"/>
    </xf>
    <xf numFmtId="0" fontId="7" fillId="5" borderId="44" xfId="2" applyFill="1" applyBorder="1" applyAlignment="1" applyProtection="1">
      <alignment vertical="top"/>
      <protection hidden="1"/>
    </xf>
    <xf numFmtId="0" fontId="7" fillId="5" borderId="44" xfId="2" applyFont="1" applyFill="1" applyBorder="1" applyAlignment="1" applyProtection="1">
      <alignment vertical="top"/>
      <protection hidden="1"/>
    </xf>
    <xf numFmtId="0" fontId="3" fillId="5" borderId="43" xfId="2" applyFont="1" applyFill="1" applyBorder="1" applyAlignment="1" applyProtection="1">
      <alignment vertical="top"/>
      <protection hidden="1"/>
    </xf>
    <xf numFmtId="0" fontId="7" fillId="5" borderId="53" xfId="2" applyFill="1" applyBorder="1" applyProtection="1">
      <protection hidden="1"/>
    </xf>
    <xf numFmtId="0" fontId="3" fillId="5" borderId="49" xfId="2" applyFont="1" applyFill="1" applyBorder="1" applyProtection="1">
      <protection hidden="1"/>
    </xf>
    <xf numFmtId="0" fontId="7" fillId="5" borderId="53" xfId="2" applyFont="1" applyFill="1" applyBorder="1" applyAlignment="1" applyProtection="1">
      <alignment horizontal="centerContinuous"/>
      <protection hidden="1"/>
    </xf>
    <xf numFmtId="0" fontId="7" fillId="5" borderId="0" xfId="2" applyFont="1" applyFill="1" applyBorder="1" applyAlignment="1" applyProtection="1">
      <alignment horizontal="centerContinuous"/>
      <protection hidden="1"/>
    </xf>
    <xf numFmtId="0" fontId="8" fillId="5" borderId="0" xfId="2" applyFont="1" applyFill="1" applyBorder="1" applyAlignment="1" applyProtection="1">
      <alignment horizontal="centerContinuous"/>
      <protection hidden="1"/>
    </xf>
    <xf numFmtId="0" fontId="7" fillId="5" borderId="0" xfId="2" applyFont="1" applyFill="1" applyBorder="1" applyProtection="1">
      <protection hidden="1"/>
    </xf>
    <xf numFmtId="0" fontId="7" fillId="13" borderId="53" xfId="2" applyFont="1" applyFill="1" applyBorder="1" applyAlignment="1" applyProtection="1">
      <alignment horizontal="centerContinuous"/>
      <protection hidden="1"/>
    </xf>
    <xf numFmtId="0" fontId="7" fillId="13" borderId="0" xfId="2" applyFont="1" applyFill="1" applyBorder="1" applyAlignment="1" applyProtection="1">
      <alignment horizontal="centerContinuous"/>
      <protection hidden="1"/>
    </xf>
    <xf numFmtId="0" fontId="8" fillId="13" borderId="0" xfId="2" applyFont="1" applyFill="1" applyBorder="1" applyAlignment="1" applyProtection="1">
      <alignment horizontal="centerContinuous"/>
      <protection hidden="1"/>
    </xf>
    <xf numFmtId="0" fontId="7" fillId="13" borderId="0" xfId="2" applyFont="1" applyFill="1" applyBorder="1" applyProtection="1">
      <protection hidden="1"/>
    </xf>
    <xf numFmtId="0" fontId="3" fillId="13" borderId="49" xfId="2" applyFont="1" applyFill="1" applyBorder="1" applyAlignment="1" applyProtection="1">
      <alignment horizontal="left"/>
      <protection hidden="1"/>
    </xf>
    <xf numFmtId="0" fontId="3" fillId="5" borderId="49" xfId="2" applyFont="1" applyFill="1" applyBorder="1" applyAlignment="1" applyProtection="1">
      <alignment horizontal="left"/>
      <protection hidden="1"/>
    </xf>
    <xf numFmtId="0" fontId="7" fillId="5" borderId="14" xfId="2" applyFont="1" applyFill="1" applyBorder="1" applyAlignment="1" applyProtection="1">
      <alignment horizontal="centerContinuous"/>
      <protection hidden="1"/>
    </xf>
    <xf numFmtId="0" fontId="7" fillId="5" borderId="12" xfId="2" applyFont="1" applyFill="1" applyBorder="1" applyAlignment="1" applyProtection="1">
      <alignment horizontal="centerContinuous"/>
      <protection hidden="1"/>
    </xf>
    <xf numFmtId="0" fontId="8" fillId="5" borderId="12" xfId="2" applyFont="1" applyFill="1" applyBorder="1" applyAlignment="1" applyProtection="1">
      <alignment horizontal="centerContinuous"/>
      <protection hidden="1"/>
    </xf>
    <xf numFmtId="0" fontId="7" fillId="5" borderId="12" xfId="2" applyFont="1" applyFill="1" applyBorder="1" applyProtection="1">
      <protection hidden="1"/>
    </xf>
    <xf numFmtId="0" fontId="3" fillId="5" borderId="9" xfId="2" applyFont="1" applyFill="1" applyBorder="1" applyAlignment="1" applyProtection="1">
      <alignment horizontal="left"/>
      <protection hidden="1"/>
    </xf>
    <xf numFmtId="0" fontId="3" fillId="13" borderId="9" xfId="2" applyFont="1" applyFill="1" applyBorder="1" applyAlignment="1" applyProtection="1">
      <alignment vertical="center"/>
      <protection hidden="1"/>
    </xf>
    <xf numFmtId="1" fontId="7" fillId="0" borderId="0" xfId="2" applyNumberFormat="1" applyProtection="1">
      <protection hidden="1"/>
    </xf>
    <xf numFmtId="2" fontId="7" fillId="0" borderId="0" xfId="2" applyNumberFormat="1" applyProtection="1">
      <protection hidden="1"/>
    </xf>
    <xf numFmtId="1" fontId="3" fillId="0" borderId="32" xfId="2" applyNumberFormat="1" applyFont="1" applyFill="1" applyBorder="1" applyAlignment="1" applyProtection="1">
      <alignment horizontal="center" vertical="center"/>
      <protection hidden="1"/>
    </xf>
    <xf numFmtId="1" fontId="3" fillId="15" borderId="31" xfId="2" applyNumberFormat="1" applyFont="1" applyFill="1" applyBorder="1" applyAlignment="1" applyProtection="1">
      <alignment horizontal="center" vertical="center"/>
      <protection hidden="1"/>
    </xf>
    <xf numFmtId="2" fontId="3" fillId="15" borderId="31" xfId="2" applyNumberFormat="1" applyFont="1" applyFill="1" applyBorder="1" applyAlignment="1" applyProtection="1">
      <alignment horizontal="center" vertical="center"/>
      <protection hidden="1"/>
    </xf>
    <xf numFmtId="1" fontId="3" fillId="15" borderId="30" xfId="2" applyNumberFormat="1" applyFont="1" applyFill="1" applyBorder="1" applyAlignment="1" applyProtection="1">
      <alignment horizontal="center" vertical="center"/>
      <protection hidden="1"/>
    </xf>
    <xf numFmtId="1" fontId="3" fillId="15" borderId="29" xfId="2" applyNumberFormat="1" applyFont="1" applyFill="1" applyBorder="1" applyAlignment="1" applyProtection="1">
      <alignment horizontal="center" vertical="center"/>
      <protection hidden="1"/>
    </xf>
    <xf numFmtId="1" fontId="3" fillId="0" borderId="37" xfId="2" applyNumberFormat="1" applyFont="1" applyFill="1" applyBorder="1" applyAlignment="1" applyProtection="1">
      <alignment horizontal="center" vertical="center"/>
      <protection hidden="1"/>
    </xf>
    <xf numFmtId="1" fontId="3" fillId="0" borderId="30" xfId="2" applyNumberFormat="1" applyFont="1" applyFill="1" applyBorder="1" applyAlignment="1" applyProtection="1">
      <alignment horizontal="center"/>
      <protection hidden="1"/>
    </xf>
    <xf numFmtId="1" fontId="3" fillId="3" borderId="37" xfId="2" applyNumberFormat="1" applyFont="1" applyFill="1" applyBorder="1" applyAlignment="1" applyProtection="1">
      <alignment horizontal="center"/>
      <protection hidden="1"/>
    </xf>
    <xf numFmtId="1" fontId="3" fillId="0" borderId="32" xfId="2" applyNumberFormat="1" applyFont="1" applyFill="1" applyBorder="1" applyAlignment="1" applyProtection="1">
      <alignment horizontal="center" vertical="center"/>
      <protection locked="0"/>
    </xf>
    <xf numFmtId="1" fontId="3" fillId="15" borderId="31" xfId="2" applyNumberFormat="1" applyFont="1" applyFill="1" applyBorder="1" applyAlignment="1" applyProtection="1">
      <alignment horizontal="center" vertical="center"/>
      <protection locked="0"/>
    </xf>
    <xf numFmtId="2" fontId="3" fillId="15" borderId="31" xfId="2" applyNumberFormat="1" applyFont="1" applyFill="1" applyBorder="1" applyAlignment="1" applyProtection="1">
      <alignment horizontal="center" vertical="center"/>
      <protection locked="0"/>
    </xf>
    <xf numFmtId="1" fontId="3" fillId="15" borderId="30" xfId="2" applyNumberFormat="1" applyFont="1" applyFill="1" applyBorder="1" applyAlignment="1" applyProtection="1">
      <alignment horizontal="center" vertical="center"/>
      <protection locked="0"/>
    </xf>
    <xf numFmtId="1" fontId="3" fillId="15" borderId="29" xfId="2" applyNumberFormat="1" applyFont="1" applyFill="1" applyBorder="1" applyAlignment="1" applyProtection="1">
      <alignment horizontal="center" vertical="center"/>
      <protection locked="0"/>
    </xf>
    <xf numFmtId="1" fontId="3" fillId="0" borderId="31" xfId="2" applyNumberFormat="1" applyFont="1" applyFill="1" applyBorder="1" applyAlignment="1" applyProtection="1">
      <alignment horizontal="center" vertical="center"/>
      <protection hidden="1"/>
    </xf>
    <xf numFmtId="2" fontId="3" fillId="0" borderId="31" xfId="2" applyNumberFormat="1" applyFont="1" applyFill="1" applyBorder="1" applyAlignment="1" applyProtection="1">
      <alignment horizontal="center" vertical="center"/>
      <protection hidden="1"/>
    </xf>
    <xf numFmtId="1" fontId="3" fillId="0" borderId="30" xfId="2" applyNumberFormat="1" applyFont="1" applyFill="1" applyBorder="1" applyAlignment="1" applyProtection="1">
      <alignment horizontal="center" vertical="center"/>
      <protection hidden="1"/>
    </xf>
    <xf numFmtId="1" fontId="3" fillId="0" borderId="29" xfId="2" applyNumberFormat="1" applyFont="1" applyFill="1" applyBorder="1" applyAlignment="1" applyProtection="1">
      <alignment horizontal="center" vertical="center"/>
      <protection hidden="1"/>
    </xf>
    <xf numFmtId="1" fontId="3" fillId="0" borderId="63" xfId="2" applyNumberFormat="1" applyFont="1" applyFill="1" applyBorder="1" applyAlignment="1" applyProtection="1">
      <alignment horizontal="center" vertical="center"/>
      <protection hidden="1"/>
    </xf>
    <xf numFmtId="1" fontId="3" fillId="15" borderId="57" xfId="2" applyNumberFormat="1" applyFont="1" applyFill="1" applyBorder="1" applyAlignment="1" applyProtection="1">
      <alignment horizontal="center" vertical="center"/>
      <protection hidden="1"/>
    </xf>
    <xf numFmtId="2" fontId="3" fillId="15" borderId="57" xfId="2" applyNumberFormat="1" applyFont="1" applyFill="1" applyBorder="1" applyAlignment="1" applyProtection="1">
      <alignment horizontal="center" vertical="center"/>
      <protection hidden="1"/>
    </xf>
    <xf numFmtId="1" fontId="3" fillId="15" borderId="56" xfId="2" applyNumberFormat="1" applyFont="1" applyFill="1" applyBorder="1" applyAlignment="1" applyProtection="1">
      <alignment horizontal="center" vertical="center"/>
      <protection hidden="1"/>
    </xf>
    <xf numFmtId="1" fontId="3" fillId="15" borderId="58" xfId="2" applyNumberFormat="1" applyFont="1" applyFill="1" applyBorder="1" applyAlignment="1" applyProtection="1">
      <alignment horizontal="center" vertical="center"/>
      <protection hidden="1"/>
    </xf>
    <xf numFmtId="1" fontId="3" fillId="0" borderId="65" xfId="2" applyNumberFormat="1" applyFont="1" applyFill="1" applyBorder="1" applyAlignment="1" applyProtection="1">
      <alignment horizontal="center" vertical="center"/>
      <protection hidden="1"/>
    </xf>
    <xf numFmtId="1" fontId="3" fillId="0" borderId="56" xfId="2" applyNumberFormat="1" applyFont="1" applyFill="1" applyBorder="1" applyAlignment="1" applyProtection="1">
      <alignment horizontal="center"/>
      <protection hidden="1"/>
    </xf>
    <xf numFmtId="1" fontId="3" fillId="3" borderId="65" xfId="2" applyNumberFormat="1" applyFont="1" applyFill="1" applyBorder="1" applyAlignment="1" applyProtection="1">
      <alignment horizontal="center"/>
      <protection hidden="1"/>
    </xf>
    <xf numFmtId="1" fontId="3" fillId="0" borderId="63" xfId="2" applyNumberFormat="1" applyFont="1" applyFill="1" applyBorder="1" applyAlignment="1" applyProtection="1">
      <alignment horizontal="center" vertical="center"/>
      <protection locked="0"/>
    </xf>
    <xf numFmtId="1" fontId="3" fillId="15" borderId="57" xfId="2" applyNumberFormat="1" applyFont="1" applyFill="1" applyBorder="1" applyAlignment="1" applyProtection="1">
      <alignment horizontal="center" vertical="center"/>
      <protection locked="0"/>
    </xf>
    <xf numFmtId="2" fontId="3" fillId="15" borderId="57" xfId="2" applyNumberFormat="1" applyFont="1" applyFill="1" applyBorder="1" applyAlignment="1" applyProtection="1">
      <alignment horizontal="center" vertical="center"/>
      <protection locked="0"/>
    </xf>
    <xf numFmtId="1" fontId="3" fillId="15" borderId="56" xfId="2" applyNumberFormat="1" applyFont="1" applyFill="1" applyBorder="1" applyAlignment="1" applyProtection="1">
      <alignment horizontal="center" vertical="center"/>
      <protection locked="0"/>
    </xf>
    <xf numFmtId="1" fontId="3" fillId="15" borderId="58" xfId="2" applyNumberFormat="1" applyFont="1" applyFill="1" applyBorder="1" applyAlignment="1" applyProtection="1">
      <alignment horizontal="center" vertical="center"/>
      <protection locked="0"/>
    </xf>
    <xf numFmtId="1" fontId="3" fillId="0" borderId="57" xfId="2" applyNumberFormat="1" applyFont="1" applyFill="1" applyBorder="1" applyAlignment="1" applyProtection="1">
      <alignment horizontal="center" vertical="center"/>
      <protection hidden="1"/>
    </xf>
    <xf numFmtId="2" fontId="3" fillId="0" borderId="57" xfId="2" applyNumberFormat="1" applyFont="1" applyFill="1" applyBorder="1" applyAlignment="1" applyProtection="1">
      <alignment horizontal="center" vertical="center"/>
      <protection hidden="1"/>
    </xf>
    <xf numFmtId="1" fontId="3" fillId="0" borderId="56" xfId="2" applyNumberFormat="1" applyFont="1" applyFill="1" applyBorder="1" applyAlignment="1" applyProtection="1">
      <alignment horizontal="center" vertical="center"/>
      <protection hidden="1"/>
    </xf>
    <xf numFmtId="1" fontId="3" fillId="0" borderId="58" xfId="2" applyNumberFormat="1" applyFont="1" applyFill="1" applyBorder="1" applyAlignment="1" applyProtection="1">
      <alignment horizontal="center" vertical="center"/>
      <protection hidden="1"/>
    </xf>
    <xf numFmtId="0" fontId="3" fillId="15" borderId="30" xfId="2" applyFont="1" applyFill="1" applyBorder="1" applyAlignment="1">
      <alignment horizontal="center"/>
    </xf>
    <xf numFmtId="164" fontId="3" fillId="15" borderId="29" xfId="2" applyNumberFormat="1" applyFont="1" applyFill="1" applyBorder="1" applyAlignment="1">
      <alignment horizontal="center"/>
    </xf>
    <xf numFmtId="0" fontId="3" fillId="16" borderId="37" xfId="2" applyFont="1" applyFill="1" applyBorder="1" applyAlignment="1" applyProtection="1">
      <alignment horizontal="center" vertical="center"/>
      <protection hidden="1"/>
    </xf>
    <xf numFmtId="0" fontId="3" fillId="15" borderId="56" xfId="2" applyFont="1" applyFill="1" applyBorder="1" applyAlignment="1">
      <alignment horizontal="center"/>
    </xf>
    <xf numFmtId="164" fontId="3" fillId="15" borderId="58" xfId="2" applyNumberFormat="1" applyFont="1" applyFill="1" applyBorder="1" applyAlignment="1">
      <alignment horizontal="center"/>
    </xf>
    <xf numFmtId="0" fontId="3" fillId="16" borderId="26" xfId="2" applyFont="1" applyFill="1" applyBorder="1" applyAlignment="1" applyProtection="1">
      <alignment horizontal="center" vertical="center"/>
      <protection hidden="1"/>
    </xf>
    <xf numFmtId="1" fontId="3" fillId="7" borderId="35" xfId="2" applyNumberFormat="1" applyFont="1" applyFill="1" applyBorder="1" applyAlignment="1">
      <alignment horizontal="center"/>
    </xf>
    <xf numFmtId="2" fontId="3" fillId="7" borderId="24" xfId="2" applyNumberFormat="1" applyFont="1" applyFill="1" applyBorder="1" applyAlignment="1">
      <alignment horizontal="center"/>
    </xf>
    <xf numFmtId="0" fontId="3" fillId="16" borderId="65" xfId="2" applyFont="1" applyFill="1" applyBorder="1" applyAlignment="1" applyProtection="1">
      <alignment horizontal="center" vertical="center"/>
      <protection hidden="1"/>
    </xf>
    <xf numFmtId="1" fontId="3" fillId="7" borderId="14" xfId="2" applyNumberFormat="1" applyFont="1" applyFill="1" applyBorder="1" applyAlignment="1">
      <alignment horizontal="center"/>
    </xf>
    <xf numFmtId="164" fontId="3" fillId="7" borderId="36" xfId="2" applyNumberFormat="1" applyFont="1" applyFill="1" applyBorder="1" applyAlignment="1">
      <alignment horizontal="center"/>
    </xf>
    <xf numFmtId="164" fontId="3" fillId="7" borderId="70" xfId="2" applyNumberFormat="1" applyFont="1" applyFill="1" applyBorder="1" applyAlignment="1">
      <alignment horizontal="center"/>
    </xf>
    <xf numFmtId="0" fontId="3" fillId="7" borderId="37" xfId="2" applyFont="1" applyFill="1" applyBorder="1" applyAlignment="1">
      <alignment horizontal="center"/>
    </xf>
    <xf numFmtId="0" fontId="3" fillId="7" borderId="65" xfId="2" applyFont="1" applyFill="1" applyBorder="1" applyAlignment="1">
      <alignment horizontal="center"/>
    </xf>
    <xf numFmtId="0" fontId="3" fillId="7" borderId="66" xfId="2" applyFont="1" applyFill="1" applyBorder="1" applyAlignment="1">
      <alignment horizontal="center"/>
    </xf>
    <xf numFmtId="164" fontId="3" fillId="7" borderId="46" xfId="2" applyNumberFormat="1" applyFont="1" applyFill="1" applyBorder="1" applyAlignment="1">
      <alignment horizontal="center"/>
    </xf>
    <xf numFmtId="1" fontId="3" fillId="15" borderId="7" xfId="2" applyNumberFormat="1" applyFont="1" applyFill="1" applyBorder="1" applyAlignment="1">
      <alignment horizontal="center"/>
    </xf>
    <xf numFmtId="164" fontId="3" fillId="15" borderId="60" xfId="2" applyNumberFormat="1" applyFont="1" applyFill="1" applyBorder="1" applyAlignment="1">
      <alignment horizontal="center"/>
    </xf>
    <xf numFmtId="0" fontId="3" fillId="16" borderId="66" xfId="2" applyFont="1" applyFill="1" applyBorder="1" applyAlignment="1" applyProtection="1">
      <alignment horizontal="center" vertical="center"/>
      <protection hidden="1"/>
    </xf>
    <xf numFmtId="0" fontId="3" fillId="16" borderId="28" xfId="2" applyFont="1" applyFill="1" applyBorder="1" applyAlignment="1" applyProtection="1">
      <alignment horizontal="center"/>
      <protection hidden="1"/>
    </xf>
    <xf numFmtId="0" fontId="3" fillId="16" borderId="45" xfId="2" applyFont="1" applyFill="1" applyBorder="1" applyAlignment="1" applyProtection="1">
      <alignment horizontal="center"/>
      <protection hidden="1"/>
    </xf>
    <xf numFmtId="0" fontId="3" fillId="16" borderId="2" xfId="2" applyFont="1" applyFill="1" applyBorder="1" applyAlignment="1" applyProtection="1">
      <alignment horizontal="center"/>
      <protection hidden="1"/>
    </xf>
    <xf numFmtId="0" fontId="3" fillId="16" borderId="3" xfId="2" applyFont="1" applyFill="1" applyBorder="1" applyAlignment="1" applyProtection="1">
      <alignment horizontal="center"/>
      <protection hidden="1"/>
    </xf>
    <xf numFmtId="0" fontId="3" fillId="16" borderId="40" xfId="2" applyFont="1" applyFill="1" applyBorder="1" applyAlignment="1" applyProtection="1">
      <alignment horizontal="center"/>
      <protection hidden="1"/>
    </xf>
    <xf numFmtId="0" fontId="3" fillId="16" borderId="1" xfId="2" applyFont="1" applyFill="1" applyBorder="1" applyAlignment="1" applyProtection="1">
      <alignment horizontal="center"/>
      <protection hidden="1"/>
    </xf>
    <xf numFmtId="0" fontId="3" fillId="7" borderId="43" xfId="2" applyFont="1" applyFill="1" applyBorder="1" applyProtection="1">
      <protection hidden="1"/>
    </xf>
    <xf numFmtId="0" fontId="3" fillId="7" borderId="53" xfId="2" applyFont="1" applyFill="1" applyBorder="1" applyProtection="1">
      <protection hidden="1"/>
    </xf>
    <xf numFmtId="0" fontId="3" fillId="7" borderId="49" xfId="2" applyFont="1" applyFill="1" applyBorder="1" applyProtection="1">
      <protection hidden="1"/>
    </xf>
    <xf numFmtId="0" fontId="3" fillId="4" borderId="37" xfId="2" applyFont="1" applyFill="1" applyBorder="1" applyAlignment="1" applyProtection="1">
      <alignment horizontal="center"/>
      <protection hidden="1"/>
    </xf>
    <xf numFmtId="0" fontId="3" fillId="4" borderId="4" xfId="2" applyFont="1" applyFill="1" applyBorder="1" applyAlignment="1" applyProtection="1">
      <alignment horizontal="center"/>
      <protection hidden="1"/>
    </xf>
    <xf numFmtId="0" fontId="3" fillId="7" borderId="14" xfId="2" applyFont="1" applyFill="1" applyBorder="1" applyProtection="1">
      <protection hidden="1"/>
    </xf>
    <xf numFmtId="0" fontId="3" fillId="7" borderId="9" xfId="2" applyFont="1" applyFill="1" applyBorder="1" applyAlignment="1" applyProtection="1">
      <protection hidden="1"/>
    </xf>
    <xf numFmtId="1" fontId="3" fillId="4" borderId="28" xfId="2" applyNumberFormat="1" applyFont="1" applyFill="1" applyBorder="1" applyAlignment="1" applyProtection="1">
      <alignment horizontal="center"/>
      <protection hidden="1"/>
    </xf>
    <xf numFmtId="0" fontId="3" fillId="3" borderId="37" xfId="2" applyFont="1" applyFill="1" applyBorder="1" applyAlignment="1" applyProtection="1">
      <alignment horizontal="left" vertical="center"/>
      <protection hidden="1"/>
    </xf>
    <xf numFmtId="167" fontId="3" fillId="4" borderId="41" xfId="2" applyNumberFormat="1" applyFont="1" applyFill="1" applyBorder="1" applyAlignment="1" applyProtection="1">
      <alignment horizontal="center"/>
      <protection hidden="1"/>
    </xf>
    <xf numFmtId="167" fontId="3" fillId="4" borderId="40" xfId="2" applyNumberFormat="1" applyFont="1" applyFill="1" applyBorder="1" applyAlignment="1" applyProtection="1">
      <alignment horizontal="center"/>
      <protection hidden="1"/>
    </xf>
    <xf numFmtId="167" fontId="3" fillId="4" borderId="38" xfId="2" applyNumberFormat="1" applyFont="1" applyFill="1" applyBorder="1" applyAlignment="1" applyProtection="1">
      <alignment horizontal="center"/>
      <protection hidden="1"/>
    </xf>
    <xf numFmtId="1" fontId="3" fillId="4" borderId="1" xfId="2" applyNumberFormat="1" applyFont="1" applyFill="1" applyBorder="1" applyAlignment="1" applyProtection="1">
      <alignment horizontal="center"/>
      <protection hidden="1"/>
    </xf>
    <xf numFmtId="1" fontId="3" fillId="3" borderId="28" xfId="2" applyNumberFormat="1" applyFont="1" applyFill="1" applyBorder="1" applyAlignment="1" applyProtection="1">
      <protection hidden="1"/>
    </xf>
    <xf numFmtId="1" fontId="3" fillId="3" borderId="10" xfId="2" applyNumberFormat="1" applyFont="1" applyFill="1" applyBorder="1" applyAlignment="1" applyProtection="1">
      <alignment horizontal="center" vertical="center"/>
      <protection hidden="1"/>
    </xf>
    <xf numFmtId="1" fontId="3" fillId="3" borderId="11" xfId="2" applyNumberFormat="1" applyFont="1" applyFill="1" applyBorder="1" applyAlignment="1" applyProtection="1">
      <alignment horizontal="center" vertical="center"/>
      <protection hidden="1"/>
    </xf>
    <xf numFmtId="1" fontId="3" fillId="3" borderId="13" xfId="2" applyNumberFormat="1" applyFont="1" applyFill="1" applyBorder="1" applyAlignment="1" applyProtection="1">
      <alignment horizontal="center" vertical="center"/>
      <protection hidden="1"/>
    </xf>
    <xf numFmtId="1" fontId="3" fillId="3" borderId="9" xfId="2" applyNumberFormat="1" applyFont="1" applyFill="1" applyBorder="1" applyAlignment="1" applyProtection="1">
      <alignment horizontal="center" vertical="center"/>
      <protection hidden="1"/>
    </xf>
    <xf numFmtId="0" fontId="3" fillId="3" borderId="3" xfId="2" applyFont="1" applyFill="1" applyBorder="1" applyAlignment="1" applyProtection="1">
      <alignment horizontal="center" vertical="center"/>
      <protection hidden="1"/>
    </xf>
    <xf numFmtId="0" fontId="3" fillId="3" borderId="28" xfId="2" applyFont="1" applyFill="1" applyBorder="1" applyAlignment="1" applyProtection="1">
      <alignment horizontal="center" vertical="center"/>
      <protection hidden="1"/>
    </xf>
    <xf numFmtId="167" fontId="3" fillId="18" borderId="38" xfId="2" applyNumberFormat="1" applyFont="1" applyFill="1" applyBorder="1" applyAlignment="1" applyProtection="1">
      <alignment horizontal="center"/>
      <protection hidden="1"/>
    </xf>
    <xf numFmtId="0" fontId="3" fillId="4" borderId="43" xfId="2" applyFont="1" applyFill="1" applyBorder="1" applyProtection="1">
      <protection hidden="1"/>
    </xf>
    <xf numFmtId="0" fontId="3" fillId="4" borderId="9" xfId="2" applyFont="1" applyFill="1" applyBorder="1" applyAlignment="1" applyProtection="1">
      <protection hidden="1"/>
    </xf>
    <xf numFmtId="167" fontId="3" fillId="4" borderId="32" xfId="2" applyNumberFormat="1" applyFont="1" applyFill="1" applyBorder="1" applyAlignment="1" applyProtection="1">
      <alignment horizontal="center"/>
      <protection hidden="1"/>
    </xf>
    <xf numFmtId="167" fontId="3" fillId="4" borderId="30" xfId="2" applyNumberFormat="1" applyFont="1" applyFill="1" applyBorder="1" applyAlignment="1" applyProtection="1">
      <alignment horizontal="center"/>
      <protection hidden="1"/>
    </xf>
    <xf numFmtId="167" fontId="3" fillId="4" borderId="29" xfId="2" applyNumberFormat="1" applyFont="1" applyFill="1" applyBorder="1" applyAlignment="1" applyProtection="1">
      <alignment horizontal="center"/>
      <protection hidden="1"/>
    </xf>
    <xf numFmtId="1" fontId="3" fillId="3" borderId="33" xfId="2" applyNumberFormat="1" applyFont="1" applyFill="1" applyBorder="1" applyAlignment="1" applyProtection="1">
      <alignment horizontal="center"/>
      <protection hidden="1"/>
    </xf>
    <xf numFmtId="1" fontId="3" fillId="3" borderId="37" xfId="2" applyNumberFormat="1" applyFont="1" applyFill="1" applyBorder="1" applyAlignment="1" applyProtection="1">
      <protection hidden="1"/>
    </xf>
    <xf numFmtId="167" fontId="3" fillId="10" borderId="32" xfId="2" applyNumberFormat="1" applyFont="1" applyFill="1" applyBorder="1" applyAlignment="1" applyProtection="1">
      <alignment horizontal="center" vertical="center"/>
      <protection hidden="1"/>
    </xf>
    <xf numFmtId="167" fontId="3" fillId="4" borderId="21" xfId="2" applyNumberFormat="1" applyFont="1" applyFill="1" applyBorder="1" applyAlignment="1" applyProtection="1">
      <alignment horizontal="center"/>
      <protection hidden="1"/>
    </xf>
    <xf numFmtId="167" fontId="3" fillId="4" borderId="19" xfId="2" applyNumberFormat="1" applyFont="1" applyFill="1" applyBorder="1" applyAlignment="1" applyProtection="1">
      <alignment horizontal="center"/>
      <protection hidden="1"/>
    </xf>
    <xf numFmtId="167" fontId="3" fillId="4" borderId="18" xfId="2" applyNumberFormat="1" applyFont="1" applyFill="1" applyBorder="1" applyAlignment="1" applyProtection="1">
      <alignment horizontal="center"/>
      <protection hidden="1"/>
    </xf>
    <xf numFmtId="1" fontId="3" fillId="3" borderId="22" xfId="2" applyNumberFormat="1" applyFont="1" applyFill="1" applyBorder="1" applyAlignment="1" applyProtection="1">
      <alignment horizontal="center"/>
      <protection hidden="1"/>
    </xf>
    <xf numFmtId="1" fontId="3" fillId="3" borderId="26" xfId="2" applyNumberFormat="1" applyFont="1" applyFill="1" applyBorder="1" applyAlignment="1" applyProtection="1">
      <protection hidden="1"/>
    </xf>
    <xf numFmtId="2" fontId="3" fillId="10" borderId="61" xfId="2" applyNumberFormat="1" applyFont="1" applyFill="1" applyBorder="1" applyAlignment="1" applyProtection="1">
      <alignment horizontal="center" vertical="center"/>
      <protection hidden="1"/>
    </xf>
    <xf numFmtId="0" fontId="3" fillId="3" borderId="66" xfId="2" applyFont="1" applyFill="1" applyBorder="1" applyAlignment="1" applyProtection="1">
      <alignment horizontal="left" vertical="center"/>
      <protection hidden="1"/>
    </xf>
    <xf numFmtId="167" fontId="3" fillId="4" borderId="63" xfId="2" applyNumberFormat="1" applyFont="1" applyFill="1" applyBorder="1" applyAlignment="1" applyProtection="1">
      <alignment horizontal="center"/>
      <protection hidden="1"/>
    </xf>
    <xf numFmtId="167" fontId="3" fillId="4" borderId="56" xfId="2" applyNumberFormat="1" applyFont="1" applyFill="1" applyBorder="1" applyAlignment="1" applyProtection="1">
      <alignment horizontal="center"/>
      <protection hidden="1"/>
    </xf>
    <xf numFmtId="167" fontId="3" fillId="4" borderId="58" xfId="2" applyNumberFormat="1" applyFont="1" applyFill="1" applyBorder="1" applyAlignment="1" applyProtection="1">
      <alignment horizontal="center"/>
      <protection hidden="1"/>
    </xf>
    <xf numFmtId="1" fontId="3" fillId="3" borderId="62" xfId="2" applyNumberFormat="1" applyFont="1" applyFill="1" applyBorder="1" applyAlignment="1" applyProtection="1">
      <alignment horizontal="center"/>
      <protection hidden="1"/>
    </xf>
    <xf numFmtId="1" fontId="3" fillId="3" borderId="65" xfId="2" applyNumberFormat="1" applyFont="1" applyFill="1" applyBorder="1" applyAlignment="1" applyProtection="1">
      <protection hidden="1"/>
    </xf>
    <xf numFmtId="167" fontId="3" fillId="4" borderId="61" xfId="2" applyNumberFormat="1" applyFont="1" applyFill="1" applyBorder="1" applyAlignment="1" applyProtection="1">
      <alignment horizontal="center"/>
      <protection hidden="1"/>
    </xf>
    <xf numFmtId="167" fontId="3" fillId="4" borderId="7" xfId="2" applyNumberFormat="1" applyFont="1" applyFill="1" applyBorder="1" applyAlignment="1" applyProtection="1">
      <alignment horizontal="center"/>
      <protection hidden="1"/>
    </xf>
    <xf numFmtId="167" fontId="3" fillId="4" borderId="60" xfId="2" applyNumberFormat="1" applyFont="1" applyFill="1" applyBorder="1" applyAlignment="1" applyProtection="1">
      <alignment horizontal="center"/>
      <protection hidden="1"/>
    </xf>
    <xf numFmtId="1" fontId="3" fillId="3" borderId="27" xfId="2" applyNumberFormat="1" applyFont="1" applyFill="1" applyBorder="1" applyAlignment="1" applyProtection="1">
      <alignment horizontal="center"/>
      <protection hidden="1"/>
    </xf>
    <xf numFmtId="1" fontId="3" fillId="3" borderId="55" xfId="2" applyNumberFormat="1" applyFont="1" applyFill="1" applyBorder="1" applyAlignment="1" applyProtection="1">
      <protection hidden="1"/>
    </xf>
    <xf numFmtId="0" fontId="3" fillId="4" borderId="32" xfId="2" applyNumberFormat="1" applyFont="1" applyFill="1" applyBorder="1" applyAlignment="1" applyProtection="1">
      <alignment horizontal="center" vertical="center"/>
      <protection hidden="1"/>
    </xf>
    <xf numFmtId="1" fontId="3" fillId="3" borderId="41" xfId="2" applyNumberFormat="1" applyFont="1" applyFill="1" applyBorder="1" applyAlignment="1" applyProtection="1">
      <alignment horizontal="center" vertical="center"/>
      <protection hidden="1"/>
    </xf>
    <xf numFmtId="1" fontId="3" fillId="3" borderId="40" xfId="2" applyNumberFormat="1" applyFont="1" applyFill="1" applyBorder="1" applyAlignment="1" applyProtection="1">
      <alignment horizontal="center" vertical="center"/>
      <protection hidden="1"/>
    </xf>
    <xf numFmtId="1" fontId="3" fillId="3" borderId="45" xfId="2" applyNumberFormat="1" applyFont="1" applyFill="1" applyBorder="1" applyAlignment="1" applyProtection="1">
      <alignment horizontal="center" vertical="center"/>
      <protection hidden="1"/>
    </xf>
    <xf numFmtId="1" fontId="3" fillId="3" borderId="1" xfId="2" applyNumberFormat="1" applyFont="1" applyFill="1" applyBorder="1" applyAlignment="1" applyProtection="1">
      <alignment horizontal="center" vertical="center"/>
      <protection hidden="1"/>
    </xf>
    <xf numFmtId="0" fontId="3" fillId="3" borderId="44" xfId="2" applyFont="1" applyFill="1" applyBorder="1" applyAlignment="1" applyProtection="1">
      <alignment horizontal="center" vertical="center"/>
      <protection hidden="1"/>
    </xf>
    <xf numFmtId="0" fontId="3" fillId="3" borderId="16" xfId="2" applyFont="1" applyFill="1" applyBorder="1" applyAlignment="1" applyProtection="1">
      <alignment horizontal="center" vertical="center"/>
      <protection hidden="1"/>
    </xf>
    <xf numFmtId="0" fontId="3" fillId="4" borderId="63" xfId="2" applyNumberFormat="1" applyFont="1" applyFill="1" applyBorder="1" applyAlignment="1" applyProtection="1">
      <alignment horizontal="center" vertical="center"/>
      <protection hidden="1"/>
    </xf>
    <xf numFmtId="0" fontId="3" fillId="3" borderId="65" xfId="2" applyFont="1" applyFill="1" applyBorder="1" applyAlignment="1" applyProtection="1">
      <alignment horizontal="left" vertical="center"/>
      <protection hidden="1"/>
    </xf>
    <xf numFmtId="0" fontId="3" fillId="3" borderId="4" xfId="2" applyFont="1" applyFill="1" applyBorder="1" applyAlignment="1" applyProtection="1">
      <alignment horizontal="center" vertical="center"/>
      <protection hidden="1"/>
    </xf>
    <xf numFmtId="0" fontId="3" fillId="4" borderId="61" xfId="2" applyNumberFormat="1" applyFont="1" applyFill="1" applyBorder="1" applyAlignment="1" applyProtection="1">
      <alignment horizontal="center" vertical="center"/>
      <protection hidden="1"/>
    </xf>
    <xf numFmtId="164" fontId="3" fillId="4" borderId="32" xfId="2" applyNumberFormat="1" applyFont="1" applyFill="1" applyBorder="1" applyAlignment="1" applyProtection="1">
      <alignment horizontal="center"/>
      <protection hidden="1"/>
    </xf>
    <xf numFmtId="164" fontId="3" fillId="10" borderId="32" xfId="2" applyNumberFormat="1" applyFont="1" applyFill="1" applyBorder="1" applyAlignment="1" applyProtection="1">
      <alignment horizontal="center"/>
      <protection hidden="1"/>
    </xf>
    <xf numFmtId="164" fontId="3" fillId="10" borderId="30" xfId="2" applyNumberFormat="1" applyFont="1" applyFill="1" applyBorder="1" applyAlignment="1" applyProtection="1">
      <alignment horizontal="center"/>
      <protection hidden="1"/>
    </xf>
    <xf numFmtId="164" fontId="3" fillId="10" borderId="29" xfId="2" applyNumberFormat="1" applyFont="1" applyFill="1" applyBorder="1" applyAlignment="1" applyProtection="1">
      <alignment horizontal="center"/>
      <protection hidden="1"/>
    </xf>
    <xf numFmtId="1" fontId="3" fillId="4" borderId="32" xfId="2" applyNumberFormat="1" applyFont="1" applyFill="1" applyBorder="1" applyAlignment="1" applyProtection="1">
      <alignment horizontal="center" vertical="center"/>
      <protection hidden="1"/>
    </xf>
    <xf numFmtId="164" fontId="3" fillId="4" borderId="21" xfId="2" applyNumberFormat="1" applyFont="1" applyFill="1" applyBorder="1" applyAlignment="1" applyProtection="1">
      <alignment horizontal="center"/>
      <protection hidden="1"/>
    </xf>
    <xf numFmtId="164" fontId="3" fillId="10" borderId="21" xfId="2" applyNumberFormat="1" applyFont="1" applyFill="1" applyBorder="1" applyAlignment="1" applyProtection="1">
      <alignment horizontal="center"/>
      <protection hidden="1"/>
    </xf>
    <xf numFmtId="164" fontId="3" fillId="10" borderId="19" xfId="2" applyNumberFormat="1" applyFont="1" applyFill="1" applyBorder="1" applyAlignment="1" applyProtection="1">
      <alignment horizontal="center"/>
      <protection hidden="1"/>
    </xf>
    <xf numFmtId="164" fontId="3" fillId="10" borderId="18" xfId="2" applyNumberFormat="1" applyFont="1" applyFill="1" applyBorder="1" applyAlignment="1" applyProtection="1">
      <alignment horizontal="center"/>
      <protection hidden="1"/>
    </xf>
    <xf numFmtId="1" fontId="3" fillId="4" borderId="63" xfId="2" applyNumberFormat="1" applyFont="1" applyFill="1" applyBorder="1" applyAlignment="1" applyProtection="1">
      <alignment horizontal="center" vertical="center"/>
      <protection hidden="1"/>
    </xf>
    <xf numFmtId="164" fontId="3" fillId="4" borderId="63" xfId="2" applyNumberFormat="1" applyFont="1" applyFill="1" applyBorder="1" applyAlignment="1" applyProtection="1">
      <alignment horizontal="center"/>
      <protection hidden="1"/>
    </xf>
    <xf numFmtId="164" fontId="3" fillId="10" borderId="63" xfId="2" applyNumberFormat="1" applyFont="1" applyFill="1" applyBorder="1" applyAlignment="1" applyProtection="1">
      <alignment horizontal="center"/>
      <protection hidden="1"/>
    </xf>
    <xf numFmtId="164" fontId="3" fillId="10" borderId="56" xfId="2" applyNumberFormat="1" applyFont="1" applyFill="1" applyBorder="1" applyAlignment="1" applyProtection="1">
      <alignment horizontal="center"/>
      <protection hidden="1"/>
    </xf>
    <xf numFmtId="164" fontId="3" fillId="10" borderId="58" xfId="2" applyNumberFormat="1" applyFont="1" applyFill="1" applyBorder="1" applyAlignment="1" applyProtection="1">
      <alignment horizontal="center"/>
      <protection hidden="1"/>
    </xf>
    <xf numFmtId="1" fontId="3" fillId="4" borderId="61" xfId="2" applyNumberFormat="1" applyFont="1" applyFill="1" applyBorder="1" applyAlignment="1" applyProtection="1">
      <alignment horizontal="center" vertical="center"/>
      <protection hidden="1"/>
    </xf>
    <xf numFmtId="1" fontId="3" fillId="0" borderId="48" xfId="2" applyNumberFormat="1" applyFont="1" applyFill="1" applyBorder="1" applyAlignment="1" applyProtection="1">
      <alignment horizontal="center"/>
      <protection hidden="1"/>
    </xf>
    <xf numFmtId="1" fontId="3" fillId="15" borderId="71" xfId="2" applyNumberFormat="1" applyFont="1" applyFill="1" applyBorder="1" applyAlignment="1" applyProtection="1">
      <alignment horizontal="center"/>
      <protection hidden="1"/>
    </xf>
    <xf numFmtId="2" fontId="3" fillId="15" borderId="71" xfId="2" applyNumberFormat="1" applyFont="1" applyFill="1" applyBorder="1" applyAlignment="1" applyProtection="1">
      <alignment horizontal="center"/>
      <protection hidden="1"/>
    </xf>
    <xf numFmtId="1" fontId="3" fillId="15" borderId="59" xfId="2" applyNumberFormat="1" applyFont="1" applyFill="1" applyBorder="1" applyAlignment="1" applyProtection="1">
      <alignment horizontal="center"/>
      <protection hidden="1"/>
    </xf>
    <xf numFmtId="1" fontId="3" fillId="0" borderId="59" xfId="2" applyNumberFormat="1" applyFont="1" applyFill="1" applyBorder="1" applyAlignment="1" applyProtection="1">
      <alignment horizontal="center"/>
      <protection hidden="1"/>
    </xf>
    <xf numFmtId="1" fontId="3" fillId="3" borderId="66" xfId="2" applyNumberFormat="1" applyFont="1" applyFill="1" applyBorder="1" applyAlignment="1" applyProtection="1">
      <alignment horizontal="center"/>
      <protection hidden="1"/>
    </xf>
    <xf numFmtId="1" fontId="3" fillId="0" borderId="10" xfId="2" applyNumberFormat="1" applyFont="1" applyFill="1" applyBorder="1" applyAlignment="1" applyProtection="1">
      <alignment horizontal="center" vertical="center"/>
      <protection locked="0"/>
    </xf>
    <xf numFmtId="1" fontId="3" fillId="15" borderId="52" xfId="2" applyNumberFormat="1" applyFont="1" applyFill="1" applyBorder="1" applyAlignment="1" applyProtection="1">
      <alignment horizontal="center" vertical="center"/>
      <protection locked="0"/>
    </xf>
    <xf numFmtId="1" fontId="3" fillId="0" borderId="10" xfId="2" applyNumberFormat="1" applyFont="1" applyFill="1" applyBorder="1" applyAlignment="1" applyProtection="1">
      <alignment horizontal="center" vertical="center"/>
      <protection hidden="1"/>
    </xf>
    <xf numFmtId="1" fontId="3" fillId="0" borderId="13" xfId="2" applyNumberFormat="1" applyFont="1" applyFill="1" applyBorder="1" applyAlignment="1" applyProtection="1">
      <alignment horizontal="center" vertical="center"/>
      <protection hidden="1"/>
    </xf>
    <xf numFmtId="2" fontId="3" fillId="0" borderId="13" xfId="2" applyNumberFormat="1" applyFont="1" applyFill="1" applyBorder="1" applyAlignment="1" applyProtection="1">
      <alignment horizontal="center" vertical="center"/>
      <protection hidden="1"/>
    </xf>
    <xf numFmtId="1" fontId="3" fillId="0" borderId="11" xfId="2" applyNumberFormat="1" applyFont="1" applyFill="1" applyBorder="1" applyAlignment="1" applyProtection="1">
      <alignment horizontal="center" vertical="center"/>
      <protection hidden="1"/>
    </xf>
    <xf numFmtId="1" fontId="3" fillId="0" borderId="6" xfId="2" applyNumberFormat="1" applyFont="1" applyFill="1" applyBorder="1" applyAlignment="1" applyProtection="1">
      <alignment horizontal="center" vertical="center"/>
      <protection hidden="1"/>
    </xf>
    <xf numFmtId="164" fontId="3" fillId="4" borderId="61" xfId="2" applyNumberFormat="1" applyFont="1" applyFill="1" applyBorder="1" applyAlignment="1" applyProtection="1">
      <alignment horizontal="center"/>
      <protection hidden="1"/>
    </xf>
    <xf numFmtId="164" fontId="3" fillId="10" borderId="61" xfId="2" applyNumberFormat="1" applyFont="1" applyFill="1" applyBorder="1" applyAlignment="1" applyProtection="1">
      <alignment horizontal="center"/>
      <protection hidden="1"/>
    </xf>
    <xf numFmtId="164" fontId="3" fillId="10" borderId="7" xfId="2" applyNumberFormat="1" applyFont="1" applyFill="1" applyBorder="1" applyAlignment="1" applyProtection="1">
      <alignment horizontal="center"/>
      <protection hidden="1"/>
    </xf>
    <xf numFmtId="164" fontId="3" fillId="10" borderId="60" xfId="2" applyNumberFormat="1" applyFont="1" applyFill="1" applyBorder="1" applyAlignment="1" applyProtection="1">
      <alignment horizontal="center"/>
      <protection hidden="1"/>
    </xf>
    <xf numFmtId="1" fontId="3" fillId="19" borderId="38" xfId="2" applyNumberFormat="1" applyFont="1" applyFill="1" applyBorder="1" applyAlignment="1" applyProtection="1">
      <alignment horizontal="center" vertical="center"/>
      <protection hidden="1"/>
    </xf>
    <xf numFmtId="1" fontId="3" fillId="3" borderId="28" xfId="2" applyNumberFormat="1" applyFont="1" applyFill="1" applyBorder="1" applyAlignment="1" applyProtection="1">
      <alignment horizontal="center" vertical="center"/>
      <protection hidden="1"/>
    </xf>
    <xf numFmtId="0" fontId="3" fillId="3" borderId="40" xfId="2" applyFont="1" applyFill="1" applyBorder="1" applyAlignment="1" applyProtection="1">
      <alignment horizontal="center" vertical="center"/>
      <protection hidden="1"/>
    </xf>
    <xf numFmtId="1" fontId="3" fillId="3" borderId="38" xfId="2" applyNumberFormat="1" applyFont="1" applyFill="1" applyBorder="1" applyAlignment="1" applyProtection="1">
      <alignment horizontal="center" vertical="center"/>
      <protection hidden="1"/>
    </xf>
    <xf numFmtId="1" fontId="3" fillId="3" borderId="2" xfId="2" applyNumberFormat="1" applyFont="1" applyFill="1" applyBorder="1" applyAlignment="1" applyProtection="1">
      <alignment horizontal="center" vertical="center"/>
      <protection hidden="1"/>
    </xf>
    <xf numFmtId="164" fontId="3" fillId="0" borderId="32" xfId="2" applyNumberFormat="1" applyFont="1" applyFill="1" applyBorder="1" applyAlignment="1" applyProtection="1">
      <alignment horizontal="center" vertical="center"/>
      <protection hidden="1"/>
    </xf>
    <xf numFmtId="167" fontId="3" fillId="0" borderId="34" xfId="2" applyNumberFormat="1" applyFont="1" applyFill="1" applyBorder="1" applyAlignment="1" applyProtection="1">
      <alignment horizontal="center" vertical="center"/>
      <protection hidden="1"/>
    </xf>
    <xf numFmtId="0" fontId="3" fillId="3" borderId="37" xfId="2" applyFont="1" applyFill="1" applyBorder="1" applyAlignment="1" applyProtection="1">
      <alignment horizontal="center" vertical="center"/>
      <protection hidden="1"/>
    </xf>
    <xf numFmtId="1" fontId="3" fillId="0" borderId="34" xfId="2" applyNumberFormat="1" applyFont="1" applyFill="1" applyBorder="1" applyAlignment="1" applyProtection="1">
      <alignment horizontal="center" vertical="center"/>
      <protection hidden="1"/>
    </xf>
    <xf numFmtId="164" fontId="3" fillId="0" borderId="61" xfId="2" applyNumberFormat="1" applyFont="1" applyFill="1" applyBorder="1" applyAlignment="1" applyProtection="1">
      <alignment horizontal="center" vertical="center"/>
      <protection hidden="1"/>
    </xf>
    <xf numFmtId="1" fontId="3" fillId="0" borderId="7" xfId="2" applyNumberFormat="1" applyFont="1" applyFill="1" applyBorder="1" applyAlignment="1" applyProtection="1">
      <alignment horizontal="center" vertical="center"/>
      <protection hidden="1"/>
    </xf>
    <xf numFmtId="2" fontId="3" fillId="0" borderId="72" xfId="2" applyNumberFormat="1" applyFont="1" applyFill="1" applyBorder="1" applyAlignment="1" applyProtection="1">
      <alignment horizontal="center" vertical="center"/>
      <protection hidden="1"/>
    </xf>
    <xf numFmtId="1" fontId="3" fillId="0" borderId="60" xfId="2" applyNumberFormat="1" applyFont="1" applyFill="1" applyBorder="1" applyAlignment="1" applyProtection="1">
      <alignment horizontal="center" vertical="center"/>
      <protection hidden="1"/>
    </xf>
    <xf numFmtId="0" fontId="3" fillId="3" borderId="66" xfId="2" applyFont="1" applyFill="1" applyBorder="1" applyAlignment="1" applyProtection="1">
      <alignment horizontal="center" vertical="center"/>
      <protection hidden="1"/>
    </xf>
    <xf numFmtId="1" fontId="3" fillId="0" borderId="72" xfId="2" applyNumberFormat="1" applyFont="1" applyFill="1" applyBorder="1" applyAlignment="1" applyProtection="1">
      <alignment horizontal="center" vertical="center"/>
      <protection hidden="1"/>
    </xf>
    <xf numFmtId="0" fontId="3" fillId="4" borderId="28" xfId="2" applyFont="1" applyFill="1" applyBorder="1" applyAlignment="1" applyProtection="1">
      <alignment horizontal="center"/>
      <protection hidden="1"/>
    </xf>
    <xf numFmtId="0" fontId="3" fillId="15" borderId="7" xfId="2" applyFont="1" applyFill="1" applyBorder="1" applyAlignment="1">
      <alignment horizontal="center"/>
    </xf>
    <xf numFmtId="1" fontId="3" fillId="15" borderId="61" xfId="2" applyNumberFormat="1" applyFont="1" applyFill="1" applyBorder="1" applyAlignment="1">
      <alignment horizontal="center"/>
    </xf>
    <xf numFmtId="1" fontId="3" fillId="15" borderId="56" xfId="2" applyNumberFormat="1" applyFont="1" applyFill="1" applyBorder="1" applyAlignment="1">
      <alignment horizontal="center"/>
    </xf>
    <xf numFmtId="1" fontId="3" fillId="15" borderId="63" xfId="2" applyNumberFormat="1" applyFont="1" applyFill="1" applyBorder="1" applyAlignment="1">
      <alignment horizontal="center"/>
    </xf>
    <xf numFmtId="1" fontId="3" fillId="15" borderId="30" xfId="2" applyNumberFormat="1" applyFont="1" applyFill="1" applyBorder="1" applyAlignment="1">
      <alignment horizontal="center"/>
    </xf>
    <xf numFmtId="1" fontId="3" fillId="15" borderId="32" xfId="2" applyNumberFormat="1" applyFont="1" applyFill="1" applyBorder="1" applyAlignment="1">
      <alignment horizontal="center"/>
    </xf>
    <xf numFmtId="164" fontId="3" fillId="10" borderId="3" xfId="2" applyNumberFormat="1" applyFont="1" applyFill="1" applyBorder="1" applyAlignment="1" applyProtection="1">
      <alignment horizontal="center" vertical="center"/>
      <protection locked="0"/>
    </xf>
    <xf numFmtId="2" fontId="3" fillId="0" borderId="59" xfId="0" applyNumberFormat="1" applyFont="1" applyFill="1" applyBorder="1" applyAlignment="1" applyProtection="1">
      <alignment horizontal="center" vertical="center"/>
      <protection hidden="1"/>
    </xf>
    <xf numFmtId="2" fontId="3" fillId="0" borderId="56" xfId="0" applyNumberFormat="1" applyFont="1" applyFill="1" applyBorder="1" applyAlignment="1" applyProtection="1">
      <alignment horizontal="center" vertical="center"/>
      <protection hidden="1"/>
    </xf>
    <xf numFmtId="1" fontId="4" fillId="0" borderId="60" xfId="0" applyNumberFormat="1" applyFont="1" applyFill="1" applyBorder="1" applyAlignment="1" applyProtection="1">
      <alignment horizontal="center" vertical="center"/>
      <protection hidden="1"/>
    </xf>
    <xf numFmtId="1" fontId="4" fillId="0" borderId="58" xfId="0" applyNumberFormat="1" applyFont="1" applyFill="1" applyBorder="1" applyAlignment="1" applyProtection="1">
      <alignment horizontal="center" vertical="center"/>
      <protection hidden="1"/>
    </xf>
    <xf numFmtId="0" fontId="0" fillId="0" borderId="0" xfId="0" applyFill="1"/>
    <xf numFmtId="0" fontId="3" fillId="12" borderId="1" xfId="2" applyFont="1" applyFill="1" applyBorder="1" applyAlignment="1" applyProtection="1">
      <alignment horizontal="center"/>
      <protection hidden="1"/>
    </xf>
    <xf numFmtId="1" fontId="3" fillId="10" borderId="27" xfId="2" applyNumberFormat="1" applyFont="1" applyFill="1" applyBorder="1" applyAlignment="1" applyProtection="1">
      <alignment horizontal="center" vertical="center"/>
      <protection locked="0"/>
    </xf>
    <xf numFmtId="1" fontId="3" fillId="10" borderId="64" xfId="2" applyNumberFormat="1" applyFont="1" applyFill="1" applyBorder="1" applyAlignment="1" applyProtection="1">
      <alignment horizontal="center" vertical="center"/>
      <protection locked="0"/>
    </xf>
    <xf numFmtId="164" fontId="4" fillId="0" borderId="47" xfId="0" applyNumberFormat="1" applyFont="1" applyFill="1" applyBorder="1" applyAlignment="1" applyProtection="1">
      <alignment horizontal="center" vertical="center"/>
      <protection hidden="1"/>
    </xf>
    <xf numFmtId="164" fontId="4" fillId="0" borderId="48" xfId="0" applyNumberFormat="1" applyFont="1" applyFill="1" applyBorder="1" applyAlignment="1" applyProtection="1">
      <alignment horizontal="center" vertical="center"/>
      <protection hidden="1"/>
    </xf>
    <xf numFmtId="164" fontId="4" fillId="0" borderId="58" xfId="0" applyNumberFormat="1" applyFont="1" applyFill="1" applyBorder="1" applyAlignment="1" applyProtection="1">
      <alignment horizontal="center" vertical="center"/>
      <protection hidden="1"/>
    </xf>
    <xf numFmtId="164" fontId="4" fillId="0" borderId="63" xfId="0" applyNumberFormat="1" applyFont="1" applyFill="1" applyBorder="1" applyAlignment="1" applyProtection="1">
      <alignment horizontal="center" vertical="center"/>
      <protection hidden="1"/>
    </xf>
    <xf numFmtId="164" fontId="4" fillId="0" borderId="29" xfId="0" applyNumberFormat="1" applyFont="1" applyFill="1" applyBorder="1" applyAlignment="1" applyProtection="1">
      <alignment horizontal="center" vertical="center"/>
      <protection hidden="1"/>
    </xf>
    <xf numFmtId="164" fontId="4" fillId="0" borderId="30" xfId="0" applyNumberFormat="1" applyFont="1" applyFill="1" applyBorder="1" applyAlignment="1" applyProtection="1">
      <alignment horizontal="center" vertical="center"/>
      <protection hidden="1"/>
    </xf>
    <xf numFmtId="164" fontId="4" fillId="0" borderId="32" xfId="0" applyNumberFormat="1" applyFont="1" applyFill="1" applyBorder="1" applyAlignment="1" applyProtection="1">
      <alignment horizontal="center" vertical="center"/>
      <protection hidden="1"/>
    </xf>
    <xf numFmtId="1" fontId="4" fillId="0" borderId="47" xfId="0" applyNumberFormat="1" applyFont="1" applyFill="1" applyBorder="1" applyAlignment="1" applyProtection="1">
      <alignment horizontal="center" vertical="center"/>
      <protection hidden="1"/>
    </xf>
    <xf numFmtId="1" fontId="4" fillId="0" borderId="48" xfId="0" applyNumberFormat="1" applyFont="1" applyFill="1" applyBorder="1" applyAlignment="1" applyProtection="1">
      <alignment horizontal="center" vertical="center"/>
      <protection hidden="1"/>
    </xf>
    <xf numFmtId="1" fontId="4" fillId="0" borderId="63" xfId="0" applyNumberFormat="1" applyFont="1" applyFill="1" applyBorder="1" applyAlignment="1" applyProtection="1">
      <alignment horizontal="center" vertical="center"/>
      <protection hidden="1"/>
    </xf>
    <xf numFmtId="1" fontId="4" fillId="0" borderId="29" xfId="0" applyNumberFormat="1" applyFont="1" applyFill="1" applyBorder="1" applyAlignment="1" applyProtection="1">
      <alignment horizontal="center" vertical="center"/>
      <protection hidden="1"/>
    </xf>
    <xf numFmtId="1" fontId="4" fillId="0" borderId="30" xfId="0" applyNumberFormat="1" applyFont="1" applyFill="1" applyBorder="1" applyAlignment="1" applyProtection="1">
      <alignment horizontal="center" vertical="center"/>
      <protection hidden="1"/>
    </xf>
    <xf numFmtId="1" fontId="4" fillId="0" borderId="32" xfId="0" applyNumberFormat="1" applyFont="1" applyFill="1" applyBorder="1" applyAlignment="1" applyProtection="1">
      <alignment horizontal="center" vertical="center"/>
      <protection hidden="1"/>
    </xf>
    <xf numFmtId="2" fontId="4" fillId="0" borderId="48" xfId="0" applyNumberFormat="1" applyFont="1" applyFill="1" applyBorder="1" applyAlignment="1" applyProtection="1">
      <alignment horizontal="center" vertical="center"/>
      <protection hidden="1"/>
    </xf>
    <xf numFmtId="2" fontId="4" fillId="0" borderId="63" xfId="0" applyNumberFormat="1" applyFont="1" applyFill="1" applyBorder="1" applyAlignment="1" applyProtection="1">
      <alignment horizontal="center" vertical="center"/>
      <protection hidden="1"/>
    </xf>
    <xf numFmtId="2" fontId="4" fillId="0" borderId="30" xfId="0" applyNumberFormat="1" applyFont="1" applyFill="1" applyBorder="1" applyAlignment="1" applyProtection="1">
      <alignment horizontal="center" vertical="center"/>
      <protection hidden="1"/>
    </xf>
    <xf numFmtId="2" fontId="4" fillId="0" borderId="32" xfId="0" applyNumberFormat="1" applyFont="1" applyFill="1" applyBorder="1" applyAlignment="1" applyProtection="1">
      <alignment horizontal="center" vertical="center"/>
      <protection hidden="1"/>
    </xf>
    <xf numFmtId="1" fontId="4" fillId="0" borderId="27" xfId="0" applyNumberFormat="1" applyFont="1" applyFill="1" applyBorder="1" applyAlignment="1" applyProtection="1">
      <alignment horizontal="center" vertical="center"/>
      <protection hidden="1"/>
    </xf>
    <xf numFmtId="1" fontId="4" fillId="0" borderId="62" xfId="0" applyNumberFormat="1" applyFont="1" applyFill="1" applyBorder="1" applyAlignment="1" applyProtection="1">
      <alignment horizontal="center" vertical="center"/>
      <protection hidden="1"/>
    </xf>
    <xf numFmtId="1" fontId="3" fillId="0" borderId="47" xfId="0" applyNumberFormat="1" applyFont="1" applyFill="1" applyBorder="1" applyAlignment="1" applyProtection="1">
      <alignment horizontal="center" vertical="center"/>
      <protection hidden="1"/>
    </xf>
    <xf numFmtId="1" fontId="3" fillId="0" borderId="58" xfId="0" applyNumberFormat="1" applyFont="1" applyFill="1" applyBorder="1" applyAlignment="1" applyProtection="1">
      <alignment horizontal="center" vertical="center"/>
      <protection hidden="1"/>
    </xf>
    <xf numFmtId="1" fontId="3" fillId="0" borderId="29" xfId="0" applyNumberFormat="1" applyFont="1" applyFill="1" applyBorder="1" applyAlignment="1" applyProtection="1">
      <alignment horizontal="center" vertical="center"/>
      <protection hidden="1"/>
    </xf>
    <xf numFmtId="1" fontId="3" fillId="0" borderId="30" xfId="0" applyNumberFormat="1" applyFont="1" applyFill="1" applyBorder="1" applyAlignment="1" applyProtection="1">
      <alignment horizontal="center" vertical="center"/>
      <protection hidden="1"/>
    </xf>
    <xf numFmtId="2" fontId="3" fillId="0" borderId="30" xfId="0" applyNumberFormat="1" applyFont="1" applyFill="1" applyBorder="1" applyAlignment="1" applyProtection="1">
      <alignment horizontal="center" vertical="center"/>
      <protection hidden="1"/>
    </xf>
    <xf numFmtId="1" fontId="3" fillId="0" borderId="32" xfId="0" applyNumberFormat="1" applyFont="1" applyFill="1" applyBorder="1" applyAlignment="1" applyProtection="1">
      <alignment horizontal="center" vertical="center"/>
      <protection hidden="1"/>
    </xf>
    <xf numFmtId="2" fontId="4" fillId="0" borderId="47" xfId="0" applyNumberFormat="1" applyFont="1" applyFill="1" applyBorder="1" applyAlignment="1" applyProtection="1">
      <alignment horizontal="center" vertical="center"/>
      <protection hidden="1"/>
    </xf>
    <xf numFmtId="2" fontId="4" fillId="0" borderId="58" xfId="0" applyNumberFormat="1" applyFont="1" applyFill="1" applyBorder="1" applyAlignment="1" applyProtection="1">
      <alignment horizontal="center" vertical="center"/>
      <protection hidden="1"/>
    </xf>
    <xf numFmtId="2" fontId="4" fillId="0" borderId="29" xfId="0" applyNumberFormat="1" applyFont="1" applyFill="1" applyBorder="1" applyAlignment="1" applyProtection="1">
      <alignment horizontal="center" vertical="center"/>
      <protection hidden="1"/>
    </xf>
    <xf numFmtId="0" fontId="3" fillId="5" borderId="1" xfId="2" applyFont="1" applyFill="1" applyBorder="1" applyAlignment="1" applyProtection="1">
      <alignment horizontal="center"/>
      <protection hidden="1"/>
    </xf>
    <xf numFmtId="0" fontId="3" fillId="5" borderId="2" xfId="2" applyFont="1" applyFill="1" applyBorder="1" applyAlignment="1" applyProtection="1">
      <alignment horizontal="center"/>
      <protection hidden="1"/>
    </xf>
    <xf numFmtId="165" fontId="3" fillId="4" borderId="29" xfId="1" applyNumberFormat="1" applyFont="1" applyFill="1" applyBorder="1" applyAlignment="1" applyProtection="1">
      <alignment horizontal="center"/>
      <protection hidden="1"/>
    </xf>
    <xf numFmtId="0" fontId="0" fillId="9" borderId="0" xfId="0" applyFill="1"/>
    <xf numFmtId="1" fontId="3" fillId="10" borderId="66" xfId="2" applyNumberFormat="1" applyFont="1" applyFill="1" applyBorder="1" applyAlignment="1" applyProtection="1">
      <alignment horizontal="center"/>
      <protection locked="0"/>
    </xf>
    <xf numFmtId="1" fontId="3" fillId="10" borderId="65" xfId="2" applyNumberFormat="1" applyFont="1" applyFill="1" applyBorder="1" applyAlignment="1" applyProtection="1">
      <alignment horizontal="center"/>
      <protection locked="0"/>
    </xf>
    <xf numFmtId="1" fontId="3" fillId="10" borderId="66" xfId="2" applyNumberFormat="1" applyFont="1" applyFill="1" applyBorder="1" applyAlignment="1" applyProtection="1">
      <alignment horizontal="center" vertical="center"/>
      <protection locked="0"/>
    </xf>
    <xf numFmtId="1" fontId="3" fillId="10" borderId="65" xfId="2" applyNumberFormat="1" applyFont="1" applyFill="1" applyBorder="1" applyAlignment="1" applyProtection="1">
      <alignment horizontal="center" vertical="center"/>
      <protection locked="0"/>
    </xf>
    <xf numFmtId="164" fontId="3" fillId="10" borderId="65" xfId="2" applyNumberFormat="1" applyFont="1" applyFill="1" applyBorder="1" applyAlignment="1" applyProtection="1">
      <alignment horizontal="center" vertical="center"/>
      <protection locked="0"/>
    </xf>
    <xf numFmtId="1" fontId="3" fillId="10" borderId="37" xfId="2" applyNumberFormat="1" applyFont="1" applyFill="1" applyBorder="1" applyAlignment="1" applyProtection="1">
      <alignment horizontal="center" vertical="center"/>
      <protection locked="0"/>
    </xf>
    <xf numFmtId="0" fontId="3" fillId="5" borderId="62" xfId="2" applyFont="1" applyFill="1" applyBorder="1" applyAlignment="1" applyProtection="1">
      <alignment vertical="center"/>
      <protection hidden="1"/>
    </xf>
    <xf numFmtId="1" fontId="3" fillId="10" borderId="39" xfId="2" applyNumberFormat="1" applyFont="1" applyFill="1" applyBorder="1" applyAlignment="1" applyProtection="1">
      <alignment horizontal="center" vertical="center"/>
      <protection locked="0"/>
    </xf>
    <xf numFmtId="1" fontId="3" fillId="10" borderId="41" xfId="2" applyNumberFormat="1" applyFont="1" applyFill="1" applyBorder="1" applyAlignment="1" applyProtection="1">
      <alignment horizontal="center" vertical="center"/>
      <protection locked="0"/>
    </xf>
    <xf numFmtId="1" fontId="3" fillId="10" borderId="42" xfId="2" applyNumberFormat="1" applyFont="1" applyFill="1" applyBorder="1" applyAlignment="1" applyProtection="1">
      <alignment horizontal="center" vertical="center"/>
      <protection locked="0"/>
    </xf>
    <xf numFmtId="1" fontId="3" fillId="10" borderId="16" xfId="2" applyNumberFormat="1" applyFont="1" applyFill="1" applyBorder="1" applyAlignment="1" applyProtection="1">
      <alignment horizontal="center" vertical="center"/>
      <protection locked="0"/>
    </xf>
    <xf numFmtId="1" fontId="3" fillId="10" borderId="55" xfId="2" applyNumberFormat="1" applyFont="1" applyFill="1" applyBorder="1" applyAlignment="1" applyProtection="1">
      <alignment horizontal="center"/>
      <protection locked="0"/>
    </xf>
    <xf numFmtId="164" fontId="3" fillId="10" borderId="37" xfId="2" applyNumberFormat="1" applyFont="1" applyFill="1" applyBorder="1" applyAlignment="1" applyProtection="1">
      <alignment horizontal="center" vertical="center"/>
      <protection locked="0"/>
    </xf>
    <xf numFmtId="1" fontId="3" fillId="10" borderId="62" xfId="2" applyNumberFormat="1" applyFont="1" applyFill="1" applyBorder="1" applyAlignment="1" applyProtection="1">
      <alignment horizontal="center" vertical="center"/>
      <protection locked="0"/>
    </xf>
    <xf numFmtId="1" fontId="3" fillId="10" borderId="4" xfId="2" applyNumberFormat="1" applyFont="1" applyFill="1" applyBorder="1" applyAlignment="1" applyProtection="1">
      <alignment horizontal="center" vertical="center"/>
      <protection locked="0"/>
    </xf>
    <xf numFmtId="1" fontId="3" fillId="10" borderId="43" xfId="2" applyNumberFormat="1" applyFont="1" applyFill="1" applyBorder="1" applyAlignment="1" applyProtection="1">
      <alignment horizontal="center" vertical="center"/>
      <protection locked="0"/>
    </xf>
    <xf numFmtId="0" fontId="3" fillId="5" borderId="22" xfId="2" applyFont="1" applyFill="1" applyBorder="1" applyAlignment="1" applyProtection="1">
      <alignment vertical="center"/>
      <protection hidden="1"/>
    </xf>
    <xf numFmtId="0" fontId="3" fillId="13" borderId="64" xfId="2" applyFont="1" applyFill="1" applyBorder="1" applyAlignment="1" applyProtection="1">
      <alignment vertical="center"/>
      <protection hidden="1"/>
    </xf>
    <xf numFmtId="164" fontId="3" fillId="10" borderId="77" xfId="2" applyNumberFormat="1" applyFont="1" applyFill="1" applyBorder="1" applyAlignment="1" applyProtection="1">
      <alignment horizontal="center" vertical="center"/>
      <protection locked="0"/>
    </xf>
    <xf numFmtId="164" fontId="3" fillId="10" borderId="17" xfId="2" applyNumberFormat="1" applyFont="1" applyFill="1" applyBorder="1" applyAlignment="1" applyProtection="1">
      <alignment horizontal="center" vertical="center"/>
      <protection locked="0"/>
    </xf>
    <xf numFmtId="0" fontId="7" fillId="7" borderId="0" xfId="2" applyFill="1" applyAlignment="1" applyProtection="1">
      <protection hidden="1"/>
    </xf>
    <xf numFmtId="1" fontId="3" fillId="13" borderId="4" xfId="2" applyNumberFormat="1" applyFont="1" applyFill="1" applyBorder="1" applyAlignment="1" applyProtection="1">
      <alignment horizontal="center"/>
      <protection hidden="1"/>
    </xf>
    <xf numFmtId="1" fontId="3" fillId="4" borderId="6" xfId="2" applyNumberFormat="1" applyFont="1" applyFill="1" applyBorder="1" applyAlignment="1" applyProtection="1">
      <alignment horizontal="center"/>
      <protection hidden="1"/>
    </xf>
    <xf numFmtId="1" fontId="3" fillId="4" borderId="7" xfId="2" applyNumberFormat="1" applyFont="1" applyFill="1" applyBorder="1" applyAlignment="1" applyProtection="1">
      <alignment horizontal="center"/>
      <protection hidden="1"/>
    </xf>
    <xf numFmtId="1" fontId="3" fillId="4" borderId="8" xfId="2" applyNumberFormat="1" applyFont="1" applyFill="1" applyBorder="1" applyAlignment="1" applyProtection="1">
      <alignment horizontal="center"/>
      <protection hidden="1"/>
    </xf>
    <xf numFmtId="1" fontId="3" fillId="4" borderId="61" xfId="2" applyNumberFormat="1" applyFont="1" applyFill="1" applyBorder="1" applyAlignment="1" applyProtection="1">
      <alignment horizontal="center"/>
      <protection hidden="1"/>
    </xf>
    <xf numFmtId="1" fontId="3" fillId="4" borderId="9" xfId="2" applyNumberFormat="1" applyFont="1" applyFill="1" applyBorder="1" applyAlignment="1" applyProtection="1">
      <alignment horizontal="center"/>
      <protection hidden="1"/>
    </xf>
    <xf numFmtId="1" fontId="3" fillId="4" borderId="13" xfId="2" applyNumberFormat="1" applyFont="1" applyFill="1" applyBorder="1" applyAlignment="1" applyProtection="1">
      <alignment horizontal="center"/>
      <protection hidden="1"/>
    </xf>
    <xf numFmtId="1" fontId="3" fillId="4" borderId="60" xfId="2" applyNumberFormat="1" applyFont="1" applyFill="1" applyBorder="1" applyAlignment="1" applyProtection="1">
      <alignment horizontal="center"/>
      <protection hidden="1"/>
    </xf>
    <xf numFmtId="1" fontId="3" fillId="4" borderId="15" xfId="2" applyNumberFormat="1" applyFont="1" applyFill="1" applyBorder="1" applyAlignment="1" applyProtection="1">
      <alignment horizontal="center"/>
      <protection hidden="1"/>
    </xf>
    <xf numFmtId="1" fontId="3" fillId="4" borderId="12" xfId="2" applyNumberFormat="1" applyFont="1" applyFill="1" applyBorder="1" applyAlignment="1" applyProtection="1">
      <alignment horizontal="center"/>
      <protection hidden="1"/>
    </xf>
    <xf numFmtId="2" fontId="3" fillId="4" borderId="9" xfId="2" applyNumberFormat="1" applyFont="1" applyFill="1" applyBorder="1" applyAlignment="1" applyProtection="1">
      <alignment horizontal="center"/>
      <protection hidden="1"/>
    </xf>
    <xf numFmtId="2" fontId="3" fillId="4" borderId="13" xfId="2" applyNumberFormat="1" applyFont="1" applyFill="1" applyBorder="1" applyAlignment="1" applyProtection="1">
      <alignment horizontal="center"/>
      <protection hidden="1"/>
    </xf>
    <xf numFmtId="2" fontId="3" fillId="4" borderId="10" xfId="2" applyNumberFormat="1" applyFont="1" applyFill="1" applyBorder="1" applyAlignment="1" applyProtection="1">
      <alignment horizontal="center"/>
      <protection hidden="1"/>
    </xf>
    <xf numFmtId="1" fontId="3" fillId="7" borderId="28" xfId="2" applyNumberFormat="1" applyFont="1" applyFill="1" applyBorder="1" applyAlignment="1" applyProtection="1">
      <alignment horizontal="center"/>
      <protection hidden="1"/>
    </xf>
    <xf numFmtId="1" fontId="3" fillId="4" borderId="18" xfId="2" applyNumberFormat="1" applyFont="1" applyFill="1" applyBorder="1" applyAlignment="1" applyProtection="1">
      <alignment horizontal="center"/>
      <protection hidden="1"/>
    </xf>
    <xf numFmtId="1" fontId="3" fillId="4" borderId="19" xfId="2" applyNumberFormat="1" applyFont="1" applyFill="1" applyBorder="1" applyAlignment="1" applyProtection="1">
      <alignment horizontal="center"/>
      <protection hidden="1"/>
    </xf>
    <xf numFmtId="1" fontId="3" fillId="4" borderId="20" xfId="2" applyNumberFormat="1" applyFont="1" applyFill="1" applyBorder="1" applyAlignment="1" applyProtection="1">
      <alignment horizontal="center"/>
      <protection hidden="1"/>
    </xf>
    <xf numFmtId="1" fontId="3" fillId="4" borderId="21" xfId="2" applyNumberFormat="1" applyFont="1" applyFill="1" applyBorder="1" applyAlignment="1" applyProtection="1">
      <alignment horizontal="center"/>
      <protection hidden="1"/>
    </xf>
    <xf numFmtId="1" fontId="3" fillId="4" borderId="22" xfId="2" applyNumberFormat="1" applyFont="1" applyFill="1" applyBorder="1" applyAlignment="1" applyProtection="1">
      <alignment horizontal="center"/>
      <protection hidden="1"/>
    </xf>
    <xf numFmtId="1" fontId="3" fillId="4" borderId="29" xfId="2" applyNumberFormat="1" applyFont="1" applyFill="1" applyBorder="1" applyAlignment="1" applyProtection="1">
      <alignment horizontal="center"/>
      <protection hidden="1"/>
    </xf>
    <xf numFmtId="1" fontId="3" fillId="4" borderId="30" xfId="2" applyNumberFormat="1" applyFont="1" applyFill="1" applyBorder="1" applyAlignment="1" applyProtection="1">
      <alignment horizontal="center"/>
      <protection hidden="1"/>
    </xf>
    <xf numFmtId="1" fontId="3" fillId="4" borderId="31" xfId="2" applyNumberFormat="1" applyFont="1" applyFill="1" applyBorder="1" applyAlignment="1" applyProtection="1">
      <alignment horizontal="center"/>
      <protection hidden="1"/>
    </xf>
    <xf numFmtId="1" fontId="3" fillId="4" borderId="36" xfId="2" applyNumberFormat="1" applyFont="1" applyFill="1" applyBorder="1" applyAlignment="1" applyProtection="1">
      <alignment horizontal="center"/>
      <protection hidden="1"/>
    </xf>
    <xf numFmtId="164" fontId="3" fillId="4" borderId="29" xfId="2" applyNumberFormat="1" applyFont="1" applyFill="1" applyBorder="1" applyAlignment="1" applyProtection="1">
      <alignment horizontal="center"/>
      <protection hidden="1"/>
    </xf>
    <xf numFmtId="2" fontId="3" fillId="4" borderId="21" xfId="2" applyNumberFormat="1" applyFont="1" applyFill="1" applyBorder="1" applyAlignment="1" applyProtection="1">
      <alignment horizontal="center"/>
      <protection hidden="1"/>
    </xf>
    <xf numFmtId="1" fontId="3" fillId="4" borderId="23" xfId="2" applyNumberFormat="1" applyFont="1" applyFill="1" applyBorder="1" applyAlignment="1" applyProtection="1">
      <alignment horizontal="center"/>
      <protection hidden="1"/>
    </xf>
    <xf numFmtId="1" fontId="3" fillId="4" borderId="25" xfId="2" applyNumberFormat="1" applyFont="1" applyFill="1" applyBorder="1" applyAlignment="1" applyProtection="1">
      <alignment horizontal="center"/>
      <protection hidden="1"/>
    </xf>
    <xf numFmtId="2" fontId="3" fillId="4" borderId="22" xfId="2" applyNumberFormat="1" applyFont="1" applyFill="1" applyBorder="1" applyAlignment="1" applyProtection="1">
      <alignment horizontal="center"/>
      <protection hidden="1"/>
    </xf>
    <xf numFmtId="2" fontId="3" fillId="4" borderId="20" xfId="2" applyNumberFormat="1" applyFont="1" applyFill="1" applyBorder="1" applyAlignment="1" applyProtection="1">
      <alignment horizontal="center"/>
      <protection hidden="1"/>
    </xf>
    <xf numFmtId="1" fontId="3" fillId="4" borderId="11" xfId="2" applyNumberFormat="1" applyFont="1" applyFill="1" applyBorder="1" applyAlignment="1" applyProtection="1">
      <alignment horizontal="center"/>
      <protection hidden="1"/>
    </xf>
    <xf numFmtId="2" fontId="3" fillId="4" borderId="6" xfId="2" applyNumberFormat="1" applyFont="1" applyFill="1" applyBorder="1" applyAlignment="1" applyProtection="1">
      <alignment horizontal="center"/>
      <protection hidden="1"/>
    </xf>
    <xf numFmtId="164" fontId="3" fillId="4" borderId="30" xfId="2" applyNumberFormat="1" applyFont="1" applyFill="1" applyBorder="1" applyAlignment="1" applyProtection="1">
      <alignment horizontal="center"/>
      <protection hidden="1"/>
    </xf>
    <xf numFmtId="1" fontId="3" fillId="4" borderId="33" xfId="2" applyNumberFormat="1" applyFont="1" applyFill="1" applyBorder="1" applyAlignment="1" applyProtection="1">
      <alignment horizontal="center"/>
      <protection hidden="1"/>
    </xf>
    <xf numFmtId="164" fontId="3" fillId="4" borderId="31" xfId="2" applyNumberFormat="1" applyFont="1" applyFill="1" applyBorder="1" applyAlignment="1" applyProtection="1">
      <alignment horizontal="center"/>
      <protection hidden="1"/>
    </xf>
    <xf numFmtId="164" fontId="3" fillId="4" borderId="36" xfId="2" applyNumberFormat="1" applyFont="1" applyFill="1" applyBorder="1" applyAlignment="1" applyProtection="1">
      <alignment horizontal="center"/>
      <protection hidden="1"/>
    </xf>
    <xf numFmtId="2" fontId="3" fillId="4" borderId="32" xfId="2" applyNumberFormat="1" applyFont="1" applyFill="1" applyBorder="1" applyAlignment="1" applyProtection="1">
      <alignment horizontal="center"/>
      <protection hidden="1"/>
    </xf>
    <xf numFmtId="1" fontId="3" fillId="4" borderId="34" xfId="2" applyNumberFormat="1" applyFont="1" applyFill="1" applyBorder="1" applyAlignment="1" applyProtection="1">
      <alignment horizontal="center"/>
      <protection hidden="1"/>
    </xf>
    <xf numFmtId="1" fontId="3" fillId="4" borderId="38" xfId="2" applyNumberFormat="1" applyFont="1" applyFill="1" applyBorder="1" applyAlignment="1" applyProtection="1">
      <alignment horizontal="center"/>
      <protection hidden="1"/>
    </xf>
    <xf numFmtId="1" fontId="3" fillId="4" borderId="74" xfId="2" applyNumberFormat="1" applyFont="1" applyFill="1" applyBorder="1" applyAlignment="1" applyProtection="1">
      <alignment horizontal="center"/>
      <protection hidden="1"/>
    </xf>
    <xf numFmtId="1" fontId="3" fillId="4" borderId="68" xfId="2" applyNumberFormat="1" applyFont="1" applyFill="1" applyBorder="1" applyAlignment="1" applyProtection="1">
      <alignment horizontal="center"/>
      <protection hidden="1"/>
    </xf>
    <xf numFmtId="1" fontId="3" fillId="4" borderId="73" xfId="2" applyNumberFormat="1" applyFont="1" applyFill="1" applyBorder="1" applyAlignment="1" applyProtection="1">
      <alignment horizontal="center"/>
      <protection hidden="1"/>
    </xf>
    <xf numFmtId="0" fontId="3" fillId="13" borderId="4" xfId="2" applyFont="1" applyFill="1" applyBorder="1" applyAlignment="1" applyProtection="1">
      <alignment horizontal="center"/>
      <protection hidden="1"/>
    </xf>
    <xf numFmtId="1" fontId="3" fillId="13" borderId="16" xfId="2" applyNumberFormat="1" applyFont="1" applyFill="1" applyBorder="1" applyAlignment="1" applyProtection="1">
      <alignment horizontal="center"/>
      <protection hidden="1"/>
    </xf>
    <xf numFmtId="0" fontId="3" fillId="13" borderId="6" xfId="2" applyFont="1" applyFill="1" applyBorder="1" applyAlignment="1" applyProtection="1">
      <alignment horizontal="center" vertical="center"/>
      <protection hidden="1"/>
    </xf>
    <xf numFmtId="0" fontId="3" fillId="13" borderId="11" xfId="2" applyFont="1" applyFill="1" applyBorder="1" applyAlignment="1" applyProtection="1">
      <alignment horizontal="center" vertical="center"/>
      <protection hidden="1"/>
    </xf>
    <xf numFmtId="0" fontId="3" fillId="13" borderId="13" xfId="2" applyFont="1" applyFill="1" applyBorder="1" applyAlignment="1" applyProtection="1">
      <alignment horizontal="center" vertical="center"/>
      <protection hidden="1"/>
    </xf>
    <xf numFmtId="0" fontId="3" fillId="13" borderId="10" xfId="2" applyFont="1" applyFill="1" applyBorder="1" applyAlignment="1" applyProtection="1">
      <alignment horizontal="center" vertical="center"/>
      <protection hidden="1"/>
    </xf>
    <xf numFmtId="0" fontId="3" fillId="13" borderId="15" xfId="2" applyFont="1" applyFill="1" applyBorder="1" applyAlignment="1" applyProtection="1">
      <alignment horizontal="center" vertical="center"/>
      <protection hidden="1"/>
    </xf>
    <xf numFmtId="0" fontId="3" fillId="13" borderId="38" xfId="2" applyFont="1" applyFill="1" applyBorder="1" applyAlignment="1" applyProtection="1">
      <alignment horizontal="center" vertical="center"/>
      <protection hidden="1"/>
    </xf>
    <xf numFmtId="0" fontId="3" fillId="13" borderId="39" xfId="2" applyFont="1" applyFill="1" applyBorder="1" applyAlignment="1" applyProtection="1">
      <alignment horizontal="center" vertical="center"/>
      <protection hidden="1"/>
    </xf>
    <xf numFmtId="1" fontId="3" fillId="13" borderId="38" xfId="2" applyNumberFormat="1" applyFont="1" applyFill="1" applyBorder="1" applyAlignment="1" applyProtection="1">
      <alignment horizontal="center" vertical="center"/>
      <protection hidden="1"/>
    </xf>
    <xf numFmtId="1" fontId="3" fillId="13" borderId="41" xfId="2" applyNumberFormat="1" applyFont="1" applyFill="1" applyBorder="1" applyAlignment="1" applyProtection="1">
      <alignment horizontal="center" vertical="center"/>
      <protection hidden="1"/>
    </xf>
    <xf numFmtId="2" fontId="3" fillId="13" borderId="38" xfId="2" applyNumberFormat="1" applyFont="1" applyFill="1" applyBorder="1" applyAlignment="1" applyProtection="1">
      <alignment horizontal="center" vertical="center"/>
      <protection hidden="1"/>
    </xf>
    <xf numFmtId="2" fontId="3" fillId="13" borderId="41" xfId="2" applyNumberFormat="1" applyFont="1" applyFill="1" applyBorder="1" applyAlignment="1" applyProtection="1">
      <alignment horizontal="center" vertical="center"/>
      <protection hidden="1"/>
    </xf>
    <xf numFmtId="1" fontId="3" fillId="13" borderId="6" xfId="2" applyNumberFormat="1" applyFont="1" applyFill="1" applyBorder="1" applyAlignment="1" applyProtection="1">
      <alignment horizontal="center" vertical="center"/>
      <protection hidden="1"/>
    </xf>
    <xf numFmtId="0" fontId="3" fillId="13" borderId="40" xfId="2" applyFont="1" applyFill="1" applyBorder="1" applyAlignment="1" applyProtection="1">
      <alignment horizontal="center" vertical="center"/>
      <protection hidden="1"/>
    </xf>
    <xf numFmtId="0" fontId="3" fillId="13" borderId="41" xfId="2" applyFont="1" applyFill="1" applyBorder="1" applyAlignment="1" applyProtection="1">
      <alignment horizontal="center" vertical="center"/>
      <protection hidden="1"/>
    </xf>
    <xf numFmtId="0" fontId="3" fillId="13" borderId="45" xfId="2" applyFont="1" applyFill="1" applyBorder="1" applyAlignment="1" applyProtection="1">
      <alignment horizontal="center" vertical="center"/>
      <protection hidden="1"/>
    </xf>
    <xf numFmtId="0" fontId="3" fillId="13" borderId="16" xfId="2" applyFont="1" applyFill="1" applyBorder="1" applyAlignment="1" applyProtection="1">
      <alignment horizontal="center" vertical="center"/>
      <protection hidden="1"/>
    </xf>
    <xf numFmtId="0" fontId="3" fillId="13" borderId="55" xfId="2" applyFont="1" applyFill="1" applyBorder="1" applyAlignment="1" applyProtection="1">
      <alignment horizontal="center"/>
      <protection hidden="1"/>
    </xf>
    <xf numFmtId="0" fontId="3" fillId="0" borderId="7" xfId="2" applyFont="1" applyBorder="1" applyAlignment="1" applyProtection="1">
      <alignment horizontal="center"/>
      <protection hidden="1"/>
    </xf>
    <xf numFmtId="0" fontId="3" fillId="0" borderId="61" xfId="2" applyFont="1" applyBorder="1" applyAlignment="1" applyProtection="1">
      <alignment horizontal="center"/>
      <protection hidden="1"/>
    </xf>
    <xf numFmtId="0" fontId="3" fillId="0" borderId="58" xfId="2" applyFont="1" applyBorder="1" applyAlignment="1" applyProtection="1">
      <alignment horizontal="center"/>
      <protection hidden="1"/>
    </xf>
    <xf numFmtId="0" fontId="3" fillId="0" borderId="56" xfId="2" applyFont="1" applyBorder="1" applyAlignment="1" applyProtection="1">
      <alignment horizontal="center"/>
      <protection hidden="1"/>
    </xf>
    <xf numFmtId="0" fontId="3" fillId="0" borderId="63" xfId="2" applyFont="1" applyBorder="1" applyAlignment="1" applyProtection="1">
      <alignment horizontal="center"/>
      <protection hidden="1"/>
    </xf>
    <xf numFmtId="0" fontId="3" fillId="13" borderId="65" xfId="2" applyFont="1" applyFill="1" applyBorder="1" applyAlignment="1" applyProtection="1">
      <alignment horizontal="center"/>
      <protection hidden="1"/>
    </xf>
    <xf numFmtId="1" fontId="3" fillId="0" borderId="70" xfId="2" applyNumberFormat="1" applyFont="1" applyFill="1" applyBorder="1" applyAlignment="1" applyProtection="1">
      <alignment horizontal="center" vertical="center"/>
      <protection hidden="1"/>
    </xf>
    <xf numFmtId="164" fontId="3" fillId="0" borderId="58" xfId="2" applyNumberFormat="1" applyFont="1" applyFill="1" applyBorder="1" applyAlignment="1" applyProtection="1">
      <alignment horizontal="center" vertical="center"/>
      <protection hidden="1"/>
    </xf>
    <xf numFmtId="164" fontId="3" fillId="0" borderId="70" xfId="2" applyNumberFormat="1" applyFont="1" applyFill="1" applyBorder="1" applyAlignment="1" applyProtection="1">
      <alignment horizontal="center" vertical="center"/>
      <protection hidden="1"/>
    </xf>
    <xf numFmtId="164" fontId="3" fillId="0" borderId="76" xfId="2" applyNumberFormat="1" applyFont="1" applyFill="1" applyBorder="1" applyAlignment="1" applyProtection="1">
      <alignment horizontal="center" vertical="center"/>
      <protection hidden="1"/>
    </xf>
    <xf numFmtId="2" fontId="3" fillId="0" borderId="58" xfId="2" applyNumberFormat="1" applyFont="1" applyFill="1" applyBorder="1" applyAlignment="1" applyProtection="1">
      <alignment horizontal="center" vertical="center"/>
      <protection hidden="1"/>
    </xf>
    <xf numFmtId="2" fontId="3" fillId="0" borderId="63" xfId="2" applyNumberFormat="1" applyFont="1" applyFill="1" applyBorder="1" applyAlignment="1" applyProtection="1">
      <alignment horizontal="center" vertical="center"/>
      <protection hidden="1"/>
    </xf>
    <xf numFmtId="2" fontId="3" fillId="0" borderId="70" xfId="2" applyNumberFormat="1" applyFont="1" applyFill="1" applyBorder="1" applyAlignment="1" applyProtection="1">
      <alignment horizontal="center" vertical="center"/>
      <protection hidden="1"/>
    </xf>
    <xf numFmtId="0" fontId="3" fillId="13" borderId="37" xfId="2" applyFont="1" applyFill="1" applyBorder="1" applyAlignment="1" applyProtection="1">
      <alignment horizontal="center"/>
      <protection hidden="1"/>
    </xf>
    <xf numFmtId="1" fontId="3" fillId="0" borderId="36" xfId="2" applyNumberFormat="1" applyFont="1" applyFill="1" applyBorder="1" applyAlignment="1" applyProtection="1">
      <alignment horizontal="center" vertical="center"/>
      <protection hidden="1"/>
    </xf>
    <xf numFmtId="164" fontId="3" fillId="0" borderId="29" xfId="2" applyNumberFormat="1" applyFont="1" applyFill="1" applyBorder="1" applyAlignment="1" applyProtection="1">
      <alignment horizontal="center" vertical="center"/>
      <protection hidden="1"/>
    </xf>
    <xf numFmtId="164" fontId="3" fillId="0" borderId="36" xfId="2" applyNumberFormat="1" applyFont="1" applyFill="1" applyBorder="1" applyAlignment="1" applyProtection="1">
      <alignment horizontal="center" vertical="center"/>
      <protection hidden="1"/>
    </xf>
    <xf numFmtId="164" fontId="3" fillId="0" borderId="34" xfId="2" applyNumberFormat="1" applyFont="1" applyFill="1" applyBorder="1" applyAlignment="1" applyProtection="1">
      <alignment horizontal="center" vertical="center"/>
      <protection hidden="1"/>
    </xf>
    <xf numFmtId="2" fontId="3" fillId="0" borderId="29" xfId="2" applyNumberFormat="1" applyFont="1" applyFill="1" applyBorder="1" applyAlignment="1" applyProtection="1">
      <alignment horizontal="center" vertical="center"/>
      <protection hidden="1"/>
    </xf>
    <xf numFmtId="2" fontId="3" fillId="0" borderId="32" xfId="2" applyNumberFormat="1" applyFont="1" applyFill="1" applyBorder="1" applyAlignment="1" applyProtection="1">
      <alignment horizontal="center" vertical="center"/>
      <protection hidden="1"/>
    </xf>
    <xf numFmtId="2" fontId="3" fillId="0" borderId="36" xfId="2" applyNumberFormat="1" applyFont="1" applyFill="1" applyBorder="1" applyAlignment="1" applyProtection="1">
      <alignment horizontal="center" vertical="center"/>
      <protection hidden="1"/>
    </xf>
    <xf numFmtId="0" fontId="3" fillId="0" borderId="30" xfId="2" applyFont="1" applyBorder="1" applyAlignment="1" applyProtection="1">
      <alignment horizontal="center"/>
      <protection hidden="1"/>
    </xf>
    <xf numFmtId="0" fontId="3" fillId="0" borderId="32" xfId="2" applyFont="1" applyBorder="1" applyAlignment="1" applyProtection="1">
      <alignment horizontal="center"/>
      <protection hidden="1"/>
    </xf>
    <xf numFmtId="0" fontId="7" fillId="0" borderId="0" xfId="2" applyBorder="1" applyProtection="1">
      <protection hidden="1"/>
    </xf>
    <xf numFmtId="0" fontId="3" fillId="12" borderId="9" xfId="2" applyFont="1" applyFill="1" applyBorder="1" applyProtection="1">
      <protection hidden="1"/>
    </xf>
    <xf numFmtId="0" fontId="3" fillId="12" borderId="12" xfId="2" applyFont="1" applyFill="1" applyBorder="1" applyProtection="1">
      <protection hidden="1"/>
    </xf>
    <xf numFmtId="0" fontId="3" fillId="12" borderId="14" xfId="2" applyFont="1" applyFill="1" applyBorder="1" applyProtection="1">
      <protection hidden="1"/>
    </xf>
    <xf numFmtId="0" fontId="15" fillId="12" borderId="49" xfId="2" applyFont="1" applyFill="1" applyBorder="1" applyAlignment="1" applyProtection="1">
      <alignment horizontal="centerContinuous"/>
      <protection hidden="1"/>
    </xf>
    <xf numFmtId="0" fontId="16" fillId="12" borderId="0" xfId="2" applyFont="1" applyFill="1" applyBorder="1" applyAlignment="1" applyProtection="1">
      <alignment horizontal="centerContinuous"/>
      <protection hidden="1"/>
    </xf>
    <xf numFmtId="0" fontId="16" fillId="12" borderId="53" xfId="2" applyFont="1" applyFill="1" applyBorder="1" applyAlignment="1" applyProtection="1">
      <alignment horizontal="centerContinuous"/>
      <protection hidden="1"/>
    </xf>
    <xf numFmtId="0" fontId="7" fillId="0" borderId="0" xfId="2" applyFill="1" applyBorder="1" applyProtection="1">
      <protection hidden="1"/>
    </xf>
    <xf numFmtId="0" fontId="17" fillId="12" borderId="49" xfId="2" applyFont="1" applyFill="1" applyBorder="1" applyAlignment="1" applyProtection="1">
      <alignment horizontal="centerContinuous"/>
      <protection hidden="1"/>
    </xf>
    <xf numFmtId="0" fontId="16" fillId="12" borderId="49" xfId="2" applyFont="1" applyFill="1" applyBorder="1" applyAlignment="1" applyProtection="1">
      <alignment horizontal="centerContinuous"/>
      <protection hidden="1"/>
    </xf>
    <xf numFmtId="0" fontId="16" fillId="12" borderId="43" xfId="2" applyFont="1" applyFill="1" applyBorder="1" applyProtection="1">
      <protection hidden="1"/>
    </xf>
    <xf numFmtId="0" fontId="16" fillId="12" borderId="44" xfId="2" applyFont="1" applyFill="1" applyBorder="1" applyProtection="1">
      <protection hidden="1"/>
    </xf>
    <xf numFmtId="0" fontId="16" fillId="12" borderId="67" xfId="2" applyFont="1" applyFill="1" applyBorder="1" applyProtection="1">
      <protection hidden="1"/>
    </xf>
    <xf numFmtId="0" fontId="18" fillId="5" borderId="9" xfId="2" applyFont="1" applyFill="1" applyBorder="1" applyProtection="1">
      <protection hidden="1"/>
    </xf>
    <xf numFmtId="0" fontId="18" fillId="5" borderId="12" xfId="2" applyFont="1" applyFill="1" applyBorder="1" applyAlignment="1" applyProtection="1">
      <alignment horizontal="left"/>
      <protection hidden="1"/>
    </xf>
    <xf numFmtId="0" fontId="18" fillId="5" borderId="14" xfId="2" applyFont="1" applyFill="1" applyBorder="1" applyAlignment="1" applyProtection="1">
      <alignment horizontal="left"/>
      <protection hidden="1"/>
    </xf>
    <xf numFmtId="0" fontId="19" fillId="5" borderId="49" xfId="2" applyFont="1" applyFill="1" applyBorder="1" applyProtection="1">
      <protection hidden="1"/>
    </xf>
    <xf numFmtId="0" fontId="18" fillId="5" borderId="0" xfId="2" applyFont="1" applyFill="1" applyBorder="1" applyAlignment="1" applyProtection="1">
      <alignment horizontal="left"/>
      <protection hidden="1"/>
    </xf>
    <xf numFmtId="0" fontId="18" fillId="5" borderId="53" xfId="2" applyFont="1" applyFill="1" applyBorder="1" applyAlignment="1" applyProtection="1">
      <alignment horizontal="left"/>
      <protection hidden="1"/>
    </xf>
    <xf numFmtId="0" fontId="18" fillId="5" borderId="49" xfId="2" applyFont="1" applyFill="1" applyBorder="1" applyProtection="1">
      <protection hidden="1"/>
    </xf>
    <xf numFmtId="0" fontId="18" fillId="5" borderId="49" xfId="2" applyFont="1" applyFill="1" applyBorder="1" applyAlignment="1" applyProtection="1">
      <alignment horizontal="left"/>
      <protection hidden="1"/>
    </xf>
    <xf numFmtId="0" fontId="8" fillId="0" borderId="0" xfId="2" applyFont="1" applyAlignment="1" applyProtection="1">
      <alignment horizontal="centerContinuous"/>
      <protection hidden="1"/>
    </xf>
    <xf numFmtId="0" fontId="7" fillId="0" borderId="0" xfId="2" applyAlignment="1" applyProtection="1">
      <alignment horizontal="centerContinuous"/>
      <protection hidden="1"/>
    </xf>
    <xf numFmtId="0" fontId="3" fillId="5" borderId="4" xfId="2" applyFont="1" applyFill="1" applyBorder="1" applyAlignment="1" applyProtection="1">
      <alignment horizontal="centerContinuous" vertical="center"/>
      <protection hidden="1"/>
    </xf>
    <xf numFmtId="0" fontId="3" fillId="5" borderId="1" xfId="2" applyFont="1" applyFill="1" applyBorder="1" applyAlignment="1" applyProtection="1">
      <alignment horizontal="centerContinuous"/>
      <protection hidden="1"/>
    </xf>
    <xf numFmtId="0" fontId="3" fillId="5" borderId="3" xfId="2" applyFont="1" applyFill="1" applyBorder="1" applyAlignment="1" applyProtection="1">
      <alignment horizontal="centerContinuous"/>
      <protection hidden="1"/>
    </xf>
    <xf numFmtId="0" fontId="3" fillId="5" borderId="16" xfId="2" applyFont="1" applyFill="1" applyBorder="1" applyAlignment="1" applyProtection="1">
      <alignment horizontal="centerContinuous" vertical="center"/>
      <protection hidden="1"/>
    </xf>
    <xf numFmtId="0" fontId="3" fillId="5" borderId="43" xfId="2" applyFont="1" applyFill="1" applyBorder="1" applyAlignment="1" applyProtection="1">
      <alignment horizontal="center"/>
      <protection hidden="1"/>
    </xf>
    <xf numFmtId="0" fontId="3" fillId="5" borderId="53" xfId="2" applyFont="1" applyFill="1" applyBorder="1" applyAlignment="1" applyProtection="1">
      <alignment horizontal="center"/>
      <protection hidden="1"/>
    </xf>
    <xf numFmtId="0" fontId="3" fillId="5" borderId="16" xfId="2" applyFont="1" applyFill="1" applyBorder="1" applyAlignment="1" applyProtection="1">
      <alignment horizontal="center"/>
      <protection hidden="1"/>
    </xf>
    <xf numFmtId="0" fontId="3" fillId="5" borderId="38" xfId="2" applyFont="1" applyFill="1" applyBorder="1" applyAlignment="1" applyProtection="1">
      <alignment horizontal="center"/>
      <protection hidden="1"/>
    </xf>
    <xf numFmtId="0" fontId="3" fillId="5" borderId="41" xfId="2" applyFont="1" applyFill="1" applyBorder="1" applyAlignment="1" applyProtection="1">
      <alignment horizontal="center"/>
      <protection hidden="1"/>
    </xf>
    <xf numFmtId="164" fontId="3" fillId="5" borderId="64" xfId="2" applyNumberFormat="1" applyFont="1" applyFill="1" applyBorder="1" applyAlignment="1" applyProtection="1">
      <alignment horizontal="center" vertical="center"/>
      <protection hidden="1"/>
    </xf>
    <xf numFmtId="1" fontId="3" fillId="5" borderId="7" xfId="2" applyNumberFormat="1" applyFont="1" applyFill="1" applyBorder="1" applyAlignment="1" applyProtection="1">
      <alignment horizontal="center" vertical="center"/>
      <protection hidden="1"/>
    </xf>
    <xf numFmtId="1" fontId="3" fillId="0" borderId="66" xfId="2" applyNumberFormat="1" applyFont="1" applyBorder="1" applyAlignment="1" applyProtection="1">
      <alignment horizontal="center"/>
      <protection hidden="1"/>
    </xf>
    <xf numFmtId="164" fontId="3" fillId="0" borderId="66" xfId="2" applyNumberFormat="1" applyFont="1" applyBorder="1" applyAlignment="1" applyProtection="1">
      <alignment horizontal="center"/>
      <protection hidden="1"/>
    </xf>
    <xf numFmtId="1" fontId="3" fillId="0" borderId="7" xfId="2" applyNumberFormat="1" applyFont="1" applyBorder="1" applyAlignment="1" applyProtection="1">
      <alignment horizontal="center"/>
      <protection hidden="1"/>
    </xf>
    <xf numFmtId="1" fontId="3" fillId="0" borderId="61" xfId="2" applyNumberFormat="1" applyFont="1" applyBorder="1" applyAlignment="1" applyProtection="1">
      <alignment horizontal="center"/>
      <protection hidden="1"/>
    </xf>
    <xf numFmtId="1" fontId="3" fillId="0" borderId="60" xfId="2" applyNumberFormat="1" applyFont="1" applyBorder="1" applyAlignment="1" applyProtection="1">
      <alignment horizontal="center"/>
      <protection hidden="1"/>
    </xf>
    <xf numFmtId="1" fontId="3" fillId="0" borderId="61" xfId="2" applyNumberFormat="1" applyFont="1" applyFill="1" applyBorder="1" applyAlignment="1" applyProtection="1">
      <alignment horizontal="center"/>
      <protection hidden="1"/>
    </xf>
    <xf numFmtId="0" fontId="3" fillId="5" borderId="65" xfId="2" applyFont="1" applyFill="1" applyBorder="1" applyAlignment="1" applyProtection="1">
      <alignment horizontal="center" vertical="center"/>
      <protection hidden="1"/>
    </xf>
    <xf numFmtId="164" fontId="3" fillId="5" borderId="27" xfId="2" applyNumberFormat="1" applyFont="1" applyFill="1" applyBorder="1" applyAlignment="1" applyProtection="1">
      <alignment horizontal="center" vertical="center"/>
      <protection hidden="1"/>
    </xf>
    <xf numFmtId="1" fontId="3" fillId="5" borderId="59" xfId="2" applyNumberFormat="1" applyFont="1" applyFill="1" applyBorder="1" applyAlignment="1" applyProtection="1">
      <alignment horizontal="center" vertical="center"/>
      <protection hidden="1"/>
    </xf>
    <xf numFmtId="1" fontId="3" fillId="0" borderId="65" xfId="2" applyNumberFormat="1" applyFont="1" applyBorder="1" applyAlignment="1" applyProtection="1">
      <alignment horizontal="center"/>
      <protection hidden="1"/>
    </xf>
    <xf numFmtId="164" fontId="3" fillId="0" borderId="65" xfId="2" applyNumberFormat="1" applyFont="1" applyBorder="1" applyAlignment="1" applyProtection="1">
      <alignment horizontal="center"/>
      <protection hidden="1"/>
    </xf>
    <xf numFmtId="1" fontId="3" fillId="0" borderId="63" xfId="2" applyNumberFormat="1" applyFont="1" applyFill="1" applyBorder="1" applyAlignment="1" applyProtection="1">
      <alignment horizontal="center"/>
      <protection hidden="1"/>
    </xf>
    <xf numFmtId="164" fontId="3" fillId="5" borderId="43" xfId="2" applyNumberFormat="1" applyFont="1" applyFill="1" applyBorder="1" applyAlignment="1" applyProtection="1">
      <alignment horizontal="center" vertical="center"/>
      <protection hidden="1"/>
    </xf>
    <xf numFmtId="1" fontId="3" fillId="5" borderId="30" xfId="2" applyNumberFormat="1" applyFont="1" applyFill="1" applyBorder="1" applyAlignment="1" applyProtection="1">
      <alignment horizontal="center" vertical="center"/>
      <protection hidden="1"/>
    </xf>
    <xf numFmtId="1" fontId="3" fillId="0" borderId="37" xfId="2" applyNumberFormat="1" applyFont="1" applyBorder="1" applyAlignment="1" applyProtection="1">
      <alignment horizontal="center"/>
      <protection hidden="1"/>
    </xf>
    <xf numFmtId="164" fontId="3" fillId="0" borderId="37" xfId="2" applyNumberFormat="1" applyFont="1" applyBorder="1" applyAlignment="1" applyProtection="1">
      <alignment horizontal="center"/>
      <protection hidden="1"/>
    </xf>
    <xf numFmtId="1" fontId="3" fillId="0" borderId="30" xfId="2" applyNumberFormat="1" applyFont="1" applyBorder="1" applyAlignment="1" applyProtection="1">
      <alignment horizontal="center"/>
      <protection hidden="1"/>
    </xf>
    <xf numFmtId="1" fontId="3" fillId="0" borderId="32" xfId="2" applyNumberFormat="1" applyFont="1" applyBorder="1" applyAlignment="1" applyProtection="1">
      <alignment horizontal="center"/>
      <protection hidden="1"/>
    </xf>
    <xf numFmtId="1" fontId="3" fillId="0" borderId="29" xfId="2" applyNumberFormat="1" applyFont="1" applyBorder="1" applyAlignment="1" applyProtection="1">
      <alignment horizontal="center"/>
      <protection hidden="1"/>
    </xf>
    <xf numFmtId="0" fontId="3" fillId="0" borderId="0" xfId="2" applyFont="1" applyFill="1" applyBorder="1" applyAlignment="1" applyProtection="1">
      <alignment horizontal="center" vertical="center"/>
      <protection hidden="1"/>
    </xf>
    <xf numFmtId="1" fontId="18" fillId="13" borderId="32" xfId="2" applyNumberFormat="1" applyFont="1" applyFill="1" applyBorder="1" applyAlignment="1" applyProtection="1">
      <alignment horizontal="center"/>
      <protection hidden="1"/>
    </xf>
    <xf numFmtId="3" fontId="3" fillId="0" borderId="0" xfId="2" applyNumberFormat="1" applyFont="1" applyBorder="1" applyAlignment="1" applyProtection="1">
      <alignment horizontal="center"/>
      <protection hidden="1"/>
    </xf>
    <xf numFmtId="1" fontId="3" fillId="0" borderId="0" xfId="2" applyNumberFormat="1" applyFont="1" applyBorder="1" applyAlignment="1" applyProtection="1">
      <alignment horizontal="centerContinuous"/>
      <protection hidden="1"/>
    </xf>
    <xf numFmtId="0" fontId="3" fillId="5" borderId="2" xfId="2" applyFont="1" applyFill="1" applyBorder="1" applyAlignment="1" applyProtection="1">
      <alignment horizontal="centerContinuous"/>
      <protection hidden="1"/>
    </xf>
    <xf numFmtId="1" fontId="18" fillId="5" borderId="4" xfId="2" applyNumberFormat="1" applyFont="1" applyFill="1" applyBorder="1" applyAlignment="1" applyProtection="1">
      <alignment horizontal="center"/>
      <protection hidden="1"/>
    </xf>
    <xf numFmtId="3" fontId="18" fillId="5" borderId="19" xfId="2" applyNumberFormat="1" applyFont="1" applyFill="1" applyBorder="1" applyAlignment="1" applyProtection="1">
      <alignment horizontal="center"/>
      <protection hidden="1"/>
    </xf>
    <xf numFmtId="3" fontId="18" fillId="5" borderId="21" xfId="2" applyNumberFormat="1" applyFont="1" applyFill="1" applyBorder="1" applyAlignment="1" applyProtection="1">
      <alignment horizontal="center"/>
      <protection hidden="1"/>
    </xf>
    <xf numFmtId="0" fontId="24" fillId="0" borderId="0" xfId="2" applyFont="1" applyProtection="1">
      <protection hidden="1"/>
    </xf>
    <xf numFmtId="1" fontId="18" fillId="13" borderId="42" xfId="2" applyNumberFormat="1" applyFont="1" applyFill="1" applyBorder="1" applyAlignment="1" applyProtection="1">
      <alignment horizontal="center"/>
      <protection hidden="1"/>
    </xf>
    <xf numFmtId="0" fontId="18" fillId="12" borderId="38" xfId="2" applyFont="1" applyFill="1" applyBorder="1" applyAlignment="1" applyProtection="1">
      <alignment horizontal="center"/>
      <protection hidden="1"/>
    </xf>
    <xf numFmtId="0" fontId="18" fillId="12" borderId="3" xfId="2" applyFont="1" applyFill="1" applyBorder="1" applyAlignment="1" applyProtection="1">
      <alignment horizontal="center"/>
      <protection hidden="1"/>
    </xf>
    <xf numFmtId="3" fontId="3" fillId="0" borderId="0" xfId="2" applyNumberFormat="1" applyFont="1" applyFill="1" applyBorder="1" applyAlignment="1" applyProtection="1">
      <alignment horizontal="center"/>
      <protection hidden="1"/>
    </xf>
    <xf numFmtId="3" fontId="18" fillId="13" borderId="38" xfId="2" applyNumberFormat="1" applyFont="1" applyFill="1" applyBorder="1" applyAlignment="1" applyProtection="1">
      <alignment horizontal="center"/>
      <protection hidden="1"/>
    </xf>
    <xf numFmtId="3" fontId="18" fillId="13" borderId="3" xfId="2" applyNumberFormat="1" applyFont="1" applyFill="1" applyBorder="1" applyAlignment="1" applyProtection="1">
      <alignment horizontal="center"/>
      <protection hidden="1"/>
    </xf>
    <xf numFmtId="0" fontId="2" fillId="0" borderId="0" xfId="2" applyFont="1" applyFill="1" applyBorder="1" applyAlignment="1" applyProtection="1">
      <protection hidden="1"/>
    </xf>
    <xf numFmtId="0" fontId="3" fillId="5" borderId="64" xfId="2" applyFont="1" applyFill="1" applyBorder="1" applyAlignment="1" applyProtection="1">
      <alignment horizontal="center"/>
      <protection hidden="1"/>
    </xf>
    <xf numFmtId="0" fontId="3" fillId="5" borderId="60" xfId="2" applyFont="1" applyFill="1" applyBorder="1" applyAlignment="1" applyProtection="1">
      <alignment horizontal="center"/>
      <protection hidden="1"/>
    </xf>
    <xf numFmtId="0" fontId="3" fillId="5" borderId="7" xfId="2" applyFont="1" applyFill="1" applyBorder="1" applyAlignment="1" applyProtection="1">
      <alignment horizontal="center"/>
      <protection hidden="1"/>
    </xf>
    <xf numFmtId="0" fontId="3" fillId="5" borderId="62" xfId="2" applyFont="1" applyFill="1" applyBorder="1" applyAlignment="1" applyProtection="1">
      <alignment horizontal="center"/>
      <protection hidden="1"/>
    </xf>
    <xf numFmtId="0" fontId="3" fillId="5" borderId="58" xfId="2" applyFont="1" applyFill="1" applyBorder="1" applyAlignment="1" applyProtection="1">
      <alignment horizontal="center"/>
      <protection hidden="1"/>
    </xf>
    <xf numFmtId="0" fontId="3" fillId="5" borderId="56" xfId="2" applyFont="1" applyFill="1" applyBorder="1" applyAlignment="1" applyProtection="1">
      <alignment horizontal="center"/>
      <protection hidden="1"/>
    </xf>
    <xf numFmtId="1" fontId="3" fillId="0" borderId="17" xfId="2" applyNumberFormat="1" applyFont="1" applyBorder="1" applyAlignment="1" applyProtection="1">
      <alignment horizontal="center"/>
      <protection hidden="1"/>
    </xf>
    <xf numFmtId="0" fontId="3" fillId="5" borderId="33" xfId="2" applyFont="1" applyFill="1" applyBorder="1" applyAlignment="1" applyProtection="1">
      <alignment horizontal="center"/>
      <protection hidden="1"/>
    </xf>
    <xf numFmtId="0" fontId="3" fillId="5" borderId="29" xfId="2" applyFont="1" applyFill="1" applyBorder="1" applyAlignment="1" applyProtection="1">
      <alignment horizontal="center"/>
      <protection hidden="1"/>
    </xf>
    <xf numFmtId="0" fontId="3" fillId="5" borderId="30" xfId="2" applyFont="1" applyFill="1" applyBorder="1" applyAlignment="1" applyProtection="1">
      <alignment horizontal="center"/>
      <protection hidden="1"/>
    </xf>
    <xf numFmtId="1" fontId="3" fillId="0" borderId="35" xfId="2" applyNumberFormat="1" applyFont="1" applyBorder="1" applyAlignment="1" applyProtection="1">
      <alignment horizontal="center"/>
      <protection hidden="1"/>
    </xf>
    <xf numFmtId="0" fontId="18" fillId="0" borderId="0" xfId="2" applyFont="1" applyProtection="1">
      <protection hidden="1"/>
    </xf>
    <xf numFmtId="0" fontId="18" fillId="0" borderId="0" xfId="2" applyFont="1" applyFill="1" applyBorder="1" applyAlignment="1" applyProtection="1">
      <protection hidden="1"/>
    </xf>
    <xf numFmtId="0" fontId="3" fillId="5" borderId="38" xfId="2" applyFont="1" applyFill="1" applyBorder="1" applyAlignment="1" applyProtection="1">
      <alignment horizontal="center" vertical="center"/>
      <protection hidden="1"/>
    </xf>
    <xf numFmtId="0" fontId="3" fillId="5" borderId="40" xfId="2" applyFont="1" applyFill="1" applyBorder="1" applyAlignment="1" applyProtection="1">
      <alignment horizontal="center" vertical="center"/>
      <protection hidden="1"/>
    </xf>
    <xf numFmtId="0" fontId="3" fillId="5" borderId="41" xfId="2" applyFont="1" applyFill="1" applyBorder="1" applyAlignment="1" applyProtection="1">
      <alignment horizontal="center" vertical="center"/>
      <protection hidden="1"/>
    </xf>
    <xf numFmtId="0" fontId="3" fillId="5" borderId="45" xfId="2" applyFont="1" applyFill="1" applyBorder="1" applyAlignment="1" applyProtection="1">
      <alignment horizontal="center" vertical="center"/>
      <protection hidden="1"/>
    </xf>
    <xf numFmtId="1" fontId="3" fillId="12" borderId="66" xfId="2" applyNumberFormat="1" applyFont="1" applyFill="1" applyBorder="1" applyAlignment="1" applyProtection="1">
      <protection hidden="1"/>
    </xf>
    <xf numFmtId="164" fontId="3" fillId="0" borderId="7" xfId="2" applyNumberFormat="1" applyFont="1" applyBorder="1" applyAlignment="1" applyProtection="1">
      <alignment horizontal="center"/>
      <protection hidden="1"/>
    </xf>
    <xf numFmtId="2" fontId="3" fillId="0" borderId="60" xfId="2" applyNumberFormat="1" applyFont="1" applyBorder="1" applyAlignment="1" applyProtection="1">
      <alignment horizontal="center"/>
      <protection hidden="1"/>
    </xf>
    <xf numFmtId="2" fontId="3" fillId="0" borderId="8" xfId="2" applyNumberFormat="1" applyFont="1" applyBorder="1" applyAlignment="1" applyProtection="1">
      <alignment horizontal="center"/>
      <protection hidden="1"/>
    </xf>
    <xf numFmtId="2" fontId="3" fillId="0" borderId="61" xfId="2" applyNumberFormat="1" applyFont="1" applyBorder="1" applyAlignment="1" applyProtection="1">
      <alignment horizontal="center"/>
      <protection hidden="1"/>
    </xf>
    <xf numFmtId="1" fontId="3" fillId="12" borderId="37" xfId="2" applyNumberFormat="1" applyFont="1" applyFill="1" applyBorder="1" applyAlignment="1" applyProtection="1">
      <protection hidden="1"/>
    </xf>
    <xf numFmtId="164" fontId="3" fillId="0" borderId="30" xfId="2" applyNumberFormat="1" applyFont="1" applyBorder="1" applyAlignment="1" applyProtection="1">
      <alignment horizontal="center"/>
      <protection hidden="1"/>
    </xf>
    <xf numFmtId="2" fontId="3" fillId="0" borderId="29" xfId="2" applyNumberFormat="1" applyFont="1" applyBorder="1" applyAlignment="1" applyProtection="1">
      <alignment horizontal="center"/>
      <protection hidden="1"/>
    </xf>
    <xf numFmtId="2" fontId="3" fillId="0" borderId="31" xfId="2" applyNumberFormat="1" applyFont="1" applyBorder="1" applyAlignment="1" applyProtection="1">
      <alignment horizontal="center"/>
      <protection hidden="1"/>
    </xf>
    <xf numFmtId="2" fontId="3" fillId="0" borderId="32" xfId="2" applyNumberFormat="1" applyFont="1" applyBorder="1" applyAlignment="1" applyProtection="1">
      <alignment horizontal="center"/>
      <protection hidden="1"/>
    </xf>
    <xf numFmtId="1" fontId="3" fillId="12" borderId="42" xfId="2" applyNumberFormat="1" applyFont="1" applyFill="1" applyBorder="1" applyAlignment="1" applyProtection="1">
      <protection hidden="1"/>
    </xf>
    <xf numFmtId="1" fontId="3" fillId="0" borderId="51" xfId="2" applyNumberFormat="1" applyFont="1" applyBorder="1" applyAlignment="1" applyProtection="1">
      <alignment horizontal="center"/>
      <protection hidden="1"/>
    </xf>
    <xf numFmtId="1" fontId="3" fillId="0" borderId="50" xfId="2" applyNumberFormat="1" applyFont="1" applyBorder="1" applyAlignment="1" applyProtection="1">
      <alignment horizontal="center"/>
      <protection hidden="1"/>
    </xf>
    <xf numFmtId="164" fontId="3" fillId="0" borderId="79" xfId="2" applyNumberFormat="1" applyFont="1" applyBorder="1" applyAlignment="1" applyProtection="1">
      <alignment horizontal="center"/>
      <protection hidden="1"/>
    </xf>
    <xf numFmtId="2" fontId="3" fillId="0" borderId="51" xfId="2" applyNumberFormat="1" applyFont="1" applyBorder="1" applyAlignment="1" applyProtection="1">
      <alignment horizontal="center"/>
      <protection hidden="1"/>
    </xf>
    <xf numFmtId="2" fontId="3" fillId="0" borderId="52" xfId="2" applyNumberFormat="1" applyFont="1" applyBorder="1" applyAlignment="1" applyProtection="1">
      <alignment horizontal="center"/>
      <protection hidden="1"/>
    </xf>
    <xf numFmtId="2" fontId="3" fillId="0" borderId="50" xfId="2" applyNumberFormat="1" applyFont="1" applyBorder="1" applyAlignment="1" applyProtection="1">
      <alignment horizontal="center"/>
      <protection hidden="1"/>
    </xf>
    <xf numFmtId="1" fontId="3" fillId="0" borderId="31" xfId="2" applyNumberFormat="1" applyFont="1" applyBorder="1" applyAlignment="1" applyProtection="1">
      <alignment horizontal="center"/>
      <protection hidden="1"/>
    </xf>
    <xf numFmtId="1" fontId="3" fillId="0" borderId="79" xfId="2" applyNumberFormat="1" applyFont="1" applyBorder="1" applyAlignment="1" applyProtection="1">
      <alignment horizontal="center"/>
      <protection hidden="1"/>
    </xf>
    <xf numFmtId="164" fontId="3" fillId="0" borderId="29" xfId="2" applyNumberFormat="1" applyFont="1" applyBorder="1" applyAlignment="1" applyProtection="1">
      <alignment horizontal="center"/>
      <protection hidden="1"/>
    </xf>
    <xf numFmtId="164" fontId="3" fillId="0" borderId="32" xfId="2" applyNumberFormat="1" applyFont="1" applyBorder="1" applyAlignment="1" applyProtection="1">
      <alignment horizontal="center"/>
      <protection hidden="1"/>
    </xf>
    <xf numFmtId="164" fontId="3" fillId="0" borderId="31" xfId="2" applyNumberFormat="1" applyFont="1" applyBorder="1" applyAlignment="1" applyProtection="1">
      <alignment horizontal="center"/>
      <protection hidden="1"/>
    </xf>
    <xf numFmtId="1" fontId="3" fillId="5" borderId="38" xfId="2" applyNumberFormat="1" applyFont="1" applyFill="1" applyBorder="1" applyAlignment="1" applyProtection="1">
      <alignment horizontal="center" vertical="center"/>
      <protection hidden="1"/>
    </xf>
    <xf numFmtId="1" fontId="3" fillId="5" borderId="41" xfId="2" applyNumberFormat="1" applyFont="1" applyFill="1" applyBorder="1" applyAlignment="1" applyProtection="1">
      <alignment horizontal="center" vertical="center"/>
      <protection hidden="1"/>
    </xf>
    <xf numFmtId="1" fontId="3" fillId="5" borderId="39" xfId="2" applyNumberFormat="1" applyFont="1" applyFill="1" applyBorder="1" applyAlignment="1" applyProtection="1">
      <alignment horizontal="center" vertical="center"/>
      <protection hidden="1"/>
    </xf>
    <xf numFmtId="1" fontId="3" fillId="5" borderId="45" xfId="2" applyNumberFormat="1" applyFont="1" applyFill="1" applyBorder="1" applyAlignment="1" applyProtection="1">
      <alignment horizontal="center" vertical="center"/>
      <protection hidden="1"/>
    </xf>
    <xf numFmtId="2" fontId="3" fillId="5" borderId="39" xfId="2" applyNumberFormat="1" applyFont="1" applyFill="1" applyBorder="1" applyAlignment="1" applyProtection="1">
      <alignment horizontal="center" vertical="center"/>
      <protection hidden="1"/>
    </xf>
    <xf numFmtId="1" fontId="3" fillId="0" borderId="46" xfId="2" applyNumberFormat="1" applyFont="1" applyBorder="1" applyAlignment="1" applyProtection="1">
      <alignment horizontal="center"/>
      <protection hidden="1"/>
    </xf>
    <xf numFmtId="1" fontId="3" fillId="0" borderId="8" xfId="2" applyNumberFormat="1" applyFont="1" applyBorder="1" applyAlignment="1" applyProtection="1">
      <alignment horizontal="center"/>
      <protection hidden="1"/>
    </xf>
    <xf numFmtId="2" fontId="3" fillId="0" borderId="5" xfId="2" applyNumberFormat="1" applyFont="1" applyBorder="1" applyAlignment="1" applyProtection="1">
      <alignment horizontal="center"/>
      <protection hidden="1"/>
    </xf>
    <xf numFmtId="2" fontId="3" fillId="0" borderId="46" xfId="2" applyNumberFormat="1" applyFont="1" applyBorder="1" applyAlignment="1" applyProtection="1">
      <alignment horizontal="center"/>
      <protection hidden="1"/>
    </xf>
    <xf numFmtId="1" fontId="3" fillId="0" borderId="36" xfId="2" applyNumberFormat="1" applyFont="1" applyBorder="1" applyAlignment="1" applyProtection="1">
      <alignment horizontal="center"/>
      <protection hidden="1"/>
    </xf>
    <xf numFmtId="2" fontId="3" fillId="0" borderId="35" xfId="2" applyNumberFormat="1" applyFont="1" applyBorder="1" applyAlignment="1" applyProtection="1">
      <alignment horizontal="center"/>
      <protection hidden="1"/>
    </xf>
    <xf numFmtId="2" fontId="3" fillId="0" borderId="36" xfId="2" applyNumberFormat="1" applyFont="1" applyBorder="1" applyAlignment="1" applyProtection="1">
      <alignment horizontal="center"/>
      <protection hidden="1"/>
    </xf>
    <xf numFmtId="1" fontId="3" fillId="0" borderId="54" xfId="2" applyNumberFormat="1" applyFont="1" applyBorder="1" applyAlignment="1" applyProtection="1">
      <alignment horizontal="center"/>
      <protection hidden="1"/>
    </xf>
    <xf numFmtId="1" fontId="3" fillId="0" borderId="52" xfId="2" applyNumberFormat="1" applyFont="1" applyBorder="1" applyAlignment="1" applyProtection="1">
      <alignment horizontal="center"/>
      <protection hidden="1"/>
    </xf>
    <xf numFmtId="2" fontId="3" fillId="0" borderId="53" xfId="2" applyNumberFormat="1" applyFont="1" applyBorder="1" applyAlignment="1" applyProtection="1">
      <alignment horizontal="center"/>
      <protection hidden="1"/>
    </xf>
    <xf numFmtId="2" fontId="3" fillId="0" borderId="54" xfId="2" applyNumberFormat="1" applyFont="1" applyBorder="1" applyAlignment="1" applyProtection="1">
      <alignment horizontal="center"/>
      <protection hidden="1"/>
    </xf>
    <xf numFmtId="164" fontId="3" fillId="0" borderId="36" xfId="2" applyNumberFormat="1" applyFont="1" applyBorder="1" applyAlignment="1" applyProtection="1">
      <alignment horizontal="center"/>
      <protection hidden="1"/>
    </xf>
    <xf numFmtId="164" fontId="3" fillId="0" borderId="35" xfId="2" applyNumberFormat="1" applyFont="1" applyBorder="1" applyAlignment="1" applyProtection="1">
      <alignment horizontal="center"/>
      <protection hidden="1"/>
    </xf>
    <xf numFmtId="0" fontId="3" fillId="5" borderId="16" xfId="2" applyFont="1" applyFill="1" applyBorder="1" applyAlignment="1" applyProtection="1">
      <alignment horizontal="center" vertical="center"/>
      <protection hidden="1"/>
    </xf>
    <xf numFmtId="0" fontId="3" fillId="5" borderId="44" xfId="2" applyFont="1" applyFill="1" applyBorder="1" applyAlignment="1" applyProtection="1">
      <alignment horizontal="center" vertical="center"/>
      <protection hidden="1"/>
    </xf>
    <xf numFmtId="0" fontId="3" fillId="5" borderId="68" xfId="2" applyFont="1" applyFill="1" applyBorder="1" applyAlignment="1" applyProtection="1">
      <alignment horizontal="center" vertical="center"/>
      <protection hidden="1"/>
    </xf>
    <xf numFmtId="0" fontId="3" fillId="5" borderId="69" xfId="2" applyFont="1" applyFill="1" applyBorder="1" applyAlignment="1" applyProtection="1">
      <alignment horizontal="center" vertical="center"/>
      <protection hidden="1"/>
    </xf>
    <xf numFmtId="1" fontId="3" fillId="0" borderId="28" xfId="2" applyNumberFormat="1" applyFont="1" applyFill="1" applyBorder="1" applyAlignment="1" applyProtection="1">
      <alignment horizontal="center"/>
      <protection hidden="1"/>
    </xf>
    <xf numFmtId="1" fontId="3" fillId="0" borderId="28" xfId="2" applyNumberFormat="1" applyFont="1" applyBorder="1" applyAlignment="1" applyProtection="1">
      <alignment horizontal="center"/>
      <protection hidden="1"/>
    </xf>
    <xf numFmtId="1" fontId="3" fillId="0" borderId="2" xfId="2" applyNumberFormat="1" applyFont="1" applyBorder="1" applyAlignment="1" applyProtection="1">
      <alignment horizontal="center"/>
      <protection hidden="1"/>
    </xf>
    <xf numFmtId="1" fontId="3" fillId="0" borderId="40" xfId="2" applyNumberFormat="1" applyFont="1" applyBorder="1" applyAlignment="1" applyProtection="1">
      <alignment horizontal="center"/>
      <protection hidden="1"/>
    </xf>
    <xf numFmtId="1" fontId="3" fillId="0" borderId="41" xfId="2" applyNumberFormat="1" applyFont="1" applyBorder="1" applyAlignment="1" applyProtection="1">
      <alignment horizontal="center"/>
      <protection hidden="1"/>
    </xf>
    <xf numFmtId="1" fontId="3" fillId="0" borderId="38" xfId="2" applyNumberFormat="1" applyFont="1" applyBorder="1" applyAlignment="1" applyProtection="1">
      <alignment horizontal="center"/>
      <protection hidden="1"/>
    </xf>
    <xf numFmtId="164" fontId="3" fillId="0" borderId="41" xfId="2" applyNumberFormat="1" applyFont="1" applyBorder="1" applyAlignment="1" applyProtection="1">
      <alignment horizontal="center"/>
      <protection hidden="1"/>
    </xf>
    <xf numFmtId="0" fontId="11" fillId="7" borderId="77" xfId="0" applyFont="1" applyFill="1" applyBorder="1" applyProtection="1">
      <protection hidden="1"/>
    </xf>
    <xf numFmtId="0" fontId="11" fillId="7" borderId="17" xfId="0" applyFont="1" applyFill="1" applyBorder="1" applyProtection="1">
      <protection hidden="1"/>
    </xf>
    <xf numFmtId="0" fontId="11" fillId="7" borderId="17" xfId="0" applyFont="1" applyFill="1" applyBorder="1"/>
    <xf numFmtId="0" fontId="11" fillId="7" borderId="35" xfId="0" applyFont="1" applyFill="1" applyBorder="1"/>
    <xf numFmtId="1" fontId="3" fillId="7" borderId="38" xfId="2" applyNumberFormat="1" applyFont="1" applyFill="1" applyBorder="1" applyAlignment="1" applyProtection="1">
      <alignment horizontal="center" vertical="center"/>
      <protection hidden="1"/>
    </xf>
    <xf numFmtId="1" fontId="3" fillId="7" borderId="45" xfId="2" applyNumberFormat="1" applyFont="1" applyFill="1" applyBorder="1" applyAlignment="1" applyProtection="1">
      <alignment horizontal="center" vertical="center"/>
      <protection hidden="1"/>
    </xf>
    <xf numFmtId="1" fontId="3" fillId="7" borderId="40" xfId="2" applyNumberFormat="1" applyFont="1" applyFill="1" applyBorder="1" applyAlignment="1" applyProtection="1">
      <alignment horizontal="center" vertical="center"/>
      <protection hidden="1"/>
    </xf>
    <xf numFmtId="1" fontId="3" fillId="7" borderId="41" xfId="2" applyNumberFormat="1" applyFont="1" applyFill="1" applyBorder="1" applyAlignment="1" applyProtection="1">
      <alignment horizontal="center" vertical="center"/>
      <protection hidden="1"/>
    </xf>
    <xf numFmtId="1" fontId="3" fillId="7" borderId="7" xfId="2" applyNumberFormat="1" applyFont="1" applyFill="1" applyBorder="1" applyAlignment="1" applyProtection="1">
      <alignment horizontal="center"/>
      <protection hidden="1"/>
    </xf>
    <xf numFmtId="1" fontId="3" fillId="7" borderId="61" xfId="2" applyNumberFormat="1" applyFont="1" applyFill="1" applyBorder="1" applyAlignment="1" applyProtection="1">
      <alignment horizontal="center"/>
      <protection hidden="1"/>
    </xf>
    <xf numFmtId="1" fontId="3" fillId="7" borderId="56" xfId="2" applyNumberFormat="1" applyFont="1" applyFill="1" applyBorder="1" applyAlignment="1" applyProtection="1">
      <alignment horizontal="center"/>
      <protection hidden="1"/>
    </xf>
    <xf numFmtId="1" fontId="3" fillId="7" borderId="63" xfId="2" applyNumberFormat="1" applyFont="1" applyFill="1" applyBorder="1" applyAlignment="1" applyProtection="1">
      <alignment horizontal="center"/>
      <protection hidden="1"/>
    </xf>
    <xf numFmtId="1" fontId="3" fillId="7" borderId="30" xfId="2" applyNumberFormat="1" applyFont="1" applyFill="1" applyBorder="1" applyAlignment="1" applyProtection="1">
      <alignment horizontal="center"/>
      <protection hidden="1"/>
    </xf>
    <xf numFmtId="1" fontId="3" fillId="7" borderId="32" xfId="2" applyNumberFormat="1" applyFont="1" applyFill="1" applyBorder="1" applyAlignment="1" applyProtection="1">
      <alignment horizontal="center"/>
      <protection hidden="1"/>
    </xf>
    <xf numFmtId="0" fontId="11" fillId="16" borderId="66" xfId="0" applyFont="1" applyFill="1" applyBorder="1" applyAlignment="1" applyProtection="1">
      <alignment horizontal="center"/>
      <protection hidden="1"/>
    </xf>
    <xf numFmtId="0" fontId="11" fillId="16" borderId="65" xfId="0" applyFont="1" applyFill="1" applyBorder="1" applyAlignment="1" applyProtection="1">
      <alignment horizontal="center"/>
      <protection hidden="1"/>
    </xf>
    <xf numFmtId="0" fontId="11" fillId="16" borderId="37" xfId="0" applyFont="1" applyFill="1" applyBorder="1" applyAlignment="1" applyProtection="1">
      <alignment horizontal="center"/>
      <protection hidden="1"/>
    </xf>
    <xf numFmtId="2" fontId="4" fillId="0" borderId="75" xfId="0" applyNumberFormat="1" applyFont="1" applyFill="1" applyBorder="1" applyAlignment="1" applyProtection="1">
      <alignment horizontal="center" vertical="center"/>
      <protection hidden="1"/>
    </xf>
    <xf numFmtId="2" fontId="4" fillId="0" borderId="70" xfId="0" applyNumberFormat="1" applyFont="1" applyFill="1" applyBorder="1" applyAlignment="1" applyProtection="1">
      <alignment horizontal="center" vertical="center"/>
      <protection hidden="1"/>
    </xf>
    <xf numFmtId="2" fontId="4" fillId="0" borderId="36" xfId="0" applyNumberFormat="1" applyFont="1" applyFill="1" applyBorder="1" applyAlignment="1" applyProtection="1">
      <alignment horizontal="center" vertical="center"/>
      <protection hidden="1"/>
    </xf>
    <xf numFmtId="1" fontId="4" fillId="0" borderId="55" xfId="0" applyNumberFormat="1" applyFont="1" applyFill="1" applyBorder="1" applyAlignment="1" applyProtection="1">
      <alignment horizontal="center" vertical="center"/>
      <protection hidden="1"/>
    </xf>
    <xf numFmtId="1" fontId="4" fillId="0" borderId="37" xfId="0" applyNumberFormat="1" applyFont="1" applyFill="1" applyBorder="1" applyAlignment="1" applyProtection="1">
      <alignment horizontal="center" vertical="center"/>
      <protection hidden="1"/>
    </xf>
    <xf numFmtId="164" fontId="3" fillId="4" borderId="0" xfId="0" applyNumberFormat="1" applyFont="1" applyFill="1" applyBorder="1" applyAlignment="1" applyProtection="1">
      <alignment horizontal="center"/>
      <protection hidden="1"/>
    </xf>
    <xf numFmtId="164" fontId="3" fillId="4" borderId="23" xfId="0" applyNumberFormat="1" applyFont="1" applyFill="1" applyBorder="1" applyAlignment="1" applyProtection="1">
      <alignment horizontal="center"/>
      <protection hidden="1"/>
    </xf>
    <xf numFmtId="164" fontId="3" fillId="4" borderId="12" xfId="0" applyNumberFormat="1" applyFont="1" applyFill="1" applyBorder="1" applyAlignment="1" applyProtection="1">
      <alignment horizontal="center"/>
      <protection hidden="1"/>
    </xf>
    <xf numFmtId="164" fontId="3" fillId="4" borderId="34" xfId="0" applyNumberFormat="1" applyFont="1" applyFill="1" applyBorder="1" applyAlignment="1" applyProtection="1">
      <alignment horizontal="center"/>
      <protection hidden="1"/>
    </xf>
    <xf numFmtId="164" fontId="3" fillId="4" borderId="60" xfId="0" applyNumberFormat="1" applyFont="1" applyFill="1" applyBorder="1" applyAlignment="1" applyProtection="1">
      <alignment horizontal="center"/>
      <protection hidden="1"/>
    </xf>
    <xf numFmtId="164" fontId="3" fillId="4" borderId="7" xfId="0" applyNumberFormat="1" applyFont="1" applyFill="1" applyBorder="1" applyAlignment="1" applyProtection="1">
      <alignment horizontal="center"/>
      <protection hidden="1"/>
    </xf>
    <xf numFmtId="164" fontId="3" fillId="4" borderId="61" xfId="0" applyNumberFormat="1" applyFont="1" applyFill="1" applyBorder="1" applyAlignment="1" applyProtection="1">
      <alignment horizontal="center"/>
      <protection hidden="1"/>
    </xf>
    <xf numFmtId="164" fontId="3" fillId="4" borderId="30" xfId="0" applyNumberFormat="1" applyFont="1" applyFill="1" applyBorder="1" applyAlignment="1" applyProtection="1">
      <alignment horizontal="center"/>
      <protection hidden="1"/>
    </xf>
    <xf numFmtId="164" fontId="3" fillId="4" borderId="32" xfId="0" applyNumberFormat="1" applyFont="1" applyFill="1" applyBorder="1" applyAlignment="1" applyProtection="1">
      <alignment horizontal="center"/>
      <protection hidden="1"/>
    </xf>
    <xf numFmtId="164" fontId="3" fillId="4" borderId="47" xfId="0" applyNumberFormat="1" applyFont="1" applyFill="1" applyBorder="1" applyAlignment="1" applyProtection="1">
      <alignment horizontal="center"/>
      <protection hidden="1"/>
    </xf>
    <xf numFmtId="164" fontId="3" fillId="4" borderId="59" xfId="0" applyNumberFormat="1" applyFont="1" applyFill="1" applyBorder="1" applyAlignment="1" applyProtection="1">
      <alignment horizontal="center"/>
      <protection hidden="1"/>
    </xf>
    <xf numFmtId="164" fontId="3" fillId="4" borderId="48" xfId="0" applyNumberFormat="1" applyFont="1" applyFill="1" applyBorder="1" applyAlignment="1" applyProtection="1">
      <alignment horizontal="center"/>
      <protection hidden="1"/>
    </xf>
    <xf numFmtId="1" fontId="3" fillId="0" borderId="15" xfId="2" applyNumberFormat="1" applyFont="1" applyFill="1" applyBorder="1" applyAlignment="1" applyProtection="1">
      <alignment horizontal="center" vertical="center"/>
      <protection hidden="1"/>
    </xf>
    <xf numFmtId="2" fontId="3" fillId="0" borderId="10" xfId="2" applyNumberFormat="1" applyFont="1" applyFill="1" applyBorder="1" applyAlignment="1" applyProtection="1">
      <alignment horizontal="center" vertical="center"/>
      <protection hidden="1"/>
    </xf>
    <xf numFmtId="164" fontId="3" fillId="0" borderId="6" xfId="2" applyNumberFormat="1" applyFont="1" applyFill="1" applyBorder="1" applyAlignment="1" applyProtection="1">
      <alignment horizontal="center" vertical="center"/>
      <protection hidden="1"/>
    </xf>
    <xf numFmtId="164" fontId="3" fillId="0" borderId="15" xfId="2" applyNumberFormat="1" applyFont="1" applyFill="1" applyBorder="1" applyAlignment="1" applyProtection="1">
      <alignment horizontal="center" vertical="center"/>
      <protection hidden="1"/>
    </xf>
    <xf numFmtId="2" fontId="3" fillId="0" borderId="6" xfId="2" applyNumberFormat="1" applyFont="1" applyFill="1" applyBorder="1" applyAlignment="1" applyProtection="1">
      <alignment horizontal="center" vertical="center"/>
      <protection hidden="1"/>
    </xf>
    <xf numFmtId="2" fontId="3" fillId="0" borderId="15" xfId="2" applyNumberFormat="1" applyFont="1" applyFill="1" applyBorder="1" applyAlignment="1" applyProtection="1">
      <alignment horizontal="center" vertical="center"/>
      <protection hidden="1"/>
    </xf>
    <xf numFmtId="164" fontId="3" fillId="0" borderId="12" xfId="2" applyNumberFormat="1" applyFont="1" applyFill="1" applyBorder="1" applyAlignment="1" applyProtection="1">
      <alignment horizontal="center" vertical="center"/>
      <protection hidden="1"/>
    </xf>
    <xf numFmtId="1" fontId="3" fillId="0" borderId="52" xfId="2" applyNumberFormat="1" applyFont="1" applyFill="1" applyBorder="1" applyAlignment="1" applyProtection="1">
      <alignment horizontal="center" vertical="center"/>
      <protection hidden="1"/>
    </xf>
    <xf numFmtId="2" fontId="3" fillId="0" borderId="52" xfId="2" applyNumberFormat="1" applyFont="1" applyFill="1" applyBorder="1" applyAlignment="1" applyProtection="1">
      <alignment horizontal="center" vertical="center"/>
      <protection hidden="1"/>
    </xf>
    <xf numFmtId="1" fontId="3" fillId="0" borderId="79" xfId="2" applyNumberFormat="1" applyFont="1" applyFill="1" applyBorder="1" applyAlignment="1" applyProtection="1">
      <alignment horizontal="center" vertical="center"/>
      <protection hidden="1"/>
    </xf>
    <xf numFmtId="1" fontId="3" fillId="0" borderId="9" xfId="2" applyNumberFormat="1" applyFont="1" applyFill="1" applyBorder="1" applyAlignment="1" applyProtection="1">
      <alignment horizontal="center" vertical="center"/>
      <protection hidden="1"/>
    </xf>
    <xf numFmtId="164" fontId="3" fillId="4" borderId="7" xfId="2" applyNumberFormat="1" applyFont="1" applyFill="1" applyBorder="1" applyAlignment="1" applyProtection="1">
      <alignment horizontal="center"/>
      <protection hidden="1"/>
    </xf>
    <xf numFmtId="164" fontId="3" fillId="4" borderId="13" xfId="2" applyNumberFormat="1" applyFont="1" applyFill="1" applyBorder="1" applyAlignment="1" applyProtection="1">
      <alignment horizontal="center"/>
      <protection hidden="1"/>
    </xf>
    <xf numFmtId="164" fontId="3" fillId="4" borderId="10" xfId="2" applyNumberFormat="1" applyFont="1" applyFill="1" applyBorder="1" applyAlignment="1" applyProtection="1">
      <alignment horizontal="center"/>
      <protection hidden="1"/>
    </xf>
    <xf numFmtId="2" fontId="3" fillId="4" borderId="29" xfId="2" applyNumberFormat="1" applyFont="1" applyFill="1" applyBorder="1" applyAlignment="1" applyProtection="1">
      <alignment horizontal="center"/>
      <protection hidden="1"/>
    </xf>
    <xf numFmtId="2" fontId="3" fillId="4" borderId="14" xfId="2" applyNumberFormat="1" applyFont="1" applyFill="1" applyBorder="1" applyAlignment="1" applyProtection="1">
      <alignment horizontal="center"/>
      <protection hidden="1"/>
    </xf>
    <xf numFmtId="2" fontId="3" fillId="4" borderId="24" xfId="2" applyNumberFormat="1" applyFont="1" applyFill="1" applyBorder="1" applyAlignment="1" applyProtection="1">
      <alignment horizontal="center"/>
      <protection hidden="1"/>
    </xf>
    <xf numFmtId="167" fontId="3" fillId="4" borderId="35" xfId="2" applyNumberFormat="1" applyFont="1" applyFill="1" applyBorder="1" applyAlignment="1" applyProtection="1">
      <alignment horizontal="center"/>
      <protection hidden="1"/>
    </xf>
    <xf numFmtId="2" fontId="3" fillId="4" borderId="33" xfId="2" applyNumberFormat="1" applyFont="1" applyFill="1" applyBorder="1" applyAlignment="1" applyProtection="1">
      <alignment horizontal="center"/>
      <protection hidden="1"/>
    </xf>
    <xf numFmtId="2" fontId="3" fillId="4" borderId="31" xfId="2" applyNumberFormat="1" applyFont="1" applyFill="1" applyBorder="1" applyAlignment="1" applyProtection="1">
      <alignment horizontal="center"/>
      <protection hidden="1"/>
    </xf>
    <xf numFmtId="0" fontId="4" fillId="16" borderId="40" xfId="0" applyFont="1" applyFill="1" applyBorder="1" applyAlignment="1" applyProtection="1">
      <alignment horizontal="center" vertical="center"/>
      <protection hidden="1"/>
    </xf>
    <xf numFmtId="0" fontId="4" fillId="16" borderId="41" xfId="0" applyFont="1" applyFill="1" applyBorder="1" applyAlignment="1" applyProtection="1">
      <alignment horizontal="center" vertical="center"/>
      <protection hidden="1"/>
    </xf>
    <xf numFmtId="0" fontId="3" fillId="16" borderId="28" xfId="0" applyFont="1" applyFill="1" applyBorder="1" applyAlignment="1" applyProtection="1">
      <alignment horizontal="center" vertical="center"/>
      <protection hidden="1"/>
    </xf>
    <xf numFmtId="1" fontId="3" fillId="0" borderId="60" xfId="2" applyNumberFormat="1" applyFont="1" applyFill="1" applyBorder="1" applyAlignment="1" applyProtection="1">
      <alignment horizontal="center"/>
      <protection hidden="1"/>
    </xf>
    <xf numFmtId="0" fontId="3" fillId="3" borderId="4" xfId="2" applyFont="1" applyFill="1" applyBorder="1" applyAlignment="1" applyProtection="1">
      <alignment horizontal="left" vertical="center"/>
      <protection hidden="1"/>
    </xf>
    <xf numFmtId="164" fontId="3" fillId="10" borderId="10" xfId="2" applyNumberFormat="1" applyFont="1" applyFill="1" applyBorder="1" applyAlignment="1" applyProtection="1">
      <alignment horizontal="center" vertical="center"/>
      <protection hidden="1"/>
    </xf>
    <xf numFmtId="0" fontId="3" fillId="0" borderId="48" xfId="2" applyFont="1" applyBorder="1" applyAlignment="1" applyProtection="1">
      <alignment horizontal="center"/>
      <protection hidden="1"/>
    </xf>
    <xf numFmtId="0" fontId="3" fillId="13" borderId="4" xfId="2" applyFont="1" applyFill="1" applyBorder="1" applyAlignment="1" applyProtection="1">
      <alignment horizontal="center" vertical="center"/>
      <protection hidden="1"/>
    </xf>
    <xf numFmtId="1" fontId="3" fillId="7" borderId="59" xfId="2" applyNumberFormat="1" applyFont="1" applyFill="1" applyBorder="1" applyAlignment="1" applyProtection="1">
      <alignment horizontal="center"/>
      <protection hidden="1"/>
    </xf>
    <xf numFmtId="1" fontId="3" fillId="7" borderId="48" xfId="2" applyNumberFormat="1" applyFont="1" applyFill="1" applyBorder="1" applyAlignment="1" applyProtection="1">
      <alignment horizontal="center"/>
      <protection hidden="1"/>
    </xf>
    <xf numFmtId="1" fontId="3" fillId="7" borderId="46" xfId="2" applyNumberFormat="1" applyFont="1" applyFill="1" applyBorder="1" applyAlignment="1" applyProtection="1">
      <alignment horizontal="center"/>
      <protection hidden="1"/>
    </xf>
    <xf numFmtId="1" fontId="3" fillId="7" borderId="70" xfId="2" applyNumberFormat="1" applyFont="1" applyFill="1" applyBorder="1" applyAlignment="1" applyProtection="1">
      <alignment horizontal="center"/>
      <protection hidden="1"/>
    </xf>
    <xf numFmtId="1" fontId="3" fillId="7" borderId="36" xfId="2" applyNumberFormat="1" applyFont="1" applyFill="1" applyBorder="1" applyAlignment="1" applyProtection="1">
      <alignment horizontal="center"/>
      <protection hidden="1"/>
    </xf>
    <xf numFmtId="1" fontId="3" fillId="7" borderId="75" xfId="2" applyNumberFormat="1" applyFont="1" applyFill="1" applyBorder="1" applyAlignment="1" applyProtection="1">
      <alignment horizontal="center"/>
      <protection hidden="1"/>
    </xf>
    <xf numFmtId="1" fontId="3" fillId="7" borderId="70" xfId="2" applyNumberFormat="1" applyFont="1" applyFill="1" applyBorder="1" applyAlignment="1" applyProtection="1">
      <alignment horizontal="center" vertical="center"/>
      <protection hidden="1"/>
    </xf>
    <xf numFmtId="1" fontId="3" fillId="7" borderId="56" xfId="2" applyNumberFormat="1" applyFont="1" applyFill="1" applyBorder="1" applyAlignment="1" applyProtection="1">
      <alignment horizontal="center" vertical="center"/>
      <protection hidden="1"/>
    </xf>
    <xf numFmtId="1" fontId="3" fillId="7" borderId="63" xfId="2" applyNumberFormat="1" applyFont="1" applyFill="1" applyBorder="1" applyAlignment="1" applyProtection="1">
      <alignment horizontal="center" vertical="center"/>
      <protection hidden="1"/>
    </xf>
    <xf numFmtId="0" fontId="7" fillId="0" borderId="0" xfId="2" applyFont="1" applyProtection="1">
      <protection hidden="1"/>
    </xf>
    <xf numFmtId="1" fontId="7" fillId="0" borderId="0" xfId="2" applyNumberFormat="1" applyFont="1" applyProtection="1">
      <protection hidden="1"/>
    </xf>
    <xf numFmtId="2" fontId="7" fillId="0" borderId="0" xfId="2" applyNumberFormat="1" applyFont="1" applyProtection="1">
      <protection hidden="1"/>
    </xf>
    <xf numFmtId="0" fontId="27" fillId="0" borderId="0" xfId="0" applyFont="1" applyProtection="1">
      <protection hidden="1"/>
    </xf>
    <xf numFmtId="0" fontId="3" fillId="7" borderId="28" xfId="2" applyFont="1" applyFill="1" applyBorder="1" applyAlignment="1" applyProtection="1">
      <alignment horizontal="center" vertical="center"/>
      <protection hidden="1"/>
    </xf>
    <xf numFmtId="0" fontId="3" fillId="0" borderId="56" xfId="2" applyFont="1" applyFill="1" applyBorder="1" applyAlignment="1" applyProtection="1">
      <alignment horizontal="center"/>
      <protection hidden="1"/>
    </xf>
    <xf numFmtId="0" fontId="3" fillId="0" borderId="63" xfId="2" applyFont="1" applyFill="1" applyBorder="1" applyAlignment="1" applyProtection="1">
      <alignment horizontal="center"/>
      <protection hidden="1"/>
    </xf>
    <xf numFmtId="1" fontId="3" fillId="0" borderId="0" xfId="0" applyNumberFormat="1" applyFont="1" applyFill="1" applyBorder="1" applyAlignment="1" applyProtection="1">
      <alignment horizontal="center"/>
      <protection hidden="1"/>
    </xf>
    <xf numFmtId="1" fontId="3" fillId="0" borderId="53" xfId="0" applyNumberFormat="1" applyFont="1" applyFill="1" applyBorder="1" applyAlignment="1" applyProtection="1">
      <alignment horizontal="center"/>
      <protection hidden="1"/>
    </xf>
    <xf numFmtId="9" fontId="3" fillId="0" borderId="44" xfId="1" applyFont="1" applyFill="1" applyBorder="1" applyAlignment="1" applyProtection="1">
      <alignment horizontal="center"/>
      <protection hidden="1"/>
    </xf>
    <xf numFmtId="9" fontId="3" fillId="0" borderId="67" xfId="1" applyFont="1" applyFill="1" applyBorder="1" applyAlignment="1" applyProtection="1">
      <alignment horizontal="center"/>
      <protection hidden="1"/>
    </xf>
    <xf numFmtId="0" fontId="3" fillId="16" borderId="4" xfId="0" applyFont="1" applyFill="1" applyBorder="1" applyAlignment="1" applyProtection="1">
      <alignment horizontal="center" vertical="center"/>
      <protection hidden="1"/>
    </xf>
    <xf numFmtId="1" fontId="3" fillId="6" borderId="14" xfId="0" applyNumberFormat="1" applyFont="1" applyFill="1" applyBorder="1" applyAlignment="1" applyProtection="1">
      <alignment horizontal="center" vertical="center"/>
      <protection locked="0"/>
    </xf>
    <xf numFmtId="1" fontId="3" fillId="4" borderId="75" xfId="0" applyNumberFormat="1" applyFont="1" applyFill="1" applyBorder="1" applyAlignment="1" applyProtection="1">
      <alignment horizontal="center"/>
      <protection hidden="1"/>
    </xf>
    <xf numFmtId="164" fontId="3" fillId="4" borderId="75" xfId="0" applyNumberFormat="1" applyFont="1" applyFill="1" applyBorder="1" applyAlignment="1" applyProtection="1">
      <alignment horizontal="center"/>
      <protection hidden="1"/>
    </xf>
    <xf numFmtId="1" fontId="3" fillId="4" borderId="59" xfId="0" applyNumberFormat="1" applyFont="1" applyFill="1" applyBorder="1" applyAlignment="1" applyProtection="1">
      <alignment horizontal="center"/>
      <protection hidden="1"/>
    </xf>
    <xf numFmtId="1" fontId="3" fillId="0" borderId="38" xfId="0" applyNumberFormat="1" applyFont="1" applyFill="1" applyBorder="1" applyAlignment="1" applyProtection="1">
      <alignment horizontal="center" vertical="center"/>
      <protection hidden="1"/>
    </xf>
    <xf numFmtId="1" fontId="3" fillId="0" borderId="40" xfId="0" applyNumberFormat="1" applyFont="1" applyFill="1" applyBorder="1" applyAlignment="1" applyProtection="1">
      <alignment horizontal="center" vertical="center"/>
      <protection hidden="1"/>
    </xf>
    <xf numFmtId="2" fontId="3" fillId="0" borderId="40" xfId="0" applyNumberFormat="1" applyFont="1" applyFill="1" applyBorder="1" applyAlignment="1" applyProtection="1">
      <alignment horizontal="center" vertical="center"/>
      <protection hidden="1"/>
    </xf>
    <xf numFmtId="1" fontId="3" fillId="0" borderId="41" xfId="0" applyNumberFormat="1" applyFont="1" applyFill="1" applyBorder="1" applyAlignment="1" applyProtection="1">
      <alignment horizontal="center" vertical="center"/>
      <protection hidden="1"/>
    </xf>
    <xf numFmtId="1" fontId="3" fillId="9" borderId="47" xfId="2" applyNumberFormat="1" applyFont="1" applyFill="1" applyBorder="1" applyAlignment="1" applyProtection="1">
      <alignment horizontal="center"/>
      <protection locked="0"/>
    </xf>
    <xf numFmtId="1" fontId="3" fillId="9" borderId="59" xfId="2" applyNumberFormat="1" applyFont="1" applyFill="1" applyBorder="1" applyAlignment="1" applyProtection="1">
      <alignment horizontal="center"/>
      <protection locked="0"/>
    </xf>
    <xf numFmtId="1" fontId="3" fillId="9" borderId="47" xfId="2" applyNumberFormat="1" applyFont="1" applyFill="1" applyBorder="1" applyAlignment="1" applyProtection="1">
      <alignment horizontal="center" vertical="center"/>
      <protection locked="0"/>
    </xf>
    <xf numFmtId="1" fontId="3" fillId="9" borderId="59" xfId="2" applyNumberFormat="1" applyFont="1" applyFill="1" applyBorder="1" applyAlignment="1" applyProtection="1">
      <alignment horizontal="center" vertical="center"/>
      <protection locked="0"/>
    </xf>
    <xf numFmtId="1" fontId="3" fillId="9" borderId="71" xfId="2" applyNumberFormat="1" applyFont="1" applyFill="1" applyBorder="1" applyAlignment="1" applyProtection="1">
      <alignment horizontal="center" vertical="center"/>
      <protection locked="0"/>
    </xf>
    <xf numFmtId="1" fontId="3" fillId="9" borderId="48" xfId="2" applyNumberFormat="1" applyFont="1" applyFill="1" applyBorder="1" applyAlignment="1" applyProtection="1">
      <alignment horizontal="center" vertical="center"/>
      <protection locked="0"/>
    </xf>
    <xf numFmtId="1" fontId="3" fillId="0" borderId="80" xfId="2" applyNumberFormat="1" applyFont="1" applyFill="1" applyBorder="1" applyAlignment="1" applyProtection="1">
      <alignment horizontal="center" vertical="center"/>
      <protection hidden="1"/>
    </xf>
    <xf numFmtId="1" fontId="3" fillId="0" borderId="68" xfId="2" applyNumberFormat="1" applyFont="1" applyFill="1" applyBorder="1" applyAlignment="1" applyProtection="1">
      <alignment horizontal="center" vertical="center"/>
      <protection hidden="1"/>
    </xf>
    <xf numFmtId="1" fontId="3" fillId="0" borderId="73" xfId="2" applyNumberFormat="1" applyFont="1" applyFill="1" applyBorder="1" applyAlignment="1" applyProtection="1">
      <alignment horizontal="center" vertical="center"/>
      <protection hidden="1"/>
    </xf>
    <xf numFmtId="1" fontId="3" fillId="0" borderId="69" xfId="2" applyNumberFormat="1" applyFont="1" applyFill="1" applyBorder="1" applyAlignment="1" applyProtection="1">
      <alignment horizontal="center" vertical="center"/>
      <protection hidden="1"/>
    </xf>
    <xf numFmtId="1" fontId="3" fillId="0" borderId="4" xfId="2" applyNumberFormat="1" applyFont="1" applyFill="1" applyBorder="1" applyAlignment="1" applyProtection="1">
      <alignment horizontal="center" vertical="center"/>
      <protection hidden="1"/>
    </xf>
    <xf numFmtId="1" fontId="3" fillId="0" borderId="66" xfId="2" applyNumberFormat="1" applyFont="1" applyFill="1" applyBorder="1" applyAlignment="1" applyProtection="1">
      <alignment horizontal="center"/>
      <protection hidden="1"/>
    </xf>
    <xf numFmtId="0" fontId="3" fillId="0" borderId="28" xfId="2" applyFont="1" applyBorder="1" applyAlignment="1" applyProtection="1">
      <alignment horizontal="center"/>
      <protection hidden="1"/>
    </xf>
    <xf numFmtId="0" fontId="3" fillId="13" borderId="3" xfId="2" applyFont="1" applyFill="1" applyBorder="1" applyAlignment="1" applyProtection="1">
      <alignment horizontal="center" vertical="center"/>
      <protection hidden="1"/>
    </xf>
    <xf numFmtId="0" fontId="3" fillId="13" borderId="80" xfId="2" applyFont="1" applyFill="1" applyBorder="1" applyAlignment="1" applyProtection="1">
      <alignment horizontal="center" vertical="center"/>
      <protection hidden="1"/>
    </xf>
    <xf numFmtId="0" fontId="3" fillId="13" borderId="68" xfId="2" applyFont="1" applyFill="1" applyBorder="1" applyAlignment="1" applyProtection="1">
      <alignment horizontal="center" vertical="center"/>
      <protection hidden="1"/>
    </xf>
    <xf numFmtId="0" fontId="3" fillId="13" borderId="73" xfId="2" applyFont="1" applyFill="1" applyBorder="1" applyAlignment="1" applyProtection="1">
      <alignment horizontal="center" vertical="center"/>
      <protection hidden="1"/>
    </xf>
    <xf numFmtId="1" fontId="3" fillId="0" borderId="50" xfId="2" applyNumberFormat="1" applyFont="1" applyFill="1" applyBorder="1" applyAlignment="1" applyProtection="1">
      <alignment horizontal="center" vertical="center"/>
      <protection hidden="1"/>
    </xf>
    <xf numFmtId="0" fontId="3" fillId="3" borderId="45" xfId="0" applyFont="1" applyFill="1" applyBorder="1" applyAlignment="1" applyProtection="1">
      <alignment horizontal="center" vertical="center"/>
      <protection hidden="1"/>
    </xf>
    <xf numFmtId="1" fontId="3" fillId="4" borderId="41" xfId="2" applyNumberFormat="1" applyFont="1" applyFill="1" applyBorder="1" applyAlignment="1" applyProtection="1">
      <alignment horizontal="center"/>
      <protection hidden="1"/>
    </xf>
    <xf numFmtId="1" fontId="3" fillId="7" borderId="2" xfId="2" applyNumberFormat="1" applyFont="1" applyFill="1" applyBorder="1" applyAlignment="1" applyProtection="1">
      <alignment horizontal="center" vertical="center"/>
      <protection hidden="1"/>
    </xf>
    <xf numFmtId="0" fontId="3" fillId="3" borderId="2" xfId="0" applyFont="1" applyFill="1" applyBorder="1" applyAlignment="1" applyProtection="1">
      <alignment horizontal="center" vertical="center"/>
      <protection hidden="1"/>
    </xf>
    <xf numFmtId="0" fontId="3" fillId="3" borderId="4" xfId="0" applyFont="1" applyFill="1" applyBorder="1" applyAlignment="1" applyProtection="1">
      <alignment horizontal="center"/>
      <protection hidden="1"/>
    </xf>
    <xf numFmtId="0" fontId="3" fillId="3" borderId="16" xfId="0" applyFont="1" applyFill="1" applyBorder="1" applyAlignment="1" applyProtection="1">
      <alignment horizontal="center" vertical="center"/>
      <protection hidden="1"/>
    </xf>
    <xf numFmtId="0" fontId="7" fillId="0" borderId="0" xfId="2" applyFont="1" applyFill="1" applyProtection="1">
      <protection hidden="1"/>
    </xf>
    <xf numFmtId="0" fontId="3" fillId="5" borderId="1" xfId="2" applyFont="1" applyFill="1" applyBorder="1" applyAlignment="1" applyProtection="1">
      <alignment horizontal="center"/>
      <protection hidden="1"/>
    </xf>
    <xf numFmtId="0" fontId="3" fillId="5" borderId="2" xfId="2" applyFont="1" applyFill="1" applyBorder="1" applyAlignment="1" applyProtection="1">
      <alignment horizontal="center"/>
      <protection hidden="1"/>
    </xf>
    <xf numFmtId="0" fontId="3" fillId="5" borderId="40" xfId="2" applyFont="1" applyFill="1" applyBorder="1" applyAlignment="1" applyProtection="1">
      <alignment horizontal="center"/>
      <protection hidden="1"/>
    </xf>
    <xf numFmtId="0" fontId="3" fillId="13" borderId="1" xfId="2" applyFont="1" applyFill="1" applyBorder="1" applyAlignment="1" applyProtection="1">
      <alignment vertical="center"/>
      <protection hidden="1"/>
    </xf>
    <xf numFmtId="0" fontId="3" fillId="16" borderId="2" xfId="2" applyFont="1" applyFill="1" applyBorder="1" applyAlignment="1" applyProtection="1">
      <alignment horizontal="center"/>
      <protection hidden="1"/>
    </xf>
    <xf numFmtId="0" fontId="3" fillId="16" borderId="3" xfId="2" applyFont="1" applyFill="1" applyBorder="1" applyAlignment="1" applyProtection="1">
      <alignment horizontal="center"/>
      <protection hidden="1"/>
    </xf>
    <xf numFmtId="1" fontId="3" fillId="4" borderId="10" xfId="2" applyNumberFormat="1" applyFont="1" applyFill="1" applyBorder="1" applyAlignment="1" applyProtection="1">
      <alignment horizontal="center"/>
      <protection hidden="1"/>
    </xf>
    <xf numFmtId="1" fontId="3" fillId="4" borderId="32" xfId="2" applyNumberFormat="1" applyFont="1" applyFill="1" applyBorder="1" applyAlignment="1" applyProtection="1">
      <alignment horizontal="center"/>
      <protection hidden="1"/>
    </xf>
    <xf numFmtId="164" fontId="3" fillId="0" borderId="14" xfId="2" applyNumberFormat="1" applyFont="1" applyFill="1" applyBorder="1" applyAlignment="1" applyProtection="1">
      <alignment horizontal="center" vertical="center"/>
      <protection hidden="1"/>
    </xf>
    <xf numFmtId="164" fontId="3" fillId="0" borderId="17" xfId="2" applyNumberFormat="1" applyFont="1" applyFill="1" applyBorder="1" applyAlignment="1" applyProtection="1">
      <alignment horizontal="center" vertical="center"/>
      <protection hidden="1"/>
    </xf>
    <xf numFmtId="164" fontId="3" fillId="0" borderId="35" xfId="2" applyNumberFormat="1" applyFont="1" applyFill="1" applyBorder="1" applyAlignment="1" applyProtection="1">
      <alignment horizontal="center" vertical="center"/>
      <protection hidden="1"/>
    </xf>
    <xf numFmtId="0" fontId="1" fillId="0" borderId="0" xfId="0" applyFont="1" applyProtection="1">
      <protection hidden="1"/>
    </xf>
    <xf numFmtId="0" fontId="1" fillId="0" borderId="0" xfId="0" applyFont="1"/>
    <xf numFmtId="0" fontId="1" fillId="7" borderId="9" xfId="0" applyFont="1" applyFill="1" applyBorder="1" applyProtection="1">
      <protection hidden="1"/>
    </xf>
    <xf numFmtId="0" fontId="1" fillId="7" borderId="12" xfId="0" applyFont="1" applyFill="1" applyBorder="1" applyProtection="1">
      <protection hidden="1"/>
    </xf>
    <xf numFmtId="0" fontId="1" fillId="7" borderId="14" xfId="0" applyFont="1" applyFill="1" applyBorder="1" applyProtection="1">
      <protection hidden="1"/>
    </xf>
    <xf numFmtId="0" fontId="1" fillId="7" borderId="49" xfId="0" applyFont="1" applyFill="1" applyBorder="1" applyProtection="1">
      <protection hidden="1"/>
    </xf>
    <xf numFmtId="0" fontId="1" fillId="7" borderId="0" xfId="0" applyFont="1" applyFill="1" applyBorder="1" applyProtection="1">
      <protection hidden="1"/>
    </xf>
    <xf numFmtId="0" fontId="1" fillId="7" borderId="53" xfId="0" applyFont="1" applyFill="1" applyBorder="1" applyProtection="1">
      <protection hidden="1"/>
    </xf>
    <xf numFmtId="0" fontId="1" fillId="7" borderId="43" xfId="0" applyFont="1" applyFill="1" applyBorder="1" applyProtection="1">
      <protection hidden="1"/>
    </xf>
    <xf numFmtId="0" fontId="1" fillId="7" borderId="44" xfId="0" applyFont="1" applyFill="1" applyBorder="1" applyProtection="1">
      <protection hidden="1"/>
    </xf>
    <xf numFmtId="0" fontId="1" fillId="7" borderId="67" xfId="0" applyFont="1" applyFill="1" applyBorder="1" applyProtection="1">
      <protection hidden="1"/>
    </xf>
    <xf numFmtId="0" fontId="25" fillId="12" borderId="9" xfId="0" applyFont="1" applyFill="1" applyBorder="1" applyProtection="1">
      <protection hidden="1"/>
    </xf>
    <xf numFmtId="0" fontId="25" fillId="12" borderId="12" xfId="0" applyFont="1" applyFill="1" applyBorder="1" applyProtection="1">
      <protection hidden="1"/>
    </xf>
    <xf numFmtId="0" fontId="25" fillId="12" borderId="14" xfId="0" applyFont="1" applyFill="1" applyBorder="1" applyProtection="1">
      <protection hidden="1"/>
    </xf>
    <xf numFmtId="0" fontId="25" fillId="12" borderId="49" xfId="0" applyFont="1" applyFill="1" applyBorder="1" applyProtection="1">
      <protection hidden="1"/>
    </xf>
    <xf numFmtId="0" fontId="30" fillId="12" borderId="0" xfId="0" applyFont="1" applyFill="1" applyBorder="1"/>
    <xf numFmtId="0" fontId="25" fillId="12" borderId="0" xfId="0" applyFont="1" applyFill="1" applyBorder="1" applyProtection="1">
      <protection hidden="1"/>
    </xf>
    <xf numFmtId="0" fontId="25" fillId="12" borderId="53" xfId="0" applyFont="1" applyFill="1" applyBorder="1" applyProtection="1">
      <protection hidden="1"/>
    </xf>
    <xf numFmtId="0" fontId="25" fillId="12" borderId="43" xfId="0" applyFont="1" applyFill="1" applyBorder="1" applyProtection="1">
      <protection hidden="1"/>
    </xf>
    <xf numFmtId="0" fontId="30" fillId="12" borderId="44" xfId="0" applyFont="1" applyFill="1" applyBorder="1"/>
    <xf numFmtId="0" fontId="25" fillId="12" borderId="44" xfId="0" applyFont="1" applyFill="1" applyBorder="1" applyProtection="1">
      <protection hidden="1"/>
    </xf>
    <xf numFmtId="0" fontId="25" fillId="12" borderId="67" xfId="0" applyFont="1" applyFill="1" applyBorder="1" applyProtection="1">
      <protection hidden="1"/>
    </xf>
    <xf numFmtId="1" fontId="21" fillId="0" borderId="0" xfId="2" applyNumberFormat="1" applyFont="1" applyAlignment="1" applyProtection="1">
      <alignment horizontal="center"/>
      <protection hidden="1"/>
    </xf>
    <xf numFmtId="0" fontId="2" fillId="0" borderId="44" xfId="2" applyFont="1" applyBorder="1" applyAlignment="1" applyProtection="1">
      <alignment horizontal="center"/>
      <protection hidden="1"/>
    </xf>
    <xf numFmtId="0" fontId="3" fillId="5" borderId="41" xfId="2" applyFont="1" applyFill="1" applyBorder="1" applyAlignment="1" applyProtection="1">
      <alignment horizontal="center"/>
      <protection hidden="1"/>
    </xf>
    <xf numFmtId="0" fontId="3" fillId="5" borderId="38" xfId="2" applyFont="1" applyFill="1" applyBorder="1" applyAlignment="1" applyProtection="1">
      <alignment horizontal="center"/>
      <protection hidden="1"/>
    </xf>
    <xf numFmtId="0" fontId="3" fillId="5" borderId="40" xfId="2" applyFont="1" applyFill="1" applyBorder="1" applyAlignment="1" applyProtection="1">
      <alignment horizontal="center"/>
      <protection hidden="1"/>
    </xf>
    <xf numFmtId="0" fontId="3" fillId="3" borderId="43" xfId="0" applyFont="1" applyFill="1" applyBorder="1" applyAlignment="1" applyProtection="1">
      <alignment horizontal="center"/>
      <protection hidden="1"/>
    </xf>
    <xf numFmtId="2" fontId="3" fillId="7" borderId="8" xfId="2" applyNumberFormat="1" applyFont="1" applyFill="1" applyBorder="1" applyAlignment="1">
      <alignment horizontal="center"/>
    </xf>
    <xf numFmtId="2" fontId="3" fillId="7" borderId="57" xfId="2" applyNumberFormat="1" applyFont="1" applyFill="1" applyBorder="1" applyAlignment="1">
      <alignment horizontal="center"/>
    </xf>
    <xf numFmtId="2" fontId="3" fillId="7" borderId="31" xfId="2" applyNumberFormat="1" applyFont="1" applyFill="1" applyBorder="1" applyAlignment="1">
      <alignment horizontal="center"/>
    </xf>
    <xf numFmtId="0" fontId="7" fillId="0" borderId="0" xfId="2" applyAlignment="1" applyProtection="1">
      <alignment horizontal="center"/>
      <protection hidden="1"/>
    </xf>
    <xf numFmtId="0" fontId="3" fillId="5" borderId="8" xfId="2" applyFont="1" applyFill="1" applyBorder="1" applyAlignment="1" applyProtection="1">
      <alignment horizontal="center"/>
      <protection hidden="1"/>
    </xf>
    <xf numFmtId="0" fontId="3" fillId="5" borderId="57" xfId="2" applyFont="1" applyFill="1" applyBorder="1" applyAlignment="1" applyProtection="1">
      <alignment horizontal="center"/>
      <protection hidden="1"/>
    </xf>
    <xf numFmtId="0" fontId="3" fillId="5" borderId="31" xfId="2" applyFont="1" applyFill="1" applyBorder="1" applyAlignment="1" applyProtection="1">
      <alignment horizontal="center"/>
      <protection hidden="1"/>
    </xf>
    <xf numFmtId="1" fontId="3" fillId="0" borderId="77" xfId="2" applyNumberFormat="1" applyFont="1" applyBorder="1" applyAlignment="1" applyProtection="1">
      <alignment horizontal="center"/>
      <protection hidden="1"/>
    </xf>
    <xf numFmtId="1" fontId="3" fillId="0" borderId="7" xfId="2" applyNumberFormat="1" applyFont="1" applyFill="1" applyBorder="1" applyAlignment="1" applyProtection="1">
      <alignment horizontal="center"/>
      <protection hidden="1"/>
    </xf>
    <xf numFmtId="1" fontId="3" fillId="0" borderId="58" xfId="2" applyNumberFormat="1" applyFont="1" applyFill="1" applyBorder="1" applyAlignment="1" applyProtection="1">
      <alignment horizontal="center"/>
      <protection hidden="1"/>
    </xf>
    <xf numFmtId="1" fontId="3" fillId="0" borderId="29" xfId="2" applyNumberFormat="1" applyFont="1" applyFill="1" applyBorder="1" applyAlignment="1" applyProtection="1">
      <alignment horizontal="center"/>
      <protection hidden="1"/>
    </xf>
    <xf numFmtId="1" fontId="3" fillId="0" borderId="32" xfId="2" applyNumberFormat="1" applyFont="1" applyFill="1" applyBorder="1" applyAlignment="1" applyProtection="1">
      <alignment horizontal="center"/>
      <protection hidden="1"/>
    </xf>
    <xf numFmtId="1" fontId="3" fillId="0" borderId="28" xfId="2" applyNumberFormat="1" applyFont="1" applyFill="1" applyBorder="1" applyAlignment="1" applyProtection="1">
      <alignment horizontal="center" vertical="center"/>
      <protection hidden="1"/>
    </xf>
    <xf numFmtId="0" fontId="7" fillId="13" borderId="12" xfId="2" applyFont="1" applyFill="1" applyBorder="1" applyProtection="1">
      <protection hidden="1"/>
    </xf>
    <xf numFmtId="0" fontId="7" fillId="13" borderId="14" xfId="2" applyFont="1" applyFill="1" applyBorder="1" applyProtection="1">
      <protection hidden="1"/>
    </xf>
    <xf numFmtId="0" fontId="3" fillId="13" borderId="49" xfId="2" applyFont="1" applyFill="1" applyBorder="1" applyAlignment="1" applyProtection="1">
      <protection hidden="1"/>
    </xf>
    <xf numFmtId="0" fontId="7" fillId="13" borderId="53" xfId="2" applyFont="1" applyFill="1" applyBorder="1" applyProtection="1">
      <protection hidden="1"/>
    </xf>
    <xf numFmtId="0" fontId="7" fillId="13" borderId="44" xfId="2" applyFont="1" applyFill="1" applyBorder="1" applyProtection="1">
      <protection hidden="1"/>
    </xf>
    <xf numFmtId="0" fontId="7" fillId="13" borderId="67" xfId="2" applyFont="1" applyFill="1" applyBorder="1" applyProtection="1">
      <protection hidden="1"/>
    </xf>
    <xf numFmtId="0" fontId="3" fillId="3" borderId="9" xfId="0" applyFont="1" applyFill="1" applyBorder="1" applyProtection="1">
      <protection hidden="1"/>
    </xf>
    <xf numFmtId="0" fontId="3" fillId="3" borderId="12" xfId="0" applyFont="1" applyFill="1" applyBorder="1" applyProtection="1">
      <protection hidden="1"/>
    </xf>
    <xf numFmtId="0" fontId="0" fillId="3" borderId="12" xfId="0" applyFill="1" applyBorder="1" applyProtection="1">
      <protection hidden="1"/>
    </xf>
    <xf numFmtId="0" fontId="3" fillId="3" borderId="62" xfId="0" applyFont="1" applyFill="1" applyBorder="1" applyProtection="1">
      <protection hidden="1"/>
    </xf>
    <xf numFmtId="0" fontId="3" fillId="3" borderId="76" xfId="0" applyFont="1" applyFill="1" applyBorder="1" applyProtection="1">
      <protection hidden="1"/>
    </xf>
    <xf numFmtId="0" fontId="0" fillId="3" borderId="76" xfId="0" applyFill="1" applyBorder="1" applyProtection="1">
      <protection hidden="1"/>
    </xf>
    <xf numFmtId="0" fontId="3" fillId="3" borderId="49" xfId="0" applyFont="1" applyFill="1" applyBorder="1" applyProtection="1">
      <protection hidden="1"/>
    </xf>
    <xf numFmtId="0" fontId="3" fillId="3" borderId="0" xfId="0" applyFont="1" applyFill="1" applyBorder="1" applyProtection="1">
      <protection hidden="1"/>
    </xf>
    <xf numFmtId="0" fontId="0" fillId="3" borderId="0" xfId="0" applyFill="1" applyBorder="1" applyProtection="1">
      <protection hidden="1"/>
    </xf>
    <xf numFmtId="0" fontId="3" fillId="3" borderId="43" xfId="0" applyFont="1" applyFill="1" applyBorder="1" applyProtection="1">
      <protection hidden="1"/>
    </xf>
    <xf numFmtId="0" fontId="3" fillId="3" borderId="44" xfId="0" applyFont="1" applyFill="1" applyBorder="1" applyProtection="1">
      <protection hidden="1"/>
    </xf>
    <xf numFmtId="0" fontId="0" fillId="3" borderId="44" xfId="0" applyFill="1" applyBorder="1" applyProtection="1">
      <protection hidden="1"/>
    </xf>
    <xf numFmtId="0" fontId="3" fillId="3" borderId="9" xfId="0" applyFont="1" applyFill="1" applyBorder="1" applyAlignment="1">
      <alignment horizontal="center"/>
    </xf>
    <xf numFmtId="0" fontId="3" fillId="3" borderId="55" xfId="0" applyFont="1" applyFill="1" applyBorder="1" applyAlignment="1" applyProtection="1">
      <alignment horizontal="center" vertical="center"/>
      <protection hidden="1"/>
    </xf>
    <xf numFmtId="1" fontId="3" fillId="4" borderId="49" xfId="0" applyNumberFormat="1" applyFont="1" applyFill="1" applyBorder="1" applyProtection="1">
      <protection hidden="1"/>
    </xf>
    <xf numFmtId="0" fontId="3" fillId="3" borderId="65" xfId="0" applyFont="1" applyFill="1" applyBorder="1" applyAlignment="1" applyProtection="1">
      <alignment horizontal="center" vertical="center"/>
      <protection hidden="1"/>
    </xf>
    <xf numFmtId="0" fontId="3" fillId="4" borderId="62" xfId="0" applyFont="1" applyFill="1" applyBorder="1" applyProtection="1">
      <protection hidden="1"/>
    </xf>
    <xf numFmtId="0" fontId="3" fillId="4" borderId="49" xfId="0" applyFont="1" applyFill="1" applyBorder="1" applyProtection="1">
      <protection hidden="1"/>
    </xf>
    <xf numFmtId="0" fontId="3" fillId="3" borderId="26" xfId="0" applyFont="1" applyFill="1" applyBorder="1" applyAlignment="1" applyProtection="1">
      <alignment horizontal="center" vertical="center"/>
      <protection hidden="1"/>
    </xf>
    <xf numFmtId="0" fontId="3" fillId="3" borderId="37" xfId="0" applyFont="1" applyFill="1" applyBorder="1" applyAlignment="1" applyProtection="1">
      <alignment horizontal="center" vertical="center"/>
      <protection hidden="1"/>
    </xf>
    <xf numFmtId="0" fontId="3" fillId="3" borderId="9" xfId="0" applyFont="1" applyFill="1" applyBorder="1" applyAlignment="1" applyProtection="1">
      <alignment horizontal="center"/>
      <protection hidden="1"/>
    </xf>
    <xf numFmtId="167" fontId="3" fillId="0" borderId="66" xfId="0" applyNumberFormat="1" applyFont="1" applyFill="1" applyBorder="1" applyAlignment="1" applyProtection="1">
      <alignment horizontal="center"/>
      <protection hidden="1"/>
    </xf>
    <xf numFmtId="167" fontId="3" fillId="0" borderId="65" xfId="0" applyNumberFormat="1" applyFont="1" applyFill="1" applyBorder="1" applyAlignment="1" applyProtection="1">
      <alignment horizontal="center"/>
      <protection hidden="1"/>
    </xf>
    <xf numFmtId="167" fontId="3" fillId="0" borderId="37" xfId="0" applyNumberFormat="1" applyFont="1" applyFill="1" applyBorder="1" applyAlignment="1" applyProtection="1">
      <alignment horizontal="center"/>
      <protection hidden="1"/>
    </xf>
    <xf numFmtId="0" fontId="3" fillId="3" borderId="16" xfId="0" applyFont="1" applyFill="1" applyBorder="1" applyAlignment="1" applyProtection="1">
      <alignment horizontal="center"/>
      <protection hidden="1"/>
    </xf>
    <xf numFmtId="0" fontId="3" fillId="4" borderId="33" xfId="0" applyFont="1" applyFill="1" applyBorder="1" applyProtection="1">
      <protection hidden="1"/>
    </xf>
    <xf numFmtId="1" fontId="3" fillId="5" borderId="72" xfId="2" applyNumberFormat="1" applyFont="1" applyFill="1" applyBorder="1" applyAlignment="1" applyProtection="1">
      <alignment horizontal="center" vertical="center"/>
      <protection hidden="1"/>
    </xf>
    <xf numFmtId="1" fontId="3" fillId="5" borderId="78" xfId="2" applyNumberFormat="1" applyFont="1" applyFill="1" applyBorder="1" applyAlignment="1" applyProtection="1">
      <alignment horizontal="center" vertical="center"/>
      <protection hidden="1"/>
    </xf>
    <xf numFmtId="1" fontId="3" fillId="5" borderId="44" xfId="2" applyNumberFormat="1" applyFont="1" applyFill="1" applyBorder="1" applyAlignment="1" applyProtection="1">
      <alignment horizontal="center" vertical="center"/>
      <protection hidden="1"/>
    </xf>
    <xf numFmtId="3" fontId="3" fillId="0" borderId="7" xfId="2" applyNumberFormat="1" applyFont="1" applyFill="1" applyBorder="1" applyAlignment="1" applyProtection="1">
      <alignment horizontal="center"/>
      <protection hidden="1"/>
    </xf>
    <xf numFmtId="3" fontId="3" fillId="0" borderId="56" xfId="2" applyNumberFormat="1" applyFont="1" applyFill="1" applyBorder="1" applyAlignment="1" applyProtection="1">
      <alignment horizontal="center"/>
      <protection hidden="1"/>
    </xf>
    <xf numFmtId="3" fontId="3" fillId="0" borderId="30" xfId="2" applyNumberFormat="1" applyFont="1" applyFill="1" applyBorder="1" applyAlignment="1" applyProtection="1">
      <alignment horizontal="center"/>
      <protection hidden="1"/>
    </xf>
    <xf numFmtId="1" fontId="3" fillId="0" borderId="59" xfId="2" applyNumberFormat="1" applyFont="1" applyBorder="1" applyAlignment="1" applyProtection="1">
      <alignment horizontal="center"/>
      <protection hidden="1"/>
    </xf>
    <xf numFmtId="0" fontId="3" fillId="5" borderId="4" xfId="2" applyFont="1" applyFill="1" applyBorder="1" applyAlignment="1" applyProtection="1">
      <alignment horizontal="centerContinuous"/>
      <protection hidden="1"/>
    </xf>
    <xf numFmtId="0" fontId="3" fillId="5" borderId="12" xfId="2" applyFont="1" applyFill="1" applyBorder="1" applyAlignment="1" applyProtection="1">
      <alignment horizontal="center"/>
      <protection hidden="1"/>
    </xf>
    <xf numFmtId="0" fontId="3" fillId="5" borderId="44" xfId="2" applyFont="1" applyFill="1" applyBorder="1" applyAlignment="1" applyProtection="1">
      <alignment horizontal="center"/>
      <protection hidden="1"/>
    </xf>
    <xf numFmtId="1" fontId="3" fillId="0" borderId="55" xfId="2" applyNumberFormat="1" applyFont="1" applyBorder="1" applyAlignment="1" applyProtection="1">
      <alignment horizontal="center"/>
      <protection hidden="1"/>
    </xf>
    <xf numFmtId="3" fontId="3" fillId="0" borderId="60" xfId="2" applyNumberFormat="1" applyFont="1" applyFill="1" applyBorder="1" applyAlignment="1" applyProtection="1">
      <alignment horizontal="center"/>
      <protection hidden="1"/>
    </xf>
    <xf numFmtId="3" fontId="3" fillId="0" borderId="61" xfId="2" applyNumberFormat="1" applyFont="1" applyFill="1" applyBorder="1" applyAlignment="1" applyProtection="1">
      <alignment horizontal="center"/>
      <protection hidden="1"/>
    </xf>
    <xf numFmtId="3" fontId="3" fillId="0" borderId="58" xfId="2" applyNumberFormat="1" applyFont="1" applyFill="1" applyBorder="1" applyAlignment="1" applyProtection="1">
      <alignment horizontal="center"/>
      <protection hidden="1"/>
    </xf>
    <xf numFmtId="3" fontId="3" fillId="0" borderId="63" xfId="2" applyNumberFormat="1" applyFont="1" applyFill="1" applyBorder="1" applyAlignment="1" applyProtection="1">
      <alignment horizontal="center"/>
      <protection hidden="1"/>
    </xf>
    <xf numFmtId="3" fontId="3" fillId="0" borderId="29" xfId="2" applyNumberFormat="1" applyFont="1" applyFill="1" applyBorder="1" applyAlignment="1" applyProtection="1">
      <alignment horizontal="center"/>
      <protection hidden="1"/>
    </xf>
    <xf numFmtId="3" fontId="3" fillId="0" borderId="32" xfId="2" applyNumberFormat="1" applyFont="1" applyFill="1" applyBorder="1" applyAlignment="1" applyProtection="1">
      <alignment horizontal="center"/>
      <protection hidden="1"/>
    </xf>
    <xf numFmtId="1" fontId="18" fillId="5" borderId="28" xfId="2" applyNumberFormat="1" applyFont="1" applyFill="1" applyBorder="1" applyAlignment="1" applyProtection="1">
      <alignment horizontal="center"/>
      <protection hidden="1"/>
    </xf>
    <xf numFmtId="1" fontId="3" fillId="3" borderId="28" xfId="0" applyNumberFormat="1" applyFont="1" applyFill="1" applyBorder="1" applyAlignment="1" applyProtection="1">
      <alignment horizontal="center"/>
      <protection hidden="1"/>
    </xf>
    <xf numFmtId="0" fontId="0" fillId="0" borderId="9" xfId="0" applyBorder="1" applyProtection="1">
      <protection hidden="1"/>
    </xf>
    <xf numFmtId="0" fontId="0" fillId="0" borderId="12" xfId="0" applyBorder="1" applyProtection="1">
      <protection hidden="1"/>
    </xf>
    <xf numFmtId="0" fontId="0" fillId="0" borderId="14" xfId="0" applyBorder="1" applyProtection="1">
      <protection hidden="1"/>
    </xf>
    <xf numFmtId="0" fontId="0" fillId="0" borderId="49" xfId="0" applyBorder="1" applyProtection="1">
      <protection hidden="1"/>
    </xf>
    <xf numFmtId="0" fontId="0" fillId="0" borderId="0" xfId="0" applyBorder="1" applyProtection="1">
      <protection hidden="1"/>
    </xf>
    <xf numFmtId="0" fontId="0" fillId="0" borderId="53" xfId="0" applyBorder="1" applyProtection="1">
      <protection hidden="1"/>
    </xf>
    <xf numFmtId="0" fontId="0" fillId="0" borderId="43" xfId="0" applyBorder="1" applyProtection="1">
      <protection hidden="1"/>
    </xf>
    <xf numFmtId="0" fontId="0" fillId="0" borderId="44" xfId="0" applyBorder="1" applyProtection="1">
      <protection hidden="1"/>
    </xf>
    <xf numFmtId="0" fontId="0" fillId="0" borderId="67" xfId="0" applyBorder="1" applyProtection="1">
      <protection hidden="1"/>
    </xf>
    <xf numFmtId="0" fontId="3" fillId="3" borderId="28" xfId="0" applyFont="1" applyFill="1" applyBorder="1" applyAlignment="1" applyProtection="1">
      <alignment horizontal="center"/>
      <protection hidden="1"/>
    </xf>
    <xf numFmtId="1" fontId="3" fillId="3" borderId="42" xfId="0" applyNumberFormat="1" applyFont="1" applyFill="1" applyBorder="1" applyAlignment="1" applyProtection="1">
      <alignment horizontal="center"/>
      <protection hidden="1"/>
    </xf>
    <xf numFmtId="0" fontId="3" fillId="3" borderId="6" xfId="0" applyFont="1" applyFill="1" applyBorder="1" applyAlignment="1" applyProtection="1">
      <alignment horizontal="center" vertical="center"/>
      <protection hidden="1"/>
    </xf>
    <xf numFmtId="0" fontId="3" fillId="3" borderId="15" xfId="0" applyFont="1" applyFill="1" applyBorder="1" applyAlignment="1" applyProtection="1">
      <alignment horizontal="center" vertical="center"/>
      <protection hidden="1"/>
    </xf>
    <xf numFmtId="0" fontId="3" fillId="3" borderId="11" xfId="0" applyFont="1" applyFill="1" applyBorder="1" applyAlignment="1" applyProtection="1">
      <alignment horizontal="center" vertical="center"/>
      <protection hidden="1"/>
    </xf>
    <xf numFmtId="0" fontId="3" fillId="3" borderId="10" xfId="0" applyFont="1" applyFill="1" applyBorder="1" applyAlignment="1" applyProtection="1">
      <alignment horizontal="center" vertical="center"/>
      <protection hidden="1"/>
    </xf>
    <xf numFmtId="1" fontId="3" fillId="3" borderId="6" xfId="0" applyNumberFormat="1" applyFont="1" applyFill="1" applyBorder="1" applyAlignment="1" applyProtection="1">
      <alignment horizontal="center" vertical="center"/>
      <protection hidden="1"/>
    </xf>
    <xf numFmtId="1" fontId="3" fillId="3" borderId="10" xfId="0" applyNumberFormat="1" applyFont="1" applyFill="1" applyBorder="1" applyAlignment="1" applyProtection="1">
      <alignment horizontal="center" vertical="center"/>
      <protection hidden="1"/>
    </xf>
    <xf numFmtId="2" fontId="3" fillId="3" borderId="6" xfId="0" applyNumberFormat="1" applyFont="1" applyFill="1" applyBorder="1" applyAlignment="1" applyProtection="1">
      <alignment horizontal="center" vertical="center"/>
      <protection hidden="1"/>
    </xf>
    <xf numFmtId="2" fontId="3" fillId="3" borderId="10" xfId="0" applyNumberFormat="1" applyFont="1" applyFill="1" applyBorder="1" applyAlignment="1" applyProtection="1">
      <alignment horizontal="center" vertical="center"/>
      <protection hidden="1"/>
    </xf>
    <xf numFmtId="0" fontId="3" fillId="16" borderId="11" xfId="0" applyFont="1" applyFill="1" applyBorder="1" applyAlignment="1" applyProtection="1">
      <alignment horizontal="center" vertical="center"/>
      <protection hidden="1"/>
    </xf>
    <xf numFmtId="0" fontId="3" fillId="16" borderId="10" xfId="0" applyFont="1" applyFill="1" applyBorder="1" applyAlignment="1" applyProtection="1">
      <alignment horizontal="center" vertical="center"/>
      <protection hidden="1"/>
    </xf>
    <xf numFmtId="0" fontId="3" fillId="3" borderId="14" xfId="0" applyFont="1" applyFill="1" applyBorder="1" applyAlignment="1" applyProtection="1">
      <alignment horizontal="center" vertical="center"/>
      <protection hidden="1"/>
    </xf>
    <xf numFmtId="0" fontId="3" fillId="20" borderId="10" xfId="0" applyFont="1" applyFill="1" applyBorder="1" applyAlignment="1" applyProtection="1">
      <alignment horizontal="center" vertical="center"/>
      <protection hidden="1"/>
    </xf>
    <xf numFmtId="0" fontId="3" fillId="20" borderId="14" xfId="0" applyFont="1" applyFill="1" applyBorder="1" applyAlignment="1" applyProtection="1">
      <alignment horizontal="center" vertical="center"/>
      <protection hidden="1"/>
    </xf>
    <xf numFmtId="0" fontId="11" fillId="0" borderId="0" xfId="0" applyFont="1" applyAlignment="1">
      <alignment horizontal="center"/>
    </xf>
    <xf numFmtId="0" fontId="3" fillId="3" borderId="64" xfId="0" applyFont="1" applyFill="1" applyBorder="1" applyAlignment="1" applyProtection="1">
      <alignment horizontal="center"/>
      <protection hidden="1"/>
    </xf>
    <xf numFmtId="164" fontId="3" fillId="0" borderId="60" xfId="0" applyNumberFormat="1" applyFont="1" applyFill="1" applyBorder="1" applyAlignment="1" applyProtection="1">
      <alignment horizontal="center" vertical="center"/>
      <protection hidden="1"/>
    </xf>
    <xf numFmtId="1" fontId="3" fillId="0" borderId="8" xfId="0" applyNumberFormat="1" applyFont="1" applyFill="1" applyBorder="1" applyAlignment="1" applyProtection="1">
      <alignment horizontal="center" vertical="center"/>
      <protection hidden="1"/>
    </xf>
    <xf numFmtId="1" fontId="3" fillId="0" borderId="61" xfId="0" applyNumberFormat="1" applyFont="1" applyFill="1" applyBorder="1" applyAlignment="1" applyProtection="1">
      <alignment horizontal="center" vertical="center"/>
      <protection hidden="1"/>
    </xf>
    <xf numFmtId="1" fontId="3" fillId="0" borderId="60" xfId="0" applyNumberFormat="1" applyFont="1" applyFill="1" applyBorder="1" applyAlignment="1" applyProtection="1">
      <alignment horizontal="center" vertical="center"/>
      <protection hidden="1"/>
    </xf>
    <xf numFmtId="164" fontId="3" fillId="0" borderId="7" xfId="0" applyNumberFormat="1" applyFont="1" applyFill="1" applyBorder="1" applyAlignment="1" applyProtection="1">
      <alignment horizontal="center" vertical="center"/>
      <protection hidden="1"/>
    </xf>
    <xf numFmtId="1" fontId="3" fillId="0" borderId="64" xfId="0" applyNumberFormat="1" applyFont="1" applyFill="1" applyBorder="1" applyAlignment="1" applyProtection="1">
      <alignment horizontal="center" vertical="center"/>
      <protection hidden="1"/>
    </xf>
    <xf numFmtId="2" fontId="3" fillId="0" borderId="60" xfId="0" applyNumberFormat="1" applyFont="1" applyFill="1" applyBorder="1" applyAlignment="1" applyProtection="1">
      <alignment horizontal="center" vertical="center"/>
      <protection hidden="1"/>
    </xf>
    <xf numFmtId="2" fontId="3" fillId="0" borderId="61" xfId="0" applyNumberFormat="1" applyFont="1" applyFill="1" applyBorder="1" applyAlignment="1" applyProtection="1">
      <alignment horizontal="center" vertical="center"/>
      <protection hidden="1"/>
    </xf>
    <xf numFmtId="1" fontId="3" fillId="0" borderId="7" xfId="0" applyNumberFormat="1" applyFont="1" applyFill="1" applyBorder="1" applyAlignment="1" applyProtection="1">
      <alignment horizontal="center" vertical="center"/>
      <protection hidden="1"/>
    </xf>
    <xf numFmtId="164" fontId="3" fillId="0" borderId="61" xfId="0" applyNumberFormat="1" applyFont="1" applyFill="1" applyBorder="1" applyAlignment="1" applyProtection="1">
      <alignment horizontal="center" vertical="center"/>
      <protection hidden="1"/>
    </xf>
    <xf numFmtId="1" fontId="3" fillId="0" borderId="66" xfId="0" applyNumberFormat="1" applyFont="1" applyFill="1" applyBorder="1" applyAlignment="1" applyProtection="1">
      <alignment horizontal="center" vertical="center"/>
      <protection hidden="1"/>
    </xf>
    <xf numFmtId="2" fontId="3" fillId="0" borderId="46" xfId="0" applyNumberFormat="1" applyFont="1" applyFill="1" applyBorder="1" applyAlignment="1" applyProtection="1">
      <alignment horizontal="center" vertical="center"/>
      <protection hidden="1"/>
    </xf>
    <xf numFmtId="2" fontId="3" fillId="0" borderId="7" xfId="0" applyNumberFormat="1" applyFont="1" applyFill="1" applyBorder="1" applyAlignment="1" applyProtection="1">
      <alignment horizontal="center" vertical="center"/>
      <protection hidden="1"/>
    </xf>
    <xf numFmtId="0" fontId="11" fillId="0" borderId="12" xfId="0" applyFont="1" applyBorder="1"/>
    <xf numFmtId="0" fontId="3" fillId="3" borderId="62" xfId="0" applyFont="1" applyFill="1" applyBorder="1" applyAlignment="1" applyProtection="1">
      <alignment horizontal="center"/>
      <protection hidden="1"/>
    </xf>
    <xf numFmtId="164" fontId="3" fillId="0" borderId="58" xfId="0" applyNumberFormat="1" applyFont="1" applyFill="1" applyBorder="1" applyAlignment="1" applyProtection="1">
      <alignment horizontal="center" vertical="center"/>
      <protection hidden="1"/>
    </xf>
    <xf numFmtId="1" fontId="3" fillId="0" borderId="57" xfId="0" applyNumberFormat="1" applyFont="1" applyFill="1" applyBorder="1" applyAlignment="1" applyProtection="1">
      <alignment horizontal="center" vertical="center"/>
      <protection hidden="1"/>
    </xf>
    <xf numFmtId="164" fontId="3" fillId="0" borderId="56" xfId="0" applyNumberFormat="1" applyFont="1" applyFill="1" applyBorder="1" applyAlignment="1" applyProtection="1">
      <alignment horizontal="center" vertical="center"/>
      <protection hidden="1"/>
    </xf>
    <xf numFmtId="1" fontId="3" fillId="0" borderId="62" xfId="0" applyNumberFormat="1" applyFont="1" applyFill="1" applyBorder="1" applyAlignment="1" applyProtection="1">
      <alignment horizontal="center" vertical="center"/>
      <protection hidden="1"/>
    </xf>
    <xf numFmtId="2" fontId="3" fillId="0" borderId="58" xfId="0" applyNumberFormat="1" applyFont="1" applyFill="1" applyBorder="1" applyAlignment="1" applyProtection="1">
      <alignment horizontal="center" vertical="center"/>
      <protection hidden="1"/>
    </xf>
    <xf numFmtId="2" fontId="3" fillId="0" borderId="63" xfId="0" applyNumberFormat="1" applyFont="1" applyFill="1" applyBorder="1" applyAlignment="1" applyProtection="1">
      <alignment horizontal="center" vertical="center"/>
      <protection hidden="1"/>
    </xf>
    <xf numFmtId="164" fontId="3" fillId="0" borderId="63" xfId="0" applyNumberFormat="1" applyFont="1" applyFill="1" applyBorder="1" applyAlignment="1" applyProtection="1">
      <alignment horizontal="center" vertical="center"/>
      <protection hidden="1"/>
    </xf>
    <xf numFmtId="1" fontId="3" fillId="0" borderId="65" xfId="0" applyNumberFormat="1" applyFont="1" applyFill="1" applyBorder="1" applyAlignment="1" applyProtection="1">
      <alignment horizontal="center" vertical="center"/>
      <protection hidden="1"/>
    </xf>
    <xf numFmtId="2" fontId="3" fillId="0" borderId="70" xfId="0" applyNumberFormat="1" applyFont="1" applyFill="1" applyBorder="1" applyAlignment="1" applyProtection="1">
      <alignment horizontal="center" vertical="center"/>
      <protection hidden="1"/>
    </xf>
    <xf numFmtId="0" fontId="11" fillId="0" borderId="0" xfId="0" applyFont="1" applyBorder="1"/>
    <xf numFmtId="0" fontId="3" fillId="3" borderId="33" xfId="0" applyFont="1" applyFill="1" applyBorder="1" applyAlignment="1" applyProtection="1">
      <alignment horizontal="center"/>
      <protection hidden="1"/>
    </xf>
    <xf numFmtId="164" fontId="3" fillId="0" borderId="29" xfId="0" applyNumberFormat="1" applyFont="1" applyFill="1" applyBorder="1" applyAlignment="1" applyProtection="1">
      <alignment horizontal="center" vertical="center"/>
      <protection hidden="1"/>
    </xf>
    <xf numFmtId="1" fontId="3" fillId="0" borderId="31" xfId="0" applyNumberFormat="1" applyFont="1" applyFill="1" applyBorder="1" applyAlignment="1" applyProtection="1">
      <alignment horizontal="center" vertical="center"/>
      <protection hidden="1"/>
    </xf>
    <xf numFmtId="164" fontId="3" fillId="0" borderId="30" xfId="0" applyNumberFormat="1" applyFont="1" applyFill="1" applyBorder="1" applyAlignment="1" applyProtection="1">
      <alignment horizontal="center" vertical="center"/>
      <protection hidden="1"/>
    </xf>
    <xf numFmtId="1" fontId="3" fillId="0" borderId="33" xfId="0" applyNumberFormat="1" applyFont="1" applyFill="1" applyBorder="1" applyAlignment="1" applyProtection="1">
      <alignment horizontal="center" vertical="center"/>
      <protection hidden="1"/>
    </xf>
    <xf numFmtId="2" fontId="3" fillId="0" borderId="29" xfId="0" applyNumberFormat="1" applyFont="1" applyFill="1" applyBorder="1" applyAlignment="1" applyProtection="1">
      <alignment horizontal="center" vertical="center"/>
      <protection hidden="1"/>
    </xf>
    <xf numFmtId="2" fontId="3" fillId="0" borderId="32" xfId="0" applyNumberFormat="1" applyFont="1" applyFill="1" applyBorder="1" applyAlignment="1" applyProtection="1">
      <alignment horizontal="center" vertical="center"/>
      <protection hidden="1"/>
    </xf>
    <xf numFmtId="164" fontId="3" fillId="0" borderId="32" xfId="0" applyNumberFormat="1" applyFont="1" applyFill="1" applyBorder="1" applyAlignment="1" applyProtection="1">
      <alignment horizontal="center" vertical="center"/>
      <protection hidden="1"/>
    </xf>
    <xf numFmtId="1" fontId="3" fillId="0" borderId="37" xfId="0" applyNumberFormat="1" applyFont="1" applyFill="1" applyBorder="1" applyAlignment="1" applyProtection="1">
      <alignment horizontal="center" vertical="center"/>
      <protection hidden="1"/>
    </xf>
    <xf numFmtId="2" fontId="3" fillId="0" borderId="36" xfId="0" applyNumberFormat="1" applyFont="1" applyFill="1" applyBorder="1" applyAlignment="1" applyProtection="1">
      <alignment horizontal="center" vertical="center"/>
      <protection hidden="1"/>
    </xf>
    <xf numFmtId="0" fontId="11" fillId="0" borderId="44" xfId="0" applyFont="1" applyBorder="1"/>
    <xf numFmtId="0" fontId="2" fillId="0" borderId="0" xfId="2" applyFont="1" applyBorder="1" applyProtection="1">
      <protection hidden="1"/>
    </xf>
    <xf numFmtId="0" fontId="31" fillId="0" borderId="0" xfId="2" applyFont="1" applyBorder="1" applyProtection="1">
      <protection hidden="1"/>
    </xf>
    <xf numFmtId="0" fontId="31" fillId="0" borderId="0" xfId="2" quotePrefix="1" applyFont="1" applyBorder="1" applyProtection="1">
      <protection hidden="1"/>
    </xf>
    <xf numFmtId="0" fontId="11" fillId="0" borderId="37" xfId="0" applyFont="1" applyBorder="1" applyAlignment="1">
      <alignment horizontal="center"/>
    </xf>
    <xf numFmtId="0" fontId="7" fillId="0" borderId="0" xfId="2" applyAlignment="1">
      <alignment vertical="center"/>
    </xf>
    <xf numFmtId="0" fontId="7" fillId="0" borderId="0" xfId="2" applyAlignment="1">
      <alignment vertical="center" wrapText="1"/>
    </xf>
    <xf numFmtId="0" fontId="7" fillId="0" borderId="0" xfId="2" applyFont="1" applyAlignment="1">
      <alignment vertical="center"/>
    </xf>
    <xf numFmtId="0" fontId="3" fillId="0" borderId="0" xfId="2" applyFont="1" applyAlignment="1">
      <alignment horizontal="centerContinuous" vertical="center"/>
    </xf>
    <xf numFmtId="0" fontId="7" fillId="0" borderId="0" xfId="2" applyFont="1" applyAlignment="1">
      <alignment horizontal="centerContinuous" vertical="center"/>
    </xf>
    <xf numFmtId="0" fontId="7" fillId="22" borderId="9" xfId="2" applyFill="1" applyBorder="1" applyAlignment="1">
      <alignment vertical="center"/>
    </xf>
    <xf numFmtId="0" fontId="7" fillId="22" borderId="12" xfId="2" applyFill="1" applyBorder="1" applyAlignment="1">
      <alignment vertical="center" wrapText="1"/>
    </xf>
    <xf numFmtId="0" fontId="7" fillId="22" borderId="12" xfId="2" applyFill="1" applyBorder="1" applyAlignment="1">
      <alignment vertical="center"/>
    </xf>
    <xf numFmtId="0" fontId="7" fillId="22" borderId="12" xfId="2" applyFont="1" applyFill="1" applyBorder="1" applyAlignment="1">
      <alignment vertical="center"/>
    </xf>
    <xf numFmtId="0" fontId="3" fillId="22" borderId="12" xfId="2" applyFont="1" applyFill="1" applyBorder="1" applyAlignment="1">
      <alignment horizontal="centerContinuous" vertical="center"/>
    </xf>
    <xf numFmtId="0" fontId="7" fillId="22" borderId="12" xfId="2" applyFont="1" applyFill="1" applyBorder="1" applyAlignment="1">
      <alignment horizontal="centerContinuous" vertical="center"/>
    </xf>
    <xf numFmtId="0" fontId="7" fillId="22" borderId="14" xfId="2" applyFill="1" applyBorder="1" applyAlignment="1">
      <alignment vertical="center"/>
    </xf>
    <xf numFmtId="0" fontId="33" fillId="22" borderId="49" xfId="2" applyFont="1" applyFill="1" applyBorder="1" applyAlignment="1">
      <alignment vertical="center"/>
    </xf>
    <xf numFmtId="0" fontId="33" fillId="22" borderId="0" xfId="2" applyFont="1" applyFill="1" applyBorder="1" applyAlignment="1">
      <alignment horizontal="left" vertical="center"/>
    </xf>
    <xf numFmtId="0" fontId="33" fillId="22" borderId="0" xfId="2" applyFont="1" applyFill="1" applyBorder="1"/>
    <xf numFmtId="0" fontId="34" fillId="22" borderId="0" xfId="2" applyFont="1" applyFill="1" applyBorder="1"/>
    <xf numFmtId="0" fontId="34" fillId="22" borderId="0" xfId="2" applyFont="1" applyFill="1" applyBorder="1" applyAlignment="1">
      <alignment vertical="center"/>
    </xf>
    <xf numFmtId="0" fontId="34" fillId="22" borderId="0" xfId="2" applyFont="1" applyFill="1" applyBorder="1" applyAlignment="1">
      <alignment horizontal="centerContinuous" vertical="center"/>
    </xf>
    <xf numFmtId="0" fontId="33" fillId="22" borderId="0" xfId="2" applyFont="1" applyFill="1" applyBorder="1" applyAlignment="1">
      <alignment vertical="center"/>
    </xf>
    <xf numFmtId="0" fontId="33" fillId="22" borderId="53" xfId="2" applyFont="1" applyFill="1" applyBorder="1" applyAlignment="1">
      <alignment vertical="center"/>
    </xf>
    <xf numFmtId="0" fontId="33" fillId="0" borderId="0" xfId="2" applyFont="1" applyAlignment="1">
      <alignment vertical="center"/>
    </xf>
    <xf numFmtId="0" fontId="7" fillId="22" borderId="49" xfId="2" applyFill="1" applyBorder="1" applyAlignment="1">
      <alignment vertical="center"/>
    </xf>
    <xf numFmtId="0" fontId="7" fillId="22" borderId="0" xfId="2" applyFill="1" applyBorder="1" applyAlignment="1">
      <alignment vertical="center"/>
    </xf>
    <xf numFmtId="0" fontId="7" fillId="22" borderId="0" xfId="2" applyFill="1" applyBorder="1" applyAlignment="1" applyProtection="1">
      <alignment vertical="center"/>
      <protection hidden="1"/>
    </xf>
    <xf numFmtId="0" fontId="7" fillId="22" borderId="0" xfId="2" applyFont="1" applyFill="1" applyBorder="1" applyAlignment="1">
      <alignment vertical="center"/>
    </xf>
    <xf numFmtId="0" fontId="3" fillId="22" borderId="0" xfId="2" applyFont="1" applyFill="1" applyBorder="1" applyAlignment="1">
      <alignment horizontal="centerContinuous" vertical="center"/>
    </xf>
    <xf numFmtId="0" fontId="7" fillId="22" borderId="0" xfId="2" applyFont="1" applyFill="1" applyBorder="1" applyAlignment="1">
      <alignment horizontal="centerContinuous" vertical="center"/>
    </xf>
    <xf numFmtId="0" fontId="7" fillId="22" borderId="53" xfId="2" applyFill="1" applyBorder="1" applyAlignment="1">
      <alignment vertical="center"/>
    </xf>
    <xf numFmtId="0" fontId="7" fillId="22" borderId="0" xfId="2" applyFill="1" applyBorder="1" applyAlignment="1">
      <alignment horizontal="center" vertical="center" wrapText="1"/>
    </xf>
    <xf numFmtId="0" fontId="7" fillId="22" borderId="0" xfId="2" applyFont="1" applyFill="1" applyBorder="1" applyAlignment="1">
      <alignment horizontal="center" vertical="center" wrapText="1"/>
    </xf>
    <xf numFmtId="0" fontId="36" fillId="22" borderId="0" xfId="2" applyFont="1" applyFill="1" applyBorder="1" applyAlignment="1">
      <alignment horizontal="centerContinuous" vertical="center"/>
    </xf>
    <xf numFmtId="0" fontId="7" fillId="22" borderId="0" xfId="2" applyFill="1" applyBorder="1" applyAlignment="1">
      <alignment vertical="center" wrapText="1"/>
    </xf>
    <xf numFmtId="0" fontId="7" fillId="22" borderId="0" xfId="2" applyFont="1" applyFill="1" applyBorder="1" applyAlignment="1">
      <alignment vertical="center" wrapText="1"/>
    </xf>
    <xf numFmtId="0" fontId="8" fillId="22" borderId="0" xfId="2" applyFont="1" applyFill="1" applyBorder="1" applyAlignment="1">
      <alignment vertical="center"/>
    </xf>
    <xf numFmtId="15" fontId="36" fillId="22" borderId="0" xfId="2" applyNumberFormat="1" applyFont="1" applyFill="1" applyBorder="1" applyAlignment="1">
      <alignment horizontal="centerContinuous" vertical="center"/>
    </xf>
    <xf numFmtId="0" fontId="36" fillId="22" borderId="0" xfId="2" applyFont="1" applyFill="1" applyBorder="1" applyAlignment="1">
      <alignment horizontal="center" vertical="center"/>
    </xf>
    <xf numFmtId="0" fontId="7" fillId="22" borderId="0" xfId="2" applyFill="1" applyBorder="1" applyAlignment="1">
      <alignment horizontal="centerContinuous" vertical="center"/>
    </xf>
    <xf numFmtId="0" fontId="7" fillId="22" borderId="43" xfId="2" applyFill="1" applyBorder="1" applyAlignment="1">
      <alignment vertical="center"/>
    </xf>
    <xf numFmtId="0" fontId="7" fillId="22" borderId="44" xfId="2" applyFill="1" applyBorder="1" applyAlignment="1">
      <alignment vertical="center" wrapText="1"/>
    </xf>
    <xf numFmtId="0" fontId="7" fillId="22" borderId="44" xfId="2" applyFill="1" applyBorder="1" applyAlignment="1">
      <alignment vertical="center"/>
    </xf>
    <xf numFmtId="0" fontId="7" fillId="22" borderId="44" xfId="2" applyFont="1" applyFill="1" applyBorder="1" applyAlignment="1">
      <alignment vertical="center"/>
    </xf>
    <xf numFmtId="0" fontId="3" fillId="22" borderId="44" xfId="2" applyFont="1" applyFill="1" applyBorder="1" applyAlignment="1">
      <alignment horizontal="centerContinuous" vertical="center"/>
    </xf>
    <xf numFmtId="0" fontId="7" fillId="22" borderId="44" xfId="2" applyFont="1" applyFill="1" applyBorder="1" applyAlignment="1">
      <alignment horizontal="centerContinuous" vertical="center"/>
    </xf>
    <xf numFmtId="0" fontId="7" fillId="0" borderId="67" xfId="2" applyBorder="1" applyAlignment="1">
      <alignment vertical="center"/>
    </xf>
    <xf numFmtId="0" fontId="7" fillId="24" borderId="28" xfId="2" applyFont="1" applyFill="1" applyBorder="1" applyAlignment="1">
      <alignment vertical="center"/>
    </xf>
    <xf numFmtId="0" fontId="7" fillId="22" borderId="0" xfId="2" applyFont="1" applyFill="1" applyBorder="1"/>
    <xf numFmtId="0" fontId="7" fillId="22" borderId="0" xfId="2" applyFont="1" applyFill="1" applyBorder="1" applyAlignment="1">
      <alignment horizontal="center" vertical="center"/>
    </xf>
    <xf numFmtId="0" fontId="36" fillId="23" borderId="28" xfId="2" applyFont="1" applyFill="1" applyBorder="1" applyAlignment="1">
      <alignment horizontal="center" vertical="center" wrapText="1"/>
    </xf>
    <xf numFmtId="0" fontId="7" fillId="22" borderId="67" xfId="2" applyFill="1" applyBorder="1" applyAlignment="1">
      <alignment vertical="center"/>
    </xf>
    <xf numFmtId="0" fontId="33" fillId="22" borderId="0" xfId="2" applyFont="1" applyFill="1" applyBorder="1" applyAlignment="1">
      <alignment horizontal="center"/>
    </xf>
    <xf numFmtId="0" fontId="33" fillId="22" borderId="0" xfId="2" applyFont="1" applyFill="1" applyBorder="1" applyAlignment="1">
      <alignment horizontal="center" vertical="center"/>
    </xf>
    <xf numFmtId="0" fontId="34" fillId="22" borderId="0" xfId="2" applyFont="1" applyFill="1" applyBorder="1" applyAlignment="1">
      <alignment horizontal="center"/>
    </xf>
    <xf numFmtId="0" fontId="7" fillId="22" borderId="0" xfId="2" applyFont="1" applyFill="1" applyBorder="1" applyAlignment="1" applyProtection="1">
      <alignment vertical="center"/>
      <protection hidden="1"/>
    </xf>
    <xf numFmtId="0" fontId="37" fillId="23" borderId="28" xfId="2" applyFont="1" applyFill="1" applyBorder="1" applyAlignment="1">
      <alignment horizontal="center" vertical="center" wrapText="1"/>
    </xf>
    <xf numFmtId="0" fontId="36" fillId="23" borderId="28" xfId="2" applyFont="1" applyFill="1" applyBorder="1" applyAlignment="1">
      <alignment horizontal="center" vertical="center"/>
    </xf>
    <xf numFmtId="3" fontId="36" fillId="23" borderId="28" xfId="2" applyNumberFormat="1" applyFont="1" applyFill="1" applyBorder="1" applyAlignment="1">
      <alignment horizontal="center" vertical="center" wrapText="1"/>
    </xf>
    <xf numFmtId="0" fontId="7" fillId="0" borderId="0" xfId="2" applyFill="1" applyBorder="1" applyAlignment="1">
      <alignment vertical="center"/>
    </xf>
    <xf numFmtId="0" fontId="7" fillId="0" borderId="0" xfId="2" applyFill="1" applyBorder="1" applyAlignment="1">
      <alignment vertical="center" wrapText="1"/>
    </xf>
    <xf numFmtId="0" fontId="7" fillId="0" borderId="0" xfId="2" applyFont="1" applyFill="1" applyBorder="1" applyAlignment="1">
      <alignment vertical="center"/>
    </xf>
    <xf numFmtId="0" fontId="3" fillId="0" borderId="0" xfId="2" applyFont="1" applyFill="1" applyBorder="1" applyAlignment="1">
      <alignment horizontal="centerContinuous" vertical="center"/>
    </xf>
    <xf numFmtId="0" fontId="7" fillId="0" borderId="0" xfId="2" applyFont="1" applyFill="1" applyBorder="1" applyAlignment="1">
      <alignment horizontal="centerContinuous" vertical="center"/>
    </xf>
    <xf numFmtId="0" fontId="7" fillId="0" borderId="0" xfId="2" applyFill="1" applyAlignment="1">
      <alignment vertical="center"/>
    </xf>
    <xf numFmtId="0" fontId="35" fillId="22" borderId="0" xfId="2" applyFont="1" applyFill="1" applyBorder="1" applyAlignment="1">
      <alignment vertical="center"/>
    </xf>
    <xf numFmtId="0" fontId="7" fillId="22" borderId="0" xfId="2" applyFill="1" applyBorder="1" applyAlignment="1">
      <alignment horizontal="center" vertical="center"/>
    </xf>
    <xf numFmtId="0" fontId="36" fillId="23" borderId="28" xfId="2" quotePrefix="1" applyFont="1" applyFill="1" applyBorder="1" applyAlignment="1">
      <alignment horizontal="center" vertical="center" wrapText="1"/>
    </xf>
    <xf numFmtId="0" fontId="3" fillId="22" borderId="0" xfId="2" applyFont="1" applyFill="1" applyBorder="1" applyAlignment="1">
      <alignment horizontal="center" vertical="center"/>
    </xf>
    <xf numFmtId="0" fontId="36" fillId="0" borderId="28" xfId="2" applyFont="1" applyFill="1" applyBorder="1" applyAlignment="1">
      <alignment horizontal="center" vertical="center" wrapText="1"/>
    </xf>
    <xf numFmtId="0" fontId="36" fillId="22" borderId="0" xfId="2" applyFont="1" applyFill="1" applyBorder="1" applyAlignment="1">
      <alignment horizontal="center" vertical="center" wrapText="1"/>
    </xf>
    <xf numFmtId="164" fontId="36" fillId="23" borderId="28" xfId="2" applyNumberFormat="1" applyFont="1" applyFill="1" applyBorder="1" applyAlignment="1">
      <alignment horizontal="center" vertical="center" wrapText="1"/>
    </xf>
    <xf numFmtId="0" fontId="7" fillId="0" borderId="13" xfId="2" applyFill="1" applyBorder="1" applyAlignment="1">
      <alignment vertical="center"/>
    </xf>
    <xf numFmtId="0" fontId="7" fillId="0" borderId="12" xfId="2" applyFill="1" applyBorder="1" applyAlignment="1">
      <alignment vertical="center" wrapText="1"/>
    </xf>
    <xf numFmtId="0" fontId="7" fillId="0" borderId="12" xfId="2" applyFill="1" applyBorder="1" applyAlignment="1">
      <alignment vertical="center"/>
    </xf>
    <xf numFmtId="0" fontId="7" fillId="0" borderId="12" xfId="2" applyFont="1" applyFill="1" applyBorder="1" applyAlignment="1">
      <alignment vertical="center"/>
    </xf>
    <xf numFmtId="0" fontId="3" fillId="0" borderId="12" xfId="2" applyFont="1" applyFill="1" applyBorder="1" applyAlignment="1">
      <alignment horizontal="centerContinuous" vertical="center"/>
    </xf>
    <xf numFmtId="0" fontId="7" fillId="0" borderId="12" xfId="2" applyFont="1" applyFill="1" applyBorder="1" applyAlignment="1">
      <alignment horizontal="centerContinuous" vertical="center"/>
    </xf>
    <xf numFmtId="0" fontId="7" fillId="0" borderId="15" xfId="2" applyFill="1" applyBorder="1" applyAlignment="1">
      <alignment vertical="center"/>
    </xf>
    <xf numFmtId="0" fontId="33" fillId="22" borderId="12" xfId="2" applyFont="1" applyFill="1" applyBorder="1" applyAlignment="1">
      <alignment horizontal="left" vertical="center"/>
    </xf>
    <xf numFmtId="0" fontId="35" fillId="0" borderId="28" xfId="2" applyFont="1" applyFill="1" applyBorder="1" applyAlignment="1">
      <alignment horizontal="center" vertical="center"/>
    </xf>
    <xf numFmtId="0" fontId="7" fillId="22" borderId="12" xfId="2" applyFill="1" applyBorder="1" applyAlignment="1" applyProtection="1">
      <alignment vertical="center"/>
      <protection hidden="1"/>
    </xf>
    <xf numFmtId="0" fontId="3" fillId="22" borderId="0" xfId="2" applyFont="1" applyFill="1" applyBorder="1" applyAlignment="1" applyProtection="1">
      <alignment horizontal="centerContinuous" vertical="center"/>
      <protection hidden="1"/>
    </xf>
    <xf numFmtId="0" fontId="7" fillId="22" borderId="0" xfId="2" applyFont="1" applyFill="1" applyBorder="1" applyAlignment="1" applyProtection="1">
      <alignment horizontal="centerContinuous" vertical="center"/>
      <protection hidden="1"/>
    </xf>
    <xf numFmtId="0" fontId="7" fillId="22" borderId="9" xfId="2" applyFill="1" applyBorder="1"/>
    <xf numFmtId="0" fontId="7" fillId="0" borderId="0" xfId="2" applyAlignment="1">
      <alignment vertical="center"/>
    </xf>
    <xf numFmtId="1" fontId="36" fillId="23" borderId="28" xfId="2" applyNumberFormat="1" applyFont="1" applyFill="1" applyBorder="1" applyAlignment="1">
      <alignment horizontal="center" vertical="center" wrapText="1"/>
    </xf>
    <xf numFmtId="1" fontId="39" fillId="23" borderId="28" xfId="2" applyNumberFormat="1" applyFont="1" applyFill="1" applyBorder="1" applyAlignment="1">
      <alignment horizontal="center" vertical="center" wrapText="1"/>
    </xf>
    <xf numFmtId="1" fontId="37" fillId="23" borderId="28" xfId="2" applyNumberFormat="1" applyFont="1" applyFill="1" applyBorder="1" applyAlignment="1">
      <alignment horizontal="center" vertical="center" wrapText="1"/>
    </xf>
    <xf numFmtId="1" fontId="36" fillId="23" borderId="28" xfId="2" quotePrefix="1" applyNumberFormat="1" applyFont="1" applyFill="1" applyBorder="1" applyAlignment="1">
      <alignment horizontal="center" vertical="center" wrapText="1"/>
    </xf>
    <xf numFmtId="0" fontId="33" fillId="0" borderId="0" xfId="2" applyFont="1" applyFill="1" applyAlignment="1">
      <alignment vertical="center"/>
    </xf>
    <xf numFmtId="1" fontId="17" fillId="0" borderId="28" xfId="2" applyNumberFormat="1" applyFont="1" applyFill="1" applyBorder="1" applyAlignment="1">
      <alignment horizontal="center" vertical="center"/>
    </xf>
    <xf numFmtId="1" fontId="40" fillId="0" borderId="28" xfId="2" applyNumberFormat="1" applyFont="1" applyFill="1" applyBorder="1" applyAlignment="1">
      <alignment horizontal="center" vertical="center"/>
    </xf>
    <xf numFmtId="1" fontId="36" fillId="0" borderId="28" xfId="2" applyNumberFormat="1" applyFont="1" applyFill="1" applyBorder="1" applyAlignment="1">
      <alignment horizontal="center" vertical="center" wrapText="1"/>
    </xf>
    <xf numFmtId="0" fontId="1" fillId="0" borderId="0" xfId="0" quotePrefix="1" applyFont="1" applyProtection="1">
      <protection hidden="1"/>
    </xf>
    <xf numFmtId="1" fontId="35" fillId="0" borderId="28" xfId="2" applyNumberFormat="1" applyFont="1" applyFill="1" applyBorder="1" applyAlignment="1">
      <alignment horizontal="center" vertical="center"/>
    </xf>
    <xf numFmtId="2" fontId="36" fillId="23" borderId="28" xfId="2" quotePrefix="1" applyNumberFormat="1" applyFont="1" applyFill="1" applyBorder="1" applyAlignment="1">
      <alignment horizontal="center" vertical="center" wrapText="1"/>
    </xf>
    <xf numFmtId="0" fontId="7" fillId="0" borderId="0" xfId="2" applyFill="1"/>
    <xf numFmtId="0" fontId="7" fillId="0" borderId="0" xfId="2" applyAlignment="1">
      <alignment vertical="center"/>
    </xf>
    <xf numFmtId="0" fontId="1" fillId="0" borderId="9" xfId="0" applyFont="1" applyBorder="1" applyProtection="1">
      <protection hidden="1"/>
    </xf>
    <xf numFmtId="0" fontId="1" fillId="0" borderId="12" xfId="0" applyFont="1" applyBorder="1" applyProtection="1">
      <protection hidden="1"/>
    </xf>
    <xf numFmtId="0" fontId="1" fillId="0" borderId="14" xfId="0" applyFont="1" applyBorder="1" applyProtection="1">
      <protection hidden="1"/>
    </xf>
    <xf numFmtId="0" fontId="1" fillId="0" borderId="49" xfId="0" applyFont="1" applyBorder="1" applyProtection="1">
      <protection hidden="1"/>
    </xf>
    <xf numFmtId="0" fontId="1" fillId="0" borderId="0" xfId="0" applyFont="1" applyBorder="1" applyProtection="1">
      <protection hidden="1"/>
    </xf>
    <xf numFmtId="0" fontId="41" fillId="0" borderId="0" xfId="0" applyFont="1" applyBorder="1" applyProtection="1">
      <protection hidden="1"/>
    </xf>
    <xf numFmtId="0" fontId="1" fillId="0" borderId="53" xfId="0" applyFont="1" applyBorder="1" applyProtection="1">
      <protection hidden="1"/>
    </xf>
    <xf numFmtId="0" fontId="1" fillId="0" borderId="43" xfId="0" applyFont="1" applyBorder="1" applyProtection="1">
      <protection hidden="1"/>
    </xf>
    <xf numFmtId="0" fontId="1" fillId="0" borderId="44" xfId="0" applyFont="1" applyBorder="1" applyProtection="1">
      <protection hidden="1"/>
    </xf>
    <xf numFmtId="0" fontId="1" fillId="0" borderId="67" xfId="0" applyFont="1" applyBorder="1" applyProtection="1">
      <protection hidden="1"/>
    </xf>
    <xf numFmtId="0" fontId="42" fillId="0" borderId="0" xfId="0" applyFont="1" applyBorder="1" applyAlignment="1" applyProtection="1">
      <alignment vertical="center" wrapText="1"/>
      <protection hidden="1"/>
    </xf>
    <xf numFmtId="0" fontId="42" fillId="0" borderId="44" xfId="0" applyFont="1" applyBorder="1" applyAlignment="1" applyProtection="1">
      <alignment vertical="center" wrapText="1"/>
      <protection hidden="1"/>
    </xf>
    <xf numFmtId="0" fontId="7" fillId="0" borderId="0" xfId="2" applyAlignment="1">
      <alignment vertical="center"/>
    </xf>
    <xf numFmtId="0" fontId="7" fillId="0" borderId="0" xfId="2" quotePrefix="1" applyAlignment="1">
      <alignment vertical="center"/>
    </xf>
    <xf numFmtId="0" fontId="7" fillId="8" borderId="2" xfId="2" applyFill="1" applyBorder="1" applyAlignment="1">
      <alignment vertical="center"/>
    </xf>
    <xf numFmtId="0" fontId="16" fillId="11" borderId="1" xfId="2" applyFont="1" applyFill="1" applyBorder="1" applyAlignment="1">
      <alignment vertical="center"/>
    </xf>
    <xf numFmtId="0" fontId="7" fillId="11" borderId="2" xfId="2" applyFill="1" applyBorder="1" applyAlignment="1">
      <alignment vertical="center"/>
    </xf>
    <xf numFmtId="0" fontId="7" fillId="11" borderId="2" xfId="2" applyFont="1" applyFill="1" applyBorder="1" applyAlignment="1">
      <alignment vertical="center"/>
    </xf>
    <xf numFmtId="0" fontId="3" fillId="11" borderId="3" xfId="2" applyFont="1" applyFill="1" applyBorder="1" applyAlignment="1">
      <alignment horizontal="centerContinuous" vertical="center"/>
    </xf>
    <xf numFmtId="0" fontId="43" fillId="0" borderId="0" xfId="2" applyFont="1" applyProtection="1">
      <protection hidden="1"/>
    </xf>
    <xf numFmtId="164" fontId="36" fillId="23" borderId="28" xfId="2" quotePrefix="1" applyNumberFormat="1" applyFont="1" applyFill="1" applyBorder="1" applyAlignment="1">
      <alignment horizontal="center" vertical="center" wrapText="1"/>
    </xf>
    <xf numFmtId="164" fontId="3" fillId="15" borderId="61" xfId="2" applyNumberFormat="1" applyFont="1" applyFill="1" applyBorder="1" applyAlignment="1">
      <alignment horizontal="center"/>
    </xf>
    <xf numFmtId="164" fontId="3" fillId="15" borderId="63" xfId="2" applyNumberFormat="1" applyFont="1" applyFill="1" applyBorder="1" applyAlignment="1">
      <alignment horizontal="center"/>
    </xf>
    <xf numFmtId="164" fontId="3" fillId="15" borderId="32" xfId="2" applyNumberFormat="1" applyFont="1" applyFill="1" applyBorder="1" applyAlignment="1">
      <alignment horizontal="center"/>
    </xf>
    <xf numFmtId="1" fontId="44" fillId="0" borderId="28" xfId="2" applyNumberFormat="1" applyFont="1" applyFill="1" applyBorder="1" applyAlignment="1">
      <alignment horizontal="center" vertical="center" wrapText="1"/>
    </xf>
    <xf numFmtId="0" fontId="3" fillId="5" borderId="4" xfId="2" applyFont="1" applyFill="1" applyBorder="1" applyAlignment="1" applyProtection="1">
      <alignment horizontal="center" vertical="center"/>
      <protection hidden="1"/>
    </xf>
    <xf numFmtId="1" fontId="3" fillId="13" borderId="2" xfId="2" applyNumberFormat="1" applyFont="1" applyFill="1" applyBorder="1" applyAlignment="1" applyProtection="1">
      <alignment horizontal="center"/>
      <protection hidden="1"/>
    </xf>
    <xf numFmtId="0" fontId="3" fillId="13" borderId="9" xfId="2" applyFont="1" applyFill="1" applyBorder="1" applyAlignment="1" applyProtection="1">
      <alignment horizontal="center"/>
      <protection hidden="1"/>
    </xf>
    <xf numFmtId="0" fontId="3" fillId="13" borderId="43" xfId="2" applyFont="1" applyFill="1" applyBorder="1" applyAlignment="1" applyProtection="1">
      <alignment horizontal="center" vertical="center"/>
      <protection hidden="1"/>
    </xf>
    <xf numFmtId="1" fontId="3" fillId="0" borderId="66" xfId="2" applyNumberFormat="1" applyFont="1" applyFill="1" applyBorder="1" applyAlignment="1" applyProtection="1">
      <alignment horizontal="center" vertical="center"/>
      <protection hidden="1"/>
    </xf>
    <xf numFmtId="0" fontId="7" fillId="0" borderId="0" xfId="2" quotePrefix="1" applyProtection="1">
      <protection hidden="1"/>
    </xf>
    <xf numFmtId="164" fontId="3" fillId="0" borderId="55" xfId="2" applyNumberFormat="1" applyFont="1" applyBorder="1" applyAlignment="1" applyProtection="1">
      <alignment horizontal="center"/>
      <protection hidden="1"/>
    </xf>
    <xf numFmtId="1" fontId="3" fillId="0" borderId="42" xfId="2" applyNumberFormat="1" applyFont="1" applyBorder="1" applyAlignment="1" applyProtection="1">
      <alignment horizontal="center"/>
      <protection hidden="1"/>
    </xf>
    <xf numFmtId="164" fontId="3" fillId="0" borderId="28" xfId="2" applyNumberFormat="1" applyFont="1" applyBorder="1" applyAlignment="1" applyProtection="1">
      <alignment horizontal="center"/>
      <protection hidden="1"/>
    </xf>
    <xf numFmtId="1" fontId="21" fillId="0" borderId="0" xfId="2" applyNumberFormat="1" applyFont="1" applyAlignment="1" applyProtection="1">
      <protection hidden="1"/>
    </xf>
    <xf numFmtId="0" fontId="3" fillId="20" borderId="4" xfId="2" applyFont="1" applyFill="1" applyBorder="1" applyAlignment="1" applyProtection="1">
      <alignment horizontal="center"/>
      <protection hidden="1"/>
    </xf>
    <xf numFmtId="0" fontId="3" fillId="20" borderId="4" xfId="2" applyFont="1" applyFill="1" applyBorder="1" applyAlignment="1" applyProtection="1">
      <alignment horizontal="centerContinuous"/>
      <protection hidden="1"/>
    </xf>
    <xf numFmtId="0" fontId="3" fillId="20" borderId="16" xfId="2" applyFont="1" applyFill="1" applyBorder="1" applyAlignment="1" applyProtection="1">
      <alignment horizontal="center"/>
      <protection hidden="1"/>
    </xf>
    <xf numFmtId="2" fontId="3" fillId="15" borderId="63" xfId="2" applyNumberFormat="1" applyFont="1" applyFill="1" applyBorder="1" applyAlignment="1">
      <alignment horizontal="center"/>
    </xf>
    <xf numFmtId="2" fontId="3" fillId="15" borderId="32" xfId="2" applyNumberFormat="1" applyFont="1" applyFill="1" applyBorder="1" applyAlignment="1">
      <alignment horizontal="center"/>
    </xf>
    <xf numFmtId="0" fontId="3" fillId="7" borderId="64" xfId="2" applyFont="1" applyFill="1" applyBorder="1" applyAlignment="1">
      <alignment horizontal="center"/>
    </xf>
    <xf numFmtId="0" fontId="3" fillId="7" borderId="62" xfId="2" applyFont="1" applyFill="1" applyBorder="1" applyAlignment="1">
      <alignment horizontal="center"/>
    </xf>
    <xf numFmtId="0" fontId="3" fillId="7" borderId="33" xfId="2" applyFont="1" applyFill="1" applyBorder="1" applyAlignment="1">
      <alignment horizontal="center"/>
    </xf>
    <xf numFmtId="1" fontId="3" fillId="15" borderId="46" xfId="2" applyNumberFormat="1" applyFont="1" applyFill="1" applyBorder="1" applyAlignment="1">
      <alignment horizontal="center"/>
    </xf>
    <xf numFmtId="1" fontId="3" fillId="15" borderId="70" xfId="2" applyNumberFormat="1" applyFont="1" applyFill="1" applyBorder="1" applyAlignment="1">
      <alignment horizontal="center"/>
    </xf>
    <xf numFmtId="1" fontId="3" fillId="15" borderId="36" xfId="2" applyNumberFormat="1" applyFont="1" applyFill="1" applyBorder="1" applyAlignment="1">
      <alignment horizontal="center"/>
    </xf>
    <xf numFmtId="2" fontId="3" fillId="15" borderId="66" xfId="2" applyNumberFormat="1" applyFont="1" applyFill="1" applyBorder="1" applyAlignment="1">
      <alignment horizontal="center"/>
    </xf>
    <xf numFmtId="2" fontId="3" fillId="15" borderId="65" xfId="2" applyNumberFormat="1" applyFont="1" applyFill="1" applyBorder="1" applyAlignment="1">
      <alignment horizontal="center"/>
    </xf>
    <xf numFmtId="2" fontId="3" fillId="15" borderId="37" xfId="2" applyNumberFormat="1" applyFont="1" applyFill="1" applyBorder="1" applyAlignment="1">
      <alignment horizontal="center"/>
    </xf>
    <xf numFmtId="3" fontId="18" fillId="5" borderId="15" xfId="2" applyNumberFormat="1" applyFont="1" applyFill="1" applyBorder="1" applyAlignment="1" applyProtection="1">
      <alignment horizontal="center" vertical="center"/>
      <protection hidden="1"/>
    </xf>
    <xf numFmtId="3" fontId="18" fillId="5" borderId="11" xfId="2" applyNumberFormat="1" applyFont="1" applyFill="1" applyBorder="1" applyAlignment="1" applyProtection="1">
      <alignment horizontal="center" vertical="center"/>
      <protection hidden="1"/>
    </xf>
    <xf numFmtId="3" fontId="18" fillId="5" borderId="10" xfId="2" applyNumberFormat="1" applyFont="1" applyFill="1" applyBorder="1" applyAlignment="1" applyProtection="1">
      <alignment horizontal="center" vertical="center"/>
      <protection hidden="1"/>
    </xf>
    <xf numFmtId="4" fontId="18" fillId="5" borderId="36" xfId="2" quotePrefix="1" applyNumberFormat="1" applyFont="1" applyFill="1" applyBorder="1" applyAlignment="1" applyProtection="1">
      <alignment horizontal="center" vertical="center"/>
      <protection hidden="1"/>
    </xf>
    <xf numFmtId="3" fontId="18" fillId="5" borderId="30" xfId="2" applyNumberFormat="1" applyFont="1" applyFill="1" applyBorder="1" applyAlignment="1" applyProtection="1">
      <alignment horizontal="center" vertical="center"/>
      <protection hidden="1"/>
    </xf>
    <xf numFmtId="3" fontId="18" fillId="5" borderId="32" xfId="2" applyNumberFormat="1" applyFont="1" applyFill="1" applyBorder="1" applyAlignment="1" applyProtection="1">
      <alignment horizontal="center" vertical="center"/>
      <protection hidden="1"/>
    </xf>
    <xf numFmtId="0" fontId="3" fillId="16" borderId="43" xfId="2" applyFont="1" applyFill="1" applyBorder="1" applyAlignment="1" applyProtection="1">
      <alignment horizontal="center"/>
      <protection hidden="1"/>
    </xf>
    <xf numFmtId="1" fontId="3" fillId="15" borderId="66" xfId="2" applyNumberFormat="1" applyFont="1" applyFill="1" applyBorder="1" applyAlignment="1">
      <alignment horizontal="center"/>
    </xf>
    <xf numFmtId="1" fontId="3" fillId="15" borderId="65" xfId="2" applyNumberFormat="1" applyFont="1" applyFill="1" applyBorder="1" applyAlignment="1">
      <alignment horizontal="center"/>
    </xf>
    <xf numFmtId="1" fontId="3" fillId="15" borderId="37" xfId="2" applyNumberFormat="1" applyFont="1" applyFill="1" applyBorder="1" applyAlignment="1">
      <alignment horizontal="center"/>
    </xf>
    <xf numFmtId="0" fontId="18" fillId="12" borderId="53" xfId="2" applyFont="1" applyFill="1" applyBorder="1" applyAlignment="1" applyProtection="1">
      <alignment horizontal="right" vertical="center"/>
      <protection hidden="1"/>
    </xf>
    <xf numFmtId="0" fontId="18" fillId="12" borderId="35" xfId="2" applyFont="1" applyFill="1" applyBorder="1" applyAlignment="1" applyProtection="1">
      <alignment horizontal="right" vertical="center"/>
      <protection hidden="1"/>
    </xf>
    <xf numFmtId="0" fontId="19" fillId="5" borderId="49" xfId="2" applyFont="1" applyFill="1" applyBorder="1" applyAlignment="1" applyProtection="1">
      <alignment horizontal="left"/>
      <protection hidden="1"/>
    </xf>
    <xf numFmtId="0" fontId="0" fillId="0" borderId="0" xfId="0"/>
    <xf numFmtId="0" fontId="25" fillId="0" borderId="44" xfId="0" applyFont="1" applyBorder="1" applyAlignment="1" applyProtection="1">
      <alignment horizontal="left" vertical="top" wrapText="1"/>
      <protection locked="0" hidden="1"/>
    </xf>
    <xf numFmtId="0" fontId="42" fillId="0" borderId="44" xfId="0" applyFont="1" applyBorder="1" applyAlignment="1" applyProtection="1">
      <alignment horizontal="center" vertical="center" wrapText="1"/>
      <protection hidden="1"/>
    </xf>
    <xf numFmtId="1" fontId="18" fillId="5" borderId="1" xfId="2" applyNumberFormat="1" applyFont="1" applyFill="1" applyBorder="1" applyAlignment="1" applyProtection="1">
      <alignment horizontal="center"/>
      <protection hidden="1"/>
    </xf>
    <xf numFmtId="1" fontId="18" fillId="5" borderId="3" xfId="2" applyNumberFormat="1" applyFont="1" applyFill="1" applyBorder="1" applyAlignment="1" applyProtection="1">
      <alignment horizontal="center"/>
      <protection hidden="1"/>
    </xf>
    <xf numFmtId="0" fontId="7" fillId="7" borderId="22" xfId="2" applyFill="1" applyBorder="1" applyProtection="1">
      <protection hidden="1"/>
    </xf>
    <xf numFmtId="0" fontId="7" fillId="7" borderId="23" xfId="2" applyFill="1" applyBorder="1" applyProtection="1">
      <protection hidden="1"/>
    </xf>
    <xf numFmtId="0" fontId="3" fillId="13" borderId="64" xfId="2" applyFont="1" applyFill="1" applyBorder="1" applyAlignment="1" applyProtection="1">
      <alignment horizontal="center" vertical="center"/>
      <protection hidden="1"/>
    </xf>
    <xf numFmtId="0" fontId="3" fillId="13" borderId="60" xfId="2" applyFont="1" applyFill="1" applyBorder="1" applyAlignment="1" applyProtection="1">
      <alignment horizontal="center" vertical="center"/>
      <protection hidden="1"/>
    </xf>
    <xf numFmtId="0" fontId="3" fillId="13" borderId="62" xfId="2" applyFont="1" applyFill="1" applyBorder="1" applyAlignment="1" applyProtection="1">
      <alignment horizontal="left"/>
      <protection hidden="1"/>
    </xf>
    <xf numFmtId="0" fontId="3" fillId="13" borderId="27" xfId="2" applyFont="1" applyFill="1" applyBorder="1" applyAlignment="1" applyProtection="1">
      <alignment horizontal="left"/>
      <protection hidden="1"/>
    </xf>
    <xf numFmtId="0" fontId="3" fillId="13" borderId="33" xfId="2" applyFont="1" applyFill="1" applyBorder="1" applyAlignment="1" applyProtection="1">
      <alignment horizontal="left"/>
      <protection hidden="1"/>
    </xf>
    <xf numFmtId="0" fontId="7" fillId="4" borderId="0" xfId="2" applyFill="1" applyBorder="1" applyProtection="1">
      <protection locked="0" hidden="1"/>
    </xf>
    <xf numFmtId="0" fontId="3" fillId="3" borderId="64" xfId="2" applyFont="1" applyFill="1" applyBorder="1" applyAlignment="1" applyProtection="1">
      <protection hidden="1"/>
    </xf>
    <xf numFmtId="0" fontId="3" fillId="3" borderId="72" xfId="2" applyFont="1" applyFill="1" applyBorder="1" applyAlignment="1" applyProtection="1">
      <protection hidden="1"/>
    </xf>
    <xf numFmtId="0" fontId="3" fillId="3" borderId="5" xfId="2" applyFont="1" applyFill="1" applyBorder="1" applyAlignment="1" applyProtection="1">
      <protection hidden="1"/>
    </xf>
    <xf numFmtId="0" fontId="3" fillId="3" borderId="33" xfId="2" applyFont="1" applyFill="1" applyBorder="1" applyAlignment="1" applyProtection="1">
      <protection hidden="1"/>
    </xf>
    <xf numFmtId="0" fontId="3" fillId="3" borderId="34" xfId="2" applyFont="1" applyFill="1" applyBorder="1" applyAlignment="1" applyProtection="1">
      <protection hidden="1"/>
    </xf>
    <xf numFmtId="0" fontId="3" fillId="3" borderId="35" xfId="2" applyFont="1" applyFill="1" applyBorder="1" applyAlignment="1" applyProtection="1">
      <protection hidden="1"/>
    </xf>
    <xf numFmtId="2" fontId="3" fillId="4" borderId="66" xfId="0" applyNumberFormat="1" applyFont="1" applyFill="1" applyBorder="1" applyAlignment="1" applyProtection="1">
      <alignment horizontal="center"/>
      <protection hidden="1"/>
    </xf>
    <xf numFmtId="2" fontId="3" fillId="4" borderId="65" xfId="0" applyNumberFormat="1" applyFont="1" applyFill="1" applyBorder="1" applyAlignment="1" applyProtection="1">
      <alignment horizontal="center"/>
      <protection hidden="1"/>
    </xf>
    <xf numFmtId="2" fontId="3" fillId="4" borderId="37" xfId="0" applyNumberFormat="1" applyFont="1" applyFill="1" applyBorder="1" applyAlignment="1" applyProtection="1">
      <alignment horizontal="center"/>
      <protection hidden="1"/>
    </xf>
    <xf numFmtId="1" fontId="3" fillId="4" borderId="66" xfId="0" applyNumberFormat="1" applyFont="1" applyFill="1" applyBorder="1" applyAlignment="1" applyProtection="1">
      <alignment horizontal="center"/>
      <protection hidden="1"/>
    </xf>
    <xf numFmtId="1" fontId="3" fillId="4" borderId="65" xfId="0" applyNumberFormat="1" applyFont="1" applyFill="1" applyBorder="1" applyAlignment="1" applyProtection="1">
      <alignment horizontal="center"/>
      <protection hidden="1"/>
    </xf>
    <xf numFmtId="2" fontId="0" fillId="8" borderId="0" xfId="0" applyNumberFormat="1" applyFill="1"/>
    <xf numFmtId="1" fontId="3" fillId="4" borderId="4" xfId="0" applyNumberFormat="1" applyFont="1" applyFill="1" applyBorder="1" applyAlignment="1" applyProtection="1">
      <alignment horizontal="center"/>
      <protection hidden="1"/>
    </xf>
    <xf numFmtId="0" fontId="3" fillId="4" borderId="65" xfId="0" applyFont="1" applyFill="1" applyBorder="1" applyAlignment="1" applyProtection="1">
      <alignment horizontal="center"/>
      <protection hidden="1"/>
    </xf>
    <xf numFmtId="0" fontId="3" fillId="4" borderId="42" xfId="0" applyFont="1" applyFill="1" applyBorder="1" applyAlignment="1" applyProtection="1">
      <alignment horizontal="center"/>
      <protection hidden="1"/>
    </xf>
    <xf numFmtId="0" fontId="3" fillId="4" borderId="37" xfId="0" applyFont="1" applyFill="1" applyBorder="1" applyAlignment="1" applyProtection="1">
      <alignment horizontal="center"/>
      <protection hidden="1"/>
    </xf>
    <xf numFmtId="0" fontId="3" fillId="3" borderId="4" xfId="0" applyFont="1" applyFill="1" applyBorder="1" applyAlignment="1">
      <alignment horizontal="center"/>
    </xf>
    <xf numFmtId="164" fontId="3" fillId="0" borderId="0" xfId="2" applyNumberFormat="1" applyFont="1" applyFill="1" applyBorder="1" applyAlignment="1" applyProtection="1">
      <alignment horizontal="center" vertical="center"/>
      <protection hidden="1"/>
    </xf>
    <xf numFmtId="0" fontId="3" fillId="5" borderId="3" xfId="2" applyFont="1" applyFill="1" applyBorder="1" applyAlignment="1" applyProtection="1">
      <alignment horizontal="center"/>
      <protection hidden="1"/>
    </xf>
    <xf numFmtId="0" fontId="3" fillId="13" borderId="64" xfId="2" applyFont="1" applyFill="1" applyBorder="1" applyAlignment="1" applyProtection="1">
      <protection hidden="1"/>
    </xf>
    <xf numFmtId="0" fontId="3" fillId="13" borderId="72" xfId="2" applyFont="1" applyFill="1" applyBorder="1" applyAlignment="1" applyProtection="1">
      <protection hidden="1"/>
    </xf>
    <xf numFmtId="0" fontId="3" fillId="13" borderId="5" xfId="2" applyFont="1" applyFill="1" applyBorder="1" applyAlignment="1" applyProtection="1">
      <protection hidden="1"/>
    </xf>
    <xf numFmtId="0" fontId="3" fillId="13" borderId="62" xfId="2" applyFont="1" applyFill="1" applyBorder="1" applyAlignment="1" applyProtection="1">
      <protection hidden="1"/>
    </xf>
    <xf numFmtId="0" fontId="3" fillId="13" borderId="76" xfId="2" applyFont="1" applyFill="1" applyBorder="1" applyAlignment="1" applyProtection="1">
      <protection hidden="1"/>
    </xf>
    <xf numFmtId="0" fontId="3" fillId="13" borderId="17" xfId="2" applyFont="1" applyFill="1" applyBorder="1" applyAlignment="1" applyProtection="1">
      <protection hidden="1"/>
    </xf>
    <xf numFmtId="0" fontId="3" fillId="13" borderId="33" xfId="2" applyFont="1" applyFill="1" applyBorder="1" applyAlignment="1" applyProtection="1">
      <protection hidden="1"/>
    </xf>
    <xf numFmtId="0" fontId="3" fillId="13" borderId="34" xfId="2" applyFont="1" applyFill="1" applyBorder="1" applyAlignment="1" applyProtection="1">
      <protection hidden="1"/>
    </xf>
    <xf numFmtId="0" fontId="3" fillId="13" borderId="35" xfId="2" applyFont="1" applyFill="1" applyBorder="1" applyAlignment="1" applyProtection="1">
      <protection hidden="1"/>
    </xf>
    <xf numFmtId="0" fontId="3" fillId="5" borderId="39" xfId="2" applyFont="1" applyFill="1" applyBorder="1" applyAlignment="1" applyProtection="1">
      <alignment horizontal="center"/>
      <protection hidden="1"/>
    </xf>
    <xf numFmtId="0" fontId="3" fillId="5" borderId="41" xfId="2" applyFont="1" applyFill="1" applyBorder="1" applyAlignment="1" applyProtection="1">
      <alignment horizontal="center"/>
      <protection hidden="1"/>
    </xf>
    <xf numFmtId="0" fontId="3" fillId="5" borderId="38" xfId="2" applyFont="1" applyFill="1" applyBorder="1" applyAlignment="1" applyProtection="1">
      <alignment horizontal="center"/>
      <protection hidden="1"/>
    </xf>
    <xf numFmtId="0" fontId="3" fillId="5" borderId="40" xfId="2" applyFont="1" applyFill="1" applyBorder="1" applyAlignment="1" applyProtection="1">
      <alignment horizontal="center"/>
      <protection hidden="1"/>
    </xf>
    <xf numFmtId="1" fontId="3" fillId="4" borderId="40" xfId="2" applyNumberFormat="1" applyFont="1" applyFill="1" applyBorder="1" applyAlignment="1" applyProtection="1">
      <alignment horizontal="center"/>
      <protection hidden="1"/>
    </xf>
    <xf numFmtId="167" fontId="7" fillId="0" borderId="0" xfId="2" applyNumberFormat="1" applyAlignment="1" applyProtection="1">
      <alignment horizontal="left"/>
      <protection hidden="1"/>
    </xf>
    <xf numFmtId="1" fontId="3" fillId="4" borderId="2" xfId="2" applyNumberFormat="1" applyFont="1" applyFill="1" applyBorder="1" applyAlignment="1" applyProtection="1">
      <alignment horizontal="center"/>
      <protection hidden="1"/>
    </xf>
    <xf numFmtId="167" fontId="7" fillId="0" borderId="0" xfId="2" applyNumberFormat="1"/>
    <xf numFmtId="167" fontId="3" fillId="0" borderId="61" xfId="2" applyNumberFormat="1" applyFont="1" applyFill="1" applyBorder="1" applyAlignment="1" applyProtection="1">
      <alignment horizontal="center" vertical="center"/>
      <protection locked="0"/>
    </xf>
    <xf numFmtId="167" fontId="3" fillId="0" borderId="63" xfId="2" applyNumberFormat="1" applyFont="1" applyFill="1" applyBorder="1" applyAlignment="1" applyProtection="1">
      <alignment horizontal="center" vertical="center"/>
      <protection locked="0"/>
    </xf>
    <xf numFmtId="167" fontId="3" fillId="0" borderId="32" xfId="2" applyNumberFormat="1" applyFont="1" applyFill="1" applyBorder="1" applyAlignment="1" applyProtection="1">
      <alignment horizontal="center" vertical="center"/>
      <protection locked="0"/>
    </xf>
    <xf numFmtId="1" fontId="3" fillId="0" borderId="47" xfId="2" applyNumberFormat="1" applyFont="1" applyFill="1" applyBorder="1" applyAlignment="1" applyProtection="1">
      <alignment horizontal="center"/>
      <protection hidden="1"/>
    </xf>
    <xf numFmtId="0" fontId="3" fillId="5" borderId="45" xfId="2" applyFont="1" applyFill="1" applyBorder="1" applyAlignment="1" applyProtection="1">
      <alignment horizontal="center"/>
      <protection hidden="1"/>
    </xf>
    <xf numFmtId="164" fontId="3" fillId="10" borderId="32" xfId="2" applyNumberFormat="1" applyFont="1" applyFill="1" applyBorder="1" applyAlignment="1" applyProtection="1">
      <alignment horizontal="center" vertical="center"/>
      <protection locked="0"/>
    </xf>
    <xf numFmtId="0" fontId="3" fillId="5" borderId="29" xfId="2" applyFont="1" applyFill="1" applyBorder="1" applyAlignment="1" applyProtection="1">
      <alignment horizontal="center" vertical="center"/>
      <protection hidden="1"/>
    </xf>
    <xf numFmtId="1" fontId="3" fillId="10" borderId="61" xfId="2" applyNumberFormat="1" applyFont="1" applyFill="1" applyBorder="1" applyAlignment="1" applyProtection="1">
      <alignment horizontal="center"/>
      <protection locked="0"/>
    </xf>
    <xf numFmtId="1" fontId="3" fillId="13" borderId="5" xfId="2" applyNumberFormat="1" applyFont="1" applyFill="1" applyBorder="1" applyAlignment="1" applyProtection="1">
      <alignment horizontal="center" vertical="center"/>
      <protection hidden="1"/>
    </xf>
    <xf numFmtId="1" fontId="3" fillId="10" borderId="37" xfId="2" applyNumberFormat="1" applyFont="1" applyFill="1" applyBorder="1" applyAlignment="1" applyProtection="1">
      <alignment horizontal="center"/>
      <protection locked="0"/>
    </xf>
    <xf numFmtId="164" fontId="3" fillId="10" borderId="65" xfId="2" applyNumberFormat="1" applyFont="1" applyFill="1" applyBorder="1" applyAlignment="1" applyProtection="1">
      <alignment horizontal="center"/>
      <protection locked="0"/>
    </xf>
    <xf numFmtId="164" fontId="3" fillId="4" borderId="32" xfId="2" applyNumberFormat="1" applyFont="1" applyFill="1" applyBorder="1" applyAlignment="1" applyProtection="1">
      <alignment horizontal="center" vertical="center"/>
      <protection hidden="1"/>
    </xf>
    <xf numFmtId="1" fontId="3" fillId="10" borderId="61" xfId="2" applyNumberFormat="1" applyFont="1" applyFill="1" applyBorder="1" applyAlignment="1" applyProtection="1">
      <alignment horizontal="center" vertical="center"/>
      <protection locked="0"/>
    </xf>
    <xf numFmtId="1" fontId="3" fillId="10" borderId="58" xfId="2" applyNumberFormat="1" applyFont="1" applyFill="1" applyBorder="1" applyAlignment="1" applyProtection="1">
      <alignment horizontal="center" vertical="center"/>
      <protection locked="0"/>
    </xf>
    <xf numFmtId="1" fontId="3" fillId="10" borderId="63" xfId="2" applyNumberFormat="1" applyFont="1" applyFill="1" applyBorder="1" applyAlignment="1" applyProtection="1">
      <alignment horizontal="center" vertical="center"/>
      <protection locked="0"/>
    </xf>
    <xf numFmtId="1" fontId="3" fillId="10" borderId="29" xfId="2" applyNumberFormat="1" applyFont="1" applyFill="1" applyBorder="1" applyAlignment="1" applyProtection="1">
      <alignment horizontal="center" vertical="center"/>
      <protection locked="0"/>
    </xf>
    <xf numFmtId="1" fontId="3" fillId="10" borderId="32" xfId="2" applyNumberFormat="1" applyFont="1" applyFill="1" applyBorder="1" applyAlignment="1" applyProtection="1">
      <alignment horizontal="center" vertical="center"/>
      <protection locked="0"/>
    </xf>
    <xf numFmtId="1" fontId="3" fillId="10" borderId="48" xfId="2" applyNumberFormat="1" applyFont="1" applyFill="1" applyBorder="1" applyAlignment="1" applyProtection="1">
      <alignment horizontal="center" vertical="center"/>
      <protection locked="0"/>
    </xf>
    <xf numFmtId="1" fontId="3" fillId="10" borderId="65" xfId="2" applyNumberFormat="1" applyFont="1" applyFill="1" applyBorder="1" applyAlignment="1" applyProtection="1">
      <alignment horizontal="center" vertical="center"/>
      <protection locked="0"/>
    </xf>
    <xf numFmtId="1" fontId="3" fillId="10" borderId="37" xfId="2" applyNumberFormat="1" applyFont="1" applyFill="1" applyBorder="1" applyAlignment="1" applyProtection="1">
      <alignment horizontal="center" vertical="center"/>
      <protection locked="0"/>
    </xf>
    <xf numFmtId="1" fontId="3" fillId="10" borderId="66" xfId="2" applyNumberFormat="1" applyFont="1" applyFill="1" applyBorder="1" applyAlignment="1" applyProtection="1">
      <alignment horizontal="center" vertical="center"/>
      <protection locked="0"/>
    </xf>
    <xf numFmtId="1" fontId="3" fillId="10" borderId="26" xfId="2" applyNumberFormat="1" applyFont="1" applyFill="1" applyBorder="1" applyAlignment="1" applyProtection="1">
      <alignment horizontal="center" vertical="center"/>
      <protection locked="0" hidden="1"/>
    </xf>
    <xf numFmtId="0" fontId="3" fillId="10" borderId="22" xfId="2" applyFont="1" applyFill="1" applyBorder="1" applyAlignment="1" applyProtection="1">
      <alignment horizontal="center" vertical="center"/>
      <protection locked="0"/>
    </xf>
    <xf numFmtId="164" fontId="18" fillId="5" borderId="34" xfId="2" applyNumberFormat="1" applyFont="1" applyFill="1" applyBorder="1" applyAlignment="1" applyProtection="1">
      <alignment horizontal="center"/>
      <protection hidden="1"/>
    </xf>
    <xf numFmtId="0" fontId="3" fillId="5" borderId="33" xfId="2" applyFont="1" applyFill="1" applyBorder="1" applyAlignment="1" applyProtection="1">
      <alignment vertical="center"/>
      <protection hidden="1"/>
    </xf>
    <xf numFmtId="0" fontId="7" fillId="0" borderId="1" xfId="2" applyBorder="1" applyAlignment="1" applyProtection="1">
      <protection hidden="1"/>
    </xf>
    <xf numFmtId="0" fontId="7" fillId="0" borderId="3" xfId="2" applyBorder="1" applyAlignment="1" applyProtection="1">
      <protection hidden="1"/>
    </xf>
    <xf numFmtId="0" fontId="3" fillId="5" borderId="35" xfId="2" applyFont="1" applyFill="1" applyBorder="1" applyAlignment="1" applyProtection="1">
      <alignment horizontal="left" vertical="center"/>
      <protection locked="0" hidden="1"/>
    </xf>
    <xf numFmtId="49" fontId="0" fillId="0" borderId="0" xfId="0" applyNumberFormat="1"/>
    <xf numFmtId="0" fontId="25" fillId="0" borderId="0" xfId="0" applyFont="1"/>
    <xf numFmtId="0" fontId="1" fillId="0" borderId="0" xfId="0" applyFont="1" applyAlignment="1">
      <alignment vertical="top"/>
    </xf>
    <xf numFmtId="0" fontId="11" fillId="0" borderId="0" xfId="0" applyFont="1"/>
    <xf numFmtId="0" fontId="11" fillId="0" borderId="20" xfId="0" applyFont="1" applyBorder="1" applyAlignment="1">
      <alignment horizontal="center"/>
    </xf>
    <xf numFmtId="0" fontId="11" fillId="0" borderId="0" xfId="0" applyFont="1" applyAlignment="1">
      <alignment horizontal="right"/>
    </xf>
    <xf numFmtId="0" fontId="11" fillId="0" borderId="52" xfId="0" applyFont="1" applyBorder="1" applyAlignment="1">
      <alignment horizontal="center"/>
    </xf>
    <xf numFmtId="0" fontId="11" fillId="0" borderId="71" xfId="0" applyFont="1" applyBorder="1" applyAlignment="1">
      <alignment horizontal="center"/>
    </xf>
    <xf numFmtId="0" fontId="11" fillId="0" borderId="78" xfId="0" applyFont="1" applyBorder="1" applyAlignment="1">
      <alignment horizontal="center"/>
    </xf>
    <xf numFmtId="0" fontId="11" fillId="0" borderId="75" xfId="0" applyFont="1" applyBorder="1" applyAlignment="1">
      <alignment horizontal="center"/>
    </xf>
    <xf numFmtId="0" fontId="1" fillId="0" borderId="52" xfId="0" applyFont="1" applyBorder="1" applyAlignment="1">
      <alignment horizontal="center"/>
    </xf>
    <xf numFmtId="0" fontId="11" fillId="0" borderId="19" xfId="0" applyFont="1" applyBorder="1" applyAlignment="1">
      <alignment horizontal="center"/>
    </xf>
    <xf numFmtId="1" fontId="3" fillId="10" borderId="70" xfId="2" applyNumberFormat="1" applyFont="1" applyFill="1" applyBorder="1" applyAlignment="1" applyProtection="1">
      <alignment horizontal="center"/>
      <protection locked="0"/>
    </xf>
    <xf numFmtId="0" fontId="11" fillId="0" borderId="79" xfId="0" applyFont="1" applyBorder="1" applyAlignment="1">
      <alignment horizontal="center"/>
    </xf>
    <xf numFmtId="0" fontId="11" fillId="0" borderId="59" xfId="0" applyFont="1" applyBorder="1" applyAlignment="1">
      <alignment horizontal="center"/>
    </xf>
    <xf numFmtId="0" fontId="1" fillId="0" borderId="0" xfId="0" quotePrefix="1" applyFont="1"/>
    <xf numFmtId="1" fontId="3" fillId="10" borderId="19" xfId="2" applyNumberFormat="1" applyFont="1" applyFill="1" applyBorder="1" applyAlignment="1" applyProtection="1">
      <alignment horizontal="center"/>
      <protection locked="0"/>
    </xf>
    <xf numFmtId="0" fontId="1" fillId="0" borderId="0" xfId="0" applyFont="1" applyAlignment="1">
      <alignment horizontal="center"/>
    </xf>
    <xf numFmtId="0" fontId="3" fillId="0" borderId="0" xfId="2" applyFont="1" applyAlignment="1" applyProtection="1">
      <alignment horizontal="right"/>
      <protection hidden="1"/>
    </xf>
    <xf numFmtId="164" fontId="3" fillId="10" borderId="70" xfId="2" applyNumberFormat="1" applyFont="1" applyFill="1" applyBorder="1" applyAlignment="1" applyProtection="1">
      <alignment horizontal="center"/>
      <protection locked="0"/>
    </xf>
    <xf numFmtId="0" fontId="1" fillId="0" borderId="0" xfId="0" applyFont="1" applyBorder="1"/>
    <xf numFmtId="0" fontId="11" fillId="0" borderId="56" xfId="0" applyFont="1" applyBorder="1" applyAlignment="1">
      <alignment horizontal="center"/>
    </xf>
    <xf numFmtId="1" fontId="3" fillId="16" borderId="56" xfId="2" applyNumberFormat="1" applyFont="1" applyFill="1" applyBorder="1" applyAlignment="1" applyProtection="1">
      <alignment horizontal="center"/>
      <protection locked="0"/>
    </xf>
    <xf numFmtId="0" fontId="1" fillId="16" borderId="0" xfId="0" applyFont="1" applyFill="1" applyBorder="1" applyAlignment="1">
      <alignment horizontal="center"/>
    </xf>
    <xf numFmtId="1" fontId="1" fillId="16" borderId="0" xfId="0" applyNumberFormat="1" applyFont="1" applyFill="1" applyBorder="1" applyAlignment="1">
      <alignment horizontal="center"/>
    </xf>
    <xf numFmtId="0" fontId="1" fillId="16" borderId="54" xfId="0" applyFont="1" applyFill="1" applyBorder="1" applyAlignment="1">
      <alignment horizontal="center"/>
    </xf>
    <xf numFmtId="0" fontId="1" fillId="0" borderId="79" xfId="0" applyFont="1" applyBorder="1"/>
    <xf numFmtId="0" fontId="1" fillId="0" borderId="0" xfId="0" applyFont="1" applyBorder="1" applyAlignment="1">
      <alignment horizontal="center"/>
    </xf>
    <xf numFmtId="0" fontId="1" fillId="0" borderId="54" xfId="0" applyFont="1" applyBorder="1" applyAlignment="1">
      <alignment horizontal="center"/>
    </xf>
    <xf numFmtId="0" fontId="1" fillId="0" borderId="71" xfId="0" applyFont="1" applyBorder="1" applyAlignment="1">
      <alignment horizontal="center"/>
    </xf>
    <xf numFmtId="0" fontId="1" fillId="0" borderId="78" xfId="0" applyFont="1" applyBorder="1" applyAlignment="1">
      <alignment horizontal="center"/>
    </xf>
    <xf numFmtId="0" fontId="1" fillId="0" borderId="75" xfId="0" applyFont="1" applyBorder="1" applyAlignment="1">
      <alignment horizontal="center"/>
    </xf>
    <xf numFmtId="0" fontId="11" fillId="0" borderId="57" xfId="0" applyFont="1" applyBorder="1" applyAlignment="1">
      <alignment horizontal="center"/>
    </xf>
    <xf numFmtId="0" fontId="11" fillId="0" borderId="76" xfId="0" applyFont="1" applyBorder="1" applyAlignment="1">
      <alignment horizontal="center"/>
    </xf>
    <xf numFmtId="0" fontId="11" fillId="0" borderId="70" xfId="0" applyFont="1" applyBorder="1" applyAlignment="1">
      <alignment horizontal="center"/>
    </xf>
    <xf numFmtId="164" fontId="3" fillId="10" borderId="56" xfId="2" applyNumberFormat="1" applyFont="1" applyFill="1" applyBorder="1" applyAlignment="1" applyProtection="1">
      <alignment horizontal="center"/>
      <protection locked="0"/>
    </xf>
    <xf numFmtId="164" fontId="3" fillId="16" borderId="56" xfId="2" applyNumberFormat="1" applyFont="1" applyFill="1" applyBorder="1" applyAlignment="1" applyProtection="1">
      <alignment horizontal="center"/>
      <protection locked="0"/>
    </xf>
    <xf numFmtId="164" fontId="1" fillId="0" borderId="0" xfId="0" applyNumberFormat="1" applyFont="1"/>
    <xf numFmtId="164" fontId="11" fillId="0" borderId="0" xfId="0" applyNumberFormat="1" applyFont="1"/>
    <xf numFmtId="1" fontId="1" fillId="0" borderId="0" xfId="0" applyNumberFormat="1" applyFont="1" applyBorder="1" applyAlignment="1">
      <alignment horizontal="center"/>
    </xf>
    <xf numFmtId="0" fontId="47" fillId="0" borderId="0" xfId="0" applyFont="1"/>
    <xf numFmtId="0" fontId="0" fillId="15" borderId="0" xfId="0" applyFill="1"/>
    <xf numFmtId="164" fontId="3" fillId="4" borderId="33" xfId="2" applyNumberFormat="1" applyFont="1" applyFill="1" applyBorder="1" applyAlignment="1" applyProtection="1">
      <alignment horizontal="center"/>
      <protection hidden="1"/>
    </xf>
    <xf numFmtId="1" fontId="7" fillId="0" borderId="0" xfId="2" applyNumberFormat="1" applyAlignment="1" applyProtection="1">
      <alignment horizontal="center"/>
      <protection hidden="1"/>
    </xf>
    <xf numFmtId="0" fontId="3" fillId="0" borderId="0" xfId="2" applyFont="1" applyAlignment="1" applyProtection="1">
      <alignment horizontal="center"/>
      <protection hidden="1"/>
    </xf>
    <xf numFmtId="0" fontId="7" fillId="0" borderId="0" xfId="2" applyAlignment="1">
      <alignment horizontal="center"/>
    </xf>
    <xf numFmtId="1" fontId="3" fillId="0" borderId="5" xfId="2" applyNumberFormat="1" applyFont="1" applyFill="1" applyBorder="1" applyAlignment="1" applyProtection="1">
      <alignment horizontal="center" vertical="center"/>
      <protection hidden="1"/>
    </xf>
    <xf numFmtId="1" fontId="3" fillId="15" borderId="60" xfId="2" applyNumberFormat="1" applyFont="1" applyFill="1" applyBorder="1" applyAlignment="1" applyProtection="1">
      <alignment horizontal="center" vertical="center"/>
      <protection hidden="1"/>
    </xf>
    <xf numFmtId="0" fontId="48" fillId="0" borderId="0" xfId="2" applyFont="1" applyFill="1" applyProtection="1">
      <protection hidden="1"/>
    </xf>
    <xf numFmtId="167" fontId="3" fillId="10" borderId="35" xfId="2" applyNumberFormat="1" applyFont="1" applyFill="1" applyBorder="1" applyAlignment="1" applyProtection="1">
      <alignment horizontal="center" vertical="center"/>
      <protection hidden="1"/>
    </xf>
    <xf numFmtId="0" fontId="7" fillId="0" borderId="0" xfId="2" applyFill="1" applyAlignment="1" applyProtection="1">
      <alignment horizontal="center"/>
      <protection hidden="1"/>
    </xf>
    <xf numFmtId="0" fontId="7" fillId="20" borderId="0" xfId="2" applyFont="1" applyFill="1" applyProtection="1">
      <protection hidden="1"/>
    </xf>
    <xf numFmtId="0" fontId="0" fillId="8" borderId="0" xfId="0" applyNumberFormat="1" applyFill="1"/>
    <xf numFmtId="0" fontId="49" fillId="0" borderId="0" xfId="0" applyFont="1"/>
    <xf numFmtId="1" fontId="3" fillId="10" borderId="37" xfId="2" applyNumberFormat="1" applyFont="1" applyFill="1" applyBorder="1" applyAlignment="1" applyProtection="1">
      <alignment horizontal="center" vertical="center"/>
      <protection locked="0"/>
    </xf>
    <xf numFmtId="1" fontId="3" fillId="13" borderId="33" xfId="2" applyNumberFormat="1" applyFont="1" applyFill="1" applyBorder="1" applyAlignment="1" applyProtection="1">
      <alignment horizontal="center"/>
      <protection hidden="1"/>
    </xf>
    <xf numFmtId="1" fontId="3" fillId="13" borderId="64" xfId="2" applyNumberFormat="1" applyFont="1" applyFill="1" applyBorder="1" applyAlignment="1" applyProtection="1">
      <alignment horizontal="center"/>
      <protection hidden="1"/>
    </xf>
    <xf numFmtId="0" fontId="7" fillId="20" borderId="0" xfId="2" applyFill="1" applyProtection="1">
      <protection hidden="1"/>
    </xf>
    <xf numFmtId="0" fontId="16" fillId="0" borderId="56" xfId="2" applyFont="1" applyBorder="1" applyAlignment="1" applyProtection="1">
      <alignment horizontal="center"/>
      <protection hidden="1"/>
    </xf>
    <xf numFmtId="1" fontId="3" fillId="10" borderId="61" xfId="2" applyNumberFormat="1" applyFont="1" applyFill="1" applyBorder="1" applyAlignment="1" applyProtection="1">
      <alignment horizontal="center" vertical="center"/>
      <protection locked="0"/>
    </xf>
    <xf numFmtId="1" fontId="3" fillId="10" borderId="63" xfId="2" applyNumberFormat="1" applyFont="1" applyFill="1" applyBorder="1" applyAlignment="1" applyProtection="1">
      <alignment horizontal="center" vertical="center"/>
      <protection locked="0"/>
    </xf>
    <xf numFmtId="1" fontId="3" fillId="10" borderId="32" xfId="2" applyNumberFormat="1" applyFont="1" applyFill="1" applyBorder="1" applyAlignment="1" applyProtection="1">
      <alignment horizontal="center" vertical="center"/>
      <protection locked="0"/>
    </xf>
    <xf numFmtId="1" fontId="3" fillId="10" borderId="58" xfId="2" applyNumberFormat="1" applyFont="1" applyFill="1" applyBorder="1" applyAlignment="1" applyProtection="1">
      <alignment horizontal="center" vertical="center"/>
      <protection locked="0"/>
    </xf>
    <xf numFmtId="0" fontId="50" fillId="0" borderId="0" xfId="0" applyFont="1"/>
    <xf numFmtId="0" fontId="50" fillId="8" borderId="0" xfId="0" applyFont="1" applyFill="1"/>
    <xf numFmtId="0" fontId="8" fillId="11" borderId="2" xfId="2" applyFont="1" applyFill="1" applyBorder="1" applyAlignment="1" applyProtection="1">
      <alignment vertical="center"/>
      <protection hidden="1"/>
    </xf>
    <xf numFmtId="0" fontId="8" fillId="11" borderId="3" xfId="2" applyFont="1" applyFill="1" applyBorder="1" applyAlignment="1" applyProtection="1">
      <alignment vertical="center"/>
      <protection hidden="1"/>
    </xf>
    <xf numFmtId="0" fontId="2" fillId="11" borderId="1" xfId="2" applyFont="1" applyFill="1" applyBorder="1" applyAlignment="1" applyProtection="1">
      <alignment vertical="center"/>
      <protection hidden="1"/>
    </xf>
    <xf numFmtId="0" fontId="3" fillId="25" borderId="49" xfId="2" applyFont="1" applyFill="1" applyBorder="1" applyAlignment="1" applyProtection="1">
      <protection hidden="1"/>
    </xf>
    <xf numFmtId="0" fontId="3" fillId="25" borderId="53" xfId="2" applyFont="1" applyFill="1" applyBorder="1" applyAlignment="1" applyProtection="1">
      <protection hidden="1"/>
    </xf>
    <xf numFmtId="0" fontId="3" fillId="25" borderId="43" xfId="2" applyFont="1" applyFill="1" applyBorder="1" applyAlignment="1" applyProtection="1">
      <protection hidden="1"/>
    </xf>
    <xf numFmtId="0" fontId="3" fillId="13" borderId="17" xfId="2" applyFont="1" applyFill="1" applyBorder="1" applyAlignment="1" applyProtection="1">
      <alignment horizontal="right"/>
      <protection hidden="1"/>
    </xf>
    <xf numFmtId="0" fontId="3" fillId="13" borderId="62" xfId="2" applyFont="1" applyFill="1" applyBorder="1" applyAlignment="1" applyProtection="1">
      <alignment horizontal="right"/>
      <protection hidden="1"/>
    </xf>
    <xf numFmtId="0" fontId="3" fillId="13" borderId="44" xfId="2" applyFont="1" applyFill="1" applyBorder="1" applyAlignment="1" applyProtection="1">
      <alignment horizontal="right"/>
      <protection hidden="1"/>
    </xf>
    <xf numFmtId="0" fontId="3" fillId="13" borderId="14" xfId="2" applyFont="1" applyFill="1" applyBorder="1" applyAlignment="1" applyProtection="1">
      <alignment horizontal="center"/>
      <protection hidden="1"/>
    </xf>
    <xf numFmtId="0" fontId="3" fillId="25" borderId="9" xfId="2" applyFont="1" applyFill="1" applyBorder="1" applyAlignment="1" applyProtection="1">
      <protection hidden="1"/>
    </xf>
    <xf numFmtId="0" fontId="3" fillId="25" borderId="12" xfId="2" applyFont="1" applyFill="1" applyBorder="1" applyAlignment="1" applyProtection="1">
      <protection hidden="1"/>
    </xf>
    <xf numFmtId="0" fontId="3" fillId="13" borderId="6" xfId="2" applyFont="1" applyFill="1" applyBorder="1" applyAlignment="1" applyProtection="1">
      <alignment horizontal="center"/>
      <protection hidden="1"/>
    </xf>
    <xf numFmtId="0" fontId="3" fillId="13" borderId="5" xfId="2" applyFont="1" applyFill="1" applyBorder="1" applyAlignment="1" applyProtection="1">
      <alignment horizontal="right"/>
      <protection hidden="1"/>
    </xf>
    <xf numFmtId="0" fontId="31" fillId="0" borderId="56" xfId="2" applyFont="1" applyBorder="1" applyAlignment="1" applyProtection="1">
      <alignment horizontal="center"/>
      <protection locked="0" hidden="1"/>
    </xf>
    <xf numFmtId="22" fontId="31" fillId="0" borderId="56" xfId="2" applyNumberFormat="1" applyFont="1" applyBorder="1" applyAlignment="1" applyProtection="1">
      <alignment horizontal="center"/>
      <protection locked="0" hidden="1"/>
    </xf>
    <xf numFmtId="0" fontId="7" fillId="0" borderId="56" xfId="2" applyBorder="1" applyAlignment="1" applyProtection="1">
      <alignment horizontal="center"/>
      <protection locked="0" hidden="1"/>
    </xf>
    <xf numFmtId="0" fontId="7" fillId="0" borderId="56" xfId="2" applyBorder="1" applyProtection="1">
      <protection locked="0" hidden="1"/>
    </xf>
    <xf numFmtId="22" fontId="7" fillId="0" borderId="56" xfId="2" applyNumberFormat="1" applyBorder="1" applyProtection="1">
      <protection locked="0" hidden="1"/>
    </xf>
    <xf numFmtId="0" fontId="18" fillId="5" borderId="49" xfId="2" applyFont="1" applyFill="1" applyBorder="1" applyAlignment="1" applyProtection="1">
      <alignment horizontal="left" vertical="top" wrapText="1"/>
      <protection hidden="1"/>
    </xf>
    <xf numFmtId="0" fontId="18" fillId="5" borderId="0" xfId="2" applyFont="1" applyFill="1" applyBorder="1" applyAlignment="1" applyProtection="1">
      <alignment horizontal="left" vertical="top" wrapText="1"/>
      <protection hidden="1"/>
    </xf>
    <xf numFmtId="0" fontId="18" fillId="5" borderId="53" xfId="2" applyFont="1" applyFill="1" applyBorder="1" applyAlignment="1" applyProtection="1">
      <alignment horizontal="left" vertical="top" wrapText="1"/>
      <protection hidden="1"/>
    </xf>
    <xf numFmtId="0" fontId="51" fillId="5" borderId="49" xfId="2" applyFont="1" applyFill="1" applyBorder="1" applyProtection="1">
      <protection hidden="1"/>
    </xf>
    <xf numFmtId="164" fontId="3" fillId="5" borderId="27" xfId="2" applyNumberFormat="1" applyFont="1" applyFill="1" applyBorder="1" applyAlignment="1" applyProtection="1">
      <alignment horizontal="center" vertical="center"/>
      <protection locked="0" hidden="1"/>
    </xf>
    <xf numFmtId="1" fontId="3" fillId="5" borderId="59" xfId="2" applyNumberFormat="1" applyFont="1" applyFill="1" applyBorder="1" applyAlignment="1" applyProtection="1">
      <alignment horizontal="center" vertical="center"/>
      <protection locked="0" hidden="1"/>
    </xf>
    <xf numFmtId="164" fontId="3" fillId="5" borderId="43" xfId="2" applyNumberFormat="1" applyFont="1" applyFill="1" applyBorder="1" applyAlignment="1" applyProtection="1">
      <alignment horizontal="center" vertical="center"/>
      <protection locked="0" hidden="1"/>
    </xf>
    <xf numFmtId="1" fontId="3" fillId="5" borderId="68" xfId="2" applyNumberFormat="1" applyFont="1" applyFill="1" applyBorder="1" applyAlignment="1" applyProtection="1">
      <alignment horizontal="center" vertical="center"/>
      <protection locked="0" hidden="1"/>
    </xf>
    <xf numFmtId="1" fontId="3" fillId="5" borderId="30" xfId="2" applyNumberFormat="1" applyFont="1" applyFill="1" applyBorder="1" applyAlignment="1" applyProtection="1">
      <alignment horizontal="center" vertical="center"/>
      <protection locked="0" hidden="1"/>
    </xf>
    <xf numFmtId="0" fontId="48" fillId="0" borderId="0" xfId="2" applyFont="1" applyProtection="1">
      <protection hidden="1"/>
    </xf>
    <xf numFmtId="164" fontId="3" fillId="10" borderId="29" xfId="2" applyNumberFormat="1" applyFont="1" applyFill="1" applyBorder="1" applyAlignment="1" applyProtection="1">
      <alignment horizontal="center"/>
      <protection locked="0" hidden="1"/>
    </xf>
    <xf numFmtId="164" fontId="3" fillId="10" borderId="30" xfId="2" applyNumberFormat="1" applyFont="1" applyFill="1" applyBorder="1" applyAlignment="1" applyProtection="1">
      <alignment horizontal="center"/>
      <protection locked="0" hidden="1"/>
    </xf>
    <xf numFmtId="164" fontId="3" fillId="13" borderId="60" xfId="2" applyNumberFormat="1" applyFont="1" applyFill="1" applyBorder="1" applyAlignment="1" applyProtection="1">
      <alignment horizontal="center"/>
      <protection hidden="1"/>
    </xf>
    <xf numFmtId="164" fontId="3" fillId="13" borderId="7" xfId="2" applyNumberFormat="1" applyFont="1" applyFill="1" applyBorder="1" applyAlignment="1" applyProtection="1">
      <alignment horizontal="center"/>
      <protection hidden="1"/>
    </xf>
    <xf numFmtId="164" fontId="3" fillId="13" borderId="61" xfId="2" applyNumberFormat="1" applyFont="1" applyFill="1" applyBorder="1" applyAlignment="1" applyProtection="1">
      <alignment horizontal="center"/>
      <protection hidden="1"/>
    </xf>
    <xf numFmtId="164" fontId="3" fillId="13" borderId="58" xfId="2" applyNumberFormat="1" applyFont="1" applyFill="1" applyBorder="1" applyAlignment="1" applyProtection="1">
      <alignment horizontal="center"/>
      <protection hidden="1"/>
    </xf>
    <xf numFmtId="164" fontId="3" fillId="13" borderId="56" xfId="2" applyNumberFormat="1" applyFont="1" applyFill="1" applyBorder="1" applyAlignment="1" applyProtection="1">
      <alignment horizontal="center"/>
      <protection hidden="1"/>
    </xf>
    <xf numFmtId="164" fontId="3" fillId="13" borderId="63" xfId="2" applyNumberFormat="1" applyFont="1" applyFill="1" applyBorder="1" applyAlignment="1" applyProtection="1">
      <alignment horizontal="center"/>
      <protection hidden="1"/>
    </xf>
    <xf numFmtId="164" fontId="3" fillId="13" borderId="18" xfId="2" applyNumberFormat="1" applyFont="1" applyFill="1" applyBorder="1" applyAlignment="1" applyProtection="1">
      <alignment horizontal="center"/>
      <protection hidden="1"/>
    </xf>
    <xf numFmtId="164" fontId="3" fillId="13" borderId="19" xfId="2" applyNumberFormat="1" applyFont="1" applyFill="1" applyBorder="1" applyAlignment="1" applyProtection="1">
      <alignment horizontal="center"/>
      <protection hidden="1"/>
    </xf>
    <xf numFmtId="164" fontId="3" fillId="13" borderId="21" xfId="2" applyNumberFormat="1" applyFont="1" applyFill="1" applyBorder="1" applyAlignment="1" applyProtection="1">
      <alignment horizontal="center"/>
      <protection hidden="1"/>
    </xf>
    <xf numFmtId="164" fontId="3" fillId="13" borderId="29" xfId="2" applyNumberFormat="1" applyFont="1" applyFill="1" applyBorder="1" applyAlignment="1" applyProtection="1">
      <alignment horizontal="center"/>
      <protection hidden="1"/>
    </xf>
    <xf numFmtId="164" fontId="3" fillId="13" borderId="30" xfId="2" applyNumberFormat="1" applyFont="1" applyFill="1" applyBorder="1" applyAlignment="1" applyProtection="1">
      <alignment horizontal="center"/>
      <protection hidden="1"/>
    </xf>
    <xf numFmtId="164" fontId="3" fillId="13" borderId="32" xfId="2" applyNumberFormat="1" applyFont="1" applyFill="1" applyBorder="1" applyAlignment="1" applyProtection="1">
      <alignment horizontal="center"/>
      <protection hidden="1"/>
    </xf>
    <xf numFmtId="1" fontId="3" fillId="13" borderId="37" xfId="2" applyNumberFormat="1" applyFont="1" applyFill="1" applyBorder="1" applyAlignment="1" applyProtection="1">
      <protection hidden="1"/>
    </xf>
    <xf numFmtId="164" fontId="3" fillId="10" borderId="31" xfId="2" applyNumberFormat="1" applyFont="1" applyFill="1" applyBorder="1" applyAlignment="1" applyProtection="1">
      <alignment horizontal="center"/>
      <protection locked="0" hidden="1"/>
    </xf>
    <xf numFmtId="164" fontId="3" fillId="13" borderId="28" xfId="2" applyNumberFormat="1" applyFont="1" applyFill="1" applyBorder="1" applyAlignment="1" applyProtection="1">
      <alignment horizontal="center"/>
      <protection hidden="1"/>
    </xf>
    <xf numFmtId="0" fontId="7" fillId="7" borderId="9" xfId="2" applyFill="1" applyBorder="1" applyProtection="1">
      <protection hidden="1"/>
    </xf>
    <xf numFmtId="0" fontId="7" fillId="7" borderId="14" xfId="2" applyFill="1" applyBorder="1" applyProtection="1">
      <protection hidden="1"/>
    </xf>
    <xf numFmtId="0" fontId="7" fillId="7" borderId="53" xfId="2" applyFill="1" applyBorder="1" applyProtection="1">
      <protection hidden="1"/>
    </xf>
    <xf numFmtId="164" fontId="7" fillId="0" borderId="0" xfId="2" applyNumberFormat="1" applyAlignment="1" applyProtection="1">
      <alignment horizontal="center"/>
      <protection hidden="1"/>
    </xf>
    <xf numFmtId="167" fontId="7" fillId="0" borderId="0" xfId="2" applyNumberFormat="1" applyAlignment="1" applyProtection="1">
      <alignment horizontal="center"/>
      <protection hidden="1"/>
    </xf>
    <xf numFmtId="1" fontId="3" fillId="10" borderId="37" xfId="2" applyNumberFormat="1" applyFont="1" applyFill="1" applyBorder="1" applyAlignment="1" applyProtection="1">
      <alignment horizontal="center" vertical="center"/>
      <protection locked="0"/>
    </xf>
    <xf numFmtId="1" fontId="3" fillId="10" borderId="66" xfId="2" applyNumberFormat="1" applyFont="1" applyFill="1" applyBorder="1" applyAlignment="1" applyProtection="1">
      <alignment horizontal="center" vertical="center"/>
      <protection locked="0"/>
    </xf>
    <xf numFmtId="0" fontId="0" fillId="26" borderId="0" xfId="0" applyFill="1"/>
    <xf numFmtId="0" fontId="52" fillId="0" borderId="0" xfId="0" applyFont="1"/>
    <xf numFmtId="0" fontId="0" fillId="26" borderId="0" xfId="0" applyNumberFormat="1" applyFill="1"/>
    <xf numFmtId="0" fontId="18" fillId="5" borderId="49" xfId="2" applyFont="1" applyFill="1" applyBorder="1" applyAlignment="1" applyProtection="1">
      <alignment horizontal="left" vertical="top" wrapText="1"/>
      <protection hidden="1"/>
    </xf>
    <xf numFmtId="0" fontId="18" fillId="5" borderId="0" xfId="2" applyFont="1" applyFill="1" applyBorder="1" applyAlignment="1" applyProtection="1">
      <alignment horizontal="left" vertical="top" wrapText="1"/>
      <protection hidden="1"/>
    </xf>
    <xf numFmtId="0" fontId="18" fillId="5" borderId="53" xfId="2" applyFont="1" applyFill="1" applyBorder="1" applyAlignment="1" applyProtection="1">
      <alignment horizontal="left" vertical="top" wrapText="1"/>
      <protection hidden="1"/>
    </xf>
    <xf numFmtId="0" fontId="18" fillId="5" borderId="43" xfId="2" applyFont="1" applyFill="1" applyBorder="1" applyAlignment="1" applyProtection="1">
      <alignment horizontal="left" vertical="top" wrapText="1"/>
      <protection hidden="1"/>
    </xf>
    <xf numFmtId="0" fontId="18" fillId="5" borderId="44" xfId="2" applyFont="1" applyFill="1" applyBorder="1" applyAlignment="1" applyProtection="1">
      <alignment horizontal="left" vertical="top" wrapText="1"/>
      <protection hidden="1"/>
    </xf>
    <xf numFmtId="0" fontId="18" fillId="5" borderId="67" xfId="2" applyFont="1" applyFill="1" applyBorder="1" applyAlignment="1" applyProtection="1">
      <alignment horizontal="left" vertical="top" wrapText="1"/>
      <protection hidden="1"/>
    </xf>
    <xf numFmtId="49" fontId="2" fillId="12" borderId="1" xfId="2" applyNumberFormat="1" applyFont="1" applyFill="1" applyBorder="1" applyAlignment="1" applyProtection="1">
      <alignment horizontal="center"/>
      <protection hidden="1"/>
    </xf>
    <xf numFmtId="49" fontId="2" fillId="12" borderId="2" xfId="2" applyNumberFormat="1" applyFont="1" applyFill="1" applyBorder="1" applyAlignment="1" applyProtection="1">
      <alignment horizontal="center"/>
      <protection hidden="1"/>
    </xf>
    <xf numFmtId="49" fontId="2" fillId="12" borderId="3" xfId="2" applyNumberFormat="1" applyFont="1" applyFill="1" applyBorder="1" applyAlignment="1" applyProtection="1">
      <alignment horizontal="center"/>
      <protection hidden="1"/>
    </xf>
    <xf numFmtId="0" fontId="18" fillId="5" borderId="49" xfId="2" applyFont="1" applyFill="1" applyBorder="1" applyAlignment="1" applyProtection="1">
      <alignment horizontal="left" wrapText="1"/>
      <protection hidden="1"/>
    </xf>
    <xf numFmtId="0" fontId="18" fillId="5" borderId="0" xfId="2" applyFont="1" applyFill="1" applyBorder="1" applyAlignment="1" applyProtection="1">
      <alignment horizontal="left" wrapText="1"/>
      <protection hidden="1"/>
    </xf>
    <xf numFmtId="0" fontId="18" fillId="5" borderId="53" xfId="2" applyFont="1" applyFill="1" applyBorder="1" applyAlignment="1" applyProtection="1">
      <alignment horizontal="left" wrapText="1"/>
      <protection hidden="1"/>
    </xf>
    <xf numFmtId="0" fontId="29" fillId="12" borderId="9" xfId="0" applyFont="1" applyFill="1" applyBorder="1" applyAlignment="1" applyProtection="1">
      <alignment horizontal="center" vertical="center" wrapText="1"/>
      <protection hidden="1"/>
    </xf>
    <xf numFmtId="0" fontId="29" fillId="12" borderId="12" xfId="0" applyFont="1" applyFill="1" applyBorder="1" applyAlignment="1" applyProtection="1">
      <alignment horizontal="center" vertical="center" wrapText="1"/>
      <protection hidden="1"/>
    </xf>
    <xf numFmtId="0" fontId="29" fillId="12" borderId="14" xfId="0" applyFont="1" applyFill="1" applyBorder="1" applyAlignment="1" applyProtection="1">
      <alignment horizontal="center" vertical="center" wrapText="1"/>
      <protection hidden="1"/>
    </xf>
    <xf numFmtId="0" fontId="29" fillId="12" borderId="43" xfId="0" applyFont="1" applyFill="1" applyBorder="1" applyAlignment="1" applyProtection="1">
      <alignment horizontal="center" vertical="center" wrapText="1"/>
      <protection hidden="1"/>
    </xf>
    <xf numFmtId="0" fontId="29" fillId="12" borderId="44" xfId="0" applyFont="1" applyFill="1" applyBorder="1" applyAlignment="1" applyProtection="1">
      <alignment horizontal="center" vertical="center" wrapText="1"/>
      <protection hidden="1"/>
    </xf>
    <xf numFmtId="0" fontId="29" fillId="12" borderId="67" xfId="0" applyFont="1" applyFill="1" applyBorder="1" applyAlignment="1" applyProtection="1">
      <alignment horizontal="center" vertical="center" wrapText="1"/>
      <protection hidden="1"/>
    </xf>
    <xf numFmtId="0" fontId="42" fillId="0" borderId="0" xfId="0" applyFont="1" applyBorder="1" applyAlignment="1" applyProtection="1">
      <alignment horizontal="center" vertical="center" wrapText="1"/>
      <protection hidden="1"/>
    </xf>
    <xf numFmtId="0" fontId="29" fillId="13" borderId="9" xfId="0" applyFont="1" applyFill="1" applyBorder="1" applyAlignment="1" applyProtection="1">
      <alignment horizontal="center"/>
      <protection hidden="1"/>
    </xf>
    <xf numFmtId="0" fontId="29" fillId="13" borderId="12" xfId="0" applyFont="1" applyFill="1" applyBorder="1" applyAlignment="1" applyProtection="1">
      <alignment horizontal="center"/>
      <protection hidden="1"/>
    </xf>
    <xf numFmtId="0" fontId="29" fillId="13" borderId="14" xfId="0" applyFont="1" applyFill="1" applyBorder="1" applyAlignment="1" applyProtection="1">
      <alignment horizontal="center"/>
      <protection hidden="1"/>
    </xf>
    <xf numFmtId="0" fontId="29" fillId="12" borderId="49" xfId="0" applyFont="1" applyFill="1" applyBorder="1" applyAlignment="1" applyProtection="1">
      <alignment horizontal="center" vertical="center" wrapText="1"/>
      <protection hidden="1"/>
    </xf>
    <xf numFmtId="0" fontId="29" fillId="12" borderId="0" xfId="0" applyFont="1" applyFill="1" applyBorder="1" applyAlignment="1" applyProtection="1">
      <alignment horizontal="center" vertical="center" wrapText="1"/>
      <protection hidden="1"/>
    </xf>
    <xf numFmtId="0" fontId="29" fillId="12" borderId="53" xfId="0" applyFont="1" applyFill="1" applyBorder="1" applyAlignment="1" applyProtection="1">
      <alignment horizontal="center" vertical="center" wrapText="1"/>
      <protection hidden="1"/>
    </xf>
    <xf numFmtId="0" fontId="41" fillId="0" borderId="12" xfId="0" quotePrefix="1" applyFont="1" applyBorder="1" applyAlignment="1" applyProtection="1">
      <alignment horizontal="center" vertical="center"/>
      <protection hidden="1"/>
    </xf>
    <xf numFmtId="0" fontId="41" fillId="0" borderId="0" xfId="0" quotePrefix="1" applyFont="1" applyBorder="1" applyAlignment="1" applyProtection="1">
      <alignment horizontal="center" vertical="center"/>
      <protection hidden="1"/>
    </xf>
    <xf numFmtId="0" fontId="25" fillId="0" borderId="0" xfId="0" applyFont="1" applyBorder="1" applyAlignment="1" applyProtection="1">
      <alignment horizontal="left" vertical="top" wrapText="1"/>
      <protection locked="0" hidden="1"/>
    </xf>
    <xf numFmtId="0" fontId="29" fillId="13" borderId="1" xfId="0" applyFont="1" applyFill="1" applyBorder="1" applyAlignment="1" applyProtection="1">
      <alignment horizontal="center"/>
      <protection hidden="1"/>
    </xf>
    <xf numFmtId="0" fontId="29" fillId="13" borderId="2" xfId="0" applyFont="1" applyFill="1" applyBorder="1" applyAlignment="1" applyProtection="1">
      <alignment horizontal="center"/>
      <protection hidden="1"/>
    </xf>
    <xf numFmtId="0" fontId="29" fillId="13" borderId="3" xfId="0" applyFont="1" applyFill="1" applyBorder="1" applyAlignment="1" applyProtection="1">
      <alignment horizontal="center"/>
      <protection hidden="1"/>
    </xf>
    <xf numFmtId="0" fontId="3" fillId="21" borderId="33" xfId="2" applyFont="1" applyFill="1" applyBorder="1" applyAlignment="1" applyProtection="1">
      <protection hidden="1"/>
    </xf>
    <xf numFmtId="0" fontId="3" fillId="21" borderId="34" xfId="2" applyFont="1" applyFill="1" applyBorder="1" applyAlignment="1" applyProtection="1">
      <protection hidden="1"/>
    </xf>
    <xf numFmtId="0" fontId="3" fillId="21" borderId="35" xfId="2" applyFont="1" applyFill="1" applyBorder="1" applyAlignment="1" applyProtection="1">
      <protection hidden="1"/>
    </xf>
    <xf numFmtId="0" fontId="3" fillId="5" borderId="42" xfId="2" applyFont="1" applyFill="1" applyBorder="1" applyAlignment="1" applyProtection="1">
      <alignment vertical="center"/>
      <protection hidden="1"/>
    </xf>
    <xf numFmtId="0" fontId="3" fillId="5" borderId="37" xfId="2" applyFont="1" applyFill="1" applyBorder="1" applyAlignment="1" applyProtection="1">
      <alignment vertical="center"/>
      <protection hidden="1"/>
    </xf>
    <xf numFmtId="0" fontId="8" fillId="11" borderId="1" xfId="2" applyFont="1" applyFill="1" applyBorder="1" applyAlignment="1" applyProtection="1">
      <alignment horizontal="center" vertical="center"/>
      <protection hidden="1"/>
    </xf>
    <xf numFmtId="0" fontId="8" fillId="11" borderId="2" xfId="2" applyFont="1" applyFill="1" applyBorder="1" applyAlignment="1" applyProtection="1">
      <alignment horizontal="center" vertical="center"/>
      <protection hidden="1"/>
    </xf>
    <xf numFmtId="0" fontId="8" fillId="11" borderId="3" xfId="2" applyFont="1" applyFill="1" applyBorder="1" applyAlignment="1" applyProtection="1">
      <alignment horizontal="center" vertical="center"/>
      <protection hidden="1"/>
    </xf>
    <xf numFmtId="1" fontId="3" fillId="10" borderId="37" xfId="2" applyNumberFormat="1" applyFont="1" applyFill="1" applyBorder="1" applyAlignment="1" applyProtection="1">
      <alignment horizontal="center" vertical="center"/>
      <protection locked="0"/>
    </xf>
    <xf numFmtId="0" fontId="3" fillId="12" borderId="1" xfId="2" applyFont="1" applyFill="1" applyBorder="1" applyAlignment="1" applyProtection="1">
      <alignment horizontal="center"/>
      <protection hidden="1"/>
    </xf>
    <xf numFmtId="0" fontId="3" fillId="12" borderId="2" xfId="2" applyFont="1" applyFill="1" applyBorder="1" applyAlignment="1" applyProtection="1">
      <alignment horizontal="center"/>
      <protection hidden="1"/>
    </xf>
    <xf numFmtId="0" fontId="3" fillId="12" borderId="3" xfId="2" applyFont="1" applyFill="1" applyBorder="1" applyAlignment="1" applyProtection="1">
      <alignment horizontal="center"/>
      <protection hidden="1"/>
    </xf>
    <xf numFmtId="0" fontId="3" fillId="5" borderId="1" xfId="2" applyFont="1" applyFill="1" applyBorder="1" applyAlignment="1" applyProtection="1">
      <alignment vertical="center"/>
      <protection hidden="1"/>
    </xf>
    <xf numFmtId="0" fontId="3" fillId="5" borderId="2" xfId="2" applyFont="1" applyFill="1" applyBorder="1" applyAlignment="1" applyProtection="1">
      <alignment vertical="center"/>
      <protection hidden="1"/>
    </xf>
    <xf numFmtId="0" fontId="3" fillId="5" borderId="3" xfId="2" applyFont="1" applyFill="1" applyBorder="1" applyAlignment="1" applyProtection="1">
      <alignment vertical="center"/>
      <protection hidden="1"/>
    </xf>
    <xf numFmtId="0" fontId="3" fillId="5" borderId="66" xfId="2" applyFont="1" applyFill="1" applyBorder="1" applyAlignment="1" applyProtection="1">
      <alignment vertical="center"/>
      <protection hidden="1"/>
    </xf>
    <xf numFmtId="1" fontId="3" fillId="10" borderId="66" xfId="2" applyNumberFormat="1" applyFont="1" applyFill="1" applyBorder="1" applyAlignment="1" applyProtection="1">
      <alignment horizontal="center" vertical="center"/>
      <protection locked="0"/>
    </xf>
    <xf numFmtId="0" fontId="3" fillId="21" borderId="66" xfId="2" applyFont="1" applyFill="1" applyBorder="1" applyAlignment="1" applyProtection="1">
      <alignment vertical="center"/>
      <protection hidden="1"/>
    </xf>
    <xf numFmtId="0" fontId="3" fillId="21" borderId="37" xfId="2" applyFont="1" applyFill="1" applyBorder="1" applyAlignment="1" applyProtection="1">
      <alignment vertical="center"/>
      <protection hidden="1"/>
    </xf>
    <xf numFmtId="0" fontId="2" fillId="5" borderId="64" xfId="2" applyFont="1" applyFill="1" applyBorder="1" applyAlignment="1" applyProtection="1">
      <protection hidden="1"/>
    </xf>
    <xf numFmtId="0" fontId="2" fillId="5" borderId="72" xfId="2" applyFont="1" applyFill="1" applyBorder="1" applyAlignment="1" applyProtection="1">
      <protection hidden="1"/>
    </xf>
    <xf numFmtId="0" fontId="2" fillId="10" borderId="60" xfId="2" applyFont="1" applyFill="1" applyBorder="1" applyAlignment="1" applyProtection="1">
      <protection locked="0"/>
    </xf>
    <xf numFmtId="0" fontId="2" fillId="10" borderId="7" xfId="2" applyFont="1" applyFill="1" applyBorder="1" applyAlignment="1" applyProtection="1">
      <protection locked="0"/>
    </xf>
    <xf numFmtId="0" fontId="2" fillId="10" borderId="61" xfId="2" applyFont="1" applyFill="1" applyBorder="1" applyAlignment="1" applyProtection="1">
      <protection locked="0"/>
    </xf>
    <xf numFmtId="0" fontId="2" fillId="5" borderId="33" xfId="2" applyFont="1" applyFill="1" applyBorder="1" applyAlignment="1" applyProtection="1">
      <protection hidden="1"/>
    </xf>
    <xf numFmtId="0" fontId="2" fillId="5" borderId="34" xfId="2" applyFont="1" applyFill="1" applyBorder="1" applyAlignment="1" applyProtection="1">
      <protection hidden="1"/>
    </xf>
    <xf numFmtId="166" fontId="2" fillId="10" borderId="33" xfId="2" applyNumberFormat="1" applyFont="1" applyFill="1" applyBorder="1" applyAlignment="1" applyProtection="1">
      <alignment horizontal="left"/>
      <protection locked="0"/>
    </xf>
    <xf numFmtId="166" fontId="2" fillId="10" borderId="34" xfId="2" applyNumberFormat="1" applyFont="1" applyFill="1" applyBorder="1" applyAlignment="1" applyProtection="1">
      <alignment horizontal="left"/>
      <protection locked="0"/>
    </xf>
    <xf numFmtId="166" fontId="2" fillId="10" borderId="35" xfId="2" applyNumberFormat="1" applyFont="1" applyFill="1" applyBorder="1" applyAlignment="1" applyProtection="1">
      <alignment horizontal="left"/>
      <protection locked="0"/>
    </xf>
    <xf numFmtId="164" fontId="3" fillId="10" borderId="37" xfId="2" applyNumberFormat="1" applyFont="1" applyFill="1" applyBorder="1" applyAlignment="1" applyProtection="1">
      <alignment horizontal="center" vertical="center"/>
      <protection locked="0"/>
    </xf>
    <xf numFmtId="0" fontId="3" fillId="5" borderId="55" xfId="2" applyFont="1" applyFill="1" applyBorder="1" applyAlignment="1" applyProtection="1">
      <alignment vertical="center"/>
      <protection hidden="1"/>
    </xf>
    <xf numFmtId="1" fontId="3" fillId="10" borderId="55" xfId="2" applyNumberFormat="1" applyFont="1" applyFill="1" applyBorder="1" applyAlignment="1" applyProtection="1">
      <alignment horizontal="center" vertical="center"/>
      <protection locked="0"/>
    </xf>
    <xf numFmtId="0" fontId="3" fillId="21" borderId="42" xfId="2" applyFont="1" applyFill="1" applyBorder="1" applyAlignment="1" applyProtection="1">
      <alignment vertical="center"/>
      <protection hidden="1"/>
    </xf>
    <xf numFmtId="0" fontId="3" fillId="5" borderId="65" xfId="2" applyFont="1" applyFill="1" applyBorder="1" applyAlignment="1" applyProtection="1">
      <alignment vertical="center"/>
      <protection hidden="1"/>
    </xf>
    <xf numFmtId="1" fontId="3" fillId="10" borderId="65" xfId="2" applyNumberFormat="1" applyFont="1" applyFill="1" applyBorder="1" applyAlignment="1" applyProtection="1">
      <alignment horizontal="center" vertical="center"/>
      <protection locked="0"/>
    </xf>
    <xf numFmtId="0" fontId="3" fillId="5" borderId="29" xfId="2" applyFont="1" applyFill="1" applyBorder="1" applyAlignment="1" applyProtection="1">
      <alignment vertical="center"/>
      <protection hidden="1"/>
    </xf>
    <xf numFmtId="0" fontId="3" fillId="5" borderId="32" xfId="2" applyFont="1" applyFill="1" applyBorder="1" applyAlignment="1" applyProtection="1">
      <alignment vertical="center"/>
      <protection hidden="1"/>
    </xf>
    <xf numFmtId="1" fontId="3" fillId="10" borderId="36" xfId="2" applyNumberFormat="1" applyFont="1" applyFill="1" applyBorder="1" applyAlignment="1" applyProtection="1">
      <alignment horizontal="center" vertical="center"/>
      <protection locked="0"/>
    </xf>
    <xf numFmtId="0" fontId="7" fillId="0" borderId="32" xfId="2" applyBorder="1"/>
    <xf numFmtId="0" fontId="3" fillId="21" borderId="16" xfId="2" applyFont="1" applyFill="1" applyBorder="1" applyAlignment="1" applyProtection="1">
      <alignment vertical="center"/>
      <protection hidden="1"/>
    </xf>
    <xf numFmtId="0" fontId="3" fillId="5" borderId="60" xfId="2" applyFont="1" applyFill="1" applyBorder="1" applyAlignment="1" applyProtection="1">
      <alignment vertical="center"/>
      <protection hidden="1"/>
    </xf>
    <xf numFmtId="0" fontId="3" fillId="5" borderId="61" xfId="2" applyFont="1" applyFill="1" applyBorder="1" applyAlignment="1" applyProtection="1">
      <alignment vertical="center"/>
      <protection hidden="1"/>
    </xf>
    <xf numFmtId="1" fontId="3" fillId="10" borderId="46" xfId="2" applyNumberFormat="1" applyFont="1" applyFill="1" applyBorder="1" applyAlignment="1" applyProtection="1">
      <alignment horizontal="center" vertical="center"/>
      <protection locked="0"/>
    </xf>
    <xf numFmtId="0" fontId="7" fillId="0" borderId="61" xfId="2" applyBorder="1"/>
    <xf numFmtId="0" fontId="3" fillId="13" borderId="66" xfId="2" applyFont="1" applyFill="1" applyBorder="1" applyAlignment="1" applyProtection="1">
      <protection hidden="1"/>
    </xf>
    <xf numFmtId="0" fontId="3" fillId="5" borderId="66" xfId="2" applyFont="1" applyFill="1" applyBorder="1" applyAlignment="1" applyProtection="1">
      <protection hidden="1"/>
    </xf>
    <xf numFmtId="0" fontId="3" fillId="21" borderId="38" xfId="2" applyFont="1" applyFill="1" applyBorder="1" applyAlignment="1" applyProtection="1">
      <alignment vertical="center"/>
      <protection hidden="1"/>
    </xf>
    <xf numFmtId="0" fontId="3" fillId="21" borderId="41" xfId="2" applyFont="1" applyFill="1" applyBorder="1" applyAlignment="1" applyProtection="1">
      <alignment vertical="center"/>
      <protection hidden="1"/>
    </xf>
    <xf numFmtId="0" fontId="3" fillId="5" borderId="47" xfId="2" applyFont="1" applyFill="1" applyBorder="1" applyAlignment="1" applyProtection="1">
      <alignment vertical="center"/>
      <protection hidden="1"/>
    </xf>
    <xf numFmtId="0" fontId="3" fillId="5" borderId="48" xfId="2" applyFont="1" applyFill="1" applyBorder="1" applyAlignment="1" applyProtection="1">
      <alignment vertical="center"/>
      <protection hidden="1"/>
    </xf>
    <xf numFmtId="2" fontId="3" fillId="10" borderId="75" xfId="2" applyNumberFormat="1" applyFont="1" applyFill="1" applyBorder="1" applyAlignment="1" applyProtection="1">
      <alignment horizontal="center" vertical="center"/>
      <protection locked="0"/>
    </xf>
    <xf numFmtId="0" fontId="7" fillId="0" borderId="48" xfId="2" applyBorder="1"/>
    <xf numFmtId="0" fontId="3" fillId="5" borderId="58" xfId="2" applyFont="1" applyFill="1" applyBorder="1" applyAlignment="1" applyProtection="1">
      <alignment vertical="center"/>
      <protection hidden="1"/>
    </xf>
    <xf numFmtId="0" fontId="3" fillId="5" borderId="63" xfId="2" applyFont="1" applyFill="1" applyBorder="1" applyAlignment="1" applyProtection="1">
      <alignment vertical="center"/>
      <protection hidden="1"/>
    </xf>
    <xf numFmtId="0" fontId="3" fillId="10" borderId="70" xfId="2" applyNumberFormat="1" applyFont="1" applyFill="1" applyBorder="1" applyAlignment="1" applyProtection="1">
      <alignment horizontal="center" vertical="center"/>
      <protection locked="0"/>
    </xf>
    <xf numFmtId="0" fontId="7" fillId="0" borderId="63" xfId="2" applyBorder="1"/>
    <xf numFmtId="0" fontId="3" fillId="5" borderId="62" xfId="2" applyFont="1" applyFill="1" applyBorder="1" applyAlignment="1" applyProtection="1">
      <protection hidden="1"/>
    </xf>
    <xf numFmtId="0" fontId="3" fillId="5" borderId="76" xfId="2" applyFont="1" applyFill="1" applyBorder="1" applyAlignment="1" applyProtection="1">
      <protection hidden="1"/>
    </xf>
    <xf numFmtId="0" fontId="3" fillId="5" borderId="17" xfId="2" applyFont="1" applyFill="1" applyBorder="1" applyAlignment="1" applyProtection="1">
      <protection hidden="1"/>
    </xf>
    <xf numFmtId="2" fontId="3" fillId="10" borderId="36" xfId="2" applyNumberFormat="1" applyFont="1" applyFill="1" applyBorder="1" applyAlignment="1" applyProtection="1">
      <alignment horizontal="center" vertical="center"/>
      <protection locked="0"/>
    </xf>
    <xf numFmtId="0" fontId="3" fillId="5" borderId="33" xfId="2" applyFont="1" applyFill="1" applyBorder="1" applyAlignment="1" applyProtection="1">
      <protection hidden="1"/>
    </xf>
    <xf numFmtId="0" fontId="3" fillId="5" borderId="34" xfId="2" applyFont="1" applyFill="1" applyBorder="1" applyAlignment="1" applyProtection="1">
      <protection hidden="1"/>
    </xf>
    <xf numFmtId="0" fontId="3" fillId="5" borderId="35" xfId="2" applyFont="1" applyFill="1" applyBorder="1" applyAlignment="1" applyProtection="1">
      <protection hidden="1"/>
    </xf>
    <xf numFmtId="0" fontId="3" fillId="21" borderId="64" xfId="2" applyFont="1" applyFill="1" applyBorder="1" applyAlignment="1" applyProtection="1">
      <protection hidden="1"/>
    </xf>
    <xf numFmtId="0" fontId="3" fillId="21" borderId="72" xfId="2" applyFont="1" applyFill="1" applyBorder="1" applyAlignment="1" applyProtection="1">
      <protection hidden="1"/>
    </xf>
    <xf numFmtId="0" fontId="3" fillId="21" borderId="5" xfId="2" applyFont="1" applyFill="1" applyBorder="1" applyAlignment="1" applyProtection="1">
      <protection hidden="1"/>
    </xf>
    <xf numFmtId="0" fontId="3" fillId="21" borderId="62" xfId="2" applyFont="1" applyFill="1" applyBorder="1" applyAlignment="1" applyProtection="1">
      <protection hidden="1"/>
    </xf>
    <xf numFmtId="0" fontId="3" fillId="21" borderId="76" xfId="2" applyFont="1" applyFill="1" applyBorder="1" applyAlignment="1" applyProtection="1">
      <protection hidden="1"/>
    </xf>
    <xf numFmtId="0" fontId="3" fillId="21" borderId="17" xfId="2" applyFont="1" applyFill="1" applyBorder="1" applyAlignment="1" applyProtection="1">
      <protection hidden="1"/>
    </xf>
    <xf numFmtId="1" fontId="3" fillId="10" borderId="61" xfId="2" applyNumberFormat="1" applyFont="1" applyFill="1" applyBorder="1" applyAlignment="1" applyProtection="1">
      <alignment horizontal="center" vertical="center"/>
      <protection locked="0"/>
    </xf>
    <xf numFmtId="1" fontId="3" fillId="10" borderId="70" xfId="2" applyNumberFormat="1" applyFont="1" applyFill="1" applyBorder="1" applyAlignment="1" applyProtection="1">
      <alignment horizontal="center" vertical="center"/>
      <protection locked="0"/>
    </xf>
    <xf numFmtId="1" fontId="3" fillId="10" borderId="63" xfId="2" applyNumberFormat="1" applyFont="1" applyFill="1" applyBorder="1" applyAlignment="1" applyProtection="1">
      <alignment horizontal="center" vertical="center"/>
      <protection locked="0"/>
    </xf>
    <xf numFmtId="1" fontId="3" fillId="10" borderId="32" xfId="2" applyNumberFormat="1" applyFont="1" applyFill="1" applyBorder="1" applyAlignment="1" applyProtection="1">
      <alignment horizontal="center" vertical="center"/>
      <protection locked="0"/>
    </xf>
    <xf numFmtId="0" fontId="3" fillId="21" borderId="60" xfId="2" applyFont="1" applyFill="1" applyBorder="1" applyAlignment="1" applyProtection="1">
      <alignment vertical="center"/>
      <protection hidden="1"/>
    </xf>
    <xf numFmtId="0" fontId="3" fillId="21" borderId="61" xfId="2" applyFont="1" applyFill="1" applyBorder="1" applyAlignment="1" applyProtection="1">
      <alignment vertical="center"/>
      <protection hidden="1"/>
    </xf>
    <xf numFmtId="0" fontId="3" fillId="5" borderId="1" xfId="2" applyFont="1" applyFill="1" applyBorder="1" applyAlignment="1" applyProtection="1">
      <alignment horizontal="center"/>
      <protection hidden="1"/>
    </xf>
    <xf numFmtId="0" fontId="3" fillId="5" borderId="2" xfId="2" applyFont="1" applyFill="1" applyBorder="1" applyAlignment="1" applyProtection="1">
      <alignment horizontal="center"/>
      <protection hidden="1"/>
    </xf>
    <xf numFmtId="0" fontId="3" fillId="5" borderId="3" xfId="2" applyFont="1" applyFill="1" applyBorder="1" applyAlignment="1" applyProtection="1">
      <alignment horizontal="center"/>
      <protection hidden="1"/>
    </xf>
    <xf numFmtId="0" fontId="3" fillId="21" borderId="29" xfId="2" applyFont="1" applyFill="1" applyBorder="1" applyAlignment="1" applyProtection="1">
      <alignment vertical="center"/>
      <protection hidden="1"/>
    </xf>
    <xf numFmtId="0" fontId="3" fillId="21" borderId="32" xfId="2" applyFont="1" applyFill="1" applyBorder="1" applyAlignment="1" applyProtection="1">
      <alignment vertical="center"/>
      <protection hidden="1"/>
    </xf>
    <xf numFmtId="164" fontId="3" fillId="10" borderId="36" xfId="2" applyNumberFormat="1" applyFont="1" applyFill="1" applyBorder="1" applyAlignment="1" applyProtection="1">
      <alignment horizontal="center" vertical="center"/>
      <protection locked="0"/>
    </xf>
    <xf numFmtId="164" fontId="3" fillId="10" borderId="32" xfId="2" applyNumberFormat="1" applyFont="1" applyFill="1" applyBorder="1" applyAlignment="1" applyProtection="1">
      <alignment horizontal="center" vertical="center"/>
      <protection locked="0"/>
    </xf>
    <xf numFmtId="1" fontId="3" fillId="10" borderId="75" xfId="2" applyNumberFormat="1" applyFont="1" applyFill="1" applyBorder="1" applyAlignment="1" applyProtection="1">
      <alignment horizontal="center" vertical="center"/>
      <protection locked="0"/>
    </xf>
    <xf numFmtId="1" fontId="3" fillId="10" borderId="48" xfId="2" applyNumberFormat="1" applyFont="1" applyFill="1" applyBorder="1" applyAlignment="1" applyProtection="1">
      <alignment horizontal="center" vertical="center"/>
      <protection locked="0"/>
    </xf>
    <xf numFmtId="0" fontId="3" fillId="5" borderId="64" xfId="2" applyFont="1" applyFill="1" applyBorder="1" applyAlignment="1" applyProtection="1">
      <alignment vertical="center"/>
      <protection hidden="1"/>
    </xf>
    <xf numFmtId="0" fontId="3" fillId="5" borderId="5" xfId="2" applyFont="1" applyFill="1" applyBorder="1" applyAlignment="1" applyProtection="1">
      <alignment vertical="center"/>
      <protection hidden="1"/>
    </xf>
    <xf numFmtId="1" fontId="3" fillId="10" borderId="60" xfId="2" applyNumberFormat="1" applyFont="1" applyFill="1" applyBorder="1" applyAlignment="1" applyProtection="1">
      <alignment horizontal="center" vertical="center"/>
      <protection locked="0"/>
    </xf>
    <xf numFmtId="0" fontId="3" fillId="5" borderId="62" xfId="2" applyFont="1" applyFill="1" applyBorder="1" applyAlignment="1" applyProtection="1">
      <alignment vertical="center"/>
      <protection hidden="1"/>
    </xf>
    <xf numFmtId="0" fontId="3" fillId="5" borderId="17" xfId="2" applyFont="1" applyFill="1" applyBorder="1" applyAlignment="1" applyProtection="1">
      <alignment vertical="center"/>
      <protection hidden="1"/>
    </xf>
    <xf numFmtId="1" fontId="3" fillId="10" borderId="58" xfId="2" applyNumberFormat="1" applyFont="1" applyFill="1" applyBorder="1" applyAlignment="1" applyProtection="1">
      <alignment horizontal="center" vertical="center"/>
      <protection locked="0"/>
    </xf>
    <xf numFmtId="0" fontId="3" fillId="12" borderId="1" xfId="2" applyFont="1" applyFill="1" applyBorder="1" applyAlignment="1" applyProtection="1">
      <alignment horizontal="center" vertical="center"/>
      <protection hidden="1"/>
    </xf>
    <xf numFmtId="0" fontId="3" fillId="12" borderId="3" xfId="2" applyFont="1" applyFill="1" applyBorder="1" applyAlignment="1" applyProtection="1">
      <alignment horizontal="center" vertical="center"/>
      <protection hidden="1"/>
    </xf>
    <xf numFmtId="0" fontId="3" fillId="5" borderId="33" xfId="2" applyFont="1" applyFill="1" applyBorder="1" applyAlignment="1" applyProtection="1">
      <alignment vertical="center"/>
      <protection hidden="1"/>
    </xf>
    <xf numFmtId="0" fontId="3" fillId="5" borderId="35" xfId="2" applyFont="1" applyFill="1" applyBorder="1" applyAlignment="1" applyProtection="1">
      <alignment vertical="center"/>
      <protection hidden="1"/>
    </xf>
    <xf numFmtId="1" fontId="3" fillId="10" borderId="29" xfId="2" applyNumberFormat="1" applyFont="1" applyFill="1" applyBorder="1" applyAlignment="1" applyProtection="1">
      <alignment horizontal="center" vertical="center"/>
      <protection locked="0"/>
    </xf>
    <xf numFmtId="0" fontId="3" fillId="16" borderId="1" xfId="2" applyFont="1" applyFill="1" applyBorder="1" applyAlignment="1" applyProtection="1">
      <alignment horizontal="center"/>
      <protection hidden="1"/>
    </xf>
    <xf numFmtId="0" fontId="3" fillId="16" borderId="2" xfId="2" applyFont="1" applyFill="1" applyBorder="1" applyAlignment="1" applyProtection="1">
      <alignment horizontal="center"/>
      <protection hidden="1"/>
    </xf>
    <xf numFmtId="0" fontId="3" fillId="16" borderId="3" xfId="2" applyFont="1" applyFill="1" applyBorder="1" applyAlignment="1" applyProtection="1">
      <alignment horizontal="center"/>
      <protection hidden="1"/>
    </xf>
    <xf numFmtId="0" fontId="2" fillId="12" borderId="1" xfId="2" applyFont="1" applyFill="1" applyBorder="1" applyAlignment="1" applyProtection="1">
      <alignment horizontal="center"/>
      <protection hidden="1"/>
    </xf>
    <xf numFmtId="0" fontId="2" fillId="12" borderId="2" xfId="2" applyFont="1" applyFill="1" applyBorder="1" applyAlignment="1" applyProtection="1">
      <alignment horizontal="center"/>
      <protection hidden="1"/>
    </xf>
    <xf numFmtId="0" fontId="2" fillId="12" borderId="3" xfId="2" applyFont="1" applyFill="1" applyBorder="1" applyAlignment="1" applyProtection="1">
      <alignment horizontal="center"/>
      <protection hidden="1"/>
    </xf>
    <xf numFmtId="0" fontId="16" fillId="11" borderId="1" xfId="2" applyFont="1" applyFill="1" applyBorder="1" applyAlignment="1" applyProtection="1">
      <alignment horizontal="center" vertical="center"/>
      <protection hidden="1"/>
    </xf>
    <xf numFmtId="0" fontId="16" fillId="11" borderId="2" xfId="2" applyFont="1" applyFill="1" applyBorder="1" applyAlignment="1" applyProtection="1">
      <alignment horizontal="center" vertical="center"/>
      <protection hidden="1"/>
    </xf>
    <xf numFmtId="0" fontId="16" fillId="11" borderId="3" xfId="2" applyFont="1" applyFill="1" applyBorder="1" applyAlignment="1" applyProtection="1">
      <alignment horizontal="center" vertical="center"/>
      <protection hidden="1"/>
    </xf>
    <xf numFmtId="1" fontId="16" fillId="10" borderId="1" xfId="2" applyNumberFormat="1" applyFont="1" applyFill="1" applyBorder="1" applyAlignment="1" applyProtection="1">
      <alignment horizontal="center" vertical="center"/>
      <protection locked="0"/>
    </xf>
    <xf numFmtId="1" fontId="16" fillId="10" borderId="3" xfId="2" applyNumberFormat="1" applyFont="1" applyFill="1" applyBorder="1" applyAlignment="1" applyProtection="1">
      <alignment horizontal="center" vertical="center"/>
      <protection locked="0"/>
    </xf>
    <xf numFmtId="0" fontId="8" fillId="11" borderId="1" xfId="2" applyFont="1" applyFill="1" applyBorder="1" applyAlignment="1" applyProtection="1">
      <alignment horizontal="center"/>
      <protection hidden="1"/>
    </xf>
    <xf numFmtId="0" fontId="8" fillId="11" borderId="2" xfId="2" applyFont="1" applyFill="1" applyBorder="1" applyAlignment="1" applyProtection="1">
      <alignment horizontal="center"/>
      <protection hidden="1"/>
    </xf>
    <xf numFmtId="0" fontId="8" fillId="11" borderId="3" xfId="2" applyFont="1" applyFill="1" applyBorder="1" applyAlignment="1" applyProtection="1">
      <alignment horizontal="center"/>
      <protection hidden="1"/>
    </xf>
    <xf numFmtId="0" fontId="3" fillId="12" borderId="9" xfId="2" applyFont="1" applyFill="1" applyBorder="1" applyAlignment="1" applyProtection="1">
      <alignment horizontal="center"/>
      <protection hidden="1"/>
    </xf>
    <xf numFmtId="0" fontId="3" fillId="12" borderId="12" xfId="2" applyFont="1" applyFill="1" applyBorder="1" applyAlignment="1" applyProtection="1">
      <alignment horizontal="center"/>
      <protection hidden="1"/>
    </xf>
    <xf numFmtId="0" fontId="3" fillId="12" borderId="14" xfId="2" applyFont="1" applyFill="1" applyBorder="1" applyAlignment="1" applyProtection="1">
      <alignment horizontal="center"/>
      <protection hidden="1"/>
    </xf>
    <xf numFmtId="0" fontId="3" fillId="5" borderId="4" xfId="2" applyFont="1" applyFill="1" applyBorder="1" applyAlignment="1" applyProtection="1">
      <alignment horizontal="center" vertical="center"/>
      <protection hidden="1"/>
    </xf>
    <xf numFmtId="0" fontId="7" fillId="0" borderId="16" xfId="2" applyBorder="1" applyAlignment="1" applyProtection="1">
      <alignment horizontal="center" vertical="center"/>
      <protection hidden="1"/>
    </xf>
    <xf numFmtId="0" fontId="3" fillId="12" borderId="2" xfId="2" applyFont="1" applyFill="1" applyBorder="1" applyAlignment="1" applyProtection="1">
      <alignment horizontal="center" vertical="center"/>
      <protection hidden="1"/>
    </xf>
    <xf numFmtId="0" fontId="3" fillId="5" borderId="1" xfId="2" applyFont="1" applyFill="1" applyBorder="1" applyAlignment="1" applyProtection="1">
      <protection hidden="1"/>
    </xf>
    <xf numFmtId="0" fontId="3" fillId="5" borderId="2" xfId="2" applyFont="1" applyFill="1" applyBorder="1" applyAlignment="1" applyProtection="1">
      <protection hidden="1"/>
    </xf>
    <xf numFmtId="0" fontId="3" fillId="5" borderId="3" xfId="2" applyFont="1" applyFill="1" applyBorder="1" applyAlignment="1" applyProtection="1">
      <protection hidden="1"/>
    </xf>
    <xf numFmtId="0" fontId="3" fillId="5" borderId="1" xfId="2" applyFont="1" applyFill="1" applyBorder="1" applyAlignment="1" applyProtection="1">
      <alignment horizontal="center" vertical="center"/>
      <protection hidden="1"/>
    </xf>
    <xf numFmtId="0" fontId="3" fillId="5" borderId="3" xfId="2" applyFont="1" applyFill="1" applyBorder="1" applyAlignment="1" applyProtection="1">
      <alignment horizontal="center" vertical="center"/>
      <protection hidden="1"/>
    </xf>
    <xf numFmtId="0" fontId="18" fillId="12" borderId="43" xfId="2" applyFont="1" applyFill="1" applyBorder="1" applyAlignment="1" applyProtection="1">
      <alignment horizontal="center"/>
      <protection hidden="1"/>
    </xf>
    <xf numFmtId="0" fontId="18" fillId="12" borderId="44" xfId="2" applyFont="1" applyFill="1" applyBorder="1" applyAlignment="1" applyProtection="1">
      <alignment horizontal="center"/>
      <protection hidden="1"/>
    </xf>
    <xf numFmtId="0" fontId="18" fillId="12" borderId="67" xfId="2" applyFont="1" applyFill="1" applyBorder="1" applyAlignment="1" applyProtection="1">
      <alignment horizontal="center"/>
      <protection hidden="1"/>
    </xf>
    <xf numFmtId="0" fontId="22" fillId="0" borderId="0" xfId="2" applyFont="1" applyAlignment="1" applyProtection="1">
      <alignment horizontal="center"/>
      <protection hidden="1"/>
    </xf>
    <xf numFmtId="164" fontId="18" fillId="12" borderId="1" xfId="2" applyNumberFormat="1" applyFont="1" applyFill="1" applyBorder="1" applyAlignment="1" applyProtection="1">
      <alignment horizontal="center"/>
      <protection hidden="1"/>
    </xf>
    <xf numFmtId="164" fontId="18" fillId="12" borderId="2" xfId="2" applyNumberFormat="1" applyFont="1" applyFill="1" applyBorder="1" applyAlignment="1" applyProtection="1">
      <alignment horizontal="center"/>
      <protection hidden="1"/>
    </xf>
    <xf numFmtId="164" fontId="18" fillId="12" borderId="3" xfId="2" applyNumberFormat="1" applyFont="1" applyFill="1" applyBorder="1" applyAlignment="1" applyProtection="1">
      <alignment horizontal="center"/>
      <protection hidden="1"/>
    </xf>
    <xf numFmtId="1" fontId="18" fillId="12" borderId="9" xfId="2" applyNumberFormat="1" applyFont="1" applyFill="1" applyBorder="1" applyAlignment="1" applyProtection="1">
      <alignment horizontal="center"/>
      <protection hidden="1"/>
    </xf>
    <xf numFmtId="1" fontId="18" fillId="12" borderId="12" xfId="2" applyNumberFormat="1" applyFont="1" applyFill="1" applyBorder="1" applyAlignment="1" applyProtection="1">
      <alignment horizontal="center"/>
      <protection hidden="1"/>
    </xf>
    <xf numFmtId="1" fontId="18" fillId="12" borderId="14" xfId="2" applyNumberFormat="1" applyFont="1" applyFill="1" applyBorder="1" applyAlignment="1" applyProtection="1">
      <alignment horizontal="center"/>
      <protection hidden="1"/>
    </xf>
    <xf numFmtId="1" fontId="18" fillId="12" borderId="64" xfId="2" applyNumberFormat="1" applyFont="1" applyFill="1" applyBorder="1" applyAlignment="1" applyProtection="1">
      <alignment horizontal="right"/>
      <protection hidden="1"/>
    </xf>
    <xf numFmtId="1" fontId="18" fillId="12" borderId="72" xfId="2" applyNumberFormat="1" applyFont="1" applyFill="1" applyBorder="1" applyAlignment="1" applyProtection="1">
      <alignment horizontal="right"/>
      <protection hidden="1"/>
    </xf>
    <xf numFmtId="1" fontId="18" fillId="12" borderId="5" xfId="2" applyNumberFormat="1" applyFont="1" applyFill="1" applyBorder="1" applyAlignment="1" applyProtection="1">
      <alignment horizontal="right"/>
      <protection hidden="1"/>
    </xf>
    <xf numFmtId="1" fontId="18" fillId="12" borderId="33" xfId="2" applyNumberFormat="1" applyFont="1" applyFill="1" applyBorder="1" applyAlignment="1" applyProtection="1">
      <alignment horizontal="right"/>
      <protection hidden="1"/>
    </xf>
    <xf numFmtId="1" fontId="18" fillId="12" borderId="34" xfId="2" applyNumberFormat="1" applyFont="1" applyFill="1" applyBorder="1" applyAlignment="1" applyProtection="1">
      <alignment horizontal="right"/>
      <protection hidden="1"/>
    </xf>
    <xf numFmtId="1" fontId="18" fillId="12" borderId="35" xfId="2" applyNumberFormat="1" applyFont="1" applyFill="1" applyBorder="1" applyAlignment="1" applyProtection="1">
      <alignment horizontal="right"/>
      <protection hidden="1"/>
    </xf>
    <xf numFmtId="0" fontId="18" fillId="12" borderId="9" xfId="2" applyFont="1" applyFill="1" applyBorder="1" applyAlignment="1" applyProtection="1">
      <alignment horizontal="center"/>
      <protection hidden="1"/>
    </xf>
    <xf numFmtId="0" fontId="18" fillId="12" borderId="12" xfId="2" applyFont="1" applyFill="1" applyBorder="1" applyAlignment="1" applyProtection="1">
      <alignment horizontal="center"/>
      <protection hidden="1"/>
    </xf>
    <xf numFmtId="0" fontId="18" fillId="12" borderId="14" xfId="2" applyFont="1" applyFill="1" applyBorder="1" applyAlignment="1" applyProtection="1">
      <alignment horizontal="center"/>
      <protection hidden="1"/>
    </xf>
    <xf numFmtId="0" fontId="3" fillId="13" borderId="1" xfId="2" applyFont="1" applyFill="1" applyBorder="1" applyAlignment="1" applyProtection="1">
      <alignment horizontal="center" vertical="center"/>
      <protection hidden="1"/>
    </xf>
    <xf numFmtId="0" fontId="3" fillId="13" borderId="2" xfId="2" applyFont="1" applyFill="1" applyBorder="1" applyAlignment="1" applyProtection="1">
      <alignment horizontal="center" vertical="center"/>
      <protection hidden="1"/>
    </xf>
    <xf numFmtId="0" fontId="3" fillId="13" borderId="3" xfId="2" applyFont="1" applyFill="1" applyBorder="1" applyAlignment="1" applyProtection="1">
      <alignment horizontal="center" vertical="center"/>
      <protection hidden="1"/>
    </xf>
    <xf numFmtId="0" fontId="3" fillId="13" borderId="62" xfId="2" applyFont="1" applyFill="1" applyBorder="1" applyAlignment="1" applyProtection="1">
      <protection hidden="1"/>
    </xf>
    <xf numFmtId="0" fontId="3" fillId="13" borderId="76" xfId="2" applyFont="1" applyFill="1" applyBorder="1" applyAlignment="1" applyProtection="1">
      <protection hidden="1"/>
    </xf>
    <xf numFmtId="0" fontId="3" fillId="13" borderId="17" xfId="2" applyFont="1" applyFill="1" applyBorder="1" applyAlignment="1" applyProtection="1">
      <protection hidden="1"/>
    </xf>
    <xf numFmtId="0" fontId="3" fillId="13" borderId="33" xfId="2" applyFont="1" applyFill="1" applyBorder="1" applyAlignment="1" applyProtection="1">
      <protection hidden="1"/>
    </xf>
    <xf numFmtId="0" fontId="3" fillId="13" borderId="34" xfId="2" applyFont="1" applyFill="1" applyBorder="1" applyAlignment="1" applyProtection="1">
      <protection hidden="1"/>
    </xf>
    <xf numFmtId="0" fontId="3" fillId="13" borderId="35" xfId="2" applyFont="1" applyFill="1" applyBorder="1" applyAlignment="1" applyProtection="1">
      <protection hidden="1"/>
    </xf>
    <xf numFmtId="0" fontId="2" fillId="12" borderId="9" xfId="2" applyFont="1" applyFill="1" applyBorder="1" applyAlignment="1" applyProtection="1">
      <alignment horizontal="center"/>
      <protection hidden="1"/>
    </xf>
    <xf numFmtId="0" fontId="2" fillId="12" borderId="12" xfId="2" applyFont="1" applyFill="1" applyBorder="1" applyAlignment="1" applyProtection="1">
      <alignment horizontal="center"/>
      <protection hidden="1"/>
    </xf>
    <xf numFmtId="0" fontId="2" fillId="12" borderId="14" xfId="2" applyFont="1" applyFill="1" applyBorder="1" applyAlignment="1" applyProtection="1">
      <alignment horizontal="center"/>
      <protection hidden="1"/>
    </xf>
    <xf numFmtId="0" fontId="2" fillId="12" borderId="49" xfId="2" applyFont="1" applyFill="1" applyBorder="1" applyAlignment="1" applyProtection="1">
      <alignment horizontal="center"/>
      <protection hidden="1"/>
    </xf>
    <xf numFmtId="0" fontId="2" fillId="12" borderId="0" xfId="2" applyFont="1" applyFill="1" applyBorder="1" applyAlignment="1" applyProtection="1">
      <alignment horizontal="center"/>
      <protection hidden="1"/>
    </xf>
    <xf numFmtId="0" fontId="2" fillId="12" borderId="53" xfId="2" applyFont="1" applyFill="1" applyBorder="1" applyAlignment="1" applyProtection="1">
      <alignment horizontal="center"/>
      <protection hidden="1"/>
    </xf>
    <xf numFmtId="1" fontId="2" fillId="12" borderId="43" xfId="2" applyNumberFormat="1" applyFont="1" applyFill="1" applyBorder="1" applyAlignment="1" applyProtection="1">
      <alignment horizontal="center"/>
      <protection hidden="1"/>
    </xf>
    <xf numFmtId="0" fontId="2" fillId="12" borderId="44" xfId="2" applyFont="1" applyFill="1" applyBorder="1" applyAlignment="1" applyProtection="1">
      <alignment horizontal="center"/>
      <protection hidden="1"/>
    </xf>
    <xf numFmtId="0" fontId="2" fillId="12" borderId="67" xfId="2" applyFont="1" applyFill="1" applyBorder="1" applyAlignment="1" applyProtection="1">
      <alignment horizontal="center"/>
      <protection hidden="1"/>
    </xf>
    <xf numFmtId="1" fontId="3" fillId="13" borderId="1" xfId="2" applyNumberFormat="1" applyFont="1" applyFill="1" applyBorder="1" applyAlignment="1" applyProtection="1">
      <alignment horizontal="center"/>
      <protection hidden="1"/>
    </xf>
    <xf numFmtId="1" fontId="3" fillId="13" borderId="2" xfId="2" applyNumberFormat="1" applyFont="1" applyFill="1" applyBorder="1" applyAlignment="1" applyProtection="1">
      <alignment horizontal="center"/>
      <protection hidden="1"/>
    </xf>
    <xf numFmtId="1" fontId="3" fillId="13" borderId="3" xfId="2" applyNumberFormat="1" applyFont="1" applyFill="1" applyBorder="1" applyAlignment="1" applyProtection="1">
      <alignment horizontal="center"/>
      <protection hidden="1"/>
    </xf>
    <xf numFmtId="0" fontId="3" fillId="13" borderId="1" xfId="2" applyFont="1" applyFill="1" applyBorder="1" applyAlignment="1" applyProtection="1">
      <alignment horizontal="center"/>
      <protection hidden="1"/>
    </xf>
    <xf numFmtId="0" fontId="3" fillId="13" borderId="2" xfId="2" applyFont="1" applyFill="1" applyBorder="1" applyAlignment="1" applyProtection="1">
      <alignment horizontal="center"/>
      <protection hidden="1"/>
    </xf>
    <xf numFmtId="0" fontId="3" fillId="13" borderId="3" xfId="2" applyFont="1" applyFill="1" applyBorder="1" applyAlignment="1" applyProtection="1">
      <alignment horizontal="center"/>
      <protection hidden="1"/>
    </xf>
    <xf numFmtId="2" fontId="3" fillId="13" borderId="38" xfId="2" applyNumberFormat="1" applyFont="1" applyFill="1" applyBorder="1" applyAlignment="1" applyProtection="1">
      <alignment horizontal="center"/>
      <protection hidden="1"/>
    </xf>
    <xf numFmtId="2" fontId="3" fillId="13" borderId="41" xfId="2" applyNumberFormat="1" applyFont="1" applyFill="1" applyBorder="1" applyAlignment="1" applyProtection="1">
      <alignment horizontal="center"/>
      <protection hidden="1"/>
    </xf>
    <xf numFmtId="0" fontId="3" fillId="13" borderId="43" xfId="2" applyFont="1" applyFill="1" applyBorder="1" applyAlignment="1" applyProtection="1">
      <alignment horizontal="center"/>
      <protection hidden="1"/>
    </xf>
    <xf numFmtId="0" fontId="3" fillId="13" borderId="44" xfId="2" applyFont="1" applyFill="1" applyBorder="1" applyAlignment="1" applyProtection="1">
      <alignment horizontal="center"/>
      <protection hidden="1"/>
    </xf>
    <xf numFmtId="0" fontId="3" fillId="13" borderId="67" xfId="2" applyFont="1" applyFill="1" applyBorder="1" applyAlignment="1" applyProtection="1">
      <alignment horizontal="center"/>
      <protection hidden="1"/>
    </xf>
    <xf numFmtId="0" fontId="16" fillId="0" borderId="0" xfId="2" applyFont="1" applyFill="1" applyBorder="1" applyAlignment="1" applyProtection="1">
      <alignment horizontal="center"/>
      <protection hidden="1"/>
    </xf>
    <xf numFmtId="0" fontId="3" fillId="5" borderId="39" xfId="2" applyFont="1" applyFill="1" applyBorder="1" applyAlignment="1" applyProtection="1">
      <alignment horizontal="center"/>
      <protection hidden="1"/>
    </xf>
    <xf numFmtId="0" fontId="3" fillId="5" borderId="41" xfId="2" applyFont="1" applyFill="1" applyBorder="1" applyAlignment="1" applyProtection="1">
      <alignment horizontal="center"/>
      <protection hidden="1"/>
    </xf>
    <xf numFmtId="1" fontId="3" fillId="5" borderId="1" xfId="2" applyNumberFormat="1" applyFont="1" applyFill="1" applyBorder="1" applyAlignment="1" applyProtection="1">
      <alignment horizontal="center"/>
      <protection hidden="1"/>
    </xf>
    <xf numFmtId="1" fontId="3" fillId="5" borderId="3" xfId="2" applyNumberFormat="1" applyFont="1" applyFill="1" applyBorder="1" applyAlignment="1" applyProtection="1">
      <alignment horizontal="center"/>
      <protection hidden="1"/>
    </xf>
    <xf numFmtId="1" fontId="3" fillId="5" borderId="2" xfId="2" applyNumberFormat="1" applyFont="1" applyFill="1" applyBorder="1" applyAlignment="1" applyProtection="1">
      <alignment horizontal="center"/>
      <protection hidden="1"/>
    </xf>
    <xf numFmtId="2" fontId="3" fillId="5" borderId="38" xfId="2" applyNumberFormat="1" applyFont="1" applyFill="1" applyBorder="1" applyAlignment="1" applyProtection="1">
      <alignment horizontal="center"/>
      <protection hidden="1"/>
    </xf>
    <xf numFmtId="2" fontId="3" fillId="5" borderId="41" xfId="2" applyNumberFormat="1" applyFont="1" applyFill="1" applyBorder="1" applyAlignment="1" applyProtection="1">
      <alignment horizontal="center"/>
      <protection hidden="1"/>
    </xf>
    <xf numFmtId="2" fontId="3" fillId="5" borderId="39" xfId="2" applyNumberFormat="1" applyFont="1" applyFill="1" applyBorder="1" applyAlignment="1" applyProtection="1">
      <alignment horizontal="center"/>
      <protection hidden="1"/>
    </xf>
    <xf numFmtId="2" fontId="3" fillId="5" borderId="1" xfId="2" applyNumberFormat="1" applyFont="1" applyFill="1" applyBorder="1" applyAlignment="1" applyProtection="1">
      <alignment horizontal="center"/>
      <protection hidden="1"/>
    </xf>
    <xf numFmtId="2" fontId="3" fillId="5" borderId="3" xfId="2" applyNumberFormat="1" applyFont="1" applyFill="1" applyBorder="1" applyAlignment="1" applyProtection="1">
      <alignment horizontal="center"/>
      <protection hidden="1"/>
    </xf>
    <xf numFmtId="0" fontId="3" fillId="5" borderId="38" xfId="2" applyFont="1" applyFill="1" applyBorder="1" applyAlignment="1" applyProtection="1">
      <alignment horizontal="center"/>
      <protection hidden="1"/>
    </xf>
    <xf numFmtId="0" fontId="3" fillId="5" borderId="40" xfId="2" applyFont="1" applyFill="1" applyBorder="1" applyAlignment="1" applyProtection="1">
      <alignment horizontal="center"/>
      <protection hidden="1"/>
    </xf>
    <xf numFmtId="0" fontId="7" fillId="0" borderId="2" xfId="2" applyBorder="1" applyProtection="1">
      <protection hidden="1"/>
    </xf>
    <xf numFmtId="0" fontId="7" fillId="0" borderId="3" xfId="2" applyBorder="1" applyProtection="1">
      <protection hidden="1"/>
    </xf>
    <xf numFmtId="1" fontId="3" fillId="13" borderId="33" xfId="2" applyNumberFormat="1" applyFont="1" applyFill="1" applyBorder="1" applyAlignment="1" applyProtection="1">
      <alignment horizontal="center"/>
      <protection hidden="1"/>
    </xf>
    <xf numFmtId="1" fontId="3" fillId="13" borderId="34" xfId="2" applyNumberFormat="1" applyFont="1" applyFill="1" applyBorder="1" applyAlignment="1" applyProtection="1">
      <alignment horizontal="center"/>
      <protection hidden="1"/>
    </xf>
    <xf numFmtId="1" fontId="3" fillId="13" borderId="35" xfId="2" applyNumberFormat="1" applyFont="1" applyFill="1" applyBorder="1" applyAlignment="1" applyProtection="1">
      <alignment horizontal="center"/>
      <protection hidden="1"/>
    </xf>
    <xf numFmtId="1" fontId="2" fillId="12" borderId="44" xfId="2" applyNumberFormat="1" applyFont="1" applyFill="1" applyBorder="1" applyAlignment="1" applyProtection="1">
      <alignment horizontal="center"/>
      <protection hidden="1"/>
    </xf>
    <xf numFmtId="1" fontId="3" fillId="13" borderId="64" xfId="2" applyNumberFormat="1" applyFont="1" applyFill="1" applyBorder="1" applyAlignment="1" applyProtection="1">
      <alignment horizontal="center"/>
      <protection hidden="1"/>
    </xf>
    <xf numFmtId="1" fontId="3" fillId="13" borderId="72" xfId="2" applyNumberFormat="1" applyFont="1" applyFill="1" applyBorder="1" applyAlignment="1" applyProtection="1">
      <alignment horizontal="center"/>
      <protection hidden="1"/>
    </xf>
    <xf numFmtId="1" fontId="3" fillId="13" borderId="5" xfId="2" applyNumberFormat="1" applyFont="1" applyFill="1" applyBorder="1" applyAlignment="1" applyProtection="1">
      <alignment horizontal="center"/>
      <protection hidden="1"/>
    </xf>
    <xf numFmtId="0" fontId="25" fillId="19" borderId="2" xfId="0" applyFont="1" applyFill="1" applyBorder="1" applyAlignment="1" applyProtection="1">
      <alignment horizontal="center"/>
      <protection hidden="1"/>
    </xf>
    <xf numFmtId="0" fontId="25" fillId="19" borderId="3" xfId="0" applyFont="1" applyFill="1" applyBorder="1" applyAlignment="1" applyProtection="1">
      <alignment horizontal="center"/>
      <protection hidden="1"/>
    </xf>
    <xf numFmtId="0" fontId="2" fillId="19" borderId="1" xfId="0" applyFont="1" applyFill="1" applyBorder="1" applyAlignment="1" applyProtection="1">
      <alignment horizontal="center"/>
      <protection hidden="1"/>
    </xf>
    <xf numFmtId="0" fontId="2" fillId="19" borderId="2" xfId="0" applyFont="1" applyFill="1" applyBorder="1" applyAlignment="1" applyProtection="1">
      <alignment horizontal="center"/>
      <protection hidden="1"/>
    </xf>
    <xf numFmtId="0" fontId="2" fillId="19" borderId="3" xfId="0" applyFont="1" applyFill="1" applyBorder="1" applyAlignment="1" applyProtection="1">
      <alignment horizontal="center"/>
      <protection hidden="1"/>
    </xf>
    <xf numFmtId="0" fontId="3" fillId="3" borderId="1" xfId="0" applyFont="1" applyFill="1" applyBorder="1" applyAlignment="1" applyProtection="1">
      <alignment horizontal="center"/>
      <protection hidden="1"/>
    </xf>
    <xf numFmtId="0" fontId="3" fillId="3" borderId="2" xfId="0" applyFont="1" applyFill="1" applyBorder="1" applyAlignment="1" applyProtection="1">
      <alignment horizontal="center"/>
      <protection hidden="1"/>
    </xf>
    <xf numFmtId="0" fontId="3" fillId="3" borderId="3" xfId="0" applyFont="1" applyFill="1" applyBorder="1" applyAlignment="1" applyProtection="1">
      <alignment horizontal="center"/>
      <protection hidden="1"/>
    </xf>
    <xf numFmtId="0" fontId="25" fillId="19" borderId="38" xfId="0" applyFont="1" applyFill="1" applyBorder="1" applyAlignment="1" applyProtection="1">
      <alignment horizontal="center"/>
      <protection hidden="1"/>
    </xf>
    <xf numFmtId="0" fontId="25" fillId="19" borderId="41" xfId="0" applyFont="1" applyFill="1" applyBorder="1" applyAlignment="1" applyProtection="1">
      <alignment horizontal="center"/>
      <protection hidden="1"/>
    </xf>
    <xf numFmtId="0" fontId="3" fillId="3" borderId="44" xfId="0" applyFont="1" applyFill="1" applyBorder="1" applyAlignment="1" applyProtection="1">
      <alignment horizontal="center"/>
      <protection hidden="1"/>
    </xf>
    <xf numFmtId="0" fontId="3" fillId="3" borderId="67" xfId="0" applyFont="1" applyFill="1" applyBorder="1" applyAlignment="1" applyProtection="1">
      <alignment horizontal="center"/>
      <protection hidden="1"/>
    </xf>
    <xf numFmtId="0" fontId="2" fillId="17" borderId="9" xfId="0" applyFont="1" applyFill="1" applyBorder="1" applyAlignment="1" applyProtection="1">
      <alignment horizontal="center"/>
      <protection hidden="1"/>
    </xf>
    <xf numFmtId="0" fontId="2" fillId="17" borderId="2" xfId="0" applyFont="1" applyFill="1" applyBorder="1" applyAlignment="1" applyProtection="1">
      <alignment horizontal="center"/>
      <protection hidden="1"/>
    </xf>
    <xf numFmtId="0" fontId="2" fillId="17" borderId="3" xfId="0" applyFont="1" applyFill="1" applyBorder="1" applyAlignment="1" applyProtection="1">
      <alignment horizontal="center"/>
      <protection hidden="1"/>
    </xf>
    <xf numFmtId="0" fontId="25" fillId="19" borderId="1" xfId="0" applyFont="1" applyFill="1" applyBorder="1" applyAlignment="1" applyProtection="1">
      <alignment horizontal="center"/>
      <protection hidden="1"/>
    </xf>
    <xf numFmtId="1" fontId="3" fillId="3" borderId="1" xfId="0" applyNumberFormat="1" applyFont="1" applyFill="1" applyBorder="1" applyAlignment="1" applyProtection="1">
      <alignment horizontal="center"/>
      <protection hidden="1"/>
    </xf>
    <xf numFmtId="1" fontId="3" fillId="3" borderId="3" xfId="0" applyNumberFormat="1" applyFont="1" applyFill="1" applyBorder="1" applyAlignment="1" applyProtection="1">
      <alignment horizontal="center"/>
      <protection hidden="1"/>
    </xf>
    <xf numFmtId="0" fontId="3" fillId="3" borderId="43" xfId="0" applyFont="1" applyFill="1" applyBorder="1" applyAlignment="1" applyProtection="1">
      <alignment horizontal="center"/>
      <protection hidden="1"/>
    </xf>
    <xf numFmtId="1" fontId="3" fillId="3" borderId="1" xfId="0" applyNumberFormat="1" applyFont="1" applyFill="1" applyBorder="1" applyAlignment="1" applyProtection="1">
      <alignment horizontal="center" vertical="center"/>
      <protection hidden="1"/>
    </xf>
    <xf numFmtId="1" fontId="3" fillId="3" borderId="2" xfId="0" applyNumberFormat="1" applyFont="1" applyFill="1" applyBorder="1" applyAlignment="1" applyProtection="1">
      <alignment horizontal="center" vertical="center"/>
      <protection hidden="1"/>
    </xf>
    <xf numFmtId="1" fontId="3" fillId="3" borderId="3" xfId="0" applyNumberFormat="1" applyFont="1" applyFill="1" applyBorder="1" applyAlignment="1" applyProtection="1">
      <alignment horizontal="center" vertical="center"/>
      <protection hidden="1"/>
    </xf>
    <xf numFmtId="0" fontId="2" fillId="17" borderId="1" xfId="0" applyFont="1" applyFill="1" applyBorder="1" applyAlignment="1" applyProtection="1">
      <alignment horizontal="center"/>
      <protection hidden="1"/>
    </xf>
    <xf numFmtId="0" fontId="3" fillId="16" borderId="1" xfId="0" applyFont="1" applyFill="1" applyBorder="1" applyAlignment="1" applyProtection="1">
      <alignment horizontal="center" vertical="center"/>
      <protection hidden="1"/>
    </xf>
    <xf numFmtId="0" fontId="3" fillId="16" borderId="3" xfId="0" applyFont="1" applyFill="1" applyBorder="1" applyAlignment="1" applyProtection="1">
      <alignment horizontal="center" vertical="center"/>
      <protection hidden="1"/>
    </xf>
    <xf numFmtId="0" fontId="3" fillId="17" borderId="1" xfId="2" applyFont="1" applyFill="1" applyBorder="1" applyAlignment="1" applyProtection="1">
      <alignment horizontal="center"/>
      <protection hidden="1"/>
    </xf>
    <xf numFmtId="0" fontId="3" fillId="17" borderId="3" xfId="2" applyFont="1" applyFill="1" applyBorder="1" applyAlignment="1" applyProtection="1">
      <alignment horizontal="center"/>
      <protection hidden="1"/>
    </xf>
    <xf numFmtId="1" fontId="3" fillId="3" borderId="1" xfId="2" applyNumberFormat="1" applyFont="1" applyFill="1" applyBorder="1" applyAlignment="1" applyProtection="1">
      <alignment horizontal="center" vertical="center"/>
      <protection hidden="1"/>
    </xf>
    <xf numFmtId="1" fontId="3" fillId="3" borderId="3" xfId="2" applyNumberFormat="1" applyFont="1" applyFill="1" applyBorder="1" applyAlignment="1" applyProtection="1">
      <alignment horizontal="center" vertical="center"/>
      <protection hidden="1"/>
    </xf>
    <xf numFmtId="0" fontId="3" fillId="16" borderId="9" xfId="2" applyFont="1" applyFill="1" applyBorder="1" applyAlignment="1" applyProtection="1">
      <alignment horizontal="center"/>
      <protection hidden="1"/>
    </xf>
    <xf numFmtId="0" fontId="3" fillId="16" borderId="14" xfId="2" applyFont="1" applyFill="1" applyBorder="1" applyAlignment="1" applyProtection="1">
      <alignment horizontal="center"/>
      <protection hidden="1"/>
    </xf>
    <xf numFmtId="0" fontId="3" fillId="16" borderId="43" xfId="2" applyFont="1" applyFill="1" applyBorder="1" applyAlignment="1" applyProtection="1">
      <alignment horizontal="center"/>
      <protection hidden="1"/>
    </xf>
    <xf numFmtId="0" fontId="3" fillId="16" borderId="67" xfId="2" applyFont="1" applyFill="1" applyBorder="1" applyAlignment="1" applyProtection="1">
      <alignment horizontal="center"/>
      <protection hidden="1"/>
    </xf>
    <xf numFmtId="0" fontId="3" fillId="17" borderId="2" xfId="2" applyFont="1" applyFill="1" applyBorder="1" applyAlignment="1" applyProtection="1">
      <alignment horizontal="center"/>
      <protection hidden="1"/>
    </xf>
    <xf numFmtId="0" fontId="3" fillId="3" borderId="1" xfId="2" applyFont="1" applyFill="1" applyBorder="1" applyAlignment="1" applyProtection="1">
      <alignment horizontal="center" vertical="center"/>
      <protection hidden="1"/>
    </xf>
    <xf numFmtId="0" fontId="3" fillId="3" borderId="3" xfId="2" applyFont="1" applyFill="1" applyBorder="1" applyAlignment="1" applyProtection="1">
      <alignment horizontal="center" vertical="center"/>
      <protection hidden="1"/>
    </xf>
    <xf numFmtId="0" fontId="3" fillId="17" borderId="1" xfId="0" applyFont="1" applyFill="1" applyBorder="1" applyAlignment="1" applyProtection="1">
      <alignment horizontal="center"/>
      <protection hidden="1"/>
    </xf>
    <xf numFmtId="0" fontId="3" fillId="17" borderId="2" xfId="0" applyFont="1" applyFill="1" applyBorder="1" applyAlignment="1" applyProtection="1">
      <alignment horizontal="center"/>
      <protection hidden="1"/>
    </xf>
    <xf numFmtId="0" fontId="3" fillId="17" borderId="3" xfId="0" applyFont="1" applyFill="1" applyBorder="1" applyAlignment="1" applyProtection="1">
      <alignment horizontal="center"/>
      <protection hidden="1"/>
    </xf>
    <xf numFmtId="0" fontId="3" fillId="16" borderId="18" xfId="2" applyFont="1" applyFill="1" applyBorder="1" applyAlignment="1" applyProtection="1">
      <alignment vertical="center"/>
      <protection hidden="1"/>
    </xf>
    <xf numFmtId="0" fontId="3" fillId="16" borderId="21" xfId="2" applyFont="1" applyFill="1" applyBorder="1" applyAlignment="1" applyProtection="1">
      <alignment vertical="center"/>
      <protection hidden="1"/>
    </xf>
    <xf numFmtId="0" fontId="3" fillId="16" borderId="29" xfId="2" applyFont="1" applyFill="1" applyBorder="1" applyAlignment="1" applyProtection="1">
      <alignment vertical="center"/>
      <protection hidden="1"/>
    </xf>
    <xf numFmtId="0" fontId="3" fillId="16" borderId="32" xfId="2" applyFont="1" applyFill="1" applyBorder="1" applyAlignment="1" applyProtection="1">
      <alignment vertical="center"/>
      <protection hidden="1"/>
    </xf>
    <xf numFmtId="1" fontId="3" fillId="3" borderId="1" xfId="2" applyNumberFormat="1" applyFont="1" applyFill="1" applyBorder="1" applyAlignment="1" applyProtection="1">
      <alignment horizontal="center"/>
      <protection hidden="1"/>
    </xf>
    <xf numFmtId="1" fontId="3" fillId="3" borderId="3" xfId="2" applyNumberFormat="1" applyFont="1" applyFill="1" applyBorder="1" applyAlignment="1" applyProtection="1">
      <alignment horizontal="center"/>
      <protection hidden="1"/>
    </xf>
    <xf numFmtId="1" fontId="3" fillId="2" borderId="1" xfId="2" applyNumberFormat="1" applyFont="1" applyFill="1" applyBorder="1" applyAlignment="1" applyProtection="1">
      <alignment horizontal="center"/>
      <protection hidden="1"/>
    </xf>
    <xf numFmtId="1" fontId="3" fillId="2" borderId="2" xfId="2" applyNumberFormat="1" applyFont="1" applyFill="1" applyBorder="1" applyAlignment="1" applyProtection="1">
      <alignment horizontal="center"/>
      <protection hidden="1"/>
    </xf>
    <xf numFmtId="1" fontId="3" fillId="2" borderId="3" xfId="2" applyNumberFormat="1" applyFont="1" applyFill="1" applyBorder="1" applyAlignment="1" applyProtection="1">
      <alignment horizontal="center"/>
      <protection hidden="1"/>
    </xf>
    <xf numFmtId="1" fontId="3" fillId="3" borderId="2" xfId="2" applyNumberFormat="1" applyFont="1" applyFill="1" applyBorder="1" applyAlignment="1" applyProtection="1">
      <alignment horizontal="center"/>
      <protection hidden="1"/>
    </xf>
    <xf numFmtId="0" fontId="3" fillId="16" borderId="60" xfId="2" applyFont="1" applyFill="1" applyBorder="1" applyAlignment="1" applyProtection="1">
      <alignment vertical="center"/>
      <protection hidden="1"/>
    </xf>
    <xf numFmtId="0" fontId="3" fillId="16" borderId="61" xfId="2" applyFont="1" applyFill="1" applyBorder="1" applyAlignment="1" applyProtection="1">
      <alignment vertical="center"/>
      <protection hidden="1"/>
    </xf>
    <xf numFmtId="0" fontId="3" fillId="3" borderId="1" xfId="2" applyFont="1" applyFill="1" applyBorder="1" applyAlignment="1" applyProtection="1">
      <protection hidden="1"/>
    </xf>
    <xf numFmtId="0" fontId="3" fillId="3" borderId="2" xfId="2" applyFont="1" applyFill="1" applyBorder="1" applyAlignment="1" applyProtection="1">
      <protection hidden="1"/>
    </xf>
    <xf numFmtId="0" fontId="3" fillId="3" borderId="3" xfId="2" applyFont="1" applyFill="1" applyBorder="1" applyAlignment="1" applyProtection="1">
      <protection hidden="1"/>
    </xf>
    <xf numFmtId="0" fontId="3" fillId="2" borderId="1" xfId="2" applyFont="1" applyFill="1" applyBorder="1" applyAlignment="1" applyProtection="1">
      <alignment horizontal="center"/>
      <protection hidden="1"/>
    </xf>
    <xf numFmtId="0" fontId="3" fillId="2" borderId="3" xfId="2" applyFont="1" applyFill="1" applyBorder="1" applyAlignment="1" applyProtection="1">
      <alignment horizontal="center"/>
      <protection hidden="1"/>
    </xf>
    <xf numFmtId="168" fontId="3" fillId="2" borderId="1" xfId="2" applyNumberFormat="1" applyFont="1" applyFill="1" applyBorder="1" applyAlignment="1" applyProtection="1">
      <alignment horizontal="center"/>
      <protection hidden="1"/>
    </xf>
    <xf numFmtId="168" fontId="3" fillId="2" borderId="3" xfId="2" applyNumberFormat="1" applyFont="1" applyFill="1" applyBorder="1" applyAlignment="1" applyProtection="1">
      <alignment horizontal="center"/>
      <protection hidden="1"/>
    </xf>
    <xf numFmtId="0" fontId="11" fillId="0" borderId="20" xfId="0" applyFont="1" applyBorder="1" applyAlignment="1">
      <alignment horizontal="center"/>
    </xf>
    <xf numFmtId="0" fontId="11" fillId="0" borderId="23" xfId="0" applyFont="1" applyBorder="1" applyAlignment="1">
      <alignment horizontal="center"/>
    </xf>
    <xf numFmtId="0" fontId="11" fillId="0" borderId="25" xfId="0" applyFont="1" applyBorder="1" applyAlignment="1">
      <alignment horizontal="center"/>
    </xf>
    <xf numFmtId="0" fontId="38" fillId="0" borderId="0" xfId="2" applyFont="1" applyAlignment="1">
      <alignment vertical="center" textRotation="180"/>
    </xf>
    <xf numFmtId="0" fontId="7" fillId="0" borderId="0" xfId="2" applyAlignment="1">
      <alignment vertical="center"/>
    </xf>
    <xf numFmtId="0" fontId="7" fillId="22" borderId="0" xfId="2" applyFill="1" applyBorder="1" applyAlignment="1">
      <alignment vertical="center" wrapText="1"/>
    </xf>
    <xf numFmtId="0" fontId="7" fillId="0" borderId="0" xfId="2" applyAlignment="1">
      <alignment vertical="center" wrapText="1"/>
    </xf>
    <xf numFmtId="0" fontId="7" fillId="0" borderId="44" xfId="2" applyBorder="1" applyAlignment="1">
      <alignment vertical="center" wrapText="1"/>
    </xf>
    <xf numFmtId="0" fontId="38" fillId="0" borderId="0" xfId="2" applyFont="1" applyAlignment="1">
      <alignment horizontal="left" vertical="center" textRotation="180"/>
    </xf>
    <xf numFmtId="0" fontId="38" fillId="0" borderId="0" xfId="2" applyFont="1" applyAlignment="1">
      <alignment horizontal="left" vertical="center"/>
    </xf>
    <xf numFmtId="0" fontId="7" fillId="0" borderId="0" xfId="2" applyAlignment="1">
      <alignment horizontal="left" vertical="center"/>
    </xf>
    <xf numFmtId="0" fontId="7" fillId="22" borderId="4" xfId="2" applyFill="1" applyBorder="1" applyAlignment="1">
      <alignment horizontal="center" vertical="center" wrapText="1"/>
    </xf>
    <xf numFmtId="0" fontId="7" fillId="0" borderId="42" xfId="2" applyBorder="1" applyAlignment="1">
      <alignment vertical="center"/>
    </xf>
    <xf numFmtId="0" fontId="7" fillId="0" borderId="16" xfId="2" applyBorder="1" applyAlignment="1">
      <alignment vertical="center"/>
    </xf>
    <xf numFmtId="0" fontId="7" fillId="22" borderId="0" xfId="2" applyFont="1" applyFill="1" applyBorder="1" applyAlignment="1">
      <alignment vertical="center" wrapText="1" shrinkToFit="1"/>
    </xf>
    <xf numFmtId="0" fontId="36" fillId="23" borderId="1" xfId="2" applyFont="1" applyFill="1" applyBorder="1" applyAlignment="1">
      <alignment horizontal="center" vertical="center"/>
    </xf>
    <xf numFmtId="0" fontId="7" fillId="0" borderId="2" xfId="2" applyBorder="1" applyAlignment="1">
      <alignment horizontal="center"/>
    </xf>
    <xf numFmtId="0" fontId="7" fillId="0" borderId="3" xfId="2" applyBorder="1" applyAlignment="1">
      <alignment horizontal="center"/>
    </xf>
    <xf numFmtId="0" fontId="35" fillId="23" borderId="1" xfId="2" applyFont="1" applyFill="1" applyBorder="1" applyAlignment="1">
      <alignment vertical="center"/>
    </xf>
    <xf numFmtId="0" fontId="7" fillId="0" borderId="2" xfId="2" applyBorder="1" applyAlignment="1"/>
    <xf numFmtId="0" fontId="7" fillId="0" borderId="3" xfId="2" applyBorder="1" applyAlignment="1"/>
    <xf numFmtId="0" fontId="35" fillId="23" borderId="1" xfId="2" applyFont="1" applyFill="1" applyBorder="1" applyAlignment="1">
      <alignment horizontal="left" vertical="center"/>
    </xf>
    <xf numFmtId="14" fontId="35" fillId="23" borderId="1" xfId="2" applyNumberFormat="1" applyFont="1" applyFill="1" applyBorder="1" applyAlignment="1">
      <alignment horizontal="left" vertical="center"/>
    </xf>
  </cellXfs>
  <cellStyles count="3">
    <cellStyle name="Normal" xfId="0" builtinId="0"/>
    <cellStyle name="Normal 2" xfId="2"/>
    <cellStyle name="Percent" xfId="1" builtinId="5"/>
  </cellStyles>
  <dxfs count="11">
    <dxf>
      <font>
        <color theme="0"/>
      </font>
    </dxf>
    <dxf>
      <font>
        <color theme="0"/>
      </font>
    </dxf>
    <dxf>
      <font>
        <color theme="0"/>
      </font>
    </dxf>
    <dxf>
      <font>
        <color rgb="FFCCFFCC"/>
      </font>
    </dxf>
    <dxf>
      <font>
        <color theme="0"/>
      </font>
    </dxf>
    <dxf>
      <font>
        <color rgb="FFFFFFCC"/>
      </font>
    </dxf>
    <dxf>
      <font>
        <color rgb="FFFFFFCC"/>
      </font>
    </dxf>
    <dxf>
      <font>
        <color rgb="FFFFFF99"/>
      </font>
    </dxf>
    <dxf>
      <font>
        <color rgb="FFCCFFCC"/>
      </font>
    </dxf>
    <dxf>
      <fill>
        <patternFill>
          <fgColor rgb="FFFFFF99"/>
          <bgColor rgb="FFFFFF66"/>
        </patternFill>
      </fill>
    </dxf>
    <dxf>
      <font>
        <condense val="0"/>
        <extend val="0"/>
        <color auto="1"/>
      </font>
      <fill>
        <patternFill>
          <bgColor rgb="FFFFFF66"/>
        </patternFill>
      </fill>
    </dxf>
  </dxfs>
  <tableStyles count="0" defaultTableStyle="TableStyleMedium9" defaultPivotStyle="PivotStyleLight16"/>
  <colors>
    <mruColors>
      <color rgb="FFCCFFFF"/>
      <color rgb="FFCCFFCC"/>
      <color rgb="FFFFFFCC"/>
      <color rgb="FFCCCCFF"/>
      <color rgb="FF00FFFF"/>
      <color rgb="FF33CCCC"/>
      <color rgb="FF00FF00"/>
      <color rgb="FF82E6D5"/>
      <color rgb="FFFFFF00"/>
      <color rgb="FFFFFF66"/>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sheetPr codeName="Sheet4">
    <pageSetUpPr fitToPage="1"/>
  </sheetPr>
  <dimension ref="A1:AB96"/>
  <sheetViews>
    <sheetView showGridLines="0" tabSelected="1" zoomScale="75" zoomScaleNormal="75" workbookViewId="0"/>
  </sheetViews>
  <sheetFormatPr defaultRowHeight="12.75"/>
  <cols>
    <col min="1" max="1" width="3.42578125" style="590" customWidth="1"/>
    <col min="2" max="11" width="9.140625" style="590"/>
    <col min="12" max="12" width="30.42578125" style="590" customWidth="1"/>
    <col min="13" max="25" width="9.140625" style="590"/>
    <col min="26" max="26" width="20.28515625" style="590" customWidth="1"/>
    <col min="27" max="27" width="29.140625" style="590" customWidth="1"/>
    <col min="28" max="28" width="16.42578125" style="590" customWidth="1"/>
    <col min="29" max="254" width="9.140625" style="590"/>
    <col min="255" max="255" width="3.42578125" style="590" customWidth="1"/>
    <col min="256" max="265" width="9.140625" style="590"/>
    <col min="266" max="266" width="30.42578125" style="590" customWidth="1"/>
    <col min="267" max="510" width="9.140625" style="590"/>
    <col min="511" max="511" width="3.42578125" style="590" customWidth="1"/>
    <col min="512" max="521" width="9.140625" style="590"/>
    <col min="522" max="522" width="30.42578125" style="590" customWidth="1"/>
    <col min="523" max="766" width="9.140625" style="590"/>
    <col min="767" max="767" width="3.42578125" style="590" customWidth="1"/>
    <col min="768" max="777" width="9.140625" style="590"/>
    <col min="778" max="778" width="30.42578125" style="590" customWidth="1"/>
    <col min="779" max="1022" width="9.140625" style="590"/>
    <col min="1023" max="1023" width="3.42578125" style="590" customWidth="1"/>
    <col min="1024" max="1033" width="9.140625" style="590"/>
    <col min="1034" max="1034" width="30.42578125" style="590" customWidth="1"/>
    <col min="1035" max="1278" width="9.140625" style="590"/>
    <col min="1279" max="1279" width="3.42578125" style="590" customWidth="1"/>
    <col min="1280" max="1289" width="9.140625" style="590"/>
    <col min="1290" max="1290" width="30.42578125" style="590" customWidth="1"/>
    <col min="1291" max="1534" width="9.140625" style="590"/>
    <col min="1535" max="1535" width="3.42578125" style="590" customWidth="1"/>
    <col min="1536" max="1545" width="9.140625" style="590"/>
    <col min="1546" max="1546" width="30.42578125" style="590" customWidth="1"/>
    <col min="1547" max="1790" width="9.140625" style="590"/>
    <col min="1791" max="1791" width="3.42578125" style="590" customWidth="1"/>
    <col min="1792" max="1801" width="9.140625" style="590"/>
    <col min="1802" max="1802" width="30.42578125" style="590" customWidth="1"/>
    <col min="1803" max="2046" width="9.140625" style="590"/>
    <col min="2047" max="2047" width="3.42578125" style="590" customWidth="1"/>
    <col min="2048" max="2057" width="9.140625" style="590"/>
    <col min="2058" max="2058" width="30.42578125" style="590" customWidth="1"/>
    <col min="2059" max="2302" width="9.140625" style="590"/>
    <col min="2303" max="2303" width="3.42578125" style="590" customWidth="1"/>
    <col min="2304" max="2313" width="9.140625" style="590"/>
    <col min="2314" max="2314" width="30.42578125" style="590" customWidth="1"/>
    <col min="2315" max="2558" width="9.140625" style="590"/>
    <col min="2559" max="2559" width="3.42578125" style="590" customWidth="1"/>
    <col min="2560" max="2569" width="9.140625" style="590"/>
    <col min="2570" max="2570" width="30.42578125" style="590" customWidth="1"/>
    <col min="2571" max="2814" width="9.140625" style="590"/>
    <col min="2815" max="2815" width="3.42578125" style="590" customWidth="1"/>
    <col min="2816" max="2825" width="9.140625" style="590"/>
    <col min="2826" max="2826" width="30.42578125" style="590" customWidth="1"/>
    <col min="2827" max="3070" width="9.140625" style="590"/>
    <col min="3071" max="3071" width="3.42578125" style="590" customWidth="1"/>
    <col min="3072" max="3081" width="9.140625" style="590"/>
    <col min="3082" max="3082" width="30.42578125" style="590" customWidth="1"/>
    <col min="3083" max="3326" width="9.140625" style="590"/>
    <col min="3327" max="3327" width="3.42578125" style="590" customWidth="1"/>
    <col min="3328" max="3337" width="9.140625" style="590"/>
    <col min="3338" max="3338" width="30.42578125" style="590" customWidth="1"/>
    <col min="3339" max="3582" width="9.140625" style="590"/>
    <col min="3583" max="3583" width="3.42578125" style="590" customWidth="1"/>
    <col min="3584" max="3593" width="9.140625" style="590"/>
    <col min="3594" max="3594" width="30.42578125" style="590" customWidth="1"/>
    <col min="3595" max="3838" width="9.140625" style="590"/>
    <col min="3839" max="3839" width="3.42578125" style="590" customWidth="1"/>
    <col min="3840" max="3849" width="9.140625" style="590"/>
    <col min="3850" max="3850" width="30.42578125" style="590" customWidth="1"/>
    <col min="3851" max="4094" width="9.140625" style="590"/>
    <col min="4095" max="4095" width="3.42578125" style="590" customWidth="1"/>
    <col min="4096" max="4105" width="9.140625" style="590"/>
    <col min="4106" max="4106" width="30.42578125" style="590" customWidth="1"/>
    <col min="4107" max="4350" width="9.140625" style="590"/>
    <col min="4351" max="4351" width="3.42578125" style="590" customWidth="1"/>
    <col min="4352" max="4361" width="9.140625" style="590"/>
    <col min="4362" max="4362" width="30.42578125" style="590" customWidth="1"/>
    <col min="4363" max="4606" width="9.140625" style="590"/>
    <col min="4607" max="4607" width="3.42578125" style="590" customWidth="1"/>
    <col min="4608" max="4617" width="9.140625" style="590"/>
    <col min="4618" max="4618" width="30.42578125" style="590" customWidth="1"/>
    <col min="4619" max="4862" width="9.140625" style="590"/>
    <col min="4863" max="4863" width="3.42578125" style="590" customWidth="1"/>
    <col min="4864" max="4873" width="9.140625" style="590"/>
    <col min="4874" max="4874" width="30.42578125" style="590" customWidth="1"/>
    <col min="4875" max="5118" width="9.140625" style="590"/>
    <col min="5119" max="5119" width="3.42578125" style="590" customWidth="1"/>
    <col min="5120" max="5129" width="9.140625" style="590"/>
    <col min="5130" max="5130" width="30.42578125" style="590" customWidth="1"/>
    <col min="5131" max="5374" width="9.140625" style="590"/>
    <col min="5375" max="5375" width="3.42578125" style="590" customWidth="1"/>
    <col min="5376" max="5385" width="9.140625" style="590"/>
    <col min="5386" max="5386" width="30.42578125" style="590" customWidth="1"/>
    <col min="5387" max="5630" width="9.140625" style="590"/>
    <col min="5631" max="5631" width="3.42578125" style="590" customWidth="1"/>
    <col min="5632" max="5641" width="9.140625" style="590"/>
    <col min="5642" max="5642" width="30.42578125" style="590" customWidth="1"/>
    <col min="5643" max="5886" width="9.140625" style="590"/>
    <col min="5887" max="5887" width="3.42578125" style="590" customWidth="1"/>
    <col min="5888" max="5897" width="9.140625" style="590"/>
    <col min="5898" max="5898" width="30.42578125" style="590" customWidth="1"/>
    <col min="5899" max="6142" width="9.140625" style="590"/>
    <col min="6143" max="6143" width="3.42578125" style="590" customWidth="1"/>
    <col min="6144" max="6153" width="9.140625" style="590"/>
    <col min="6154" max="6154" width="30.42578125" style="590" customWidth="1"/>
    <col min="6155" max="6398" width="9.140625" style="590"/>
    <col min="6399" max="6399" width="3.42578125" style="590" customWidth="1"/>
    <col min="6400" max="6409" width="9.140625" style="590"/>
    <col min="6410" max="6410" width="30.42578125" style="590" customWidth="1"/>
    <col min="6411" max="6654" width="9.140625" style="590"/>
    <col min="6655" max="6655" width="3.42578125" style="590" customWidth="1"/>
    <col min="6656" max="6665" width="9.140625" style="590"/>
    <col min="6666" max="6666" width="30.42578125" style="590" customWidth="1"/>
    <col min="6667" max="6910" width="9.140625" style="590"/>
    <col min="6911" max="6911" width="3.42578125" style="590" customWidth="1"/>
    <col min="6912" max="6921" width="9.140625" style="590"/>
    <col min="6922" max="6922" width="30.42578125" style="590" customWidth="1"/>
    <col min="6923" max="7166" width="9.140625" style="590"/>
    <col min="7167" max="7167" width="3.42578125" style="590" customWidth="1"/>
    <col min="7168" max="7177" width="9.140625" style="590"/>
    <col min="7178" max="7178" width="30.42578125" style="590" customWidth="1"/>
    <col min="7179" max="7422" width="9.140625" style="590"/>
    <col min="7423" max="7423" width="3.42578125" style="590" customWidth="1"/>
    <col min="7424" max="7433" width="9.140625" style="590"/>
    <col min="7434" max="7434" width="30.42578125" style="590" customWidth="1"/>
    <col min="7435" max="7678" width="9.140625" style="590"/>
    <col min="7679" max="7679" width="3.42578125" style="590" customWidth="1"/>
    <col min="7680" max="7689" width="9.140625" style="590"/>
    <col min="7690" max="7690" width="30.42578125" style="590" customWidth="1"/>
    <col min="7691" max="7934" width="9.140625" style="590"/>
    <col min="7935" max="7935" width="3.42578125" style="590" customWidth="1"/>
    <col min="7936" max="7945" width="9.140625" style="590"/>
    <col min="7946" max="7946" width="30.42578125" style="590" customWidth="1"/>
    <col min="7947" max="8190" width="9.140625" style="590"/>
    <col min="8191" max="8191" width="3.42578125" style="590" customWidth="1"/>
    <col min="8192" max="8201" width="9.140625" style="590"/>
    <col min="8202" max="8202" width="30.42578125" style="590" customWidth="1"/>
    <col min="8203" max="8446" width="9.140625" style="590"/>
    <col min="8447" max="8447" width="3.42578125" style="590" customWidth="1"/>
    <col min="8448" max="8457" width="9.140625" style="590"/>
    <col min="8458" max="8458" width="30.42578125" style="590" customWidth="1"/>
    <col min="8459" max="8702" width="9.140625" style="590"/>
    <col min="8703" max="8703" width="3.42578125" style="590" customWidth="1"/>
    <col min="8704" max="8713" width="9.140625" style="590"/>
    <col min="8714" max="8714" width="30.42578125" style="590" customWidth="1"/>
    <col min="8715" max="8958" width="9.140625" style="590"/>
    <col min="8959" max="8959" width="3.42578125" style="590" customWidth="1"/>
    <col min="8960" max="8969" width="9.140625" style="590"/>
    <col min="8970" max="8970" width="30.42578125" style="590" customWidth="1"/>
    <col min="8971" max="9214" width="9.140625" style="590"/>
    <col min="9215" max="9215" width="3.42578125" style="590" customWidth="1"/>
    <col min="9216" max="9225" width="9.140625" style="590"/>
    <col min="9226" max="9226" width="30.42578125" style="590" customWidth="1"/>
    <col min="9227" max="9470" width="9.140625" style="590"/>
    <col min="9471" max="9471" width="3.42578125" style="590" customWidth="1"/>
    <col min="9472" max="9481" width="9.140625" style="590"/>
    <col min="9482" max="9482" width="30.42578125" style="590" customWidth="1"/>
    <col min="9483" max="9726" width="9.140625" style="590"/>
    <col min="9727" max="9727" width="3.42578125" style="590" customWidth="1"/>
    <col min="9728" max="9737" width="9.140625" style="590"/>
    <col min="9738" max="9738" width="30.42578125" style="590" customWidth="1"/>
    <col min="9739" max="9982" width="9.140625" style="590"/>
    <col min="9983" max="9983" width="3.42578125" style="590" customWidth="1"/>
    <col min="9984" max="9993" width="9.140625" style="590"/>
    <col min="9994" max="9994" width="30.42578125" style="590" customWidth="1"/>
    <col min="9995" max="10238" width="9.140625" style="590"/>
    <col min="10239" max="10239" width="3.42578125" style="590" customWidth="1"/>
    <col min="10240" max="10249" width="9.140625" style="590"/>
    <col min="10250" max="10250" width="30.42578125" style="590" customWidth="1"/>
    <col min="10251" max="10494" width="9.140625" style="590"/>
    <col min="10495" max="10495" width="3.42578125" style="590" customWidth="1"/>
    <col min="10496" max="10505" width="9.140625" style="590"/>
    <col min="10506" max="10506" width="30.42578125" style="590" customWidth="1"/>
    <col min="10507" max="10750" width="9.140625" style="590"/>
    <col min="10751" max="10751" width="3.42578125" style="590" customWidth="1"/>
    <col min="10752" max="10761" width="9.140625" style="590"/>
    <col min="10762" max="10762" width="30.42578125" style="590" customWidth="1"/>
    <col min="10763" max="11006" width="9.140625" style="590"/>
    <col min="11007" max="11007" width="3.42578125" style="590" customWidth="1"/>
    <col min="11008" max="11017" width="9.140625" style="590"/>
    <col min="11018" max="11018" width="30.42578125" style="590" customWidth="1"/>
    <col min="11019" max="11262" width="9.140625" style="590"/>
    <col min="11263" max="11263" width="3.42578125" style="590" customWidth="1"/>
    <col min="11264" max="11273" width="9.140625" style="590"/>
    <col min="11274" max="11274" width="30.42578125" style="590" customWidth="1"/>
    <col min="11275" max="11518" width="9.140625" style="590"/>
    <col min="11519" max="11519" width="3.42578125" style="590" customWidth="1"/>
    <col min="11520" max="11529" width="9.140625" style="590"/>
    <col min="11530" max="11530" width="30.42578125" style="590" customWidth="1"/>
    <col min="11531" max="11774" width="9.140625" style="590"/>
    <col min="11775" max="11775" width="3.42578125" style="590" customWidth="1"/>
    <col min="11776" max="11785" width="9.140625" style="590"/>
    <col min="11786" max="11786" width="30.42578125" style="590" customWidth="1"/>
    <col min="11787" max="12030" width="9.140625" style="590"/>
    <col min="12031" max="12031" width="3.42578125" style="590" customWidth="1"/>
    <col min="12032" max="12041" width="9.140625" style="590"/>
    <col min="12042" max="12042" width="30.42578125" style="590" customWidth="1"/>
    <col min="12043" max="12286" width="9.140625" style="590"/>
    <col min="12287" max="12287" width="3.42578125" style="590" customWidth="1"/>
    <col min="12288" max="12297" width="9.140625" style="590"/>
    <col min="12298" max="12298" width="30.42578125" style="590" customWidth="1"/>
    <col min="12299" max="12542" width="9.140625" style="590"/>
    <col min="12543" max="12543" width="3.42578125" style="590" customWidth="1"/>
    <col min="12544" max="12553" width="9.140625" style="590"/>
    <col min="12554" max="12554" width="30.42578125" style="590" customWidth="1"/>
    <col min="12555" max="12798" width="9.140625" style="590"/>
    <col min="12799" max="12799" width="3.42578125" style="590" customWidth="1"/>
    <col min="12800" max="12809" width="9.140625" style="590"/>
    <col min="12810" max="12810" width="30.42578125" style="590" customWidth="1"/>
    <col min="12811" max="13054" width="9.140625" style="590"/>
    <col min="13055" max="13055" width="3.42578125" style="590" customWidth="1"/>
    <col min="13056" max="13065" width="9.140625" style="590"/>
    <col min="13066" max="13066" width="30.42578125" style="590" customWidth="1"/>
    <col min="13067" max="13310" width="9.140625" style="590"/>
    <col min="13311" max="13311" width="3.42578125" style="590" customWidth="1"/>
    <col min="13312" max="13321" width="9.140625" style="590"/>
    <col min="13322" max="13322" width="30.42578125" style="590" customWidth="1"/>
    <col min="13323" max="13566" width="9.140625" style="590"/>
    <col min="13567" max="13567" width="3.42578125" style="590" customWidth="1"/>
    <col min="13568" max="13577" width="9.140625" style="590"/>
    <col min="13578" max="13578" width="30.42578125" style="590" customWidth="1"/>
    <col min="13579" max="13822" width="9.140625" style="590"/>
    <col min="13823" max="13823" width="3.42578125" style="590" customWidth="1"/>
    <col min="13824" max="13833" width="9.140625" style="590"/>
    <col min="13834" max="13834" width="30.42578125" style="590" customWidth="1"/>
    <col min="13835" max="14078" width="9.140625" style="590"/>
    <col min="14079" max="14079" width="3.42578125" style="590" customWidth="1"/>
    <col min="14080" max="14089" width="9.140625" style="590"/>
    <col min="14090" max="14090" width="30.42578125" style="590" customWidth="1"/>
    <col min="14091" max="14334" width="9.140625" style="590"/>
    <col min="14335" max="14335" width="3.42578125" style="590" customWidth="1"/>
    <col min="14336" max="14345" width="9.140625" style="590"/>
    <col min="14346" max="14346" width="30.42578125" style="590" customWidth="1"/>
    <col min="14347" max="14590" width="9.140625" style="590"/>
    <col min="14591" max="14591" width="3.42578125" style="590" customWidth="1"/>
    <col min="14592" max="14601" width="9.140625" style="590"/>
    <col min="14602" max="14602" width="30.42578125" style="590" customWidth="1"/>
    <col min="14603" max="14846" width="9.140625" style="590"/>
    <col min="14847" max="14847" width="3.42578125" style="590" customWidth="1"/>
    <col min="14848" max="14857" width="9.140625" style="590"/>
    <col min="14858" max="14858" width="30.42578125" style="590" customWidth="1"/>
    <col min="14859" max="15102" width="9.140625" style="590"/>
    <col min="15103" max="15103" width="3.42578125" style="590" customWidth="1"/>
    <col min="15104" max="15113" width="9.140625" style="590"/>
    <col min="15114" max="15114" width="30.42578125" style="590" customWidth="1"/>
    <col min="15115" max="15358" width="9.140625" style="590"/>
    <col min="15359" max="15359" width="3.42578125" style="590" customWidth="1"/>
    <col min="15360" max="15369" width="9.140625" style="590"/>
    <col min="15370" max="15370" width="30.42578125" style="590" customWidth="1"/>
    <col min="15371" max="15614" width="9.140625" style="590"/>
    <col min="15615" max="15615" width="3.42578125" style="590" customWidth="1"/>
    <col min="15616" max="15625" width="9.140625" style="590"/>
    <col min="15626" max="15626" width="30.42578125" style="590" customWidth="1"/>
    <col min="15627" max="15870" width="9.140625" style="590"/>
    <col min="15871" max="15871" width="3.42578125" style="590" customWidth="1"/>
    <col min="15872" max="15881" width="9.140625" style="590"/>
    <col min="15882" max="15882" width="30.42578125" style="590" customWidth="1"/>
    <col min="15883" max="16126" width="9.140625" style="590"/>
    <col min="16127" max="16127" width="3.42578125" style="590" customWidth="1"/>
    <col min="16128" max="16137" width="9.140625" style="590"/>
    <col min="16138" max="16138" width="30.42578125" style="590" customWidth="1"/>
    <col min="16139" max="16384" width="9.140625" style="590"/>
  </cols>
  <sheetData>
    <row r="1" spans="2:28" ht="13.5" thickBot="1"/>
    <row r="2" spans="2:28" ht="15.75">
      <c r="B2" s="591"/>
      <c r="C2" s="592"/>
      <c r="D2" s="592"/>
      <c r="E2" s="592"/>
      <c r="F2" s="592"/>
      <c r="G2" s="592"/>
      <c r="H2" s="592"/>
      <c r="I2" s="592"/>
      <c r="J2" s="592"/>
      <c r="K2" s="592"/>
      <c r="L2" s="593"/>
      <c r="Z2" s="1008" t="s">
        <v>1907</v>
      </c>
      <c r="AA2" s="1008"/>
    </row>
    <row r="3" spans="2:28" ht="35.25">
      <c r="B3" s="594" t="s">
        <v>1081</v>
      </c>
      <c r="C3" s="595"/>
      <c r="D3" s="595"/>
      <c r="E3" s="595"/>
      <c r="F3" s="595"/>
      <c r="G3" s="595"/>
      <c r="H3" s="595"/>
      <c r="I3" s="595"/>
      <c r="J3" s="595"/>
      <c r="K3" s="595"/>
      <c r="L3" s="596"/>
      <c r="N3" s="597"/>
      <c r="Z3" s="1305" t="s">
        <v>1908</v>
      </c>
      <c r="AA3" s="1305" t="s">
        <v>1909</v>
      </c>
      <c r="AB3" s="1305" t="s">
        <v>1914</v>
      </c>
    </row>
    <row r="4" spans="2:28" ht="35.25">
      <c r="B4" s="594" t="s">
        <v>1082</v>
      </c>
      <c r="C4" s="595"/>
      <c r="D4" s="595"/>
      <c r="E4" s="595"/>
      <c r="F4" s="595"/>
      <c r="G4" s="595"/>
      <c r="H4" s="595"/>
      <c r="I4" s="595"/>
      <c r="J4" s="595"/>
      <c r="K4" s="595"/>
      <c r="L4" s="596"/>
      <c r="Z4" s="1326" t="s">
        <v>1910</v>
      </c>
      <c r="AA4" s="1327">
        <v>40133.537453703706</v>
      </c>
      <c r="AB4" s="1327" t="s">
        <v>1915</v>
      </c>
    </row>
    <row r="5" spans="2:28" ht="25.5" customHeight="1">
      <c r="B5" s="598" t="s">
        <v>1083</v>
      </c>
      <c r="C5" s="595"/>
      <c r="D5" s="595"/>
      <c r="E5" s="595"/>
      <c r="F5" s="595"/>
      <c r="G5" s="595"/>
      <c r="H5" s="595"/>
      <c r="I5" s="595"/>
      <c r="J5" s="595"/>
      <c r="K5" s="595"/>
      <c r="L5" s="596"/>
      <c r="Z5" s="1326" t="s">
        <v>1912</v>
      </c>
      <c r="AA5" s="1327">
        <v>40133.539884259262</v>
      </c>
      <c r="AB5" s="1327" t="s">
        <v>1915</v>
      </c>
    </row>
    <row r="6" spans="2:28" ht="22.5" customHeight="1">
      <c r="B6" s="599" t="s">
        <v>1941</v>
      </c>
      <c r="C6" s="595"/>
      <c r="D6" s="595"/>
      <c r="E6" s="595"/>
      <c r="F6" s="595"/>
      <c r="G6" s="595"/>
      <c r="H6" s="595"/>
      <c r="I6" s="595"/>
      <c r="J6" s="595"/>
      <c r="K6" s="595"/>
      <c r="L6" s="596"/>
      <c r="Z6" s="1326" t="s">
        <v>1911</v>
      </c>
      <c r="AA6" s="1327">
        <v>40253.559837962966</v>
      </c>
      <c r="AB6" s="1327" t="s">
        <v>1915</v>
      </c>
    </row>
    <row r="7" spans="2:28" ht="20.25">
      <c r="B7" s="599"/>
      <c r="C7" s="595"/>
      <c r="D7" s="595"/>
      <c r="E7" s="595"/>
      <c r="F7" s="595"/>
      <c r="G7" s="595"/>
      <c r="H7" s="595"/>
      <c r="I7" s="595"/>
      <c r="J7" s="595"/>
      <c r="K7" s="595"/>
      <c r="L7" s="596"/>
      <c r="Z7" s="1326" t="s">
        <v>1913</v>
      </c>
      <c r="AA7" s="1327">
        <v>40268.428101851852</v>
      </c>
      <c r="AB7" s="1327" t="s">
        <v>1915</v>
      </c>
    </row>
    <row r="8" spans="2:28" ht="20.25">
      <c r="B8" s="599" t="s">
        <v>1893</v>
      </c>
      <c r="C8" s="595"/>
      <c r="D8" s="595"/>
      <c r="E8" s="595"/>
      <c r="F8" s="595"/>
      <c r="G8" s="595"/>
      <c r="H8" s="595"/>
      <c r="I8" s="595"/>
      <c r="J8" s="595"/>
      <c r="K8" s="595"/>
      <c r="L8" s="596"/>
      <c r="Z8" s="1326" t="s">
        <v>1942</v>
      </c>
      <c r="AA8" s="1327">
        <v>41190.583969907406</v>
      </c>
      <c r="AB8" s="1326" t="s">
        <v>1943</v>
      </c>
    </row>
    <row r="9" spans="2:28" ht="20.25">
      <c r="B9" s="599" t="s">
        <v>1084</v>
      </c>
      <c r="C9" s="595"/>
      <c r="D9" s="595"/>
      <c r="E9" s="595"/>
      <c r="F9" s="595"/>
      <c r="G9" s="595"/>
      <c r="H9" s="595"/>
      <c r="I9" s="595"/>
      <c r="J9" s="595"/>
      <c r="K9" s="595"/>
      <c r="L9" s="596"/>
      <c r="Z9" s="1328"/>
      <c r="AA9" s="1328"/>
      <c r="AB9" s="1328"/>
    </row>
    <row r="10" spans="2:28" ht="21" thickBot="1">
      <c r="B10" s="600"/>
      <c r="C10" s="601"/>
      <c r="D10" s="601"/>
      <c r="E10" s="601"/>
      <c r="F10" s="601"/>
      <c r="G10" s="601"/>
      <c r="H10" s="601"/>
      <c r="I10" s="601"/>
      <c r="J10" s="601"/>
      <c r="K10" s="601"/>
      <c r="L10" s="602"/>
      <c r="Z10" s="1328"/>
      <c r="AA10" s="1328"/>
      <c r="AB10" s="1328"/>
    </row>
    <row r="11" spans="2:28" ht="13.5" thickBot="1">
      <c r="Z11" s="1328"/>
      <c r="AA11" s="1328"/>
      <c r="AB11" s="1328"/>
    </row>
    <row r="12" spans="2:28" ht="16.5" thickBot="1">
      <c r="B12" s="1374" t="s">
        <v>1487</v>
      </c>
      <c r="C12" s="1375"/>
      <c r="D12" s="1375"/>
      <c r="E12" s="1375"/>
      <c r="F12" s="1375"/>
      <c r="G12" s="1375"/>
      <c r="H12" s="1375"/>
      <c r="I12" s="1375"/>
      <c r="J12" s="1375"/>
      <c r="K12" s="1375"/>
      <c r="L12" s="1376"/>
      <c r="N12" s="76"/>
      <c r="O12" s="76"/>
      <c r="P12" s="76"/>
      <c r="Q12" s="76"/>
      <c r="R12" s="76"/>
      <c r="S12" s="76"/>
      <c r="Z12" s="1328"/>
      <c r="AA12" s="1328"/>
      <c r="AB12" s="1328"/>
    </row>
    <row r="13" spans="2:28" ht="4.5" customHeight="1">
      <c r="B13" s="603"/>
      <c r="C13" s="604"/>
      <c r="D13" s="604"/>
      <c r="E13" s="604"/>
      <c r="F13" s="604"/>
      <c r="G13" s="604"/>
      <c r="H13" s="604"/>
      <c r="I13" s="604"/>
      <c r="J13" s="604"/>
      <c r="K13" s="604"/>
      <c r="L13" s="605"/>
      <c r="N13" s="76"/>
      <c r="O13" s="76"/>
      <c r="P13" s="76"/>
      <c r="Q13" s="76"/>
      <c r="R13" s="76"/>
      <c r="S13" s="76"/>
      <c r="Z13" s="1329"/>
      <c r="AA13" s="1330"/>
      <c r="AB13" s="1330"/>
    </row>
    <row r="14" spans="2:28" ht="15">
      <c r="B14" s="606" t="s">
        <v>1085</v>
      </c>
      <c r="C14" s="607"/>
      <c r="D14" s="607"/>
      <c r="E14" s="607"/>
      <c r="F14" s="607"/>
      <c r="G14" s="607"/>
      <c r="H14" s="607"/>
      <c r="I14" s="607"/>
      <c r="J14" s="607"/>
      <c r="K14" s="607"/>
      <c r="L14" s="608"/>
      <c r="N14" s="76"/>
      <c r="O14" s="76"/>
      <c r="P14" s="76"/>
      <c r="Q14" s="76"/>
      <c r="R14" s="76"/>
      <c r="S14" s="76"/>
    </row>
    <row r="15" spans="2:28" ht="15">
      <c r="B15" s="609" t="s">
        <v>1086</v>
      </c>
      <c r="C15" s="607"/>
      <c r="D15" s="607"/>
      <c r="E15" s="607"/>
      <c r="F15" s="607"/>
      <c r="G15" s="607"/>
      <c r="H15" s="607"/>
      <c r="I15" s="607"/>
      <c r="J15" s="607"/>
      <c r="K15" s="607"/>
      <c r="L15" s="608"/>
      <c r="N15" s="76"/>
      <c r="O15" s="76"/>
      <c r="P15" s="76"/>
      <c r="Q15" s="76"/>
      <c r="R15" s="76"/>
      <c r="S15" s="76"/>
    </row>
    <row r="16" spans="2:28" ht="15">
      <c r="B16" s="609" t="s">
        <v>1461</v>
      </c>
      <c r="C16" s="607"/>
      <c r="D16" s="607"/>
      <c r="E16" s="607"/>
      <c r="F16" s="607"/>
      <c r="G16" s="607"/>
      <c r="H16" s="607"/>
      <c r="I16" s="607"/>
      <c r="J16" s="607"/>
      <c r="K16" s="607"/>
      <c r="L16" s="608"/>
      <c r="N16" s="76"/>
      <c r="O16" s="76"/>
      <c r="P16" s="76"/>
      <c r="Q16" s="76"/>
      <c r="R16" s="76"/>
      <c r="S16" s="76"/>
    </row>
    <row r="17" spans="2:19" ht="15">
      <c r="B17" s="609" t="s">
        <v>1087</v>
      </c>
      <c r="C17" s="607"/>
      <c r="D17" s="607"/>
      <c r="E17" s="607"/>
      <c r="F17" s="607"/>
      <c r="G17" s="607"/>
      <c r="H17" s="607"/>
      <c r="I17" s="607"/>
      <c r="J17" s="607"/>
      <c r="K17" s="607"/>
      <c r="L17" s="608"/>
      <c r="N17" s="76"/>
      <c r="O17" s="76"/>
      <c r="P17" s="76"/>
      <c r="Q17" s="76"/>
      <c r="R17" s="76"/>
      <c r="S17" s="76"/>
    </row>
    <row r="18" spans="2:19" ht="15">
      <c r="B18" s="609" t="s">
        <v>1088</v>
      </c>
      <c r="C18" s="607"/>
      <c r="D18" s="607"/>
      <c r="E18" s="607"/>
      <c r="F18" s="607"/>
      <c r="G18" s="607"/>
      <c r="H18" s="607"/>
      <c r="I18" s="607"/>
      <c r="J18" s="607"/>
      <c r="K18" s="607"/>
      <c r="L18" s="608"/>
      <c r="N18" s="76"/>
      <c r="O18" s="76"/>
      <c r="P18" s="76"/>
      <c r="Q18" s="76"/>
      <c r="R18" s="76"/>
      <c r="S18" s="76"/>
    </row>
    <row r="19" spans="2:19" ht="15">
      <c r="B19" s="609" t="s">
        <v>1089</v>
      </c>
      <c r="C19" s="607"/>
      <c r="D19" s="607"/>
      <c r="E19" s="607"/>
      <c r="F19" s="607"/>
      <c r="G19" s="607"/>
      <c r="H19" s="607"/>
      <c r="I19" s="607"/>
      <c r="J19" s="607"/>
      <c r="K19" s="607"/>
      <c r="L19" s="608"/>
      <c r="N19" s="76"/>
      <c r="O19" s="76"/>
      <c r="P19" s="76"/>
      <c r="Q19" s="76"/>
      <c r="R19" s="76"/>
      <c r="S19" s="76"/>
    </row>
    <row r="20" spans="2:19" ht="15">
      <c r="B20" s="609" t="s">
        <v>1090</v>
      </c>
      <c r="C20" s="607"/>
      <c r="D20" s="607"/>
      <c r="E20" s="607"/>
      <c r="F20" s="607"/>
      <c r="G20" s="607"/>
      <c r="H20" s="607"/>
      <c r="I20" s="607"/>
      <c r="J20" s="607"/>
      <c r="K20" s="607"/>
      <c r="L20" s="608"/>
      <c r="N20" s="76"/>
      <c r="O20" s="76"/>
      <c r="P20" s="76"/>
      <c r="Q20" s="76"/>
      <c r="R20" s="76"/>
      <c r="S20" s="76"/>
    </row>
    <row r="21" spans="2:19" ht="15">
      <c r="B21" s="609" t="s">
        <v>1091</v>
      </c>
      <c r="C21" s="607"/>
      <c r="D21" s="607"/>
      <c r="E21" s="607"/>
      <c r="F21" s="607"/>
      <c r="G21" s="607"/>
      <c r="H21" s="607"/>
      <c r="I21" s="607"/>
      <c r="J21" s="607"/>
      <c r="K21" s="607"/>
      <c r="L21" s="608"/>
      <c r="N21" s="76"/>
      <c r="O21" s="76"/>
      <c r="P21" s="76"/>
      <c r="Q21" s="76"/>
      <c r="R21" s="76"/>
      <c r="S21" s="76"/>
    </row>
    <row r="22" spans="2:19" ht="15">
      <c r="B22" s="609" t="s">
        <v>1092</v>
      </c>
      <c r="C22" s="607"/>
      <c r="D22" s="607"/>
      <c r="E22" s="607"/>
      <c r="F22" s="607"/>
      <c r="G22" s="607"/>
      <c r="H22" s="607"/>
      <c r="I22" s="607"/>
      <c r="J22" s="607"/>
      <c r="K22" s="607"/>
      <c r="L22" s="608"/>
      <c r="N22" s="77"/>
      <c r="O22" s="77"/>
      <c r="P22" s="76"/>
      <c r="Q22" s="76"/>
      <c r="R22" s="76"/>
      <c r="S22" s="76"/>
    </row>
    <row r="23" spans="2:19" ht="15">
      <c r="B23" s="609" t="s">
        <v>1093</v>
      </c>
      <c r="C23" s="607"/>
      <c r="D23" s="607"/>
      <c r="E23" s="607"/>
      <c r="F23" s="607"/>
      <c r="G23" s="607"/>
      <c r="H23" s="607"/>
      <c r="I23" s="607"/>
      <c r="J23" s="607"/>
      <c r="K23" s="607"/>
      <c r="L23" s="608"/>
      <c r="N23" s="77"/>
      <c r="O23" s="77"/>
      <c r="P23" s="76"/>
      <c r="Q23" s="76"/>
      <c r="R23" s="76"/>
      <c r="S23" s="76"/>
    </row>
    <row r="24" spans="2:19" ht="15">
      <c r="B24" s="609" t="s">
        <v>1462</v>
      </c>
      <c r="C24" s="607"/>
      <c r="D24" s="607"/>
      <c r="E24" s="607"/>
      <c r="F24" s="607"/>
      <c r="G24" s="607"/>
      <c r="H24" s="607"/>
      <c r="I24" s="607"/>
      <c r="J24" s="607"/>
      <c r="K24" s="607"/>
      <c r="L24" s="608"/>
      <c r="N24" s="77"/>
      <c r="O24" s="77"/>
      <c r="P24" s="76"/>
      <c r="Q24" s="76"/>
      <c r="R24" s="76"/>
      <c r="S24" s="76"/>
    </row>
    <row r="25" spans="2:19" ht="15" customHeight="1">
      <c r="B25" s="609" t="s">
        <v>1463</v>
      </c>
      <c r="C25" s="607"/>
      <c r="D25" s="607"/>
      <c r="E25" s="607"/>
      <c r="F25" s="607"/>
      <c r="G25" s="607"/>
      <c r="H25" s="607"/>
      <c r="I25" s="607"/>
      <c r="J25" s="607"/>
      <c r="K25" s="607"/>
      <c r="L25" s="608"/>
      <c r="N25" s="77"/>
      <c r="O25" s="77"/>
      <c r="P25" s="76"/>
      <c r="Q25" s="76"/>
      <c r="R25" s="76"/>
      <c r="S25" s="76"/>
    </row>
    <row r="26" spans="2:19" ht="15" customHeight="1">
      <c r="B26" s="609" t="s">
        <v>1094</v>
      </c>
      <c r="C26" s="607"/>
      <c r="D26" s="607"/>
      <c r="E26" s="607"/>
      <c r="F26" s="607"/>
      <c r="G26" s="607"/>
      <c r="H26" s="607"/>
      <c r="I26" s="607"/>
      <c r="J26" s="607"/>
      <c r="K26" s="607"/>
      <c r="L26" s="608"/>
      <c r="N26" s="77"/>
      <c r="O26" s="77"/>
      <c r="P26" s="76"/>
      <c r="Q26" s="76"/>
      <c r="R26" s="76"/>
      <c r="S26" s="76"/>
    </row>
    <row r="27" spans="2:19" ht="15" customHeight="1">
      <c r="B27" s="609" t="s">
        <v>1095</v>
      </c>
      <c r="C27" s="607"/>
      <c r="D27" s="607"/>
      <c r="E27" s="607"/>
      <c r="F27" s="607"/>
      <c r="G27" s="607"/>
      <c r="H27" s="607"/>
      <c r="I27" s="607"/>
      <c r="J27" s="607"/>
      <c r="K27" s="607"/>
      <c r="L27" s="608"/>
      <c r="N27" s="77"/>
      <c r="O27" s="77"/>
      <c r="P27" s="76"/>
      <c r="Q27" s="76"/>
      <c r="R27" s="76"/>
      <c r="S27" s="76"/>
    </row>
    <row r="28" spans="2:19" ht="15" customHeight="1">
      <c r="B28" s="609" t="s">
        <v>1096</v>
      </c>
      <c r="C28" s="607"/>
      <c r="D28" s="607"/>
      <c r="E28" s="607"/>
      <c r="F28" s="607"/>
      <c r="G28" s="607"/>
      <c r="H28" s="607"/>
      <c r="I28" s="607"/>
      <c r="J28" s="607"/>
      <c r="K28" s="607"/>
      <c r="L28" s="608"/>
      <c r="N28" s="77"/>
      <c r="O28" s="77"/>
      <c r="P28" s="76"/>
      <c r="Q28" s="76"/>
      <c r="R28" s="76"/>
      <c r="S28" s="76"/>
    </row>
    <row r="29" spans="2:19" ht="15" customHeight="1">
      <c r="B29" s="609" t="s">
        <v>1097</v>
      </c>
      <c r="C29" s="607"/>
      <c r="D29" s="607"/>
      <c r="E29" s="607"/>
      <c r="F29" s="607"/>
      <c r="G29" s="607"/>
      <c r="H29" s="607"/>
      <c r="I29" s="607"/>
      <c r="J29" s="607"/>
      <c r="K29" s="607"/>
      <c r="L29" s="608"/>
      <c r="N29" s="77"/>
      <c r="O29" s="77"/>
      <c r="P29" s="76"/>
      <c r="Q29" s="76"/>
      <c r="R29" s="76"/>
      <c r="S29" s="76"/>
    </row>
    <row r="30" spans="2:19" ht="15" customHeight="1">
      <c r="B30" s="609" t="s">
        <v>1098</v>
      </c>
      <c r="C30" s="607"/>
      <c r="D30" s="607"/>
      <c r="E30" s="607"/>
      <c r="F30" s="607"/>
      <c r="G30" s="607"/>
      <c r="H30" s="607"/>
      <c r="I30" s="607"/>
      <c r="J30" s="607"/>
      <c r="K30" s="607"/>
      <c r="L30" s="608"/>
      <c r="N30" s="77"/>
      <c r="O30" s="77"/>
      <c r="P30" s="76"/>
      <c r="Q30" s="76"/>
      <c r="R30" s="76"/>
      <c r="S30" s="76"/>
    </row>
    <row r="31" spans="2:19" ht="15" customHeight="1">
      <c r="B31" s="609" t="s">
        <v>1099</v>
      </c>
      <c r="C31" s="607"/>
      <c r="D31" s="607"/>
      <c r="E31" s="607"/>
      <c r="F31" s="607"/>
      <c r="G31" s="607"/>
      <c r="H31" s="607"/>
      <c r="I31" s="607"/>
      <c r="J31" s="607"/>
      <c r="K31" s="607"/>
      <c r="L31" s="608"/>
      <c r="N31" s="77"/>
      <c r="O31" s="77"/>
      <c r="P31" s="76"/>
      <c r="Q31" s="76"/>
      <c r="R31" s="76"/>
      <c r="S31" s="76"/>
    </row>
    <row r="32" spans="2:19" ht="15" customHeight="1">
      <c r="B32" s="609" t="s">
        <v>1100</v>
      </c>
      <c r="C32" s="607"/>
      <c r="D32" s="607"/>
      <c r="E32" s="607"/>
      <c r="F32" s="607"/>
      <c r="G32" s="607"/>
      <c r="H32" s="607"/>
      <c r="I32" s="607"/>
      <c r="J32" s="607"/>
      <c r="K32" s="607"/>
      <c r="L32" s="608"/>
      <c r="N32" s="77"/>
      <c r="O32" s="77"/>
      <c r="P32" s="76"/>
      <c r="Q32" s="76"/>
      <c r="R32" s="76"/>
      <c r="S32" s="76"/>
    </row>
    <row r="33" spans="2:19" ht="15" customHeight="1">
      <c r="B33" s="609" t="s">
        <v>1101</v>
      </c>
      <c r="C33" s="607"/>
      <c r="D33" s="607"/>
      <c r="E33" s="607"/>
      <c r="F33" s="607"/>
      <c r="G33" s="607"/>
      <c r="H33" s="607"/>
      <c r="I33" s="607"/>
      <c r="J33" s="607"/>
      <c r="K33" s="607"/>
      <c r="L33" s="608"/>
      <c r="N33" s="77"/>
      <c r="O33" s="77"/>
      <c r="P33" s="76"/>
      <c r="Q33" s="76"/>
      <c r="R33" s="76"/>
      <c r="S33" s="76"/>
    </row>
    <row r="34" spans="2:19" ht="15" customHeight="1">
      <c r="B34" s="609" t="s">
        <v>1102</v>
      </c>
      <c r="C34" s="607"/>
      <c r="D34" s="607"/>
      <c r="E34" s="607"/>
      <c r="F34" s="607"/>
      <c r="G34" s="607"/>
      <c r="H34" s="607"/>
      <c r="I34" s="607"/>
      <c r="J34" s="607"/>
      <c r="K34" s="607"/>
      <c r="L34" s="608"/>
      <c r="N34" s="77"/>
      <c r="O34" s="77"/>
      <c r="P34" s="76"/>
      <c r="Q34" s="76"/>
      <c r="R34" s="76"/>
      <c r="S34" s="76"/>
    </row>
    <row r="35" spans="2:19" ht="15" customHeight="1">
      <c r="B35" s="609" t="s">
        <v>1103</v>
      </c>
      <c r="C35" s="607"/>
      <c r="D35" s="607"/>
      <c r="E35" s="607"/>
      <c r="F35" s="607"/>
      <c r="G35" s="607"/>
      <c r="H35" s="607"/>
      <c r="I35" s="607"/>
      <c r="J35" s="607"/>
      <c r="K35" s="607"/>
      <c r="L35" s="608"/>
      <c r="N35" s="77"/>
      <c r="O35" s="77"/>
      <c r="P35" s="76"/>
      <c r="Q35" s="76"/>
      <c r="R35" s="76"/>
      <c r="S35" s="76"/>
    </row>
    <row r="36" spans="2:19" ht="15" customHeight="1">
      <c r="B36" s="609" t="s">
        <v>1104</v>
      </c>
      <c r="C36" s="607"/>
      <c r="D36" s="607"/>
      <c r="E36" s="607"/>
      <c r="F36" s="607"/>
      <c r="G36" s="607"/>
      <c r="H36" s="607"/>
      <c r="I36" s="607"/>
      <c r="J36" s="607"/>
      <c r="K36" s="607"/>
      <c r="L36" s="608"/>
      <c r="N36" s="77"/>
      <c r="O36" s="77"/>
      <c r="P36" s="76"/>
      <c r="Q36" s="76"/>
      <c r="R36" s="76"/>
      <c r="S36" s="76"/>
    </row>
    <row r="37" spans="2:19" ht="15" customHeight="1">
      <c r="B37" s="609" t="s">
        <v>1105</v>
      </c>
      <c r="C37" s="607"/>
      <c r="D37" s="607"/>
      <c r="E37" s="607"/>
      <c r="F37" s="607"/>
      <c r="G37" s="607"/>
      <c r="H37" s="607"/>
      <c r="I37" s="607"/>
      <c r="J37" s="607"/>
      <c r="K37" s="607"/>
      <c r="L37" s="608"/>
      <c r="N37" s="77"/>
      <c r="O37" s="77"/>
      <c r="P37" s="76"/>
      <c r="Q37" s="76"/>
      <c r="R37" s="76"/>
      <c r="S37" s="76"/>
    </row>
    <row r="38" spans="2:19" ht="15" customHeight="1">
      <c r="B38" s="609" t="s">
        <v>1106</v>
      </c>
      <c r="C38" s="607"/>
      <c r="D38" s="607"/>
      <c r="E38" s="607"/>
      <c r="F38" s="607"/>
      <c r="G38" s="607"/>
      <c r="H38" s="607"/>
      <c r="I38" s="607"/>
      <c r="J38" s="607"/>
      <c r="K38" s="607"/>
      <c r="L38" s="608"/>
      <c r="N38" s="77"/>
      <c r="O38" s="77"/>
      <c r="P38" s="76"/>
      <c r="Q38" s="76"/>
      <c r="R38" s="76"/>
      <c r="S38" s="76"/>
    </row>
    <row r="39" spans="2:19" ht="15" customHeight="1">
      <c r="B39" s="609" t="s">
        <v>1107</v>
      </c>
      <c r="C39" s="607"/>
      <c r="D39" s="607"/>
      <c r="E39" s="607"/>
      <c r="F39" s="607"/>
      <c r="G39" s="607"/>
      <c r="H39" s="607"/>
      <c r="I39" s="607"/>
      <c r="J39" s="607"/>
      <c r="K39" s="607"/>
      <c r="L39" s="608"/>
      <c r="N39" s="77"/>
      <c r="O39" s="77"/>
      <c r="P39" s="76"/>
      <c r="Q39" s="76"/>
      <c r="R39" s="76"/>
      <c r="S39" s="76"/>
    </row>
    <row r="40" spans="2:19" ht="15" customHeight="1">
      <c r="B40" s="609" t="s">
        <v>1108</v>
      </c>
      <c r="C40" s="607"/>
      <c r="D40" s="607"/>
      <c r="E40" s="607"/>
      <c r="F40" s="607"/>
      <c r="G40" s="607"/>
      <c r="H40" s="607"/>
      <c r="I40" s="607"/>
      <c r="J40" s="607"/>
      <c r="K40" s="607"/>
      <c r="L40" s="608"/>
      <c r="N40" s="77"/>
      <c r="O40" s="77"/>
      <c r="P40" s="76"/>
      <c r="Q40" s="76"/>
      <c r="R40" s="76"/>
      <c r="S40" s="76"/>
    </row>
    <row r="41" spans="2:19" ht="15" customHeight="1">
      <c r="B41" s="609" t="s">
        <v>1109</v>
      </c>
      <c r="C41" s="607"/>
      <c r="D41" s="607"/>
      <c r="E41" s="607"/>
      <c r="F41" s="607"/>
      <c r="G41" s="607"/>
      <c r="H41" s="607"/>
      <c r="I41" s="607"/>
      <c r="J41" s="607"/>
      <c r="K41" s="607"/>
      <c r="L41" s="608"/>
      <c r="N41" s="77"/>
      <c r="O41" s="77"/>
      <c r="P41" s="76"/>
      <c r="Q41" s="76"/>
      <c r="R41" s="76"/>
      <c r="S41" s="76"/>
    </row>
    <row r="42" spans="2:19" ht="15" customHeight="1">
      <c r="B42" s="609" t="s">
        <v>1464</v>
      </c>
      <c r="C42" s="607"/>
      <c r="D42" s="607"/>
      <c r="E42" s="607"/>
      <c r="F42" s="607"/>
      <c r="G42" s="607"/>
      <c r="H42" s="607"/>
      <c r="I42" s="607"/>
      <c r="J42" s="607"/>
      <c r="K42" s="607"/>
      <c r="L42" s="608"/>
      <c r="N42" s="77"/>
      <c r="O42" s="77"/>
      <c r="P42" s="76"/>
      <c r="Q42" s="76"/>
      <c r="R42" s="76"/>
      <c r="S42" s="76"/>
    </row>
    <row r="43" spans="2:19" ht="15" customHeight="1">
      <c r="B43" s="609" t="s">
        <v>1465</v>
      </c>
      <c r="C43" s="607"/>
      <c r="D43" s="607"/>
      <c r="E43" s="607"/>
      <c r="F43" s="607"/>
      <c r="G43" s="607"/>
      <c r="H43" s="607"/>
      <c r="I43" s="607"/>
      <c r="J43" s="607"/>
      <c r="K43" s="607"/>
      <c r="L43" s="608"/>
      <c r="N43" s="77"/>
      <c r="O43" s="77"/>
      <c r="P43" s="76"/>
      <c r="Q43" s="76"/>
      <c r="R43" s="76"/>
      <c r="S43" s="76"/>
    </row>
    <row r="44" spans="2:19" ht="15" customHeight="1">
      <c r="B44" s="609" t="s">
        <v>1466</v>
      </c>
      <c r="C44" s="607"/>
      <c r="D44" s="607"/>
      <c r="E44" s="607"/>
      <c r="F44" s="607"/>
      <c r="G44" s="607"/>
      <c r="H44" s="607"/>
      <c r="I44" s="607"/>
      <c r="J44" s="607"/>
      <c r="K44" s="607"/>
      <c r="L44" s="608"/>
      <c r="N44" s="77"/>
      <c r="O44" s="77"/>
      <c r="P44" s="76"/>
      <c r="Q44" s="76"/>
      <c r="R44" s="76"/>
      <c r="S44" s="76"/>
    </row>
    <row r="45" spans="2:19" ht="15" customHeight="1">
      <c r="B45" s="609" t="s">
        <v>1467</v>
      </c>
      <c r="C45" s="607"/>
      <c r="D45" s="607"/>
      <c r="E45" s="607"/>
      <c r="F45" s="607"/>
      <c r="G45" s="607"/>
      <c r="H45" s="607"/>
      <c r="I45" s="607"/>
      <c r="J45" s="607"/>
      <c r="K45" s="607"/>
      <c r="L45" s="608"/>
      <c r="N45" s="77"/>
      <c r="O45" s="77"/>
      <c r="P45" s="76"/>
      <c r="Q45" s="76"/>
      <c r="R45" s="76"/>
      <c r="S45" s="76"/>
    </row>
    <row r="46" spans="2:19" ht="15" customHeight="1">
      <c r="B46" s="1368" t="s">
        <v>1468</v>
      </c>
      <c r="C46" s="1369"/>
      <c r="D46" s="1369"/>
      <c r="E46" s="1369"/>
      <c r="F46" s="1369"/>
      <c r="G46" s="1369"/>
      <c r="H46" s="1369"/>
      <c r="I46" s="1369"/>
      <c r="J46" s="1369"/>
      <c r="K46" s="1369"/>
      <c r="L46" s="1370"/>
      <c r="N46" s="77"/>
      <c r="O46" s="77"/>
      <c r="P46" s="76"/>
      <c r="Q46" s="76"/>
      <c r="R46" s="76"/>
      <c r="S46" s="76"/>
    </row>
    <row r="47" spans="2:19" ht="15" customHeight="1">
      <c r="B47" s="1368"/>
      <c r="C47" s="1369"/>
      <c r="D47" s="1369"/>
      <c r="E47" s="1369"/>
      <c r="F47" s="1369"/>
      <c r="G47" s="1369"/>
      <c r="H47" s="1369"/>
      <c r="I47" s="1369"/>
      <c r="J47" s="1369"/>
      <c r="K47" s="1369"/>
      <c r="L47" s="1370"/>
      <c r="N47" s="77"/>
      <c r="O47" s="77"/>
      <c r="P47" s="76"/>
      <c r="Q47" s="76"/>
      <c r="R47" s="76"/>
      <c r="S47" s="76"/>
    </row>
    <row r="48" spans="2:19" ht="9" customHeight="1">
      <c r="B48" s="1331"/>
      <c r="C48" s="1332"/>
      <c r="D48" s="1332"/>
      <c r="E48" s="1332"/>
      <c r="F48" s="1332"/>
      <c r="G48" s="1332"/>
      <c r="H48" s="1332"/>
      <c r="I48" s="1332"/>
      <c r="J48" s="1332"/>
      <c r="K48" s="1332"/>
      <c r="L48" s="1333"/>
      <c r="N48" s="77"/>
      <c r="O48" s="77"/>
      <c r="P48" s="76"/>
      <c r="Q48" s="76"/>
      <c r="R48" s="76"/>
      <c r="S48" s="76"/>
    </row>
    <row r="49" spans="2:19" ht="15" customHeight="1">
      <c r="B49" s="1334" t="s">
        <v>1926</v>
      </c>
      <c r="C49" s="1332"/>
      <c r="D49" s="1332"/>
      <c r="E49" s="1332"/>
      <c r="F49" s="1332"/>
      <c r="G49" s="1332"/>
      <c r="H49" s="1332"/>
      <c r="I49" s="1332"/>
      <c r="J49" s="1332"/>
      <c r="K49" s="1332"/>
      <c r="L49" s="1333"/>
      <c r="N49" s="77"/>
      <c r="O49" s="77"/>
      <c r="P49" s="76"/>
      <c r="Q49" s="76"/>
      <c r="R49" s="76"/>
      <c r="S49" s="76"/>
    </row>
    <row r="50" spans="2:19" ht="15" customHeight="1">
      <c r="B50" s="610" t="s">
        <v>1927</v>
      </c>
      <c r="C50" s="1332"/>
      <c r="D50" s="1332"/>
      <c r="E50" s="1332"/>
      <c r="F50" s="1332"/>
      <c r="G50" s="1332"/>
      <c r="H50" s="1332"/>
      <c r="I50" s="1332"/>
      <c r="J50" s="1332"/>
      <c r="K50" s="1332"/>
      <c r="L50" s="1333"/>
      <c r="N50" s="77"/>
      <c r="O50" s="77"/>
      <c r="P50" s="76"/>
      <c r="Q50" s="76"/>
      <c r="R50" s="76"/>
      <c r="S50" s="76"/>
    </row>
    <row r="51" spans="2:19" ht="15" customHeight="1">
      <c r="B51" s="1368" t="s">
        <v>1929</v>
      </c>
      <c r="C51" s="1369"/>
      <c r="D51" s="1369"/>
      <c r="E51" s="1369"/>
      <c r="F51" s="1369"/>
      <c r="G51" s="1369"/>
      <c r="H51" s="1369"/>
      <c r="I51" s="1369"/>
      <c r="J51" s="1369"/>
      <c r="K51" s="1369"/>
      <c r="L51" s="1370"/>
      <c r="N51" s="77"/>
      <c r="O51" s="77"/>
      <c r="P51" s="76"/>
      <c r="Q51" s="76"/>
      <c r="R51" s="76"/>
      <c r="S51" s="76"/>
    </row>
    <row r="52" spans="2:19" ht="15" customHeight="1">
      <c r="B52" s="1368" t="s">
        <v>1928</v>
      </c>
      <c r="C52" s="1369"/>
      <c r="D52" s="1369"/>
      <c r="E52" s="1369"/>
      <c r="F52" s="1369"/>
      <c r="G52" s="1369"/>
      <c r="H52" s="1369"/>
      <c r="I52" s="1369"/>
      <c r="J52" s="1369"/>
      <c r="K52" s="1369"/>
      <c r="L52" s="1370"/>
      <c r="N52" s="77"/>
      <c r="O52" s="77"/>
      <c r="P52" s="76"/>
      <c r="Q52" s="76"/>
      <c r="R52" s="76"/>
      <c r="S52" s="76"/>
    </row>
    <row r="53" spans="2:19" ht="15" customHeight="1">
      <c r="B53" s="1368" t="s">
        <v>1930</v>
      </c>
      <c r="C53" s="1369"/>
      <c r="D53" s="1369"/>
      <c r="E53" s="1369"/>
      <c r="F53" s="1369"/>
      <c r="G53" s="1369"/>
      <c r="H53" s="1369"/>
      <c r="I53" s="1369"/>
      <c r="J53" s="1369"/>
      <c r="K53" s="1369"/>
      <c r="L53" s="1370"/>
      <c r="N53" s="77"/>
      <c r="O53" s="77"/>
      <c r="P53" s="76"/>
      <c r="Q53" s="76"/>
      <c r="R53" s="76"/>
      <c r="S53" s="76"/>
    </row>
    <row r="54" spans="2:19" ht="9" customHeight="1">
      <c r="B54" s="1331"/>
      <c r="C54" s="1332"/>
      <c r="D54" s="1332"/>
      <c r="E54" s="1332"/>
      <c r="F54" s="1332"/>
      <c r="G54" s="1332"/>
      <c r="H54" s="1332"/>
      <c r="I54" s="1332"/>
      <c r="J54" s="1332"/>
      <c r="K54" s="1332"/>
      <c r="L54" s="1333"/>
      <c r="N54" s="77"/>
      <c r="O54" s="77"/>
      <c r="P54" s="76"/>
      <c r="Q54" s="76"/>
      <c r="R54" s="76"/>
      <c r="S54" s="76"/>
    </row>
    <row r="55" spans="2:19" ht="15" customHeight="1">
      <c r="B55" s="1334" t="s">
        <v>1925</v>
      </c>
      <c r="C55" s="607"/>
      <c r="D55" s="607"/>
      <c r="E55" s="607"/>
      <c r="F55" s="607"/>
      <c r="G55" s="607"/>
      <c r="H55" s="607"/>
      <c r="I55" s="607"/>
      <c r="J55" s="607"/>
      <c r="K55" s="607"/>
      <c r="L55" s="608"/>
      <c r="N55" s="77"/>
      <c r="O55" s="77"/>
      <c r="P55" s="76"/>
      <c r="Q55" s="76"/>
      <c r="R55" s="76"/>
      <c r="S55" s="76"/>
    </row>
    <row r="56" spans="2:19" ht="15" customHeight="1">
      <c r="B56" s="610" t="s">
        <v>1469</v>
      </c>
      <c r="C56" s="607"/>
      <c r="D56" s="607"/>
      <c r="E56" s="607"/>
      <c r="F56" s="607"/>
      <c r="G56" s="607"/>
      <c r="H56" s="607"/>
      <c r="I56" s="607"/>
      <c r="J56" s="607"/>
      <c r="K56" s="607"/>
      <c r="L56" s="608"/>
      <c r="N56" s="76"/>
      <c r="O56" s="76"/>
      <c r="P56" s="76"/>
      <c r="Q56" s="76"/>
      <c r="R56" s="76"/>
      <c r="S56" s="76"/>
    </row>
    <row r="57" spans="2:19" ht="15" customHeight="1">
      <c r="B57" s="610" t="s">
        <v>1470</v>
      </c>
      <c r="C57" s="607"/>
      <c r="D57" s="607"/>
      <c r="E57" s="607"/>
      <c r="F57" s="607"/>
      <c r="G57" s="607"/>
      <c r="H57" s="607"/>
      <c r="I57" s="607"/>
      <c r="J57" s="607"/>
      <c r="K57" s="607"/>
      <c r="L57" s="608"/>
      <c r="N57" s="76"/>
      <c r="O57" s="76"/>
      <c r="P57" s="76"/>
      <c r="Q57" s="76"/>
      <c r="R57" s="76"/>
      <c r="S57" s="76"/>
    </row>
    <row r="58" spans="2:19" ht="15" customHeight="1">
      <c r="B58" s="610" t="s">
        <v>1471</v>
      </c>
      <c r="C58" s="607"/>
      <c r="D58" s="607"/>
      <c r="E58" s="607"/>
      <c r="F58" s="607"/>
      <c r="G58" s="607"/>
      <c r="H58" s="607"/>
      <c r="I58" s="607"/>
      <c r="J58" s="607"/>
      <c r="K58" s="607"/>
      <c r="L58" s="608"/>
      <c r="N58" s="76"/>
      <c r="O58" s="76"/>
      <c r="P58" s="76"/>
      <c r="Q58" s="76"/>
      <c r="R58" s="76"/>
      <c r="S58" s="76"/>
    </row>
    <row r="59" spans="2:19" ht="15" customHeight="1">
      <c r="B59" s="610" t="s">
        <v>1472</v>
      </c>
      <c r="C59" s="607"/>
      <c r="D59" s="607"/>
      <c r="E59" s="607"/>
      <c r="F59" s="607"/>
      <c r="G59" s="607"/>
      <c r="H59" s="607"/>
      <c r="I59" s="607"/>
      <c r="J59" s="607"/>
      <c r="K59" s="607"/>
      <c r="L59" s="608"/>
      <c r="N59" s="76"/>
      <c r="O59" s="76"/>
      <c r="P59" s="76"/>
      <c r="Q59" s="76"/>
      <c r="R59" s="76"/>
      <c r="S59" s="76"/>
    </row>
    <row r="60" spans="2:19" ht="15" customHeight="1">
      <c r="B60" s="609" t="s">
        <v>1110</v>
      </c>
      <c r="C60" s="607"/>
      <c r="D60" s="607"/>
      <c r="E60" s="607"/>
      <c r="F60" s="607"/>
      <c r="G60" s="607"/>
      <c r="H60" s="607"/>
      <c r="I60" s="607"/>
      <c r="J60" s="607"/>
      <c r="K60" s="607"/>
      <c r="L60" s="608"/>
      <c r="N60" s="76"/>
      <c r="O60" s="76"/>
      <c r="P60" s="76"/>
      <c r="Q60" s="76"/>
      <c r="R60" s="76"/>
      <c r="S60" s="76"/>
    </row>
    <row r="61" spans="2:19" ht="15" customHeight="1">
      <c r="B61" s="609" t="s">
        <v>1937</v>
      </c>
      <c r="C61" s="607"/>
      <c r="D61" s="607"/>
      <c r="E61" s="607"/>
      <c r="F61" s="607"/>
      <c r="G61" s="607"/>
      <c r="H61" s="607"/>
      <c r="I61" s="607"/>
      <c r="J61" s="607"/>
      <c r="K61" s="607"/>
      <c r="L61" s="608"/>
      <c r="N61" s="76"/>
      <c r="O61" s="76"/>
      <c r="P61" s="76"/>
      <c r="Q61" s="76"/>
      <c r="R61" s="76"/>
      <c r="S61" s="76"/>
    </row>
    <row r="62" spans="2:19" ht="9" customHeight="1">
      <c r="B62" s="610"/>
      <c r="C62" s="607"/>
      <c r="D62" s="607"/>
      <c r="E62" s="607"/>
      <c r="F62" s="607"/>
      <c r="G62" s="607"/>
      <c r="H62" s="607"/>
      <c r="I62" s="607"/>
      <c r="J62" s="607"/>
      <c r="K62" s="607"/>
      <c r="L62" s="608"/>
      <c r="N62" s="76"/>
      <c r="O62" s="76"/>
      <c r="P62" s="76"/>
      <c r="Q62" s="76"/>
      <c r="R62" s="76"/>
      <c r="S62" s="76"/>
    </row>
    <row r="63" spans="2:19" ht="15" customHeight="1">
      <c r="B63" s="1169" t="s">
        <v>1932</v>
      </c>
      <c r="C63" s="607"/>
      <c r="D63" s="607"/>
      <c r="E63" s="607"/>
      <c r="F63" s="607"/>
      <c r="G63" s="607"/>
      <c r="H63" s="607"/>
      <c r="I63" s="607"/>
      <c r="J63" s="607"/>
      <c r="K63" s="607"/>
      <c r="L63" s="608"/>
      <c r="N63" s="76"/>
      <c r="O63" s="76"/>
      <c r="P63" s="76"/>
      <c r="Q63" s="76"/>
      <c r="R63" s="76"/>
      <c r="S63" s="76"/>
    </row>
    <row r="64" spans="2:19" ht="15" customHeight="1">
      <c r="B64" s="1377" t="s">
        <v>1938</v>
      </c>
      <c r="C64" s="1378"/>
      <c r="D64" s="1378"/>
      <c r="E64" s="1378"/>
      <c r="F64" s="1378"/>
      <c r="G64" s="1378"/>
      <c r="H64" s="1378"/>
      <c r="I64" s="1378"/>
      <c r="J64" s="1378"/>
      <c r="K64" s="1378"/>
      <c r="L64" s="1379"/>
      <c r="N64" s="76"/>
      <c r="O64" s="76"/>
      <c r="P64" s="76"/>
      <c r="Q64" s="76"/>
      <c r="R64" s="76"/>
      <c r="S64" s="76"/>
    </row>
    <row r="65" spans="1:19" ht="15" customHeight="1">
      <c r="B65" s="1377"/>
      <c r="C65" s="1378"/>
      <c r="D65" s="1378"/>
      <c r="E65" s="1378"/>
      <c r="F65" s="1378"/>
      <c r="G65" s="1378"/>
      <c r="H65" s="1378"/>
      <c r="I65" s="1378"/>
      <c r="J65" s="1378"/>
      <c r="K65" s="1378"/>
      <c r="L65" s="1379"/>
      <c r="N65" s="76"/>
      <c r="O65" s="76"/>
      <c r="P65" s="76"/>
      <c r="Q65" s="76"/>
      <c r="R65" s="76"/>
      <c r="S65" s="76"/>
    </row>
    <row r="66" spans="1:19" ht="15" customHeight="1">
      <c r="B66" s="1377"/>
      <c r="C66" s="1378"/>
      <c r="D66" s="1378"/>
      <c r="E66" s="1378"/>
      <c r="F66" s="1378"/>
      <c r="G66" s="1378"/>
      <c r="H66" s="1378"/>
      <c r="I66" s="1378"/>
      <c r="J66" s="1378"/>
      <c r="K66" s="1378"/>
      <c r="L66" s="1379"/>
      <c r="N66" s="76"/>
      <c r="O66" s="76"/>
      <c r="P66" s="76"/>
      <c r="Q66" s="76"/>
      <c r="R66" s="76"/>
      <c r="S66" s="76"/>
    </row>
    <row r="67" spans="1:19" ht="15" customHeight="1">
      <c r="B67" s="1377"/>
      <c r="C67" s="1378"/>
      <c r="D67" s="1378"/>
      <c r="E67" s="1378"/>
      <c r="F67" s="1378"/>
      <c r="G67" s="1378"/>
      <c r="H67" s="1378"/>
      <c r="I67" s="1378"/>
      <c r="J67" s="1378"/>
      <c r="K67" s="1378"/>
      <c r="L67" s="1379"/>
      <c r="N67" s="76"/>
      <c r="O67" s="76"/>
      <c r="P67" s="76"/>
      <c r="Q67" s="76"/>
      <c r="R67" s="76"/>
      <c r="S67" s="76"/>
    </row>
    <row r="68" spans="1:19" ht="15" customHeight="1">
      <c r="B68" s="1377"/>
      <c r="C68" s="1378"/>
      <c r="D68" s="1378"/>
      <c r="E68" s="1378"/>
      <c r="F68" s="1378"/>
      <c r="G68" s="1378"/>
      <c r="H68" s="1378"/>
      <c r="I68" s="1378"/>
      <c r="J68" s="1378"/>
      <c r="K68" s="1378"/>
      <c r="L68" s="1379"/>
      <c r="N68" s="76"/>
      <c r="O68" s="76"/>
      <c r="P68" s="76"/>
      <c r="Q68" s="76"/>
      <c r="R68" s="76"/>
      <c r="S68" s="76"/>
    </row>
    <row r="69" spans="1:19" ht="9.75" customHeight="1">
      <c r="B69" s="610"/>
      <c r="C69" s="607"/>
      <c r="D69" s="607"/>
      <c r="E69" s="607"/>
      <c r="F69" s="607"/>
      <c r="G69" s="607"/>
      <c r="H69" s="607"/>
      <c r="I69" s="607"/>
      <c r="J69" s="607"/>
      <c r="K69" s="607"/>
      <c r="L69" s="608"/>
      <c r="N69" s="76"/>
      <c r="O69" s="76"/>
      <c r="P69" s="76"/>
      <c r="Q69" s="76"/>
      <c r="R69" s="76"/>
      <c r="S69" s="76"/>
    </row>
    <row r="70" spans="1:19" ht="15" customHeight="1">
      <c r="B70" s="1169" t="s">
        <v>1933</v>
      </c>
      <c r="C70" s="607"/>
      <c r="D70" s="607"/>
      <c r="E70" s="607"/>
      <c r="F70" s="607"/>
      <c r="G70" s="607"/>
      <c r="H70" s="607"/>
      <c r="I70" s="607"/>
      <c r="J70" s="607"/>
      <c r="K70" s="607"/>
      <c r="L70" s="608"/>
      <c r="N70" s="76"/>
      <c r="O70" s="76"/>
      <c r="P70" s="76"/>
      <c r="Q70" s="76"/>
      <c r="R70" s="76"/>
      <c r="S70" s="76"/>
    </row>
    <row r="71" spans="1:19" ht="15" customHeight="1">
      <c r="B71" s="1368" t="s">
        <v>1931</v>
      </c>
      <c r="C71" s="1369"/>
      <c r="D71" s="1369"/>
      <c r="E71" s="1369"/>
      <c r="F71" s="1369"/>
      <c r="G71" s="1369"/>
      <c r="H71" s="1369"/>
      <c r="I71" s="1369"/>
      <c r="J71" s="1369"/>
      <c r="K71" s="1369"/>
      <c r="L71" s="1370"/>
      <c r="N71" s="76"/>
      <c r="O71" s="76"/>
      <c r="P71" s="76"/>
      <c r="Q71" s="76"/>
      <c r="R71" s="76"/>
      <c r="S71" s="76"/>
    </row>
    <row r="72" spans="1:19" ht="15" customHeight="1" thickBot="1">
      <c r="B72" s="1371"/>
      <c r="C72" s="1372"/>
      <c r="D72" s="1372"/>
      <c r="E72" s="1372"/>
      <c r="F72" s="1372"/>
      <c r="G72" s="1372"/>
      <c r="H72" s="1372"/>
      <c r="I72" s="1372"/>
      <c r="J72" s="1372"/>
      <c r="K72" s="1372"/>
      <c r="L72" s="1373"/>
      <c r="N72" s="76"/>
      <c r="O72" s="76"/>
      <c r="P72" s="76"/>
      <c r="Q72" s="76"/>
      <c r="R72" s="76"/>
      <c r="S72" s="76"/>
    </row>
    <row r="73" spans="1:19">
      <c r="B73" s="76"/>
      <c r="C73" s="76"/>
      <c r="D73" s="76"/>
      <c r="E73" s="76"/>
      <c r="G73" s="76"/>
      <c r="H73" s="76"/>
      <c r="I73" s="76"/>
      <c r="J73" s="76"/>
      <c r="K73" s="76"/>
      <c r="L73" s="76"/>
      <c r="N73" s="76"/>
      <c r="O73" s="76"/>
      <c r="P73" s="76"/>
      <c r="Q73" s="76"/>
      <c r="R73" s="76"/>
      <c r="S73" s="76"/>
    </row>
    <row r="74" spans="1:19" ht="31.5" customHeight="1">
      <c r="B74" s="76"/>
      <c r="C74" s="76"/>
      <c r="D74" s="76"/>
      <c r="E74" s="76"/>
      <c r="F74" s="1127"/>
      <c r="G74" s="76"/>
      <c r="H74" s="76"/>
      <c r="I74" s="76"/>
      <c r="J74" s="76"/>
      <c r="K74" s="76"/>
      <c r="L74" s="76"/>
      <c r="N74" s="76"/>
      <c r="O74" s="76"/>
      <c r="P74" s="76"/>
      <c r="Q74" s="76"/>
      <c r="R74" s="76"/>
    </row>
    <row r="75" spans="1:19" ht="12.75" customHeight="1">
      <c r="A75" s="76"/>
      <c r="B75" s="76"/>
      <c r="C75" s="76"/>
      <c r="D75" s="76"/>
      <c r="E75" s="76"/>
      <c r="F75" s="76"/>
      <c r="G75" s="76"/>
      <c r="H75" s="76"/>
      <c r="I75" s="76"/>
      <c r="J75" s="76"/>
      <c r="K75" s="76"/>
      <c r="L75" s="76"/>
      <c r="N75" s="76"/>
      <c r="O75" s="76"/>
      <c r="P75" s="76"/>
      <c r="Q75" s="76"/>
      <c r="R75" s="76"/>
    </row>
    <row r="76" spans="1:19" ht="12.75" customHeight="1">
      <c r="A76" s="76"/>
      <c r="B76" s="76"/>
      <c r="C76" s="76"/>
      <c r="D76" s="76"/>
      <c r="E76" s="1138"/>
      <c r="F76" s="76"/>
      <c r="G76" s="76"/>
      <c r="H76" s="76"/>
      <c r="I76" s="76"/>
      <c r="J76" s="76"/>
      <c r="K76" s="76"/>
      <c r="L76" s="76"/>
      <c r="N76" s="76"/>
      <c r="O76" s="76"/>
      <c r="P76" s="76"/>
      <c r="Q76" s="76"/>
      <c r="R76" s="76"/>
    </row>
    <row r="77" spans="1:19" ht="12.75" customHeight="1">
      <c r="A77" s="76"/>
      <c r="B77" s="76"/>
      <c r="C77" s="76"/>
      <c r="D77" s="76"/>
      <c r="E77" s="76"/>
      <c r="F77" s="76"/>
      <c r="G77" s="76"/>
      <c r="H77" s="76"/>
      <c r="I77" s="76"/>
      <c r="J77" s="76"/>
      <c r="K77" s="76"/>
      <c r="L77" s="76"/>
      <c r="N77" s="76"/>
      <c r="O77" s="76"/>
      <c r="P77" s="76"/>
      <c r="Q77" s="76"/>
      <c r="R77" s="76"/>
    </row>
    <row r="78" spans="1:19" ht="12.75" customHeight="1">
      <c r="B78" s="76"/>
      <c r="C78" s="76"/>
      <c r="D78" s="76"/>
      <c r="E78" s="76"/>
      <c r="F78" s="76"/>
      <c r="G78" s="76"/>
      <c r="H78" s="76"/>
      <c r="I78" s="76"/>
      <c r="J78" s="76"/>
      <c r="K78" s="76"/>
      <c r="L78" s="76"/>
      <c r="N78" s="76"/>
      <c r="O78" s="76"/>
      <c r="P78" s="76"/>
      <c r="Q78" s="76"/>
      <c r="R78" s="76"/>
    </row>
    <row r="79" spans="1:19" ht="12.75" customHeight="1">
      <c r="B79" s="76"/>
      <c r="C79" s="76"/>
      <c r="D79" s="76"/>
      <c r="E79" s="76"/>
      <c r="F79" s="76"/>
      <c r="G79" s="76"/>
      <c r="H79" s="76"/>
      <c r="I79" s="76"/>
      <c r="J79" s="76"/>
      <c r="K79" s="76"/>
      <c r="L79" s="76"/>
      <c r="N79" s="76"/>
      <c r="O79" s="76"/>
      <c r="P79" s="76"/>
      <c r="Q79" s="76"/>
      <c r="R79" s="76"/>
    </row>
    <row r="80" spans="1:19" ht="12.75" customHeight="1">
      <c r="B80" s="76"/>
      <c r="C80" s="76"/>
      <c r="D80" s="76"/>
      <c r="E80" s="76"/>
      <c r="F80" s="76"/>
      <c r="G80" s="76"/>
      <c r="H80" s="76"/>
      <c r="I80" s="76"/>
      <c r="J80" s="76"/>
      <c r="K80" s="76"/>
      <c r="L80" s="76"/>
      <c r="N80" s="76"/>
      <c r="O80" s="76"/>
      <c r="P80" s="76"/>
      <c r="Q80" s="76"/>
      <c r="R80" s="76"/>
    </row>
    <row r="81" spans="2:18" ht="12.75" customHeight="1">
      <c r="B81" s="76"/>
      <c r="C81" s="76"/>
      <c r="D81" s="76"/>
      <c r="E81" s="76"/>
      <c r="F81" s="76"/>
      <c r="G81" s="76"/>
      <c r="H81" s="76"/>
      <c r="I81" s="76"/>
      <c r="J81" s="76"/>
      <c r="K81" s="76"/>
      <c r="L81" s="76"/>
      <c r="N81" s="76"/>
      <c r="O81" s="76"/>
      <c r="P81" s="76"/>
      <c r="Q81" s="76"/>
      <c r="R81" s="76"/>
    </row>
    <row r="82" spans="2:18" ht="12.75" customHeight="1">
      <c r="B82" s="76"/>
      <c r="C82" s="76"/>
      <c r="D82" s="76"/>
      <c r="E82" s="76"/>
      <c r="F82" s="76"/>
      <c r="G82" s="76"/>
      <c r="H82" s="76"/>
      <c r="I82" s="76"/>
      <c r="J82" s="76"/>
      <c r="K82" s="76"/>
      <c r="L82" s="76"/>
      <c r="N82" s="76"/>
      <c r="O82" s="76"/>
      <c r="P82" s="76"/>
      <c r="Q82" s="76"/>
      <c r="R82" s="76"/>
    </row>
    <row r="83" spans="2:18" ht="12.75" customHeight="1">
      <c r="B83" s="76"/>
      <c r="C83" s="76"/>
      <c r="D83" s="76"/>
      <c r="E83" s="76"/>
      <c r="F83" s="76"/>
      <c r="G83" s="76"/>
      <c r="H83" s="76"/>
      <c r="I83" s="76"/>
      <c r="J83" s="76"/>
      <c r="K83" s="76"/>
      <c r="L83" s="76"/>
      <c r="N83" s="76"/>
      <c r="O83" s="76"/>
      <c r="P83" s="76"/>
      <c r="Q83" s="76"/>
      <c r="R83" s="76"/>
    </row>
    <row r="84" spans="2:18" ht="12.75" customHeight="1">
      <c r="B84" s="76"/>
      <c r="C84" s="76"/>
      <c r="D84" s="76"/>
      <c r="E84" s="76"/>
      <c r="F84" s="76"/>
      <c r="G84" s="76"/>
      <c r="H84" s="76"/>
      <c r="I84" s="76"/>
      <c r="J84" s="76"/>
      <c r="K84" s="76"/>
      <c r="L84" s="76"/>
      <c r="N84" s="76"/>
      <c r="O84" s="76"/>
      <c r="P84" s="76"/>
      <c r="Q84" s="76"/>
      <c r="R84" s="76"/>
    </row>
    <row r="85" spans="2:18" ht="12.75" customHeight="1">
      <c r="B85" s="76"/>
      <c r="C85" s="76"/>
      <c r="D85" s="76"/>
      <c r="E85" s="76"/>
      <c r="F85" s="76"/>
      <c r="G85" s="76"/>
      <c r="H85" s="76"/>
      <c r="I85" s="76"/>
      <c r="J85" s="76"/>
      <c r="K85" s="76"/>
      <c r="L85" s="76"/>
      <c r="N85" s="76"/>
      <c r="O85" s="76"/>
      <c r="P85" s="76"/>
      <c r="Q85" s="76"/>
      <c r="R85" s="76"/>
    </row>
    <row r="86" spans="2:18" ht="12.75" customHeight="1">
      <c r="B86" s="76"/>
      <c r="C86" s="76"/>
      <c r="D86" s="76"/>
      <c r="E86" s="76"/>
      <c r="F86" s="76"/>
      <c r="G86" s="76"/>
      <c r="H86" s="76"/>
      <c r="I86" s="76"/>
      <c r="J86" s="76"/>
      <c r="K86" s="76"/>
      <c r="L86" s="76"/>
    </row>
    <row r="87" spans="2:18" ht="12.75" customHeight="1">
      <c r="B87" s="76"/>
      <c r="C87" s="76"/>
      <c r="D87" s="76"/>
      <c r="E87" s="76"/>
      <c r="F87" s="76"/>
      <c r="G87" s="76"/>
      <c r="H87" s="76"/>
      <c r="I87" s="76"/>
      <c r="J87" s="76"/>
      <c r="K87" s="76"/>
      <c r="L87" s="76"/>
    </row>
    <row r="88" spans="2:18" ht="12.75" customHeight="1">
      <c r="B88" s="76"/>
      <c r="C88" s="76"/>
      <c r="D88" s="76"/>
      <c r="E88" s="76"/>
      <c r="F88" s="76"/>
      <c r="G88" s="76"/>
      <c r="H88" s="76"/>
      <c r="I88" s="76"/>
      <c r="J88" s="76"/>
      <c r="K88" s="76"/>
      <c r="L88" s="76"/>
    </row>
    <row r="89" spans="2:18" ht="12.75" customHeight="1">
      <c r="B89" s="76"/>
      <c r="C89" s="76"/>
      <c r="D89" s="76"/>
      <c r="E89" s="76"/>
      <c r="F89" s="76"/>
      <c r="G89" s="76"/>
      <c r="H89" s="76"/>
      <c r="I89" s="76"/>
      <c r="J89" s="76"/>
      <c r="K89" s="76"/>
      <c r="L89" s="76"/>
    </row>
    <row r="90" spans="2:18" ht="12.75" customHeight="1">
      <c r="B90" s="76"/>
      <c r="C90" s="76"/>
      <c r="D90" s="76"/>
      <c r="E90" s="76"/>
      <c r="F90" s="76"/>
      <c r="G90" s="76"/>
      <c r="H90" s="76"/>
      <c r="I90" s="76"/>
      <c r="J90" s="76"/>
      <c r="K90" s="76"/>
      <c r="L90" s="76"/>
    </row>
    <row r="91" spans="2:18" ht="12.75" customHeight="1">
      <c r="B91" s="76"/>
      <c r="C91" s="76"/>
      <c r="D91" s="76"/>
      <c r="E91" s="76"/>
      <c r="F91" s="76"/>
      <c r="G91" s="76"/>
      <c r="H91" s="76"/>
      <c r="I91" s="76"/>
      <c r="J91" s="76"/>
      <c r="K91" s="76"/>
      <c r="L91" s="76"/>
    </row>
    <row r="92" spans="2:18" ht="12.75" customHeight="1">
      <c r="B92" s="76"/>
      <c r="C92" s="76"/>
      <c r="D92" s="76"/>
      <c r="E92" s="76"/>
      <c r="F92" s="76"/>
    </row>
    <row r="93" spans="2:18" ht="12.75" customHeight="1">
      <c r="B93" s="76"/>
      <c r="C93" s="76"/>
      <c r="D93" s="76"/>
      <c r="E93" s="76"/>
      <c r="F93" s="76"/>
    </row>
    <row r="94" spans="2:18">
      <c r="B94" s="76"/>
      <c r="C94" s="76"/>
      <c r="D94" s="76"/>
      <c r="E94" s="76"/>
      <c r="F94" s="76"/>
    </row>
    <row r="95" spans="2:18">
      <c r="B95" s="76"/>
      <c r="C95" s="76"/>
      <c r="D95" s="76"/>
      <c r="E95" s="76"/>
      <c r="F95" s="76"/>
    </row>
    <row r="96" spans="2:18">
      <c r="B96" s="76"/>
      <c r="C96" s="76"/>
      <c r="D96" s="76"/>
      <c r="E96" s="76"/>
      <c r="F96" s="76"/>
    </row>
  </sheetData>
  <sheetProtection sheet="1" objects="1" scenarios="1"/>
  <mergeCells count="7">
    <mergeCell ref="B71:L72"/>
    <mergeCell ref="B12:L12"/>
    <mergeCell ref="B46:L47"/>
    <mergeCell ref="B51:L51"/>
    <mergeCell ref="B52:L52"/>
    <mergeCell ref="B53:L53"/>
    <mergeCell ref="B64:L68"/>
  </mergeCells>
  <printOptions horizontalCentered="1"/>
  <pageMargins left="0.5" right="0.5" top="0.75" bottom="1" header="0.5" footer="0.25"/>
  <pageSetup scale="69" orientation="portrait" horizontalDpi="300" verticalDpi="300" r:id="rId1"/>
  <headerFooter alignWithMargins="0">
    <oddFooter>&amp;R&amp;D</oddFooter>
  </headerFooter>
  <legacyDrawing r:id="rId2"/>
</worksheet>
</file>

<file path=xl/worksheets/sheet2.xml><?xml version="1.0" encoding="utf-8"?>
<worksheet xmlns="http://schemas.openxmlformats.org/spreadsheetml/2006/main" xmlns:r="http://schemas.openxmlformats.org/officeDocument/2006/relationships">
  <sheetPr codeName="Sheet16">
    <pageSetUpPr fitToPage="1"/>
  </sheetPr>
  <dimension ref="B1:O53"/>
  <sheetViews>
    <sheetView showGridLines="0" zoomScale="75" zoomScaleNormal="75" workbookViewId="0"/>
  </sheetViews>
  <sheetFormatPr defaultRowHeight="12.75"/>
  <cols>
    <col min="1" max="1" width="3.7109375" style="854" customWidth="1"/>
    <col min="2" max="2" width="4.28515625" style="854" customWidth="1"/>
    <col min="3" max="4" width="8.28515625" style="854" customWidth="1"/>
    <col min="5" max="5" width="4.28515625" style="854" customWidth="1"/>
    <col min="6" max="6" width="4.7109375" style="854" customWidth="1"/>
    <col min="7" max="7" width="4.28515625" style="854" customWidth="1"/>
    <col min="8" max="9" width="8.28515625" style="854" customWidth="1"/>
    <col min="10" max="10" width="4.28515625" style="854" customWidth="1"/>
    <col min="11" max="12" width="8.28515625" style="854" customWidth="1"/>
    <col min="13" max="13" width="4.28515625" style="854" customWidth="1"/>
    <col min="14" max="16384" width="9.140625" style="854"/>
  </cols>
  <sheetData>
    <row r="1" spans="2:15" ht="13.5" thickBot="1"/>
    <row r="2" spans="2:15" ht="17.25" customHeight="1">
      <c r="B2" s="865" t="s">
        <v>1203</v>
      </c>
      <c r="C2" s="866"/>
      <c r="D2" s="866"/>
      <c r="E2" s="866"/>
      <c r="F2" s="866"/>
      <c r="G2" s="866"/>
      <c r="H2" s="866"/>
      <c r="I2" s="866"/>
      <c r="J2" s="866"/>
      <c r="K2" s="866"/>
      <c r="L2" s="866"/>
      <c r="M2" s="867"/>
    </row>
    <row r="3" spans="2:15" ht="17.25" customHeight="1">
      <c r="B3" s="868" t="s">
        <v>1204</v>
      </c>
      <c r="C3" s="869"/>
      <c r="D3" s="869"/>
      <c r="E3" s="869"/>
      <c r="F3" s="869"/>
      <c r="G3" s="869"/>
      <c r="H3" s="869"/>
      <c r="I3" s="869"/>
      <c r="J3" s="869"/>
      <c r="K3" s="870"/>
      <c r="L3" s="870"/>
      <c r="M3" s="871"/>
    </row>
    <row r="4" spans="2:15" ht="17.25" customHeight="1">
      <c r="B4" s="868" t="s">
        <v>1205</v>
      </c>
      <c r="C4" s="869"/>
      <c r="D4" s="869"/>
      <c r="E4" s="869"/>
      <c r="F4" s="869"/>
      <c r="G4" s="869"/>
      <c r="H4" s="869"/>
      <c r="I4" s="869"/>
      <c r="J4" s="869"/>
      <c r="K4" s="870"/>
      <c r="L4" s="870"/>
      <c r="M4" s="871"/>
    </row>
    <row r="5" spans="2:15" ht="17.25" customHeight="1">
      <c r="B5" s="868" t="s">
        <v>1206</v>
      </c>
      <c r="C5" s="869"/>
      <c r="D5" s="869"/>
      <c r="E5" s="869"/>
      <c r="F5" s="869"/>
      <c r="G5" s="869"/>
      <c r="H5" s="869"/>
      <c r="I5" s="869"/>
      <c r="J5" s="869"/>
      <c r="K5" s="870"/>
      <c r="L5" s="870"/>
      <c r="M5" s="871"/>
    </row>
    <row r="6" spans="2:15" ht="17.25" customHeight="1" thickBot="1">
      <c r="B6" s="872" t="s">
        <v>1207</v>
      </c>
      <c r="C6" s="873"/>
      <c r="D6" s="873"/>
      <c r="E6" s="873"/>
      <c r="F6" s="873"/>
      <c r="G6" s="873"/>
      <c r="H6" s="873"/>
      <c r="I6" s="873"/>
      <c r="J6" s="873"/>
      <c r="K6" s="874"/>
      <c r="L6" s="874"/>
      <c r="M6" s="875"/>
    </row>
    <row r="7" spans="2:15" ht="15" customHeight="1">
      <c r="B7" s="1393" t="s">
        <v>1423</v>
      </c>
      <c r="C7" s="1393"/>
      <c r="D7" s="1393"/>
      <c r="E7" s="1393"/>
      <c r="F7" s="1393"/>
      <c r="G7" s="1393"/>
      <c r="H7" s="1393"/>
      <c r="I7" s="1393"/>
      <c r="J7" s="1393"/>
      <c r="K7" s="1393"/>
      <c r="L7" s="1393"/>
      <c r="M7" s="1393"/>
    </row>
    <row r="8" spans="2:15" ht="19.5" customHeight="1" thickBot="1">
      <c r="B8" s="1394"/>
      <c r="C8" s="1394"/>
      <c r="D8" s="1394"/>
      <c r="E8" s="1394"/>
      <c r="F8" s="1394"/>
      <c r="G8" s="1394"/>
      <c r="H8" s="1394"/>
      <c r="I8" s="1394"/>
      <c r="J8" s="1394"/>
      <c r="K8" s="1394"/>
      <c r="L8" s="1394"/>
      <c r="M8" s="1394"/>
    </row>
    <row r="9" spans="2:15" ht="15.75" thickBot="1">
      <c r="B9" s="1387" t="s">
        <v>1201</v>
      </c>
      <c r="C9" s="1388"/>
      <c r="D9" s="1388"/>
      <c r="E9" s="1389"/>
      <c r="G9" s="1396" t="s">
        <v>1202</v>
      </c>
      <c r="H9" s="1397"/>
      <c r="I9" s="1397"/>
      <c r="J9" s="1397"/>
      <c r="K9" s="1397"/>
      <c r="L9" s="1397"/>
      <c r="M9" s="1398"/>
    </row>
    <row r="10" spans="2:15" ht="15" customHeight="1">
      <c r="B10" s="1380" t="s">
        <v>1451</v>
      </c>
      <c r="C10" s="1381"/>
      <c r="D10" s="1381"/>
      <c r="E10" s="1382"/>
      <c r="G10" s="1380" t="s">
        <v>1450</v>
      </c>
      <c r="H10" s="1381"/>
      <c r="I10" s="1381"/>
      <c r="J10" s="1381"/>
      <c r="K10" s="1381"/>
      <c r="L10" s="1381"/>
      <c r="M10" s="1382"/>
      <c r="O10" s="1103"/>
    </row>
    <row r="11" spans="2:15" ht="15" customHeight="1">
      <c r="B11" s="1390"/>
      <c r="C11" s="1391"/>
      <c r="D11" s="1391"/>
      <c r="E11" s="1392"/>
      <c r="G11" s="1390"/>
      <c r="H11" s="1391"/>
      <c r="I11" s="1391"/>
      <c r="J11" s="1391"/>
      <c r="K11" s="1391"/>
      <c r="L11" s="1391"/>
      <c r="M11" s="1392"/>
    </row>
    <row r="12" spans="2:15" ht="15.75" customHeight="1" thickBot="1">
      <c r="B12" s="1383"/>
      <c r="C12" s="1384"/>
      <c r="D12" s="1384"/>
      <c r="E12" s="1385"/>
      <c r="G12" s="1383"/>
      <c r="H12" s="1384"/>
      <c r="I12" s="1384"/>
      <c r="J12" s="1384"/>
      <c r="K12" s="1384"/>
      <c r="L12" s="1384"/>
      <c r="M12" s="1385"/>
    </row>
    <row r="13" spans="2:15">
      <c r="B13" s="856"/>
      <c r="C13" s="857"/>
      <c r="D13" s="857"/>
      <c r="E13" s="858"/>
      <c r="G13" s="856"/>
      <c r="H13" s="857"/>
      <c r="I13" s="857"/>
      <c r="J13" s="857"/>
      <c r="K13" s="857"/>
      <c r="L13" s="857"/>
      <c r="M13" s="858"/>
    </row>
    <row r="14" spans="2:15">
      <c r="B14" s="859"/>
      <c r="C14" s="860"/>
      <c r="D14" s="860"/>
      <c r="E14" s="861"/>
      <c r="G14" s="859"/>
      <c r="H14" s="860"/>
      <c r="I14" s="860"/>
      <c r="J14" s="860"/>
      <c r="K14" s="860"/>
      <c r="L14" s="860"/>
      <c r="M14" s="861"/>
    </row>
    <row r="15" spans="2:15">
      <c r="B15" s="859"/>
      <c r="C15" s="860"/>
      <c r="D15" s="860"/>
      <c r="E15" s="861"/>
      <c r="G15" s="859"/>
      <c r="H15" s="860"/>
      <c r="I15" s="860"/>
      <c r="J15" s="860"/>
      <c r="K15" s="860"/>
      <c r="L15" s="860"/>
      <c r="M15" s="861"/>
    </row>
    <row r="16" spans="2:15">
      <c r="B16" s="859"/>
      <c r="C16" s="860"/>
      <c r="D16" s="860"/>
      <c r="E16" s="861"/>
      <c r="G16" s="859"/>
      <c r="H16" s="860"/>
      <c r="I16" s="860"/>
      <c r="J16" s="860"/>
      <c r="K16" s="860"/>
      <c r="L16" s="860"/>
      <c r="M16" s="861"/>
    </row>
    <row r="17" spans="2:13">
      <c r="B17" s="859"/>
      <c r="C17" s="860"/>
      <c r="D17" s="860"/>
      <c r="E17" s="861"/>
      <c r="G17" s="859"/>
      <c r="H17" s="860"/>
      <c r="I17" s="860"/>
      <c r="J17" s="860"/>
      <c r="K17" s="860"/>
      <c r="L17" s="860"/>
      <c r="M17" s="861"/>
    </row>
    <row r="18" spans="2:13">
      <c r="B18" s="859"/>
      <c r="C18" s="860"/>
      <c r="D18" s="860"/>
      <c r="E18" s="861"/>
      <c r="G18" s="859"/>
      <c r="H18" s="860"/>
      <c r="I18" s="860"/>
      <c r="J18" s="860"/>
      <c r="K18" s="860"/>
      <c r="L18" s="860"/>
      <c r="M18" s="861"/>
    </row>
    <row r="19" spans="2:13">
      <c r="B19" s="859"/>
      <c r="C19" s="860"/>
      <c r="D19" s="860"/>
      <c r="E19" s="861"/>
      <c r="G19" s="859"/>
      <c r="H19" s="860"/>
      <c r="I19" s="860"/>
      <c r="J19" s="860"/>
      <c r="K19" s="860"/>
      <c r="L19" s="860"/>
      <c r="M19" s="861"/>
    </row>
    <row r="20" spans="2:13">
      <c r="B20" s="859"/>
      <c r="C20" s="860"/>
      <c r="D20" s="860"/>
      <c r="E20" s="861"/>
      <c r="G20" s="859"/>
      <c r="H20" s="860"/>
      <c r="I20" s="860"/>
      <c r="J20" s="860"/>
      <c r="K20" s="860"/>
      <c r="L20" s="860"/>
      <c r="M20" s="861"/>
    </row>
    <row r="21" spans="2:13">
      <c r="B21" s="859"/>
      <c r="C21" s="860"/>
      <c r="D21" s="860"/>
      <c r="E21" s="861"/>
      <c r="G21" s="859"/>
      <c r="H21" s="860"/>
      <c r="I21" s="860"/>
      <c r="J21" s="860"/>
      <c r="K21" s="860"/>
      <c r="L21" s="860"/>
      <c r="M21" s="861"/>
    </row>
    <row r="22" spans="2:13">
      <c r="B22" s="859"/>
      <c r="C22" s="860"/>
      <c r="D22" s="860"/>
      <c r="E22" s="861"/>
      <c r="G22" s="859"/>
      <c r="H22" s="860"/>
      <c r="I22" s="860"/>
      <c r="J22" s="860"/>
      <c r="K22" s="860"/>
      <c r="L22" s="860"/>
      <c r="M22" s="861"/>
    </row>
    <row r="23" spans="2:13">
      <c r="B23" s="859"/>
      <c r="C23" s="860"/>
      <c r="D23" s="860"/>
      <c r="E23" s="861"/>
      <c r="G23" s="859"/>
      <c r="H23" s="860"/>
      <c r="I23" s="860"/>
      <c r="J23" s="860"/>
      <c r="K23" s="860"/>
      <c r="L23" s="860"/>
      <c r="M23" s="861"/>
    </row>
    <row r="24" spans="2:13">
      <c r="B24" s="859"/>
      <c r="C24" s="860"/>
      <c r="D24" s="860"/>
      <c r="E24" s="861"/>
      <c r="G24" s="859"/>
      <c r="H24" s="860"/>
      <c r="I24" s="860"/>
      <c r="J24" s="860"/>
      <c r="K24" s="860"/>
      <c r="L24" s="860"/>
      <c r="M24" s="861"/>
    </row>
    <row r="25" spans="2:13" ht="13.5" thickBot="1">
      <c r="B25" s="862"/>
      <c r="C25" s="863"/>
      <c r="D25" s="863"/>
      <c r="E25" s="864"/>
      <c r="G25" s="862"/>
      <c r="H25" s="863"/>
      <c r="I25" s="863"/>
      <c r="J25" s="863"/>
      <c r="K25" s="863"/>
      <c r="L25" s="863"/>
      <c r="M25" s="864"/>
    </row>
    <row r="26" spans="2:13" ht="9.75" customHeight="1" thickBot="1"/>
    <row r="27" spans="2:13" ht="4.5" customHeight="1">
      <c r="B27" s="1108"/>
      <c r="C27" s="1109"/>
      <c r="D27" s="1109"/>
      <c r="E27" s="1109"/>
      <c r="F27" s="1109"/>
      <c r="G27" s="1109"/>
      <c r="H27" s="1109"/>
      <c r="I27" s="1109"/>
      <c r="J27" s="1109"/>
      <c r="K27" s="1109"/>
      <c r="L27" s="1109"/>
      <c r="M27" s="1110"/>
    </row>
    <row r="28" spans="2:13" ht="15.75" customHeight="1">
      <c r="B28" s="1111"/>
      <c r="C28" s="1386" t="s">
        <v>1449</v>
      </c>
      <c r="D28" s="1386"/>
      <c r="E28" s="1118"/>
      <c r="F28" s="1118"/>
      <c r="G28" s="1113"/>
      <c r="H28" s="1395" t="s">
        <v>2025</v>
      </c>
      <c r="I28" s="1395"/>
      <c r="J28" s="1112"/>
      <c r="K28" s="1395" t="s">
        <v>2029</v>
      </c>
      <c r="L28" s="1395"/>
      <c r="M28" s="1114"/>
    </row>
    <row r="29" spans="2:13" ht="15.75" customHeight="1">
      <c r="B29" s="1111"/>
      <c r="C29" s="1386"/>
      <c r="D29" s="1386"/>
      <c r="E29" s="1118"/>
      <c r="F29" s="1118"/>
      <c r="G29" s="1113"/>
      <c r="H29" s="1395"/>
      <c r="I29" s="1395"/>
      <c r="J29" s="1112"/>
      <c r="K29" s="1395"/>
      <c r="L29" s="1395"/>
      <c r="M29" s="1114"/>
    </row>
    <row r="30" spans="2:13" ht="15.75" customHeight="1">
      <c r="B30" s="1111"/>
      <c r="C30" s="1386"/>
      <c r="D30" s="1386"/>
      <c r="E30" s="1118"/>
      <c r="F30" s="1118"/>
      <c r="G30" s="1112"/>
      <c r="H30" s="1395"/>
      <c r="I30" s="1395"/>
      <c r="J30" s="1112"/>
      <c r="K30" s="1395"/>
      <c r="L30" s="1395"/>
      <c r="M30" s="1114"/>
    </row>
    <row r="31" spans="2:13" ht="4.5" customHeight="1" thickBot="1">
      <c r="B31" s="1115"/>
      <c r="C31" s="1172"/>
      <c r="D31" s="1172"/>
      <c r="E31" s="1119"/>
      <c r="F31" s="1119"/>
      <c r="G31" s="1116"/>
      <c r="H31" s="1171"/>
      <c r="I31" s="1171"/>
      <c r="J31" s="1116"/>
      <c r="K31" s="1171"/>
      <c r="L31" s="1171"/>
      <c r="M31" s="1117"/>
    </row>
    <row r="32" spans="2:13" ht="9" customHeight="1"/>
    <row r="33" spans="2:5" ht="15.75" hidden="1" thickBot="1">
      <c r="B33" s="1387" t="s">
        <v>1454</v>
      </c>
      <c r="C33" s="1388"/>
      <c r="D33" s="1388"/>
      <c r="E33" s="1389"/>
    </row>
    <row r="34" spans="2:5" ht="15" hidden="1" customHeight="1">
      <c r="B34" s="1380" t="s">
        <v>1452</v>
      </c>
      <c r="C34" s="1381"/>
      <c r="D34" s="1381"/>
      <c r="E34" s="1382"/>
    </row>
    <row r="35" spans="2:5" ht="15" hidden="1" customHeight="1" thickBot="1">
      <c r="B35" s="1383"/>
      <c r="C35" s="1384"/>
      <c r="D35" s="1384"/>
      <c r="E35" s="1385"/>
    </row>
    <row r="36" spans="2:5" ht="15.75" hidden="1" customHeight="1">
      <c r="B36" s="856"/>
      <c r="C36" s="857"/>
      <c r="D36" s="857"/>
      <c r="E36" s="858"/>
    </row>
    <row r="37" spans="2:5" hidden="1">
      <c r="B37" s="859"/>
      <c r="C37" s="860"/>
      <c r="D37" s="860"/>
      <c r="E37" s="861"/>
    </row>
    <row r="38" spans="2:5" hidden="1">
      <c r="B38" s="859"/>
      <c r="C38" s="860"/>
      <c r="D38" s="860"/>
      <c r="E38" s="861"/>
    </row>
    <row r="39" spans="2:5" hidden="1">
      <c r="B39" s="859"/>
      <c r="C39" s="860"/>
      <c r="D39" s="860"/>
      <c r="E39" s="861"/>
    </row>
    <row r="40" spans="2:5" hidden="1">
      <c r="B40" s="859"/>
      <c r="C40" s="860"/>
      <c r="D40" s="860"/>
      <c r="E40" s="861"/>
    </row>
    <row r="41" spans="2:5" hidden="1">
      <c r="B41" s="859"/>
      <c r="C41" s="860"/>
      <c r="D41" s="860"/>
      <c r="E41" s="861"/>
    </row>
    <row r="42" spans="2:5" hidden="1">
      <c r="B42" s="859"/>
      <c r="C42" s="860"/>
      <c r="D42" s="860"/>
      <c r="E42" s="861"/>
    </row>
    <row r="43" spans="2:5" hidden="1">
      <c r="B43" s="859"/>
      <c r="C43" s="860"/>
      <c r="D43" s="860"/>
      <c r="E43" s="861"/>
    </row>
    <row r="44" spans="2:5" hidden="1">
      <c r="B44" s="859"/>
      <c r="C44" s="860"/>
      <c r="D44" s="860"/>
      <c r="E44" s="861"/>
    </row>
    <row r="45" spans="2:5" hidden="1">
      <c r="B45" s="859"/>
      <c r="C45" s="860"/>
      <c r="D45" s="860"/>
      <c r="E45" s="861"/>
    </row>
    <row r="46" spans="2:5" hidden="1">
      <c r="B46" s="859"/>
      <c r="C46" s="860"/>
      <c r="D46" s="860"/>
      <c r="E46" s="861"/>
    </row>
    <row r="47" spans="2:5" hidden="1">
      <c r="B47" s="859"/>
      <c r="C47" s="860"/>
      <c r="D47" s="860"/>
      <c r="E47" s="861"/>
    </row>
    <row r="48" spans="2:5" ht="13.5" hidden="1" thickBot="1">
      <c r="B48" s="862"/>
      <c r="C48" s="863"/>
      <c r="D48" s="863"/>
      <c r="E48" s="864"/>
    </row>
    <row r="53" spans="6:6" ht="14.25">
      <c r="F53" s="801"/>
    </row>
  </sheetData>
  <mergeCells count="10">
    <mergeCell ref="B7:M8"/>
    <mergeCell ref="H28:I30"/>
    <mergeCell ref="K28:L30"/>
    <mergeCell ref="B9:E9"/>
    <mergeCell ref="G9:M9"/>
    <mergeCell ref="B34:E35"/>
    <mergeCell ref="C28:D30"/>
    <mergeCell ref="B33:E33"/>
    <mergeCell ref="G10:M12"/>
    <mergeCell ref="B10:E12"/>
  </mergeCells>
  <printOptions horizontalCentered="1"/>
  <pageMargins left="0.7" right="0.7" top="0.75" bottom="0.75" header="0.3" footer="0.3"/>
  <pageSetup orientation="portrait" horizontalDpi="4294967294" r:id="rId1"/>
  <legacyDrawing r:id="rId2"/>
</worksheet>
</file>

<file path=xl/worksheets/sheet3.xml><?xml version="1.0" encoding="utf-8"?>
<worksheet xmlns="http://schemas.openxmlformats.org/spreadsheetml/2006/main" xmlns:r="http://schemas.openxmlformats.org/officeDocument/2006/relationships">
  <sheetPr codeName="Sheet11">
    <pageSetUpPr autoPageBreaks="0" fitToPage="1"/>
  </sheetPr>
  <dimension ref="A2:AI66"/>
  <sheetViews>
    <sheetView showGridLines="0" zoomScale="75" zoomScaleNormal="75" workbookViewId="0">
      <selection activeCell="G45" sqref="G45"/>
    </sheetView>
  </sheetViews>
  <sheetFormatPr defaultRowHeight="12.75"/>
  <cols>
    <col min="1" max="1" width="3.85546875" style="78" customWidth="1"/>
    <col min="2" max="2" width="3" style="78" customWidth="1"/>
    <col min="3" max="3" width="13" style="78" customWidth="1"/>
    <col min="4" max="7" width="8.7109375" style="78" customWidth="1"/>
    <col min="8" max="8" width="23.140625" style="78" customWidth="1"/>
    <col min="9" max="9" width="3.140625" style="78" customWidth="1"/>
    <col min="10" max="10" width="32.7109375" style="78" customWidth="1"/>
    <col min="11" max="13" width="10.28515625" style="78" customWidth="1"/>
    <col min="14" max="14" width="3" style="78" customWidth="1"/>
    <col min="15" max="15" width="3.7109375" style="78" customWidth="1"/>
    <col min="16" max="16" width="3" style="78" customWidth="1"/>
    <col min="17" max="17" width="12.85546875" style="78" customWidth="1"/>
    <col min="18" max="20" width="9.140625" style="78"/>
    <col min="21" max="21" width="3" style="78" customWidth="1"/>
    <col min="22" max="22" width="12.42578125" style="78" customWidth="1"/>
    <col min="23" max="24" width="9.140625" style="78"/>
    <col min="25" max="25" width="12.28515625" style="78" customWidth="1"/>
    <col min="26" max="26" width="3" style="78" customWidth="1"/>
    <col min="27" max="27" width="5.85546875" style="78" customWidth="1"/>
    <col min="28" max="29" width="9.140625" style="78" hidden="1" customWidth="1"/>
    <col min="30" max="30" width="2.85546875" style="78" customWidth="1"/>
    <col min="31" max="31" width="12.5703125" style="78" customWidth="1"/>
    <col min="32" max="32" width="9.140625" style="78" customWidth="1"/>
    <col min="33" max="34" width="10.28515625" style="78" customWidth="1"/>
    <col min="35" max="35" width="2.85546875" style="78" customWidth="1"/>
    <col min="36" max="256" width="9.140625" style="78"/>
    <col min="257" max="257" width="3.85546875" style="78" customWidth="1"/>
    <col min="258" max="258" width="3" style="78" customWidth="1"/>
    <col min="259" max="259" width="12" style="78" customWidth="1"/>
    <col min="260" max="263" width="8.7109375" style="78" customWidth="1"/>
    <col min="264" max="264" width="21.85546875" style="78" bestFit="1" customWidth="1"/>
    <col min="265" max="265" width="3.140625" style="78" customWidth="1"/>
    <col min="266" max="266" width="32.7109375" style="78" customWidth="1"/>
    <col min="267" max="269" width="10.28515625" style="78" customWidth="1"/>
    <col min="270" max="270" width="3" style="78" customWidth="1"/>
    <col min="271" max="271" width="3.7109375" style="78" customWidth="1"/>
    <col min="272" max="272" width="3" style="78" customWidth="1"/>
    <col min="273" max="276" width="9.140625" style="78"/>
    <col min="277" max="277" width="9.140625" style="78" customWidth="1"/>
    <col min="278" max="280" width="9.140625" style="78"/>
    <col min="281" max="281" width="12.28515625" style="78" customWidth="1"/>
    <col min="282" max="282" width="3" style="78" customWidth="1"/>
    <col min="283" max="512" width="9.140625" style="78"/>
    <col min="513" max="513" width="3.85546875" style="78" customWidth="1"/>
    <col min="514" max="514" width="3" style="78" customWidth="1"/>
    <col min="515" max="515" width="12" style="78" customWidth="1"/>
    <col min="516" max="519" width="8.7109375" style="78" customWidth="1"/>
    <col min="520" max="520" width="21.85546875" style="78" bestFit="1" customWidth="1"/>
    <col min="521" max="521" width="3.140625" style="78" customWidth="1"/>
    <col min="522" max="522" width="32.7109375" style="78" customWidth="1"/>
    <col min="523" max="525" width="10.28515625" style="78" customWidth="1"/>
    <col min="526" max="526" width="3" style="78" customWidth="1"/>
    <col min="527" max="527" width="3.7109375" style="78" customWidth="1"/>
    <col min="528" max="528" width="3" style="78" customWidth="1"/>
    <col min="529" max="532" width="9.140625" style="78"/>
    <col min="533" max="533" width="9.140625" style="78" customWidth="1"/>
    <col min="534" max="536" width="9.140625" style="78"/>
    <col min="537" max="537" width="12.28515625" style="78" customWidth="1"/>
    <col min="538" max="538" width="3" style="78" customWidth="1"/>
    <col min="539" max="768" width="9.140625" style="78"/>
    <col min="769" max="769" width="3.85546875" style="78" customWidth="1"/>
    <col min="770" max="770" width="3" style="78" customWidth="1"/>
    <col min="771" max="771" width="12" style="78" customWidth="1"/>
    <col min="772" max="775" width="8.7109375" style="78" customWidth="1"/>
    <col min="776" max="776" width="21.85546875" style="78" bestFit="1" customWidth="1"/>
    <col min="777" max="777" width="3.140625" style="78" customWidth="1"/>
    <col min="778" max="778" width="32.7109375" style="78" customWidth="1"/>
    <col min="779" max="781" width="10.28515625" style="78" customWidth="1"/>
    <col min="782" max="782" width="3" style="78" customWidth="1"/>
    <col min="783" max="783" width="3.7109375" style="78" customWidth="1"/>
    <col min="784" max="784" width="3" style="78" customWidth="1"/>
    <col min="785" max="788" width="9.140625" style="78"/>
    <col min="789" max="789" width="9.140625" style="78" customWidth="1"/>
    <col min="790" max="792" width="9.140625" style="78"/>
    <col min="793" max="793" width="12.28515625" style="78" customWidth="1"/>
    <col min="794" max="794" width="3" style="78" customWidth="1"/>
    <col min="795" max="1024" width="9.140625" style="78"/>
    <col min="1025" max="1025" width="3.85546875" style="78" customWidth="1"/>
    <col min="1026" max="1026" width="3" style="78" customWidth="1"/>
    <col min="1027" max="1027" width="12" style="78" customWidth="1"/>
    <col min="1028" max="1031" width="8.7109375" style="78" customWidth="1"/>
    <col min="1032" max="1032" width="21.85546875" style="78" bestFit="1" customWidth="1"/>
    <col min="1033" max="1033" width="3.140625" style="78" customWidth="1"/>
    <col min="1034" max="1034" width="32.7109375" style="78" customWidth="1"/>
    <col min="1035" max="1037" width="10.28515625" style="78" customWidth="1"/>
    <col min="1038" max="1038" width="3" style="78" customWidth="1"/>
    <col min="1039" max="1039" width="3.7109375" style="78" customWidth="1"/>
    <col min="1040" max="1040" width="3" style="78" customWidth="1"/>
    <col min="1041" max="1044" width="9.140625" style="78"/>
    <col min="1045" max="1045" width="9.140625" style="78" customWidth="1"/>
    <col min="1046" max="1048" width="9.140625" style="78"/>
    <col min="1049" max="1049" width="12.28515625" style="78" customWidth="1"/>
    <col min="1050" max="1050" width="3" style="78" customWidth="1"/>
    <col min="1051" max="1280" width="9.140625" style="78"/>
    <col min="1281" max="1281" width="3.85546875" style="78" customWidth="1"/>
    <col min="1282" max="1282" width="3" style="78" customWidth="1"/>
    <col min="1283" max="1283" width="12" style="78" customWidth="1"/>
    <col min="1284" max="1287" width="8.7109375" style="78" customWidth="1"/>
    <col min="1288" max="1288" width="21.85546875" style="78" bestFit="1" customWidth="1"/>
    <col min="1289" max="1289" width="3.140625" style="78" customWidth="1"/>
    <col min="1290" max="1290" width="32.7109375" style="78" customWidth="1"/>
    <col min="1291" max="1293" width="10.28515625" style="78" customWidth="1"/>
    <col min="1294" max="1294" width="3" style="78" customWidth="1"/>
    <col min="1295" max="1295" width="3.7109375" style="78" customWidth="1"/>
    <col min="1296" max="1296" width="3" style="78" customWidth="1"/>
    <col min="1297" max="1300" width="9.140625" style="78"/>
    <col min="1301" max="1301" width="9.140625" style="78" customWidth="1"/>
    <col min="1302" max="1304" width="9.140625" style="78"/>
    <col min="1305" max="1305" width="12.28515625" style="78" customWidth="1"/>
    <col min="1306" max="1306" width="3" style="78" customWidth="1"/>
    <col min="1307" max="1536" width="9.140625" style="78"/>
    <col min="1537" max="1537" width="3.85546875" style="78" customWidth="1"/>
    <col min="1538" max="1538" width="3" style="78" customWidth="1"/>
    <col min="1539" max="1539" width="12" style="78" customWidth="1"/>
    <col min="1540" max="1543" width="8.7109375" style="78" customWidth="1"/>
    <col min="1544" max="1544" width="21.85546875" style="78" bestFit="1" customWidth="1"/>
    <col min="1545" max="1545" width="3.140625" style="78" customWidth="1"/>
    <col min="1546" max="1546" width="32.7109375" style="78" customWidth="1"/>
    <col min="1547" max="1549" width="10.28515625" style="78" customWidth="1"/>
    <col min="1550" max="1550" width="3" style="78" customWidth="1"/>
    <col min="1551" max="1551" width="3.7109375" style="78" customWidth="1"/>
    <col min="1552" max="1552" width="3" style="78" customWidth="1"/>
    <col min="1553" max="1556" width="9.140625" style="78"/>
    <col min="1557" max="1557" width="9.140625" style="78" customWidth="1"/>
    <col min="1558" max="1560" width="9.140625" style="78"/>
    <col min="1561" max="1561" width="12.28515625" style="78" customWidth="1"/>
    <col min="1562" max="1562" width="3" style="78" customWidth="1"/>
    <col min="1563" max="1792" width="9.140625" style="78"/>
    <col min="1793" max="1793" width="3.85546875" style="78" customWidth="1"/>
    <col min="1794" max="1794" width="3" style="78" customWidth="1"/>
    <col min="1795" max="1795" width="12" style="78" customWidth="1"/>
    <col min="1796" max="1799" width="8.7109375" style="78" customWidth="1"/>
    <col min="1800" max="1800" width="21.85546875" style="78" bestFit="1" customWidth="1"/>
    <col min="1801" max="1801" width="3.140625" style="78" customWidth="1"/>
    <col min="1802" max="1802" width="32.7109375" style="78" customWidth="1"/>
    <col min="1803" max="1805" width="10.28515625" style="78" customWidth="1"/>
    <col min="1806" max="1806" width="3" style="78" customWidth="1"/>
    <col min="1807" max="1807" width="3.7109375" style="78" customWidth="1"/>
    <col min="1808" max="1808" width="3" style="78" customWidth="1"/>
    <col min="1809" max="1812" width="9.140625" style="78"/>
    <col min="1813" max="1813" width="9.140625" style="78" customWidth="1"/>
    <col min="1814" max="1816" width="9.140625" style="78"/>
    <col min="1817" max="1817" width="12.28515625" style="78" customWidth="1"/>
    <col min="1818" max="1818" width="3" style="78" customWidth="1"/>
    <col min="1819" max="2048" width="9.140625" style="78"/>
    <col min="2049" max="2049" width="3.85546875" style="78" customWidth="1"/>
    <col min="2050" max="2050" width="3" style="78" customWidth="1"/>
    <col min="2051" max="2051" width="12" style="78" customWidth="1"/>
    <col min="2052" max="2055" width="8.7109375" style="78" customWidth="1"/>
    <col min="2056" max="2056" width="21.85546875" style="78" bestFit="1" customWidth="1"/>
    <col min="2057" max="2057" width="3.140625" style="78" customWidth="1"/>
    <col min="2058" max="2058" width="32.7109375" style="78" customWidth="1"/>
    <col min="2059" max="2061" width="10.28515625" style="78" customWidth="1"/>
    <col min="2062" max="2062" width="3" style="78" customWidth="1"/>
    <col min="2063" max="2063" width="3.7109375" style="78" customWidth="1"/>
    <col min="2064" max="2064" width="3" style="78" customWidth="1"/>
    <col min="2065" max="2068" width="9.140625" style="78"/>
    <col min="2069" max="2069" width="9.140625" style="78" customWidth="1"/>
    <col min="2070" max="2072" width="9.140625" style="78"/>
    <col min="2073" max="2073" width="12.28515625" style="78" customWidth="1"/>
    <col min="2074" max="2074" width="3" style="78" customWidth="1"/>
    <col min="2075" max="2304" width="9.140625" style="78"/>
    <col min="2305" max="2305" width="3.85546875" style="78" customWidth="1"/>
    <col min="2306" max="2306" width="3" style="78" customWidth="1"/>
    <col min="2307" max="2307" width="12" style="78" customWidth="1"/>
    <col min="2308" max="2311" width="8.7109375" style="78" customWidth="1"/>
    <col min="2312" max="2312" width="21.85546875" style="78" bestFit="1" customWidth="1"/>
    <col min="2313" max="2313" width="3.140625" style="78" customWidth="1"/>
    <col min="2314" max="2314" width="32.7109375" style="78" customWidth="1"/>
    <col min="2315" max="2317" width="10.28515625" style="78" customWidth="1"/>
    <col min="2318" max="2318" width="3" style="78" customWidth="1"/>
    <col min="2319" max="2319" width="3.7109375" style="78" customWidth="1"/>
    <col min="2320" max="2320" width="3" style="78" customWidth="1"/>
    <col min="2321" max="2324" width="9.140625" style="78"/>
    <col min="2325" max="2325" width="9.140625" style="78" customWidth="1"/>
    <col min="2326" max="2328" width="9.140625" style="78"/>
    <col min="2329" max="2329" width="12.28515625" style="78" customWidth="1"/>
    <col min="2330" max="2330" width="3" style="78" customWidth="1"/>
    <col min="2331" max="2560" width="9.140625" style="78"/>
    <col min="2561" max="2561" width="3.85546875" style="78" customWidth="1"/>
    <col min="2562" max="2562" width="3" style="78" customWidth="1"/>
    <col min="2563" max="2563" width="12" style="78" customWidth="1"/>
    <col min="2564" max="2567" width="8.7109375" style="78" customWidth="1"/>
    <col min="2568" max="2568" width="21.85546875" style="78" bestFit="1" customWidth="1"/>
    <col min="2569" max="2569" width="3.140625" style="78" customWidth="1"/>
    <col min="2570" max="2570" width="32.7109375" style="78" customWidth="1"/>
    <col min="2571" max="2573" width="10.28515625" style="78" customWidth="1"/>
    <col min="2574" max="2574" width="3" style="78" customWidth="1"/>
    <col min="2575" max="2575" width="3.7109375" style="78" customWidth="1"/>
    <col min="2576" max="2576" width="3" style="78" customWidth="1"/>
    <col min="2577" max="2580" width="9.140625" style="78"/>
    <col min="2581" max="2581" width="9.140625" style="78" customWidth="1"/>
    <col min="2582" max="2584" width="9.140625" style="78"/>
    <col min="2585" max="2585" width="12.28515625" style="78" customWidth="1"/>
    <col min="2586" max="2586" width="3" style="78" customWidth="1"/>
    <col min="2587" max="2816" width="9.140625" style="78"/>
    <col min="2817" max="2817" width="3.85546875" style="78" customWidth="1"/>
    <col min="2818" max="2818" width="3" style="78" customWidth="1"/>
    <col min="2819" max="2819" width="12" style="78" customWidth="1"/>
    <col min="2820" max="2823" width="8.7109375" style="78" customWidth="1"/>
    <col min="2824" max="2824" width="21.85546875" style="78" bestFit="1" customWidth="1"/>
    <col min="2825" max="2825" width="3.140625" style="78" customWidth="1"/>
    <col min="2826" max="2826" width="32.7109375" style="78" customWidth="1"/>
    <col min="2827" max="2829" width="10.28515625" style="78" customWidth="1"/>
    <col min="2830" max="2830" width="3" style="78" customWidth="1"/>
    <col min="2831" max="2831" width="3.7109375" style="78" customWidth="1"/>
    <col min="2832" max="2832" width="3" style="78" customWidth="1"/>
    <col min="2833" max="2836" width="9.140625" style="78"/>
    <col min="2837" max="2837" width="9.140625" style="78" customWidth="1"/>
    <col min="2838" max="2840" width="9.140625" style="78"/>
    <col min="2841" max="2841" width="12.28515625" style="78" customWidth="1"/>
    <col min="2842" max="2842" width="3" style="78" customWidth="1"/>
    <col min="2843" max="3072" width="9.140625" style="78"/>
    <col min="3073" max="3073" width="3.85546875" style="78" customWidth="1"/>
    <col min="3074" max="3074" width="3" style="78" customWidth="1"/>
    <col min="3075" max="3075" width="12" style="78" customWidth="1"/>
    <col min="3076" max="3079" width="8.7109375" style="78" customWidth="1"/>
    <col min="3080" max="3080" width="21.85546875" style="78" bestFit="1" customWidth="1"/>
    <col min="3081" max="3081" width="3.140625" style="78" customWidth="1"/>
    <col min="3082" max="3082" width="32.7109375" style="78" customWidth="1"/>
    <col min="3083" max="3085" width="10.28515625" style="78" customWidth="1"/>
    <col min="3086" max="3086" width="3" style="78" customWidth="1"/>
    <col min="3087" max="3087" width="3.7109375" style="78" customWidth="1"/>
    <col min="3088" max="3088" width="3" style="78" customWidth="1"/>
    <col min="3089" max="3092" width="9.140625" style="78"/>
    <col min="3093" max="3093" width="9.140625" style="78" customWidth="1"/>
    <col min="3094" max="3096" width="9.140625" style="78"/>
    <col min="3097" max="3097" width="12.28515625" style="78" customWidth="1"/>
    <col min="3098" max="3098" width="3" style="78" customWidth="1"/>
    <col min="3099" max="3328" width="9.140625" style="78"/>
    <col min="3329" max="3329" width="3.85546875" style="78" customWidth="1"/>
    <col min="3330" max="3330" width="3" style="78" customWidth="1"/>
    <col min="3331" max="3331" width="12" style="78" customWidth="1"/>
    <col min="3332" max="3335" width="8.7109375" style="78" customWidth="1"/>
    <col min="3336" max="3336" width="21.85546875" style="78" bestFit="1" customWidth="1"/>
    <col min="3337" max="3337" width="3.140625" style="78" customWidth="1"/>
    <col min="3338" max="3338" width="32.7109375" style="78" customWidth="1"/>
    <col min="3339" max="3341" width="10.28515625" style="78" customWidth="1"/>
    <col min="3342" max="3342" width="3" style="78" customWidth="1"/>
    <col min="3343" max="3343" width="3.7109375" style="78" customWidth="1"/>
    <col min="3344" max="3344" width="3" style="78" customWidth="1"/>
    <col min="3345" max="3348" width="9.140625" style="78"/>
    <col min="3349" max="3349" width="9.140625" style="78" customWidth="1"/>
    <col min="3350" max="3352" width="9.140625" style="78"/>
    <col min="3353" max="3353" width="12.28515625" style="78" customWidth="1"/>
    <col min="3354" max="3354" width="3" style="78" customWidth="1"/>
    <col min="3355" max="3584" width="9.140625" style="78"/>
    <col min="3585" max="3585" width="3.85546875" style="78" customWidth="1"/>
    <col min="3586" max="3586" width="3" style="78" customWidth="1"/>
    <col min="3587" max="3587" width="12" style="78" customWidth="1"/>
    <col min="3588" max="3591" width="8.7109375" style="78" customWidth="1"/>
    <col min="3592" max="3592" width="21.85546875" style="78" bestFit="1" customWidth="1"/>
    <col min="3593" max="3593" width="3.140625" style="78" customWidth="1"/>
    <col min="3594" max="3594" width="32.7109375" style="78" customWidth="1"/>
    <col min="3595" max="3597" width="10.28515625" style="78" customWidth="1"/>
    <col min="3598" max="3598" width="3" style="78" customWidth="1"/>
    <col min="3599" max="3599" width="3.7109375" style="78" customWidth="1"/>
    <col min="3600" max="3600" width="3" style="78" customWidth="1"/>
    <col min="3601" max="3604" width="9.140625" style="78"/>
    <col min="3605" max="3605" width="9.140625" style="78" customWidth="1"/>
    <col min="3606" max="3608" width="9.140625" style="78"/>
    <col min="3609" max="3609" width="12.28515625" style="78" customWidth="1"/>
    <col min="3610" max="3610" width="3" style="78" customWidth="1"/>
    <col min="3611" max="3840" width="9.140625" style="78"/>
    <col min="3841" max="3841" width="3.85546875" style="78" customWidth="1"/>
    <col min="3842" max="3842" width="3" style="78" customWidth="1"/>
    <col min="3843" max="3843" width="12" style="78" customWidth="1"/>
    <col min="3844" max="3847" width="8.7109375" style="78" customWidth="1"/>
    <col min="3848" max="3848" width="21.85546875" style="78" bestFit="1" customWidth="1"/>
    <col min="3849" max="3849" width="3.140625" style="78" customWidth="1"/>
    <col min="3850" max="3850" width="32.7109375" style="78" customWidth="1"/>
    <col min="3851" max="3853" width="10.28515625" style="78" customWidth="1"/>
    <col min="3854" max="3854" width="3" style="78" customWidth="1"/>
    <col min="3855" max="3855" width="3.7109375" style="78" customWidth="1"/>
    <col min="3856" max="3856" width="3" style="78" customWidth="1"/>
    <col min="3857" max="3860" width="9.140625" style="78"/>
    <col min="3861" max="3861" width="9.140625" style="78" customWidth="1"/>
    <col min="3862" max="3864" width="9.140625" style="78"/>
    <col min="3865" max="3865" width="12.28515625" style="78" customWidth="1"/>
    <col min="3866" max="3866" width="3" style="78" customWidth="1"/>
    <col min="3867" max="4096" width="9.140625" style="78"/>
    <col min="4097" max="4097" width="3.85546875" style="78" customWidth="1"/>
    <col min="4098" max="4098" width="3" style="78" customWidth="1"/>
    <col min="4099" max="4099" width="12" style="78" customWidth="1"/>
    <col min="4100" max="4103" width="8.7109375" style="78" customWidth="1"/>
    <col min="4104" max="4104" width="21.85546875" style="78" bestFit="1" customWidth="1"/>
    <col min="4105" max="4105" width="3.140625" style="78" customWidth="1"/>
    <col min="4106" max="4106" width="32.7109375" style="78" customWidth="1"/>
    <col min="4107" max="4109" width="10.28515625" style="78" customWidth="1"/>
    <col min="4110" max="4110" width="3" style="78" customWidth="1"/>
    <col min="4111" max="4111" width="3.7109375" style="78" customWidth="1"/>
    <col min="4112" max="4112" width="3" style="78" customWidth="1"/>
    <col min="4113" max="4116" width="9.140625" style="78"/>
    <col min="4117" max="4117" width="9.140625" style="78" customWidth="1"/>
    <col min="4118" max="4120" width="9.140625" style="78"/>
    <col min="4121" max="4121" width="12.28515625" style="78" customWidth="1"/>
    <col min="4122" max="4122" width="3" style="78" customWidth="1"/>
    <col min="4123" max="4352" width="9.140625" style="78"/>
    <col min="4353" max="4353" width="3.85546875" style="78" customWidth="1"/>
    <col min="4354" max="4354" width="3" style="78" customWidth="1"/>
    <col min="4355" max="4355" width="12" style="78" customWidth="1"/>
    <col min="4356" max="4359" width="8.7109375" style="78" customWidth="1"/>
    <col min="4360" max="4360" width="21.85546875" style="78" bestFit="1" customWidth="1"/>
    <col min="4361" max="4361" width="3.140625" style="78" customWidth="1"/>
    <col min="4362" max="4362" width="32.7109375" style="78" customWidth="1"/>
    <col min="4363" max="4365" width="10.28515625" style="78" customWidth="1"/>
    <col min="4366" max="4366" width="3" style="78" customWidth="1"/>
    <col min="4367" max="4367" width="3.7109375" style="78" customWidth="1"/>
    <col min="4368" max="4368" width="3" style="78" customWidth="1"/>
    <col min="4369" max="4372" width="9.140625" style="78"/>
    <col min="4373" max="4373" width="9.140625" style="78" customWidth="1"/>
    <col min="4374" max="4376" width="9.140625" style="78"/>
    <col min="4377" max="4377" width="12.28515625" style="78" customWidth="1"/>
    <col min="4378" max="4378" width="3" style="78" customWidth="1"/>
    <col min="4379" max="4608" width="9.140625" style="78"/>
    <col min="4609" max="4609" width="3.85546875" style="78" customWidth="1"/>
    <col min="4610" max="4610" width="3" style="78" customWidth="1"/>
    <col min="4611" max="4611" width="12" style="78" customWidth="1"/>
    <col min="4612" max="4615" width="8.7109375" style="78" customWidth="1"/>
    <col min="4616" max="4616" width="21.85546875" style="78" bestFit="1" customWidth="1"/>
    <col min="4617" max="4617" width="3.140625" style="78" customWidth="1"/>
    <col min="4618" max="4618" width="32.7109375" style="78" customWidth="1"/>
    <col min="4619" max="4621" width="10.28515625" style="78" customWidth="1"/>
    <col min="4622" max="4622" width="3" style="78" customWidth="1"/>
    <col min="4623" max="4623" width="3.7109375" style="78" customWidth="1"/>
    <col min="4624" max="4624" width="3" style="78" customWidth="1"/>
    <col min="4625" max="4628" width="9.140625" style="78"/>
    <col min="4629" max="4629" width="9.140625" style="78" customWidth="1"/>
    <col min="4630" max="4632" width="9.140625" style="78"/>
    <col min="4633" max="4633" width="12.28515625" style="78" customWidth="1"/>
    <col min="4634" max="4634" width="3" style="78" customWidth="1"/>
    <col min="4635" max="4864" width="9.140625" style="78"/>
    <col min="4865" max="4865" width="3.85546875" style="78" customWidth="1"/>
    <col min="4866" max="4866" width="3" style="78" customWidth="1"/>
    <col min="4867" max="4867" width="12" style="78" customWidth="1"/>
    <col min="4868" max="4871" width="8.7109375" style="78" customWidth="1"/>
    <col min="4872" max="4872" width="21.85546875" style="78" bestFit="1" customWidth="1"/>
    <col min="4873" max="4873" width="3.140625" style="78" customWidth="1"/>
    <col min="4874" max="4874" width="32.7109375" style="78" customWidth="1"/>
    <col min="4875" max="4877" width="10.28515625" style="78" customWidth="1"/>
    <col min="4878" max="4878" width="3" style="78" customWidth="1"/>
    <col min="4879" max="4879" width="3.7109375" style="78" customWidth="1"/>
    <col min="4880" max="4880" width="3" style="78" customWidth="1"/>
    <col min="4881" max="4884" width="9.140625" style="78"/>
    <col min="4885" max="4885" width="9.140625" style="78" customWidth="1"/>
    <col min="4886" max="4888" width="9.140625" style="78"/>
    <col min="4889" max="4889" width="12.28515625" style="78" customWidth="1"/>
    <col min="4890" max="4890" width="3" style="78" customWidth="1"/>
    <col min="4891" max="5120" width="9.140625" style="78"/>
    <col min="5121" max="5121" width="3.85546875" style="78" customWidth="1"/>
    <col min="5122" max="5122" width="3" style="78" customWidth="1"/>
    <col min="5123" max="5123" width="12" style="78" customWidth="1"/>
    <col min="5124" max="5127" width="8.7109375" style="78" customWidth="1"/>
    <col min="5128" max="5128" width="21.85546875" style="78" bestFit="1" customWidth="1"/>
    <col min="5129" max="5129" width="3.140625" style="78" customWidth="1"/>
    <col min="5130" max="5130" width="32.7109375" style="78" customWidth="1"/>
    <col min="5131" max="5133" width="10.28515625" style="78" customWidth="1"/>
    <col min="5134" max="5134" width="3" style="78" customWidth="1"/>
    <col min="5135" max="5135" width="3.7109375" style="78" customWidth="1"/>
    <col min="5136" max="5136" width="3" style="78" customWidth="1"/>
    <col min="5137" max="5140" width="9.140625" style="78"/>
    <col min="5141" max="5141" width="9.140625" style="78" customWidth="1"/>
    <col min="5142" max="5144" width="9.140625" style="78"/>
    <col min="5145" max="5145" width="12.28515625" style="78" customWidth="1"/>
    <col min="5146" max="5146" width="3" style="78" customWidth="1"/>
    <col min="5147" max="5376" width="9.140625" style="78"/>
    <col min="5377" max="5377" width="3.85546875" style="78" customWidth="1"/>
    <col min="5378" max="5378" width="3" style="78" customWidth="1"/>
    <col min="5379" max="5379" width="12" style="78" customWidth="1"/>
    <col min="5380" max="5383" width="8.7109375" style="78" customWidth="1"/>
    <col min="5384" max="5384" width="21.85546875" style="78" bestFit="1" customWidth="1"/>
    <col min="5385" max="5385" width="3.140625" style="78" customWidth="1"/>
    <col min="5386" max="5386" width="32.7109375" style="78" customWidth="1"/>
    <col min="5387" max="5389" width="10.28515625" style="78" customWidth="1"/>
    <col min="5390" max="5390" width="3" style="78" customWidth="1"/>
    <col min="5391" max="5391" width="3.7109375" style="78" customWidth="1"/>
    <col min="5392" max="5392" width="3" style="78" customWidth="1"/>
    <col min="5393" max="5396" width="9.140625" style="78"/>
    <col min="5397" max="5397" width="9.140625" style="78" customWidth="1"/>
    <col min="5398" max="5400" width="9.140625" style="78"/>
    <col min="5401" max="5401" width="12.28515625" style="78" customWidth="1"/>
    <col min="5402" max="5402" width="3" style="78" customWidth="1"/>
    <col min="5403" max="5632" width="9.140625" style="78"/>
    <col min="5633" max="5633" width="3.85546875" style="78" customWidth="1"/>
    <col min="5634" max="5634" width="3" style="78" customWidth="1"/>
    <col min="5635" max="5635" width="12" style="78" customWidth="1"/>
    <col min="5636" max="5639" width="8.7109375" style="78" customWidth="1"/>
    <col min="5640" max="5640" width="21.85546875" style="78" bestFit="1" customWidth="1"/>
    <col min="5641" max="5641" width="3.140625" style="78" customWidth="1"/>
    <col min="5642" max="5642" width="32.7109375" style="78" customWidth="1"/>
    <col min="5643" max="5645" width="10.28515625" style="78" customWidth="1"/>
    <col min="5646" max="5646" width="3" style="78" customWidth="1"/>
    <col min="5647" max="5647" width="3.7109375" style="78" customWidth="1"/>
    <col min="5648" max="5648" width="3" style="78" customWidth="1"/>
    <col min="5649" max="5652" width="9.140625" style="78"/>
    <col min="5653" max="5653" width="9.140625" style="78" customWidth="1"/>
    <col min="5654" max="5656" width="9.140625" style="78"/>
    <col min="5657" max="5657" width="12.28515625" style="78" customWidth="1"/>
    <col min="5658" max="5658" width="3" style="78" customWidth="1"/>
    <col min="5659" max="5888" width="9.140625" style="78"/>
    <col min="5889" max="5889" width="3.85546875" style="78" customWidth="1"/>
    <col min="5890" max="5890" width="3" style="78" customWidth="1"/>
    <col min="5891" max="5891" width="12" style="78" customWidth="1"/>
    <col min="5892" max="5895" width="8.7109375" style="78" customWidth="1"/>
    <col min="5896" max="5896" width="21.85546875" style="78" bestFit="1" customWidth="1"/>
    <col min="5897" max="5897" width="3.140625" style="78" customWidth="1"/>
    <col min="5898" max="5898" width="32.7109375" style="78" customWidth="1"/>
    <col min="5899" max="5901" width="10.28515625" style="78" customWidth="1"/>
    <col min="5902" max="5902" width="3" style="78" customWidth="1"/>
    <col min="5903" max="5903" width="3.7109375" style="78" customWidth="1"/>
    <col min="5904" max="5904" width="3" style="78" customWidth="1"/>
    <col min="5905" max="5908" width="9.140625" style="78"/>
    <col min="5909" max="5909" width="9.140625" style="78" customWidth="1"/>
    <col min="5910" max="5912" width="9.140625" style="78"/>
    <col min="5913" max="5913" width="12.28515625" style="78" customWidth="1"/>
    <col min="5914" max="5914" width="3" style="78" customWidth="1"/>
    <col min="5915" max="6144" width="9.140625" style="78"/>
    <col min="6145" max="6145" width="3.85546875" style="78" customWidth="1"/>
    <col min="6146" max="6146" width="3" style="78" customWidth="1"/>
    <col min="6147" max="6147" width="12" style="78" customWidth="1"/>
    <col min="6148" max="6151" width="8.7109375" style="78" customWidth="1"/>
    <col min="6152" max="6152" width="21.85546875" style="78" bestFit="1" customWidth="1"/>
    <col min="6153" max="6153" width="3.140625" style="78" customWidth="1"/>
    <col min="6154" max="6154" width="32.7109375" style="78" customWidth="1"/>
    <col min="6155" max="6157" width="10.28515625" style="78" customWidth="1"/>
    <col min="6158" max="6158" width="3" style="78" customWidth="1"/>
    <col min="6159" max="6159" width="3.7109375" style="78" customWidth="1"/>
    <col min="6160" max="6160" width="3" style="78" customWidth="1"/>
    <col min="6161" max="6164" width="9.140625" style="78"/>
    <col min="6165" max="6165" width="9.140625" style="78" customWidth="1"/>
    <col min="6166" max="6168" width="9.140625" style="78"/>
    <col min="6169" max="6169" width="12.28515625" style="78" customWidth="1"/>
    <col min="6170" max="6170" width="3" style="78" customWidth="1"/>
    <col min="6171" max="6400" width="9.140625" style="78"/>
    <col min="6401" max="6401" width="3.85546875" style="78" customWidth="1"/>
    <col min="6402" max="6402" width="3" style="78" customWidth="1"/>
    <col min="6403" max="6403" width="12" style="78" customWidth="1"/>
    <col min="6404" max="6407" width="8.7109375" style="78" customWidth="1"/>
    <col min="6408" max="6408" width="21.85546875" style="78" bestFit="1" customWidth="1"/>
    <col min="6409" max="6409" width="3.140625" style="78" customWidth="1"/>
    <col min="6410" max="6410" width="32.7109375" style="78" customWidth="1"/>
    <col min="6411" max="6413" width="10.28515625" style="78" customWidth="1"/>
    <col min="6414" max="6414" width="3" style="78" customWidth="1"/>
    <col min="6415" max="6415" width="3.7109375" style="78" customWidth="1"/>
    <col min="6416" max="6416" width="3" style="78" customWidth="1"/>
    <col min="6417" max="6420" width="9.140625" style="78"/>
    <col min="6421" max="6421" width="9.140625" style="78" customWidth="1"/>
    <col min="6422" max="6424" width="9.140625" style="78"/>
    <col min="6425" max="6425" width="12.28515625" style="78" customWidth="1"/>
    <col min="6426" max="6426" width="3" style="78" customWidth="1"/>
    <col min="6427" max="6656" width="9.140625" style="78"/>
    <col min="6657" max="6657" width="3.85546875" style="78" customWidth="1"/>
    <col min="6658" max="6658" width="3" style="78" customWidth="1"/>
    <col min="6659" max="6659" width="12" style="78" customWidth="1"/>
    <col min="6660" max="6663" width="8.7109375" style="78" customWidth="1"/>
    <col min="6664" max="6664" width="21.85546875" style="78" bestFit="1" customWidth="1"/>
    <col min="6665" max="6665" width="3.140625" style="78" customWidth="1"/>
    <col min="6666" max="6666" width="32.7109375" style="78" customWidth="1"/>
    <col min="6667" max="6669" width="10.28515625" style="78" customWidth="1"/>
    <col min="6670" max="6670" width="3" style="78" customWidth="1"/>
    <col min="6671" max="6671" width="3.7109375" style="78" customWidth="1"/>
    <col min="6672" max="6672" width="3" style="78" customWidth="1"/>
    <col min="6673" max="6676" width="9.140625" style="78"/>
    <col min="6677" max="6677" width="9.140625" style="78" customWidth="1"/>
    <col min="6678" max="6680" width="9.140625" style="78"/>
    <col min="6681" max="6681" width="12.28515625" style="78" customWidth="1"/>
    <col min="6682" max="6682" width="3" style="78" customWidth="1"/>
    <col min="6683" max="6912" width="9.140625" style="78"/>
    <col min="6913" max="6913" width="3.85546875" style="78" customWidth="1"/>
    <col min="6914" max="6914" width="3" style="78" customWidth="1"/>
    <col min="6915" max="6915" width="12" style="78" customWidth="1"/>
    <col min="6916" max="6919" width="8.7109375" style="78" customWidth="1"/>
    <col min="6920" max="6920" width="21.85546875" style="78" bestFit="1" customWidth="1"/>
    <col min="6921" max="6921" width="3.140625" style="78" customWidth="1"/>
    <col min="6922" max="6922" width="32.7109375" style="78" customWidth="1"/>
    <col min="6923" max="6925" width="10.28515625" style="78" customWidth="1"/>
    <col min="6926" max="6926" width="3" style="78" customWidth="1"/>
    <col min="6927" max="6927" width="3.7109375" style="78" customWidth="1"/>
    <col min="6928" max="6928" width="3" style="78" customWidth="1"/>
    <col min="6929" max="6932" width="9.140625" style="78"/>
    <col min="6933" max="6933" width="9.140625" style="78" customWidth="1"/>
    <col min="6934" max="6936" width="9.140625" style="78"/>
    <col min="6937" max="6937" width="12.28515625" style="78" customWidth="1"/>
    <col min="6938" max="6938" width="3" style="78" customWidth="1"/>
    <col min="6939" max="7168" width="9.140625" style="78"/>
    <col min="7169" max="7169" width="3.85546875" style="78" customWidth="1"/>
    <col min="7170" max="7170" width="3" style="78" customWidth="1"/>
    <col min="7171" max="7171" width="12" style="78" customWidth="1"/>
    <col min="7172" max="7175" width="8.7109375" style="78" customWidth="1"/>
    <col min="7176" max="7176" width="21.85546875" style="78" bestFit="1" customWidth="1"/>
    <col min="7177" max="7177" width="3.140625" style="78" customWidth="1"/>
    <col min="7178" max="7178" width="32.7109375" style="78" customWidth="1"/>
    <col min="7179" max="7181" width="10.28515625" style="78" customWidth="1"/>
    <col min="7182" max="7182" width="3" style="78" customWidth="1"/>
    <col min="7183" max="7183" width="3.7109375" style="78" customWidth="1"/>
    <col min="7184" max="7184" width="3" style="78" customWidth="1"/>
    <col min="7185" max="7188" width="9.140625" style="78"/>
    <col min="7189" max="7189" width="9.140625" style="78" customWidth="1"/>
    <col min="7190" max="7192" width="9.140625" style="78"/>
    <col min="7193" max="7193" width="12.28515625" style="78" customWidth="1"/>
    <col min="7194" max="7194" width="3" style="78" customWidth="1"/>
    <col min="7195" max="7424" width="9.140625" style="78"/>
    <col min="7425" max="7425" width="3.85546875" style="78" customWidth="1"/>
    <col min="7426" max="7426" width="3" style="78" customWidth="1"/>
    <col min="7427" max="7427" width="12" style="78" customWidth="1"/>
    <col min="7428" max="7431" width="8.7109375" style="78" customWidth="1"/>
    <col min="7432" max="7432" width="21.85546875" style="78" bestFit="1" customWidth="1"/>
    <col min="7433" max="7433" width="3.140625" style="78" customWidth="1"/>
    <col min="7434" max="7434" width="32.7109375" style="78" customWidth="1"/>
    <col min="7435" max="7437" width="10.28515625" style="78" customWidth="1"/>
    <col min="7438" max="7438" width="3" style="78" customWidth="1"/>
    <col min="7439" max="7439" width="3.7109375" style="78" customWidth="1"/>
    <col min="7440" max="7440" width="3" style="78" customWidth="1"/>
    <col min="7441" max="7444" width="9.140625" style="78"/>
    <col min="7445" max="7445" width="9.140625" style="78" customWidth="1"/>
    <col min="7446" max="7448" width="9.140625" style="78"/>
    <col min="7449" max="7449" width="12.28515625" style="78" customWidth="1"/>
    <col min="7450" max="7450" width="3" style="78" customWidth="1"/>
    <col min="7451" max="7680" width="9.140625" style="78"/>
    <col min="7681" max="7681" width="3.85546875" style="78" customWidth="1"/>
    <col min="7682" max="7682" width="3" style="78" customWidth="1"/>
    <col min="7683" max="7683" width="12" style="78" customWidth="1"/>
    <col min="7684" max="7687" width="8.7109375" style="78" customWidth="1"/>
    <col min="7688" max="7688" width="21.85546875" style="78" bestFit="1" customWidth="1"/>
    <col min="7689" max="7689" width="3.140625" style="78" customWidth="1"/>
    <col min="7690" max="7690" width="32.7109375" style="78" customWidth="1"/>
    <col min="7691" max="7693" width="10.28515625" style="78" customWidth="1"/>
    <col min="7694" max="7694" width="3" style="78" customWidth="1"/>
    <col min="7695" max="7695" width="3.7109375" style="78" customWidth="1"/>
    <col min="7696" max="7696" width="3" style="78" customWidth="1"/>
    <col min="7697" max="7700" width="9.140625" style="78"/>
    <col min="7701" max="7701" width="9.140625" style="78" customWidth="1"/>
    <col min="7702" max="7704" width="9.140625" style="78"/>
    <col min="7705" max="7705" width="12.28515625" style="78" customWidth="1"/>
    <col min="7706" max="7706" width="3" style="78" customWidth="1"/>
    <col min="7707" max="7936" width="9.140625" style="78"/>
    <col min="7937" max="7937" width="3.85546875" style="78" customWidth="1"/>
    <col min="7938" max="7938" width="3" style="78" customWidth="1"/>
    <col min="7939" max="7939" width="12" style="78" customWidth="1"/>
    <col min="7940" max="7943" width="8.7109375" style="78" customWidth="1"/>
    <col min="7944" max="7944" width="21.85546875" style="78" bestFit="1" customWidth="1"/>
    <col min="7945" max="7945" width="3.140625" style="78" customWidth="1"/>
    <col min="7946" max="7946" width="32.7109375" style="78" customWidth="1"/>
    <col min="7947" max="7949" width="10.28515625" style="78" customWidth="1"/>
    <col min="7950" max="7950" width="3" style="78" customWidth="1"/>
    <col min="7951" max="7951" width="3.7109375" style="78" customWidth="1"/>
    <col min="7952" max="7952" width="3" style="78" customWidth="1"/>
    <col min="7953" max="7956" width="9.140625" style="78"/>
    <col min="7957" max="7957" width="9.140625" style="78" customWidth="1"/>
    <col min="7958" max="7960" width="9.140625" style="78"/>
    <col min="7961" max="7961" width="12.28515625" style="78" customWidth="1"/>
    <col min="7962" max="7962" width="3" style="78" customWidth="1"/>
    <col min="7963" max="8192" width="9.140625" style="78"/>
    <col min="8193" max="8193" width="3.85546875" style="78" customWidth="1"/>
    <col min="8194" max="8194" width="3" style="78" customWidth="1"/>
    <col min="8195" max="8195" width="12" style="78" customWidth="1"/>
    <col min="8196" max="8199" width="8.7109375" style="78" customWidth="1"/>
    <col min="8200" max="8200" width="21.85546875" style="78" bestFit="1" customWidth="1"/>
    <col min="8201" max="8201" width="3.140625" style="78" customWidth="1"/>
    <col min="8202" max="8202" width="32.7109375" style="78" customWidth="1"/>
    <col min="8203" max="8205" width="10.28515625" style="78" customWidth="1"/>
    <col min="8206" max="8206" width="3" style="78" customWidth="1"/>
    <col min="8207" max="8207" width="3.7109375" style="78" customWidth="1"/>
    <col min="8208" max="8208" width="3" style="78" customWidth="1"/>
    <col min="8209" max="8212" width="9.140625" style="78"/>
    <col min="8213" max="8213" width="9.140625" style="78" customWidth="1"/>
    <col min="8214" max="8216" width="9.140625" style="78"/>
    <col min="8217" max="8217" width="12.28515625" style="78" customWidth="1"/>
    <col min="8218" max="8218" width="3" style="78" customWidth="1"/>
    <col min="8219" max="8448" width="9.140625" style="78"/>
    <col min="8449" max="8449" width="3.85546875" style="78" customWidth="1"/>
    <col min="8450" max="8450" width="3" style="78" customWidth="1"/>
    <col min="8451" max="8451" width="12" style="78" customWidth="1"/>
    <col min="8452" max="8455" width="8.7109375" style="78" customWidth="1"/>
    <col min="8456" max="8456" width="21.85546875" style="78" bestFit="1" customWidth="1"/>
    <col min="8457" max="8457" width="3.140625" style="78" customWidth="1"/>
    <col min="8458" max="8458" width="32.7109375" style="78" customWidth="1"/>
    <col min="8459" max="8461" width="10.28515625" style="78" customWidth="1"/>
    <col min="8462" max="8462" width="3" style="78" customWidth="1"/>
    <col min="8463" max="8463" width="3.7109375" style="78" customWidth="1"/>
    <col min="8464" max="8464" width="3" style="78" customWidth="1"/>
    <col min="8465" max="8468" width="9.140625" style="78"/>
    <col min="8469" max="8469" width="9.140625" style="78" customWidth="1"/>
    <col min="8470" max="8472" width="9.140625" style="78"/>
    <col min="8473" max="8473" width="12.28515625" style="78" customWidth="1"/>
    <col min="8474" max="8474" width="3" style="78" customWidth="1"/>
    <col min="8475" max="8704" width="9.140625" style="78"/>
    <col min="8705" max="8705" width="3.85546875" style="78" customWidth="1"/>
    <col min="8706" max="8706" width="3" style="78" customWidth="1"/>
    <col min="8707" max="8707" width="12" style="78" customWidth="1"/>
    <col min="8708" max="8711" width="8.7109375" style="78" customWidth="1"/>
    <col min="8712" max="8712" width="21.85546875" style="78" bestFit="1" customWidth="1"/>
    <col min="8713" max="8713" width="3.140625" style="78" customWidth="1"/>
    <col min="8714" max="8714" width="32.7109375" style="78" customWidth="1"/>
    <col min="8715" max="8717" width="10.28515625" style="78" customWidth="1"/>
    <col min="8718" max="8718" width="3" style="78" customWidth="1"/>
    <col min="8719" max="8719" width="3.7109375" style="78" customWidth="1"/>
    <col min="8720" max="8720" width="3" style="78" customWidth="1"/>
    <col min="8721" max="8724" width="9.140625" style="78"/>
    <col min="8725" max="8725" width="9.140625" style="78" customWidth="1"/>
    <col min="8726" max="8728" width="9.140625" style="78"/>
    <col min="8729" max="8729" width="12.28515625" style="78" customWidth="1"/>
    <col min="8730" max="8730" width="3" style="78" customWidth="1"/>
    <col min="8731" max="8960" width="9.140625" style="78"/>
    <col min="8961" max="8961" width="3.85546875" style="78" customWidth="1"/>
    <col min="8962" max="8962" width="3" style="78" customWidth="1"/>
    <col min="8963" max="8963" width="12" style="78" customWidth="1"/>
    <col min="8964" max="8967" width="8.7109375" style="78" customWidth="1"/>
    <col min="8968" max="8968" width="21.85546875" style="78" bestFit="1" customWidth="1"/>
    <col min="8969" max="8969" width="3.140625" style="78" customWidth="1"/>
    <col min="8970" max="8970" width="32.7109375" style="78" customWidth="1"/>
    <col min="8971" max="8973" width="10.28515625" style="78" customWidth="1"/>
    <col min="8974" max="8974" width="3" style="78" customWidth="1"/>
    <col min="8975" max="8975" width="3.7109375" style="78" customWidth="1"/>
    <col min="8976" max="8976" width="3" style="78" customWidth="1"/>
    <col min="8977" max="8980" width="9.140625" style="78"/>
    <col min="8981" max="8981" width="9.140625" style="78" customWidth="1"/>
    <col min="8982" max="8984" width="9.140625" style="78"/>
    <col min="8985" max="8985" width="12.28515625" style="78" customWidth="1"/>
    <col min="8986" max="8986" width="3" style="78" customWidth="1"/>
    <col min="8987" max="9216" width="9.140625" style="78"/>
    <col min="9217" max="9217" width="3.85546875" style="78" customWidth="1"/>
    <col min="9218" max="9218" width="3" style="78" customWidth="1"/>
    <col min="9219" max="9219" width="12" style="78" customWidth="1"/>
    <col min="9220" max="9223" width="8.7109375" style="78" customWidth="1"/>
    <col min="9224" max="9224" width="21.85546875" style="78" bestFit="1" customWidth="1"/>
    <col min="9225" max="9225" width="3.140625" style="78" customWidth="1"/>
    <col min="9226" max="9226" width="32.7109375" style="78" customWidth="1"/>
    <col min="9227" max="9229" width="10.28515625" style="78" customWidth="1"/>
    <col min="9230" max="9230" width="3" style="78" customWidth="1"/>
    <col min="9231" max="9231" width="3.7109375" style="78" customWidth="1"/>
    <col min="9232" max="9232" width="3" style="78" customWidth="1"/>
    <col min="9233" max="9236" width="9.140625" style="78"/>
    <col min="9237" max="9237" width="9.140625" style="78" customWidth="1"/>
    <col min="9238" max="9240" width="9.140625" style="78"/>
    <col min="9241" max="9241" width="12.28515625" style="78" customWidth="1"/>
    <col min="9242" max="9242" width="3" style="78" customWidth="1"/>
    <col min="9243" max="9472" width="9.140625" style="78"/>
    <col min="9473" max="9473" width="3.85546875" style="78" customWidth="1"/>
    <col min="9474" max="9474" width="3" style="78" customWidth="1"/>
    <col min="9475" max="9475" width="12" style="78" customWidth="1"/>
    <col min="9476" max="9479" width="8.7109375" style="78" customWidth="1"/>
    <col min="9480" max="9480" width="21.85546875" style="78" bestFit="1" customWidth="1"/>
    <col min="9481" max="9481" width="3.140625" style="78" customWidth="1"/>
    <col min="9482" max="9482" width="32.7109375" style="78" customWidth="1"/>
    <col min="9483" max="9485" width="10.28515625" style="78" customWidth="1"/>
    <col min="9486" max="9486" width="3" style="78" customWidth="1"/>
    <col min="9487" max="9487" width="3.7109375" style="78" customWidth="1"/>
    <col min="9488" max="9488" width="3" style="78" customWidth="1"/>
    <col min="9489" max="9492" width="9.140625" style="78"/>
    <col min="9493" max="9493" width="9.140625" style="78" customWidth="1"/>
    <col min="9494" max="9496" width="9.140625" style="78"/>
    <col min="9497" max="9497" width="12.28515625" style="78" customWidth="1"/>
    <col min="9498" max="9498" width="3" style="78" customWidth="1"/>
    <col min="9499" max="9728" width="9.140625" style="78"/>
    <col min="9729" max="9729" width="3.85546875" style="78" customWidth="1"/>
    <col min="9730" max="9730" width="3" style="78" customWidth="1"/>
    <col min="9731" max="9731" width="12" style="78" customWidth="1"/>
    <col min="9732" max="9735" width="8.7109375" style="78" customWidth="1"/>
    <col min="9736" max="9736" width="21.85546875" style="78" bestFit="1" customWidth="1"/>
    <col min="9737" max="9737" width="3.140625" style="78" customWidth="1"/>
    <col min="9738" max="9738" width="32.7109375" style="78" customWidth="1"/>
    <col min="9739" max="9741" width="10.28515625" style="78" customWidth="1"/>
    <col min="9742" max="9742" width="3" style="78" customWidth="1"/>
    <col min="9743" max="9743" width="3.7109375" style="78" customWidth="1"/>
    <col min="9744" max="9744" width="3" style="78" customWidth="1"/>
    <col min="9745" max="9748" width="9.140625" style="78"/>
    <col min="9749" max="9749" width="9.140625" style="78" customWidth="1"/>
    <col min="9750" max="9752" width="9.140625" style="78"/>
    <col min="9753" max="9753" width="12.28515625" style="78" customWidth="1"/>
    <col min="9754" max="9754" width="3" style="78" customWidth="1"/>
    <col min="9755" max="9984" width="9.140625" style="78"/>
    <col min="9985" max="9985" width="3.85546875" style="78" customWidth="1"/>
    <col min="9986" max="9986" width="3" style="78" customWidth="1"/>
    <col min="9987" max="9987" width="12" style="78" customWidth="1"/>
    <col min="9988" max="9991" width="8.7109375" style="78" customWidth="1"/>
    <col min="9992" max="9992" width="21.85546875" style="78" bestFit="1" customWidth="1"/>
    <col min="9993" max="9993" width="3.140625" style="78" customWidth="1"/>
    <col min="9994" max="9994" width="32.7109375" style="78" customWidth="1"/>
    <col min="9995" max="9997" width="10.28515625" style="78" customWidth="1"/>
    <col min="9998" max="9998" width="3" style="78" customWidth="1"/>
    <col min="9999" max="9999" width="3.7109375" style="78" customWidth="1"/>
    <col min="10000" max="10000" width="3" style="78" customWidth="1"/>
    <col min="10001" max="10004" width="9.140625" style="78"/>
    <col min="10005" max="10005" width="9.140625" style="78" customWidth="1"/>
    <col min="10006" max="10008" width="9.140625" style="78"/>
    <col min="10009" max="10009" width="12.28515625" style="78" customWidth="1"/>
    <col min="10010" max="10010" width="3" style="78" customWidth="1"/>
    <col min="10011" max="10240" width="9.140625" style="78"/>
    <col min="10241" max="10241" width="3.85546875" style="78" customWidth="1"/>
    <col min="10242" max="10242" width="3" style="78" customWidth="1"/>
    <col min="10243" max="10243" width="12" style="78" customWidth="1"/>
    <col min="10244" max="10247" width="8.7109375" style="78" customWidth="1"/>
    <col min="10248" max="10248" width="21.85546875" style="78" bestFit="1" customWidth="1"/>
    <col min="10249" max="10249" width="3.140625" style="78" customWidth="1"/>
    <col min="10250" max="10250" width="32.7109375" style="78" customWidth="1"/>
    <col min="10251" max="10253" width="10.28515625" style="78" customWidth="1"/>
    <col min="10254" max="10254" width="3" style="78" customWidth="1"/>
    <col min="10255" max="10255" width="3.7109375" style="78" customWidth="1"/>
    <col min="10256" max="10256" width="3" style="78" customWidth="1"/>
    <col min="10257" max="10260" width="9.140625" style="78"/>
    <col min="10261" max="10261" width="9.140625" style="78" customWidth="1"/>
    <col min="10262" max="10264" width="9.140625" style="78"/>
    <col min="10265" max="10265" width="12.28515625" style="78" customWidth="1"/>
    <col min="10266" max="10266" width="3" style="78" customWidth="1"/>
    <col min="10267" max="10496" width="9.140625" style="78"/>
    <col min="10497" max="10497" width="3.85546875" style="78" customWidth="1"/>
    <col min="10498" max="10498" width="3" style="78" customWidth="1"/>
    <col min="10499" max="10499" width="12" style="78" customWidth="1"/>
    <col min="10500" max="10503" width="8.7109375" style="78" customWidth="1"/>
    <col min="10504" max="10504" width="21.85546875" style="78" bestFit="1" customWidth="1"/>
    <col min="10505" max="10505" width="3.140625" style="78" customWidth="1"/>
    <col min="10506" max="10506" width="32.7109375" style="78" customWidth="1"/>
    <col min="10507" max="10509" width="10.28515625" style="78" customWidth="1"/>
    <col min="10510" max="10510" width="3" style="78" customWidth="1"/>
    <col min="10511" max="10511" width="3.7109375" style="78" customWidth="1"/>
    <col min="10512" max="10512" width="3" style="78" customWidth="1"/>
    <col min="10513" max="10516" width="9.140625" style="78"/>
    <col min="10517" max="10517" width="9.140625" style="78" customWidth="1"/>
    <col min="10518" max="10520" width="9.140625" style="78"/>
    <col min="10521" max="10521" width="12.28515625" style="78" customWidth="1"/>
    <col min="10522" max="10522" width="3" style="78" customWidth="1"/>
    <col min="10523" max="10752" width="9.140625" style="78"/>
    <col min="10753" max="10753" width="3.85546875" style="78" customWidth="1"/>
    <col min="10754" max="10754" width="3" style="78" customWidth="1"/>
    <col min="10755" max="10755" width="12" style="78" customWidth="1"/>
    <col min="10756" max="10759" width="8.7109375" style="78" customWidth="1"/>
    <col min="10760" max="10760" width="21.85546875" style="78" bestFit="1" customWidth="1"/>
    <col min="10761" max="10761" width="3.140625" style="78" customWidth="1"/>
    <col min="10762" max="10762" width="32.7109375" style="78" customWidth="1"/>
    <col min="10763" max="10765" width="10.28515625" style="78" customWidth="1"/>
    <col min="10766" max="10766" width="3" style="78" customWidth="1"/>
    <col min="10767" max="10767" width="3.7109375" style="78" customWidth="1"/>
    <col min="10768" max="10768" width="3" style="78" customWidth="1"/>
    <col min="10769" max="10772" width="9.140625" style="78"/>
    <col min="10773" max="10773" width="9.140625" style="78" customWidth="1"/>
    <col min="10774" max="10776" width="9.140625" style="78"/>
    <col min="10777" max="10777" width="12.28515625" style="78" customWidth="1"/>
    <col min="10778" max="10778" width="3" style="78" customWidth="1"/>
    <col min="10779" max="11008" width="9.140625" style="78"/>
    <col min="11009" max="11009" width="3.85546875" style="78" customWidth="1"/>
    <col min="11010" max="11010" width="3" style="78" customWidth="1"/>
    <col min="11011" max="11011" width="12" style="78" customWidth="1"/>
    <col min="11012" max="11015" width="8.7109375" style="78" customWidth="1"/>
    <col min="11016" max="11016" width="21.85546875" style="78" bestFit="1" customWidth="1"/>
    <col min="11017" max="11017" width="3.140625" style="78" customWidth="1"/>
    <col min="11018" max="11018" width="32.7109375" style="78" customWidth="1"/>
    <col min="11019" max="11021" width="10.28515625" style="78" customWidth="1"/>
    <col min="11022" max="11022" width="3" style="78" customWidth="1"/>
    <col min="11023" max="11023" width="3.7109375" style="78" customWidth="1"/>
    <col min="11024" max="11024" width="3" style="78" customWidth="1"/>
    <col min="11025" max="11028" width="9.140625" style="78"/>
    <col min="11029" max="11029" width="9.140625" style="78" customWidth="1"/>
    <col min="11030" max="11032" width="9.140625" style="78"/>
    <col min="11033" max="11033" width="12.28515625" style="78" customWidth="1"/>
    <col min="11034" max="11034" width="3" style="78" customWidth="1"/>
    <col min="11035" max="11264" width="9.140625" style="78"/>
    <col min="11265" max="11265" width="3.85546875" style="78" customWidth="1"/>
    <col min="11266" max="11266" width="3" style="78" customWidth="1"/>
    <col min="11267" max="11267" width="12" style="78" customWidth="1"/>
    <col min="11268" max="11271" width="8.7109375" style="78" customWidth="1"/>
    <col min="11272" max="11272" width="21.85546875" style="78" bestFit="1" customWidth="1"/>
    <col min="11273" max="11273" width="3.140625" style="78" customWidth="1"/>
    <col min="11274" max="11274" width="32.7109375" style="78" customWidth="1"/>
    <col min="11275" max="11277" width="10.28515625" style="78" customWidth="1"/>
    <col min="11278" max="11278" width="3" style="78" customWidth="1"/>
    <col min="11279" max="11279" width="3.7109375" style="78" customWidth="1"/>
    <col min="11280" max="11280" width="3" style="78" customWidth="1"/>
    <col min="11281" max="11284" width="9.140625" style="78"/>
    <col min="11285" max="11285" width="9.140625" style="78" customWidth="1"/>
    <col min="11286" max="11288" width="9.140625" style="78"/>
    <col min="11289" max="11289" width="12.28515625" style="78" customWidth="1"/>
    <col min="11290" max="11290" width="3" style="78" customWidth="1"/>
    <col min="11291" max="11520" width="9.140625" style="78"/>
    <col min="11521" max="11521" width="3.85546875" style="78" customWidth="1"/>
    <col min="11522" max="11522" width="3" style="78" customWidth="1"/>
    <col min="11523" max="11523" width="12" style="78" customWidth="1"/>
    <col min="11524" max="11527" width="8.7109375" style="78" customWidth="1"/>
    <col min="11528" max="11528" width="21.85546875" style="78" bestFit="1" customWidth="1"/>
    <col min="11529" max="11529" width="3.140625" style="78" customWidth="1"/>
    <col min="11530" max="11530" width="32.7109375" style="78" customWidth="1"/>
    <col min="11531" max="11533" width="10.28515625" style="78" customWidth="1"/>
    <col min="11534" max="11534" width="3" style="78" customWidth="1"/>
    <col min="11535" max="11535" width="3.7109375" style="78" customWidth="1"/>
    <col min="11536" max="11536" width="3" style="78" customWidth="1"/>
    <col min="11537" max="11540" width="9.140625" style="78"/>
    <col min="11541" max="11541" width="9.140625" style="78" customWidth="1"/>
    <col min="11542" max="11544" width="9.140625" style="78"/>
    <col min="11545" max="11545" width="12.28515625" style="78" customWidth="1"/>
    <col min="11546" max="11546" width="3" style="78" customWidth="1"/>
    <col min="11547" max="11776" width="9.140625" style="78"/>
    <col min="11777" max="11777" width="3.85546875" style="78" customWidth="1"/>
    <col min="11778" max="11778" width="3" style="78" customWidth="1"/>
    <col min="11779" max="11779" width="12" style="78" customWidth="1"/>
    <col min="11780" max="11783" width="8.7109375" style="78" customWidth="1"/>
    <col min="11784" max="11784" width="21.85546875" style="78" bestFit="1" customWidth="1"/>
    <col min="11785" max="11785" width="3.140625" style="78" customWidth="1"/>
    <col min="11786" max="11786" width="32.7109375" style="78" customWidth="1"/>
    <col min="11787" max="11789" width="10.28515625" style="78" customWidth="1"/>
    <col min="11790" max="11790" width="3" style="78" customWidth="1"/>
    <col min="11791" max="11791" width="3.7109375" style="78" customWidth="1"/>
    <col min="11792" max="11792" width="3" style="78" customWidth="1"/>
    <col min="11793" max="11796" width="9.140625" style="78"/>
    <col min="11797" max="11797" width="9.140625" style="78" customWidth="1"/>
    <col min="11798" max="11800" width="9.140625" style="78"/>
    <col min="11801" max="11801" width="12.28515625" style="78" customWidth="1"/>
    <col min="11802" max="11802" width="3" style="78" customWidth="1"/>
    <col min="11803" max="12032" width="9.140625" style="78"/>
    <col min="12033" max="12033" width="3.85546875" style="78" customWidth="1"/>
    <col min="12034" max="12034" width="3" style="78" customWidth="1"/>
    <col min="12035" max="12035" width="12" style="78" customWidth="1"/>
    <col min="12036" max="12039" width="8.7109375" style="78" customWidth="1"/>
    <col min="12040" max="12040" width="21.85546875" style="78" bestFit="1" customWidth="1"/>
    <col min="12041" max="12041" width="3.140625" style="78" customWidth="1"/>
    <col min="12042" max="12042" width="32.7109375" style="78" customWidth="1"/>
    <col min="12043" max="12045" width="10.28515625" style="78" customWidth="1"/>
    <col min="12046" max="12046" width="3" style="78" customWidth="1"/>
    <col min="12047" max="12047" width="3.7109375" style="78" customWidth="1"/>
    <col min="12048" max="12048" width="3" style="78" customWidth="1"/>
    <col min="12049" max="12052" width="9.140625" style="78"/>
    <col min="12053" max="12053" width="9.140625" style="78" customWidth="1"/>
    <col min="12054" max="12056" width="9.140625" style="78"/>
    <col min="12057" max="12057" width="12.28515625" style="78" customWidth="1"/>
    <col min="12058" max="12058" width="3" style="78" customWidth="1"/>
    <col min="12059" max="12288" width="9.140625" style="78"/>
    <col min="12289" max="12289" width="3.85546875" style="78" customWidth="1"/>
    <col min="12290" max="12290" width="3" style="78" customWidth="1"/>
    <col min="12291" max="12291" width="12" style="78" customWidth="1"/>
    <col min="12292" max="12295" width="8.7109375" style="78" customWidth="1"/>
    <col min="12296" max="12296" width="21.85546875" style="78" bestFit="1" customWidth="1"/>
    <col min="12297" max="12297" width="3.140625" style="78" customWidth="1"/>
    <col min="12298" max="12298" width="32.7109375" style="78" customWidth="1"/>
    <col min="12299" max="12301" width="10.28515625" style="78" customWidth="1"/>
    <col min="12302" max="12302" width="3" style="78" customWidth="1"/>
    <col min="12303" max="12303" width="3.7109375" style="78" customWidth="1"/>
    <col min="12304" max="12304" width="3" style="78" customWidth="1"/>
    <col min="12305" max="12308" width="9.140625" style="78"/>
    <col min="12309" max="12309" width="9.140625" style="78" customWidth="1"/>
    <col min="12310" max="12312" width="9.140625" style="78"/>
    <col min="12313" max="12313" width="12.28515625" style="78" customWidth="1"/>
    <col min="12314" max="12314" width="3" style="78" customWidth="1"/>
    <col min="12315" max="12544" width="9.140625" style="78"/>
    <col min="12545" max="12545" width="3.85546875" style="78" customWidth="1"/>
    <col min="12546" max="12546" width="3" style="78" customWidth="1"/>
    <col min="12547" max="12547" width="12" style="78" customWidth="1"/>
    <col min="12548" max="12551" width="8.7109375" style="78" customWidth="1"/>
    <col min="12552" max="12552" width="21.85546875" style="78" bestFit="1" customWidth="1"/>
    <col min="12553" max="12553" width="3.140625" style="78" customWidth="1"/>
    <col min="12554" max="12554" width="32.7109375" style="78" customWidth="1"/>
    <col min="12555" max="12557" width="10.28515625" style="78" customWidth="1"/>
    <col min="12558" max="12558" width="3" style="78" customWidth="1"/>
    <col min="12559" max="12559" width="3.7109375" style="78" customWidth="1"/>
    <col min="12560" max="12560" width="3" style="78" customWidth="1"/>
    <col min="12561" max="12564" width="9.140625" style="78"/>
    <col min="12565" max="12565" width="9.140625" style="78" customWidth="1"/>
    <col min="12566" max="12568" width="9.140625" style="78"/>
    <col min="12569" max="12569" width="12.28515625" style="78" customWidth="1"/>
    <col min="12570" max="12570" width="3" style="78" customWidth="1"/>
    <col min="12571" max="12800" width="9.140625" style="78"/>
    <col min="12801" max="12801" width="3.85546875" style="78" customWidth="1"/>
    <col min="12802" max="12802" width="3" style="78" customWidth="1"/>
    <col min="12803" max="12803" width="12" style="78" customWidth="1"/>
    <col min="12804" max="12807" width="8.7109375" style="78" customWidth="1"/>
    <col min="12808" max="12808" width="21.85546875" style="78" bestFit="1" customWidth="1"/>
    <col min="12809" max="12809" width="3.140625" style="78" customWidth="1"/>
    <col min="12810" max="12810" width="32.7109375" style="78" customWidth="1"/>
    <col min="12811" max="12813" width="10.28515625" style="78" customWidth="1"/>
    <col min="12814" max="12814" width="3" style="78" customWidth="1"/>
    <col min="12815" max="12815" width="3.7109375" style="78" customWidth="1"/>
    <col min="12816" max="12816" width="3" style="78" customWidth="1"/>
    <col min="12817" max="12820" width="9.140625" style="78"/>
    <col min="12821" max="12821" width="9.140625" style="78" customWidth="1"/>
    <col min="12822" max="12824" width="9.140625" style="78"/>
    <col min="12825" max="12825" width="12.28515625" style="78" customWidth="1"/>
    <col min="12826" max="12826" width="3" style="78" customWidth="1"/>
    <col min="12827" max="13056" width="9.140625" style="78"/>
    <col min="13057" max="13057" width="3.85546875" style="78" customWidth="1"/>
    <col min="13058" max="13058" width="3" style="78" customWidth="1"/>
    <col min="13059" max="13059" width="12" style="78" customWidth="1"/>
    <col min="13060" max="13063" width="8.7109375" style="78" customWidth="1"/>
    <col min="13064" max="13064" width="21.85546875" style="78" bestFit="1" customWidth="1"/>
    <col min="13065" max="13065" width="3.140625" style="78" customWidth="1"/>
    <col min="13066" max="13066" width="32.7109375" style="78" customWidth="1"/>
    <col min="13067" max="13069" width="10.28515625" style="78" customWidth="1"/>
    <col min="13070" max="13070" width="3" style="78" customWidth="1"/>
    <col min="13071" max="13071" width="3.7109375" style="78" customWidth="1"/>
    <col min="13072" max="13072" width="3" style="78" customWidth="1"/>
    <col min="13073" max="13076" width="9.140625" style="78"/>
    <col min="13077" max="13077" width="9.140625" style="78" customWidth="1"/>
    <col min="13078" max="13080" width="9.140625" style="78"/>
    <col min="13081" max="13081" width="12.28515625" style="78" customWidth="1"/>
    <col min="13082" max="13082" width="3" style="78" customWidth="1"/>
    <col min="13083" max="13312" width="9.140625" style="78"/>
    <col min="13313" max="13313" width="3.85546875" style="78" customWidth="1"/>
    <col min="13314" max="13314" width="3" style="78" customWidth="1"/>
    <col min="13315" max="13315" width="12" style="78" customWidth="1"/>
    <col min="13316" max="13319" width="8.7109375" style="78" customWidth="1"/>
    <col min="13320" max="13320" width="21.85546875" style="78" bestFit="1" customWidth="1"/>
    <col min="13321" max="13321" width="3.140625" style="78" customWidth="1"/>
    <col min="13322" max="13322" width="32.7109375" style="78" customWidth="1"/>
    <col min="13323" max="13325" width="10.28515625" style="78" customWidth="1"/>
    <col min="13326" max="13326" width="3" style="78" customWidth="1"/>
    <col min="13327" max="13327" width="3.7109375" style="78" customWidth="1"/>
    <col min="13328" max="13328" width="3" style="78" customWidth="1"/>
    <col min="13329" max="13332" width="9.140625" style="78"/>
    <col min="13333" max="13333" width="9.140625" style="78" customWidth="1"/>
    <col min="13334" max="13336" width="9.140625" style="78"/>
    <col min="13337" max="13337" width="12.28515625" style="78" customWidth="1"/>
    <col min="13338" max="13338" width="3" style="78" customWidth="1"/>
    <col min="13339" max="13568" width="9.140625" style="78"/>
    <col min="13569" max="13569" width="3.85546875" style="78" customWidth="1"/>
    <col min="13570" max="13570" width="3" style="78" customWidth="1"/>
    <col min="13571" max="13571" width="12" style="78" customWidth="1"/>
    <col min="13572" max="13575" width="8.7109375" style="78" customWidth="1"/>
    <col min="13576" max="13576" width="21.85546875" style="78" bestFit="1" customWidth="1"/>
    <col min="13577" max="13577" width="3.140625" style="78" customWidth="1"/>
    <col min="13578" max="13578" width="32.7109375" style="78" customWidth="1"/>
    <col min="13579" max="13581" width="10.28515625" style="78" customWidth="1"/>
    <col min="13582" max="13582" width="3" style="78" customWidth="1"/>
    <col min="13583" max="13583" width="3.7109375" style="78" customWidth="1"/>
    <col min="13584" max="13584" width="3" style="78" customWidth="1"/>
    <col min="13585" max="13588" width="9.140625" style="78"/>
    <col min="13589" max="13589" width="9.140625" style="78" customWidth="1"/>
    <col min="13590" max="13592" width="9.140625" style="78"/>
    <col min="13593" max="13593" width="12.28515625" style="78" customWidth="1"/>
    <col min="13594" max="13594" width="3" style="78" customWidth="1"/>
    <col min="13595" max="13824" width="9.140625" style="78"/>
    <col min="13825" max="13825" width="3.85546875" style="78" customWidth="1"/>
    <col min="13826" max="13826" width="3" style="78" customWidth="1"/>
    <col min="13827" max="13827" width="12" style="78" customWidth="1"/>
    <col min="13828" max="13831" width="8.7109375" style="78" customWidth="1"/>
    <col min="13832" max="13832" width="21.85546875" style="78" bestFit="1" customWidth="1"/>
    <col min="13833" max="13833" width="3.140625" style="78" customWidth="1"/>
    <col min="13834" max="13834" width="32.7109375" style="78" customWidth="1"/>
    <col min="13835" max="13837" width="10.28515625" style="78" customWidth="1"/>
    <col min="13838" max="13838" width="3" style="78" customWidth="1"/>
    <col min="13839" max="13839" width="3.7109375" style="78" customWidth="1"/>
    <col min="13840" max="13840" width="3" style="78" customWidth="1"/>
    <col min="13841" max="13844" width="9.140625" style="78"/>
    <col min="13845" max="13845" width="9.140625" style="78" customWidth="1"/>
    <col min="13846" max="13848" width="9.140625" style="78"/>
    <col min="13849" max="13849" width="12.28515625" style="78" customWidth="1"/>
    <col min="13850" max="13850" width="3" style="78" customWidth="1"/>
    <col min="13851" max="14080" width="9.140625" style="78"/>
    <col min="14081" max="14081" width="3.85546875" style="78" customWidth="1"/>
    <col min="14082" max="14082" width="3" style="78" customWidth="1"/>
    <col min="14083" max="14083" width="12" style="78" customWidth="1"/>
    <col min="14084" max="14087" width="8.7109375" style="78" customWidth="1"/>
    <col min="14088" max="14088" width="21.85546875" style="78" bestFit="1" customWidth="1"/>
    <col min="14089" max="14089" width="3.140625" style="78" customWidth="1"/>
    <col min="14090" max="14090" width="32.7109375" style="78" customWidth="1"/>
    <col min="14091" max="14093" width="10.28515625" style="78" customWidth="1"/>
    <col min="14094" max="14094" width="3" style="78" customWidth="1"/>
    <col min="14095" max="14095" width="3.7109375" style="78" customWidth="1"/>
    <col min="14096" max="14096" width="3" style="78" customWidth="1"/>
    <col min="14097" max="14100" width="9.140625" style="78"/>
    <col min="14101" max="14101" width="9.140625" style="78" customWidth="1"/>
    <col min="14102" max="14104" width="9.140625" style="78"/>
    <col min="14105" max="14105" width="12.28515625" style="78" customWidth="1"/>
    <col min="14106" max="14106" width="3" style="78" customWidth="1"/>
    <col min="14107" max="14336" width="9.140625" style="78"/>
    <col min="14337" max="14337" width="3.85546875" style="78" customWidth="1"/>
    <col min="14338" max="14338" width="3" style="78" customWidth="1"/>
    <col min="14339" max="14339" width="12" style="78" customWidth="1"/>
    <col min="14340" max="14343" width="8.7109375" style="78" customWidth="1"/>
    <col min="14344" max="14344" width="21.85546875" style="78" bestFit="1" customWidth="1"/>
    <col min="14345" max="14345" width="3.140625" style="78" customWidth="1"/>
    <col min="14346" max="14346" width="32.7109375" style="78" customWidth="1"/>
    <col min="14347" max="14349" width="10.28515625" style="78" customWidth="1"/>
    <col min="14350" max="14350" width="3" style="78" customWidth="1"/>
    <col min="14351" max="14351" width="3.7109375" style="78" customWidth="1"/>
    <col min="14352" max="14352" width="3" style="78" customWidth="1"/>
    <col min="14353" max="14356" width="9.140625" style="78"/>
    <col min="14357" max="14357" width="9.140625" style="78" customWidth="1"/>
    <col min="14358" max="14360" width="9.140625" style="78"/>
    <col min="14361" max="14361" width="12.28515625" style="78" customWidth="1"/>
    <col min="14362" max="14362" width="3" style="78" customWidth="1"/>
    <col min="14363" max="14592" width="9.140625" style="78"/>
    <col min="14593" max="14593" width="3.85546875" style="78" customWidth="1"/>
    <col min="14594" max="14594" width="3" style="78" customWidth="1"/>
    <col min="14595" max="14595" width="12" style="78" customWidth="1"/>
    <col min="14596" max="14599" width="8.7109375" style="78" customWidth="1"/>
    <col min="14600" max="14600" width="21.85546875" style="78" bestFit="1" customWidth="1"/>
    <col min="14601" max="14601" width="3.140625" style="78" customWidth="1"/>
    <col min="14602" max="14602" width="32.7109375" style="78" customWidth="1"/>
    <col min="14603" max="14605" width="10.28515625" style="78" customWidth="1"/>
    <col min="14606" max="14606" width="3" style="78" customWidth="1"/>
    <col min="14607" max="14607" width="3.7109375" style="78" customWidth="1"/>
    <col min="14608" max="14608" width="3" style="78" customWidth="1"/>
    <col min="14609" max="14612" width="9.140625" style="78"/>
    <col min="14613" max="14613" width="9.140625" style="78" customWidth="1"/>
    <col min="14614" max="14616" width="9.140625" style="78"/>
    <col min="14617" max="14617" width="12.28515625" style="78" customWidth="1"/>
    <col min="14618" max="14618" width="3" style="78" customWidth="1"/>
    <col min="14619" max="14848" width="9.140625" style="78"/>
    <col min="14849" max="14849" width="3.85546875" style="78" customWidth="1"/>
    <col min="14850" max="14850" width="3" style="78" customWidth="1"/>
    <col min="14851" max="14851" width="12" style="78" customWidth="1"/>
    <col min="14852" max="14855" width="8.7109375" style="78" customWidth="1"/>
    <col min="14856" max="14856" width="21.85546875" style="78" bestFit="1" customWidth="1"/>
    <col min="14857" max="14857" width="3.140625" style="78" customWidth="1"/>
    <col min="14858" max="14858" width="32.7109375" style="78" customWidth="1"/>
    <col min="14859" max="14861" width="10.28515625" style="78" customWidth="1"/>
    <col min="14862" max="14862" width="3" style="78" customWidth="1"/>
    <col min="14863" max="14863" width="3.7109375" style="78" customWidth="1"/>
    <col min="14864" max="14864" width="3" style="78" customWidth="1"/>
    <col min="14865" max="14868" width="9.140625" style="78"/>
    <col min="14869" max="14869" width="9.140625" style="78" customWidth="1"/>
    <col min="14870" max="14872" width="9.140625" style="78"/>
    <col min="14873" max="14873" width="12.28515625" style="78" customWidth="1"/>
    <col min="14874" max="14874" width="3" style="78" customWidth="1"/>
    <col min="14875" max="15104" width="9.140625" style="78"/>
    <col min="15105" max="15105" width="3.85546875" style="78" customWidth="1"/>
    <col min="15106" max="15106" width="3" style="78" customWidth="1"/>
    <col min="15107" max="15107" width="12" style="78" customWidth="1"/>
    <col min="15108" max="15111" width="8.7109375" style="78" customWidth="1"/>
    <col min="15112" max="15112" width="21.85546875" style="78" bestFit="1" customWidth="1"/>
    <col min="15113" max="15113" width="3.140625" style="78" customWidth="1"/>
    <col min="15114" max="15114" width="32.7109375" style="78" customWidth="1"/>
    <col min="15115" max="15117" width="10.28515625" style="78" customWidth="1"/>
    <col min="15118" max="15118" width="3" style="78" customWidth="1"/>
    <col min="15119" max="15119" width="3.7109375" style="78" customWidth="1"/>
    <col min="15120" max="15120" width="3" style="78" customWidth="1"/>
    <col min="15121" max="15124" width="9.140625" style="78"/>
    <col min="15125" max="15125" width="9.140625" style="78" customWidth="1"/>
    <col min="15126" max="15128" width="9.140625" style="78"/>
    <col min="15129" max="15129" width="12.28515625" style="78" customWidth="1"/>
    <col min="15130" max="15130" width="3" style="78" customWidth="1"/>
    <col min="15131" max="15360" width="9.140625" style="78"/>
    <col min="15361" max="15361" width="3.85546875" style="78" customWidth="1"/>
    <col min="15362" max="15362" width="3" style="78" customWidth="1"/>
    <col min="15363" max="15363" width="12" style="78" customWidth="1"/>
    <col min="15364" max="15367" width="8.7109375" style="78" customWidth="1"/>
    <col min="15368" max="15368" width="21.85546875" style="78" bestFit="1" customWidth="1"/>
    <col min="15369" max="15369" width="3.140625" style="78" customWidth="1"/>
    <col min="15370" max="15370" width="32.7109375" style="78" customWidth="1"/>
    <col min="15371" max="15373" width="10.28515625" style="78" customWidth="1"/>
    <col min="15374" max="15374" width="3" style="78" customWidth="1"/>
    <col min="15375" max="15375" width="3.7109375" style="78" customWidth="1"/>
    <col min="15376" max="15376" width="3" style="78" customWidth="1"/>
    <col min="15377" max="15380" width="9.140625" style="78"/>
    <col min="15381" max="15381" width="9.140625" style="78" customWidth="1"/>
    <col min="15382" max="15384" width="9.140625" style="78"/>
    <col min="15385" max="15385" width="12.28515625" style="78" customWidth="1"/>
    <col min="15386" max="15386" width="3" style="78" customWidth="1"/>
    <col min="15387" max="15616" width="9.140625" style="78"/>
    <col min="15617" max="15617" width="3.85546875" style="78" customWidth="1"/>
    <col min="15618" max="15618" width="3" style="78" customWidth="1"/>
    <col min="15619" max="15619" width="12" style="78" customWidth="1"/>
    <col min="15620" max="15623" width="8.7109375" style="78" customWidth="1"/>
    <col min="15624" max="15624" width="21.85546875" style="78" bestFit="1" customWidth="1"/>
    <col min="15625" max="15625" width="3.140625" style="78" customWidth="1"/>
    <col min="15626" max="15626" width="32.7109375" style="78" customWidth="1"/>
    <col min="15627" max="15629" width="10.28515625" style="78" customWidth="1"/>
    <col min="15630" max="15630" width="3" style="78" customWidth="1"/>
    <col min="15631" max="15631" width="3.7109375" style="78" customWidth="1"/>
    <col min="15632" max="15632" width="3" style="78" customWidth="1"/>
    <col min="15633" max="15636" width="9.140625" style="78"/>
    <col min="15637" max="15637" width="9.140625" style="78" customWidth="1"/>
    <col min="15638" max="15640" width="9.140625" style="78"/>
    <col min="15641" max="15641" width="12.28515625" style="78" customWidth="1"/>
    <col min="15642" max="15642" width="3" style="78" customWidth="1"/>
    <col min="15643" max="15872" width="9.140625" style="78"/>
    <col min="15873" max="15873" width="3.85546875" style="78" customWidth="1"/>
    <col min="15874" max="15874" width="3" style="78" customWidth="1"/>
    <col min="15875" max="15875" width="12" style="78" customWidth="1"/>
    <col min="15876" max="15879" width="8.7109375" style="78" customWidth="1"/>
    <col min="15880" max="15880" width="21.85546875" style="78" bestFit="1" customWidth="1"/>
    <col min="15881" max="15881" width="3.140625" style="78" customWidth="1"/>
    <col min="15882" max="15882" width="32.7109375" style="78" customWidth="1"/>
    <col min="15883" max="15885" width="10.28515625" style="78" customWidth="1"/>
    <col min="15886" max="15886" width="3" style="78" customWidth="1"/>
    <col min="15887" max="15887" width="3.7109375" style="78" customWidth="1"/>
    <col min="15888" max="15888" width="3" style="78" customWidth="1"/>
    <col min="15889" max="15892" width="9.140625" style="78"/>
    <col min="15893" max="15893" width="9.140625" style="78" customWidth="1"/>
    <col min="15894" max="15896" width="9.140625" style="78"/>
    <col min="15897" max="15897" width="12.28515625" style="78" customWidth="1"/>
    <col min="15898" max="15898" width="3" style="78" customWidth="1"/>
    <col min="15899" max="16128" width="9.140625" style="78"/>
    <col min="16129" max="16129" width="3.85546875" style="78" customWidth="1"/>
    <col min="16130" max="16130" width="3" style="78" customWidth="1"/>
    <col min="16131" max="16131" width="12" style="78" customWidth="1"/>
    <col min="16132" max="16135" width="8.7109375" style="78" customWidth="1"/>
    <col min="16136" max="16136" width="21.85546875" style="78" bestFit="1" customWidth="1"/>
    <col min="16137" max="16137" width="3.140625" style="78" customWidth="1"/>
    <col min="16138" max="16138" width="32.7109375" style="78" customWidth="1"/>
    <col min="16139" max="16141" width="10.28515625" style="78" customWidth="1"/>
    <col min="16142" max="16142" width="3" style="78" customWidth="1"/>
    <col min="16143" max="16143" width="3.7109375" style="78" customWidth="1"/>
    <col min="16144" max="16144" width="3" style="78" customWidth="1"/>
    <col min="16145" max="16148" width="9.140625" style="78"/>
    <col min="16149" max="16149" width="9.140625" style="78" customWidth="1"/>
    <col min="16150" max="16152" width="9.140625" style="78"/>
    <col min="16153" max="16153" width="12.28515625" style="78" customWidth="1"/>
    <col min="16154" max="16154" width="3" style="78" customWidth="1"/>
    <col min="16155" max="16384" width="9.140625" style="78"/>
  </cols>
  <sheetData>
    <row r="2" spans="1:35" ht="13.5" thickBot="1"/>
    <row r="3" spans="1:35" ht="13.5" thickBot="1">
      <c r="B3" s="139"/>
      <c r="C3" s="140"/>
      <c r="D3" s="140"/>
      <c r="E3" s="140"/>
      <c r="F3" s="140"/>
      <c r="G3" s="140"/>
      <c r="H3" s="140"/>
      <c r="I3" s="140"/>
      <c r="J3" s="140"/>
      <c r="K3" s="140"/>
      <c r="L3" s="140"/>
      <c r="M3" s="140"/>
      <c r="N3" s="141"/>
    </row>
    <row r="4" spans="1:35" ht="15.75">
      <c r="B4" s="142"/>
      <c r="C4" s="1418" t="s">
        <v>897</v>
      </c>
      <c r="D4" s="1419"/>
      <c r="E4" s="1420"/>
      <c r="F4" s="1421"/>
      <c r="G4" s="1421"/>
      <c r="H4" s="1421"/>
      <c r="I4" s="1421"/>
      <c r="J4" s="1421"/>
      <c r="K4" s="1421"/>
      <c r="L4" s="1421"/>
      <c r="M4" s="1422"/>
      <c r="N4" s="143"/>
    </row>
    <row r="5" spans="1:35" ht="16.5" thickBot="1">
      <c r="B5" s="142"/>
      <c r="C5" s="1423" t="s">
        <v>898</v>
      </c>
      <c r="D5" s="1424"/>
      <c r="E5" s="1425"/>
      <c r="F5" s="1426"/>
      <c r="G5" s="1426"/>
      <c r="H5" s="1426"/>
      <c r="I5" s="1426"/>
      <c r="J5" s="1426"/>
      <c r="K5" s="1426"/>
      <c r="L5" s="1426"/>
      <c r="M5" s="1427"/>
      <c r="N5" s="143"/>
    </row>
    <row r="6" spans="1:35" ht="13.5" customHeight="1" thickBot="1">
      <c r="B6" s="144"/>
      <c r="C6" s="145"/>
      <c r="D6" s="145"/>
      <c r="E6" s="145"/>
      <c r="F6" s="145"/>
      <c r="G6" s="145"/>
      <c r="H6" s="145"/>
      <c r="I6" s="145"/>
      <c r="J6" s="145"/>
      <c r="K6" s="145"/>
      <c r="L6" s="145"/>
      <c r="M6" s="145"/>
      <c r="N6" s="146"/>
    </row>
    <row r="7" spans="1:35" ht="13.5" customHeight="1" thickBot="1"/>
    <row r="8" spans="1:35" ht="18.75" thickBot="1">
      <c r="A8" s="147"/>
      <c r="B8" s="1404" t="s">
        <v>1546</v>
      </c>
      <c r="C8" s="1405"/>
      <c r="D8" s="1405"/>
      <c r="E8" s="1405"/>
      <c r="F8" s="1405"/>
      <c r="G8" s="1405"/>
      <c r="H8" s="1405"/>
      <c r="I8" s="1405"/>
      <c r="J8" s="1405"/>
      <c r="K8" s="1405"/>
      <c r="L8" s="1405"/>
      <c r="M8" s="1405"/>
      <c r="N8" s="1406"/>
      <c r="P8" s="1404" t="s">
        <v>899</v>
      </c>
      <c r="Q8" s="1405"/>
      <c r="R8" s="1405"/>
      <c r="S8" s="1405"/>
      <c r="T8" s="1405"/>
      <c r="U8" s="1405"/>
      <c r="V8" s="1405"/>
      <c r="W8" s="1405"/>
      <c r="X8" s="1405"/>
      <c r="Y8" s="1405"/>
      <c r="Z8" s="1406"/>
      <c r="AA8" s="77"/>
      <c r="AB8" s="77" t="s">
        <v>953</v>
      </c>
      <c r="AD8" s="1314" t="s">
        <v>1923</v>
      </c>
      <c r="AE8" s="1312"/>
      <c r="AF8" s="1312"/>
      <c r="AG8" s="1312"/>
      <c r="AH8" s="1312"/>
      <c r="AI8" s="1313"/>
    </row>
    <row r="9" spans="1:35" ht="13.5" thickBot="1">
      <c r="B9" s="139"/>
      <c r="C9" s="148"/>
      <c r="D9" s="148"/>
      <c r="E9" s="148"/>
      <c r="F9" s="148"/>
      <c r="G9" s="148"/>
      <c r="H9" s="148"/>
      <c r="I9" s="148"/>
      <c r="J9" s="140"/>
      <c r="K9" s="140"/>
      <c r="L9" s="140"/>
      <c r="M9" s="140"/>
      <c r="N9" s="141"/>
      <c r="P9" s="139"/>
      <c r="Q9" s="149"/>
      <c r="R9" s="140"/>
      <c r="S9" s="140"/>
      <c r="T9" s="140"/>
      <c r="U9" s="140"/>
      <c r="V9" s="150"/>
      <c r="W9" s="140"/>
      <c r="X9" s="140"/>
      <c r="Y9" s="140"/>
      <c r="Z9" s="141"/>
      <c r="AB9" s="78" t="s">
        <v>1045</v>
      </c>
      <c r="AD9" s="139"/>
      <c r="AE9" s="1322"/>
      <c r="AF9" s="1323"/>
      <c r="AG9" s="1324" t="s">
        <v>1916</v>
      </c>
      <c r="AH9" s="1321" t="s">
        <v>1917</v>
      </c>
      <c r="AI9" s="141"/>
    </row>
    <row r="10" spans="1:35" ht="13.5" thickBot="1">
      <c r="B10" s="142"/>
      <c r="C10" s="1408" t="s">
        <v>900</v>
      </c>
      <c r="D10" s="1409"/>
      <c r="E10" s="1409"/>
      <c r="F10" s="1409"/>
      <c r="G10" s="1409"/>
      <c r="H10" s="1410"/>
      <c r="I10" s="151"/>
      <c r="J10" s="1408" t="s">
        <v>45</v>
      </c>
      <c r="K10" s="1409"/>
      <c r="L10" s="1409"/>
      <c r="M10" s="1410"/>
      <c r="N10" s="152"/>
      <c r="P10" s="142"/>
      <c r="Q10" s="153" t="s">
        <v>901</v>
      </c>
      <c r="R10" s="154"/>
      <c r="S10" s="154"/>
      <c r="T10" s="154"/>
      <c r="U10" s="154"/>
      <c r="V10" s="155"/>
      <c r="W10" s="154"/>
      <c r="X10" s="154"/>
      <c r="Y10" s="156"/>
      <c r="Z10" s="143"/>
      <c r="AB10" s="78" t="s">
        <v>955</v>
      </c>
      <c r="AD10" s="142"/>
      <c r="AE10" s="1202"/>
      <c r="AF10" s="1325" t="s">
        <v>1921</v>
      </c>
      <c r="AG10" s="1322"/>
      <c r="AH10" s="1306">
        <v>300</v>
      </c>
      <c r="AI10" s="143"/>
    </row>
    <row r="11" spans="1:35" ht="13.5" thickBot="1">
      <c r="B11" s="142"/>
      <c r="C11" s="1411" t="s">
        <v>46</v>
      </c>
      <c r="D11" s="1412"/>
      <c r="E11" s="1412"/>
      <c r="F11" s="1412"/>
      <c r="G11" s="1413"/>
      <c r="H11" s="445">
        <v>6.3</v>
      </c>
      <c r="I11" s="151"/>
      <c r="J11" s="1414" t="s">
        <v>47</v>
      </c>
      <c r="K11" s="1414"/>
      <c r="L11" s="1415" t="s">
        <v>48</v>
      </c>
      <c r="M11" s="1415"/>
      <c r="N11" s="152"/>
      <c r="P11" s="142"/>
      <c r="Q11" s="157" t="s">
        <v>902</v>
      </c>
      <c r="R11" s="158"/>
      <c r="S11" s="158"/>
      <c r="T11" s="158"/>
      <c r="U11" s="158"/>
      <c r="V11" s="159"/>
      <c r="W11" s="158"/>
      <c r="X11" s="158"/>
      <c r="Y11" s="160"/>
      <c r="Z11" s="143"/>
      <c r="AB11" s="78" t="s">
        <v>954</v>
      </c>
      <c r="AD11" s="142"/>
      <c r="AE11" s="1179" t="s">
        <v>1919</v>
      </c>
      <c r="AF11" s="1318"/>
      <c r="AG11" s="1309">
        <v>45</v>
      </c>
      <c r="AH11" s="1316"/>
      <c r="AI11" s="143"/>
    </row>
    <row r="12" spans="1:35" ht="13.5" thickBot="1">
      <c r="B12" s="142"/>
      <c r="C12" s="161"/>
      <c r="D12" s="161"/>
      <c r="E12" s="161"/>
      <c r="F12" s="161"/>
      <c r="G12" s="161"/>
      <c r="H12" s="161"/>
      <c r="I12" s="151"/>
      <c r="J12" s="1403" t="s">
        <v>49</v>
      </c>
      <c r="K12" s="1403"/>
      <c r="L12" s="1407">
        <v>12</v>
      </c>
      <c r="M12" s="1407"/>
      <c r="N12" s="143"/>
      <c r="P12" s="142"/>
      <c r="Q12" s="157" t="s">
        <v>903</v>
      </c>
      <c r="R12" s="158"/>
      <c r="S12" s="158"/>
      <c r="T12" s="158"/>
      <c r="U12" s="158"/>
      <c r="V12" s="159"/>
      <c r="W12" s="158"/>
      <c r="X12" s="158"/>
      <c r="Y12" s="160"/>
      <c r="Z12" s="143"/>
      <c r="AB12" s="78" t="s">
        <v>1515</v>
      </c>
      <c r="AD12" s="142"/>
      <c r="AE12" s="1319"/>
      <c r="AF12" s="1318" t="s">
        <v>1921</v>
      </c>
      <c r="AG12" s="1315"/>
      <c r="AH12" s="1307">
        <v>350</v>
      </c>
      <c r="AI12" s="143"/>
    </row>
    <row r="13" spans="1:35" ht="13.5" thickBot="1">
      <c r="B13" s="142"/>
      <c r="C13" s="1408" t="s">
        <v>50</v>
      </c>
      <c r="D13" s="1409"/>
      <c r="E13" s="1409"/>
      <c r="F13" s="1409"/>
      <c r="G13" s="1409"/>
      <c r="H13" s="1410"/>
      <c r="I13" s="151"/>
      <c r="J13" s="1416" t="s">
        <v>51</v>
      </c>
      <c r="K13" s="1416"/>
      <c r="L13" s="1415" t="s">
        <v>52</v>
      </c>
      <c r="M13" s="1415"/>
      <c r="N13" s="152"/>
      <c r="P13" s="142"/>
      <c r="Q13" s="162" t="s">
        <v>904</v>
      </c>
      <c r="R13" s="163"/>
      <c r="S13" s="163"/>
      <c r="T13" s="163"/>
      <c r="U13" s="163"/>
      <c r="V13" s="158"/>
      <c r="W13" s="163"/>
      <c r="X13" s="163"/>
      <c r="Y13" s="164"/>
      <c r="Z13" s="143"/>
      <c r="AB13" s="78" t="s">
        <v>956</v>
      </c>
      <c r="AD13" s="142"/>
      <c r="AE13" s="1179" t="s">
        <v>1922</v>
      </c>
      <c r="AF13" s="1318"/>
      <c r="AG13" s="1309">
        <v>55</v>
      </c>
      <c r="AH13" s="1316"/>
      <c r="AI13" s="143"/>
    </row>
    <row r="14" spans="1:35" ht="13.5" thickBot="1">
      <c r="B14" s="142"/>
      <c r="C14" s="1414" t="s">
        <v>905</v>
      </c>
      <c r="D14" s="1414"/>
      <c r="E14" s="1414"/>
      <c r="F14" s="1414"/>
      <c r="G14" s="1414"/>
      <c r="H14" s="488">
        <v>100</v>
      </c>
      <c r="I14" s="151"/>
      <c r="J14" s="1417" t="s">
        <v>906</v>
      </c>
      <c r="K14" s="1417"/>
      <c r="L14" s="1428">
        <v>10.5</v>
      </c>
      <c r="M14" s="1428"/>
      <c r="N14" s="152"/>
      <c r="P14" s="142"/>
      <c r="Q14" s="162" t="s">
        <v>907</v>
      </c>
      <c r="R14" s="163"/>
      <c r="S14" s="163"/>
      <c r="T14" s="163"/>
      <c r="U14" s="163"/>
      <c r="V14" s="158"/>
      <c r="W14" s="163"/>
      <c r="X14" s="163"/>
      <c r="Y14" s="164"/>
      <c r="Z14" s="143"/>
      <c r="AB14" s="78" t="s">
        <v>1221</v>
      </c>
      <c r="AD14" s="142"/>
      <c r="AE14" s="1319"/>
      <c r="AF14" s="1318" t="s">
        <v>1921</v>
      </c>
      <c r="AG14" s="1315"/>
      <c r="AH14" s="1307">
        <v>400</v>
      </c>
      <c r="AI14" s="143"/>
    </row>
    <row r="15" spans="1:35" ht="13.5" thickBot="1">
      <c r="B15" s="142"/>
      <c r="C15" s="1403" t="s">
        <v>53</v>
      </c>
      <c r="D15" s="1403"/>
      <c r="E15" s="1403"/>
      <c r="F15" s="1403"/>
      <c r="G15" s="1403"/>
      <c r="H15" s="1363" t="s">
        <v>52</v>
      </c>
      <c r="I15" s="151"/>
      <c r="J15" s="1429" t="s">
        <v>908</v>
      </c>
      <c r="K15" s="1429"/>
      <c r="L15" s="1430" t="s">
        <v>52</v>
      </c>
      <c r="M15" s="1430"/>
      <c r="N15" s="152"/>
      <c r="P15" s="142"/>
      <c r="Q15" s="157" t="s">
        <v>909</v>
      </c>
      <c r="R15" s="158"/>
      <c r="S15" s="158"/>
      <c r="T15" s="158"/>
      <c r="U15" s="158"/>
      <c r="V15" s="158"/>
      <c r="W15" s="158"/>
      <c r="X15" s="158"/>
      <c r="Y15" s="160"/>
      <c r="Z15" s="143"/>
      <c r="AB15" s="78" t="s">
        <v>1222</v>
      </c>
      <c r="AD15" s="142"/>
      <c r="AE15" s="1179" t="s">
        <v>1920</v>
      </c>
      <c r="AF15" s="1318"/>
      <c r="AG15" s="1309">
        <v>65</v>
      </c>
      <c r="AH15" s="1316"/>
      <c r="AI15" s="143"/>
    </row>
    <row r="16" spans="1:35" ht="13.5" thickBot="1">
      <c r="B16" s="142"/>
      <c r="C16" s="1431" t="s">
        <v>910</v>
      </c>
      <c r="D16" s="1431"/>
      <c r="E16" s="1431"/>
      <c r="F16" s="1431"/>
      <c r="G16" s="1431"/>
      <c r="H16" s="495">
        <v>32</v>
      </c>
      <c r="I16" s="151"/>
      <c r="J16" s="1432" t="s">
        <v>911</v>
      </c>
      <c r="K16" s="1432"/>
      <c r="L16" s="1433">
        <v>500</v>
      </c>
      <c r="M16" s="1433"/>
      <c r="N16" s="165"/>
      <c r="P16" s="142"/>
      <c r="Q16" s="157" t="s">
        <v>912</v>
      </c>
      <c r="R16" s="158"/>
      <c r="S16" s="158"/>
      <c r="T16" s="158"/>
      <c r="U16" s="158"/>
      <c r="V16" s="158"/>
      <c r="W16" s="158"/>
      <c r="X16" s="158"/>
      <c r="Y16" s="160"/>
      <c r="Z16" s="143"/>
      <c r="AB16" s="78" t="s">
        <v>1516</v>
      </c>
      <c r="AD16" s="142"/>
      <c r="AE16" s="173"/>
      <c r="AF16" s="1320" t="s">
        <v>1921</v>
      </c>
      <c r="AG16" s="1317"/>
      <c r="AH16" s="1308">
        <v>450</v>
      </c>
      <c r="AI16" s="143"/>
    </row>
    <row r="17" spans="2:35" ht="13.5" thickBot="1">
      <c r="B17" s="142"/>
      <c r="C17" s="1414" t="s">
        <v>913</v>
      </c>
      <c r="D17" s="1414"/>
      <c r="E17" s="1414"/>
      <c r="F17" s="1414"/>
      <c r="G17" s="1414"/>
      <c r="H17" s="1364" t="s">
        <v>52</v>
      </c>
      <c r="I17" s="166"/>
      <c r="J17" s="1432" t="s">
        <v>914</v>
      </c>
      <c r="K17" s="1432"/>
      <c r="L17" s="1433">
        <v>600</v>
      </c>
      <c r="M17" s="1433"/>
      <c r="N17" s="165"/>
      <c r="P17" s="142"/>
      <c r="Q17" s="162" t="s">
        <v>915</v>
      </c>
      <c r="R17" s="158"/>
      <c r="S17" s="158"/>
      <c r="T17" s="158"/>
      <c r="U17" s="158"/>
      <c r="V17" s="158"/>
      <c r="W17" s="158"/>
      <c r="X17" s="158"/>
      <c r="Y17" s="160"/>
      <c r="Z17" s="143"/>
      <c r="AB17" s="78" t="s">
        <v>1223</v>
      </c>
      <c r="AD17" s="177"/>
      <c r="AE17" s="178" t="s">
        <v>1918</v>
      </c>
      <c r="AF17" s="178"/>
      <c r="AG17" s="178"/>
      <c r="AH17" s="178"/>
      <c r="AI17" s="179"/>
    </row>
    <row r="18" spans="2:35" ht="13.5" thickBot="1">
      <c r="B18" s="142"/>
      <c r="C18" s="1432" t="s">
        <v>916</v>
      </c>
      <c r="D18" s="1432"/>
      <c r="E18" s="1432"/>
      <c r="F18" s="1432"/>
      <c r="G18" s="1432"/>
      <c r="H18" s="489">
        <v>100</v>
      </c>
      <c r="I18" s="152"/>
      <c r="J18" s="1243" t="s">
        <v>1679</v>
      </c>
      <c r="K18" s="1246" t="s">
        <v>1906</v>
      </c>
      <c r="L18" s="1407">
        <v>175</v>
      </c>
      <c r="M18" s="1407"/>
      <c r="N18" s="165"/>
      <c r="P18" s="142"/>
      <c r="Q18" s="162" t="s">
        <v>917</v>
      </c>
      <c r="R18" s="158"/>
      <c r="S18" s="158"/>
      <c r="T18" s="158"/>
      <c r="U18" s="158"/>
      <c r="V18" s="158"/>
      <c r="W18" s="158"/>
      <c r="X18" s="158"/>
      <c r="Y18" s="160"/>
      <c r="Z18" s="143"/>
      <c r="AB18" s="78" t="s">
        <v>958</v>
      </c>
    </row>
    <row r="19" spans="2:35" ht="13.5" thickBot="1">
      <c r="B19" s="142"/>
      <c r="C19" s="1403" t="s">
        <v>918</v>
      </c>
      <c r="D19" s="1403"/>
      <c r="E19" s="1403"/>
      <c r="F19" s="1403"/>
      <c r="G19" s="1403"/>
      <c r="H19" s="491">
        <v>250</v>
      </c>
      <c r="I19" s="166"/>
      <c r="J19" s="167"/>
      <c r="K19" s="167"/>
      <c r="L19" s="167"/>
      <c r="M19" s="167"/>
      <c r="N19" s="165"/>
      <c r="P19" s="168"/>
      <c r="Q19" s="169" t="s">
        <v>919</v>
      </c>
      <c r="R19" s="170"/>
      <c r="S19" s="158"/>
      <c r="T19" s="158"/>
      <c r="U19" s="158"/>
      <c r="V19" s="158"/>
      <c r="W19" s="158"/>
      <c r="X19" s="158"/>
      <c r="Y19" s="160"/>
      <c r="Z19" s="143"/>
      <c r="AB19" s="78" t="s">
        <v>1224</v>
      </c>
    </row>
    <row r="20" spans="2:35" ht="13.5" thickBot="1">
      <c r="B20" s="142"/>
      <c r="C20" s="1438" t="s">
        <v>54</v>
      </c>
      <c r="D20" s="1438"/>
      <c r="E20" s="1438"/>
      <c r="F20" s="1438"/>
      <c r="G20" s="1438"/>
      <c r="H20" s="496">
        <v>150</v>
      </c>
      <c r="I20" s="166"/>
      <c r="J20" s="1408" t="s">
        <v>920</v>
      </c>
      <c r="K20" s="1409"/>
      <c r="L20" s="1409"/>
      <c r="M20" s="1410"/>
      <c r="N20" s="143"/>
      <c r="P20" s="171"/>
      <c r="Q20" s="169" t="s">
        <v>921</v>
      </c>
      <c r="R20" s="170"/>
      <c r="S20" s="158"/>
      <c r="T20" s="158"/>
      <c r="U20" s="158"/>
      <c r="V20" s="158"/>
      <c r="W20" s="158"/>
      <c r="X20" s="158"/>
      <c r="Y20" s="160"/>
      <c r="Z20" s="143"/>
      <c r="AB20" s="78" t="s">
        <v>1225</v>
      </c>
    </row>
    <row r="21" spans="2:35" ht="13.5" customHeight="1" thickBot="1">
      <c r="B21" s="142"/>
      <c r="C21" s="1402" t="s">
        <v>1052</v>
      </c>
      <c r="D21" s="1402"/>
      <c r="E21" s="1402"/>
      <c r="F21" s="1402"/>
      <c r="G21" s="1402"/>
      <c r="H21" s="500" t="s">
        <v>52</v>
      </c>
      <c r="I21" s="166"/>
      <c r="J21" s="1439" t="s">
        <v>922</v>
      </c>
      <c r="K21" s="1440"/>
      <c r="L21" s="1441">
        <v>1550</v>
      </c>
      <c r="M21" s="1442"/>
      <c r="N21" s="143"/>
      <c r="P21" s="171"/>
      <c r="Q21" s="169" t="s">
        <v>923</v>
      </c>
      <c r="R21" s="170"/>
      <c r="S21" s="158"/>
      <c r="T21" s="158"/>
      <c r="U21" s="158"/>
      <c r="V21" s="158"/>
      <c r="W21" s="158"/>
      <c r="X21" s="158"/>
      <c r="Y21" s="160"/>
      <c r="Z21" s="143"/>
      <c r="AB21" s="78" t="s">
        <v>1681</v>
      </c>
    </row>
    <row r="22" spans="2:35" ht="13.5" thickBot="1">
      <c r="B22" s="142"/>
      <c r="C22" s="1403" t="s">
        <v>1053</v>
      </c>
      <c r="D22" s="1403"/>
      <c r="E22" s="1403"/>
      <c r="F22" s="1403"/>
      <c r="G22" s="1403"/>
      <c r="H22" s="1301" t="s">
        <v>52</v>
      </c>
      <c r="I22" s="166"/>
      <c r="J22" s="1434" t="s">
        <v>924</v>
      </c>
      <c r="K22" s="1435"/>
      <c r="L22" s="1436">
        <v>80</v>
      </c>
      <c r="M22" s="1437"/>
      <c r="N22" s="143"/>
      <c r="P22" s="171"/>
      <c r="Q22" s="169" t="s">
        <v>925</v>
      </c>
      <c r="R22" s="170"/>
      <c r="S22" s="158"/>
      <c r="T22" s="158"/>
      <c r="U22" s="158"/>
      <c r="V22" s="158"/>
      <c r="W22" s="158"/>
      <c r="X22" s="158"/>
      <c r="Y22" s="160"/>
      <c r="Z22" s="143"/>
      <c r="AB22" s="1244" t="s">
        <v>1680</v>
      </c>
      <c r="AC22" s="1245">
        <f>IF(K18="lb",L18,L18*2.20462262)</f>
        <v>385.80895849999996</v>
      </c>
    </row>
    <row r="23" spans="2:35" ht="13.5" thickBot="1">
      <c r="B23" s="142"/>
      <c r="C23" s="506"/>
      <c r="D23" s="506"/>
      <c r="E23" s="506"/>
      <c r="F23" s="506"/>
      <c r="G23" s="506"/>
      <c r="H23" s="506"/>
      <c r="I23" s="166"/>
      <c r="J23" s="1445" t="s">
        <v>1050</v>
      </c>
      <c r="K23" s="1446"/>
      <c r="L23" s="493">
        <v>200</v>
      </c>
      <c r="M23" s="494">
        <v>1000</v>
      </c>
      <c r="N23" s="143"/>
      <c r="P23" s="168"/>
      <c r="Q23" s="173" t="s">
        <v>1200</v>
      </c>
      <c r="R23" s="174"/>
      <c r="S23" s="174"/>
      <c r="T23" s="174"/>
      <c r="U23" s="174"/>
      <c r="V23" s="175"/>
      <c r="W23" s="174"/>
      <c r="X23" s="174"/>
      <c r="Y23" s="176"/>
      <c r="Z23" s="143"/>
    </row>
    <row r="24" spans="2:35" ht="13.5" thickBot="1">
      <c r="B24" s="142"/>
      <c r="C24" s="1408" t="s">
        <v>56</v>
      </c>
      <c r="D24" s="1409"/>
      <c r="E24" s="1409"/>
      <c r="F24" s="1409"/>
      <c r="G24" s="1409"/>
      <c r="H24" s="1410"/>
      <c r="I24" s="166"/>
      <c r="J24" s="1447" t="s">
        <v>927</v>
      </c>
      <c r="K24" s="1448"/>
      <c r="L24" s="1449">
        <v>1</v>
      </c>
      <c r="M24" s="1450"/>
      <c r="N24" s="143"/>
      <c r="P24" s="177"/>
      <c r="Q24" s="178"/>
      <c r="R24" s="178"/>
      <c r="S24" s="178"/>
      <c r="T24" s="178"/>
      <c r="U24" s="178"/>
      <c r="V24" s="178"/>
      <c r="W24" s="178"/>
      <c r="X24" s="178"/>
      <c r="Y24" s="178"/>
      <c r="Z24" s="179"/>
    </row>
    <row r="25" spans="2:35">
      <c r="B25" s="142"/>
      <c r="C25" s="1443" t="s">
        <v>57</v>
      </c>
      <c r="D25" s="1444"/>
      <c r="E25" s="1444"/>
      <c r="F25" s="1444"/>
      <c r="G25" s="1444"/>
      <c r="H25" s="486">
        <v>1</v>
      </c>
      <c r="I25" s="166"/>
      <c r="J25" s="1451" t="s">
        <v>929</v>
      </c>
      <c r="K25" s="1452"/>
      <c r="L25" s="1453">
        <v>12</v>
      </c>
      <c r="M25" s="1454"/>
      <c r="N25" s="143"/>
      <c r="P25" s="77"/>
    </row>
    <row r="26" spans="2:35" ht="13.5" thickBot="1">
      <c r="B26" s="142"/>
      <c r="C26" s="1455" t="s">
        <v>926</v>
      </c>
      <c r="D26" s="1456"/>
      <c r="E26" s="1456"/>
      <c r="F26" s="1456"/>
      <c r="G26" s="1457"/>
      <c r="H26" s="490">
        <v>13</v>
      </c>
      <c r="I26" s="167"/>
      <c r="J26" s="1434" t="s">
        <v>930</v>
      </c>
      <c r="K26" s="1435"/>
      <c r="L26" s="1458">
        <v>1</v>
      </c>
      <c r="M26" s="1437"/>
      <c r="N26" s="143"/>
      <c r="P26" s="77"/>
      <c r="Q26" s="76"/>
      <c r="R26" s="76"/>
      <c r="S26" s="76"/>
      <c r="T26" s="76"/>
      <c r="U26" s="76"/>
      <c r="V26" s="76"/>
      <c r="W26" s="76"/>
    </row>
    <row r="27" spans="2:35" ht="13.5" thickBot="1">
      <c r="B27" s="142"/>
      <c r="C27" s="1459" t="s">
        <v>928</v>
      </c>
      <c r="D27" s="1460"/>
      <c r="E27" s="1460"/>
      <c r="F27" s="1460"/>
      <c r="G27" s="1461"/>
      <c r="H27" s="498">
        <v>11</v>
      </c>
      <c r="I27" s="167"/>
      <c r="J27" s="167"/>
      <c r="K27" s="167"/>
      <c r="L27" s="167"/>
      <c r="M27" s="180"/>
      <c r="N27" s="152"/>
      <c r="P27" s="77"/>
      <c r="Q27" s="77"/>
      <c r="R27" s="77"/>
      <c r="S27" s="77"/>
      <c r="T27" s="77"/>
      <c r="U27" s="77"/>
      <c r="V27" s="77"/>
    </row>
    <row r="28" spans="2:35" ht="13.5" thickBot="1">
      <c r="B28" s="142"/>
      <c r="C28" s="1462" t="s">
        <v>58</v>
      </c>
      <c r="D28" s="1463"/>
      <c r="E28" s="1463"/>
      <c r="F28" s="1463"/>
      <c r="G28" s="1464"/>
      <c r="H28" s="497" t="s">
        <v>1939</v>
      </c>
      <c r="I28" s="167"/>
      <c r="J28" s="1408" t="s">
        <v>931</v>
      </c>
      <c r="K28" s="1409"/>
      <c r="L28" s="1409"/>
      <c r="M28" s="1410"/>
      <c r="N28" s="152"/>
      <c r="P28" s="77"/>
      <c r="Q28" s="77"/>
      <c r="R28" s="77"/>
      <c r="S28" s="77"/>
      <c r="T28" s="77"/>
      <c r="U28" s="77"/>
      <c r="V28" s="77"/>
    </row>
    <row r="29" spans="2:35">
      <c r="B29" s="142"/>
      <c r="C29" s="1465" t="s">
        <v>59</v>
      </c>
      <c r="D29" s="1466"/>
      <c r="E29" s="1466"/>
      <c r="F29" s="1466"/>
      <c r="G29" s="1467"/>
      <c r="H29" s="487">
        <v>1</v>
      </c>
      <c r="I29" s="167"/>
      <c r="J29" s="1439" t="s">
        <v>932</v>
      </c>
      <c r="K29" s="1440"/>
      <c r="L29" s="1441">
        <v>6</v>
      </c>
      <c r="M29" s="1468"/>
      <c r="N29" s="152"/>
      <c r="P29" s="77"/>
      <c r="Q29" s="77"/>
      <c r="R29" s="77"/>
      <c r="S29" s="77"/>
      <c r="T29" s="77"/>
      <c r="U29" s="77"/>
      <c r="V29" s="77"/>
    </row>
    <row r="30" spans="2:35">
      <c r="B30" s="142"/>
      <c r="C30" s="1465" t="s">
        <v>60</v>
      </c>
      <c r="D30" s="1466"/>
      <c r="E30" s="1466"/>
      <c r="F30" s="1466"/>
      <c r="G30" s="1467"/>
      <c r="H30" s="487">
        <v>1</v>
      </c>
      <c r="I30" s="167"/>
      <c r="J30" s="1451" t="s">
        <v>933</v>
      </c>
      <c r="K30" s="1452"/>
      <c r="L30" s="1469">
        <v>24</v>
      </c>
      <c r="M30" s="1470"/>
      <c r="N30" s="152"/>
      <c r="P30" s="77"/>
      <c r="Q30" s="77"/>
      <c r="R30" s="77"/>
      <c r="S30" s="77"/>
      <c r="T30" s="77"/>
      <c r="U30" s="77"/>
      <c r="V30" s="77"/>
    </row>
    <row r="31" spans="2:35" ht="13.5" thickBot="1">
      <c r="B31" s="168"/>
      <c r="C31" s="1399" t="s">
        <v>61</v>
      </c>
      <c r="D31" s="1400"/>
      <c r="E31" s="1400"/>
      <c r="F31" s="1400"/>
      <c r="G31" s="1401"/>
      <c r="H31" s="491" t="s">
        <v>48</v>
      </c>
      <c r="I31" s="172"/>
      <c r="J31" s="1434" t="s">
        <v>934</v>
      </c>
      <c r="K31" s="1435"/>
      <c r="L31" s="1436">
        <v>38</v>
      </c>
      <c r="M31" s="1471"/>
      <c r="N31" s="152"/>
      <c r="P31" s="77"/>
      <c r="Q31" s="77"/>
      <c r="R31" s="77"/>
      <c r="S31" s="77"/>
      <c r="T31" s="77"/>
      <c r="U31" s="77"/>
      <c r="V31" s="77"/>
    </row>
    <row r="32" spans="2:35">
      <c r="B32" s="171"/>
      <c r="C32" s="181"/>
      <c r="D32" s="181"/>
      <c r="E32" s="181"/>
      <c r="F32" s="181"/>
      <c r="G32" s="181"/>
      <c r="H32" s="181"/>
      <c r="I32" s="180"/>
      <c r="J32" s="1472" t="s">
        <v>935</v>
      </c>
      <c r="K32" s="1473"/>
      <c r="L32" s="1441" t="s">
        <v>52</v>
      </c>
      <c r="M32" s="1468"/>
      <c r="N32" s="152"/>
      <c r="P32" s="77"/>
      <c r="Q32" s="77"/>
      <c r="R32" s="77"/>
      <c r="S32" s="77"/>
      <c r="T32" s="77"/>
      <c r="U32" s="77"/>
      <c r="V32" s="77"/>
    </row>
    <row r="33" spans="1:26" ht="13.5" customHeight="1" thickBot="1">
      <c r="B33" s="171"/>
      <c r="C33" s="181"/>
      <c r="D33" s="181"/>
      <c r="E33" s="181"/>
      <c r="F33" s="181"/>
      <c r="G33" s="181"/>
      <c r="H33" s="181"/>
      <c r="I33" s="180"/>
      <c r="J33" s="1477" t="s">
        <v>936</v>
      </c>
      <c r="K33" s="1478"/>
      <c r="L33" s="1479">
        <v>3.9</v>
      </c>
      <c r="M33" s="1480"/>
      <c r="N33" s="152"/>
      <c r="P33" s="77"/>
      <c r="Q33" s="77"/>
      <c r="R33" s="77"/>
      <c r="S33" s="77"/>
      <c r="T33" s="77"/>
      <c r="U33" s="77"/>
      <c r="V33" s="77"/>
    </row>
    <row r="34" spans="1:26" s="183" customFormat="1">
      <c r="A34" s="182"/>
      <c r="B34" s="171"/>
      <c r="C34" s="181"/>
      <c r="D34" s="181"/>
      <c r="E34" s="181"/>
      <c r="F34" s="181"/>
      <c r="G34" s="181"/>
      <c r="H34" s="181"/>
      <c r="I34" s="180"/>
      <c r="J34" s="1447" t="s">
        <v>937</v>
      </c>
      <c r="K34" s="1448"/>
      <c r="L34" s="1481" t="s">
        <v>52</v>
      </c>
      <c r="M34" s="1482"/>
      <c r="N34" s="152"/>
      <c r="O34" s="182"/>
      <c r="P34" s="77"/>
      <c r="Q34" s="77"/>
      <c r="R34" s="77"/>
      <c r="S34" s="77"/>
      <c r="T34" s="77"/>
      <c r="U34" s="77"/>
      <c r="V34" s="77"/>
      <c r="W34" s="78"/>
      <c r="X34" s="78"/>
      <c r="Y34" s="78"/>
      <c r="Z34" s="78"/>
    </row>
    <row r="35" spans="1:26" s="183" customFormat="1">
      <c r="A35" s="76"/>
      <c r="B35" s="171"/>
      <c r="C35" s="181"/>
      <c r="D35" s="181"/>
      <c r="E35" s="181"/>
      <c r="F35" s="181"/>
      <c r="G35" s="181"/>
      <c r="H35" s="181"/>
      <c r="I35" s="180"/>
      <c r="J35" s="1451" t="s">
        <v>938</v>
      </c>
      <c r="K35" s="1452"/>
      <c r="L35" s="1469" t="s">
        <v>52</v>
      </c>
      <c r="M35" s="1470"/>
      <c r="N35" s="152"/>
      <c r="P35" s="77"/>
      <c r="Q35" s="77"/>
      <c r="R35" s="77"/>
      <c r="S35" s="77"/>
      <c r="T35" s="77"/>
      <c r="U35" s="77"/>
      <c r="V35" s="77"/>
      <c r="W35" s="78"/>
      <c r="X35" s="78"/>
      <c r="Y35" s="78"/>
      <c r="Z35" s="78"/>
    </row>
    <row r="36" spans="1:26" s="183" customFormat="1" ht="13.5" thickBot="1">
      <c r="A36" s="182"/>
      <c r="B36" s="171"/>
      <c r="C36" s="181"/>
      <c r="D36" s="181"/>
      <c r="E36" s="181"/>
      <c r="F36" s="181"/>
      <c r="G36" s="181"/>
      <c r="H36" s="181"/>
      <c r="I36" s="180"/>
      <c r="J36" s="1434" t="s">
        <v>939</v>
      </c>
      <c r="K36" s="1435"/>
      <c r="L36" s="1436" t="s">
        <v>52</v>
      </c>
      <c r="M36" s="1471"/>
      <c r="N36" s="184"/>
      <c r="O36" s="182"/>
      <c r="P36" s="77"/>
      <c r="Q36" s="77"/>
      <c r="R36" s="77"/>
      <c r="S36" s="77"/>
      <c r="T36" s="77"/>
      <c r="U36" s="77"/>
      <c r="V36" s="77"/>
      <c r="W36" s="78"/>
      <c r="X36" s="78"/>
      <c r="Y36" s="78"/>
      <c r="Z36" s="78"/>
    </row>
    <row r="37" spans="1:26" s="183" customFormat="1" ht="13.5" thickBot="1">
      <c r="A37" s="182"/>
      <c r="B37" s="185"/>
      <c r="C37" s="186"/>
      <c r="D37" s="187"/>
      <c r="E37" s="187"/>
      <c r="F37" s="187"/>
      <c r="G37" s="187"/>
      <c r="H37" s="187"/>
      <c r="I37" s="187"/>
      <c r="J37" s="188"/>
      <c r="K37" s="188"/>
      <c r="L37" s="188"/>
      <c r="M37" s="188"/>
      <c r="N37" s="189"/>
      <c r="O37" s="182"/>
      <c r="P37" s="77"/>
      <c r="Q37" s="77"/>
      <c r="R37" s="77"/>
      <c r="S37" s="77"/>
      <c r="T37" s="77"/>
      <c r="U37" s="77"/>
      <c r="V37" s="77"/>
      <c r="W37" s="78"/>
      <c r="X37" s="78"/>
      <c r="Y37" s="78"/>
      <c r="Z37" s="78"/>
    </row>
    <row r="38" spans="1:26" s="183" customFormat="1" ht="10.5" customHeight="1" thickBot="1">
      <c r="A38" s="182"/>
      <c r="C38" s="76"/>
      <c r="D38" s="76"/>
      <c r="E38" s="76"/>
      <c r="F38" s="76"/>
      <c r="G38" s="76"/>
      <c r="H38" s="76"/>
      <c r="O38" s="182"/>
      <c r="T38" s="77"/>
      <c r="U38" s="77"/>
      <c r="V38" s="77"/>
      <c r="W38" s="78"/>
      <c r="X38" s="78"/>
      <c r="Y38" s="78"/>
      <c r="Z38" s="78"/>
    </row>
    <row r="39" spans="1:26" s="183" customFormat="1" ht="18.75" thickBot="1">
      <c r="A39" s="182"/>
      <c r="B39" s="1404" t="s">
        <v>940</v>
      </c>
      <c r="C39" s="1405"/>
      <c r="D39" s="1405"/>
      <c r="E39" s="1405"/>
      <c r="F39" s="1405"/>
      <c r="G39" s="1405"/>
      <c r="H39" s="1405"/>
      <c r="I39" s="1405"/>
      <c r="J39" s="1405"/>
      <c r="K39" s="1405"/>
      <c r="L39" s="1405"/>
      <c r="M39" s="1405"/>
      <c r="N39" s="1406"/>
      <c r="O39" s="182"/>
      <c r="P39" s="1404" t="s">
        <v>1495</v>
      </c>
      <c r="Q39" s="1405"/>
      <c r="R39" s="1405"/>
      <c r="S39" s="1405"/>
      <c r="T39" s="1405"/>
      <c r="U39" s="1406"/>
    </row>
    <row r="40" spans="1:26" ht="15.75" customHeight="1" thickBot="1">
      <c r="B40" s="139"/>
      <c r="C40" s="140"/>
      <c r="D40" s="140"/>
      <c r="E40" s="140"/>
      <c r="F40" s="140"/>
      <c r="G40" s="140"/>
      <c r="H40" s="140"/>
      <c r="I40" s="140"/>
      <c r="J40" s="149"/>
      <c r="K40" s="149"/>
      <c r="L40" s="190"/>
      <c r="M40" s="190"/>
      <c r="N40" s="191"/>
      <c r="P40" s="139"/>
      <c r="Q40" s="149"/>
      <c r="R40" s="140"/>
      <c r="S40" s="140"/>
      <c r="T40" s="140"/>
      <c r="U40" s="141"/>
      <c r="V40" s="77"/>
    </row>
    <row r="41" spans="1:26" ht="15.75" customHeight="1" thickBot="1">
      <c r="B41" s="142"/>
      <c r="C41" s="1408" t="s">
        <v>941</v>
      </c>
      <c r="D41" s="1409"/>
      <c r="E41" s="1409"/>
      <c r="F41" s="1409"/>
      <c r="G41" s="1409"/>
      <c r="H41" s="1410"/>
      <c r="I41" s="167"/>
      <c r="J41" s="1408" t="s">
        <v>942</v>
      </c>
      <c r="K41" s="1409"/>
      <c r="L41" s="1409"/>
      <c r="M41" s="1410"/>
      <c r="N41" s="152"/>
      <c r="P41" s="142"/>
      <c r="Q41" s="1489" t="s">
        <v>1496</v>
      </c>
      <c r="R41" s="1490"/>
      <c r="S41" s="1489" t="s">
        <v>1497</v>
      </c>
      <c r="T41" s="1490"/>
      <c r="U41" s="143"/>
      <c r="V41" s="77"/>
    </row>
    <row r="42" spans="1:26" ht="13.5" thickBot="1">
      <c r="B42" s="142"/>
      <c r="C42" s="192" t="s">
        <v>943</v>
      </c>
      <c r="D42" s="1474" t="s">
        <v>944</v>
      </c>
      <c r="E42" s="1475"/>
      <c r="F42" s="1475"/>
      <c r="G42" s="1475"/>
      <c r="H42" s="1476"/>
      <c r="I42" s="167"/>
      <c r="J42" s="451" t="s">
        <v>945</v>
      </c>
      <c r="K42" s="193" t="s">
        <v>1054</v>
      </c>
      <c r="L42" s="193" t="s">
        <v>1563</v>
      </c>
      <c r="M42" s="194" t="s">
        <v>946</v>
      </c>
      <c r="N42" s="143"/>
      <c r="P42" s="142"/>
      <c r="Q42" s="1178" t="s">
        <v>1498</v>
      </c>
      <c r="R42" s="1226">
        <v>420</v>
      </c>
      <c r="S42" s="1177" t="s">
        <v>1500</v>
      </c>
      <c r="T42" s="1227">
        <f>R43/R42*100000</f>
        <v>1547.6190476190477</v>
      </c>
      <c r="U42" s="143"/>
      <c r="V42" s="77"/>
    </row>
    <row r="43" spans="1:26" ht="13.5" thickBot="1">
      <c r="B43" s="142"/>
      <c r="C43" s="195" t="s">
        <v>947</v>
      </c>
      <c r="D43" s="482" t="s">
        <v>948</v>
      </c>
      <c r="E43" s="196" t="s">
        <v>55</v>
      </c>
      <c r="F43" s="483" t="s">
        <v>949</v>
      </c>
      <c r="G43" s="197" t="s">
        <v>1051</v>
      </c>
      <c r="H43" s="197" t="s">
        <v>951</v>
      </c>
      <c r="I43" s="167"/>
      <c r="J43" s="503" t="s">
        <v>952</v>
      </c>
      <c r="K43" s="1239"/>
      <c r="L43" s="504">
        <v>2.5</v>
      </c>
      <c r="M43" s="198">
        <v>95</v>
      </c>
      <c r="N43" s="143"/>
      <c r="P43" s="142"/>
      <c r="Q43" s="1225" t="s">
        <v>1499</v>
      </c>
      <c r="R43" s="1224">
        <v>6.5</v>
      </c>
      <c r="S43" s="1175"/>
      <c r="T43" s="1176"/>
      <c r="U43" s="143"/>
      <c r="V43" s="77"/>
    </row>
    <row r="44" spans="1:26" ht="12.75" customHeight="1" thickBot="1">
      <c r="B44" s="142"/>
      <c r="C44" s="199">
        <v>1</v>
      </c>
      <c r="D44" s="453"/>
      <c r="E44" s="200" t="s">
        <v>1233</v>
      </c>
      <c r="F44" s="1231"/>
      <c r="G44" s="453">
        <v>120</v>
      </c>
      <c r="H44" s="1239"/>
      <c r="I44" s="167"/>
      <c r="J44" s="492" t="s">
        <v>1028</v>
      </c>
      <c r="K44" s="1237"/>
      <c r="L44" s="505">
        <v>3.2</v>
      </c>
      <c r="M44" s="201">
        <v>50</v>
      </c>
      <c r="N44" s="143"/>
      <c r="P44" s="177"/>
      <c r="Q44" s="178"/>
      <c r="R44" s="178"/>
      <c r="S44" s="178"/>
      <c r="T44" s="178"/>
      <c r="U44" s="179"/>
      <c r="V44" s="77"/>
    </row>
    <row r="45" spans="1:26">
      <c r="B45" s="142"/>
      <c r="C45" s="202">
        <v>2</v>
      </c>
      <c r="D45" s="452"/>
      <c r="E45" s="203"/>
      <c r="F45" s="1236"/>
      <c r="G45" s="452"/>
      <c r="H45" s="1237"/>
      <c r="I45" s="167"/>
      <c r="J45" s="492" t="s">
        <v>1029</v>
      </c>
      <c r="K45" s="1237"/>
      <c r="L45" s="505">
        <v>4</v>
      </c>
      <c r="M45" s="201">
        <v>80</v>
      </c>
      <c r="N45" s="143"/>
    </row>
    <row r="46" spans="1:26">
      <c r="B46" s="142"/>
      <c r="C46" s="202">
        <v>3</v>
      </c>
      <c r="D46" s="452"/>
      <c r="E46" s="203"/>
      <c r="F46" s="1236"/>
      <c r="G46" s="452"/>
      <c r="H46" s="1237"/>
      <c r="I46" s="167"/>
      <c r="J46" s="492" t="s">
        <v>1030</v>
      </c>
      <c r="K46" s="1237"/>
      <c r="L46" s="505">
        <v>5.5</v>
      </c>
      <c r="M46" s="201">
        <v>95</v>
      </c>
      <c r="N46" s="143"/>
    </row>
    <row r="47" spans="1:26">
      <c r="B47" s="142"/>
      <c r="C47" s="202">
        <v>4</v>
      </c>
      <c r="D47" s="452"/>
      <c r="E47" s="203"/>
      <c r="F47" s="1236"/>
      <c r="G47" s="452"/>
      <c r="H47" s="1237"/>
      <c r="I47" s="167"/>
      <c r="J47" s="492" t="s">
        <v>1031</v>
      </c>
      <c r="K47" s="1237"/>
      <c r="L47" s="505">
        <v>9.6</v>
      </c>
      <c r="M47" s="201">
        <v>65</v>
      </c>
      <c r="N47" s="143"/>
    </row>
    <row r="48" spans="1:26">
      <c r="B48" s="142"/>
      <c r="C48" s="202">
        <v>5</v>
      </c>
      <c r="D48" s="452"/>
      <c r="E48" s="203"/>
      <c r="F48" s="1236"/>
      <c r="G48" s="452"/>
      <c r="H48" s="1237"/>
      <c r="I48" s="167"/>
      <c r="J48" s="492" t="s">
        <v>1032</v>
      </c>
      <c r="K48" s="1237"/>
      <c r="L48" s="505">
        <v>11</v>
      </c>
      <c r="M48" s="201">
        <v>80</v>
      </c>
      <c r="N48" s="143"/>
    </row>
    <row r="49" spans="2:14">
      <c r="B49" s="142"/>
      <c r="C49" s="202">
        <v>6</v>
      </c>
      <c r="D49" s="452"/>
      <c r="E49" s="203"/>
      <c r="F49" s="1236"/>
      <c r="G49" s="452"/>
      <c r="H49" s="1237"/>
      <c r="I49" s="167"/>
      <c r="J49" s="502" t="s">
        <v>1033</v>
      </c>
      <c r="K49" s="1240"/>
      <c r="L49" s="505"/>
      <c r="M49" s="201"/>
      <c r="N49" s="143"/>
    </row>
    <row r="50" spans="2:14">
      <c r="B50" s="142"/>
      <c r="C50" s="202">
        <v>7</v>
      </c>
      <c r="D50" s="452"/>
      <c r="E50" s="203"/>
      <c r="F50" s="1236"/>
      <c r="G50" s="452"/>
      <c r="H50" s="1237"/>
      <c r="I50" s="167"/>
      <c r="J50" s="502" t="s">
        <v>1034</v>
      </c>
      <c r="K50" s="1237"/>
      <c r="L50" s="505"/>
      <c r="M50" s="201"/>
      <c r="N50" s="143"/>
    </row>
    <row r="51" spans="2:14">
      <c r="B51" s="142"/>
      <c r="C51" s="202">
        <v>8</v>
      </c>
      <c r="D51" s="452"/>
      <c r="E51" s="203"/>
      <c r="F51" s="1236"/>
      <c r="G51" s="452"/>
      <c r="H51" s="1237"/>
      <c r="I51" s="167"/>
      <c r="J51" s="502" t="s">
        <v>1035</v>
      </c>
      <c r="K51" s="1237"/>
      <c r="L51" s="505"/>
      <c r="M51" s="201"/>
      <c r="N51" s="143"/>
    </row>
    <row r="52" spans="2:14" ht="13.5" thickBot="1">
      <c r="B52" s="142"/>
      <c r="C52" s="202">
        <v>9</v>
      </c>
      <c r="D52" s="452"/>
      <c r="E52" s="203"/>
      <c r="F52" s="1236"/>
      <c r="G52" s="452"/>
      <c r="H52" s="1237"/>
      <c r="I52" s="167"/>
      <c r="J52" s="502" t="s">
        <v>1036</v>
      </c>
      <c r="K52" s="1238"/>
      <c r="L52" s="505"/>
      <c r="M52" s="201"/>
      <c r="N52" s="143"/>
    </row>
    <row r="53" spans="2:14">
      <c r="B53" s="142"/>
      <c r="C53" s="202">
        <v>10</v>
      </c>
      <c r="D53" s="452"/>
      <c r="E53" s="203"/>
      <c r="F53" s="1236"/>
      <c r="G53" s="452"/>
      <c r="H53" s="1237"/>
      <c r="I53" s="167"/>
      <c r="J53" s="1483" t="s">
        <v>63</v>
      </c>
      <c r="K53" s="1484"/>
      <c r="L53" s="1485">
        <v>250</v>
      </c>
      <c r="M53" s="1468"/>
      <c r="N53" s="143"/>
    </row>
    <row r="54" spans="2:14">
      <c r="B54" s="142"/>
      <c r="C54" s="202">
        <v>11</v>
      </c>
      <c r="D54" s="452"/>
      <c r="E54" s="203"/>
      <c r="F54" s="1236"/>
      <c r="G54" s="452"/>
      <c r="H54" s="1237"/>
      <c r="I54" s="167"/>
      <c r="J54" s="1486" t="s">
        <v>1037</v>
      </c>
      <c r="K54" s="1487"/>
      <c r="L54" s="1488">
        <v>300</v>
      </c>
      <c r="M54" s="1470"/>
      <c r="N54" s="143"/>
    </row>
    <row r="55" spans="2:14">
      <c r="B55" s="142"/>
      <c r="C55" s="202">
        <v>12</v>
      </c>
      <c r="D55" s="452"/>
      <c r="E55" s="203"/>
      <c r="F55" s="1236"/>
      <c r="G55" s="452"/>
      <c r="H55" s="1237"/>
      <c r="I55" s="167"/>
      <c r="J55" s="1486" t="s">
        <v>1038</v>
      </c>
      <c r="K55" s="1487"/>
      <c r="L55" s="1488">
        <v>350</v>
      </c>
      <c r="M55" s="1470"/>
      <c r="N55" s="143"/>
    </row>
    <row r="56" spans="2:14">
      <c r="B56" s="142"/>
      <c r="C56" s="202">
        <v>13</v>
      </c>
      <c r="D56" s="452"/>
      <c r="E56" s="203"/>
      <c r="F56" s="1236"/>
      <c r="G56" s="452"/>
      <c r="H56" s="1237"/>
      <c r="I56" s="167"/>
      <c r="J56" s="1486" t="s">
        <v>1039</v>
      </c>
      <c r="K56" s="1487"/>
      <c r="L56" s="1488">
        <v>400</v>
      </c>
      <c r="M56" s="1470"/>
      <c r="N56" s="143"/>
    </row>
    <row r="57" spans="2:14">
      <c r="B57" s="142"/>
      <c r="C57" s="204">
        <v>14</v>
      </c>
      <c r="D57" s="452"/>
      <c r="E57" s="203"/>
      <c r="F57" s="1236"/>
      <c r="G57" s="452"/>
      <c r="H57" s="1237"/>
      <c r="I57" s="167"/>
      <c r="J57" s="1486" t="s">
        <v>1040</v>
      </c>
      <c r="K57" s="1487"/>
      <c r="L57" s="1488">
        <v>450</v>
      </c>
      <c r="M57" s="1470"/>
      <c r="N57" s="143"/>
    </row>
    <row r="58" spans="2:14" ht="13.5" thickBot="1">
      <c r="B58" s="142"/>
      <c r="C58" s="204">
        <v>15</v>
      </c>
      <c r="D58" s="1232"/>
      <c r="E58" s="206"/>
      <c r="F58" s="1233"/>
      <c r="G58" s="499"/>
      <c r="H58" s="1237"/>
      <c r="I58" s="180"/>
      <c r="J58" s="1491" t="s">
        <v>1041</v>
      </c>
      <c r="K58" s="1492"/>
      <c r="L58" s="1493">
        <v>500</v>
      </c>
      <c r="M58" s="1471"/>
      <c r="N58" s="143"/>
    </row>
    <row r="59" spans="2:14">
      <c r="B59" s="168"/>
      <c r="C59" s="204">
        <v>16</v>
      </c>
      <c r="D59" s="1241"/>
      <c r="E59" s="206"/>
      <c r="F59" s="1233"/>
      <c r="G59" s="499"/>
      <c r="H59" s="1237"/>
      <c r="I59" s="172"/>
      <c r="J59" s="1483" t="s">
        <v>1473</v>
      </c>
      <c r="K59" s="1484"/>
      <c r="L59" s="1485">
        <v>180</v>
      </c>
      <c r="M59" s="1468"/>
      <c r="N59" s="208"/>
    </row>
    <row r="60" spans="2:14">
      <c r="B60" s="168"/>
      <c r="C60" s="204">
        <v>17</v>
      </c>
      <c r="D60" s="1232"/>
      <c r="E60" s="206"/>
      <c r="F60" s="1233"/>
      <c r="G60" s="499"/>
      <c r="H60" s="1237"/>
      <c r="I60" s="172"/>
      <c r="J60" s="1486" t="s">
        <v>1042</v>
      </c>
      <c r="K60" s="1487"/>
      <c r="L60" s="1488">
        <v>360</v>
      </c>
      <c r="M60" s="1470"/>
      <c r="N60" s="208"/>
    </row>
    <row r="61" spans="2:14" ht="13.5" thickBot="1">
      <c r="B61" s="168"/>
      <c r="C61" s="204">
        <v>18</v>
      </c>
      <c r="D61" s="1232"/>
      <c r="E61" s="206"/>
      <c r="F61" s="1233"/>
      <c r="G61" s="499"/>
      <c r="H61" s="1237"/>
      <c r="I61" s="172"/>
      <c r="J61" s="1491" t="s">
        <v>1043</v>
      </c>
      <c r="K61" s="1492"/>
      <c r="L61" s="1493"/>
      <c r="M61" s="1471"/>
      <c r="N61" s="208"/>
    </row>
    <row r="62" spans="2:14" ht="13.5" thickBot="1">
      <c r="B62" s="168"/>
      <c r="C62" s="204">
        <v>19</v>
      </c>
      <c r="D62" s="1232"/>
      <c r="E62" s="206"/>
      <c r="F62" s="1233"/>
      <c r="G62" s="499"/>
      <c r="H62" s="1237"/>
      <c r="I62" s="172"/>
      <c r="J62" s="167"/>
      <c r="K62" s="167"/>
      <c r="L62" s="167"/>
      <c r="M62" s="167"/>
      <c r="N62" s="208"/>
    </row>
    <row r="63" spans="2:14" ht="13.5" thickBot="1">
      <c r="B63" s="168"/>
      <c r="C63" s="209">
        <v>20</v>
      </c>
      <c r="D63" s="1234"/>
      <c r="E63" s="211"/>
      <c r="F63" s="1235"/>
      <c r="G63" s="501"/>
      <c r="H63" s="1238"/>
      <c r="I63" s="172"/>
      <c r="J63" s="172"/>
      <c r="K63" s="1408" t="s">
        <v>959</v>
      </c>
      <c r="L63" s="1409"/>
      <c r="M63" s="1410"/>
      <c r="N63" s="208"/>
    </row>
    <row r="64" spans="2:14" ht="13.5" thickBot="1">
      <c r="B64" s="168"/>
      <c r="C64" s="172"/>
      <c r="D64" s="172"/>
      <c r="E64" s="172"/>
      <c r="F64" s="172"/>
      <c r="G64" s="172"/>
      <c r="H64" s="172"/>
      <c r="I64" s="172"/>
      <c r="J64" s="213"/>
      <c r="K64" s="214" t="s">
        <v>960</v>
      </c>
      <c r="L64" s="215" t="s">
        <v>961</v>
      </c>
      <c r="M64" s="216" t="s">
        <v>962</v>
      </c>
      <c r="N64" s="208"/>
    </row>
    <row r="65" spans="2:14" ht="13.5" thickBot="1">
      <c r="B65" s="168"/>
      <c r="C65" s="172"/>
      <c r="D65" s="172"/>
      <c r="E65" s="172"/>
      <c r="F65" s="172"/>
      <c r="G65" s="172"/>
      <c r="H65" s="172"/>
      <c r="I65" s="172"/>
      <c r="J65" s="172"/>
      <c r="K65" s="217">
        <v>3</v>
      </c>
      <c r="L65" s="218">
        <v>200</v>
      </c>
      <c r="M65" s="219">
        <v>180</v>
      </c>
      <c r="N65" s="208"/>
    </row>
    <row r="66" spans="2:14" ht="13.5" thickBot="1">
      <c r="B66" s="185"/>
      <c r="C66" s="187"/>
      <c r="D66" s="187"/>
      <c r="E66" s="187"/>
      <c r="F66" s="187"/>
      <c r="G66" s="187"/>
      <c r="H66" s="187"/>
      <c r="I66" s="187"/>
      <c r="J66" s="187"/>
      <c r="K66" s="187"/>
      <c r="L66" s="187"/>
      <c r="M66" s="187"/>
      <c r="N66" s="189"/>
    </row>
  </sheetData>
  <sheetProtection sheet="1" objects="1" scenarios="1"/>
  <mergeCells count="97">
    <mergeCell ref="P39:U39"/>
    <mergeCell ref="S41:T41"/>
    <mergeCell ref="Q41:R41"/>
    <mergeCell ref="K63:M63"/>
    <mergeCell ref="J59:K59"/>
    <mergeCell ref="L59:M59"/>
    <mergeCell ref="J60:K60"/>
    <mergeCell ref="L60:M60"/>
    <mergeCell ref="J61:K61"/>
    <mergeCell ref="L61:M61"/>
    <mergeCell ref="J56:K56"/>
    <mergeCell ref="L56:M56"/>
    <mergeCell ref="J57:K57"/>
    <mergeCell ref="L57:M57"/>
    <mergeCell ref="J58:K58"/>
    <mergeCell ref="L58:M58"/>
    <mergeCell ref="J53:K53"/>
    <mergeCell ref="L53:M53"/>
    <mergeCell ref="J54:K54"/>
    <mergeCell ref="L54:M54"/>
    <mergeCell ref="J55:K55"/>
    <mergeCell ref="L55:M55"/>
    <mergeCell ref="J31:K31"/>
    <mergeCell ref="L31:M31"/>
    <mergeCell ref="J32:K32"/>
    <mergeCell ref="L32:M32"/>
    <mergeCell ref="D42:H42"/>
    <mergeCell ref="J33:K33"/>
    <mergeCell ref="L33:M33"/>
    <mergeCell ref="J34:K34"/>
    <mergeCell ref="L34:M34"/>
    <mergeCell ref="J35:K35"/>
    <mergeCell ref="L35:M35"/>
    <mergeCell ref="J36:K36"/>
    <mergeCell ref="L36:M36"/>
    <mergeCell ref="B39:N39"/>
    <mergeCell ref="C41:H41"/>
    <mergeCell ref="J41:M41"/>
    <mergeCell ref="C29:G29"/>
    <mergeCell ref="J29:K29"/>
    <mergeCell ref="L29:M29"/>
    <mergeCell ref="J30:K30"/>
    <mergeCell ref="L30:M30"/>
    <mergeCell ref="C30:G30"/>
    <mergeCell ref="C26:G26"/>
    <mergeCell ref="J26:K26"/>
    <mergeCell ref="L26:M26"/>
    <mergeCell ref="C27:G27"/>
    <mergeCell ref="C28:G28"/>
    <mergeCell ref="J28:M28"/>
    <mergeCell ref="C25:G25"/>
    <mergeCell ref="J23:K23"/>
    <mergeCell ref="J24:K24"/>
    <mergeCell ref="L24:M24"/>
    <mergeCell ref="J25:K25"/>
    <mergeCell ref="L25:M25"/>
    <mergeCell ref="C24:H24"/>
    <mergeCell ref="J22:K22"/>
    <mergeCell ref="L22:M22"/>
    <mergeCell ref="C17:G17"/>
    <mergeCell ref="J17:K17"/>
    <mergeCell ref="L17:M17"/>
    <mergeCell ref="C18:G18"/>
    <mergeCell ref="L18:M18"/>
    <mergeCell ref="C19:G19"/>
    <mergeCell ref="C20:G20"/>
    <mergeCell ref="J20:M20"/>
    <mergeCell ref="J21:K21"/>
    <mergeCell ref="L21:M21"/>
    <mergeCell ref="L14:M14"/>
    <mergeCell ref="C15:G15"/>
    <mergeCell ref="J15:K15"/>
    <mergeCell ref="L15:M15"/>
    <mergeCell ref="C16:G16"/>
    <mergeCell ref="J16:K16"/>
    <mergeCell ref="L16:M16"/>
    <mergeCell ref="C4:D4"/>
    <mergeCell ref="E4:M4"/>
    <mergeCell ref="C5:D5"/>
    <mergeCell ref="E5:M5"/>
    <mergeCell ref="B8:N8"/>
    <mergeCell ref="C31:G31"/>
    <mergeCell ref="C21:G21"/>
    <mergeCell ref="C22:G22"/>
    <mergeCell ref="P8:Z8"/>
    <mergeCell ref="J12:K12"/>
    <mergeCell ref="L12:M12"/>
    <mergeCell ref="C10:H10"/>
    <mergeCell ref="J10:M10"/>
    <mergeCell ref="C11:G11"/>
    <mergeCell ref="J11:K11"/>
    <mergeCell ref="L11:M11"/>
    <mergeCell ref="C13:H13"/>
    <mergeCell ref="J13:K13"/>
    <mergeCell ref="L13:M13"/>
    <mergeCell ref="C14:G14"/>
    <mergeCell ref="J14:K14"/>
  </mergeCells>
  <conditionalFormatting sqref="L11 L13 L15">
    <cfRule type="cellIs" dxfId="10" priority="13" stopIfTrue="1" operator="notEqual">
      <formula>"NO"</formula>
    </cfRule>
  </conditionalFormatting>
  <conditionalFormatting sqref="D44:H63">
    <cfRule type="cellIs" dxfId="9" priority="12" stopIfTrue="1" operator="notEqual">
      <formula>""</formula>
    </cfRule>
  </conditionalFormatting>
  <conditionalFormatting sqref="C59:C63 J49:J52">
    <cfRule type="expression" dxfId="8" priority="7">
      <formula>$H$11&lt;6</formula>
    </cfRule>
  </conditionalFormatting>
  <conditionalFormatting sqref="D59:H63">
    <cfRule type="expression" dxfId="7" priority="4" stopIfTrue="1">
      <formula>$H$11&lt;6</formula>
    </cfRule>
  </conditionalFormatting>
  <conditionalFormatting sqref="K49:M52 L34:M34 L36:M36">
    <cfRule type="expression" dxfId="6" priority="3">
      <formula>$H$11&lt;6</formula>
    </cfRule>
  </conditionalFormatting>
  <conditionalFormatting sqref="L16:M18">
    <cfRule type="expression" dxfId="5" priority="2">
      <formula>$L$15="YES-JAPAN"</formula>
    </cfRule>
  </conditionalFormatting>
  <dataValidations count="15">
    <dataValidation type="list" allowBlank="1" showInputMessage="1" showErrorMessage="1" sqref="IY29 SU29 ACQ29 AMM29 AWI29 BGE29 BQA29 BZW29 CJS29 CTO29 DDK29 DNG29 DXC29 EGY29 EQU29 FAQ29 FKM29 FUI29 GEE29 GOA29 GXW29 HHS29 HRO29 IBK29 ILG29 IVC29 JEY29 JOU29 JYQ29 KIM29 KSI29 LCE29 LMA29 LVW29 MFS29 MPO29 MZK29 NJG29 NTC29 OCY29 OMU29 OWQ29 PGM29 PQI29 QAE29 QKA29 QTW29 RDS29 RNO29 RXK29 SHG29 SRC29 TAY29 TKU29 TUQ29 UEM29 UOI29 UYE29 VIA29 VRW29 WBS29 WLO29 WVK29 JC32 SY32 ACU32 AMQ32 AWM32 BGI32 BQE32 CAA32 CJW32 CTS32 DDO32 DNK32 DXG32 EHC32 EQY32 FAU32 FKQ32 FUM32 GEI32 GOE32 GYA32 HHW32 HRS32 IBO32 ILK32 IVG32 JFC32 JOY32 JYU32 KIQ32 KSM32 LCI32 LME32 LWA32 MFW32 MPS32 MZO32 NJK32 NTG32 ODC32 OMY32 OWU32 PGQ32 PQM32 QAI32 QKE32 QUA32 RDW32 RNS32 RXO32 SHK32 SRG32 TBC32 TKY32 TUU32 UEQ32 UOM32 UYI32 VIE32 VSA32 WBW32 WLS32 WVO32 WVT983055 WLX983055 WCB983055 VSF983055 VIJ983055 UYN983055 UOR983055 UEV983055 TUZ983055 TLD983055 TBH983055 SRL983055 SHP983055 RXT983055 RNX983055 REB983055 QUF983055 QKJ983055 QAN983055 PQR983055 PGV983055 OWZ983055 OND983055 ODH983055 NTL983055 NJP983055 MZT983055 MPX983055 MGB983055 LWF983055 LMJ983055 LCN983055 KSR983055 KIV983055 JYZ983055 JPD983055 JFH983055 IVL983055 ILP983055 IBT983055 HRX983055 HIB983055 GYF983055 GOJ983055 GEN983055 FUR983055 FKV983055 FAZ983055 ERD983055 EHH983055 DXL983055 DNP983055 DDT983055 CTX983055 CKB983055 CAF983055 BQJ983055 BGN983055 AWR983055 AMV983055 ACZ983055 TD983055 JH983055 L983055 WVT917519 WLX917519 WCB917519 VSF917519 VIJ917519 UYN917519 UOR917519 UEV917519 TUZ917519 TLD917519 TBH917519 SRL917519 SHP917519 RXT917519 RNX917519 REB917519 QUF917519 QKJ917519 QAN917519 PQR917519 PGV917519 OWZ917519 OND917519 ODH917519 NTL917519 NJP917519 MZT917519 MPX917519 MGB917519 LWF917519 LMJ917519 LCN917519 KSR917519 KIV917519 JYZ917519 JPD917519 JFH917519 IVL917519 ILP917519 IBT917519 HRX917519 HIB917519 GYF917519 GOJ917519 GEN917519 FUR917519 FKV917519 FAZ917519 ERD917519 EHH917519 DXL917519 DNP917519 DDT917519 CTX917519 CKB917519 CAF917519 BQJ917519 BGN917519 AWR917519 AMV917519 ACZ917519 TD917519 JH917519 L917519 WVT851983 WLX851983 WCB851983 VSF851983 VIJ851983 UYN851983 UOR851983 UEV851983 TUZ851983 TLD851983 TBH851983 SRL851983 SHP851983 RXT851983 RNX851983 REB851983 QUF851983 QKJ851983 QAN851983 PQR851983 PGV851983 OWZ851983 OND851983 ODH851983 NTL851983 NJP851983 MZT851983 MPX851983 MGB851983 LWF851983 LMJ851983 LCN851983 KSR851983 KIV851983 JYZ851983 JPD851983 JFH851983 IVL851983 ILP851983 IBT851983 HRX851983 HIB851983 GYF851983 GOJ851983 GEN851983 FUR851983 FKV851983 FAZ851983 ERD851983 EHH851983 DXL851983 DNP851983 DDT851983 CTX851983 CKB851983 CAF851983 BQJ851983 BGN851983 AWR851983 AMV851983 ACZ851983 TD851983 JH851983 L851983 WVT786447 WLX786447 WCB786447 VSF786447 VIJ786447 UYN786447 UOR786447 UEV786447 TUZ786447 TLD786447 TBH786447 SRL786447 SHP786447 RXT786447 RNX786447 REB786447 QUF786447 QKJ786447 QAN786447 PQR786447 PGV786447 OWZ786447 OND786447 ODH786447 NTL786447 NJP786447 MZT786447 MPX786447 MGB786447 LWF786447 LMJ786447 LCN786447 KSR786447 KIV786447 JYZ786447 JPD786447 JFH786447 IVL786447 ILP786447 IBT786447 HRX786447 HIB786447 GYF786447 GOJ786447 GEN786447 FUR786447 FKV786447 FAZ786447 ERD786447 EHH786447 DXL786447 DNP786447 DDT786447 CTX786447 CKB786447 CAF786447 BQJ786447 BGN786447 AWR786447 AMV786447 ACZ786447 TD786447 JH786447 L786447 WVT720911 WLX720911 WCB720911 VSF720911 VIJ720911 UYN720911 UOR720911 UEV720911 TUZ720911 TLD720911 TBH720911 SRL720911 SHP720911 RXT720911 RNX720911 REB720911 QUF720911 QKJ720911 QAN720911 PQR720911 PGV720911 OWZ720911 OND720911 ODH720911 NTL720911 NJP720911 MZT720911 MPX720911 MGB720911 LWF720911 LMJ720911 LCN720911 KSR720911 KIV720911 JYZ720911 JPD720911 JFH720911 IVL720911 ILP720911 IBT720911 HRX720911 HIB720911 GYF720911 GOJ720911 GEN720911 FUR720911 FKV720911 FAZ720911 ERD720911 EHH720911 DXL720911 DNP720911 DDT720911 CTX720911 CKB720911 CAF720911 BQJ720911 BGN720911 AWR720911 AMV720911 ACZ720911 TD720911 JH720911 L720911 WVT655375 WLX655375 WCB655375 VSF655375 VIJ655375 UYN655375 UOR655375 UEV655375 TUZ655375 TLD655375 TBH655375 SRL655375 SHP655375 RXT655375 RNX655375 REB655375 QUF655375 QKJ655375 QAN655375 PQR655375 PGV655375 OWZ655375 OND655375 ODH655375 NTL655375 NJP655375 MZT655375 MPX655375 MGB655375 LWF655375 LMJ655375 LCN655375 KSR655375 KIV655375 JYZ655375 JPD655375 JFH655375 IVL655375 ILP655375 IBT655375 HRX655375 HIB655375 GYF655375 GOJ655375 GEN655375 FUR655375 FKV655375 FAZ655375 ERD655375 EHH655375 DXL655375 DNP655375 DDT655375 CTX655375 CKB655375 CAF655375 BQJ655375 BGN655375 AWR655375 AMV655375 ACZ655375 TD655375 JH655375 L655375 WVT589839 WLX589839 WCB589839 VSF589839 VIJ589839 UYN589839 UOR589839 UEV589839 TUZ589839 TLD589839 TBH589839 SRL589839 SHP589839 RXT589839 RNX589839 REB589839 QUF589839 QKJ589839 QAN589839 PQR589839 PGV589839 OWZ589839 OND589839 ODH589839 NTL589839 NJP589839 MZT589839 MPX589839 MGB589839 LWF589839 LMJ589839 LCN589839 KSR589839 KIV589839 JYZ589839 JPD589839 JFH589839 IVL589839 ILP589839 IBT589839 HRX589839 HIB589839 GYF589839 GOJ589839 GEN589839 FUR589839 FKV589839 FAZ589839 ERD589839 EHH589839 DXL589839 DNP589839 DDT589839 CTX589839 CKB589839 CAF589839 BQJ589839 BGN589839 AWR589839 AMV589839 ACZ589839 TD589839 JH589839 L589839 WVT524303 WLX524303 WCB524303 VSF524303 VIJ524303 UYN524303 UOR524303 UEV524303 TUZ524303 TLD524303 TBH524303 SRL524303 SHP524303 RXT524303 RNX524303 REB524303 QUF524303 QKJ524303 QAN524303 PQR524303 PGV524303 OWZ524303 OND524303 ODH524303 NTL524303 NJP524303 MZT524303 MPX524303 MGB524303 LWF524303 LMJ524303 LCN524303 KSR524303 KIV524303 JYZ524303 JPD524303 JFH524303 IVL524303 ILP524303 IBT524303 HRX524303 HIB524303 GYF524303 GOJ524303 GEN524303 FUR524303 FKV524303 FAZ524303 ERD524303 EHH524303 DXL524303 DNP524303 DDT524303 CTX524303 CKB524303 CAF524303 BQJ524303 BGN524303 AWR524303 AMV524303 ACZ524303 TD524303 JH524303 L524303 WVT458767 WLX458767 WCB458767 VSF458767 VIJ458767 UYN458767 UOR458767 UEV458767 TUZ458767 TLD458767 TBH458767 SRL458767 SHP458767 RXT458767 RNX458767 REB458767 QUF458767 QKJ458767 QAN458767 PQR458767 PGV458767 OWZ458767 OND458767 ODH458767 NTL458767 NJP458767 MZT458767 MPX458767 MGB458767 LWF458767 LMJ458767 LCN458767 KSR458767 KIV458767 JYZ458767 JPD458767 JFH458767 IVL458767 ILP458767 IBT458767 HRX458767 HIB458767 GYF458767 GOJ458767 GEN458767 FUR458767 FKV458767 FAZ458767 ERD458767 EHH458767 DXL458767 DNP458767 DDT458767 CTX458767 CKB458767 CAF458767 BQJ458767 BGN458767 AWR458767 AMV458767 ACZ458767 TD458767 JH458767 L458767 WVT393231 WLX393231 WCB393231 VSF393231 VIJ393231 UYN393231 UOR393231 UEV393231 TUZ393231 TLD393231 TBH393231 SRL393231 SHP393231 RXT393231 RNX393231 REB393231 QUF393231 QKJ393231 QAN393231 PQR393231 PGV393231 OWZ393231 OND393231 ODH393231 NTL393231 NJP393231 MZT393231 MPX393231 MGB393231 LWF393231 LMJ393231 LCN393231 KSR393231 KIV393231 JYZ393231 JPD393231 JFH393231 IVL393231 ILP393231 IBT393231 HRX393231 HIB393231 GYF393231 GOJ393231 GEN393231 FUR393231 FKV393231 FAZ393231 ERD393231 EHH393231 DXL393231 DNP393231 DDT393231 CTX393231 CKB393231 CAF393231 BQJ393231 BGN393231 AWR393231 AMV393231 ACZ393231 TD393231 JH393231 L393231 WVT327695 WLX327695 WCB327695 VSF327695 VIJ327695 UYN327695 UOR327695 UEV327695 TUZ327695 TLD327695 TBH327695 SRL327695 SHP327695 RXT327695 RNX327695 REB327695 QUF327695 QKJ327695 QAN327695 PQR327695 PGV327695 OWZ327695 OND327695 ODH327695 NTL327695 NJP327695 MZT327695 MPX327695 MGB327695 LWF327695 LMJ327695 LCN327695 KSR327695 KIV327695 JYZ327695 JPD327695 JFH327695 IVL327695 ILP327695 IBT327695 HRX327695 HIB327695 GYF327695 GOJ327695 GEN327695 FUR327695 FKV327695 FAZ327695 ERD327695 EHH327695 DXL327695 DNP327695 DDT327695 CTX327695 CKB327695 CAF327695 BQJ327695 BGN327695 AWR327695 AMV327695 ACZ327695 TD327695 JH327695 L327695 WVT262159 WLX262159 WCB262159 VSF262159 VIJ262159 UYN262159 UOR262159 UEV262159 TUZ262159 TLD262159 TBH262159 SRL262159 SHP262159 RXT262159 RNX262159 REB262159 QUF262159 QKJ262159 QAN262159 PQR262159 PGV262159 OWZ262159 OND262159 ODH262159 NTL262159 NJP262159 MZT262159 MPX262159 MGB262159 LWF262159 LMJ262159 LCN262159 KSR262159 KIV262159 JYZ262159 JPD262159 JFH262159 IVL262159 ILP262159 IBT262159 HRX262159 HIB262159 GYF262159 GOJ262159 GEN262159 FUR262159 FKV262159 FAZ262159 ERD262159 EHH262159 DXL262159 DNP262159 DDT262159 CTX262159 CKB262159 CAF262159 BQJ262159 BGN262159 AWR262159 AMV262159 ACZ262159 TD262159 JH262159 L262159 WVT196623 WLX196623 WCB196623 VSF196623 VIJ196623 UYN196623 UOR196623 UEV196623 TUZ196623 TLD196623 TBH196623 SRL196623 SHP196623 RXT196623 RNX196623 REB196623 QUF196623 QKJ196623 QAN196623 PQR196623 PGV196623 OWZ196623 OND196623 ODH196623 NTL196623 NJP196623 MZT196623 MPX196623 MGB196623 LWF196623 LMJ196623 LCN196623 KSR196623 KIV196623 JYZ196623 JPD196623 JFH196623 IVL196623 ILP196623 IBT196623 HRX196623 HIB196623 GYF196623 GOJ196623 GEN196623 FUR196623 FKV196623 FAZ196623 ERD196623 EHH196623 DXL196623 DNP196623 DDT196623 CTX196623 CKB196623 CAF196623 BQJ196623 BGN196623 AWR196623 AMV196623 ACZ196623 TD196623 JH196623 L196623 WVT131087 WLX131087 WCB131087 VSF131087 VIJ131087 UYN131087 UOR131087 UEV131087 TUZ131087 TLD131087 TBH131087 SRL131087 SHP131087 RXT131087 RNX131087 REB131087 QUF131087 QKJ131087 QAN131087 PQR131087 PGV131087 OWZ131087 OND131087 ODH131087 NTL131087 NJP131087 MZT131087 MPX131087 MGB131087 LWF131087 LMJ131087 LCN131087 KSR131087 KIV131087 JYZ131087 JPD131087 JFH131087 IVL131087 ILP131087 IBT131087 HRX131087 HIB131087 GYF131087 GOJ131087 GEN131087 FUR131087 FKV131087 FAZ131087 ERD131087 EHH131087 DXL131087 DNP131087 DDT131087 CTX131087 CKB131087 CAF131087 BQJ131087 BGN131087 AWR131087 AMV131087 ACZ131087 TD131087 JH131087 L131087 WVT65551 WLX65551 WCB65551 VSF65551 VIJ65551 UYN65551 UOR65551 UEV65551 TUZ65551 TLD65551 TBH65551 SRL65551 SHP65551 RXT65551 RNX65551 REB65551 QUF65551 QKJ65551 QAN65551 PQR65551 PGV65551 OWZ65551 OND65551 ODH65551 NTL65551 NJP65551 MZT65551 MPX65551 MGB65551 LWF65551 LMJ65551 LCN65551 KSR65551 KIV65551 JYZ65551 JPD65551 JFH65551 IVL65551 ILP65551 IBT65551 HRX65551 HIB65551 GYF65551 GOJ65551 GEN65551 FUR65551 FKV65551 FAZ65551 ERD65551 EHH65551 DXL65551 DNP65551 DDT65551 CTX65551 CKB65551 CAF65551 BQJ65551 BGN65551 AWR65551 AMV65551 ACZ65551 TD65551 JH65551 L65551 WVT15 WLX15 WCB15 VSF15 VIJ15 UYN15 UOR15 UEV15 TUZ15 TLD15 TBH15 SRL15 SHP15 RXT15 RNX15 REB15 QUF15 QKJ15 QAN15 PQR15 PGV15 OWZ15 OND15 ODH15 NTL15 NJP15 MZT15 MPX15 MGB15 LWF15 LMJ15 LCN15 KSR15 KIV15 JYZ15 JPD15 JFH15 IVL15 ILP15 IBT15 HRX15 HIB15 GYF15 GOJ15 GEN15 FUR15 FKV15 FAZ15 ERD15 EHH15 DXL15 DNP15 DDT15 CTX15 CKB15 CAF15 BQJ15 BGN15 AWR15 AMV15 ACZ15 TD15 JH15 H17 WVT983074:WVT983076 WLX983074:WLX983076 WCB983074:WCB983076 VSF983074:VSF983076 VIJ983074:VIJ983076 UYN983074:UYN983076 UOR983074:UOR983076 UEV983074:UEV983076 TUZ983074:TUZ983076 TLD983074:TLD983076 TBH983074:TBH983076 SRL983074:SRL983076 SHP983074:SHP983076 RXT983074:RXT983076 RNX983074:RNX983076 REB983074:REB983076 QUF983074:QUF983076 QKJ983074:QKJ983076 QAN983074:QAN983076 PQR983074:PQR983076 PGV983074:PGV983076 OWZ983074:OWZ983076 OND983074:OND983076 ODH983074:ODH983076 NTL983074:NTL983076 NJP983074:NJP983076 MZT983074:MZT983076 MPX983074:MPX983076 MGB983074:MGB983076 LWF983074:LWF983076 LMJ983074:LMJ983076 LCN983074:LCN983076 KSR983074:KSR983076 KIV983074:KIV983076 JYZ983074:JYZ983076 JPD983074:JPD983076 JFH983074:JFH983076 IVL983074:IVL983076 ILP983074:ILP983076 IBT983074:IBT983076 HRX983074:HRX983076 HIB983074:HIB983076 GYF983074:GYF983076 GOJ983074:GOJ983076 GEN983074:GEN983076 FUR983074:FUR983076 FKV983074:FKV983076 FAZ983074:FAZ983076 ERD983074:ERD983076 EHH983074:EHH983076 DXL983074:DXL983076 DNP983074:DNP983076 DDT983074:DDT983076 CTX983074:CTX983076 CKB983074:CKB983076 CAF983074:CAF983076 BQJ983074:BQJ983076 BGN983074:BGN983076 AWR983074:AWR983076 AMV983074:AMV983076 ACZ983074:ACZ983076 TD983074:TD983076 JH983074:JH983076 L983074:L983076 WVT917538:WVT917540 WLX917538:WLX917540 WCB917538:WCB917540 VSF917538:VSF917540 VIJ917538:VIJ917540 UYN917538:UYN917540 UOR917538:UOR917540 UEV917538:UEV917540 TUZ917538:TUZ917540 TLD917538:TLD917540 TBH917538:TBH917540 SRL917538:SRL917540 SHP917538:SHP917540 RXT917538:RXT917540 RNX917538:RNX917540 REB917538:REB917540 QUF917538:QUF917540 QKJ917538:QKJ917540 QAN917538:QAN917540 PQR917538:PQR917540 PGV917538:PGV917540 OWZ917538:OWZ917540 OND917538:OND917540 ODH917538:ODH917540 NTL917538:NTL917540 NJP917538:NJP917540 MZT917538:MZT917540 MPX917538:MPX917540 MGB917538:MGB917540 LWF917538:LWF917540 LMJ917538:LMJ917540 LCN917538:LCN917540 KSR917538:KSR917540 KIV917538:KIV917540 JYZ917538:JYZ917540 JPD917538:JPD917540 JFH917538:JFH917540 IVL917538:IVL917540 ILP917538:ILP917540 IBT917538:IBT917540 HRX917538:HRX917540 HIB917538:HIB917540 GYF917538:GYF917540 GOJ917538:GOJ917540 GEN917538:GEN917540 FUR917538:FUR917540 FKV917538:FKV917540 FAZ917538:FAZ917540 ERD917538:ERD917540 EHH917538:EHH917540 DXL917538:DXL917540 DNP917538:DNP917540 DDT917538:DDT917540 CTX917538:CTX917540 CKB917538:CKB917540 CAF917538:CAF917540 BQJ917538:BQJ917540 BGN917538:BGN917540 AWR917538:AWR917540 AMV917538:AMV917540 ACZ917538:ACZ917540 TD917538:TD917540 JH917538:JH917540 L917538:L917540 WVT852002:WVT852004 WLX852002:WLX852004 WCB852002:WCB852004 VSF852002:VSF852004 VIJ852002:VIJ852004 UYN852002:UYN852004 UOR852002:UOR852004 UEV852002:UEV852004 TUZ852002:TUZ852004 TLD852002:TLD852004 TBH852002:TBH852004 SRL852002:SRL852004 SHP852002:SHP852004 RXT852002:RXT852004 RNX852002:RNX852004 REB852002:REB852004 QUF852002:QUF852004 QKJ852002:QKJ852004 QAN852002:QAN852004 PQR852002:PQR852004 PGV852002:PGV852004 OWZ852002:OWZ852004 OND852002:OND852004 ODH852002:ODH852004 NTL852002:NTL852004 NJP852002:NJP852004 MZT852002:MZT852004 MPX852002:MPX852004 MGB852002:MGB852004 LWF852002:LWF852004 LMJ852002:LMJ852004 LCN852002:LCN852004 KSR852002:KSR852004 KIV852002:KIV852004 JYZ852002:JYZ852004 JPD852002:JPD852004 JFH852002:JFH852004 IVL852002:IVL852004 ILP852002:ILP852004 IBT852002:IBT852004 HRX852002:HRX852004 HIB852002:HIB852004 GYF852002:GYF852004 GOJ852002:GOJ852004 GEN852002:GEN852004 FUR852002:FUR852004 FKV852002:FKV852004 FAZ852002:FAZ852004 ERD852002:ERD852004 EHH852002:EHH852004 DXL852002:DXL852004 DNP852002:DNP852004 DDT852002:DDT852004 CTX852002:CTX852004 CKB852002:CKB852004 CAF852002:CAF852004 BQJ852002:BQJ852004 BGN852002:BGN852004 AWR852002:AWR852004 AMV852002:AMV852004 ACZ852002:ACZ852004 TD852002:TD852004 JH852002:JH852004 L852002:L852004 WVT786466:WVT786468 WLX786466:WLX786468 WCB786466:WCB786468 VSF786466:VSF786468 VIJ786466:VIJ786468 UYN786466:UYN786468 UOR786466:UOR786468 UEV786466:UEV786468 TUZ786466:TUZ786468 TLD786466:TLD786468 TBH786466:TBH786468 SRL786466:SRL786468 SHP786466:SHP786468 RXT786466:RXT786468 RNX786466:RNX786468 REB786466:REB786468 QUF786466:QUF786468 QKJ786466:QKJ786468 QAN786466:QAN786468 PQR786466:PQR786468 PGV786466:PGV786468 OWZ786466:OWZ786468 OND786466:OND786468 ODH786466:ODH786468 NTL786466:NTL786468 NJP786466:NJP786468 MZT786466:MZT786468 MPX786466:MPX786468 MGB786466:MGB786468 LWF786466:LWF786468 LMJ786466:LMJ786468 LCN786466:LCN786468 KSR786466:KSR786468 KIV786466:KIV786468 JYZ786466:JYZ786468 JPD786466:JPD786468 JFH786466:JFH786468 IVL786466:IVL786468 ILP786466:ILP786468 IBT786466:IBT786468 HRX786466:HRX786468 HIB786466:HIB786468 GYF786466:GYF786468 GOJ786466:GOJ786468 GEN786466:GEN786468 FUR786466:FUR786468 FKV786466:FKV786468 FAZ786466:FAZ786468 ERD786466:ERD786468 EHH786466:EHH786468 DXL786466:DXL786468 DNP786466:DNP786468 DDT786466:DDT786468 CTX786466:CTX786468 CKB786466:CKB786468 CAF786466:CAF786468 BQJ786466:BQJ786468 BGN786466:BGN786468 AWR786466:AWR786468 AMV786466:AMV786468 ACZ786466:ACZ786468 TD786466:TD786468 JH786466:JH786468 L786466:L786468 WVT720930:WVT720932 WLX720930:WLX720932 WCB720930:WCB720932 VSF720930:VSF720932 VIJ720930:VIJ720932 UYN720930:UYN720932 UOR720930:UOR720932 UEV720930:UEV720932 TUZ720930:TUZ720932 TLD720930:TLD720932 TBH720930:TBH720932 SRL720930:SRL720932 SHP720930:SHP720932 RXT720930:RXT720932 RNX720930:RNX720932 REB720930:REB720932 QUF720930:QUF720932 QKJ720930:QKJ720932 QAN720930:QAN720932 PQR720930:PQR720932 PGV720930:PGV720932 OWZ720930:OWZ720932 OND720930:OND720932 ODH720930:ODH720932 NTL720930:NTL720932 NJP720930:NJP720932 MZT720930:MZT720932 MPX720930:MPX720932 MGB720930:MGB720932 LWF720930:LWF720932 LMJ720930:LMJ720932 LCN720930:LCN720932 KSR720930:KSR720932 KIV720930:KIV720932 JYZ720930:JYZ720932 JPD720930:JPD720932 JFH720930:JFH720932 IVL720930:IVL720932 ILP720930:ILP720932 IBT720930:IBT720932 HRX720930:HRX720932 HIB720930:HIB720932 GYF720930:GYF720932 GOJ720930:GOJ720932 GEN720930:GEN720932 FUR720930:FUR720932 FKV720930:FKV720932 FAZ720930:FAZ720932 ERD720930:ERD720932 EHH720930:EHH720932 DXL720930:DXL720932 DNP720930:DNP720932 DDT720930:DDT720932 CTX720930:CTX720932 CKB720930:CKB720932 CAF720930:CAF720932 BQJ720930:BQJ720932 BGN720930:BGN720932 AWR720930:AWR720932 AMV720930:AMV720932 ACZ720930:ACZ720932 TD720930:TD720932 JH720930:JH720932 L720930:L720932 WVT655394:WVT655396 WLX655394:WLX655396 WCB655394:WCB655396 VSF655394:VSF655396 VIJ655394:VIJ655396 UYN655394:UYN655396 UOR655394:UOR655396 UEV655394:UEV655396 TUZ655394:TUZ655396 TLD655394:TLD655396 TBH655394:TBH655396 SRL655394:SRL655396 SHP655394:SHP655396 RXT655394:RXT655396 RNX655394:RNX655396 REB655394:REB655396 QUF655394:QUF655396 QKJ655394:QKJ655396 QAN655394:QAN655396 PQR655394:PQR655396 PGV655394:PGV655396 OWZ655394:OWZ655396 OND655394:OND655396 ODH655394:ODH655396 NTL655394:NTL655396 NJP655394:NJP655396 MZT655394:MZT655396 MPX655394:MPX655396 MGB655394:MGB655396 LWF655394:LWF655396 LMJ655394:LMJ655396 LCN655394:LCN655396 KSR655394:KSR655396 KIV655394:KIV655396 JYZ655394:JYZ655396 JPD655394:JPD655396 JFH655394:JFH655396 IVL655394:IVL655396 ILP655394:ILP655396 IBT655394:IBT655396 HRX655394:HRX655396 HIB655394:HIB655396 GYF655394:GYF655396 GOJ655394:GOJ655396 GEN655394:GEN655396 FUR655394:FUR655396 FKV655394:FKV655396 FAZ655394:FAZ655396 ERD655394:ERD655396 EHH655394:EHH655396 DXL655394:DXL655396 DNP655394:DNP655396 DDT655394:DDT655396 CTX655394:CTX655396 CKB655394:CKB655396 CAF655394:CAF655396 BQJ655394:BQJ655396 BGN655394:BGN655396 AWR655394:AWR655396 AMV655394:AMV655396 ACZ655394:ACZ655396 TD655394:TD655396 JH655394:JH655396 L655394:L655396 WVT589858:WVT589860 WLX589858:WLX589860 WCB589858:WCB589860 VSF589858:VSF589860 VIJ589858:VIJ589860 UYN589858:UYN589860 UOR589858:UOR589860 UEV589858:UEV589860 TUZ589858:TUZ589860 TLD589858:TLD589860 TBH589858:TBH589860 SRL589858:SRL589860 SHP589858:SHP589860 RXT589858:RXT589860 RNX589858:RNX589860 REB589858:REB589860 QUF589858:QUF589860 QKJ589858:QKJ589860 QAN589858:QAN589860 PQR589858:PQR589860 PGV589858:PGV589860 OWZ589858:OWZ589860 OND589858:OND589860 ODH589858:ODH589860 NTL589858:NTL589860 NJP589858:NJP589860 MZT589858:MZT589860 MPX589858:MPX589860 MGB589858:MGB589860 LWF589858:LWF589860 LMJ589858:LMJ589860 LCN589858:LCN589860 KSR589858:KSR589860 KIV589858:KIV589860 JYZ589858:JYZ589860 JPD589858:JPD589860 JFH589858:JFH589860 IVL589858:IVL589860 ILP589858:ILP589860 IBT589858:IBT589860 HRX589858:HRX589860 HIB589858:HIB589860 GYF589858:GYF589860 GOJ589858:GOJ589860 GEN589858:GEN589860 FUR589858:FUR589860 FKV589858:FKV589860 FAZ589858:FAZ589860 ERD589858:ERD589860 EHH589858:EHH589860 DXL589858:DXL589860 DNP589858:DNP589860 DDT589858:DDT589860 CTX589858:CTX589860 CKB589858:CKB589860 CAF589858:CAF589860 BQJ589858:BQJ589860 BGN589858:BGN589860 AWR589858:AWR589860 AMV589858:AMV589860 ACZ589858:ACZ589860 TD589858:TD589860 JH589858:JH589860 L589858:L589860 WVT524322:WVT524324 WLX524322:WLX524324 WCB524322:WCB524324 VSF524322:VSF524324 VIJ524322:VIJ524324 UYN524322:UYN524324 UOR524322:UOR524324 UEV524322:UEV524324 TUZ524322:TUZ524324 TLD524322:TLD524324 TBH524322:TBH524324 SRL524322:SRL524324 SHP524322:SHP524324 RXT524322:RXT524324 RNX524322:RNX524324 REB524322:REB524324 QUF524322:QUF524324 QKJ524322:QKJ524324 QAN524322:QAN524324 PQR524322:PQR524324 PGV524322:PGV524324 OWZ524322:OWZ524324 OND524322:OND524324 ODH524322:ODH524324 NTL524322:NTL524324 NJP524322:NJP524324 MZT524322:MZT524324 MPX524322:MPX524324 MGB524322:MGB524324 LWF524322:LWF524324 LMJ524322:LMJ524324 LCN524322:LCN524324 KSR524322:KSR524324 KIV524322:KIV524324 JYZ524322:JYZ524324 JPD524322:JPD524324 JFH524322:JFH524324 IVL524322:IVL524324 ILP524322:ILP524324 IBT524322:IBT524324 HRX524322:HRX524324 HIB524322:HIB524324 GYF524322:GYF524324 GOJ524322:GOJ524324 GEN524322:GEN524324 FUR524322:FUR524324 FKV524322:FKV524324 FAZ524322:FAZ524324 ERD524322:ERD524324 EHH524322:EHH524324 DXL524322:DXL524324 DNP524322:DNP524324 DDT524322:DDT524324 CTX524322:CTX524324 CKB524322:CKB524324 CAF524322:CAF524324 BQJ524322:BQJ524324 BGN524322:BGN524324 AWR524322:AWR524324 AMV524322:AMV524324 ACZ524322:ACZ524324 TD524322:TD524324 JH524322:JH524324 L524322:L524324 WVT458786:WVT458788 WLX458786:WLX458788 WCB458786:WCB458788 VSF458786:VSF458788 VIJ458786:VIJ458788 UYN458786:UYN458788 UOR458786:UOR458788 UEV458786:UEV458788 TUZ458786:TUZ458788 TLD458786:TLD458788 TBH458786:TBH458788 SRL458786:SRL458788 SHP458786:SHP458788 RXT458786:RXT458788 RNX458786:RNX458788 REB458786:REB458788 QUF458786:QUF458788 QKJ458786:QKJ458788 QAN458786:QAN458788 PQR458786:PQR458788 PGV458786:PGV458788 OWZ458786:OWZ458788 OND458786:OND458788 ODH458786:ODH458788 NTL458786:NTL458788 NJP458786:NJP458788 MZT458786:MZT458788 MPX458786:MPX458788 MGB458786:MGB458788 LWF458786:LWF458788 LMJ458786:LMJ458788 LCN458786:LCN458788 KSR458786:KSR458788 KIV458786:KIV458788 JYZ458786:JYZ458788 JPD458786:JPD458788 JFH458786:JFH458788 IVL458786:IVL458788 ILP458786:ILP458788 IBT458786:IBT458788 HRX458786:HRX458788 HIB458786:HIB458788 GYF458786:GYF458788 GOJ458786:GOJ458788 GEN458786:GEN458788 FUR458786:FUR458788 FKV458786:FKV458788 FAZ458786:FAZ458788 ERD458786:ERD458788 EHH458786:EHH458788 DXL458786:DXL458788 DNP458786:DNP458788 DDT458786:DDT458788 CTX458786:CTX458788 CKB458786:CKB458788 CAF458786:CAF458788 BQJ458786:BQJ458788 BGN458786:BGN458788 AWR458786:AWR458788 AMV458786:AMV458788 ACZ458786:ACZ458788 TD458786:TD458788 JH458786:JH458788 L458786:L458788 WVT393250:WVT393252 WLX393250:WLX393252 WCB393250:WCB393252 VSF393250:VSF393252 VIJ393250:VIJ393252 UYN393250:UYN393252 UOR393250:UOR393252 UEV393250:UEV393252 TUZ393250:TUZ393252 TLD393250:TLD393252 TBH393250:TBH393252 SRL393250:SRL393252 SHP393250:SHP393252 RXT393250:RXT393252 RNX393250:RNX393252 REB393250:REB393252 QUF393250:QUF393252 QKJ393250:QKJ393252 QAN393250:QAN393252 PQR393250:PQR393252 PGV393250:PGV393252 OWZ393250:OWZ393252 OND393250:OND393252 ODH393250:ODH393252 NTL393250:NTL393252 NJP393250:NJP393252 MZT393250:MZT393252 MPX393250:MPX393252 MGB393250:MGB393252 LWF393250:LWF393252 LMJ393250:LMJ393252 LCN393250:LCN393252 KSR393250:KSR393252 KIV393250:KIV393252 JYZ393250:JYZ393252 JPD393250:JPD393252 JFH393250:JFH393252 IVL393250:IVL393252 ILP393250:ILP393252 IBT393250:IBT393252 HRX393250:HRX393252 HIB393250:HIB393252 GYF393250:GYF393252 GOJ393250:GOJ393252 GEN393250:GEN393252 FUR393250:FUR393252 FKV393250:FKV393252 FAZ393250:FAZ393252 ERD393250:ERD393252 EHH393250:EHH393252 DXL393250:DXL393252 DNP393250:DNP393252 DDT393250:DDT393252 CTX393250:CTX393252 CKB393250:CKB393252 CAF393250:CAF393252 BQJ393250:BQJ393252 BGN393250:BGN393252 AWR393250:AWR393252 AMV393250:AMV393252 ACZ393250:ACZ393252 TD393250:TD393252 JH393250:JH393252 L393250:L393252 WVT327714:WVT327716 WLX327714:WLX327716 WCB327714:WCB327716 VSF327714:VSF327716 VIJ327714:VIJ327716 UYN327714:UYN327716 UOR327714:UOR327716 UEV327714:UEV327716 TUZ327714:TUZ327716 TLD327714:TLD327716 TBH327714:TBH327716 SRL327714:SRL327716 SHP327714:SHP327716 RXT327714:RXT327716 RNX327714:RNX327716 REB327714:REB327716 QUF327714:QUF327716 QKJ327714:QKJ327716 QAN327714:QAN327716 PQR327714:PQR327716 PGV327714:PGV327716 OWZ327714:OWZ327716 OND327714:OND327716 ODH327714:ODH327716 NTL327714:NTL327716 NJP327714:NJP327716 MZT327714:MZT327716 MPX327714:MPX327716 MGB327714:MGB327716 LWF327714:LWF327716 LMJ327714:LMJ327716 LCN327714:LCN327716 KSR327714:KSR327716 KIV327714:KIV327716 JYZ327714:JYZ327716 JPD327714:JPD327716 JFH327714:JFH327716 IVL327714:IVL327716 ILP327714:ILP327716 IBT327714:IBT327716 HRX327714:HRX327716 HIB327714:HIB327716 GYF327714:GYF327716 GOJ327714:GOJ327716 GEN327714:GEN327716 FUR327714:FUR327716 FKV327714:FKV327716 FAZ327714:FAZ327716 ERD327714:ERD327716 EHH327714:EHH327716 DXL327714:DXL327716 DNP327714:DNP327716 DDT327714:DDT327716 CTX327714:CTX327716 CKB327714:CKB327716 CAF327714:CAF327716 BQJ327714:BQJ327716 BGN327714:BGN327716 AWR327714:AWR327716 AMV327714:AMV327716 ACZ327714:ACZ327716 TD327714:TD327716 JH327714:JH327716 L327714:L327716 WVT262178:WVT262180 WLX262178:WLX262180 WCB262178:WCB262180 VSF262178:VSF262180 VIJ262178:VIJ262180 UYN262178:UYN262180 UOR262178:UOR262180 UEV262178:UEV262180 TUZ262178:TUZ262180 TLD262178:TLD262180 TBH262178:TBH262180 SRL262178:SRL262180 SHP262178:SHP262180 RXT262178:RXT262180 RNX262178:RNX262180 REB262178:REB262180 QUF262178:QUF262180 QKJ262178:QKJ262180 QAN262178:QAN262180 PQR262178:PQR262180 PGV262178:PGV262180 OWZ262178:OWZ262180 OND262178:OND262180 ODH262178:ODH262180 NTL262178:NTL262180 NJP262178:NJP262180 MZT262178:MZT262180 MPX262178:MPX262180 MGB262178:MGB262180 LWF262178:LWF262180 LMJ262178:LMJ262180 LCN262178:LCN262180 KSR262178:KSR262180 KIV262178:KIV262180 JYZ262178:JYZ262180 JPD262178:JPD262180 JFH262178:JFH262180 IVL262178:IVL262180 ILP262178:ILP262180 IBT262178:IBT262180 HRX262178:HRX262180 HIB262178:HIB262180 GYF262178:GYF262180 GOJ262178:GOJ262180 GEN262178:GEN262180 FUR262178:FUR262180 FKV262178:FKV262180 FAZ262178:FAZ262180 ERD262178:ERD262180 EHH262178:EHH262180 DXL262178:DXL262180 DNP262178:DNP262180 DDT262178:DDT262180 CTX262178:CTX262180 CKB262178:CKB262180 CAF262178:CAF262180 BQJ262178:BQJ262180 BGN262178:BGN262180 AWR262178:AWR262180 AMV262178:AMV262180 ACZ262178:ACZ262180 TD262178:TD262180 JH262178:JH262180 L262178:L262180 WVT196642:WVT196644 WLX196642:WLX196644 WCB196642:WCB196644 VSF196642:VSF196644 VIJ196642:VIJ196644 UYN196642:UYN196644 UOR196642:UOR196644 UEV196642:UEV196644 TUZ196642:TUZ196644 TLD196642:TLD196644 TBH196642:TBH196644 SRL196642:SRL196644 SHP196642:SHP196644 RXT196642:RXT196644 RNX196642:RNX196644 REB196642:REB196644 QUF196642:QUF196644 QKJ196642:QKJ196644 QAN196642:QAN196644 PQR196642:PQR196644 PGV196642:PGV196644 OWZ196642:OWZ196644 OND196642:OND196644 ODH196642:ODH196644 NTL196642:NTL196644 NJP196642:NJP196644 MZT196642:MZT196644 MPX196642:MPX196644 MGB196642:MGB196644 LWF196642:LWF196644 LMJ196642:LMJ196644 LCN196642:LCN196644 KSR196642:KSR196644 KIV196642:KIV196644 JYZ196642:JYZ196644 JPD196642:JPD196644 JFH196642:JFH196644 IVL196642:IVL196644 ILP196642:ILP196644 IBT196642:IBT196644 HRX196642:HRX196644 HIB196642:HIB196644 GYF196642:GYF196644 GOJ196642:GOJ196644 GEN196642:GEN196644 FUR196642:FUR196644 FKV196642:FKV196644 FAZ196642:FAZ196644 ERD196642:ERD196644 EHH196642:EHH196644 DXL196642:DXL196644 DNP196642:DNP196644 DDT196642:DDT196644 CTX196642:CTX196644 CKB196642:CKB196644 CAF196642:CAF196644 BQJ196642:BQJ196644 BGN196642:BGN196644 AWR196642:AWR196644 AMV196642:AMV196644 ACZ196642:ACZ196644 TD196642:TD196644 JH196642:JH196644 L196642:L196644 WVT131106:WVT131108 WLX131106:WLX131108 WCB131106:WCB131108 VSF131106:VSF131108 VIJ131106:VIJ131108 UYN131106:UYN131108 UOR131106:UOR131108 UEV131106:UEV131108 TUZ131106:TUZ131108 TLD131106:TLD131108 TBH131106:TBH131108 SRL131106:SRL131108 SHP131106:SHP131108 RXT131106:RXT131108 RNX131106:RNX131108 REB131106:REB131108 QUF131106:QUF131108 QKJ131106:QKJ131108 QAN131106:QAN131108 PQR131106:PQR131108 PGV131106:PGV131108 OWZ131106:OWZ131108 OND131106:OND131108 ODH131106:ODH131108 NTL131106:NTL131108 NJP131106:NJP131108 MZT131106:MZT131108 MPX131106:MPX131108 MGB131106:MGB131108 LWF131106:LWF131108 LMJ131106:LMJ131108 LCN131106:LCN131108 KSR131106:KSR131108 KIV131106:KIV131108 JYZ131106:JYZ131108 JPD131106:JPD131108 JFH131106:JFH131108 IVL131106:IVL131108 ILP131106:ILP131108 IBT131106:IBT131108 HRX131106:HRX131108 HIB131106:HIB131108 GYF131106:GYF131108 GOJ131106:GOJ131108 GEN131106:GEN131108 FUR131106:FUR131108 FKV131106:FKV131108 FAZ131106:FAZ131108 ERD131106:ERD131108 EHH131106:EHH131108 DXL131106:DXL131108 DNP131106:DNP131108 DDT131106:DDT131108 CTX131106:CTX131108 CKB131106:CKB131108 CAF131106:CAF131108 BQJ131106:BQJ131108 BGN131106:BGN131108 AWR131106:AWR131108 AMV131106:AMV131108 ACZ131106:ACZ131108 TD131106:TD131108 JH131106:JH131108 L131106:L131108 WVT65570:WVT65572 WLX65570:WLX65572 WCB65570:WCB65572 VSF65570:VSF65572 VIJ65570:VIJ65572 UYN65570:UYN65572 UOR65570:UOR65572 UEV65570:UEV65572 TUZ65570:TUZ65572 TLD65570:TLD65572 TBH65570:TBH65572 SRL65570:SRL65572 SHP65570:SHP65572 RXT65570:RXT65572 RNX65570:RNX65572 REB65570:REB65572 QUF65570:QUF65572 QKJ65570:QKJ65572 QAN65570:QAN65572 PQR65570:PQR65572 PGV65570:PGV65572 OWZ65570:OWZ65572 OND65570:OND65572 ODH65570:ODH65572 NTL65570:NTL65572 NJP65570:NJP65572 MZT65570:MZT65572 MPX65570:MPX65572 MGB65570:MGB65572 LWF65570:LWF65572 LMJ65570:LMJ65572 LCN65570:LCN65572 KSR65570:KSR65572 KIV65570:KIV65572 JYZ65570:JYZ65572 JPD65570:JPD65572 JFH65570:JFH65572 IVL65570:IVL65572 ILP65570:ILP65572 IBT65570:IBT65572 HRX65570:HRX65572 HIB65570:HIB65572 GYF65570:GYF65572 GOJ65570:GOJ65572 GEN65570:GEN65572 FUR65570:FUR65572 FKV65570:FKV65572 FAZ65570:FAZ65572 ERD65570:ERD65572 EHH65570:EHH65572 DXL65570:DXL65572 DNP65570:DNP65572 DDT65570:DDT65572 CTX65570:CTX65572 CKB65570:CKB65572 CAF65570:CAF65572 BQJ65570:BQJ65572 BGN65570:BGN65572 AWR65570:AWR65572 AMV65570:AMV65572 ACZ65570:ACZ65572 TD65570:TD65572 JH65570:JH65572 L65570:L65572 WVT34:WVT36 WLX34:WLX36 WCB34:WCB36 VSF34:VSF36 VIJ34:VIJ36 UYN34:UYN36 UOR34:UOR36 UEV34:UEV36 TUZ34:TUZ36 TLD34:TLD36 TBH34:TBH36 SRL34:SRL36 SHP34:SHP36 RXT34:RXT36 RNX34:RNX36 REB34:REB36 QUF34:QUF36 QKJ34:QKJ36 QAN34:QAN36 PQR34:PQR36 PGV34:PGV36 OWZ34:OWZ36 OND34:OND36 ODH34:ODH36 NTL34:NTL36 NJP34:NJP36 MZT34:MZT36 MPX34:MPX36 MGB34:MGB36 LWF34:LWF36 LMJ34:LMJ36 LCN34:LCN36 KSR34:KSR36 KIV34:KIV36 JYZ34:JYZ36 JPD34:JPD36 JFH34:JFH36 IVL34:IVL36 ILP34:ILP36 IBT34:IBT36 HRX34:HRX36 HIB34:HIB36 GYF34:GYF36 GOJ34:GOJ36 GEN34:GEN36 FUR34:FUR36 FKV34:FKV36 FAZ34:FAZ36 ERD34:ERD36 EHH34:EHH36 DXL34:DXL36 DNP34:DNP36 DDT34:DDT36 CTX34:CTX36 CKB34:CKB36 CAF34:CAF36 BQJ34:BQJ36 BGN34:BGN36 AWR34:AWR36 AMV34:AMV36 ACZ34:ACZ36 TD34:TD36 JH34:JH36 L34:L36 WVT983072 WLX983072 WCB983072 VSF983072 VIJ983072 UYN983072 UOR983072 UEV983072 TUZ983072 TLD983072 TBH983072 SRL983072 SHP983072 RXT983072 RNX983072 REB983072 QUF983072 QKJ983072 QAN983072 PQR983072 PGV983072 OWZ983072 OND983072 ODH983072 NTL983072 NJP983072 MZT983072 MPX983072 MGB983072 LWF983072 LMJ983072 LCN983072 KSR983072 KIV983072 JYZ983072 JPD983072 JFH983072 IVL983072 ILP983072 IBT983072 HRX983072 HIB983072 GYF983072 GOJ983072 GEN983072 FUR983072 FKV983072 FAZ983072 ERD983072 EHH983072 DXL983072 DNP983072 DDT983072 CTX983072 CKB983072 CAF983072 BQJ983072 BGN983072 AWR983072 AMV983072 ACZ983072 TD983072 JH983072 L983072 WVT917536 WLX917536 WCB917536 VSF917536 VIJ917536 UYN917536 UOR917536 UEV917536 TUZ917536 TLD917536 TBH917536 SRL917536 SHP917536 RXT917536 RNX917536 REB917536 QUF917536 QKJ917536 QAN917536 PQR917536 PGV917536 OWZ917536 OND917536 ODH917536 NTL917536 NJP917536 MZT917536 MPX917536 MGB917536 LWF917536 LMJ917536 LCN917536 KSR917536 KIV917536 JYZ917536 JPD917536 JFH917536 IVL917536 ILP917536 IBT917536 HRX917536 HIB917536 GYF917536 GOJ917536 GEN917536 FUR917536 FKV917536 FAZ917536 ERD917536 EHH917536 DXL917536 DNP917536 DDT917536 CTX917536 CKB917536 CAF917536 BQJ917536 BGN917536 AWR917536 AMV917536 ACZ917536 TD917536 JH917536 L917536 WVT852000 WLX852000 WCB852000 VSF852000 VIJ852000 UYN852000 UOR852000 UEV852000 TUZ852000 TLD852000 TBH852000 SRL852000 SHP852000 RXT852000 RNX852000 REB852000 QUF852000 QKJ852000 QAN852000 PQR852000 PGV852000 OWZ852000 OND852000 ODH852000 NTL852000 NJP852000 MZT852000 MPX852000 MGB852000 LWF852000 LMJ852000 LCN852000 KSR852000 KIV852000 JYZ852000 JPD852000 JFH852000 IVL852000 ILP852000 IBT852000 HRX852000 HIB852000 GYF852000 GOJ852000 GEN852000 FUR852000 FKV852000 FAZ852000 ERD852000 EHH852000 DXL852000 DNP852000 DDT852000 CTX852000 CKB852000 CAF852000 BQJ852000 BGN852000 AWR852000 AMV852000 ACZ852000 TD852000 JH852000 L852000 WVT786464 WLX786464 WCB786464 VSF786464 VIJ786464 UYN786464 UOR786464 UEV786464 TUZ786464 TLD786464 TBH786464 SRL786464 SHP786464 RXT786464 RNX786464 REB786464 QUF786464 QKJ786464 QAN786464 PQR786464 PGV786464 OWZ786464 OND786464 ODH786464 NTL786464 NJP786464 MZT786464 MPX786464 MGB786464 LWF786464 LMJ786464 LCN786464 KSR786464 KIV786464 JYZ786464 JPD786464 JFH786464 IVL786464 ILP786464 IBT786464 HRX786464 HIB786464 GYF786464 GOJ786464 GEN786464 FUR786464 FKV786464 FAZ786464 ERD786464 EHH786464 DXL786464 DNP786464 DDT786464 CTX786464 CKB786464 CAF786464 BQJ786464 BGN786464 AWR786464 AMV786464 ACZ786464 TD786464 JH786464 L786464 WVT720928 WLX720928 WCB720928 VSF720928 VIJ720928 UYN720928 UOR720928 UEV720928 TUZ720928 TLD720928 TBH720928 SRL720928 SHP720928 RXT720928 RNX720928 REB720928 QUF720928 QKJ720928 QAN720928 PQR720928 PGV720928 OWZ720928 OND720928 ODH720928 NTL720928 NJP720928 MZT720928 MPX720928 MGB720928 LWF720928 LMJ720928 LCN720928 KSR720928 KIV720928 JYZ720928 JPD720928 JFH720928 IVL720928 ILP720928 IBT720928 HRX720928 HIB720928 GYF720928 GOJ720928 GEN720928 FUR720928 FKV720928 FAZ720928 ERD720928 EHH720928 DXL720928 DNP720928 DDT720928 CTX720928 CKB720928 CAF720928 BQJ720928 BGN720928 AWR720928 AMV720928 ACZ720928 TD720928 JH720928 L720928 WVT655392 WLX655392 WCB655392 VSF655392 VIJ655392 UYN655392 UOR655392 UEV655392 TUZ655392 TLD655392 TBH655392 SRL655392 SHP655392 RXT655392 RNX655392 REB655392 QUF655392 QKJ655392 QAN655392 PQR655392 PGV655392 OWZ655392 OND655392 ODH655392 NTL655392 NJP655392 MZT655392 MPX655392 MGB655392 LWF655392 LMJ655392 LCN655392 KSR655392 KIV655392 JYZ655392 JPD655392 JFH655392 IVL655392 ILP655392 IBT655392 HRX655392 HIB655392 GYF655392 GOJ655392 GEN655392 FUR655392 FKV655392 FAZ655392 ERD655392 EHH655392 DXL655392 DNP655392 DDT655392 CTX655392 CKB655392 CAF655392 BQJ655392 BGN655392 AWR655392 AMV655392 ACZ655392 TD655392 JH655392 L655392 WVT589856 WLX589856 WCB589856 VSF589856 VIJ589856 UYN589856 UOR589856 UEV589856 TUZ589856 TLD589856 TBH589856 SRL589856 SHP589856 RXT589856 RNX589856 REB589856 QUF589856 QKJ589856 QAN589856 PQR589856 PGV589856 OWZ589856 OND589856 ODH589856 NTL589856 NJP589856 MZT589856 MPX589856 MGB589856 LWF589856 LMJ589856 LCN589856 KSR589856 KIV589856 JYZ589856 JPD589856 JFH589856 IVL589856 ILP589856 IBT589856 HRX589856 HIB589856 GYF589856 GOJ589856 GEN589856 FUR589856 FKV589856 FAZ589856 ERD589856 EHH589856 DXL589856 DNP589856 DDT589856 CTX589856 CKB589856 CAF589856 BQJ589856 BGN589856 AWR589856 AMV589856 ACZ589856 TD589856 JH589856 L589856 WVT524320 WLX524320 WCB524320 VSF524320 VIJ524320 UYN524320 UOR524320 UEV524320 TUZ524320 TLD524320 TBH524320 SRL524320 SHP524320 RXT524320 RNX524320 REB524320 QUF524320 QKJ524320 QAN524320 PQR524320 PGV524320 OWZ524320 OND524320 ODH524320 NTL524320 NJP524320 MZT524320 MPX524320 MGB524320 LWF524320 LMJ524320 LCN524320 KSR524320 KIV524320 JYZ524320 JPD524320 JFH524320 IVL524320 ILP524320 IBT524320 HRX524320 HIB524320 GYF524320 GOJ524320 GEN524320 FUR524320 FKV524320 FAZ524320 ERD524320 EHH524320 DXL524320 DNP524320 DDT524320 CTX524320 CKB524320 CAF524320 BQJ524320 BGN524320 AWR524320 AMV524320 ACZ524320 TD524320 JH524320 L524320 WVT458784 WLX458784 WCB458784 VSF458784 VIJ458784 UYN458784 UOR458784 UEV458784 TUZ458784 TLD458784 TBH458784 SRL458784 SHP458784 RXT458784 RNX458784 REB458784 QUF458784 QKJ458784 QAN458784 PQR458784 PGV458784 OWZ458784 OND458784 ODH458784 NTL458784 NJP458784 MZT458784 MPX458784 MGB458784 LWF458784 LMJ458784 LCN458784 KSR458784 KIV458784 JYZ458784 JPD458784 JFH458784 IVL458784 ILP458784 IBT458784 HRX458784 HIB458784 GYF458784 GOJ458784 GEN458784 FUR458784 FKV458784 FAZ458784 ERD458784 EHH458784 DXL458784 DNP458784 DDT458784 CTX458784 CKB458784 CAF458784 BQJ458784 BGN458784 AWR458784 AMV458784 ACZ458784 TD458784 JH458784 L458784 WVT393248 WLX393248 WCB393248 VSF393248 VIJ393248 UYN393248 UOR393248 UEV393248 TUZ393248 TLD393248 TBH393248 SRL393248 SHP393248 RXT393248 RNX393248 REB393248 QUF393248 QKJ393248 QAN393248 PQR393248 PGV393248 OWZ393248 OND393248 ODH393248 NTL393248 NJP393248 MZT393248 MPX393248 MGB393248 LWF393248 LMJ393248 LCN393248 KSR393248 KIV393248 JYZ393248 JPD393248 JFH393248 IVL393248 ILP393248 IBT393248 HRX393248 HIB393248 GYF393248 GOJ393248 GEN393248 FUR393248 FKV393248 FAZ393248 ERD393248 EHH393248 DXL393248 DNP393248 DDT393248 CTX393248 CKB393248 CAF393248 BQJ393248 BGN393248 AWR393248 AMV393248 ACZ393248 TD393248 JH393248 L393248 WVT327712 WLX327712 WCB327712 VSF327712 VIJ327712 UYN327712 UOR327712 UEV327712 TUZ327712 TLD327712 TBH327712 SRL327712 SHP327712 RXT327712 RNX327712 REB327712 QUF327712 QKJ327712 QAN327712 PQR327712 PGV327712 OWZ327712 OND327712 ODH327712 NTL327712 NJP327712 MZT327712 MPX327712 MGB327712 LWF327712 LMJ327712 LCN327712 KSR327712 KIV327712 JYZ327712 JPD327712 JFH327712 IVL327712 ILP327712 IBT327712 HRX327712 HIB327712 GYF327712 GOJ327712 GEN327712 FUR327712 FKV327712 FAZ327712 ERD327712 EHH327712 DXL327712 DNP327712 DDT327712 CTX327712 CKB327712 CAF327712 BQJ327712 BGN327712 AWR327712 AMV327712 ACZ327712 TD327712 JH327712 L327712 WVT262176 WLX262176 WCB262176 VSF262176 VIJ262176 UYN262176 UOR262176 UEV262176 TUZ262176 TLD262176 TBH262176 SRL262176 SHP262176 RXT262176 RNX262176 REB262176 QUF262176 QKJ262176 QAN262176 PQR262176 PGV262176 OWZ262176 OND262176 ODH262176 NTL262176 NJP262176 MZT262176 MPX262176 MGB262176 LWF262176 LMJ262176 LCN262176 KSR262176 KIV262176 JYZ262176 JPD262176 JFH262176 IVL262176 ILP262176 IBT262176 HRX262176 HIB262176 GYF262176 GOJ262176 GEN262176 FUR262176 FKV262176 FAZ262176 ERD262176 EHH262176 DXL262176 DNP262176 DDT262176 CTX262176 CKB262176 CAF262176 BQJ262176 BGN262176 AWR262176 AMV262176 ACZ262176 TD262176 JH262176 L262176 WVT196640 WLX196640 WCB196640 VSF196640 VIJ196640 UYN196640 UOR196640 UEV196640 TUZ196640 TLD196640 TBH196640 SRL196640 SHP196640 RXT196640 RNX196640 REB196640 QUF196640 QKJ196640 QAN196640 PQR196640 PGV196640 OWZ196640 OND196640 ODH196640 NTL196640 NJP196640 MZT196640 MPX196640 MGB196640 LWF196640 LMJ196640 LCN196640 KSR196640 KIV196640 JYZ196640 JPD196640 JFH196640 IVL196640 ILP196640 IBT196640 HRX196640 HIB196640 GYF196640 GOJ196640 GEN196640 FUR196640 FKV196640 FAZ196640 ERD196640 EHH196640 DXL196640 DNP196640 DDT196640 CTX196640 CKB196640 CAF196640 BQJ196640 BGN196640 AWR196640 AMV196640 ACZ196640 TD196640 JH196640 L196640 WVT131104 WLX131104 WCB131104 VSF131104 VIJ131104 UYN131104 UOR131104 UEV131104 TUZ131104 TLD131104 TBH131104 SRL131104 SHP131104 RXT131104 RNX131104 REB131104 QUF131104 QKJ131104 QAN131104 PQR131104 PGV131104 OWZ131104 OND131104 ODH131104 NTL131104 NJP131104 MZT131104 MPX131104 MGB131104 LWF131104 LMJ131104 LCN131104 KSR131104 KIV131104 JYZ131104 JPD131104 JFH131104 IVL131104 ILP131104 IBT131104 HRX131104 HIB131104 GYF131104 GOJ131104 GEN131104 FUR131104 FKV131104 FAZ131104 ERD131104 EHH131104 DXL131104 DNP131104 DDT131104 CTX131104 CKB131104 CAF131104 BQJ131104 BGN131104 AWR131104 AMV131104 ACZ131104 TD131104 JH131104 L131104 WVT65568 WLX65568 WCB65568 VSF65568 VIJ65568 UYN65568 UOR65568 UEV65568 TUZ65568 TLD65568 TBH65568 SRL65568 SHP65568 RXT65568 RNX65568 REB65568 QUF65568 QKJ65568 QAN65568 PQR65568 PGV65568 OWZ65568 OND65568 ODH65568 NTL65568 NJP65568 MZT65568 MPX65568 MGB65568 LWF65568 LMJ65568 LCN65568 KSR65568 KIV65568 JYZ65568 JPD65568 JFH65568 IVL65568 ILP65568 IBT65568 HRX65568 HIB65568 GYF65568 GOJ65568 GEN65568 FUR65568 FKV65568 FAZ65568 ERD65568 EHH65568 DXL65568 DNP65568 DDT65568 CTX65568 CKB65568 CAF65568 BQJ65568 BGN65568 AWR65568 AMV65568 ACZ65568 TD65568 JH65568 L65568 L32 WVP983055 WLT983055 WBX983055 VSB983055 VIF983055 UYJ983055 UON983055 UER983055 TUV983055 TKZ983055 TBD983055 SRH983055 SHL983055 RXP983055 RNT983055 RDX983055 QUB983055 QKF983055 QAJ983055 PQN983055 PGR983055 OWV983055 OMZ983055 ODD983055 NTH983055 NJL983055 MZP983055 MPT983055 MFX983055 LWB983055 LMF983055 LCJ983055 KSN983055 KIR983055 JYV983055 JOZ983055 JFD983055 IVH983055 ILL983055 IBP983055 HRT983055 HHX983055 GYB983055 GOF983055 GEJ983055 FUN983055 FKR983055 FAV983055 EQZ983055 EHD983055 DXH983055 DNL983055 DDP983055 CTT983055 CJX983055 CAB983055 BQF983055 BGJ983055 AWN983055 AMR983055 ACV983055 SZ983055 JD983055 H983055 WVP917519 WLT917519 WBX917519 VSB917519 VIF917519 UYJ917519 UON917519 UER917519 TUV917519 TKZ917519 TBD917519 SRH917519 SHL917519 RXP917519 RNT917519 RDX917519 QUB917519 QKF917519 QAJ917519 PQN917519 PGR917519 OWV917519 OMZ917519 ODD917519 NTH917519 NJL917519 MZP917519 MPT917519 MFX917519 LWB917519 LMF917519 LCJ917519 KSN917519 KIR917519 JYV917519 JOZ917519 JFD917519 IVH917519 ILL917519 IBP917519 HRT917519 HHX917519 GYB917519 GOF917519 GEJ917519 FUN917519 FKR917519 FAV917519 EQZ917519 EHD917519 DXH917519 DNL917519 DDP917519 CTT917519 CJX917519 CAB917519 BQF917519 BGJ917519 AWN917519 AMR917519 ACV917519 SZ917519 JD917519 H917519 WVP851983 WLT851983 WBX851983 VSB851983 VIF851983 UYJ851983 UON851983 UER851983 TUV851983 TKZ851983 TBD851983 SRH851983 SHL851983 RXP851983 RNT851983 RDX851983 QUB851983 QKF851983 QAJ851983 PQN851983 PGR851983 OWV851983 OMZ851983 ODD851983 NTH851983 NJL851983 MZP851983 MPT851983 MFX851983 LWB851983 LMF851983 LCJ851983 KSN851983 KIR851983 JYV851983 JOZ851983 JFD851983 IVH851983 ILL851983 IBP851983 HRT851983 HHX851983 GYB851983 GOF851983 GEJ851983 FUN851983 FKR851983 FAV851983 EQZ851983 EHD851983 DXH851983 DNL851983 DDP851983 CTT851983 CJX851983 CAB851983 BQF851983 BGJ851983 AWN851983 AMR851983 ACV851983 SZ851983 JD851983 H851983 WVP786447 WLT786447 WBX786447 VSB786447 VIF786447 UYJ786447 UON786447 UER786447 TUV786447 TKZ786447 TBD786447 SRH786447 SHL786447 RXP786447 RNT786447 RDX786447 QUB786447 QKF786447 QAJ786447 PQN786447 PGR786447 OWV786447 OMZ786447 ODD786447 NTH786447 NJL786447 MZP786447 MPT786447 MFX786447 LWB786447 LMF786447 LCJ786447 KSN786447 KIR786447 JYV786447 JOZ786447 JFD786447 IVH786447 ILL786447 IBP786447 HRT786447 HHX786447 GYB786447 GOF786447 GEJ786447 FUN786447 FKR786447 FAV786447 EQZ786447 EHD786447 DXH786447 DNL786447 DDP786447 CTT786447 CJX786447 CAB786447 BQF786447 BGJ786447 AWN786447 AMR786447 ACV786447 SZ786447 JD786447 H786447 WVP720911 WLT720911 WBX720911 VSB720911 VIF720911 UYJ720911 UON720911 UER720911 TUV720911 TKZ720911 TBD720911 SRH720911 SHL720911 RXP720911 RNT720911 RDX720911 QUB720911 QKF720911 QAJ720911 PQN720911 PGR720911 OWV720911 OMZ720911 ODD720911 NTH720911 NJL720911 MZP720911 MPT720911 MFX720911 LWB720911 LMF720911 LCJ720911 KSN720911 KIR720911 JYV720911 JOZ720911 JFD720911 IVH720911 ILL720911 IBP720911 HRT720911 HHX720911 GYB720911 GOF720911 GEJ720911 FUN720911 FKR720911 FAV720911 EQZ720911 EHD720911 DXH720911 DNL720911 DDP720911 CTT720911 CJX720911 CAB720911 BQF720911 BGJ720911 AWN720911 AMR720911 ACV720911 SZ720911 JD720911 H720911 WVP655375 WLT655375 WBX655375 VSB655375 VIF655375 UYJ655375 UON655375 UER655375 TUV655375 TKZ655375 TBD655375 SRH655375 SHL655375 RXP655375 RNT655375 RDX655375 QUB655375 QKF655375 QAJ655375 PQN655375 PGR655375 OWV655375 OMZ655375 ODD655375 NTH655375 NJL655375 MZP655375 MPT655375 MFX655375 LWB655375 LMF655375 LCJ655375 KSN655375 KIR655375 JYV655375 JOZ655375 JFD655375 IVH655375 ILL655375 IBP655375 HRT655375 HHX655375 GYB655375 GOF655375 GEJ655375 FUN655375 FKR655375 FAV655375 EQZ655375 EHD655375 DXH655375 DNL655375 DDP655375 CTT655375 CJX655375 CAB655375 BQF655375 BGJ655375 AWN655375 AMR655375 ACV655375 SZ655375 JD655375 H655375 WVP589839 WLT589839 WBX589839 VSB589839 VIF589839 UYJ589839 UON589839 UER589839 TUV589839 TKZ589839 TBD589839 SRH589839 SHL589839 RXP589839 RNT589839 RDX589839 QUB589839 QKF589839 QAJ589839 PQN589839 PGR589839 OWV589839 OMZ589839 ODD589839 NTH589839 NJL589839 MZP589839 MPT589839 MFX589839 LWB589839 LMF589839 LCJ589839 KSN589839 KIR589839 JYV589839 JOZ589839 JFD589839 IVH589839 ILL589839 IBP589839 HRT589839 HHX589839 GYB589839 GOF589839 GEJ589839 FUN589839 FKR589839 FAV589839 EQZ589839 EHD589839 DXH589839 DNL589839 DDP589839 CTT589839 CJX589839 CAB589839 BQF589839 BGJ589839 AWN589839 AMR589839 ACV589839 SZ589839 JD589839 H589839 WVP524303 WLT524303 WBX524303 VSB524303 VIF524303 UYJ524303 UON524303 UER524303 TUV524303 TKZ524303 TBD524303 SRH524303 SHL524303 RXP524303 RNT524303 RDX524303 QUB524303 QKF524303 QAJ524303 PQN524303 PGR524303 OWV524303 OMZ524303 ODD524303 NTH524303 NJL524303 MZP524303 MPT524303 MFX524303 LWB524303 LMF524303 LCJ524303 KSN524303 KIR524303 JYV524303 JOZ524303 JFD524303 IVH524303 ILL524303 IBP524303 HRT524303 HHX524303 GYB524303 GOF524303 GEJ524303 FUN524303 FKR524303 FAV524303 EQZ524303 EHD524303 DXH524303 DNL524303 DDP524303 CTT524303 CJX524303 CAB524303 BQF524303 BGJ524303 AWN524303 AMR524303 ACV524303 SZ524303 JD524303 H524303 WVP458767 WLT458767 WBX458767 VSB458767 VIF458767 UYJ458767 UON458767 UER458767 TUV458767 TKZ458767 TBD458767 SRH458767 SHL458767 RXP458767 RNT458767 RDX458767 QUB458767 QKF458767 QAJ458767 PQN458767 PGR458767 OWV458767 OMZ458767 ODD458767 NTH458767 NJL458767 MZP458767 MPT458767 MFX458767 LWB458767 LMF458767 LCJ458767 KSN458767 KIR458767 JYV458767 JOZ458767 JFD458767 IVH458767 ILL458767 IBP458767 HRT458767 HHX458767 GYB458767 GOF458767 GEJ458767 FUN458767 FKR458767 FAV458767 EQZ458767 EHD458767 DXH458767 DNL458767 DDP458767 CTT458767 CJX458767 CAB458767 BQF458767 BGJ458767 AWN458767 AMR458767 ACV458767 SZ458767 JD458767 H458767 WVP393231 WLT393231 WBX393231 VSB393231 VIF393231 UYJ393231 UON393231 UER393231 TUV393231 TKZ393231 TBD393231 SRH393231 SHL393231 RXP393231 RNT393231 RDX393231 QUB393231 QKF393231 QAJ393231 PQN393231 PGR393231 OWV393231 OMZ393231 ODD393231 NTH393231 NJL393231 MZP393231 MPT393231 MFX393231 LWB393231 LMF393231 LCJ393231 KSN393231 KIR393231 JYV393231 JOZ393231 JFD393231 IVH393231 ILL393231 IBP393231 HRT393231 HHX393231 GYB393231 GOF393231 GEJ393231 FUN393231 FKR393231 FAV393231 EQZ393231 EHD393231 DXH393231 DNL393231 DDP393231 CTT393231 CJX393231 CAB393231 BQF393231 BGJ393231 AWN393231 AMR393231 ACV393231 SZ393231 JD393231 H393231 WVP327695 WLT327695 WBX327695 VSB327695 VIF327695 UYJ327695 UON327695 UER327695 TUV327695 TKZ327695 TBD327695 SRH327695 SHL327695 RXP327695 RNT327695 RDX327695 QUB327695 QKF327695 QAJ327695 PQN327695 PGR327695 OWV327695 OMZ327695 ODD327695 NTH327695 NJL327695 MZP327695 MPT327695 MFX327695 LWB327695 LMF327695 LCJ327695 KSN327695 KIR327695 JYV327695 JOZ327695 JFD327695 IVH327695 ILL327695 IBP327695 HRT327695 HHX327695 GYB327695 GOF327695 GEJ327695 FUN327695 FKR327695 FAV327695 EQZ327695 EHD327695 DXH327695 DNL327695 DDP327695 CTT327695 CJX327695 CAB327695 BQF327695 BGJ327695 AWN327695 AMR327695 ACV327695 SZ327695 JD327695 H327695 WVP262159 WLT262159 WBX262159 VSB262159 VIF262159 UYJ262159 UON262159 UER262159 TUV262159 TKZ262159 TBD262159 SRH262159 SHL262159 RXP262159 RNT262159 RDX262159 QUB262159 QKF262159 QAJ262159 PQN262159 PGR262159 OWV262159 OMZ262159 ODD262159 NTH262159 NJL262159 MZP262159 MPT262159 MFX262159 LWB262159 LMF262159 LCJ262159 KSN262159 KIR262159 JYV262159 JOZ262159 JFD262159 IVH262159 ILL262159 IBP262159 HRT262159 HHX262159 GYB262159 GOF262159 GEJ262159 FUN262159 FKR262159 FAV262159 EQZ262159 EHD262159 DXH262159 DNL262159 DDP262159 CTT262159 CJX262159 CAB262159 BQF262159 BGJ262159 AWN262159 AMR262159 ACV262159 SZ262159 JD262159 H262159 WVP196623 WLT196623 WBX196623 VSB196623 VIF196623 UYJ196623 UON196623 UER196623 TUV196623 TKZ196623 TBD196623 SRH196623 SHL196623 RXP196623 RNT196623 RDX196623 QUB196623 QKF196623 QAJ196623 PQN196623 PGR196623 OWV196623 OMZ196623 ODD196623 NTH196623 NJL196623 MZP196623 MPT196623 MFX196623 LWB196623 LMF196623 LCJ196623 KSN196623 KIR196623 JYV196623 JOZ196623 JFD196623 IVH196623 ILL196623 IBP196623 HRT196623 HHX196623 GYB196623 GOF196623 GEJ196623 FUN196623 FKR196623 FAV196623 EQZ196623 EHD196623 DXH196623 DNL196623 DDP196623 CTT196623 CJX196623 CAB196623 BQF196623 BGJ196623 AWN196623 AMR196623 ACV196623 SZ196623 JD196623 H196623 WVP131087 WLT131087 WBX131087 VSB131087 VIF131087 UYJ131087 UON131087 UER131087 TUV131087 TKZ131087 TBD131087 SRH131087 SHL131087 RXP131087 RNT131087 RDX131087 QUB131087 QKF131087 QAJ131087 PQN131087 PGR131087 OWV131087 OMZ131087 ODD131087 NTH131087 NJL131087 MZP131087 MPT131087 MFX131087 LWB131087 LMF131087 LCJ131087 KSN131087 KIR131087 JYV131087 JOZ131087 JFD131087 IVH131087 ILL131087 IBP131087 HRT131087 HHX131087 GYB131087 GOF131087 GEJ131087 FUN131087 FKR131087 FAV131087 EQZ131087 EHD131087 DXH131087 DNL131087 DDP131087 CTT131087 CJX131087 CAB131087 BQF131087 BGJ131087 AWN131087 AMR131087 ACV131087 SZ131087 JD131087 H131087 WVP65551 WLT65551 WBX65551 VSB65551 VIF65551 UYJ65551 UON65551 UER65551 TUV65551 TKZ65551 TBD65551 SRH65551 SHL65551 RXP65551 RNT65551 RDX65551 QUB65551 QKF65551 QAJ65551 PQN65551 PGR65551 OWV65551 OMZ65551 ODD65551 NTH65551 NJL65551 MZP65551 MPT65551 MFX65551 LWB65551 LMF65551 LCJ65551 KSN65551 KIR65551 JYV65551 JOZ65551 JFD65551 IVH65551 ILL65551 IBP65551 HRT65551 HHX65551 GYB65551 GOF65551 GEJ65551 FUN65551 FKR65551 FAV65551 EQZ65551 EHD65551 DXH65551 DNL65551 DDP65551 CTT65551 CJX65551 CAB65551 BQF65551 BGJ65551 AWN65551 AMR65551 ACV65551 SZ65551 JD65551 H65551 WVP15 WLT15 WBX15 VSB15 VIF15 UYJ15 UON15 UER15 TUV15 TKZ15 TBD15 SRH15 SHL15 RXP15 RNT15 RDX15 QUB15 QKF15 QAJ15 PQN15 PGR15 OWV15 OMZ15 ODD15 NTH15 NJL15 MZP15 MPT15 MFX15 LWB15 LMF15 LCJ15 KSN15 KIR15 JYV15 JOZ15 JFD15 IVH15 ILL15 IBP15 HRT15 HHX15 GYB15 GOF15 GEJ15 FUN15 FKR15 FAV15 EQZ15 EHD15 DXH15 DNL15 DDP15 CTT15 CJX15 CAB15 BQF15 BGJ15 AWN15 AMR15 ACV15 SZ15 JD15 H15 WVT983053 WLX983053 WCB983053 VSF983053 VIJ983053 UYN983053 UOR983053 UEV983053 TUZ983053 TLD983053 TBH983053 SRL983053 SHP983053 RXT983053 RNX983053 REB983053 QUF983053 QKJ983053 QAN983053 PQR983053 PGV983053 OWZ983053 OND983053 ODH983053 NTL983053 NJP983053 MZT983053 MPX983053 MGB983053 LWF983053 LMJ983053 LCN983053 KSR983053 KIV983053 JYZ983053 JPD983053 JFH983053 IVL983053 ILP983053 IBT983053 HRX983053 HIB983053 GYF983053 GOJ983053 GEN983053 FUR983053 FKV983053 FAZ983053 ERD983053 EHH983053 DXL983053 DNP983053 DDT983053 CTX983053 CKB983053 CAF983053 BQJ983053 BGN983053 AWR983053 AMV983053 ACZ983053 TD983053 JH983053 L983053 WVT917517 WLX917517 WCB917517 VSF917517 VIJ917517 UYN917517 UOR917517 UEV917517 TUZ917517 TLD917517 TBH917517 SRL917517 SHP917517 RXT917517 RNX917517 REB917517 QUF917517 QKJ917517 QAN917517 PQR917517 PGV917517 OWZ917517 OND917517 ODH917517 NTL917517 NJP917517 MZT917517 MPX917517 MGB917517 LWF917517 LMJ917517 LCN917517 KSR917517 KIV917517 JYZ917517 JPD917517 JFH917517 IVL917517 ILP917517 IBT917517 HRX917517 HIB917517 GYF917517 GOJ917517 GEN917517 FUR917517 FKV917517 FAZ917517 ERD917517 EHH917517 DXL917517 DNP917517 DDT917517 CTX917517 CKB917517 CAF917517 BQJ917517 BGN917517 AWR917517 AMV917517 ACZ917517 TD917517 JH917517 L917517 WVT851981 WLX851981 WCB851981 VSF851981 VIJ851981 UYN851981 UOR851981 UEV851981 TUZ851981 TLD851981 TBH851981 SRL851981 SHP851981 RXT851981 RNX851981 REB851981 QUF851981 QKJ851981 QAN851981 PQR851981 PGV851981 OWZ851981 OND851981 ODH851981 NTL851981 NJP851981 MZT851981 MPX851981 MGB851981 LWF851981 LMJ851981 LCN851981 KSR851981 KIV851981 JYZ851981 JPD851981 JFH851981 IVL851981 ILP851981 IBT851981 HRX851981 HIB851981 GYF851981 GOJ851981 GEN851981 FUR851981 FKV851981 FAZ851981 ERD851981 EHH851981 DXL851981 DNP851981 DDT851981 CTX851981 CKB851981 CAF851981 BQJ851981 BGN851981 AWR851981 AMV851981 ACZ851981 TD851981 JH851981 L851981 WVT786445 WLX786445 WCB786445 VSF786445 VIJ786445 UYN786445 UOR786445 UEV786445 TUZ786445 TLD786445 TBH786445 SRL786445 SHP786445 RXT786445 RNX786445 REB786445 QUF786445 QKJ786445 QAN786445 PQR786445 PGV786445 OWZ786445 OND786445 ODH786445 NTL786445 NJP786445 MZT786445 MPX786445 MGB786445 LWF786445 LMJ786445 LCN786445 KSR786445 KIV786445 JYZ786445 JPD786445 JFH786445 IVL786445 ILP786445 IBT786445 HRX786445 HIB786445 GYF786445 GOJ786445 GEN786445 FUR786445 FKV786445 FAZ786445 ERD786445 EHH786445 DXL786445 DNP786445 DDT786445 CTX786445 CKB786445 CAF786445 BQJ786445 BGN786445 AWR786445 AMV786445 ACZ786445 TD786445 JH786445 L786445 WVT720909 WLX720909 WCB720909 VSF720909 VIJ720909 UYN720909 UOR720909 UEV720909 TUZ720909 TLD720909 TBH720909 SRL720909 SHP720909 RXT720909 RNX720909 REB720909 QUF720909 QKJ720909 QAN720909 PQR720909 PGV720909 OWZ720909 OND720909 ODH720909 NTL720909 NJP720909 MZT720909 MPX720909 MGB720909 LWF720909 LMJ720909 LCN720909 KSR720909 KIV720909 JYZ720909 JPD720909 JFH720909 IVL720909 ILP720909 IBT720909 HRX720909 HIB720909 GYF720909 GOJ720909 GEN720909 FUR720909 FKV720909 FAZ720909 ERD720909 EHH720909 DXL720909 DNP720909 DDT720909 CTX720909 CKB720909 CAF720909 BQJ720909 BGN720909 AWR720909 AMV720909 ACZ720909 TD720909 JH720909 L720909 WVT655373 WLX655373 WCB655373 VSF655373 VIJ655373 UYN655373 UOR655373 UEV655373 TUZ655373 TLD655373 TBH655373 SRL655373 SHP655373 RXT655373 RNX655373 REB655373 QUF655373 QKJ655373 QAN655373 PQR655373 PGV655373 OWZ655373 OND655373 ODH655373 NTL655373 NJP655373 MZT655373 MPX655373 MGB655373 LWF655373 LMJ655373 LCN655373 KSR655373 KIV655373 JYZ655373 JPD655373 JFH655373 IVL655373 ILP655373 IBT655373 HRX655373 HIB655373 GYF655373 GOJ655373 GEN655373 FUR655373 FKV655373 FAZ655373 ERD655373 EHH655373 DXL655373 DNP655373 DDT655373 CTX655373 CKB655373 CAF655373 BQJ655373 BGN655373 AWR655373 AMV655373 ACZ655373 TD655373 JH655373 L655373 WVT589837 WLX589837 WCB589837 VSF589837 VIJ589837 UYN589837 UOR589837 UEV589837 TUZ589837 TLD589837 TBH589837 SRL589837 SHP589837 RXT589837 RNX589837 REB589837 QUF589837 QKJ589837 QAN589837 PQR589837 PGV589837 OWZ589837 OND589837 ODH589837 NTL589837 NJP589837 MZT589837 MPX589837 MGB589837 LWF589837 LMJ589837 LCN589837 KSR589837 KIV589837 JYZ589837 JPD589837 JFH589837 IVL589837 ILP589837 IBT589837 HRX589837 HIB589837 GYF589837 GOJ589837 GEN589837 FUR589837 FKV589837 FAZ589837 ERD589837 EHH589837 DXL589837 DNP589837 DDT589837 CTX589837 CKB589837 CAF589837 BQJ589837 BGN589837 AWR589837 AMV589837 ACZ589837 TD589837 JH589837 L589837 WVT524301 WLX524301 WCB524301 VSF524301 VIJ524301 UYN524301 UOR524301 UEV524301 TUZ524301 TLD524301 TBH524301 SRL524301 SHP524301 RXT524301 RNX524301 REB524301 QUF524301 QKJ524301 QAN524301 PQR524301 PGV524301 OWZ524301 OND524301 ODH524301 NTL524301 NJP524301 MZT524301 MPX524301 MGB524301 LWF524301 LMJ524301 LCN524301 KSR524301 KIV524301 JYZ524301 JPD524301 JFH524301 IVL524301 ILP524301 IBT524301 HRX524301 HIB524301 GYF524301 GOJ524301 GEN524301 FUR524301 FKV524301 FAZ524301 ERD524301 EHH524301 DXL524301 DNP524301 DDT524301 CTX524301 CKB524301 CAF524301 BQJ524301 BGN524301 AWR524301 AMV524301 ACZ524301 TD524301 JH524301 L524301 WVT458765 WLX458765 WCB458765 VSF458765 VIJ458765 UYN458765 UOR458765 UEV458765 TUZ458765 TLD458765 TBH458765 SRL458765 SHP458765 RXT458765 RNX458765 REB458765 QUF458765 QKJ458765 QAN458765 PQR458765 PGV458765 OWZ458765 OND458765 ODH458765 NTL458765 NJP458765 MZT458765 MPX458765 MGB458765 LWF458765 LMJ458765 LCN458765 KSR458765 KIV458765 JYZ458765 JPD458765 JFH458765 IVL458765 ILP458765 IBT458765 HRX458765 HIB458765 GYF458765 GOJ458765 GEN458765 FUR458765 FKV458765 FAZ458765 ERD458765 EHH458765 DXL458765 DNP458765 DDT458765 CTX458765 CKB458765 CAF458765 BQJ458765 BGN458765 AWR458765 AMV458765 ACZ458765 TD458765 JH458765 L458765 WVT393229 WLX393229 WCB393229 VSF393229 VIJ393229 UYN393229 UOR393229 UEV393229 TUZ393229 TLD393229 TBH393229 SRL393229 SHP393229 RXT393229 RNX393229 REB393229 QUF393229 QKJ393229 QAN393229 PQR393229 PGV393229 OWZ393229 OND393229 ODH393229 NTL393229 NJP393229 MZT393229 MPX393229 MGB393229 LWF393229 LMJ393229 LCN393229 KSR393229 KIV393229 JYZ393229 JPD393229 JFH393229 IVL393229 ILP393229 IBT393229 HRX393229 HIB393229 GYF393229 GOJ393229 GEN393229 FUR393229 FKV393229 FAZ393229 ERD393229 EHH393229 DXL393229 DNP393229 DDT393229 CTX393229 CKB393229 CAF393229 BQJ393229 BGN393229 AWR393229 AMV393229 ACZ393229 TD393229 JH393229 L393229 WVT327693 WLX327693 WCB327693 VSF327693 VIJ327693 UYN327693 UOR327693 UEV327693 TUZ327693 TLD327693 TBH327693 SRL327693 SHP327693 RXT327693 RNX327693 REB327693 QUF327693 QKJ327693 QAN327693 PQR327693 PGV327693 OWZ327693 OND327693 ODH327693 NTL327693 NJP327693 MZT327693 MPX327693 MGB327693 LWF327693 LMJ327693 LCN327693 KSR327693 KIV327693 JYZ327693 JPD327693 JFH327693 IVL327693 ILP327693 IBT327693 HRX327693 HIB327693 GYF327693 GOJ327693 GEN327693 FUR327693 FKV327693 FAZ327693 ERD327693 EHH327693 DXL327693 DNP327693 DDT327693 CTX327693 CKB327693 CAF327693 BQJ327693 BGN327693 AWR327693 AMV327693 ACZ327693 TD327693 JH327693 L327693 WVT262157 WLX262157 WCB262157 VSF262157 VIJ262157 UYN262157 UOR262157 UEV262157 TUZ262157 TLD262157 TBH262157 SRL262157 SHP262157 RXT262157 RNX262157 REB262157 QUF262157 QKJ262157 QAN262157 PQR262157 PGV262157 OWZ262157 OND262157 ODH262157 NTL262157 NJP262157 MZT262157 MPX262157 MGB262157 LWF262157 LMJ262157 LCN262157 KSR262157 KIV262157 JYZ262157 JPD262157 JFH262157 IVL262157 ILP262157 IBT262157 HRX262157 HIB262157 GYF262157 GOJ262157 GEN262157 FUR262157 FKV262157 FAZ262157 ERD262157 EHH262157 DXL262157 DNP262157 DDT262157 CTX262157 CKB262157 CAF262157 BQJ262157 BGN262157 AWR262157 AMV262157 ACZ262157 TD262157 JH262157 L262157 WVT196621 WLX196621 WCB196621 VSF196621 VIJ196621 UYN196621 UOR196621 UEV196621 TUZ196621 TLD196621 TBH196621 SRL196621 SHP196621 RXT196621 RNX196621 REB196621 QUF196621 QKJ196621 QAN196621 PQR196621 PGV196621 OWZ196621 OND196621 ODH196621 NTL196621 NJP196621 MZT196621 MPX196621 MGB196621 LWF196621 LMJ196621 LCN196621 KSR196621 KIV196621 JYZ196621 JPD196621 JFH196621 IVL196621 ILP196621 IBT196621 HRX196621 HIB196621 GYF196621 GOJ196621 GEN196621 FUR196621 FKV196621 FAZ196621 ERD196621 EHH196621 DXL196621 DNP196621 DDT196621 CTX196621 CKB196621 CAF196621 BQJ196621 BGN196621 AWR196621 AMV196621 ACZ196621 TD196621 JH196621 L196621 WVT131085 WLX131085 WCB131085 VSF131085 VIJ131085 UYN131085 UOR131085 UEV131085 TUZ131085 TLD131085 TBH131085 SRL131085 SHP131085 RXT131085 RNX131085 REB131085 QUF131085 QKJ131085 QAN131085 PQR131085 PGV131085 OWZ131085 OND131085 ODH131085 NTL131085 NJP131085 MZT131085 MPX131085 MGB131085 LWF131085 LMJ131085 LCN131085 KSR131085 KIV131085 JYZ131085 JPD131085 JFH131085 IVL131085 ILP131085 IBT131085 HRX131085 HIB131085 GYF131085 GOJ131085 GEN131085 FUR131085 FKV131085 FAZ131085 ERD131085 EHH131085 DXL131085 DNP131085 DDT131085 CTX131085 CKB131085 CAF131085 BQJ131085 BGN131085 AWR131085 AMV131085 ACZ131085 TD131085 JH131085 L131085 WVT65549 WLX65549 WCB65549 VSF65549 VIJ65549 UYN65549 UOR65549 UEV65549 TUZ65549 TLD65549 TBH65549 SRL65549 SHP65549 RXT65549 RNX65549 REB65549 QUF65549 QKJ65549 QAN65549 PQR65549 PGV65549 OWZ65549 OND65549 ODH65549 NTL65549 NJP65549 MZT65549 MPX65549 MGB65549 LWF65549 LMJ65549 LCN65549 KSR65549 KIV65549 JYZ65549 JPD65549 JFH65549 IVL65549 ILP65549 IBT65549 HRX65549 HIB65549 GYF65549 GOJ65549 GEN65549 FUR65549 FKV65549 FAZ65549 ERD65549 EHH65549 DXL65549 DNP65549 DDT65549 CTX65549 CKB65549 CAF65549 BQJ65549 BGN65549 AWR65549 AMV65549 ACZ65549 TD65549 JH65549 L65549 WVT13 WLX13 WCB13 VSF13 VIJ13 UYN13 UOR13 UEV13 TUZ13 TLD13 TBH13 SRL13 SHP13 RXT13 RNX13 REB13 QUF13 QKJ13 QAN13 PQR13 PGV13 OWZ13 OND13 ODH13 NTL13 NJP13 MZT13 MPX13 MGB13 LWF13 LMJ13 LCN13 KSR13 KIV13 JYZ13 JPD13 JFH13 IVL13 ILP13 IBT13 HRX13 HIB13 GYF13 GOJ13 GEN13 FUR13 FKV13 FAZ13 ERD13 EHH13 DXL13 DNP13 DDT13 CTX13 CKB13 CAF13 BQJ13 BGN13 AWR13 AMV13 ACZ13 TD13 JH13 L13 WVT983051 WLX983051 WCB983051 VSF983051 VIJ983051 UYN983051 UOR983051 UEV983051 TUZ983051 TLD983051 TBH983051 SRL983051 SHP983051 RXT983051 RNX983051 REB983051 QUF983051 QKJ983051 QAN983051 PQR983051 PGV983051 OWZ983051 OND983051 ODH983051 NTL983051 NJP983051 MZT983051 MPX983051 MGB983051 LWF983051 LMJ983051 LCN983051 KSR983051 KIV983051 JYZ983051 JPD983051 JFH983051 IVL983051 ILP983051 IBT983051 HRX983051 HIB983051 GYF983051 GOJ983051 GEN983051 FUR983051 FKV983051 FAZ983051 ERD983051 EHH983051 DXL983051 DNP983051 DDT983051 CTX983051 CKB983051 CAF983051 BQJ983051 BGN983051 AWR983051 AMV983051 ACZ983051 TD983051 JH983051 L983051 WVT917515 WLX917515 WCB917515 VSF917515 VIJ917515 UYN917515 UOR917515 UEV917515 TUZ917515 TLD917515 TBH917515 SRL917515 SHP917515 RXT917515 RNX917515 REB917515 QUF917515 QKJ917515 QAN917515 PQR917515 PGV917515 OWZ917515 OND917515 ODH917515 NTL917515 NJP917515 MZT917515 MPX917515 MGB917515 LWF917515 LMJ917515 LCN917515 KSR917515 KIV917515 JYZ917515 JPD917515 JFH917515 IVL917515 ILP917515 IBT917515 HRX917515 HIB917515 GYF917515 GOJ917515 GEN917515 FUR917515 FKV917515 FAZ917515 ERD917515 EHH917515 DXL917515 DNP917515 DDT917515 CTX917515 CKB917515 CAF917515 BQJ917515 BGN917515 AWR917515 AMV917515 ACZ917515 TD917515 JH917515 L917515 WVT851979 WLX851979 WCB851979 VSF851979 VIJ851979 UYN851979 UOR851979 UEV851979 TUZ851979 TLD851979 TBH851979 SRL851979 SHP851979 RXT851979 RNX851979 REB851979 QUF851979 QKJ851979 QAN851979 PQR851979 PGV851979 OWZ851979 OND851979 ODH851979 NTL851979 NJP851979 MZT851979 MPX851979 MGB851979 LWF851979 LMJ851979 LCN851979 KSR851979 KIV851979 JYZ851979 JPD851979 JFH851979 IVL851979 ILP851979 IBT851979 HRX851979 HIB851979 GYF851979 GOJ851979 GEN851979 FUR851979 FKV851979 FAZ851979 ERD851979 EHH851979 DXL851979 DNP851979 DDT851979 CTX851979 CKB851979 CAF851979 BQJ851979 BGN851979 AWR851979 AMV851979 ACZ851979 TD851979 JH851979 L851979 WVT786443 WLX786443 WCB786443 VSF786443 VIJ786443 UYN786443 UOR786443 UEV786443 TUZ786443 TLD786443 TBH786443 SRL786443 SHP786443 RXT786443 RNX786443 REB786443 QUF786443 QKJ786443 QAN786443 PQR786443 PGV786443 OWZ786443 OND786443 ODH786443 NTL786443 NJP786443 MZT786443 MPX786443 MGB786443 LWF786443 LMJ786443 LCN786443 KSR786443 KIV786443 JYZ786443 JPD786443 JFH786443 IVL786443 ILP786443 IBT786443 HRX786443 HIB786443 GYF786443 GOJ786443 GEN786443 FUR786443 FKV786443 FAZ786443 ERD786443 EHH786443 DXL786443 DNP786443 DDT786443 CTX786443 CKB786443 CAF786443 BQJ786443 BGN786443 AWR786443 AMV786443 ACZ786443 TD786443 JH786443 L786443 WVT720907 WLX720907 WCB720907 VSF720907 VIJ720907 UYN720907 UOR720907 UEV720907 TUZ720907 TLD720907 TBH720907 SRL720907 SHP720907 RXT720907 RNX720907 REB720907 QUF720907 QKJ720907 QAN720907 PQR720907 PGV720907 OWZ720907 OND720907 ODH720907 NTL720907 NJP720907 MZT720907 MPX720907 MGB720907 LWF720907 LMJ720907 LCN720907 KSR720907 KIV720907 JYZ720907 JPD720907 JFH720907 IVL720907 ILP720907 IBT720907 HRX720907 HIB720907 GYF720907 GOJ720907 GEN720907 FUR720907 FKV720907 FAZ720907 ERD720907 EHH720907 DXL720907 DNP720907 DDT720907 CTX720907 CKB720907 CAF720907 BQJ720907 BGN720907 AWR720907 AMV720907 ACZ720907 TD720907 JH720907 L720907 WVT655371 WLX655371 WCB655371 VSF655371 VIJ655371 UYN655371 UOR655371 UEV655371 TUZ655371 TLD655371 TBH655371 SRL655371 SHP655371 RXT655371 RNX655371 REB655371 QUF655371 QKJ655371 QAN655371 PQR655371 PGV655371 OWZ655371 OND655371 ODH655371 NTL655371 NJP655371 MZT655371 MPX655371 MGB655371 LWF655371 LMJ655371 LCN655371 KSR655371 KIV655371 JYZ655371 JPD655371 JFH655371 IVL655371 ILP655371 IBT655371 HRX655371 HIB655371 GYF655371 GOJ655371 GEN655371 FUR655371 FKV655371 FAZ655371 ERD655371 EHH655371 DXL655371 DNP655371 DDT655371 CTX655371 CKB655371 CAF655371 BQJ655371 BGN655371 AWR655371 AMV655371 ACZ655371 TD655371 JH655371 L655371 WVT589835 WLX589835 WCB589835 VSF589835 VIJ589835 UYN589835 UOR589835 UEV589835 TUZ589835 TLD589835 TBH589835 SRL589835 SHP589835 RXT589835 RNX589835 REB589835 QUF589835 QKJ589835 QAN589835 PQR589835 PGV589835 OWZ589835 OND589835 ODH589835 NTL589835 NJP589835 MZT589835 MPX589835 MGB589835 LWF589835 LMJ589835 LCN589835 KSR589835 KIV589835 JYZ589835 JPD589835 JFH589835 IVL589835 ILP589835 IBT589835 HRX589835 HIB589835 GYF589835 GOJ589835 GEN589835 FUR589835 FKV589835 FAZ589835 ERD589835 EHH589835 DXL589835 DNP589835 DDT589835 CTX589835 CKB589835 CAF589835 BQJ589835 BGN589835 AWR589835 AMV589835 ACZ589835 TD589835 JH589835 L589835 WVT524299 WLX524299 WCB524299 VSF524299 VIJ524299 UYN524299 UOR524299 UEV524299 TUZ524299 TLD524299 TBH524299 SRL524299 SHP524299 RXT524299 RNX524299 REB524299 QUF524299 QKJ524299 QAN524299 PQR524299 PGV524299 OWZ524299 OND524299 ODH524299 NTL524299 NJP524299 MZT524299 MPX524299 MGB524299 LWF524299 LMJ524299 LCN524299 KSR524299 KIV524299 JYZ524299 JPD524299 JFH524299 IVL524299 ILP524299 IBT524299 HRX524299 HIB524299 GYF524299 GOJ524299 GEN524299 FUR524299 FKV524299 FAZ524299 ERD524299 EHH524299 DXL524299 DNP524299 DDT524299 CTX524299 CKB524299 CAF524299 BQJ524299 BGN524299 AWR524299 AMV524299 ACZ524299 TD524299 JH524299 L524299 WVT458763 WLX458763 WCB458763 VSF458763 VIJ458763 UYN458763 UOR458763 UEV458763 TUZ458763 TLD458763 TBH458763 SRL458763 SHP458763 RXT458763 RNX458763 REB458763 QUF458763 QKJ458763 QAN458763 PQR458763 PGV458763 OWZ458763 OND458763 ODH458763 NTL458763 NJP458763 MZT458763 MPX458763 MGB458763 LWF458763 LMJ458763 LCN458763 KSR458763 KIV458763 JYZ458763 JPD458763 JFH458763 IVL458763 ILP458763 IBT458763 HRX458763 HIB458763 GYF458763 GOJ458763 GEN458763 FUR458763 FKV458763 FAZ458763 ERD458763 EHH458763 DXL458763 DNP458763 DDT458763 CTX458763 CKB458763 CAF458763 BQJ458763 BGN458763 AWR458763 AMV458763 ACZ458763 TD458763 JH458763 L458763 WVT393227 WLX393227 WCB393227 VSF393227 VIJ393227 UYN393227 UOR393227 UEV393227 TUZ393227 TLD393227 TBH393227 SRL393227 SHP393227 RXT393227 RNX393227 REB393227 QUF393227 QKJ393227 QAN393227 PQR393227 PGV393227 OWZ393227 OND393227 ODH393227 NTL393227 NJP393227 MZT393227 MPX393227 MGB393227 LWF393227 LMJ393227 LCN393227 KSR393227 KIV393227 JYZ393227 JPD393227 JFH393227 IVL393227 ILP393227 IBT393227 HRX393227 HIB393227 GYF393227 GOJ393227 GEN393227 FUR393227 FKV393227 FAZ393227 ERD393227 EHH393227 DXL393227 DNP393227 DDT393227 CTX393227 CKB393227 CAF393227 BQJ393227 BGN393227 AWR393227 AMV393227 ACZ393227 TD393227 JH393227 L393227 WVT327691 WLX327691 WCB327691 VSF327691 VIJ327691 UYN327691 UOR327691 UEV327691 TUZ327691 TLD327691 TBH327691 SRL327691 SHP327691 RXT327691 RNX327691 REB327691 QUF327691 QKJ327691 QAN327691 PQR327691 PGV327691 OWZ327691 OND327691 ODH327691 NTL327691 NJP327691 MZT327691 MPX327691 MGB327691 LWF327691 LMJ327691 LCN327691 KSR327691 KIV327691 JYZ327691 JPD327691 JFH327691 IVL327691 ILP327691 IBT327691 HRX327691 HIB327691 GYF327691 GOJ327691 GEN327691 FUR327691 FKV327691 FAZ327691 ERD327691 EHH327691 DXL327691 DNP327691 DDT327691 CTX327691 CKB327691 CAF327691 BQJ327691 BGN327691 AWR327691 AMV327691 ACZ327691 TD327691 JH327691 L327691 WVT262155 WLX262155 WCB262155 VSF262155 VIJ262155 UYN262155 UOR262155 UEV262155 TUZ262155 TLD262155 TBH262155 SRL262155 SHP262155 RXT262155 RNX262155 REB262155 QUF262155 QKJ262155 QAN262155 PQR262155 PGV262155 OWZ262155 OND262155 ODH262155 NTL262155 NJP262155 MZT262155 MPX262155 MGB262155 LWF262155 LMJ262155 LCN262155 KSR262155 KIV262155 JYZ262155 JPD262155 JFH262155 IVL262155 ILP262155 IBT262155 HRX262155 HIB262155 GYF262155 GOJ262155 GEN262155 FUR262155 FKV262155 FAZ262155 ERD262155 EHH262155 DXL262155 DNP262155 DDT262155 CTX262155 CKB262155 CAF262155 BQJ262155 BGN262155 AWR262155 AMV262155 ACZ262155 TD262155 JH262155 L262155 WVT196619 WLX196619 WCB196619 VSF196619 VIJ196619 UYN196619 UOR196619 UEV196619 TUZ196619 TLD196619 TBH196619 SRL196619 SHP196619 RXT196619 RNX196619 REB196619 QUF196619 QKJ196619 QAN196619 PQR196619 PGV196619 OWZ196619 OND196619 ODH196619 NTL196619 NJP196619 MZT196619 MPX196619 MGB196619 LWF196619 LMJ196619 LCN196619 KSR196619 KIV196619 JYZ196619 JPD196619 JFH196619 IVL196619 ILP196619 IBT196619 HRX196619 HIB196619 GYF196619 GOJ196619 GEN196619 FUR196619 FKV196619 FAZ196619 ERD196619 EHH196619 DXL196619 DNP196619 DDT196619 CTX196619 CKB196619 CAF196619 BQJ196619 BGN196619 AWR196619 AMV196619 ACZ196619 TD196619 JH196619 L196619 WVT131083 WLX131083 WCB131083 VSF131083 VIJ131083 UYN131083 UOR131083 UEV131083 TUZ131083 TLD131083 TBH131083 SRL131083 SHP131083 RXT131083 RNX131083 REB131083 QUF131083 QKJ131083 QAN131083 PQR131083 PGV131083 OWZ131083 OND131083 ODH131083 NTL131083 NJP131083 MZT131083 MPX131083 MGB131083 LWF131083 LMJ131083 LCN131083 KSR131083 KIV131083 JYZ131083 JPD131083 JFH131083 IVL131083 ILP131083 IBT131083 HRX131083 HIB131083 GYF131083 GOJ131083 GEN131083 FUR131083 FKV131083 FAZ131083 ERD131083 EHH131083 DXL131083 DNP131083 DDT131083 CTX131083 CKB131083 CAF131083 BQJ131083 BGN131083 AWR131083 AMV131083 ACZ131083 TD131083 JH131083 L131083 WVT65547 WLX65547 WCB65547 VSF65547 VIJ65547 UYN65547 UOR65547 UEV65547 TUZ65547 TLD65547 TBH65547 SRL65547 SHP65547 RXT65547 RNX65547 REB65547 QUF65547 QKJ65547 QAN65547 PQR65547 PGV65547 OWZ65547 OND65547 ODH65547 NTL65547 NJP65547 MZT65547 MPX65547 MGB65547 LWF65547 LMJ65547 LCN65547 KSR65547 KIV65547 JYZ65547 JPD65547 JFH65547 IVL65547 ILP65547 IBT65547 HRX65547 HIB65547 GYF65547 GOJ65547 GEN65547 FUR65547 FKV65547 FAZ65547 ERD65547 EHH65547 DXL65547 DNP65547 DDT65547 CTX65547 CKB65547 CAF65547 BQJ65547 BGN65547 AWR65547 AMV65547 ACZ65547 TD65547 JH65547 L65547 WVT11 WLX11 WCB11 VSF11 VIJ11 UYN11 UOR11 UEV11 TUZ11 TLD11 TBH11 SRL11 SHP11 RXT11 RNX11 REB11 QUF11 QKJ11 QAN11 PQR11 PGV11 OWZ11 OND11 ODH11 NTL11 NJP11 MZT11 MPX11 MGB11 LWF11 LMJ11 LCN11 KSR11 KIV11 JYZ11 JPD11 JFH11 IVL11 ILP11 IBT11 HRX11 HIB11 GYF11 GOJ11 GEN11 FUR11 FKV11 FAZ11 ERD11 EHH11 DXL11 DNP11 DDT11 CTX11 CKB11 CAF11 BQJ11 BGN11 AWR11 AMV11 ACZ11 TD11 JH11 L11 WVP983069 WLT983069 WBX983069 VSB983069 VIF983069 UYJ983069 UON983069 UER983069 TUV983069 TKZ983069 TBD983069 SRH983069 SHL983069 RXP983069 RNT983069 RDX983069 QUB983069 QKF983069 QAJ983069 PQN983069 PGR983069 OWV983069 OMZ983069 ODD983069 NTH983069 NJL983069 MZP983069 MPT983069 MFX983069 LWB983069 LMF983069 LCJ983069 KSN983069 KIR983069 JYV983069 JOZ983069 JFD983069 IVH983069 ILL983069 IBP983069 HRT983069 HHX983069 GYB983069 GOF983069 GEJ983069 FUN983069 FKR983069 FAV983069 EQZ983069 EHD983069 DXH983069 DNL983069 DDP983069 CTT983069 CJX983069 CAB983069 BQF983069 BGJ983069 AWN983069 AMR983069 ACV983069 SZ983069 JD983069 H983069 WVP917533 WLT917533 WBX917533 VSB917533 VIF917533 UYJ917533 UON917533 UER917533 TUV917533 TKZ917533 TBD917533 SRH917533 SHL917533 RXP917533 RNT917533 RDX917533 QUB917533 QKF917533 QAJ917533 PQN917533 PGR917533 OWV917533 OMZ917533 ODD917533 NTH917533 NJL917533 MZP917533 MPT917533 MFX917533 LWB917533 LMF917533 LCJ917533 KSN917533 KIR917533 JYV917533 JOZ917533 JFD917533 IVH917533 ILL917533 IBP917533 HRT917533 HHX917533 GYB917533 GOF917533 GEJ917533 FUN917533 FKR917533 FAV917533 EQZ917533 EHD917533 DXH917533 DNL917533 DDP917533 CTT917533 CJX917533 CAB917533 BQF917533 BGJ917533 AWN917533 AMR917533 ACV917533 SZ917533 JD917533 H917533 WVP851997 WLT851997 WBX851997 VSB851997 VIF851997 UYJ851997 UON851997 UER851997 TUV851997 TKZ851997 TBD851997 SRH851997 SHL851997 RXP851997 RNT851997 RDX851997 QUB851997 QKF851997 QAJ851997 PQN851997 PGR851997 OWV851997 OMZ851997 ODD851997 NTH851997 NJL851997 MZP851997 MPT851997 MFX851997 LWB851997 LMF851997 LCJ851997 KSN851997 KIR851997 JYV851997 JOZ851997 JFD851997 IVH851997 ILL851997 IBP851997 HRT851997 HHX851997 GYB851997 GOF851997 GEJ851997 FUN851997 FKR851997 FAV851997 EQZ851997 EHD851997 DXH851997 DNL851997 DDP851997 CTT851997 CJX851997 CAB851997 BQF851997 BGJ851997 AWN851997 AMR851997 ACV851997 SZ851997 JD851997 H851997 WVP786461 WLT786461 WBX786461 VSB786461 VIF786461 UYJ786461 UON786461 UER786461 TUV786461 TKZ786461 TBD786461 SRH786461 SHL786461 RXP786461 RNT786461 RDX786461 QUB786461 QKF786461 QAJ786461 PQN786461 PGR786461 OWV786461 OMZ786461 ODD786461 NTH786461 NJL786461 MZP786461 MPT786461 MFX786461 LWB786461 LMF786461 LCJ786461 KSN786461 KIR786461 JYV786461 JOZ786461 JFD786461 IVH786461 ILL786461 IBP786461 HRT786461 HHX786461 GYB786461 GOF786461 GEJ786461 FUN786461 FKR786461 FAV786461 EQZ786461 EHD786461 DXH786461 DNL786461 DDP786461 CTT786461 CJX786461 CAB786461 BQF786461 BGJ786461 AWN786461 AMR786461 ACV786461 SZ786461 JD786461 H786461 WVP720925 WLT720925 WBX720925 VSB720925 VIF720925 UYJ720925 UON720925 UER720925 TUV720925 TKZ720925 TBD720925 SRH720925 SHL720925 RXP720925 RNT720925 RDX720925 QUB720925 QKF720925 QAJ720925 PQN720925 PGR720925 OWV720925 OMZ720925 ODD720925 NTH720925 NJL720925 MZP720925 MPT720925 MFX720925 LWB720925 LMF720925 LCJ720925 KSN720925 KIR720925 JYV720925 JOZ720925 JFD720925 IVH720925 ILL720925 IBP720925 HRT720925 HHX720925 GYB720925 GOF720925 GEJ720925 FUN720925 FKR720925 FAV720925 EQZ720925 EHD720925 DXH720925 DNL720925 DDP720925 CTT720925 CJX720925 CAB720925 BQF720925 BGJ720925 AWN720925 AMR720925 ACV720925 SZ720925 JD720925 H720925 WVP655389 WLT655389 WBX655389 VSB655389 VIF655389 UYJ655389 UON655389 UER655389 TUV655389 TKZ655389 TBD655389 SRH655389 SHL655389 RXP655389 RNT655389 RDX655389 QUB655389 QKF655389 QAJ655389 PQN655389 PGR655389 OWV655389 OMZ655389 ODD655389 NTH655389 NJL655389 MZP655389 MPT655389 MFX655389 LWB655389 LMF655389 LCJ655389 KSN655389 KIR655389 JYV655389 JOZ655389 JFD655389 IVH655389 ILL655389 IBP655389 HRT655389 HHX655389 GYB655389 GOF655389 GEJ655389 FUN655389 FKR655389 FAV655389 EQZ655389 EHD655389 DXH655389 DNL655389 DDP655389 CTT655389 CJX655389 CAB655389 BQF655389 BGJ655389 AWN655389 AMR655389 ACV655389 SZ655389 JD655389 H655389 WVP589853 WLT589853 WBX589853 VSB589853 VIF589853 UYJ589853 UON589853 UER589853 TUV589853 TKZ589853 TBD589853 SRH589853 SHL589853 RXP589853 RNT589853 RDX589853 QUB589853 QKF589853 QAJ589853 PQN589853 PGR589853 OWV589853 OMZ589853 ODD589853 NTH589853 NJL589853 MZP589853 MPT589853 MFX589853 LWB589853 LMF589853 LCJ589853 KSN589853 KIR589853 JYV589853 JOZ589853 JFD589853 IVH589853 ILL589853 IBP589853 HRT589853 HHX589853 GYB589853 GOF589853 GEJ589853 FUN589853 FKR589853 FAV589853 EQZ589853 EHD589853 DXH589853 DNL589853 DDP589853 CTT589853 CJX589853 CAB589853 BQF589853 BGJ589853 AWN589853 AMR589853 ACV589853 SZ589853 JD589853 H589853 WVP524317 WLT524317 WBX524317 VSB524317 VIF524317 UYJ524317 UON524317 UER524317 TUV524317 TKZ524317 TBD524317 SRH524317 SHL524317 RXP524317 RNT524317 RDX524317 QUB524317 QKF524317 QAJ524317 PQN524317 PGR524317 OWV524317 OMZ524317 ODD524317 NTH524317 NJL524317 MZP524317 MPT524317 MFX524317 LWB524317 LMF524317 LCJ524317 KSN524317 KIR524317 JYV524317 JOZ524317 JFD524317 IVH524317 ILL524317 IBP524317 HRT524317 HHX524317 GYB524317 GOF524317 GEJ524317 FUN524317 FKR524317 FAV524317 EQZ524317 EHD524317 DXH524317 DNL524317 DDP524317 CTT524317 CJX524317 CAB524317 BQF524317 BGJ524317 AWN524317 AMR524317 ACV524317 SZ524317 JD524317 H524317 WVP458781 WLT458781 WBX458781 VSB458781 VIF458781 UYJ458781 UON458781 UER458781 TUV458781 TKZ458781 TBD458781 SRH458781 SHL458781 RXP458781 RNT458781 RDX458781 QUB458781 QKF458781 QAJ458781 PQN458781 PGR458781 OWV458781 OMZ458781 ODD458781 NTH458781 NJL458781 MZP458781 MPT458781 MFX458781 LWB458781 LMF458781 LCJ458781 KSN458781 KIR458781 JYV458781 JOZ458781 JFD458781 IVH458781 ILL458781 IBP458781 HRT458781 HHX458781 GYB458781 GOF458781 GEJ458781 FUN458781 FKR458781 FAV458781 EQZ458781 EHD458781 DXH458781 DNL458781 DDP458781 CTT458781 CJX458781 CAB458781 BQF458781 BGJ458781 AWN458781 AMR458781 ACV458781 SZ458781 JD458781 H458781 WVP393245 WLT393245 WBX393245 VSB393245 VIF393245 UYJ393245 UON393245 UER393245 TUV393245 TKZ393245 TBD393245 SRH393245 SHL393245 RXP393245 RNT393245 RDX393245 QUB393245 QKF393245 QAJ393245 PQN393245 PGR393245 OWV393245 OMZ393245 ODD393245 NTH393245 NJL393245 MZP393245 MPT393245 MFX393245 LWB393245 LMF393245 LCJ393245 KSN393245 KIR393245 JYV393245 JOZ393245 JFD393245 IVH393245 ILL393245 IBP393245 HRT393245 HHX393245 GYB393245 GOF393245 GEJ393245 FUN393245 FKR393245 FAV393245 EQZ393245 EHD393245 DXH393245 DNL393245 DDP393245 CTT393245 CJX393245 CAB393245 BQF393245 BGJ393245 AWN393245 AMR393245 ACV393245 SZ393245 JD393245 H393245 WVP327709 WLT327709 WBX327709 VSB327709 VIF327709 UYJ327709 UON327709 UER327709 TUV327709 TKZ327709 TBD327709 SRH327709 SHL327709 RXP327709 RNT327709 RDX327709 QUB327709 QKF327709 QAJ327709 PQN327709 PGR327709 OWV327709 OMZ327709 ODD327709 NTH327709 NJL327709 MZP327709 MPT327709 MFX327709 LWB327709 LMF327709 LCJ327709 KSN327709 KIR327709 JYV327709 JOZ327709 JFD327709 IVH327709 ILL327709 IBP327709 HRT327709 HHX327709 GYB327709 GOF327709 GEJ327709 FUN327709 FKR327709 FAV327709 EQZ327709 EHD327709 DXH327709 DNL327709 DDP327709 CTT327709 CJX327709 CAB327709 BQF327709 BGJ327709 AWN327709 AMR327709 ACV327709 SZ327709 JD327709 H327709 WVP262173 WLT262173 WBX262173 VSB262173 VIF262173 UYJ262173 UON262173 UER262173 TUV262173 TKZ262173 TBD262173 SRH262173 SHL262173 RXP262173 RNT262173 RDX262173 QUB262173 QKF262173 QAJ262173 PQN262173 PGR262173 OWV262173 OMZ262173 ODD262173 NTH262173 NJL262173 MZP262173 MPT262173 MFX262173 LWB262173 LMF262173 LCJ262173 KSN262173 KIR262173 JYV262173 JOZ262173 JFD262173 IVH262173 ILL262173 IBP262173 HRT262173 HHX262173 GYB262173 GOF262173 GEJ262173 FUN262173 FKR262173 FAV262173 EQZ262173 EHD262173 DXH262173 DNL262173 DDP262173 CTT262173 CJX262173 CAB262173 BQF262173 BGJ262173 AWN262173 AMR262173 ACV262173 SZ262173 JD262173 H262173 WVP196637 WLT196637 WBX196637 VSB196637 VIF196637 UYJ196637 UON196637 UER196637 TUV196637 TKZ196637 TBD196637 SRH196637 SHL196637 RXP196637 RNT196637 RDX196637 QUB196637 QKF196637 QAJ196637 PQN196637 PGR196637 OWV196637 OMZ196637 ODD196637 NTH196637 NJL196637 MZP196637 MPT196637 MFX196637 LWB196637 LMF196637 LCJ196637 KSN196637 KIR196637 JYV196637 JOZ196637 JFD196637 IVH196637 ILL196637 IBP196637 HRT196637 HHX196637 GYB196637 GOF196637 GEJ196637 FUN196637 FKR196637 FAV196637 EQZ196637 EHD196637 DXH196637 DNL196637 DDP196637 CTT196637 CJX196637 CAB196637 BQF196637 BGJ196637 AWN196637 AMR196637 ACV196637 SZ196637 JD196637 H196637 WVP131101 WLT131101 WBX131101 VSB131101 VIF131101 UYJ131101 UON131101 UER131101 TUV131101 TKZ131101 TBD131101 SRH131101 SHL131101 RXP131101 RNT131101 RDX131101 QUB131101 QKF131101 QAJ131101 PQN131101 PGR131101 OWV131101 OMZ131101 ODD131101 NTH131101 NJL131101 MZP131101 MPT131101 MFX131101 LWB131101 LMF131101 LCJ131101 KSN131101 KIR131101 JYV131101 JOZ131101 JFD131101 IVH131101 ILL131101 IBP131101 HRT131101 HHX131101 GYB131101 GOF131101 GEJ131101 FUN131101 FKR131101 FAV131101 EQZ131101 EHD131101 DXH131101 DNL131101 DDP131101 CTT131101 CJX131101 CAB131101 BQF131101 BGJ131101 AWN131101 AMR131101 ACV131101 SZ131101 JD131101 H131101 WVP65565 WLT65565 WBX65565 VSB65565 VIF65565 UYJ65565 UON65565 UER65565 TUV65565 TKZ65565 TBD65565 SRH65565 SHL65565 RXP65565 RNT65565 RDX65565 QUB65565 QKF65565 QAJ65565 PQN65565 PGR65565 OWV65565 OMZ65565 ODD65565 NTH65565 NJL65565 MZP65565 MPT65565 MFX65565 LWB65565 LMF65565 LCJ65565 KSN65565 KIR65565 JYV65565 JOZ65565 JFD65565 IVH65565 ILL65565 IBP65565 HRT65565 HHX65565 GYB65565 GOF65565 GEJ65565 FUN65565 FKR65565 FAV65565 EQZ65565 EHD65565 DXH65565 DNL65565 DDP65565 CTT65565 CJX65565 CAB65565 BQF65565 BGJ65565 AWN65565 AMR65565 ACV65565 SZ65565 JD65565 H65565 WVP983057 WLT983057 WBX983057 VSB983057 VIF983057 UYJ983057 UON983057 UER983057 TUV983057 TKZ983057 TBD983057 SRH983057 SHL983057 RXP983057 RNT983057 RDX983057 QUB983057 QKF983057 QAJ983057 PQN983057 PGR983057 OWV983057 OMZ983057 ODD983057 NTH983057 NJL983057 MZP983057 MPT983057 MFX983057 LWB983057 LMF983057 LCJ983057 KSN983057 KIR983057 JYV983057 JOZ983057 JFD983057 IVH983057 ILL983057 IBP983057 HRT983057 HHX983057 GYB983057 GOF983057 GEJ983057 FUN983057 FKR983057 FAV983057 EQZ983057 EHD983057 DXH983057 DNL983057 DDP983057 CTT983057 CJX983057 CAB983057 BQF983057 BGJ983057 AWN983057 AMR983057 ACV983057 SZ983057 JD983057 H983057 WVP917521 WLT917521 WBX917521 VSB917521 VIF917521 UYJ917521 UON917521 UER917521 TUV917521 TKZ917521 TBD917521 SRH917521 SHL917521 RXP917521 RNT917521 RDX917521 QUB917521 QKF917521 QAJ917521 PQN917521 PGR917521 OWV917521 OMZ917521 ODD917521 NTH917521 NJL917521 MZP917521 MPT917521 MFX917521 LWB917521 LMF917521 LCJ917521 KSN917521 KIR917521 JYV917521 JOZ917521 JFD917521 IVH917521 ILL917521 IBP917521 HRT917521 HHX917521 GYB917521 GOF917521 GEJ917521 FUN917521 FKR917521 FAV917521 EQZ917521 EHD917521 DXH917521 DNL917521 DDP917521 CTT917521 CJX917521 CAB917521 BQF917521 BGJ917521 AWN917521 AMR917521 ACV917521 SZ917521 JD917521 H917521 WVP851985 WLT851985 WBX851985 VSB851985 VIF851985 UYJ851985 UON851985 UER851985 TUV851985 TKZ851985 TBD851985 SRH851985 SHL851985 RXP851985 RNT851985 RDX851985 QUB851985 QKF851985 QAJ851985 PQN851985 PGR851985 OWV851985 OMZ851985 ODD851985 NTH851985 NJL851985 MZP851985 MPT851985 MFX851985 LWB851985 LMF851985 LCJ851985 KSN851985 KIR851985 JYV851985 JOZ851985 JFD851985 IVH851985 ILL851985 IBP851985 HRT851985 HHX851985 GYB851985 GOF851985 GEJ851985 FUN851985 FKR851985 FAV851985 EQZ851985 EHD851985 DXH851985 DNL851985 DDP851985 CTT851985 CJX851985 CAB851985 BQF851985 BGJ851985 AWN851985 AMR851985 ACV851985 SZ851985 JD851985 H851985 WVP786449 WLT786449 WBX786449 VSB786449 VIF786449 UYJ786449 UON786449 UER786449 TUV786449 TKZ786449 TBD786449 SRH786449 SHL786449 RXP786449 RNT786449 RDX786449 QUB786449 QKF786449 QAJ786449 PQN786449 PGR786449 OWV786449 OMZ786449 ODD786449 NTH786449 NJL786449 MZP786449 MPT786449 MFX786449 LWB786449 LMF786449 LCJ786449 KSN786449 KIR786449 JYV786449 JOZ786449 JFD786449 IVH786449 ILL786449 IBP786449 HRT786449 HHX786449 GYB786449 GOF786449 GEJ786449 FUN786449 FKR786449 FAV786449 EQZ786449 EHD786449 DXH786449 DNL786449 DDP786449 CTT786449 CJX786449 CAB786449 BQF786449 BGJ786449 AWN786449 AMR786449 ACV786449 SZ786449 JD786449 H786449 WVP720913 WLT720913 WBX720913 VSB720913 VIF720913 UYJ720913 UON720913 UER720913 TUV720913 TKZ720913 TBD720913 SRH720913 SHL720913 RXP720913 RNT720913 RDX720913 QUB720913 QKF720913 QAJ720913 PQN720913 PGR720913 OWV720913 OMZ720913 ODD720913 NTH720913 NJL720913 MZP720913 MPT720913 MFX720913 LWB720913 LMF720913 LCJ720913 KSN720913 KIR720913 JYV720913 JOZ720913 JFD720913 IVH720913 ILL720913 IBP720913 HRT720913 HHX720913 GYB720913 GOF720913 GEJ720913 FUN720913 FKR720913 FAV720913 EQZ720913 EHD720913 DXH720913 DNL720913 DDP720913 CTT720913 CJX720913 CAB720913 BQF720913 BGJ720913 AWN720913 AMR720913 ACV720913 SZ720913 JD720913 H720913 WVP655377 WLT655377 WBX655377 VSB655377 VIF655377 UYJ655377 UON655377 UER655377 TUV655377 TKZ655377 TBD655377 SRH655377 SHL655377 RXP655377 RNT655377 RDX655377 QUB655377 QKF655377 QAJ655377 PQN655377 PGR655377 OWV655377 OMZ655377 ODD655377 NTH655377 NJL655377 MZP655377 MPT655377 MFX655377 LWB655377 LMF655377 LCJ655377 KSN655377 KIR655377 JYV655377 JOZ655377 JFD655377 IVH655377 ILL655377 IBP655377 HRT655377 HHX655377 GYB655377 GOF655377 GEJ655377 FUN655377 FKR655377 FAV655377 EQZ655377 EHD655377 DXH655377 DNL655377 DDP655377 CTT655377 CJX655377 CAB655377 BQF655377 BGJ655377 AWN655377 AMR655377 ACV655377 SZ655377 JD655377 H655377 WVP589841 WLT589841 WBX589841 VSB589841 VIF589841 UYJ589841 UON589841 UER589841 TUV589841 TKZ589841 TBD589841 SRH589841 SHL589841 RXP589841 RNT589841 RDX589841 QUB589841 QKF589841 QAJ589841 PQN589841 PGR589841 OWV589841 OMZ589841 ODD589841 NTH589841 NJL589841 MZP589841 MPT589841 MFX589841 LWB589841 LMF589841 LCJ589841 KSN589841 KIR589841 JYV589841 JOZ589841 JFD589841 IVH589841 ILL589841 IBP589841 HRT589841 HHX589841 GYB589841 GOF589841 GEJ589841 FUN589841 FKR589841 FAV589841 EQZ589841 EHD589841 DXH589841 DNL589841 DDP589841 CTT589841 CJX589841 CAB589841 BQF589841 BGJ589841 AWN589841 AMR589841 ACV589841 SZ589841 JD589841 H589841 WVP524305 WLT524305 WBX524305 VSB524305 VIF524305 UYJ524305 UON524305 UER524305 TUV524305 TKZ524305 TBD524305 SRH524305 SHL524305 RXP524305 RNT524305 RDX524305 QUB524305 QKF524305 QAJ524305 PQN524305 PGR524305 OWV524305 OMZ524305 ODD524305 NTH524305 NJL524305 MZP524305 MPT524305 MFX524305 LWB524305 LMF524305 LCJ524305 KSN524305 KIR524305 JYV524305 JOZ524305 JFD524305 IVH524305 ILL524305 IBP524305 HRT524305 HHX524305 GYB524305 GOF524305 GEJ524305 FUN524305 FKR524305 FAV524305 EQZ524305 EHD524305 DXH524305 DNL524305 DDP524305 CTT524305 CJX524305 CAB524305 BQF524305 BGJ524305 AWN524305 AMR524305 ACV524305 SZ524305 JD524305 H524305 WVP458769 WLT458769 WBX458769 VSB458769 VIF458769 UYJ458769 UON458769 UER458769 TUV458769 TKZ458769 TBD458769 SRH458769 SHL458769 RXP458769 RNT458769 RDX458769 QUB458769 QKF458769 QAJ458769 PQN458769 PGR458769 OWV458769 OMZ458769 ODD458769 NTH458769 NJL458769 MZP458769 MPT458769 MFX458769 LWB458769 LMF458769 LCJ458769 KSN458769 KIR458769 JYV458769 JOZ458769 JFD458769 IVH458769 ILL458769 IBP458769 HRT458769 HHX458769 GYB458769 GOF458769 GEJ458769 FUN458769 FKR458769 FAV458769 EQZ458769 EHD458769 DXH458769 DNL458769 DDP458769 CTT458769 CJX458769 CAB458769 BQF458769 BGJ458769 AWN458769 AMR458769 ACV458769 SZ458769 JD458769 H458769 WVP393233 WLT393233 WBX393233 VSB393233 VIF393233 UYJ393233 UON393233 UER393233 TUV393233 TKZ393233 TBD393233 SRH393233 SHL393233 RXP393233 RNT393233 RDX393233 QUB393233 QKF393233 QAJ393233 PQN393233 PGR393233 OWV393233 OMZ393233 ODD393233 NTH393233 NJL393233 MZP393233 MPT393233 MFX393233 LWB393233 LMF393233 LCJ393233 KSN393233 KIR393233 JYV393233 JOZ393233 JFD393233 IVH393233 ILL393233 IBP393233 HRT393233 HHX393233 GYB393233 GOF393233 GEJ393233 FUN393233 FKR393233 FAV393233 EQZ393233 EHD393233 DXH393233 DNL393233 DDP393233 CTT393233 CJX393233 CAB393233 BQF393233 BGJ393233 AWN393233 AMR393233 ACV393233 SZ393233 JD393233 H393233 WVP327697 WLT327697 WBX327697 VSB327697 VIF327697 UYJ327697 UON327697 UER327697 TUV327697 TKZ327697 TBD327697 SRH327697 SHL327697 RXP327697 RNT327697 RDX327697 QUB327697 QKF327697 QAJ327697 PQN327697 PGR327697 OWV327697 OMZ327697 ODD327697 NTH327697 NJL327697 MZP327697 MPT327697 MFX327697 LWB327697 LMF327697 LCJ327697 KSN327697 KIR327697 JYV327697 JOZ327697 JFD327697 IVH327697 ILL327697 IBP327697 HRT327697 HHX327697 GYB327697 GOF327697 GEJ327697 FUN327697 FKR327697 FAV327697 EQZ327697 EHD327697 DXH327697 DNL327697 DDP327697 CTT327697 CJX327697 CAB327697 BQF327697 BGJ327697 AWN327697 AMR327697 ACV327697 SZ327697 JD327697 H327697 WVP262161 WLT262161 WBX262161 VSB262161 VIF262161 UYJ262161 UON262161 UER262161 TUV262161 TKZ262161 TBD262161 SRH262161 SHL262161 RXP262161 RNT262161 RDX262161 QUB262161 QKF262161 QAJ262161 PQN262161 PGR262161 OWV262161 OMZ262161 ODD262161 NTH262161 NJL262161 MZP262161 MPT262161 MFX262161 LWB262161 LMF262161 LCJ262161 KSN262161 KIR262161 JYV262161 JOZ262161 JFD262161 IVH262161 ILL262161 IBP262161 HRT262161 HHX262161 GYB262161 GOF262161 GEJ262161 FUN262161 FKR262161 FAV262161 EQZ262161 EHD262161 DXH262161 DNL262161 DDP262161 CTT262161 CJX262161 CAB262161 BQF262161 BGJ262161 AWN262161 AMR262161 ACV262161 SZ262161 JD262161 H262161 WVP196625 WLT196625 WBX196625 VSB196625 VIF196625 UYJ196625 UON196625 UER196625 TUV196625 TKZ196625 TBD196625 SRH196625 SHL196625 RXP196625 RNT196625 RDX196625 QUB196625 QKF196625 QAJ196625 PQN196625 PGR196625 OWV196625 OMZ196625 ODD196625 NTH196625 NJL196625 MZP196625 MPT196625 MFX196625 LWB196625 LMF196625 LCJ196625 KSN196625 KIR196625 JYV196625 JOZ196625 JFD196625 IVH196625 ILL196625 IBP196625 HRT196625 HHX196625 GYB196625 GOF196625 GEJ196625 FUN196625 FKR196625 FAV196625 EQZ196625 EHD196625 DXH196625 DNL196625 DDP196625 CTT196625 CJX196625 CAB196625 BQF196625 BGJ196625 AWN196625 AMR196625 ACV196625 SZ196625 JD196625 H196625 WVP131089 WLT131089 WBX131089 VSB131089 VIF131089 UYJ131089 UON131089 UER131089 TUV131089 TKZ131089 TBD131089 SRH131089 SHL131089 RXP131089 RNT131089 RDX131089 QUB131089 QKF131089 QAJ131089 PQN131089 PGR131089 OWV131089 OMZ131089 ODD131089 NTH131089 NJL131089 MZP131089 MPT131089 MFX131089 LWB131089 LMF131089 LCJ131089 KSN131089 KIR131089 JYV131089 JOZ131089 JFD131089 IVH131089 ILL131089 IBP131089 HRT131089 HHX131089 GYB131089 GOF131089 GEJ131089 FUN131089 FKR131089 FAV131089 EQZ131089 EHD131089 DXH131089 DNL131089 DDP131089 CTT131089 CJX131089 CAB131089 BQF131089 BGJ131089 AWN131089 AMR131089 ACV131089 SZ131089 JD131089 H131089 WVP65553 WLT65553 WBX65553 VSB65553 VIF65553 UYJ65553 UON65553 UER65553 TUV65553 TKZ65553 TBD65553 SRH65553 SHL65553 RXP65553 RNT65553 RDX65553 QUB65553 QKF65553 QAJ65553 PQN65553 PGR65553 OWV65553 OMZ65553 ODD65553 NTH65553 NJL65553 MZP65553 MPT65553 MFX65553 LWB65553 LMF65553 LCJ65553 KSN65553 KIR65553 JYV65553 JOZ65553 JFD65553 IVH65553 ILL65553 IBP65553 HRT65553 HHX65553 GYB65553 GOF65553 GEJ65553 FUN65553 FKR65553 FAV65553 EQZ65553 EHD65553 DXH65553 DNL65553 DDP65553 CTT65553 CJX65553 CAB65553 BQF65553 BGJ65553 AWN65553 AMR65553 ACV65553 SZ65553 JD65553 H65553 WVP17 WLT17 WBX17 VSB17 VIF17 UYJ17 UON17 UER17 TUV17 TKZ17 TBD17 SRH17 SHL17 RXP17 RNT17 RDX17 QUB17 QKF17 QAJ17 PQN17 PGR17 OWV17 OMZ17 ODD17 NTH17 NJL17 MZP17 MPT17 MFX17 LWB17 LMF17 LCJ17 KSN17 KIR17 JYV17 JOZ17 JFD17 IVH17 ILL17 IBP17 HRT17 HHX17 GYB17 GOF17 GEJ17 FUN17 FKR17 FAV17 EQZ17 EHD17 DXH17 DNL17 DDP17 CTT17 CJX17 CAB17 BQF17 BGJ17 AWN17 AMR17 ACV17 SZ17 JD17 H31">
      <formula1>"YES,NO"</formula1>
    </dataValidation>
    <dataValidation type="list" allowBlank="1" showInputMessage="1" showErrorMessage="1" sqref="IY26 SU26 ACQ26 AMM26 AWI26 BGE26 BQA26 BZW26 CJS26 CTO26 DDK26 DNG26 DXC26 EGY26 EQU26 FAQ26 FKM26 FUI26 GEE26 GOA26 GXW26 HHS26 HRO26 IBK26 ILG26 IVC26 JEY26 JOU26 JYQ26 KIM26 KSI26 LCE26 LMA26 LVW26 MFS26 MPO26 MZK26 NJG26 NTC26 OCY26 OMU26 OWQ26 PGM26 PQI26 QAE26 QKA26 QTW26 RDS26 RNO26 RXK26 SHG26 SRC26 TAY26 TKU26 TUQ26 UEM26 UOI26 UYE26 VIA26 VRW26 WBS26 WLO26 WVK26 WVP983066 WLT983066 WBX983066 VSB983066 VIF983066 UYJ983066 UON983066 UER983066 TUV983066 TKZ983066 TBD983066 SRH983066 SHL983066 RXP983066 RNT983066 RDX983066 QUB983066 QKF983066 QAJ983066 PQN983066 PGR983066 OWV983066 OMZ983066 ODD983066 NTH983066 NJL983066 MZP983066 MPT983066 MFX983066 LWB983066 LMF983066 LCJ983066 KSN983066 KIR983066 JYV983066 JOZ983066 JFD983066 IVH983066 ILL983066 IBP983066 HRT983066 HHX983066 GYB983066 GOF983066 GEJ983066 FUN983066 FKR983066 FAV983066 EQZ983066 EHD983066 DXH983066 DNL983066 DDP983066 CTT983066 CJX983066 CAB983066 BQF983066 BGJ983066 AWN983066 AMR983066 ACV983066 SZ983066 JD983066 H983066 WVP917530 WLT917530 WBX917530 VSB917530 VIF917530 UYJ917530 UON917530 UER917530 TUV917530 TKZ917530 TBD917530 SRH917530 SHL917530 RXP917530 RNT917530 RDX917530 QUB917530 QKF917530 QAJ917530 PQN917530 PGR917530 OWV917530 OMZ917530 ODD917530 NTH917530 NJL917530 MZP917530 MPT917530 MFX917530 LWB917530 LMF917530 LCJ917530 KSN917530 KIR917530 JYV917530 JOZ917530 JFD917530 IVH917530 ILL917530 IBP917530 HRT917530 HHX917530 GYB917530 GOF917530 GEJ917530 FUN917530 FKR917530 FAV917530 EQZ917530 EHD917530 DXH917530 DNL917530 DDP917530 CTT917530 CJX917530 CAB917530 BQF917530 BGJ917530 AWN917530 AMR917530 ACV917530 SZ917530 JD917530 H917530 WVP851994 WLT851994 WBX851994 VSB851994 VIF851994 UYJ851994 UON851994 UER851994 TUV851994 TKZ851994 TBD851994 SRH851994 SHL851994 RXP851994 RNT851994 RDX851994 QUB851994 QKF851994 QAJ851994 PQN851994 PGR851994 OWV851994 OMZ851994 ODD851994 NTH851994 NJL851994 MZP851994 MPT851994 MFX851994 LWB851994 LMF851994 LCJ851994 KSN851994 KIR851994 JYV851994 JOZ851994 JFD851994 IVH851994 ILL851994 IBP851994 HRT851994 HHX851994 GYB851994 GOF851994 GEJ851994 FUN851994 FKR851994 FAV851994 EQZ851994 EHD851994 DXH851994 DNL851994 DDP851994 CTT851994 CJX851994 CAB851994 BQF851994 BGJ851994 AWN851994 AMR851994 ACV851994 SZ851994 JD851994 H851994 WVP786458 WLT786458 WBX786458 VSB786458 VIF786458 UYJ786458 UON786458 UER786458 TUV786458 TKZ786458 TBD786458 SRH786458 SHL786458 RXP786458 RNT786458 RDX786458 QUB786458 QKF786458 QAJ786458 PQN786458 PGR786458 OWV786458 OMZ786458 ODD786458 NTH786458 NJL786458 MZP786458 MPT786458 MFX786458 LWB786458 LMF786458 LCJ786458 KSN786458 KIR786458 JYV786458 JOZ786458 JFD786458 IVH786458 ILL786458 IBP786458 HRT786458 HHX786458 GYB786458 GOF786458 GEJ786458 FUN786458 FKR786458 FAV786458 EQZ786458 EHD786458 DXH786458 DNL786458 DDP786458 CTT786458 CJX786458 CAB786458 BQF786458 BGJ786458 AWN786458 AMR786458 ACV786458 SZ786458 JD786458 H786458 WVP720922 WLT720922 WBX720922 VSB720922 VIF720922 UYJ720922 UON720922 UER720922 TUV720922 TKZ720922 TBD720922 SRH720922 SHL720922 RXP720922 RNT720922 RDX720922 QUB720922 QKF720922 QAJ720922 PQN720922 PGR720922 OWV720922 OMZ720922 ODD720922 NTH720922 NJL720922 MZP720922 MPT720922 MFX720922 LWB720922 LMF720922 LCJ720922 KSN720922 KIR720922 JYV720922 JOZ720922 JFD720922 IVH720922 ILL720922 IBP720922 HRT720922 HHX720922 GYB720922 GOF720922 GEJ720922 FUN720922 FKR720922 FAV720922 EQZ720922 EHD720922 DXH720922 DNL720922 DDP720922 CTT720922 CJX720922 CAB720922 BQF720922 BGJ720922 AWN720922 AMR720922 ACV720922 SZ720922 JD720922 H720922 WVP655386 WLT655386 WBX655386 VSB655386 VIF655386 UYJ655386 UON655386 UER655386 TUV655386 TKZ655386 TBD655386 SRH655386 SHL655386 RXP655386 RNT655386 RDX655386 QUB655386 QKF655386 QAJ655386 PQN655386 PGR655386 OWV655386 OMZ655386 ODD655386 NTH655386 NJL655386 MZP655386 MPT655386 MFX655386 LWB655386 LMF655386 LCJ655386 KSN655386 KIR655386 JYV655386 JOZ655386 JFD655386 IVH655386 ILL655386 IBP655386 HRT655386 HHX655386 GYB655386 GOF655386 GEJ655386 FUN655386 FKR655386 FAV655386 EQZ655386 EHD655386 DXH655386 DNL655386 DDP655386 CTT655386 CJX655386 CAB655386 BQF655386 BGJ655386 AWN655386 AMR655386 ACV655386 SZ655386 JD655386 H655386 WVP589850 WLT589850 WBX589850 VSB589850 VIF589850 UYJ589850 UON589850 UER589850 TUV589850 TKZ589850 TBD589850 SRH589850 SHL589850 RXP589850 RNT589850 RDX589850 QUB589850 QKF589850 QAJ589850 PQN589850 PGR589850 OWV589850 OMZ589850 ODD589850 NTH589850 NJL589850 MZP589850 MPT589850 MFX589850 LWB589850 LMF589850 LCJ589850 KSN589850 KIR589850 JYV589850 JOZ589850 JFD589850 IVH589850 ILL589850 IBP589850 HRT589850 HHX589850 GYB589850 GOF589850 GEJ589850 FUN589850 FKR589850 FAV589850 EQZ589850 EHD589850 DXH589850 DNL589850 DDP589850 CTT589850 CJX589850 CAB589850 BQF589850 BGJ589850 AWN589850 AMR589850 ACV589850 SZ589850 JD589850 H589850 WVP524314 WLT524314 WBX524314 VSB524314 VIF524314 UYJ524314 UON524314 UER524314 TUV524314 TKZ524314 TBD524314 SRH524314 SHL524314 RXP524314 RNT524314 RDX524314 QUB524314 QKF524314 QAJ524314 PQN524314 PGR524314 OWV524314 OMZ524314 ODD524314 NTH524314 NJL524314 MZP524314 MPT524314 MFX524314 LWB524314 LMF524314 LCJ524314 KSN524314 KIR524314 JYV524314 JOZ524314 JFD524314 IVH524314 ILL524314 IBP524314 HRT524314 HHX524314 GYB524314 GOF524314 GEJ524314 FUN524314 FKR524314 FAV524314 EQZ524314 EHD524314 DXH524314 DNL524314 DDP524314 CTT524314 CJX524314 CAB524314 BQF524314 BGJ524314 AWN524314 AMR524314 ACV524314 SZ524314 JD524314 H524314 WVP458778 WLT458778 WBX458778 VSB458778 VIF458778 UYJ458778 UON458778 UER458778 TUV458778 TKZ458778 TBD458778 SRH458778 SHL458778 RXP458778 RNT458778 RDX458778 QUB458778 QKF458778 QAJ458778 PQN458778 PGR458778 OWV458778 OMZ458778 ODD458778 NTH458778 NJL458778 MZP458778 MPT458778 MFX458778 LWB458778 LMF458778 LCJ458778 KSN458778 KIR458778 JYV458778 JOZ458778 JFD458778 IVH458778 ILL458778 IBP458778 HRT458778 HHX458778 GYB458778 GOF458778 GEJ458778 FUN458778 FKR458778 FAV458778 EQZ458778 EHD458778 DXH458778 DNL458778 DDP458778 CTT458778 CJX458778 CAB458778 BQF458778 BGJ458778 AWN458778 AMR458778 ACV458778 SZ458778 JD458778 H458778 WVP393242 WLT393242 WBX393242 VSB393242 VIF393242 UYJ393242 UON393242 UER393242 TUV393242 TKZ393242 TBD393242 SRH393242 SHL393242 RXP393242 RNT393242 RDX393242 QUB393242 QKF393242 QAJ393242 PQN393242 PGR393242 OWV393242 OMZ393242 ODD393242 NTH393242 NJL393242 MZP393242 MPT393242 MFX393242 LWB393242 LMF393242 LCJ393242 KSN393242 KIR393242 JYV393242 JOZ393242 JFD393242 IVH393242 ILL393242 IBP393242 HRT393242 HHX393242 GYB393242 GOF393242 GEJ393242 FUN393242 FKR393242 FAV393242 EQZ393242 EHD393242 DXH393242 DNL393242 DDP393242 CTT393242 CJX393242 CAB393242 BQF393242 BGJ393242 AWN393242 AMR393242 ACV393242 SZ393242 JD393242 H393242 WVP327706 WLT327706 WBX327706 VSB327706 VIF327706 UYJ327706 UON327706 UER327706 TUV327706 TKZ327706 TBD327706 SRH327706 SHL327706 RXP327706 RNT327706 RDX327706 QUB327706 QKF327706 QAJ327706 PQN327706 PGR327706 OWV327706 OMZ327706 ODD327706 NTH327706 NJL327706 MZP327706 MPT327706 MFX327706 LWB327706 LMF327706 LCJ327706 KSN327706 KIR327706 JYV327706 JOZ327706 JFD327706 IVH327706 ILL327706 IBP327706 HRT327706 HHX327706 GYB327706 GOF327706 GEJ327706 FUN327706 FKR327706 FAV327706 EQZ327706 EHD327706 DXH327706 DNL327706 DDP327706 CTT327706 CJX327706 CAB327706 BQF327706 BGJ327706 AWN327706 AMR327706 ACV327706 SZ327706 JD327706 H327706 WVP262170 WLT262170 WBX262170 VSB262170 VIF262170 UYJ262170 UON262170 UER262170 TUV262170 TKZ262170 TBD262170 SRH262170 SHL262170 RXP262170 RNT262170 RDX262170 QUB262170 QKF262170 QAJ262170 PQN262170 PGR262170 OWV262170 OMZ262170 ODD262170 NTH262170 NJL262170 MZP262170 MPT262170 MFX262170 LWB262170 LMF262170 LCJ262170 KSN262170 KIR262170 JYV262170 JOZ262170 JFD262170 IVH262170 ILL262170 IBP262170 HRT262170 HHX262170 GYB262170 GOF262170 GEJ262170 FUN262170 FKR262170 FAV262170 EQZ262170 EHD262170 DXH262170 DNL262170 DDP262170 CTT262170 CJX262170 CAB262170 BQF262170 BGJ262170 AWN262170 AMR262170 ACV262170 SZ262170 JD262170 H262170 WVP196634 WLT196634 WBX196634 VSB196634 VIF196634 UYJ196634 UON196634 UER196634 TUV196634 TKZ196634 TBD196634 SRH196634 SHL196634 RXP196634 RNT196634 RDX196634 QUB196634 QKF196634 QAJ196634 PQN196634 PGR196634 OWV196634 OMZ196634 ODD196634 NTH196634 NJL196634 MZP196634 MPT196634 MFX196634 LWB196634 LMF196634 LCJ196634 KSN196634 KIR196634 JYV196634 JOZ196634 JFD196634 IVH196634 ILL196634 IBP196634 HRT196634 HHX196634 GYB196634 GOF196634 GEJ196634 FUN196634 FKR196634 FAV196634 EQZ196634 EHD196634 DXH196634 DNL196634 DDP196634 CTT196634 CJX196634 CAB196634 BQF196634 BGJ196634 AWN196634 AMR196634 ACV196634 SZ196634 JD196634 H196634 WVP131098 WLT131098 WBX131098 VSB131098 VIF131098 UYJ131098 UON131098 UER131098 TUV131098 TKZ131098 TBD131098 SRH131098 SHL131098 RXP131098 RNT131098 RDX131098 QUB131098 QKF131098 QAJ131098 PQN131098 PGR131098 OWV131098 OMZ131098 ODD131098 NTH131098 NJL131098 MZP131098 MPT131098 MFX131098 LWB131098 LMF131098 LCJ131098 KSN131098 KIR131098 JYV131098 JOZ131098 JFD131098 IVH131098 ILL131098 IBP131098 HRT131098 HHX131098 GYB131098 GOF131098 GEJ131098 FUN131098 FKR131098 FAV131098 EQZ131098 EHD131098 DXH131098 DNL131098 DDP131098 CTT131098 CJX131098 CAB131098 BQF131098 BGJ131098 AWN131098 AMR131098 ACV131098 SZ131098 JD131098 H131098 WVP65562 WLT65562 WBX65562 VSB65562 VIF65562 UYJ65562 UON65562 UER65562 TUV65562 TKZ65562 TBD65562 SRH65562 SHL65562 RXP65562 RNT65562 RDX65562 QUB65562 QKF65562 QAJ65562 PQN65562 PGR65562 OWV65562 OMZ65562 ODD65562 NTH65562 NJL65562 MZP65562 MPT65562 MFX65562 LWB65562 LMF65562 LCJ65562 KSN65562 KIR65562 JYV65562 JOZ65562 JFD65562 IVH65562 ILL65562 IBP65562 HRT65562 HHX65562 GYB65562 GOF65562 GEJ65562 FUN65562 FKR65562 FAV65562 EQZ65562 EHD65562 DXH65562 DNL65562 DDP65562 CTT65562 CJX65562 CAB65562 BQF65562 BGJ65562 AWN65562 AMR65562 ACV65562 SZ65562 JD65562 H65562">
      <formula1>"SLOW,MOD,FAST"</formula1>
    </dataValidation>
    <dataValidation type="list" allowBlank="1" showInputMessage="1" showErrorMessage="1" sqref="IY27:IY28 SU27:SU28 ACQ27:ACQ28 AMM27:AMM28 AWI27:AWI28 BGE27:BGE28 BQA27:BQA28 BZW27:BZW28 CJS27:CJS28 CTO27:CTO28 DDK27:DDK28 DNG27:DNG28 DXC27:DXC28 EGY27:EGY28 EQU27:EQU28 FAQ27:FAQ28 FKM27:FKM28 FUI27:FUI28 GEE27:GEE28 GOA27:GOA28 GXW27:GXW28 HHS27:HHS28 HRO27:HRO28 IBK27:IBK28 ILG27:ILG28 IVC27:IVC28 JEY27:JEY28 JOU27:JOU28 JYQ27:JYQ28 KIM27:KIM28 KSI27:KSI28 LCE27:LCE28 LMA27:LMA28 LVW27:LVW28 MFS27:MFS28 MPO27:MPO28 MZK27:MZK28 NJG27:NJG28 NTC27:NTC28 OCY27:OCY28 OMU27:OMU28 OWQ27:OWQ28 PGM27:PGM28 PQI27:PQI28 QAE27:QAE28 QKA27:QKA28 QTW27:QTW28 RDS27:RDS28 RNO27:RNO28 RXK27:RXK28 SHG27:SHG28 SRC27:SRC28 TAY27:TAY28 TKU27:TKU28 TUQ27:TUQ28 UEM27:UEM28 UOI27:UOI28 UYE27:UYE28 VIA27:VIA28 VRW27:VRW28 WBS27:WBS28 WLO27:WLO28 WVK27:WVK28 H29:H30 WVP983067:WVP983068 WLT983067:WLT983068 WBX983067:WBX983068 VSB983067:VSB983068 VIF983067:VIF983068 UYJ983067:UYJ983068 UON983067:UON983068 UER983067:UER983068 TUV983067:TUV983068 TKZ983067:TKZ983068 TBD983067:TBD983068 SRH983067:SRH983068 SHL983067:SHL983068 RXP983067:RXP983068 RNT983067:RNT983068 RDX983067:RDX983068 QUB983067:QUB983068 QKF983067:QKF983068 QAJ983067:QAJ983068 PQN983067:PQN983068 PGR983067:PGR983068 OWV983067:OWV983068 OMZ983067:OMZ983068 ODD983067:ODD983068 NTH983067:NTH983068 NJL983067:NJL983068 MZP983067:MZP983068 MPT983067:MPT983068 MFX983067:MFX983068 LWB983067:LWB983068 LMF983067:LMF983068 LCJ983067:LCJ983068 KSN983067:KSN983068 KIR983067:KIR983068 JYV983067:JYV983068 JOZ983067:JOZ983068 JFD983067:JFD983068 IVH983067:IVH983068 ILL983067:ILL983068 IBP983067:IBP983068 HRT983067:HRT983068 HHX983067:HHX983068 GYB983067:GYB983068 GOF983067:GOF983068 GEJ983067:GEJ983068 FUN983067:FUN983068 FKR983067:FKR983068 FAV983067:FAV983068 EQZ983067:EQZ983068 EHD983067:EHD983068 DXH983067:DXH983068 DNL983067:DNL983068 DDP983067:DDP983068 CTT983067:CTT983068 CJX983067:CJX983068 CAB983067:CAB983068 BQF983067:BQF983068 BGJ983067:BGJ983068 AWN983067:AWN983068 AMR983067:AMR983068 ACV983067:ACV983068 SZ983067:SZ983068 JD983067:JD983068 H983067:H983068 WVP917531:WVP917532 WLT917531:WLT917532 WBX917531:WBX917532 VSB917531:VSB917532 VIF917531:VIF917532 UYJ917531:UYJ917532 UON917531:UON917532 UER917531:UER917532 TUV917531:TUV917532 TKZ917531:TKZ917532 TBD917531:TBD917532 SRH917531:SRH917532 SHL917531:SHL917532 RXP917531:RXP917532 RNT917531:RNT917532 RDX917531:RDX917532 QUB917531:QUB917532 QKF917531:QKF917532 QAJ917531:QAJ917532 PQN917531:PQN917532 PGR917531:PGR917532 OWV917531:OWV917532 OMZ917531:OMZ917532 ODD917531:ODD917532 NTH917531:NTH917532 NJL917531:NJL917532 MZP917531:MZP917532 MPT917531:MPT917532 MFX917531:MFX917532 LWB917531:LWB917532 LMF917531:LMF917532 LCJ917531:LCJ917532 KSN917531:KSN917532 KIR917531:KIR917532 JYV917531:JYV917532 JOZ917531:JOZ917532 JFD917531:JFD917532 IVH917531:IVH917532 ILL917531:ILL917532 IBP917531:IBP917532 HRT917531:HRT917532 HHX917531:HHX917532 GYB917531:GYB917532 GOF917531:GOF917532 GEJ917531:GEJ917532 FUN917531:FUN917532 FKR917531:FKR917532 FAV917531:FAV917532 EQZ917531:EQZ917532 EHD917531:EHD917532 DXH917531:DXH917532 DNL917531:DNL917532 DDP917531:DDP917532 CTT917531:CTT917532 CJX917531:CJX917532 CAB917531:CAB917532 BQF917531:BQF917532 BGJ917531:BGJ917532 AWN917531:AWN917532 AMR917531:AMR917532 ACV917531:ACV917532 SZ917531:SZ917532 JD917531:JD917532 H917531:H917532 WVP851995:WVP851996 WLT851995:WLT851996 WBX851995:WBX851996 VSB851995:VSB851996 VIF851995:VIF851996 UYJ851995:UYJ851996 UON851995:UON851996 UER851995:UER851996 TUV851995:TUV851996 TKZ851995:TKZ851996 TBD851995:TBD851996 SRH851995:SRH851996 SHL851995:SHL851996 RXP851995:RXP851996 RNT851995:RNT851996 RDX851995:RDX851996 QUB851995:QUB851996 QKF851995:QKF851996 QAJ851995:QAJ851996 PQN851995:PQN851996 PGR851995:PGR851996 OWV851995:OWV851996 OMZ851995:OMZ851996 ODD851995:ODD851996 NTH851995:NTH851996 NJL851995:NJL851996 MZP851995:MZP851996 MPT851995:MPT851996 MFX851995:MFX851996 LWB851995:LWB851996 LMF851995:LMF851996 LCJ851995:LCJ851996 KSN851995:KSN851996 KIR851995:KIR851996 JYV851995:JYV851996 JOZ851995:JOZ851996 JFD851995:JFD851996 IVH851995:IVH851996 ILL851995:ILL851996 IBP851995:IBP851996 HRT851995:HRT851996 HHX851995:HHX851996 GYB851995:GYB851996 GOF851995:GOF851996 GEJ851995:GEJ851996 FUN851995:FUN851996 FKR851995:FKR851996 FAV851995:FAV851996 EQZ851995:EQZ851996 EHD851995:EHD851996 DXH851995:DXH851996 DNL851995:DNL851996 DDP851995:DDP851996 CTT851995:CTT851996 CJX851995:CJX851996 CAB851995:CAB851996 BQF851995:BQF851996 BGJ851995:BGJ851996 AWN851995:AWN851996 AMR851995:AMR851996 ACV851995:ACV851996 SZ851995:SZ851996 JD851995:JD851996 H851995:H851996 WVP786459:WVP786460 WLT786459:WLT786460 WBX786459:WBX786460 VSB786459:VSB786460 VIF786459:VIF786460 UYJ786459:UYJ786460 UON786459:UON786460 UER786459:UER786460 TUV786459:TUV786460 TKZ786459:TKZ786460 TBD786459:TBD786460 SRH786459:SRH786460 SHL786459:SHL786460 RXP786459:RXP786460 RNT786459:RNT786460 RDX786459:RDX786460 QUB786459:QUB786460 QKF786459:QKF786460 QAJ786459:QAJ786460 PQN786459:PQN786460 PGR786459:PGR786460 OWV786459:OWV786460 OMZ786459:OMZ786460 ODD786459:ODD786460 NTH786459:NTH786460 NJL786459:NJL786460 MZP786459:MZP786460 MPT786459:MPT786460 MFX786459:MFX786460 LWB786459:LWB786460 LMF786459:LMF786460 LCJ786459:LCJ786460 KSN786459:KSN786460 KIR786459:KIR786460 JYV786459:JYV786460 JOZ786459:JOZ786460 JFD786459:JFD786460 IVH786459:IVH786460 ILL786459:ILL786460 IBP786459:IBP786460 HRT786459:HRT786460 HHX786459:HHX786460 GYB786459:GYB786460 GOF786459:GOF786460 GEJ786459:GEJ786460 FUN786459:FUN786460 FKR786459:FKR786460 FAV786459:FAV786460 EQZ786459:EQZ786460 EHD786459:EHD786460 DXH786459:DXH786460 DNL786459:DNL786460 DDP786459:DDP786460 CTT786459:CTT786460 CJX786459:CJX786460 CAB786459:CAB786460 BQF786459:BQF786460 BGJ786459:BGJ786460 AWN786459:AWN786460 AMR786459:AMR786460 ACV786459:ACV786460 SZ786459:SZ786460 JD786459:JD786460 H786459:H786460 WVP720923:WVP720924 WLT720923:WLT720924 WBX720923:WBX720924 VSB720923:VSB720924 VIF720923:VIF720924 UYJ720923:UYJ720924 UON720923:UON720924 UER720923:UER720924 TUV720923:TUV720924 TKZ720923:TKZ720924 TBD720923:TBD720924 SRH720923:SRH720924 SHL720923:SHL720924 RXP720923:RXP720924 RNT720923:RNT720924 RDX720923:RDX720924 QUB720923:QUB720924 QKF720923:QKF720924 QAJ720923:QAJ720924 PQN720923:PQN720924 PGR720923:PGR720924 OWV720923:OWV720924 OMZ720923:OMZ720924 ODD720923:ODD720924 NTH720923:NTH720924 NJL720923:NJL720924 MZP720923:MZP720924 MPT720923:MPT720924 MFX720923:MFX720924 LWB720923:LWB720924 LMF720923:LMF720924 LCJ720923:LCJ720924 KSN720923:KSN720924 KIR720923:KIR720924 JYV720923:JYV720924 JOZ720923:JOZ720924 JFD720923:JFD720924 IVH720923:IVH720924 ILL720923:ILL720924 IBP720923:IBP720924 HRT720923:HRT720924 HHX720923:HHX720924 GYB720923:GYB720924 GOF720923:GOF720924 GEJ720923:GEJ720924 FUN720923:FUN720924 FKR720923:FKR720924 FAV720923:FAV720924 EQZ720923:EQZ720924 EHD720923:EHD720924 DXH720923:DXH720924 DNL720923:DNL720924 DDP720923:DDP720924 CTT720923:CTT720924 CJX720923:CJX720924 CAB720923:CAB720924 BQF720923:BQF720924 BGJ720923:BGJ720924 AWN720923:AWN720924 AMR720923:AMR720924 ACV720923:ACV720924 SZ720923:SZ720924 JD720923:JD720924 H720923:H720924 WVP655387:WVP655388 WLT655387:WLT655388 WBX655387:WBX655388 VSB655387:VSB655388 VIF655387:VIF655388 UYJ655387:UYJ655388 UON655387:UON655388 UER655387:UER655388 TUV655387:TUV655388 TKZ655387:TKZ655388 TBD655387:TBD655388 SRH655387:SRH655388 SHL655387:SHL655388 RXP655387:RXP655388 RNT655387:RNT655388 RDX655387:RDX655388 QUB655387:QUB655388 QKF655387:QKF655388 QAJ655387:QAJ655388 PQN655387:PQN655388 PGR655387:PGR655388 OWV655387:OWV655388 OMZ655387:OMZ655388 ODD655387:ODD655388 NTH655387:NTH655388 NJL655387:NJL655388 MZP655387:MZP655388 MPT655387:MPT655388 MFX655387:MFX655388 LWB655387:LWB655388 LMF655387:LMF655388 LCJ655387:LCJ655388 KSN655387:KSN655388 KIR655387:KIR655388 JYV655387:JYV655388 JOZ655387:JOZ655388 JFD655387:JFD655388 IVH655387:IVH655388 ILL655387:ILL655388 IBP655387:IBP655388 HRT655387:HRT655388 HHX655387:HHX655388 GYB655387:GYB655388 GOF655387:GOF655388 GEJ655387:GEJ655388 FUN655387:FUN655388 FKR655387:FKR655388 FAV655387:FAV655388 EQZ655387:EQZ655388 EHD655387:EHD655388 DXH655387:DXH655388 DNL655387:DNL655388 DDP655387:DDP655388 CTT655387:CTT655388 CJX655387:CJX655388 CAB655387:CAB655388 BQF655387:BQF655388 BGJ655387:BGJ655388 AWN655387:AWN655388 AMR655387:AMR655388 ACV655387:ACV655388 SZ655387:SZ655388 JD655387:JD655388 H655387:H655388 WVP589851:WVP589852 WLT589851:WLT589852 WBX589851:WBX589852 VSB589851:VSB589852 VIF589851:VIF589852 UYJ589851:UYJ589852 UON589851:UON589852 UER589851:UER589852 TUV589851:TUV589852 TKZ589851:TKZ589852 TBD589851:TBD589852 SRH589851:SRH589852 SHL589851:SHL589852 RXP589851:RXP589852 RNT589851:RNT589852 RDX589851:RDX589852 QUB589851:QUB589852 QKF589851:QKF589852 QAJ589851:QAJ589852 PQN589851:PQN589852 PGR589851:PGR589852 OWV589851:OWV589852 OMZ589851:OMZ589852 ODD589851:ODD589852 NTH589851:NTH589852 NJL589851:NJL589852 MZP589851:MZP589852 MPT589851:MPT589852 MFX589851:MFX589852 LWB589851:LWB589852 LMF589851:LMF589852 LCJ589851:LCJ589852 KSN589851:KSN589852 KIR589851:KIR589852 JYV589851:JYV589852 JOZ589851:JOZ589852 JFD589851:JFD589852 IVH589851:IVH589852 ILL589851:ILL589852 IBP589851:IBP589852 HRT589851:HRT589852 HHX589851:HHX589852 GYB589851:GYB589852 GOF589851:GOF589852 GEJ589851:GEJ589852 FUN589851:FUN589852 FKR589851:FKR589852 FAV589851:FAV589852 EQZ589851:EQZ589852 EHD589851:EHD589852 DXH589851:DXH589852 DNL589851:DNL589852 DDP589851:DDP589852 CTT589851:CTT589852 CJX589851:CJX589852 CAB589851:CAB589852 BQF589851:BQF589852 BGJ589851:BGJ589852 AWN589851:AWN589852 AMR589851:AMR589852 ACV589851:ACV589852 SZ589851:SZ589852 JD589851:JD589852 H589851:H589852 WVP524315:WVP524316 WLT524315:WLT524316 WBX524315:WBX524316 VSB524315:VSB524316 VIF524315:VIF524316 UYJ524315:UYJ524316 UON524315:UON524316 UER524315:UER524316 TUV524315:TUV524316 TKZ524315:TKZ524316 TBD524315:TBD524316 SRH524315:SRH524316 SHL524315:SHL524316 RXP524315:RXP524316 RNT524315:RNT524316 RDX524315:RDX524316 QUB524315:QUB524316 QKF524315:QKF524316 QAJ524315:QAJ524316 PQN524315:PQN524316 PGR524315:PGR524316 OWV524315:OWV524316 OMZ524315:OMZ524316 ODD524315:ODD524316 NTH524315:NTH524316 NJL524315:NJL524316 MZP524315:MZP524316 MPT524315:MPT524316 MFX524315:MFX524316 LWB524315:LWB524316 LMF524315:LMF524316 LCJ524315:LCJ524316 KSN524315:KSN524316 KIR524315:KIR524316 JYV524315:JYV524316 JOZ524315:JOZ524316 JFD524315:JFD524316 IVH524315:IVH524316 ILL524315:ILL524316 IBP524315:IBP524316 HRT524315:HRT524316 HHX524315:HHX524316 GYB524315:GYB524316 GOF524315:GOF524316 GEJ524315:GEJ524316 FUN524315:FUN524316 FKR524315:FKR524316 FAV524315:FAV524316 EQZ524315:EQZ524316 EHD524315:EHD524316 DXH524315:DXH524316 DNL524315:DNL524316 DDP524315:DDP524316 CTT524315:CTT524316 CJX524315:CJX524316 CAB524315:CAB524316 BQF524315:BQF524316 BGJ524315:BGJ524316 AWN524315:AWN524316 AMR524315:AMR524316 ACV524315:ACV524316 SZ524315:SZ524316 JD524315:JD524316 H524315:H524316 WVP458779:WVP458780 WLT458779:WLT458780 WBX458779:WBX458780 VSB458779:VSB458780 VIF458779:VIF458780 UYJ458779:UYJ458780 UON458779:UON458780 UER458779:UER458780 TUV458779:TUV458780 TKZ458779:TKZ458780 TBD458779:TBD458780 SRH458779:SRH458780 SHL458779:SHL458780 RXP458779:RXP458780 RNT458779:RNT458780 RDX458779:RDX458780 QUB458779:QUB458780 QKF458779:QKF458780 QAJ458779:QAJ458780 PQN458779:PQN458780 PGR458779:PGR458780 OWV458779:OWV458780 OMZ458779:OMZ458780 ODD458779:ODD458780 NTH458779:NTH458780 NJL458779:NJL458780 MZP458779:MZP458780 MPT458779:MPT458780 MFX458779:MFX458780 LWB458779:LWB458780 LMF458779:LMF458780 LCJ458779:LCJ458780 KSN458779:KSN458780 KIR458779:KIR458780 JYV458779:JYV458780 JOZ458779:JOZ458780 JFD458779:JFD458780 IVH458779:IVH458780 ILL458779:ILL458780 IBP458779:IBP458780 HRT458779:HRT458780 HHX458779:HHX458780 GYB458779:GYB458780 GOF458779:GOF458780 GEJ458779:GEJ458780 FUN458779:FUN458780 FKR458779:FKR458780 FAV458779:FAV458780 EQZ458779:EQZ458780 EHD458779:EHD458780 DXH458779:DXH458780 DNL458779:DNL458780 DDP458779:DDP458780 CTT458779:CTT458780 CJX458779:CJX458780 CAB458779:CAB458780 BQF458779:BQF458780 BGJ458779:BGJ458780 AWN458779:AWN458780 AMR458779:AMR458780 ACV458779:ACV458780 SZ458779:SZ458780 JD458779:JD458780 H458779:H458780 WVP393243:WVP393244 WLT393243:WLT393244 WBX393243:WBX393244 VSB393243:VSB393244 VIF393243:VIF393244 UYJ393243:UYJ393244 UON393243:UON393244 UER393243:UER393244 TUV393243:TUV393244 TKZ393243:TKZ393244 TBD393243:TBD393244 SRH393243:SRH393244 SHL393243:SHL393244 RXP393243:RXP393244 RNT393243:RNT393244 RDX393243:RDX393244 QUB393243:QUB393244 QKF393243:QKF393244 QAJ393243:QAJ393244 PQN393243:PQN393244 PGR393243:PGR393244 OWV393243:OWV393244 OMZ393243:OMZ393244 ODD393243:ODD393244 NTH393243:NTH393244 NJL393243:NJL393244 MZP393243:MZP393244 MPT393243:MPT393244 MFX393243:MFX393244 LWB393243:LWB393244 LMF393243:LMF393244 LCJ393243:LCJ393244 KSN393243:KSN393244 KIR393243:KIR393244 JYV393243:JYV393244 JOZ393243:JOZ393244 JFD393243:JFD393244 IVH393243:IVH393244 ILL393243:ILL393244 IBP393243:IBP393244 HRT393243:HRT393244 HHX393243:HHX393244 GYB393243:GYB393244 GOF393243:GOF393244 GEJ393243:GEJ393244 FUN393243:FUN393244 FKR393243:FKR393244 FAV393243:FAV393244 EQZ393243:EQZ393244 EHD393243:EHD393244 DXH393243:DXH393244 DNL393243:DNL393244 DDP393243:DDP393244 CTT393243:CTT393244 CJX393243:CJX393244 CAB393243:CAB393244 BQF393243:BQF393244 BGJ393243:BGJ393244 AWN393243:AWN393244 AMR393243:AMR393244 ACV393243:ACV393244 SZ393243:SZ393244 JD393243:JD393244 H393243:H393244 WVP327707:WVP327708 WLT327707:WLT327708 WBX327707:WBX327708 VSB327707:VSB327708 VIF327707:VIF327708 UYJ327707:UYJ327708 UON327707:UON327708 UER327707:UER327708 TUV327707:TUV327708 TKZ327707:TKZ327708 TBD327707:TBD327708 SRH327707:SRH327708 SHL327707:SHL327708 RXP327707:RXP327708 RNT327707:RNT327708 RDX327707:RDX327708 QUB327707:QUB327708 QKF327707:QKF327708 QAJ327707:QAJ327708 PQN327707:PQN327708 PGR327707:PGR327708 OWV327707:OWV327708 OMZ327707:OMZ327708 ODD327707:ODD327708 NTH327707:NTH327708 NJL327707:NJL327708 MZP327707:MZP327708 MPT327707:MPT327708 MFX327707:MFX327708 LWB327707:LWB327708 LMF327707:LMF327708 LCJ327707:LCJ327708 KSN327707:KSN327708 KIR327707:KIR327708 JYV327707:JYV327708 JOZ327707:JOZ327708 JFD327707:JFD327708 IVH327707:IVH327708 ILL327707:ILL327708 IBP327707:IBP327708 HRT327707:HRT327708 HHX327707:HHX327708 GYB327707:GYB327708 GOF327707:GOF327708 GEJ327707:GEJ327708 FUN327707:FUN327708 FKR327707:FKR327708 FAV327707:FAV327708 EQZ327707:EQZ327708 EHD327707:EHD327708 DXH327707:DXH327708 DNL327707:DNL327708 DDP327707:DDP327708 CTT327707:CTT327708 CJX327707:CJX327708 CAB327707:CAB327708 BQF327707:BQF327708 BGJ327707:BGJ327708 AWN327707:AWN327708 AMR327707:AMR327708 ACV327707:ACV327708 SZ327707:SZ327708 JD327707:JD327708 H327707:H327708 WVP262171:WVP262172 WLT262171:WLT262172 WBX262171:WBX262172 VSB262171:VSB262172 VIF262171:VIF262172 UYJ262171:UYJ262172 UON262171:UON262172 UER262171:UER262172 TUV262171:TUV262172 TKZ262171:TKZ262172 TBD262171:TBD262172 SRH262171:SRH262172 SHL262171:SHL262172 RXP262171:RXP262172 RNT262171:RNT262172 RDX262171:RDX262172 QUB262171:QUB262172 QKF262171:QKF262172 QAJ262171:QAJ262172 PQN262171:PQN262172 PGR262171:PGR262172 OWV262171:OWV262172 OMZ262171:OMZ262172 ODD262171:ODD262172 NTH262171:NTH262172 NJL262171:NJL262172 MZP262171:MZP262172 MPT262171:MPT262172 MFX262171:MFX262172 LWB262171:LWB262172 LMF262171:LMF262172 LCJ262171:LCJ262172 KSN262171:KSN262172 KIR262171:KIR262172 JYV262171:JYV262172 JOZ262171:JOZ262172 JFD262171:JFD262172 IVH262171:IVH262172 ILL262171:ILL262172 IBP262171:IBP262172 HRT262171:HRT262172 HHX262171:HHX262172 GYB262171:GYB262172 GOF262171:GOF262172 GEJ262171:GEJ262172 FUN262171:FUN262172 FKR262171:FKR262172 FAV262171:FAV262172 EQZ262171:EQZ262172 EHD262171:EHD262172 DXH262171:DXH262172 DNL262171:DNL262172 DDP262171:DDP262172 CTT262171:CTT262172 CJX262171:CJX262172 CAB262171:CAB262172 BQF262171:BQF262172 BGJ262171:BGJ262172 AWN262171:AWN262172 AMR262171:AMR262172 ACV262171:ACV262172 SZ262171:SZ262172 JD262171:JD262172 H262171:H262172 WVP196635:WVP196636 WLT196635:WLT196636 WBX196635:WBX196636 VSB196635:VSB196636 VIF196635:VIF196636 UYJ196635:UYJ196636 UON196635:UON196636 UER196635:UER196636 TUV196635:TUV196636 TKZ196635:TKZ196636 TBD196635:TBD196636 SRH196635:SRH196636 SHL196635:SHL196636 RXP196635:RXP196636 RNT196635:RNT196636 RDX196635:RDX196636 QUB196635:QUB196636 QKF196635:QKF196636 QAJ196635:QAJ196636 PQN196635:PQN196636 PGR196635:PGR196636 OWV196635:OWV196636 OMZ196635:OMZ196636 ODD196635:ODD196636 NTH196635:NTH196636 NJL196635:NJL196636 MZP196635:MZP196636 MPT196635:MPT196636 MFX196635:MFX196636 LWB196635:LWB196636 LMF196635:LMF196636 LCJ196635:LCJ196636 KSN196635:KSN196636 KIR196635:KIR196636 JYV196635:JYV196636 JOZ196635:JOZ196636 JFD196635:JFD196636 IVH196635:IVH196636 ILL196635:ILL196636 IBP196635:IBP196636 HRT196635:HRT196636 HHX196635:HHX196636 GYB196635:GYB196636 GOF196635:GOF196636 GEJ196635:GEJ196636 FUN196635:FUN196636 FKR196635:FKR196636 FAV196635:FAV196636 EQZ196635:EQZ196636 EHD196635:EHD196636 DXH196635:DXH196636 DNL196635:DNL196636 DDP196635:DDP196636 CTT196635:CTT196636 CJX196635:CJX196636 CAB196635:CAB196636 BQF196635:BQF196636 BGJ196635:BGJ196636 AWN196635:AWN196636 AMR196635:AMR196636 ACV196635:ACV196636 SZ196635:SZ196636 JD196635:JD196636 H196635:H196636 WVP131099:WVP131100 WLT131099:WLT131100 WBX131099:WBX131100 VSB131099:VSB131100 VIF131099:VIF131100 UYJ131099:UYJ131100 UON131099:UON131100 UER131099:UER131100 TUV131099:TUV131100 TKZ131099:TKZ131100 TBD131099:TBD131100 SRH131099:SRH131100 SHL131099:SHL131100 RXP131099:RXP131100 RNT131099:RNT131100 RDX131099:RDX131100 QUB131099:QUB131100 QKF131099:QKF131100 QAJ131099:QAJ131100 PQN131099:PQN131100 PGR131099:PGR131100 OWV131099:OWV131100 OMZ131099:OMZ131100 ODD131099:ODD131100 NTH131099:NTH131100 NJL131099:NJL131100 MZP131099:MZP131100 MPT131099:MPT131100 MFX131099:MFX131100 LWB131099:LWB131100 LMF131099:LMF131100 LCJ131099:LCJ131100 KSN131099:KSN131100 KIR131099:KIR131100 JYV131099:JYV131100 JOZ131099:JOZ131100 JFD131099:JFD131100 IVH131099:IVH131100 ILL131099:ILL131100 IBP131099:IBP131100 HRT131099:HRT131100 HHX131099:HHX131100 GYB131099:GYB131100 GOF131099:GOF131100 GEJ131099:GEJ131100 FUN131099:FUN131100 FKR131099:FKR131100 FAV131099:FAV131100 EQZ131099:EQZ131100 EHD131099:EHD131100 DXH131099:DXH131100 DNL131099:DNL131100 DDP131099:DDP131100 CTT131099:CTT131100 CJX131099:CJX131100 CAB131099:CAB131100 BQF131099:BQF131100 BGJ131099:BGJ131100 AWN131099:AWN131100 AMR131099:AMR131100 ACV131099:ACV131100 SZ131099:SZ131100 JD131099:JD131100 H131099:H131100 WVP65563:WVP65564 WLT65563:WLT65564 WBX65563:WBX65564 VSB65563:VSB65564 VIF65563:VIF65564 UYJ65563:UYJ65564 UON65563:UON65564 UER65563:UER65564 TUV65563:TUV65564 TKZ65563:TKZ65564 TBD65563:TBD65564 SRH65563:SRH65564 SHL65563:SHL65564 RXP65563:RXP65564 RNT65563:RNT65564 RDX65563:RDX65564 QUB65563:QUB65564 QKF65563:QKF65564 QAJ65563:QAJ65564 PQN65563:PQN65564 PGR65563:PGR65564 OWV65563:OWV65564 OMZ65563:OMZ65564 ODD65563:ODD65564 NTH65563:NTH65564 NJL65563:NJL65564 MZP65563:MZP65564 MPT65563:MPT65564 MFX65563:MFX65564 LWB65563:LWB65564 LMF65563:LMF65564 LCJ65563:LCJ65564 KSN65563:KSN65564 KIR65563:KIR65564 JYV65563:JYV65564 JOZ65563:JOZ65564 JFD65563:JFD65564 IVH65563:IVH65564 ILL65563:ILL65564 IBP65563:IBP65564 HRT65563:HRT65564 HHX65563:HHX65564 GYB65563:GYB65564 GOF65563:GOF65564 GEJ65563:GEJ65564 FUN65563:FUN65564 FKR65563:FKR65564 FAV65563:FAV65564 EQZ65563:EQZ65564 EHD65563:EHD65564 DXH65563:DXH65564 DNL65563:DNL65564 DDP65563:DDP65564 CTT65563:CTT65564 CJX65563:CJX65564 CAB65563:CAB65564 BQF65563:BQF65564 BGJ65563:BGJ65564 AWN65563:AWN65564 AMR65563:AMR65564 ACV65563:ACV65564 SZ65563:SZ65564 JD65563:JD65564 H65563:H65564 WVP983063 WLT983063 WBX983063 VSB983063 VIF983063 UYJ983063 UON983063 UER983063 TUV983063 TKZ983063 TBD983063 SRH983063 SHL983063 RXP983063 RNT983063 RDX983063 QUB983063 QKF983063 QAJ983063 PQN983063 PGR983063 OWV983063 OMZ983063 ODD983063 NTH983063 NJL983063 MZP983063 MPT983063 MFX983063 LWB983063 LMF983063 LCJ983063 KSN983063 KIR983063 JYV983063 JOZ983063 JFD983063 IVH983063 ILL983063 IBP983063 HRT983063 HHX983063 GYB983063 GOF983063 GEJ983063 FUN983063 FKR983063 FAV983063 EQZ983063 EHD983063 DXH983063 DNL983063 DDP983063 CTT983063 CJX983063 CAB983063 BQF983063 BGJ983063 AWN983063 AMR983063 ACV983063 SZ983063 JD983063 H983063 WVP917527 WLT917527 WBX917527 VSB917527 VIF917527 UYJ917527 UON917527 UER917527 TUV917527 TKZ917527 TBD917527 SRH917527 SHL917527 RXP917527 RNT917527 RDX917527 QUB917527 QKF917527 QAJ917527 PQN917527 PGR917527 OWV917527 OMZ917527 ODD917527 NTH917527 NJL917527 MZP917527 MPT917527 MFX917527 LWB917527 LMF917527 LCJ917527 KSN917527 KIR917527 JYV917527 JOZ917527 JFD917527 IVH917527 ILL917527 IBP917527 HRT917527 HHX917527 GYB917527 GOF917527 GEJ917527 FUN917527 FKR917527 FAV917527 EQZ917527 EHD917527 DXH917527 DNL917527 DDP917527 CTT917527 CJX917527 CAB917527 BQF917527 BGJ917527 AWN917527 AMR917527 ACV917527 SZ917527 JD917527 H917527 WVP851991 WLT851991 WBX851991 VSB851991 VIF851991 UYJ851991 UON851991 UER851991 TUV851991 TKZ851991 TBD851991 SRH851991 SHL851991 RXP851991 RNT851991 RDX851991 QUB851991 QKF851991 QAJ851991 PQN851991 PGR851991 OWV851991 OMZ851991 ODD851991 NTH851991 NJL851991 MZP851991 MPT851991 MFX851991 LWB851991 LMF851991 LCJ851991 KSN851991 KIR851991 JYV851991 JOZ851991 JFD851991 IVH851991 ILL851991 IBP851991 HRT851991 HHX851991 GYB851991 GOF851991 GEJ851991 FUN851991 FKR851991 FAV851991 EQZ851991 EHD851991 DXH851991 DNL851991 DDP851991 CTT851991 CJX851991 CAB851991 BQF851991 BGJ851991 AWN851991 AMR851991 ACV851991 SZ851991 JD851991 H851991 WVP786455 WLT786455 WBX786455 VSB786455 VIF786455 UYJ786455 UON786455 UER786455 TUV786455 TKZ786455 TBD786455 SRH786455 SHL786455 RXP786455 RNT786455 RDX786455 QUB786455 QKF786455 QAJ786455 PQN786455 PGR786455 OWV786455 OMZ786455 ODD786455 NTH786455 NJL786455 MZP786455 MPT786455 MFX786455 LWB786455 LMF786455 LCJ786455 KSN786455 KIR786455 JYV786455 JOZ786455 JFD786455 IVH786455 ILL786455 IBP786455 HRT786455 HHX786455 GYB786455 GOF786455 GEJ786455 FUN786455 FKR786455 FAV786455 EQZ786455 EHD786455 DXH786455 DNL786455 DDP786455 CTT786455 CJX786455 CAB786455 BQF786455 BGJ786455 AWN786455 AMR786455 ACV786455 SZ786455 JD786455 H786455 WVP720919 WLT720919 WBX720919 VSB720919 VIF720919 UYJ720919 UON720919 UER720919 TUV720919 TKZ720919 TBD720919 SRH720919 SHL720919 RXP720919 RNT720919 RDX720919 QUB720919 QKF720919 QAJ720919 PQN720919 PGR720919 OWV720919 OMZ720919 ODD720919 NTH720919 NJL720919 MZP720919 MPT720919 MFX720919 LWB720919 LMF720919 LCJ720919 KSN720919 KIR720919 JYV720919 JOZ720919 JFD720919 IVH720919 ILL720919 IBP720919 HRT720919 HHX720919 GYB720919 GOF720919 GEJ720919 FUN720919 FKR720919 FAV720919 EQZ720919 EHD720919 DXH720919 DNL720919 DDP720919 CTT720919 CJX720919 CAB720919 BQF720919 BGJ720919 AWN720919 AMR720919 ACV720919 SZ720919 JD720919 H720919 WVP655383 WLT655383 WBX655383 VSB655383 VIF655383 UYJ655383 UON655383 UER655383 TUV655383 TKZ655383 TBD655383 SRH655383 SHL655383 RXP655383 RNT655383 RDX655383 QUB655383 QKF655383 QAJ655383 PQN655383 PGR655383 OWV655383 OMZ655383 ODD655383 NTH655383 NJL655383 MZP655383 MPT655383 MFX655383 LWB655383 LMF655383 LCJ655383 KSN655383 KIR655383 JYV655383 JOZ655383 JFD655383 IVH655383 ILL655383 IBP655383 HRT655383 HHX655383 GYB655383 GOF655383 GEJ655383 FUN655383 FKR655383 FAV655383 EQZ655383 EHD655383 DXH655383 DNL655383 DDP655383 CTT655383 CJX655383 CAB655383 BQF655383 BGJ655383 AWN655383 AMR655383 ACV655383 SZ655383 JD655383 H655383 WVP589847 WLT589847 WBX589847 VSB589847 VIF589847 UYJ589847 UON589847 UER589847 TUV589847 TKZ589847 TBD589847 SRH589847 SHL589847 RXP589847 RNT589847 RDX589847 QUB589847 QKF589847 QAJ589847 PQN589847 PGR589847 OWV589847 OMZ589847 ODD589847 NTH589847 NJL589847 MZP589847 MPT589847 MFX589847 LWB589847 LMF589847 LCJ589847 KSN589847 KIR589847 JYV589847 JOZ589847 JFD589847 IVH589847 ILL589847 IBP589847 HRT589847 HHX589847 GYB589847 GOF589847 GEJ589847 FUN589847 FKR589847 FAV589847 EQZ589847 EHD589847 DXH589847 DNL589847 DDP589847 CTT589847 CJX589847 CAB589847 BQF589847 BGJ589847 AWN589847 AMR589847 ACV589847 SZ589847 JD589847 H589847 WVP524311 WLT524311 WBX524311 VSB524311 VIF524311 UYJ524311 UON524311 UER524311 TUV524311 TKZ524311 TBD524311 SRH524311 SHL524311 RXP524311 RNT524311 RDX524311 QUB524311 QKF524311 QAJ524311 PQN524311 PGR524311 OWV524311 OMZ524311 ODD524311 NTH524311 NJL524311 MZP524311 MPT524311 MFX524311 LWB524311 LMF524311 LCJ524311 KSN524311 KIR524311 JYV524311 JOZ524311 JFD524311 IVH524311 ILL524311 IBP524311 HRT524311 HHX524311 GYB524311 GOF524311 GEJ524311 FUN524311 FKR524311 FAV524311 EQZ524311 EHD524311 DXH524311 DNL524311 DDP524311 CTT524311 CJX524311 CAB524311 BQF524311 BGJ524311 AWN524311 AMR524311 ACV524311 SZ524311 JD524311 H524311 WVP458775 WLT458775 WBX458775 VSB458775 VIF458775 UYJ458775 UON458775 UER458775 TUV458775 TKZ458775 TBD458775 SRH458775 SHL458775 RXP458775 RNT458775 RDX458775 QUB458775 QKF458775 QAJ458775 PQN458775 PGR458775 OWV458775 OMZ458775 ODD458775 NTH458775 NJL458775 MZP458775 MPT458775 MFX458775 LWB458775 LMF458775 LCJ458775 KSN458775 KIR458775 JYV458775 JOZ458775 JFD458775 IVH458775 ILL458775 IBP458775 HRT458775 HHX458775 GYB458775 GOF458775 GEJ458775 FUN458775 FKR458775 FAV458775 EQZ458775 EHD458775 DXH458775 DNL458775 DDP458775 CTT458775 CJX458775 CAB458775 BQF458775 BGJ458775 AWN458775 AMR458775 ACV458775 SZ458775 JD458775 H458775 WVP393239 WLT393239 WBX393239 VSB393239 VIF393239 UYJ393239 UON393239 UER393239 TUV393239 TKZ393239 TBD393239 SRH393239 SHL393239 RXP393239 RNT393239 RDX393239 QUB393239 QKF393239 QAJ393239 PQN393239 PGR393239 OWV393239 OMZ393239 ODD393239 NTH393239 NJL393239 MZP393239 MPT393239 MFX393239 LWB393239 LMF393239 LCJ393239 KSN393239 KIR393239 JYV393239 JOZ393239 JFD393239 IVH393239 ILL393239 IBP393239 HRT393239 HHX393239 GYB393239 GOF393239 GEJ393239 FUN393239 FKR393239 FAV393239 EQZ393239 EHD393239 DXH393239 DNL393239 DDP393239 CTT393239 CJX393239 CAB393239 BQF393239 BGJ393239 AWN393239 AMR393239 ACV393239 SZ393239 JD393239 H393239 WVP327703 WLT327703 WBX327703 VSB327703 VIF327703 UYJ327703 UON327703 UER327703 TUV327703 TKZ327703 TBD327703 SRH327703 SHL327703 RXP327703 RNT327703 RDX327703 QUB327703 QKF327703 QAJ327703 PQN327703 PGR327703 OWV327703 OMZ327703 ODD327703 NTH327703 NJL327703 MZP327703 MPT327703 MFX327703 LWB327703 LMF327703 LCJ327703 KSN327703 KIR327703 JYV327703 JOZ327703 JFD327703 IVH327703 ILL327703 IBP327703 HRT327703 HHX327703 GYB327703 GOF327703 GEJ327703 FUN327703 FKR327703 FAV327703 EQZ327703 EHD327703 DXH327703 DNL327703 DDP327703 CTT327703 CJX327703 CAB327703 BQF327703 BGJ327703 AWN327703 AMR327703 ACV327703 SZ327703 JD327703 H327703 WVP262167 WLT262167 WBX262167 VSB262167 VIF262167 UYJ262167 UON262167 UER262167 TUV262167 TKZ262167 TBD262167 SRH262167 SHL262167 RXP262167 RNT262167 RDX262167 QUB262167 QKF262167 QAJ262167 PQN262167 PGR262167 OWV262167 OMZ262167 ODD262167 NTH262167 NJL262167 MZP262167 MPT262167 MFX262167 LWB262167 LMF262167 LCJ262167 KSN262167 KIR262167 JYV262167 JOZ262167 JFD262167 IVH262167 ILL262167 IBP262167 HRT262167 HHX262167 GYB262167 GOF262167 GEJ262167 FUN262167 FKR262167 FAV262167 EQZ262167 EHD262167 DXH262167 DNL262167 DDP262167 CTT262167 CJX262167 CAB262167 BQF262167 BGJ262167 AWN262167 AMR262167 ACV262167 SZ262167 JD262167 H262167 WVP196631 WLT196631 WBX196631 VSB196631 VIF196631 UYJ196631 UON196631 UER196631 TUV196631 TKZ196631 TBD196631 SRH196631 SHL196631 RXP196631 RNT196631 RDX196631 QUB196631 QKF196631 QAJ196631 PQN196631 PGR196631 OWV196631 OMZ196631 ODD196631 NTH196631 NJL196631 MZP196631 MPT196631 MFX196631 LWB196631 LMF196631 LCJ196631 KSN196631 KIR196631 JYV196631 JOZ196631 JFD196631 IVH196631 ILL196631 IBP196631 HRT196631 HHX196631 GYB196631 GOF196631 GEJ196631 FUN196631 FKR196631 FAV196631 EQZ196631 EHD196631 DXH196631 DNL196631 DDP196631 CTT196631 CJX196631 CAB196631 BQF196631 BGJ196631 AWN196631 AMR196631 ACV196631 SZ196631 JD196631 H196631 WVP131095 WLT131095 WBX131095 VSB131095 VIF131095 UYJ131095 UON131095 UER131095 TUV131095 TKZ131095 TBD131095 SRH131095 SHL131095 RXP131095 RNT131095 RDX131095 QUB131095 QKF131095 QAJ131095 PQN131095 PGR131095 OWV131095 OMZ131095 ODD131095 NTH131095 NJL131095 MZP131095 MPT131095 MFX131095 LWB131095 LMF131095 LCJ131095 KSN131095 KIR131095 JYV131095 JOZ131095 JFD131095 IVH131095 ILL131095 IBP131095 HRT131095 HHX131095 GYB131095 GOF131095 GEJ131095 FUN131095 FKR131095 FAV131095 EQZ131095 EHD131095 DXH131095 DNL131095 DDP131095 CTT131095 CJX131095 CAB131095 BQF131095 BGJ131095 AWN131095 AMR131095 ACV131095 SZ131095 JD131095 H131095 WVP65559 WLT65559 WBX65559 VSB65559 VIF65559 UYJ65559 UON65559 UER65559 TUV65559 TKZ65559 TBD65559 SRH65559 SHL65559 RXP65559 RNT65559 RDX65559 QUB65559 QKF65559 QAJ65559 PQN65559 PGR65559 OWV65559 OMZ65559 ODD65559 NTH65559 NJL65559 MZP65559 MPT65559 MFX65559 LWB65559 LMF65559 LCJ65559 KSN65559 KIR65559 JYV65559 JOZ65559 JFD65559 IVH65559 ILL65559 IBP65559 HRT65559 HHX65559 GYB65559 GOF65559 GEJ65559 FUN65559 FKR65559 FAV65559 EQZ65559 EHD65559 DXH65559 DNL65559 DDP65559 CTT65559 CJX65559 CAB65559 BQF65559 BGJ65559 AWN65559 AMR65559 ACV65559 SZ65559 JD65559 H65559 WVP23 WLT23 WBX23 VSB23 VIF23 UYJ23 UON23 UER23 TUV23 TKZ23 TBD23 SRH23 SHL23 RXP23 RNT23 RDX23 QUB23 QKF23 QAJ23 PQN23 PGR23 OWV23 OMZ23 ODD23 NTH23 NJL23 MZP23 MPT23 MFX23 LWB23 LMF23 LCJ23 KSN23 KIR23 JYV23 JOZ23 JFD23 IVH23 ILL23 IBP23 HRT23 HHX23 GYB23 GOF23 GEJ23 FUN23 FKR23 FAV23 EQZ23 EHD23 DXH23 DNL23 DDP23 CTT23 CJX23 CAB23 BQF23 BGJ23 AWN23 AMR23 ACV23 SZ23 JD23 H25">
      <formula1>"1,2,3,4,5,6"</formula1>
    </dataValidation>
    <dataValidation type="list" allowBlank="1" showInputMessage="1" showErrorMessage="1" sqref="H11">
      <formula1>"6.3"</formula1>
    </dataValidation>
    <dataValidation type="list" allowBlank="1" showInputMessage="1" showErrorMessage="1" sqref="L42 WVT983082 WLX983082 WCB983082 VSF983082 VIJ983082 UYN983082 UOR983082 UEV983082 TUZ983082 TLD983082 TBH983082 SRL983082 SHP983082 RXT983082 RNX983082 REB983082 QUF983082 QKJ983082 QAN983082 PQR983082 PGV983082 OWZ983082 OND983082 ODH983082 NTL983082 NJP983082 MZT983082 MPX983082 MGB983082 LWF983082 LMJ983082 LCN983082 KSR983082 KIV983082 JYZ983082 JPD983082 JFH983082 IVL983082 ILP983082 IBT983082 HRX983082 HIB983082 GYF983082 GOJ983082 GEN983082 FUR983082 FKV983082 FAZ983082 ERD983082 EHH983082 DXL983082 DNP983082 DDT983082 CTX983082 CKB983082 CAF983082 BQJ983082 BGN983082 AWR983082 AMV983082 ACZ983082 TD983082 JH983082 L983082 WVT917546 WLX917546 WCB917546 VSF917546 VIJ917546 UYN917546 UOR917546 UEV917546 TUZ917546 TLD917546 TBH917546 SRL917546 SHP917546 RXT917546 RNX917546 REB917546 QUF917546 QKJ917546 QAN917546 PQR917546 PGV917546 OWZ917546 OND917546 ODH917546 NTL917546 NJP917546 MZT917546 MPX917546 MGB917546 LWF917546 LMJ917546 LCN917546 KSR917546 KIV917546 JYZ917546 JPD917546 JFH917546 IVL917546 ILP917546 IBT917546 HRX917546 HIB917546 GYF917546 GOJ917546 GEN917546 FUR917546 FKV917546 FAZ917546 ERD917546 EHH917546 DXL917546 DNP917546 DDT917546 CTX917546 CKB917546 CAF917546 BQJ917546 BGN917546 AWR917546 AMV917546 ACZ917546 TD917546 JH917546 L917546 WVT852010 WLX852010 WCB852010 VSF852010 VIJ852010 UYN852010 UOR852010 UEV852010 TUZ852010 TLD852010 TBH852010 SRL852010 SHP852010 RXT852010 RNX852010 REB852010 QUF852010 QKJ852010 QAN852010 PQR852010 PGV852010 OWZ852010 OND852010 ODH852010 NTL852010 NJP852010 MZT852010 MPX852010 MGB852010 LWF852010 LMJ852010 LCN852010 KSR852010 KIV852010 JYZ852010 JPD852010 JFH852010 IVL852010 ILP852010 IBT852010 HRX852010 HIB852010 GYF852010 GOJ852010 GEN852010 FUR852010 FKV852010 FAZ852010 ERD852010 EHH852010 DXL852010 DNP852010 DDT852010 CTX852010 CKB852010 CAF852010 BQJ852010 BGN852010 AWR852010 AMV852010 ACZ852010 TD852010 JH852010 L852010 WVT786474 WLX786474 WCB786474 VSF786474 VIJ786474 UYN786474 UOR786474 UEV786474 TUZ786474 TLD786474 TBH786474 SRL786474 SHP786474 RXT786474 RNX786474 REB786474 QUF786474 QKJ786474 QAN786474 PQR786474 PGV786474 OWZ786474 OND786474 ODH786474 NTL786474 NJP786474 MZT786474 MPX786474 MGB786474 LWF786474 LMJ786474 LCN786474 KSR786474 KIV786474 JYZ786474 JPD786474 JFH786474 IVL786474 ILP786474 IBT786474 HRX786474 HIB786474 GYF786474 GOJ786474 GEN786474 FUR786474 FKV786474 FAZ786474 ERD786474 EHH786474 DXL786474 DNP786474 DDT786474 CTX786474 CKB786474 CAF786474 BQJ786474 BGN786474 AWR786474 AMV786474 ACZ786474 TD786474 JH786474 L786474 WVT720938 WLX720938 WCB720938 VSF720938 VIJ720938 UYN720938 UOR720938 UEV720938 TUZ720938 TLD720938 TBH720938 SRL720938 SHP720938 RXT720938 RNX720938 REB720938 QUF720938 QKJ720938 QAN720938 PQR720938 PGV720938 OWZ720938 OND720938 ODH720938 NTL720938 NJP720938 MZT720938 MPX720938 MGB720938 LWF720938 LMJ720938 LCN720938 KSR720938 KIV720938 JYZ720938 JPD720938 JFH720938 IVL720938 ILP720938 IBT720938 HRX720938 HIB720938 GYF720938 GOJ720938 GEN720938 FUR720938 FKV720938 FAZ720938 ERD720938 EHH720938 DXL720938 DNP720938 DDT720938 CTX720938 CKB720938 CAF720938 BQJ720938 BGN720938 AWR720938 AMV720938 ACZ720938 TD720938 JH720938 L720938 WVT655402 WLX655402 WCB655402 VSF655402 VIJ655402 UYN655402 UOR655402 UEV655402 TUZ655402 TLD655402 TBH655402 SRL655402 SHP655402 RXT655402 RNX655402 REB655402 QUF655402 QKJ655402 QAN655402 PQR655402 PGV655402 OWZ655402 OND655402 ODH655402 NTL655402 NJP655402 MZT655402 MPX655402 MGB655402 LWF655402 LMJ655402 LCN655402 KSR655402 KIV655402 JYZ655402 JPD655402 JFH655402 IVL655402 ILP655402 IBT655402 HRX655402 HIB655402 GYF655402 GOJ655402 GEN655402 FUR655402 FKV655402 FAZ655402 ERD655402 EHH655402 DXL655402 DNP655402 DDT655402 CTX655402 CKB655402 CAF655402 BQJ655402 BGN655402 AWR655402 AMV655402 ACZ655402 TD655402 JH655402 L655402 WVT589866 WLX589866 WCB589866 VSF589866 VIJ589866 UYN589866 UOR589866 UEV589866 TUZ589866 TLD589866 TBH589866 SRL589866 SHP589866 RXT589866 RNX589866 REB589866 QUF589866 QKJ589866 QAN589866 PQR589866 PGV589866 OWZ589866 OND589866 ODH589866 NTL589866 NJP589866 MZT589866 MPX589866 MGB589866 LWF589866 LMJ589866 LCN589866 KSR589866 KIV589866 JYZ589866 JPD589866 JFH589866 IVL589866 ILP589866 IBT589866 HRX589866 HIB589866 GYF589866 GOJ589866 GEN589866 FUR589866 FKV589866 FAZ589866 ERD589866 EHH589866 DXL589866 DNP589866 DDT589866 CTX589866 CKB589866 CAF589866 BQJ589866 BGN589866 AWR589866 AMV589866 ACZ589866 TD589866 JH589866 L589866 WVT524330 WLX524330 WCB524330 VSF524330 VIJ524330 UYN524330 UOR524330 UEV524330 TUZ524330 TLD524330 TBH524330 SRL524330 SHP524330 RXT524330 RNX524330 REB524330 QUF524330 QKJ524330 QAN524330 PQR524330 PGV524330 OWZ524330 OND524330 ODH524330 NTL524330 NJP524330 MZT524330 MPX524330 MGB524330 LWF524330 LMJ524330 LCN524330 KSR524330 KIV524330 JYZ524330 JPD524330 JFH524330 IVL524330 ILP524330 IBT524330 HRX524330 HIB524330 GYF524330 GOJ524330 GEN524330 FUR524330 FKV524330 FAZ524330 ERD524330 EHH524330 DXL524330 DNP524330 DDT524330 CTX524330 CKB524330 CAF524330 BQJ524330 BGN524330 AWR524330 AMV524330 ACZ524330 TD524330 JH524330 L524330 WVT458794 WLX458794 WCB458794 VSF458794 VIJ458794 UYN458794 UOR458794 UEV458794 TUZ458794 TLD458794 TBH458794 SRL458794 SHP458794 RXT458794 RNX458794 REB458794 QUF458794 QKJ458794 QAN458794 PQR458794 PGV458794 OWZ458794 OND458794 ODH458794 NTL458794 NJP458794 MZT458794 MPX458794 MGB458794 LWF458794 LMJ458794 LCN458794 KSR458794 KIV458794 JYZ458794 JPD458794 JFH458794 IVL458794 ILP458794 IBT458794 HRX458794 HIB458794 GYF458794 GOJ458794 GEN458794 FUR458794 FKV458794 FAZ458794 ERD458794 EHH458794 DXL458794 DNP458794 DDT458794 CTX458794 CKB458794 CAF458794 BQJ458794 BGN458794 AWR458794 AMV458794 ACZ458794 TD458794 JH458794 L458794 WVT393258 WLX393258 WCB393258 VSF393258 VIJ393258 UYN393258 UOR393258 UEV393258 TUZ393258 TLD393258 TBH393258 SRL393258 SHP393258 RXT393258 RNX393258 REB393258 QUF393258 QKJ393258 QAN393258 PQR393258 PGV393258 OWZ393258 OND393258 ODH393258 NTL393258 NJP393258 MZT393258 MPX393258 MGB393258 LWF393258 LMJ393258 LCN393258 KSR393258 KIV393258 JYZ393258 JPD393258 JFH393258 IVL393258 ILP393258 IBT393258 HRX393258 HIB393258 GYF393258 GOJ393258 GEN393258 FUR393258 FKV393258 FAZ393258 ERD393258 EHH393258 DXL393258 DNP393258 DDT393258 CTX393258 CKB393258 CAF393258 BQJ393258 BGN393258 AWR393258 AMV393258 ACZ393258 TD393258 JH393258 L393258 WVT327722 WLX327722 WCB327722 VSF327722 VIJ327722 UYN327722 UOR327722 UEV327722 TUZ327722 TLD327722 TBH327722 SRL327722 SHP327722 RXT327722 RNX327722 REB327722 QUF327722 QKJ327722 QAN327722 PQR327722 PGV327722 OWZ327722 OND327722 ODH327722 NTL327722 NJP327722 MZT327722 MPX327722 MGB327722 LWF327722 LMJ327722 LCN327722 KSR327722 KIV327722 JYZ327722 JPD327722 JFH327722 IVL327722 ILP327722 IBT327722 HRX327722 HIB327722 GYF327722 GOJ327722 GEN327722 FUR327722 FKV327722 FAZ327722 ERD327722 EHH327722 DXL327722 DNP327722 DDT327722 CTX327722 CKB327722 CAF327722 BQJ327722 BGN327722 AWR327722 AMV327722 ACZ327722 TD327722 JH327722 L327722 WVT262186 WLX262186 WCB262186 VSF262186 VIJ262186 UYN262186 UOR262186 UEV262186 TUZ262186 TLD262186 TBH262186 SRL262186 SHP262186 RXT262186 RNX262186 REB262186 QUF262186 QKJ262186 QAN262186 PQR262186 PGV262186 OWZ262186 OND262186 ODH262186 NTL262186 NJP262186 MZT262186 MPX262186 MGB262186 LWF262186 LMJ262186 LCN262186 KSR262186 KIV262186 JYZ262186 JPD262186 JFH262186 IVL262186 ILP262186 IBT262186 HRX262186 HIB262186 GYF262186 GOJ262186 GEN262186 FUR262186 FKV262186 FAZ262186 ERD262186 EHH262186 DXL262186 DNP262186 DDT262186 CTX262186 CKB262186 CAF262186 BQJ262186 BGN262186 AWR262186 AMV262186 ACZ262186 TD262186 JH262186 L262186 WVT196650 WLX196650 WCB196650 VSF196650 VIJ196650 UYN196650 UOR196650 UEV196650 TUZ196650 TLD196650 TBH196650 SRL196650 SHP196650 RXT196650 RNX196650 REB196650 QUF196650 QKJ196650 QAN196650 PQR196650 PGV196650 OWZ196650 OND196650 ODH196650 NTL196650 NJP196650 MZT196650 MPX196650 MGB196650 LWF196650 LMJ196650 LCN196650 KSR196650 KIV196650 JYZ196650 JPD196650 JFH196650 IVL196650 ILP196650 IBT196650 HRX196650 HIB196650 GYF196650 GOJ196650 GEN196650 FUR196650 FKV196650 FAZ196650 ERD196650 EHH196650 DXL196650 DNP196650 DDT196650 CTX196650 CKB196650 CAF196650 BQJ196650 BGN196650 AWR196650 AMV196650 ACZ196650 TD196650 JH196650 L196650 WVT131114 WLX131114 WCB131114 VSF131114 VIJ131114 UYN131114 UOR131114 UEV131114 TUZ131114 TLD131114 TBH131114 SRL131114 SHP131114 RXT131114 RNX131114 REB131114 QUF131114 QKJ131114 QAN131114 PQR131114 PGV131114 OWZ131114 OND131114 ODH131114 NTL131114 NJP131114 MZT131114 MPX131114 MGB131114 LWF131114 LMJ131114 LCN131114 KSR131114 KIV131114 JYZ131114 JPD131114 JFH131114 IVL131114 ILP131114 IBT131114 HRX131114 HIB131114 GYF131114 GOJ131114 GEN131114 FUR131114 FKV131114 FAZ131114 ERD131114 EHH131114 DXL131114 DNP131114 DDT131114 CTX131114 CKB131114 CAF131114 BQJ131114 BGN131114 AWR131114 AMV131114 ACZ131114 TD131114 JH131114 L131114 WVT65578 WLX65578 WCB65578 VSF65578 VIJ65578 UYN65578 UOR65578 UEV65578 TUZ65578 TLD65578 TBH65578 SRL65578 SHP65578 RXT65578 RNX65578 REB65578 QUF65578 QKJ65578 QAN65578 PQR65578 PGV65578 OWZ65578 OND65578 ODH65578 NTL65578 NJP65578 MZT65578 MPX65578 MGB65578 LWF65578 LMJ65578 LCN65578 KSR65578 KIV65578 JYZ65578 JPD65578 JFH65578 IVL65578 ILP65578 IBT65578 HRX65578 HIB65578 GYF65578 GOJ65578 GEN65578 FUR65578 FKV65578 FAZ65578 ERD65578 EHH65578 DXL65578 DNP65578 DDT65578 CTX65578 CKB65578 CAF65578 BQJ65578 BGN65578 AWR65578 AMV65578 ACZ65578 TD65578 JH65578 L65578 WVT42 WLX42 WCB42 VSF42 VIJ42 UYN42 UOR42 UEV42 TUZ42 TLD42 TBH42 SRL42 SHP42 RXT42 RNX42 REB42 QUF42 QKJ42 QAN42 PQR42 PGV42 OWZ42 OND42 ODH42 NTL42 NJP42 MZT42 MPX42 MGB42 LWF42 LMJ42 LCN42 KSR42 KIV42 JYZ42 JPD42 JFH42 IVL42 ILP42 IBT42 HRX42 HIB42 GYF42 GOJ42 GEN42 FUR42 FKV42 FAZ42 ERD42 EHH42 DXL42 DNP42 DDT42 CTX42 CKB42 CAF42 BQJ42 BGN42 AWR42 AMV42 ACZ42 TD42 JH42">
      <formula1>"Target, Lab Min"</formula1>
    </dataValidation>
    <dataValidation type="list" allowBlank="1" showInputMessage="1" showErrorMessage="1" sqref="JD44:JD46 JD52:JD63 WVP983084:WVP983103 WLT983084:WLT983103 WBX983084:WBX983103 VSB983084:VSB983103 VIF983084:VIF983103 UYJ983084:UYJ983103 UON983084:UON983103 UER983084:UER983103 TUV983084:TUV983103 TKZ983084:TKZ983103 TBD983084:TBD983103 SRH983084:SRH983103 SHL983084:SHL983103 RXP983084:RXP983103 RNT983084:RNT983103 RDX983084:RDX983103 QUB983084:QUB983103 QKF983084:QKF983103 QAJ983084:QAJ983103 PQN983084:PQN983103 PGR983084:PGR983103 OWV983084:OWV983103 OMZ983084:OMZ983103 ODD983084:ODD983103 NTH983084:NTH983103 NJL983084:NJL983103 MZP983084:MZP983103 MPT983084:MPT983103 MFX983084:MFX983103 LWB983084:LWB983103 LMF983084:LMF983103 LCJ983084:LCJ983103 KSN983084:KSN983103 KIR983084:KIR983103 JYV983084:JYV983103 JOZ983084:JOZ983103 JFD983084:JFD983103 IVH983084:IVH983103 ILL983084:ILL983103 IBP983084:IBP983103 HRT983084:HRT983103 HHX983084:HHX983103 GYB983084:GYB983103 GOF983084:GOF983103 GEJ983084:GEJ983103 FUN983084:FUN983103 FKR983084:FKR983103 FAV983084:FAV983103 EQZ983084:EQZ983103 EHD983084:EHD983103 DXH983084:DXH983103 DNL983084:DNL983103 DDP983084:DDP983103 CTT983084:CTT983103 CJX983084:CJX983103 CAB983084:CAB983103 BQF983084:BQF983103 BGJ983084:BGJ983103 AWN983084:AWN983103 AMR983084:AMR983103 ACV983084:ACV983103 SZ983084:SZ983103 JD983084:JD983103 H983084:H983103 WVP917548:WVP917567 WLT917548:WLT917567 WBX917548:WBX917567 VSB917548:VSB917567 VIF917548:VIF917567 UYJ917548:UYJ917567 UON917548:UON917567 UER917548:UER917567 TUV917548:TUV917567 TKZ917548:TKZ917567 TBD917548:TBD917567 SRH917548:SRH917567 SHL917548:SHL917567 RXP917548:RXP917567 RNT917548:RNT917567 RDX917548:RDX917567 QUB917548:QUB917567 QKF917548:QKF917567 QAJ917548:QAJ917567 PQN917548:PQN917567 PGR917548:PGR917567 OWV917548:OWV917567 OMZ917548:OMZ917567 ODD917548:ODD917567 NTH917548:NTH917567 NJL917548:NJL917567 MZP917548:MZP917567 MPT917548:MPT917567 MFX917548:MFX917567 LWB917548:LWB917567 LMF917548:LMF917567 LCJ917548:LCJ917567 KSN917548:KSN917567 KIR917548:KIR917567 JYV917548:JYV917567 JOZ917548:JOZ917567 JFD917548:JFD917567 IVH917548:IVH917567 ILL917548:ILL917567 IBP917548:IBP917567 HRT917548:HRT917567 HHX917548:HHX917567 GYB917548:GYB917567 GOF917548:GOF917567 GEJ917548:GEJ917567 FUN917548:FUN917567 FKR917548:FKR917567 FAV917548:FAV917567 EQZ917548:EQZ917567 EHD917548:EHD917567 DXH917548:DXH917567 DNL917548:DNL917567 DDP917548:DDP917567 CTT917548:CTT917567 CJX917548:CJX917567 CAB917548:CAB917567 BQF917548:BQF917567 BGJ917548:BGJ917567 AWN917548:AWN917567 AMR917548:AMR917567 ACV917548:ACV917567 SZ917548:SZ917567 JD917548:JD917567 H917548:H917567 WVP852012:WVP852031 WLT852012:WLT852031 WBX852012:WBX852031 VSB852012:VSB852031 VIF852012:VIF852031 UYJ852012:UYJ852031 UON852012:UON852031 UER852012:UER852031 TUV852012:TUV852031 TKZ852012:TKZ852031 TBD852012:TBD852031 SRH852012:SRH852031 SHL852012:SHL852031 RXP852012:RXP852031 RNT852012:RNT852031 RDX852012:RDX852031 QUB852012:QUB852031 QKF852012:QKF852031 QAJ852012:QAJ852031 PQN852012:PQN852031 PGR852012:PGR852031 OWV852012:OWV852031 OMZ852012:OMZ852031 ODD852012:ODD852031 NTH852012:NTH852031 NJL852012:NJL852031 MZP852012:MZP852031 MPT852012:MPT852031 MFX852012:MFX852031 LWB852012:LWB852031 LMF852012:LMF852031 LCJ852012:LCJ852031 KSN852012:KSN852031 KIR852012:KIR852031 JYV852012:JYV852031 JOZ852012:JOZ852031 JFD852012:JFD852031 IVH852012:IVH852031 ILL852012:ILL852031 IBP852012:IBP852031 HRT852012:HRT852031 HHX852012:HHX852031 GYB852012:GYB852031 GOF852012:GOF852031 GEJ852012:GEJ852031 FUN852012:FUN852031 FKR852012:FKR852031 FAV852012:FAV852031 EQZ852012:EQZ852031 EHD852012:EHD852031 DXH852012:DXH852031 DNL852012:DNL852031 DDP852012:DDP852031 CTT852012:CTT852031 CJX852012:CJX852031 CAB852012:CAB852031 BQF852012:BQF852031 BGJ852012:BGJ852031 AWN852012:AWN852031 AMR852012:AMR852031 ACV852012:ACV852031 SZ852012:SZ852031 JD852012:JD852031 H852012:H852031 WVP786476:WVP786495 WLT786476:WLT786495 WBX786476:WBX786495 VSB786476:VSB786495 VIF786476:VIF786495 UYJ786476:UYJ786495 UON786476:UON786495 UER786476:UER786495 TUV786476:TUV786495 TKZ786476:TKZ786495 TBD786476:TBD786495 SRH786476:SRH786495 SHL786476:SHL786495 RXP786476:RXP786495 RNT786476:RNT786495 RDX786476:RDX786495 QUB786476:QUB786495 QKF786476:QKF786495 QAJ786476:QAJ786495 PQN786476:PQN786495 PGR786476:PGR786495 OWV786476:OWV786495 OMZ786476:OMZ786495 ODD786476:ODD786495 NTH786476:NTH786495 NJL786476:NJL786495 MZP786476:MZP786495 MPT786476:MPT786495 MFX786476:MFX786495 LWB786476:LWB786495 LMF786476:LMF786495 LCJ786476:LCJ786495 KSN786476:KSN786495 KIR786476:KIR786495 JYV786476:JYV786495 JOZ786476:JOZ786495 JFD786476:JFD786495 IVH786476:IVH786495 ILL786476:ILL786495 IBP786476:IBP786495 HRT786476:HRT786495 HHX786476:HHX786495 GYB786476:GYB786495 GOF786476:GOF786495 GEJ786476:GEJ786495 FUN786476:FUN786495 FKR786476:FKR786495 FAV786476:FAV786495 EQZ786476:EQZ786495 EHD786476:EHD786495 DXH786476:DXH786495 DNL786476:DNL786495 DDP786476:DDP786495 CTT786476:CTT786495 CJX786476:CJX786495 CAB786476:CAB786495 BQF786476:BQF786495 BGJ786476:BGJ786495 AWN786476:AWN786495 AMR786476:AMR786495 ACV786476:ACV786495 SZ786476:SZ786495 JD786476:JD786495 H786476:H786495 WVP720940:WVP720959 WLT720940:WLT720959 WBX720940:WBX720959 VSB720940:VSB720959 VIF720940:VIF720959 UYJ720940:UYJ720959 UON720940:UON720959 UER720940:UER720959 TUV720940:TUV720959 TKZ720940:TKZ720959 TBD720940:TBD720959 SRH720940:SRH720959 SHL720940:SHL720959 RXP720940:RXP720959 RNT720940:RNT720959 RDX720940:RDX720959 QUB720940:QUB720959 QKF720940:QKF720959 QAJ720940:QAJ720959 PQN720940:PQN720959 PGR720940:PGR720959 OWV720940:OWV720959 OMZ720940:OMZ720959 ODD720940:ODD720959 NTH720940:NTH720959 NJL720940:NJL720959 MZP720940:MZP720959 MPT720940:MPT720959 MFX720940:MFX720959 LWB720940:LWB720959 LMF720940:LMF720959 LCJ720940:LCJ720959 KSN720940:KSN720959 KIR720940:KIR720959 JYV720940:JYV720959 JOZ720940:JOZ720959 JFD720940:JFD720959 IVH720940:IVH720959 ILL720940:ILL720959 IBP720940:IBP720959 HRT720940:HRT720959 HHX720940:HHX720959 GYB720940:GYB720959 GOF720940:GOF720959 GEJ720940:GEJ720959 FUN720940:FUN720959 FKR720940:FKR720959 FAV720940:FAV720959 EQZ720940:EQZ720959 EHD720940:EHD720959 DXH720940:DXH720959 DNL720940:DNL720959 DDP720940:DDP720959 CTT720940:CTT720959 CJX720940:CJX720959 CAB720940:CAB720959 BQF720940:BQF720959 BGJ720940:BGJ720959 AWN720940:AWN720959 AMR720940:AMR720959 ACV720940:ACV720959 SZ720940:SZ720959 JD720940:JD720959 H720940:H720959 WVP655404:WVP655423 WLT655404:WLT655423 WBX655404:WBX655423 VSB655404:VSB655423 VIF655404:VIF655423 UYJ655404:UYJ655423 UON655404:UON655423 UER655404:UER655423 TUV655404:TUV655423 TKZ655404:TKZ655423 TBD655404:TBD655423 SRH655404:SRH655423 SHL655404:SHL655423 RXP655404:RXP655423 RNT655404:RNT655423 RDX655404:RDX655423 QUB655404:QUB655423 QKF655404:QKF655423 QAJ655404:QAJ655423 PQN655404:PQN655423 PGR655404:PGR655423 OWV655404:OWV655423 OMZ655404:OMZ655423 ODD655404:ODD655423 NTH655404:NTH655423 NJL655404:NJL655423 MZP655404:MZP655423 MPT655404:MPT655423 MFX655404:MFX655423 LWB655404:LWB655423 LMF655404:LMF655423 LCJ655404:LCJ655423 KSN655404:KSN655423 KIR655404:KIR655423 JYV655404:JYV655423 JOZ655404:JOZ655423 JFD655404:JFD655423 IVH655404:IVH655423 ILL655404:ILL655423 IBP655404:IBP655423 HRT655404:HRT655423 HHX655404:HHX655423 GYB655404:GYB655423 GOF655404:GOF655423 GEJ655404:GEJ655423 FUN655404:FUN655423 FKR655404:FKR655423 FAV655404:FAV655423 EQZ655404:EQZ655423 EHD655404:EHD655423 DXH655404:DXH655423 DNL655404:DNL655423 DDP655404:DDP655423 CTT655404:CTT655423 CJX655404:CJX655423 CAB655404:CAB655423 BQF655404:BQF655423 BGJ655404:BGJ655423 AWN655404:AWN655423 AMR655404:AMR655423 ACV655404:ACV655423 SZ655404:SZ655423 JD655404:JD655423 H655404:H655423 WVP589868:WVP589887 WLT589868:WLT589887 WBX589868:WBX589887 VSB589868:VSB589887 VIF589868:VIF589887 UYJ589868:UYJ589887 UON589868:UON589887 UER589868:UER589887 TUV589868:TUV589887 TKZ589868:TKZ589887 TBD589868:TBD589887 SRH589868:SRH589887 SHL589868:SHL589887 RXP589868:RXP589887 RNT589868:RNT589887 RDX589868:RDX589887 QUB589868:QUB589887 QKF589868:QKF589887 QAJ589868:QAJ589887 PQN589868:PQN589887 PGR589868:PGR589887 OWV589868:OWV589887 OMZ589868:OMZ589887 ODD589868:ODD589887 NTH589868:NTH589887 NJL589868:NJL589887 MZP589868:MZP589887 MPT589868:MPT589887 MFX589868:MFX589887 LWB589868:LWB589887 LMF589868:LMF589887 LCJ589868:LCJ589887 KSN589868:KSN589887 KIR589868:KIR589887 JYV589868:JYV589887 JOZ589868:JOZ589887 JFD589868:JFD589887 IVH589868:IVH589887 ILL589868:ILL589887 IBP589868:IBP589887 HRT589868:HRT589887 HHX589868:HHX589887 GYB589868:GYB589887 GOF589868:GOF589887 GEJ589868:GEJ589887 FUN589868:FUN589887 FKR589868:FKR589887 FAV589868:FAV589887 EQZ589868:EQZ589887 EHD589868:EHD589887 DXH589868:DXH589887 DNL589868:DNL589887 DDP589868:DDP589887 CTT589868:CTT589887 CJX589868:CJX589887 CAB589868:CAB589887 BQF589868:BQF589887 BGJ589868:BGJ589887 AWN589868:AWN589887 AMR589868:AMR589887 ACV589868:ACV589887 SZ589868:SZ589887 JD589868:JD589887 H589868:H589887 WVP524332:WVP524351 WLT524332:WLT524351 WBX524332:WBX524351 VSB524332:VSB524351 VIF524332:VIF524351 UYJ524332:UYJ524351 UON524332:UON524351 UER524332:UER524351 TUV524332:TUV524351 TKZ524332:TKZ524351 TBD524332:TBD524351 SRH524332:SRH524351 SHL524332:SHL524351 RXP524332:RXP524351 RNT524332:RNT524351 RDX524332:RDX524351 QUB524332:QUB524351 QKF524332:QKF524351 QAJ524332:QAJ524351 PQN524332:PQN524351 PGR524332:PGR524351 OWV524332:OWV524351 OMZ524332:OMZ524351 ODD524332:ODD524351 NTH524332:NTH524351 NJL524332:NJL524351 MZP524332:MZP524351 MPT524332:MPT524351 MFX524332:MFX524351 LWB524332:LWB524351 LMF524332:LMF524351 LCJ524332:LCJ524351 KSN524332:KSN524351 KIR524332:KIR524351 JYV524332:JYV524351 JOZ524332:JOZ524351 JFD524332:JFD524351 IVH524332:IVH524351 ILL524332:ILL524351 IBP524332:IBP524351 HRT524332:HRT524351 HHX524332:HHX524351 GYB524332:GYB524351 GOF524332:GOF524351 GEJ524332:GEJ524351 FUN524332:FUN524351 FKR524332:FKR524351 FAV524332:FAV524351 EQZ524332:EQZ524351 EHD524332:EHD524351 DXH524332:DXH524351 DNL524332:DNL524351 DDP524332:DDP524351 CTT524332:CTT524351 CJX524332:CJX524351 CAB524332:CAB524351 BQF524332:BQF524351 BGJ524332:BGJ524351 AWN524332:AWN524351 AMR524332:AMR524351 ACV524332:ACV524351 SZ524332:SZ524351 JD524332:JD524351 H524332:H524351 WVP458796:WVP458815 WLT458796:WLT458815 WBX458796:WBX458815 VSB458796:VSB458815 VIF458796:VIF458815 UYJ458796:UYJ458815 UON458796:UON458815 UER458796:UER458815 TUV458796:TUV458815 TKZ458796:TKZ458815 TBD458796:TBD458815 SRH458796:SRH458815 SHL458796:SHL458815 RXP458796:RXP458815 RNT458796:RNT458815 RDX458796:RDX458815 QUB458796:QUB458815 QKF458796:QKF458815 QAJ458796:QAJ458815 PQN458796:PQN458815 PGR458796:PGR458815 OWV458796:OWV458815 OMZ458796:OMZ458815 ODD458796:ODD458815 NTH458796:NTH458815 NJL458796:NJL458815 MZP458796:MZP458815 MPT458796:MPT458815 MFX458796:MFX458815 LWB458796:LWB458815 LMF458796:LMF458815 LCJ458796:LCJ458815 KSN458796:KSN458815 KIR458796:KIR458815 JYV458796:JYV458815 JOZ458796:JOZ458815 JFD458796:JFD458815 IVH458796:IVH458815 ILL458796:ILL458815 IBP458796:IBP458815 HRT458796:HRT458815 HHX458796:HHX458815 GYB458796:GYB458815 GOF458796:GOF458815 GEJ458796:GEJ458815 FUN458796:FUN458815 FKR458796:FKR458815 FAV458796:FAV458815 EQZ458796:EQZ458815 EHD458796:EHD458815 DXH458796:DXH458815 DNL458796:DNL458815 DDP458796:DDP458815 CTT458796:CTT458815 CJX458796:CJX458815 CAB458796:CAB458815 BQF458796:BQF458815 BGJ458796:BGJ458815 AWN458796:AWN458815 AMR458796:AMR458815 ACV458796:ACV458815 SZ458796:SZ458815 JD458796:JD458815 H458796:H458815 WVP393260:WVP393279 WLT393260:WLT393279 WBX393260:WBX393279 VSB393260:VSB393279 VIF393260:VIF393279 UYJ393260:UYJ393279 UON393260:UON393279 UER393260:UER393279 TUV393260:TUV393279 TKZ393260:TKZ393279 TBD393260:TBD393279 SRH393260:SRH393279 SHL393260:SHL393279 RXP393260:RXP393279 RNT393260:RNT393279 RDX393260:RDX393279 QUB393260:QUB393279 QKF393260:QKF393279 QAJ393260:QAJ393279 PQN393260:PQN393279 PGR393260:PGR393279 OWV393260:OWV393279 OMZ393260:OMZ393279 ODD393260:ODD393279 NTH393260:NTH393279 NJL393260:NJL393279 MZP393260:MZP393279 MPT393260:MPT393279 MFX393260:MFX393279 LWB393260:LWB393279 LMF393260:LMF393279 LCJ393260:LCJ393279 KSN393260:KSN393279 KIR393260:KIR393279 JYV393260:JYV393279 JOZ393260:JOZ393279 JFD393260:JFD393279 IVH393260:IVH393279 ILL393260:ILL393279 IBP393260:IBP393279 HRT393260:HRT393279 HHX393260:HHX393279 GYB393260:GYB393279 GOF393260:GOF393279 GEJ393260:GEJ393279 FUN393260:FUN393279 FKR393260:FKR393279 FAV393260:FAV393279 EQZ393260:EQZ393279 EHD393260:EHD393279 DXH393260:DXH393279 DNL393260:DNL393279 DDP393260:DDP393279 CTT393260:CTT393279 CJX393260:CJX393279 CAB393260:CAB393279 BQF393260:BQF393279 BGJ393260:BGJ393279 AWN393260:AWN393279 AMR393260:AMR393279 ACV393260:ACV393279 SZ393260:SZ393279 JD393260:JD393279 H393260:H393279 WVP327724:WVP327743 WLT327724:WLT327743 WBX327724:WBX327743 VSB327724:VSB327743 VIF327724:VIF327743 UYJ327724:UYJ327743 UON327724:UON327743 UER327724:UER327743 TUV327724:TUV327743 TKZ327724:TKZ327743 TBD327724:TBD327743 SRH327724:SRH327743 SHL327724:SHL327743 RXP327724:RXP327743 RNT327724:RNT327743 RDX327724:RDX327743 QUB327724:QUB327743 QKF327724:QKF327743 QAJ327724:QAJ327743 PQN327724:PQN327743 PGR327724:PGR327743 OWV327724:OWV327743 OMZ327724:OMZ327743 ODD327724:ODD327743 NTH327724:NTH327743 NJL327724:NJL327743 MZP327724:MZP327743 MPT327724:MPT327743 MFX327724:MFX327743 LWB327724:LWB327743 LMF327724:LMF327743 LCJ327724:LCJ327743 KSN327724:KSN327743 KIR327724:KIR327743 JYV327724:JYV327743 JOZ327724:JOZ327743 JFD327724:JFD327743 IVH327724:IVH327743 ILL327724:ILL327743 IBP327724:IBP327743 HRT327724:HRT327743 HHX327724:HHX327743 GYB327724:GYB327743 GOF327724:GOF327743 GEJ327724:GEJ327743 FUN327724:FUN327743 FKR327724:FKR327743 FAV327724:FAV327743 EQZ327724:EQZ327743 EHD327724:EHD327743 DXH327724:DXH327743 DNL327724:DNL327743 DDP327724:DDP327743 CTT327724:CTT327743 CJX327724:CJX327743 CAB327724:CAB327743 BQF327724:BQF327743 BGJ327724:BGJ327743 AWN327724:AWN327743 AMR327724:AMR327743 ACV327724:ACV327743 SZ327724:SZ327743 JD327724:JD327743 H327724:H327743 WVP262188:WVP262207 WLT262188:WLT262207 WBX262188:WBX262207 VSB262188:VSB262207 VIF262188:VIF262207 UYJ262188:UYJ262207 UON262188:UON262207 UER262188:UER262207 TUV262188:TUV262207 TKZ262188:TKZ262207 TBD262188:TBD262207 SRH262188:SRH262207 SHL262188:SHL262207 RXP262188:RXP262207 RNT262188:RNT262207 RDX262188:RDX262207 QUB262188:QUB262207 QKF262188:QKF262207 QAJ262188:QAJ262207 PQN262188:PQN262207 PGR262188:PGR262207 OWV262188:OWV262207 OMZ262188:OMZ262207 ODD262188:ODD262207 NTH262188:NTH262207 NJL262188:NJL262207 MZP262188:MZP262207 MPT262188:MPT262207 MFX262188:MFX262207 LWB262188:LWB262207 LMF262188:LMF262207 LCJ262188:LCJ262207 KSN262188:KSN262207 KIR262188:KIR262207 JYV262188:JYV262207 JOZ262188:JOZ262207 JFD262188:JFD262207 IVH262188:IVH262207 ILL262188:ILL262207 IBP262188:IBP262207 HRT262188:HRT262207 HHX262188:HHX262207 GYB262188:GYB262207 GOF262188:GOF262207 GEJ262188:GEJ262207 FUN262188:FUN262207 FKR262188:FKR262207 FAV262188:FAV262207 EQZ262188:EQZ262207 EHD262188:EHD262207 DXH262188:DXH262207 DNL262188:DNL262207 DDP262188:DDP262207 CTT262188:CTT262207 CJX262188:CJX262207 CAB262188:CAB262207 BQF262188:BQF262207 BGJ262188:BGJ262207 AWN262188:AWN262207 AMR262188:AMR262207 ACV262188:ACV262207 SZ262188:SZ262207 JD262188:JD262207 H262188:H262207 WVP196652:WVP196671 WLT196652:WLT196671 WBX196652:WBX196671 VSB196652:VSB196671 VIF196652:VIF196671 UYJ196652:UYJ196671 UON196652:UON196671 UER196652:UER196671 TUV196652:TUV196671 TKZ196652:TKZ196671 TBD196652:TBD196671 SRH196652:SRH196671 SHL196652:SHL196671 RXP196652:RXP196671 RNT196652:RNT196671 RDX196652:RDX196671 QUB196652:QUB196671 QKF196652:QKF196671 QAJ196652:QAJ196671 PQN196652:PQN196671 PGR196652:PGR196671 OWV196652:OWV196671 OMZ196652:OMZ196671 ODD196652:ODD196671 NTH196652:NTH196671 NJL196652:NJL196671 MZP196652:MZP196671 MPT196652:MPT196671 MFX196652:MFX196671 LWB196652:LWB196671 LMF196652:LMF196671 LCJ196652:LCJ196671 KSN196652:KSN196671 KIR196652:KIR196671 JYV196652:JYV196671 JOZ196652:JOZ196671 JFD196652:JFD196671 IVH196652:IVH196671 ILL196652:ILL196671 IBP196652:IBP196671 HRT196652:HRT196671 HHX196652:HHX196671 GYB196652:GYB196671 GOF196652:GOF196671 GEJ196652:GEJ196671 FUN196652:FUN196671 FKR196652:FKR196671 FAV196652:FAV196671 EQZ196652:EQZ196671 EHD196652:EHD196671 DXH196652:DXH196671 DNL196652:DNL196671 DDP196652:DDP196671 CTT196652:CTT196671 CJX196652:CJX196671 CAB196652:CAB196671 BQF196652:BQF196671 BGJ196652:BGJ196671 AWN196652:AWN196671 AMR196652:AMR196671 ACV196652:ACV196671 SZ196652:SZ196671 JD196652:JD196671 H196652:H196671 WVP131116:WVP131135 WLT131116:WLT131135 WBX131116:WBX131135 VSB131116:VSB131135 VIF131116:VIF131135 UYJ131116:UYJ131135 UON131116:UON131135 UER131116:UER131135 TUV131116:TUV131135 TKZ131116:TKZ131135 TBD131116:TBD131135 SRH131116:SRH131135 SHL131116:SHL131135 RXP131116:RXP131135 RNT131116:RNT131135 RDX131116:RDX131135 QUB131116:QUB131135 QKF131116:QKF131135 QAJ131116:QAJ131135 PQN131116:PQN131135 PGR131116:PGR131135 OWV131116:OWV131135 OMZ131116:OMZ131135 ODD131116:ODD131135 NTH131116:NTH131135 NJL131116:NJL131135 MZP131116:MZP131135 MPT131116:MPT131135 MFX131116:MFX131135 LWB131116:LWB131135 LMF131116:LMF131135 LCJ131116:LCJ131135 KSN131116:KSN131135 KIR131116:KIR131135 JYV131116:JYV131135 JOZ131116:JOZ131135 JFD131116:JFD131135 IVH131116:IVH131135 ILL131116:ILL131135 IBP131116:IBP131135 HRT131116:HRT131135 HHX131116:HHX131135 GYB131116:GYB131135 GOF131116:GOF131135 GEJ131116:GEJ131135 FUN131116:FUN131135 FKR131116:FKR131135 FAV131116:FAV131135 EQZ131116:EQZ131135 EHD131116:EHD131135 DXH131116:DXH131135 DNL131116:DNL131135 DDP131116:DDP131135 CTT131116:CTT131135 CJX131116:CJX131135 CAB131116:CAB131135 BQF131116:BQF131135 BGJ131116:BGJ131135 AWN131116:AWN131135 AMR131116:AMR131135 ACV131116:ACV131135 SZ131116:SZ131135 JD131116:JD131135 H131116:H131135 WVP65580:WVP65599 WLT65580:WLT65599 WBX65580:WBX65599 VSB65580:VSB65599 VIF65580:VIF65599 UYJ65580:UYJ65599 UON65580:UON65599 UER65580:UER65599 TUV65580:TUV65599 TKZ65580:TKZ65599 TBD65580:TBD65599 SRH65580:SRH65599 SHL65580:SHL65599 RXP65580:RXP65599 RNT65580:RNT65599 RDX65580:RDX65599 QUB65580:QUB65599 QKF65580:QKF65599 QAJ65580:QAJ65599 PQN65580:PQN65599 PGR65580:PGR65599 OWV65580:OWV65599 OMZ65580:OMZ65599 ODD65580:ODD65599 NTH65580:NTH65599 NJL65580:NJL65599 MZP65580:MZP65599 MPT65580:MPT65599 MFX65580:MFX65599 LWB65580:LWB65599 LMF65580:LMF65599 LCJ65580:LCJ65599 KSN65580:KSN65599 KIR65580:KIR65599 JYV65580:JYV65599 JOZ65580:JOZ65599 JFD65580:JFD65599 IVH65580:IVH65599 ILL65580:ILL65599 IBP65580:IBP65599 HRT65580:HRT65599 HHX65580:HHX65599 GYB65580:GYB65599 GOF65580:GOF65599 GEJ65580:GEJ65599 FUN65580:FUN65599 FKR65580:FKR65599 FAV65580:FAV65599 EQZ65580:EQZ65599 EHD65580:EHD65599 DXH65580:DXH65599 DNL65580:DNL65599 DDP65580:DDP65599 CTT65580:CTT65599 CJX65580:CJX65599 CAB65580:CAB65599 BQF65580:BQF65599 BGJ65580:BGJ65599 AWN65580:AWN65599 AMR65580:AMR65599 ACV65580:ACV65599 SZ65580:SZ65599 JD65580:JD65599 H65580:H65599 WVJ47:WVJ51 WVP44:WVP46 WVP52:WVP63 WLN47:WLN51 WLT44:WLT46 WLT52:WLT63 WBR47:WBR51 WBX44:WBX46 WBX52:WBX63 VRV47:VRV51 VSB44:VSB46 VSB52:VSB63 VHZ47:VHZ51 VIF44:VIF46 VIF52:VIF63 UYD47:UYD51 UYJ44:UYJ46 UYJ52:UYJ63 UOH47:UOH51 UON44:UON46 UON52:UON63 UEL47:UEL51 UER44:UER46 UER52:UER63 TUP47:TUP51 TUV44:TUV46 TUV52:TUV63 TKT47:TKT51 TKZ44:TKZ46 TKZ52:TKZ63 TAX47:TAX51 TBD44:TBD46 TBD52:TBD63 SRB47:SRB51 SRH44:SRH46 SRH52:SRH63 SHF47:SHF51 SHL44:SHL46 SHL52:SHL63 RXJ47:RXJ51 RXP44:RXP46 RXP52:RXP63 RNN47:RNN51 RNT44:RNT46 RNT52:RNT63 RDR47:RDR51 RDX44:RDX46 RDX52:RDX63 QTV47:QTV51 QUB44:QUB46 QUB52:QUB63 QJZ47:QJZ51 QKF44:QKF46 QKF52:QKF63 QAD47:QAD51 QAJ44:QAJ46 QAJ52:QAJ63 PQH47:PQH51 PQN44:PQN46 PQN52:PQN63 PGL47:PGL51 PGR44:PGR46 PGR52:PGR63 OWP47:OWP51 OWV44:OWV46 OWV52:OWV63 OMT47:OMT51 OMZ44:OMZ46 OMZ52:OMZ63 OCX47:OCX51 ODD44:ODD46 ODD52:ODD63 NTB47:NTB51 NTH44:NTH46 NTH52:NTH63 NJF47:NJF51 NJL44:NJL46 NJL52:NJL63 MZJ47:MZJ51 MZP44:MZP46 MZP52:MZP63 MPN47:MPN51 MPT44:MPT46 MPT52:MPT63 MFR47:MFR51 MFX44:MFX46 MFX52:MFX63 LVV47:LVV51 LWB44:LWB46 LWB52:LWB63 LLZ47:LLZ51 LMF44:LMF46 LMF52:LMF63 LCD47:LCD51 LCJ44:LCJ46 LCJ52:LCJ63 KSH47:KSH51 KSN44:KSN46 KSN52:KSN63 KIL47:KIL51 KIR44:KIR46 KIR52:KIR63 JYP47:JYP51 JYV44:JYV46 JYV52:JYV63 JOT47:JOT51 JOZ44:JOZ46 JOZ52:JOZ63 JEX47:JEX51 JFD44:JFD46 JFD52:JFD63 IVB47:IVB51 IVH44:IVH46 IVH52:IVH63 ILF47:ILF51 ILL44:ILL46 ILL52:ILL63 IBJ47:IBJ51 IBP44:IBP46 IBP52:IBP63 HRN47:HRN51 HRT44:HRT46 HRT52:HRT63 HHR47:HHR51 HHX44:HHX46 HHX52:HHX63 GXV47:GXV51 GYB44:GYB46 GYB52:GYB63 GNZ47:GNZ51 GOF44:GOF46 GOF52:GOF63 GED47:GED51 GEJ44:GEJ46 GEJ52:GEJ63 FUH47:FUH51 FUN44:FUN46 FUN52:FUN63 FKL47:FKL51 FKR44:FKR46 FKR52:FKR63 FAP47:FAP51 FAV44:FAV46 FAV52:FAV63 EQT47:EQT51 EQZ44:EQZ46 EQZ52:EQZ63 EGX47:EGX51 EHD44:EHD46 EHD52:EHD63 DXB47:DXB51 DXH44:DXH46 DXH52:DXH63 DNF47:DNF51 DNL44:DNL46 DNL52:DNL63 DDJ47:DDJ51 DDP44:DDP46 DDP52:DDP63 CTN47:CTN51 CTT44:CTT46 CTT52:CTT63 CJR47:CJR51 CJX44:CJX46 CJX52:CJX63 BZV47:BZV51 CAB44:CAB46 CAB52:CAB63 BPZ47:BPZ51 BQF44:BQF46 BQF52:BQF63 BGD47:BGD51 BGJ44:BGJ46 BGJ52:BGJ63 AWH47:AWH51 AWN44:AWN46 AWN52:AWN63 AML47:AML51 AMR44:AMR46 AMR52:AMR63 ACP47:ACP51 ACV44:ACV46 ACV52:ACV63 ST47:ST51 SZ44:SZ46 SZ52:SZ63 IX47:IX51">
      <formula1>"All Types,O-/O+,O-,O-/O+/A-/A+,O-/O+/B-/B+,O-/O+/A-/A+/B-/B+,O-/A-,A-/A+,A-/A+/B-/B+/AB-/AB+,B-/B+,AB-/AB+"</formula1>
    </dataValidation>
    <dataValidation type="list" allowBlank="1" showInputMessage="1" showErrorMessage="1" sqref="WVP983051 WLT983051 WBX983051 VSB983051 VIF983051 UYJ983051 UON983051 UER983051 TUV983051 TKZ983051 TBD983051 SRH983051 SHL983051 RXP983051 RNT983051 RDX983051 QUB983051 QKF983051 QAJ983051 PQN983051 PGR983051 OWV983051 OMZ983051 ODD983051 NTH983051 NJL983051 MZP983051 MPT983051 MFX983051 LWB983051 LMF983051 LCJ983051 KSN983051 KIR983051 JYV983051 JOZ983051 JFD983051 IVH983051 ILL983051 IBP983051 HRT983051 HHX983051 GYB983051 GOF983051 GEJ983051 FUN983051 FKR983051 FAV983051 EQZ983051 EHD983051 DXH983051 DNL983051 DDP983051 CTT983051 CJX983051 CAB983051 BQF983051 BGJ983051 AWN983051 AMR983051 ACV983051 SZ983051 JD983051 H983051 WVP917515 WLT917515 WBX917515 VSB917515 VIF917515 UYJ917515 UON917515 UER917515 TUV917515 TKZ917515 TBD917515 SRH917515 SHL917515 RXP917515 RNT917515 RDX917515 QUB917515 QKF917515 QAJ917515 PQN917515 PGR917515 OWV917515 OMZ917515 ODD917515 NTH917515 NJL917515 MZP917515 MPT917515 MFX917515 LWB917515 LMF917515 LCJ917515 KSN917515 KIR917515 JYV917515 JOZ917515 JFD917515 IVH917515 ILL917515 IBP917515 HRT917515 HHX917515 GYB917515 GOF917515 GEJ917515 FUN917515 FKR917515 FAV917515 EQZ917515 EHD917515 DXH917515 DNL917515 DDP917515 CTT917515 CJX917515 CAB917515 BQF917515 BGJ917515 AWN917515 AMR917515 ACV917515 SZ917515 JD917515 H917515 WVP851979 WLT851979 WBX851979 VSB851979 VIF851979 UYJ851979 UON851979 UER851979 TUV851979 TKZ851979 TBD851979 SRH851979 SHL851979 RXP851979 RNT851979 RDX851979 QUB851979 QKF851979 QAJ851979 PQN851979 PGR851979 OWV851979 OMZ851979 ODD851979 NTH851979 NJL851979 MZP851979 MPT851979 MFX851979 LWB851979 LMF851979 LCJ851979 KSN851979 KIR851979 JYV851979 JOZ851979 JFD851979 IVH851979 ILL851979 IBP851979 HRT851979 HHX851979 GYB851979 GOF851979 GEJ851979 FUN851979 FKR851979 FAV851979 EQZ851979 EHD851979 DXH851979 DNL851979 DDP851979 CTT851979 CJX851979 CAB851979 BQF851979 BGJ851979 AWN851979 AMR851979 ACV851979 SZ851979 JD851979 H851979 WVP786443 WLT786443 WBX786443 VSB786443 VIF786443 UYJ786443 UON786443 UER786443 TUV786443 TKZ786443 TBD786443 SRH786443 SHL786443 RXP786443 RNT786443 RDX786443 QUB786443 QKF786443 QAJ786443 PQN786443 PGR786443 OWV786443 OMZ786443 ODD786443 NTH786443 NJL786443 MZP786443 MPT786443 MFX786443 LWB786443 LMF786443 LCJ786443 KSN786443 KIR786443 JYV786443 JOZ786443 JFD786443 IVH786443 ILL786443 IBP786443 HRT786443 HHX786443 GYB786443 GOF786443 GEJ786443 FUN786443 FKR786443 FAV786443 EQZ786443 EHD786443 DXH786443 DNL786443 DDP786443 CTT786443 CJX786443 CAB786443 BQF786443 BGJ786443 AWN786443 AMR786443 ACV786443 SZ786443 JD786443 H786443 WVP720907 WLT720907 WBX720907 VSB720907 VIF720907 UYJ720907 UON720907 UER720907 TUV720907 TKZ720907 TBD720907 SRH720907 SHL720907 RXP720907 RNT720907 RDX720907 QUB720907 QKF720907 QAJ720907 PQN720907 PGR720907 OWV720907 OMZ720907 ODD720907 NTH720907 NJL720907 MZP720907 MPT720907 MFX720907 LWB720907 LMF720907 LCJ720907 KSN720907 KIR720907 JYV720907 JOZ720907 JFD720907 IVH720907 ILL720907 IBP720907 HRT720907 HHX720907 GYB720907 GOF720907 GEJ720907 FUN720907 FKR720907 FAV720907 EQZ720907 EHD720907 DXH720907 DNL720907 DDP720907 CTT720907 CJX720907 CAB720907 BQF720907 BGJ720907 AWN720907 AMR720907 ACV720907 SZ720907 JD720907 H720907 WVP655371 WLT655371 WBX655371 VSB655371 VIF655371 UYJ655371 UON655371 UER655371 TUV655371 TKZ655371 TBD655371 SRH655371 SHL655371 RXP655371 RNT655371 RDX655371 QUB655371 QKF655371 QAJ655371 PQN655371 PGR655371 OWV655371 OMZ655371 ODD655371 NTH655371 NJL655371 MZP655371 MPT655371 MFX655371 LWB655371 LMF655371 LCJ655371 KSN655371 KIR655371 JYV655371 JOZ655371 JFD655371 IVH655371 ILL655371 IBP655371 HRT655371 HHX655371 GYB655371 GOF655371 GEJ655371 FUN655371 FKR655371 FAV655371 EQZ655371 EHD655371 DXH655371 DNL655371 DDP655371 CTT655371 CJX655371 CAB655371 BQF655371 BGJ655371 AWN655371 AMR655371 ACV655371 SZ655371 JD655371 H655371 WVP589835 WLT589835 WBX589835 VSB589835 VIF589835 UYJ589835 UON589835 UER589835 TUV589835 TKZ589835 TBD589835 SRH589835 SHL589835 RXP589835 RNT589835 RDX589835 QUB589835 QKF589835 QAJ589835 PQN589835 PGR589835 OWV589835 OMZ589835 ODD589835 NTH589835 NJL589835 MZP589835 MPT589835 MFX589835 LWB589835 LMF589835 LCJ589835 KSN589835 KIR589835 JYV589835 JOZ589835 JFD589835 IVH589835 ILL589835 IBP589835 HRT589835 HHX589835 GYB589835 GOF589835 GEJ589835 FUN589835 FKR589835 FAV589835 EQZ589835 EHD589835 DXH589835 DNL589835 DDP589835 CTT589835 CJX589835 CAB589835 BQF589835 BGJ589835 AWN589835 AMR589835 ACV589835 SZ589835 JD589835 H589835 WVP524299 WLT524299 WBX524299 VSB524299 VIF524299 UYJ524299 UON524299 UER524299 TUV524299 TKZ524299 TBD524299 SRH524299 SHL524299 RXP524299 RNT524299 RDX524299 QUB524299 QKF524299 QAJ524299 PQN524299 PGR524299 OWV524299 OMZ524299 ODD524299 NTH524299 NJL524299 MZP524299 MPT524299 MFX524299 LWB524299 LMF524299 LCJ524299 KSN524299 KIR524299 JYV524299 JOZ524299 JFD524299 IVH524299 ILL524299 IBP524299 HRT524299 HHX524299 GYB524299 GOF524299 GEJ524299 FUN524299 FKR524299 FAV524299 EQZ524299 EHD524299 DXH524299 DNL524299 DDP524299 CTT524299 CJX524299 CAB524299 BQF524299 BGJ524299 AWN524299 AMR524299 ACV524299 SZ524299 JD524299 H524299 WVP458763 WLT458763 WBX458763 VSB458763 VIF458763 UYJ458763 UON458763 UER458763 TUV458763 TKZ458763 TBD458763 SRH458763 SHL458763 RXP458763 RNT458763 RDX458763 QUB458763 QKF458763 QAJ458763 PQN458763 PGR458763 OWV458763 OMZ458763 ODD458763 NTH458763 NJL458763 MZP458763 MPT458763 MFX458763 LWB458763 LMF458763 LCJ458763 KSN458763 KIR458763 JYV458763 JOZ458763 JFD458763 IVH458763 ILL458763 IBP458763 HRT458763 HHX458763 GYB458763 GOF458763 GEJ458763 FUN458763 FKR458763 FAV458763 EQZ458763 EHD458763 DXH458763 DNL458763 DDP458763 CTT458763 CJX458763 CAB458763 BQF458763 BGJ458763 AWN458763 AMR458763 ACV458763 SZ458763 JD458763 H458763 WVP393227 WLT393227 WBX393227 VSB393227 VIF393227 UYJ393227 UON393227 UER393227 TUV393227 TKZ393227 TBD393227 SRH393227 SHL393227 RXP393227 RNT393227 RDX393227 QUB393227 QKF393227 QAJ393227 PQN393227 PGR393227 OWV393227 OMZ393227 ODD393227 NTH393227 NJL393227 MZP393227 MPT393227 MFX393227 LWB393227 LMF393227 LCJ393227 KSN393227 KIR393227 JYV393227 JOZ393227 JFD393227 IVH393227 ILL393227 IBP393227 HRT393227 HHX393227 GYB393227 GOF393227 GEJ393227 FUN393227 FKR393227 FAV393227 EQZ393227 EHD393227 DXH393227 DNL393227 DDP393227 CTT393227 CJX393227 CAB393227 BQF393227 BGJ393227 AWN393227 AMR393227 ACV393227 SZ393227 JD393227 H393227 WVP327691 WLT327691 WBX327691 VSB327691 VIF327691 UYJ327691 UON327691 UER327691 TUV327691 TKZ327691 TBD327691 SRH327691 SHL327691 RXP327691 RNT327691 RDX327691 QUB327691 QKF327691 QAJ327691 PQN327691 PGR327691 OWV327691 OMZ327691 ODD327691 NTH327691 NJL327691 MZP327691 MPT327691 MFX327691 LWB327691 LMF327691 LCJ327691 KSN327691 KIR327691 JYV327691 JOZ327691 JFD327691 IVH327691 ILL327691 IBP327691 HRT327691 HHX327691 GYB327691 GOF327691 GEJ327691 FUN327691 FKR327691 FAV327691 EQZ327691 EHD327691 DXH327691 DNL327691 DDP327691 CTT327691 CJX327691 CAB327691 BQF327691 BGJ327691 AWN327691 AMR327691 ACV327691 SZ327691 JD327691 H327691 WVP262155 WLT262155 WBX262155 VSB262155 VIF262155 UYJ262155 UON262155 UER262155 TUV262155 TKZ262155 TBD262155 SRH262155 SHL262155 RXP262155 RNT262155 RDX262155 QUB262155 QKF262155 QAJ262155 PQN262155 PGR262155 OWV262155 OMZ262155 ODD262155 NTH262155 NJL262155 MZP262155 MPT262155 MFX262155 LWB262155 LMF262155 LCJ262155 KSN262155 KIR262155 JYV262155 JOZ262155 JFD262155 IVH262155 ILL262155 IBP262155 HRT262155 HHX262155 GYB262155 GOF262155 GEJ262155 FUN262155 FKR262155 FAV262155 EQZ262155 EHD262155 DXH262155 DNL262155 DDP262155 CTT262155 CJX262155 CAB262155 BQF262155 BGJ262155 AWN262155 AMR262155 ACV262155 SZ262155 JD262155 H262155 WVP196619 WLT196619 WBX196619 VSB196619 VIF196619 UYJ196619 UON196619 UER196619 TUV196619 TKZ196619 TBD196619 SRH196619 SHL196619 RXP196619 RNT196619 RDX196619 QUB196619 QKF196619 QAJ196619 PQN196619 PGR196619 OWV196619 OMZ196619 ODD196619 NTH196619 NJL196619 MZP196619 MPT196619 MFX196619 LWB196619 LMF196619 LCJ196619 KSN196619 KIR196619 JYV196619 JOZ196619 JFD196619 IVH196619 ILL196619 IBP196619 HRT196619 HHX196619 GYB196619 GOF196619 GEJ196619 FUN196619 FKR196619 FAV196619 EQZ196619 EHD196619 DXH196619 DNL196619 DDP196619 CTT196619 CJX196619 CAB196619 BQF196619 BGJ196619 AWN196619 AMR196619 ACV196619 SZ196619 JD196619 H196619 WVP131083 WLT131083 WBX131083 VSB131083 VIF131083 UYJ131083 UON131083 UER131083 TUV131083 TKZ131083 TBD131083 SRH131083 SHL131083 RXP131083 RNT131083 RDX131083 QUB131083 QKF131083 QAJ131083 PQN131083 PGR131083 OWV131083 OMZ131083 ODD131083 NTH131083 NJL131083 MZP131083 MPT131083 MFX131083 LWB131083 LMF131083 LCJ131083 KSN131083 KIR131083 JYV131083 JOZ131083 JFD131083 IVH131083 ILL131083 IBP131083 HRT131083 HHX131083 GYB131083 GOF131083 GEJ131083 FUN131083 FKR131083 FAV131083 EQZ131083 EHD131083 DXH131083 DNL131083 DDP131083 CTT131083 CJX131083 CAB131083 BQF131083 BGJ131083 AWN131083 AMR131083 ACV131083 SZ131083 JD131083 H131083 WVP65547 WLT65547 WBX65547 VSB65547 VIF65547 UYJ65547 UON65547 UER65547 TUV65547 TKZ65547 TBD65547 SRH65547 SHL65547 RXP65547 RNT65547 RDX65547 QUB65547 QKF65547 QAJ65547 PQN65547 PGR65547 OWV65547 OMZ65547 ODD65547 NTH65547 NJL65547 MZP65547 MPT65547 MFX65547 LWB65547 LMF65547 LCJ65547 KSN65547 KIR65547 JYV65547 JOZ65547 JFD65547 IVH65547 ILL65547 IBP65547 HRT65547 HHX65547 GYB65547 GOF65547 GEJ65547 FUN65547 FKR65547 FAV65547 EQZ65547 EHD65547 DXH65547 DNL65547 DDP65547 CTT65547 CJX65547 CAB65547 BQF65547 BGJ65547 AWN65547 AMR65547 ACV65547 SZ65547 JD65547 H65547 WVP11 WLT11 WBX11 VSB11 VIF11 UYJ11 UON11 UER11 TUV11 TKZ11 TBD11 SRH11 SHL11 RXP11 RNT11 RDX11 QUB11 QKF11 QAJ11 PQN11 PGR11 OWV11 OMZ11 ODD11 NTH11 NJL11 MZP11 MPT11 MFX11 LWB11 LMF11 LCJ11 KSN11 KIR11 JYV11 JOZ11 JFD11 IVH11 ILL11 IBP11 HRT11 HHX11 GYB11 GOF11 GEJ11 FUN11 FKR11 FAV11 EQZ11 EHD11 DXH11 DNL11 DDP11 CTT11 CJX11 CAB11 BQF11 BGJ11 AWN11 AMR11 ACV11 SZ11 JD11">
      <formula1>"V5.1,V6.0"</formula1>
    </dataValidation>
    <dataValidation type="list" allowBlank="1" showInputMessage="1" showErrorMessage="1" sqref="H28">
      <formula1>"SLOW,MODERATE,FAST"</formula1>
    </dataValidation>
    <dataValidation type="list" allowBlank="1" showInputMessage="1" showErrorMessage="1" sqref="D44:D63">
      <formula1>"1,2,3,4,5,6,7,8,9,10"</formula1>
    </dataValidation>
    <dataValidation type="list" allowBlank="1" showInputMessage="1" showErrorMessage="1" sqref="E44:E63">
      <formula1>"1,2,3,4,5,6,M,A"</formula1>
    </dataValidation>
    <dataValidation type="list" allowBlank="1" showInputMessage="1" showErrorMessage="1" sqref="F44:F63">
      <formula1>"1,2,3"</formula1>
    </dataValidation>
    <dataValidation type="list" allowBlank="1" showInputMessage="1" showErrorMessage="1" sqref="H44:H63">
      <formula1>$AB$8:$AB$20</formula1>
    </dataValidation>
    <dataValidation type="list" allowBlank="1" showInputMessage="1" showErrorMessage="1" sqref="H21:H22">
      <formula1>"NO,YES,Male/AB Female"</formula1>
    </dataValidation>
    <dataValidation type="list" allowBlank="1" showInputMessage="1" showErrorMessage="1" sqref="K18">
      <formula1>"lb,kg"</formula1>
    </dataValidation>
    <dataValidation type="list" allowBlank="1" showInputMessage="1" showErrorMessage="1" sqref="L15:M15">
      <formula1>"YES,NO, YES-JAPAN"</formula1>
    </dataValidation>
  </dataValidations>
  <printOptions horizontalCentered="1"/>
  <pageMargins left="0.5" right="0.5" top="0.75" bottom="0.5" header="0.5" footer="0.25"/>
  <pageSetup scale="68" orientation="portrait" horizontalDpi="300" verticalDpi="300" r:id="rId1"/>
  <headerFooter alignWithMargins="0">
    <oddFooter>&amp;R&amp;D</oddFooter>
  </headerFooter>
  <legacyDrawing r:id="rId2"/>
</worksheet>
</file>

<file path=xl/worksheets/sheet4.xml><?xml version="1.0" encoding="utf-8"?>
<worksheet xmlns="http://schemas.openxmlformats.org/spreadsheetml/2006/main" xmlns:r="http://schemas.openxmlformats.org/officeDocument/2006/relationships">
  <sheetPr codeName="Sheet9">
    <pageSetUpPr autoPageBreaks="0" fitToPage="1"/>
  </sheetPr>
  <dimension ref="B1:AH1026"/>
  <sheetViews>
    <sheetView showGridLines="0" zoomScale="75" zoomScaleNormal="75" workbookViewId="0"/>
  </sheetViews>
  <sheetFormatPr defaultRowHeight="12.75"/>
  <cols>
    <col min="1" max="1" width="4.140625" style="76" customWidth="1"/>
    <col min="2" max="2" width="4.28515625" style="76" customWidth="1"/>
    <col min="3" max="3" width="31.28515625" style="76" customWidth="1"/>
    <col min="4" max="9" width="10.7109375" style="76" customWidth="1"/>
    <col min="10" max="10" width="3" style="76" customWidth="1"/>
    <col min="11" max="11" width="3.7109375" style="76" customWidth="1"/>
    <col min="12" max="12" width="3" style="76" customWidth="1"/>
    <col min="13" max="13" width="6.140625" style="76" customWidth="1"/>
    <col min="14" max="14" width="7.5703125" style="76" customWidth="1"/>
    <col min="15" max="16" width="5.7109375" style="76" customWidth="1"/>
    <col min="17" max="17" width="6.7109375" style="76" customWidth="1"/>
    <col min="18" max="18" width="11.28515625" style="76" customWidth="1"/>
    <col min="19" max="19" width="6.7109375" style="76" customWidth="1"/>
    <col min="20" max="20" width="11.7109375" style="76" customWidth="1"/>
    <col min="21" max="21" width="3" style="76" customWidth="1"/>
    <col min="22" max="22" width="9.140625" style="76"/>
    <col min="23" max="23" width="3" style="76" customWidth="1"/>
    <col min="24" max="24" width="10.42578125" style="76" customWidth="1"/>
    <col min="25" max="31" width="9.140625" style="76"/>
    <col min="32" max="32" width="10.28515625" style="76" bestFit="1" customWidth="1"/>
    <col min="33" max="33" width="9.140625" style="76"/>
    <col min="34" max="34" width="3.28515625" style="76" customWidth="1"/>
    <col min="35" max="16384" width="9.140625" style="76"/>
  </cols>
  <sheetData>
    <row r="1" spans="2:34" ht="13.5" customHeight="1" thickBot="1"/>
    <row r="2" spans="2:34" ht="31.5" customHeight="1" thickBot="1">
      <c r="B2" s="1500" t="s">
        <v>1494</v>
      </c>
      <c r="C2" s="1501"/>
      <c r="D2" s="1502"/>
      <c r="E2" s="1503" t="s">
        <v>2028</v>
      </c>
      <c r="F2" s="1504"/>
    </row>
    <row r="3" spans="2:34" ht="32.25" customHeight="1" thickBot="1"/>
    <row r="4" spans="2:34" ht="18.75" thickBot="1">
      <c r="B4" s="1505" t="s">
        <v>984</v>
      </c>
      <c r="C4" s="1506"/>
      <c r="D4" s="1506"/>
      <c r="E4" s="1506"/>
      <c r="F4" s="1506"/>
      <c r="G4" s="1506"/>
      <c r="H4" s="1506"/>
      <c r="I4" s="1506"/>
      <c r="J4" s="1507"/>
      <c r="L4" s="1505" t="s">
        <v>983</v>
      </c>
      <c r="M4" s="1506"/>
      <c r="N4" s="1506"/>
      <c r="O4" s="1506"/>
      <c r="P4" s="1506"/>
      <c r="Q4" s="1506"/>
      <c r="R4" s="1506"/>
      <c r="S4" s="1506"/>
      <c r="T4" s="1506"/>
      <c r="U4" s="1507"/>
      <c r="W4" s="1497" t="s">
        <v>1935</v>
      </c>
      <c r="X4" s="1498"/>
      <c r="Y4" s="1498"/>
      <c r="Z4" s="1498"/>
      <c r="AA4" s="1498"/>
      <c r="AB4" s="1498"/>
      <c r="AC4" s="1498"/>
      <c r="AD4" s="1498"/>
      <c r="AE4" s="1498"/>
      <c r="AF4" s="1498"/>
      <c r="AG4" s="1498"/>
      <c r="AH4" s="1499"/>
    </row>
    <row r="5" spans="2:34" ht="13.5" customHeight="1" thickBot="1">
      <c r="B5" s="79"/>
      <c r="C5" s="80"/>
      <c r="D5" s="80"/>
      <c r="E5" s="80"/>
      <c r="F5" s="80"/>
      <c r="G5" s="80"/>
      <c r="H5" s="80"/>
      <c r="I5" s="80"/>
      <c r="J5" s="81"/>
      <c r="L5" s="79"/>
      <c r="M5" s="89"/>
      <c r="N5" s="89"/>
      <c r="O5" s="89"/>
      <c r="P5" s="89"/>
      <c r="Q5" s="90"/>
      <c r="R5" s="90"/>
      <c r="S5" s="90"/>
      <c r="T5" s="90"/>
      <c r="U5" s="81"/>
      <c r="W5" s="1358"/>
      <c r="X5" s="150"/>
      <c r="Y5" s="150"/>
      <c r="Z5" s="150"/>
      <c r="AA5" s="150"/>
      <c r="AB5" s="150"/>
      <c r="AC5" s="150"/>
      <c r="AD5" s="150"/>
      <c r="AE5" s="150"/>
      <c r="AF5" s="150"/>
      <c r="AG5" s="150"/>
      <c r="AH5" s="1359"/>
    </row>
    <row r="6" spans="2:34" ht="13.5" customHeight="1" thickBot="1">
      <c r="B6" s="82"/>
      <c r="C6" s="1408" t="s">
        <v>64</v>
      </c>
      <c r="D6" s="1410"/>
      <c r="E6" s="85"/>
      <c r="F6" s="1508" t="s">
        <v>65</v>
      </c>
      <c r="G6" s="1509"/>
      <c r="H6" s="1509"/>
      <c r="I6" s="1510"/>
      <c r="J6" s="83"/>
      <c r="L6" s="82"/>
      <c r="M6" s="1508" t="s">
        <v>982</v>
      </c>
      <c r="N6" s="1509"/>
      <c r="O6" s="1509"/>
      <c r="P6" s="1509"/>
      <c r="Q6" s="1509"/>
      <c r="R6" s="1509"/>
      <c r="S6" s="1509"/>
      <c r="T6" s="1510"/>
      <c r="U6" s="83"/>
      <c r="W6" s="171"/>
      <c r="X6" s="389" t="s">
        <v>1014</v>
      </c>
      <c r="Y6" s="1494" t="s">
        <v>1020</v>
      </c>
      <c r="Z6" s="1495"/>
      <c r="AA6" s="1495"/>
      <c r="AB6" s="1495"/>
      <c r="AC6" s="1495"/>
      <c r="AD6" s="1495"/>
      <c r="AE6" s="1495"/>
      <c r="AF6" s="1495"/>
      <c r="AG6" s="1496"/>
      <c r="AH6" s="1360"/>
    </row>
    <row r="7" spans="2:34" ht="13.5" customHeight="1" thickBot="1">
      <c r="B7" s="82"/>
      <c r="C7" s="86" t="s">
        <v>66</v>
      </c>
      <c r="D7" s="486">
        <v>3300</v>
      </c>
      <c r="E7" s="85"/>
      <c r="F7" s="272" t="s">
        <v>981</v>
      </c>
      <c r="G7" s="91"/>
      <c r="H7" s="91"/>
      <c r="I7" s="92"/>
      <c r="J7" s="83"/>
      <c r="L7" s="82"/>
      <c r="M7" s="271" t="s">
        <v>980</v>
      </c>
      <c r="N7" s="270"/>
      <c r="O7" s="269"/>
      <c r="P7" s="269"/>
      <c r="Q7" s="268"/>
      <c r="R7" s="268"/>
      <c r="S7" s="268"/>
      <c r="T7" s="267"/>
      <c r="U7" s="83"/>
      <c r="W7" s="171"/>
      <c r="X7" s="386" t="s">
        <v>1005</v>
      </c>
      <c r="Y7" s="427" t="s">
        <v>1004</v>
      </c>
      <c r="Z7" s="383" t="s">
        <v>955</v>
      </c>
      <c r="AA7" s="382" t="s">
        <v>1003</v>
      </c>
      <c r="AB7" s="382" t="s">
        <v>1002</v>
      </c>
      <c r="AC7" s="382" t="s">
        <v>1001</v>
      </c>
      <c r="AD7" s="382" t="s">
        <v>1000</v>
      </c>
      <c r="AE7" s="382" t="s">
        <v>999</v>
      </c>
      <c r="AF7" s="381" t="s">
        <v>998</v>
      </c>
      <c r="AG7" s="381" t="s">
        <v>1019</v>
      </c>
      <c r="AH7" s="1360"/>
    </row>
    <row r="8" spans="2:34" ht="13.5" customHeight="1">
      <c r="B8" s="82"/>
      <c r="C8" s="87" t="s">
        <v>67</v>
      </c>
      <c r="D8" s="487">
        <v>510</v>
      </c>
      <c r="E8" s="85"/>
      <c r="F8" s="162" t="s">
        <v>979</v>
      </c>
      <c r="G8" s="93"/>
      <c r="H8" s="93"/>
      <c r="I8" s="94"/>
      <c r="J8" s="83"/>
      <c r="L8" s="82"/>
      <c r="M8" s="266" t="s">
        <v>1191</v>
      </c>
      <c r="N8" s="260"/>
      <c r="O8" s="259"/>
      <c r="P8" s="259"/>
      <c r="Q8" s="258"/>
      <c r="R8" s="258"/>
      <c r="S8" s="258"/>
      <c r="T8" s="257"/>
      <c r="U8" s="83"/>
      <c r="W8" s="171"/>
      <c r="X8" s="379" t="s">
        <v>91</v>
      </c>
      <c r="Y8" s="1343">
        <v>36</v>
      </c>
      <c r="Z8" s="1344">
        <v>7</v>
      </c>
      <c r="AA8" s="1344">
        <v>34</v>
      </c>
      <c r="AB8" s="1344">
        <v>7</v>
      </c>
      <c r="AC8" s="1344">
        <v>9</v>
      </c>
      <c r="AD8" s="1344">
        <v>2</v>
      </c>
      <c r="AE8" s="1344">
        <v>4</v>
      </c>
      <c r="AF8" s="1345">
        <v>1</v>
      </c>
      <c r="AG8" s="419">
        <f t="shared" ref="AG8:AG14" si="0">SUM(Y8:AF8)</f>
        <v>100</v>
      </c>
      <c r="AH8" s="1360"/>
    </row>
    <row r="9" spans="2:34" ht="13.5" customHeight="1">
      <c r="B9" s="82"/>
      <c r="C9" s="87" t="s">
        <v>68</v>
      </c>
      <c r="D9" s="487">
        <v>2500</v>
      </c>
      <c r="E9" s="85"/>
      <c r="F9" s="162" t="s">
        <v>978</v>
      </c>
      <c r="G9" s="93"/>
      <c r="H9" s="93"/>
      <c r="I9" s="94"/>
      <c r="J9" s="83"/>
      <c r="L9" s="82"/>
      <c r="M9" s="266" t="s">
        <v>1550</v>
      </c>
      <c r="N9" s="260"/>
      <c r="O9" s="259"/>
      <c r="P9" s="259"/>
      <c r="Q9" s="258"/>
      <c r="R9" s="258"/>
      <c r="S9" s="258"/>
      <c r="T9" s="257"/>
      <c r="U9" s="83"/>
      <c r="W9" s="171"/>
      <c r="X9" s="374" t="s">
        <v>92</v>
      </c>
      <c r="Y9" s="1346">
        <v>33</v>
      </c>
      <c r="Z9" s="1347">
        <v>8</v>
      </c>
      <c r="AA9" s="1347">
        <v>35</v>
      </c>
      <c r="AB9" s="1347">
        <v>8</v>
      </c>
      <c r="AC9" s="1347">
        <v>9</v>
      </c>
      <c r="AD9" s="1347">
        <v>2</v>
      </c>
      <c r="AE9" s="1347">
        <v>4</v>
      </c>
      <c r="AF9" s="1348">
        <v>1</v>
      </c>
      <c r="AG9" s="401">
        <f t="shared" si="0"/>
        <v>100</v>
      </c>
      <c r="AH9" s="1360"/>
    </row>
    <row r="10" spans="2:34" ht="13.5" customHeight="1" thickBot="1">
      <c r="B10" s="82"/>
      <c r="C10" s="84" t="s">
        <v>70</v>
      </c>
      <c r="D10" s="1228">
        <v>7000</v>
      </c>
      <c r="E10" s="85"/>
      <c r="F10" s="162" t="s">
        <v>977</v>
      </c>
      <c r="G10" s="93"/>
      <c r="H10" s="93"/>
      <c r="I10" s="94"/>
      <c r="J10" s="83"/>
      <c r="L10" s="82"/>
      <c r="M10" s="266" t="s">
        <v>1549</v>
      </c>
      <c r="N10" s="260"/>
      <c r="O10" s="259"/>
      <c r="P10" s="259"/>
      <c r="Q10" s="258"/>
      <c r="R10" s="258"/>
      <c r="S10" s="258"/>
      <c r="T10" s="257"/>
      <c r="U10" s="83"/>
      <c r="W10" s="171"/>
      <c r="X10" s="374" t="s">
        <v>93</v>
      </c>
      <c r="Y10" s="1346">
        <v>30</v>
      </c>
      <c r="Z10" s="1347">
        <v>13</v>
      </c>
      <c r="AA10" s="1347">
        <v>33</v>
      </c>
      <c r="AB10" s="1347">
        <v>14</v>
      </c>
      <c r="AC10" s="1347">
        <v>5</v>
      </c>
      <c r="AD10" s="1347">
        <v>2</v>
      </c>
      <c r="AE10" s="1347">
        <v>2</v>
      </c>
      <c r="AF10" s="1348">
        <v>1</v>
      </c>
      <c r="AG10" s="401">
        <f t="shared" si="0"/>
        <v>100</v>
      </c>
      <c r="AH10" s="1360"/>
    </row>
    <row r="11" spans="2:34" ht="13.5" customHeight="1">
      <c r="B11" s="82"/>
      <c r="C11" s="86" t="s">
        <v>72</v>
      </c>
      <c r="D11" s="486">
        <v>240</v>
      </c>
      <c r="E11" s="85"/>
      <c r="F11" s="162" t="s">
        <v>69</v>
      </c>
      <c r="G11" s="95"/>
      <c r="H11" s="95"/>
      <c r="I11" s="96"/>
      <c r="J11" s="83"/>
      <c r="L11" s="82"/>
      <c r="M11" s="265" t="s">
        <v>1192</v>
      </c>
      <c r="N11" s="264"/>
      <c r="O11" s="263"/>
      <c r="P11" s="263"/>
      <c r="Q11" s="262"/>
      <c r="R11" s="262"/>
      <c r="S11" s="262"/>
      <c r="T11" s="261"/>
      <c r="U11" s="83"/>
      <c r="W11" s="171"/>
      <c r="X11" s="374" t="s">
        <v>94</v>
      </c>
      <c r="Y11" s="1346">
        <v>32</v>
      </c>
      <c r="Z11" s="1347">
        <v>8</v>
      </c>
      <c r="AA11" s="1347">
        <v>34</v>
      </c>
      <c r="AB11" s="1347">
        <v>8</v>
      </c>
      <c r="AC11" s="1347">
        <v>10</v>
      </c>
      <c r="AD11" s="1347">
        <v>3</v>
      </c>
      <c r="AE11" s="1347">
        <v>4</v>
      </c>
      <c r="AF11" s="1348">
        <v>1</v>
      </c>
      <c r="AG11" s="401">
        <f t="shared" si="0"/>
        <v>100</v>
      </c>
      <c r="AH11" s="1360"/>
    </row>
    <row r="12" spans="2:34" ht="13.5" customHeight="1">
      <c r="B12" s="82"/>
      <c r="C12" s="87" t="s">
        <v>73</v>
      </c>
      <c r="D12" s="487">
        <v>35</v>
      </c>
      <c r="E12" s="85"/>
      <c r="F12" s="162" t="s">
        <v>71</v>
      </c>
      <c r="G12" s="95"/>
      <c r="H12" s="95"/>
      <c r="I12" s="96"/>
      <c r="J12" s="83"/>
      <c r="L12" s="82"/>
      <c r="M12" s="265" t="s">
        <v>976</v>
      </c>
      <c r="N12" s="264"/>
      <c r="O12" s="263"/>
      <c r="P12" s="263"/>
      <c r="Q12" s="262"/>
      <c r="R12" s="262"/>
      <c r="S12" s="262"/>
      <c r="T12" s="261"/>
      <c r="U12" s="83"/>
      <c r="W12" s="171"/>
      <c r="X12" s="367" t="s">
        <v>1012</v>
      </c>
      <c r="Y12" s="1349">
        <v>29</v>
      </c>
      <c r="Z12" s="1350">
        <v>1</v>
      </c>
      <c r="AA12" s="1350">
        <v>37</v>
      </c>
      <c r="AB12" s="1350">
        <v>1</v>
      </c>
      <c r="AC12" s="1350">
        <v>21</v>
      </c>
      <c r="AD12" s="1350">
        <v>1</v>
      </c>
      <c r="AE12" s="1350">
        <v>9</v>
      </c>
      <c r="AF12" s="1351">
        <v>1</v>
      </c>
      <c r="AG12" s="396">
        <f t="shared" si="0"/>
        <v>100</v>
      </c>
      <c r="AH12" s="1360"/>
    </row>
    <row r="13" spans="2:34" ht="13.5" customHeight="1">
      <c r="B13" s="82"/>
      <c r="C13" s="87" t="s">
        <v>75</v>
      </c>
      <c r="D13" s="487">
        <v>150</v>
      </c>
      <c r="E13" s="85"/>
      <c r="F13" s="162" t="s">
        <v>974</v>
      </c>
      <c r="G13" s="95"/>
      <c r="H13" s="95"/>
      <c r="I13" s="96"/>
      <c r="J13" s="83"/>
      <c r="L13" s="82"/>
      <c r="M13" s="256" t="s">
        <v>975</v>
      </c>
      <c r="N13" s="260"/>
      <c r="O13" s="259"/>
      <c r="P13" s="259"/>
      <c r="Q13" s="258"/>
      <c r="R13" s="258"/>
      <c r="S13" s="258"/>
      <c r="T13" s="257"/>
      <c r="U13" s="83"/>
      <c r="W13" s="171"/>
      <c r="X13" s="367" t="s">
        <v>971</v>
      </c>
      <c r="Y13" s="1349">
        <v>42.4</v>
      </c>
      <c r="Z13" s="1350">
        <v>9.8000000000000007</v>
      </c>
      <c r="AA13" s="1350">
        <v>32.9</v>
      </c>
      <c r="AB13" s="1350">
        <v>8.8000000000000007</v>
      </c>
      <c r="AC13" s="1350">
        <v>3.5</v>
      </c>
      <c r="AD13" s="1350">
        <v>1.2</v>
      </c>
      <c r="AE13" s="1350">
        <v>0.2</v>
      </c>
      <c r="AF13" s="1351">
        <v>1.2</v>
      </c>
      <c r="AG13" s="396">
        <f t="shared" si="0"/>
        <v>100</v>
      </c>
      <c r="AH13" s="1360"/>
    </row>
    <row r="14" spans="2:34" ht="13.5" customHeight="1" thickBot="1">
      <c r="B14" s="82"/>
      <c r="C14" s="84" t="s">
        <v>77</v>
      </c>
      <c r="D14" s="1228">
        <v>500</v>
      </c>
      <c r="E14" s="85"/>
      <c r="F14" s="162" t="s">
        <v>973</v>
      </c>
      <c r="G14" s="95"/>
      <c r="H14" s="95"/>
      <c r="I14" s="96"/>
      <c r="J14" s="83"/>
      <c r="L14" s="82"/>
      <c r="M14" s="256" t="s">
        <v>1193</v>
      </c>
      <c r="N14" s="159"/>
      <c r="O14" s="159"/>
      <c r="P14" s="159"/>
      <c r="Q14" s="159"/>
      <c r="R14" s="159"/>
      <c r="S14" s="159"/>
      <c r="T14" s="255"/>
      <c r="U14" s="83"/>
      <c r="W14" s="171"/>
      <c r="X14" s="361" t="s">
        <v>1009</v>
      </c>
      <c r="Y14" s="1352">
        <v>30</v>
      </c>
      <c r="Z14" s="1353">
        <v>10</v>
      </c>
      <c r="AA14" s="1353">
        <v>38</v>
      </c>
      <c r="AB14" s="1353">
        <v>10</v>
      </c>
      <c r="AC14" s="1353">
        <v>7</v>
      </c>
      <c r="AD14" s="1353">
        <v>1</v>
      </c>
      <c r="AE14" s="1353">
        <v>3</v>
      </c>
      <c r="AF14" s="1354">
        <v>1</v>
      </c>
      <c r="AG14" s="391">
        <f t="shared" si="0"/>
        <v>100</v>
      </c>
      <c r="AH14" s="1360"/>
    </row>
    <row r="15" spans="2:34" ht="13.5" customHeight="1" thickBot="1">
      <c r="B15" s="82"/>
      <c r="C15" s="86" t="s">
        <v>81</v>
      </c>
      <c r="D15" s="486">
        <v>40</v>
      </c>
      <c r="E15" s="85"/>
      <c r="F15" s="162" t="s">
        <v>74</v>
      </c>
      <c r="G15" s="95"/>
      <c r="H15" s="95"/>
      <c r="I15" s="96"/>
      <c r="J15" s="83"/>
      <c r="L15" s="82"/>
      <c r="M15" s="256" t="s">
        <v>1936</v>
      </c>
      <c r="N15" s="159"/>
      <c r="O15" s="159"/>
      <c r="P15" s="159"/>
      <c r="Q15" s="159"/>
      <c r="R15" s="159"/>
      <c r="S15" s="159"/>
      <c r="T15" s="255"/>
      <c r="U15" s="83"/>
      <c r="W15" s="171"/>
      <c r="X15" s="1355" t="s">
        <v>1934</v>
      </c>
      <c r="Y15" s="1341">
        <v>31</v>
      </c>
      <c r="Z15" s="1342">
        <v>9</v>
      </c>
      <c r="AA15" s="1342">
        <v>35.5</v>
      </c>
      <c r="AB15" s="1342">
        <v>10.5</v>
      </c>
      <c r="AC15" s="1342">
        <v>8</v>
      </c>
      <c r="AD15" s="1342">
        <v>1.5</v>
      </c>
      <c r="AE15" s="1356">
        <v>3.5</v>
      </c>
      <c r="AF15" s="1357">
        <f>100-SUM(Y15:AE15)</f>
        <v>1</v>
      </c>
      <c r="AG15" s="391">
        <f t="shared" ref="AG15" si="1">SUM(Y15:AF15)</f>
        <v>100</v>
      </c>
      <c r="AH15" s="1360"/>
    </row>
    <row r="16" spans="2:34" ht="13.5" customHeight="1" thickBot="1">
      <c r="B16" s="82"/>
      <c r="C16" s="87" t="s">
        <v>86</v>
      </c>
      <c r="D16" s="1229">
        <v>4.8</v>
      </c>
      <c r="E16" s="85"/>
      <c r="F16" s="99" t="s">
        <v>76</v>
      </c>
      <c r="G16" s="100"/>
      <c r="H16" s="100"/>
      <c r="I16" s="101"/>
      <c r="J16" s="83"/>
      <c r="L16" s="82"/>
      <c r="M16" s="256" t="s">
        <v>1194</v>
      </c>
      <c r="N16" s="159"/>
      <c r="O16" s="159"/>
      <c r="P16" s="159"/>
      <c r="Q16" s="159"/>
      <c r="R16" s="159"/>
      <c r="S16" s="159"/>
      <c r="T16" s="255"/>
      <c r="U16" s="83"/>
      <c r="W16" s="177"/>
      <c r="X16" s="178"/>
      <c r="Y16" s="178"/>
      <c r="Z16" s="178"/>
      <c r="AA16" s="178"/>
      <c r="AB16" s="178"/>
      <c r="AC16" s="178"/>
      <c r="AD16" s="178"/>
      <c r="AE16" s="178"/>
      <c r="AF16" s="178"/>
      <c r="AG16" s="178"/>
      <c r="AH16" s="179"/>
    </row>
    <row r="17" spans="2:21" ht="13.5" customHeight="1" thickBot="1">
      <c r="B17" s="82"/>
      <c r="C17" s="87" t="s">
        <v>87</v>
      </c>
      <c r="D17" s="487">
        <v>35</v>
      </c>
      <c r="E17" s="85"/>
      <c r="F17" s="162" t="s">
        <v>78</v>
      </c>
      <c r="G17" s="95"/>
      <c r="H17" s="95"/>
      <c r="I17" s="96"/>
      <c r="J17" s="83"/>
      <c r="L17" s="82"/>
      <c r="M17" s="254"/>
      <c r="N17" s="253"/>
      <c r="O17" s="253"/>
      <c r="P17" s="253"/>
      <c r="Q17" s="252"/>
      <c r="R17" s="252"/>
      <c r="S17" s="252"/>
      <c r="T17" s="251"/>
      <c r="U17" s="83"/>
    </row>
    <row r="18" spans="2:21" ht="13.5" customHeight="1" thickBot="1">
      <c r="B18" s="82"/>
      <c r="C18" s="84" t="s">
        <v>88</v>
      </c>
      <c r="D18" s="1228">
        <v>55</v>
      </c>
      <c r="E18" s="85"/>
      <c r="F18" s="97" t="s">
        <v>82</v>
      </c>
      <c r="G18" s="104"/>
      <c r="H18" s="104"/>
      <c r="I18" s="105"/>
      <c r="J18" s="83"/>
      <c r="L18" s="82"/>
      <c r="M18" s="250"/>
      <c r="N18" s="249"/>
      <c r="O18" s="249"/>
      <c r="P18" s="249"/>
      <c r="Q18" s="248"/>
      <c r="R18" s="248"/>
      <c r="S18" s="248"/>
      <c r="T18" s="248"/>
      <c r="U18" s="83"/>
    </row>
    <row r="19" spans="2:21" ht="13.5" customHeight="1" thickBot="1">
      <c r="B19" s="82"/>
      <c r="C19" s="85"/>
      <c r="D19" s="85"/>
      <c r="E19" s="85"/>
      <c r="F19" s="108"/>
      <c r="G19" s="108"/>
      <c r="H19" s="108"/>
      <c r="I19" s="108"/>
      <c r="J19" s="83"/>
      <c r="L19" s="82"/>
      <c r="M19" s="1182"/>
      <c r="N19" s="1182"/>
      <c r="O19" s="85"/>
      <c r="P19" s="1408" t="s">
        <v>972</v>
      </c>
      <c r="Q19" s="1409"/>
      <c r="R19" s="1409"/>
      <c r="S19" s="1409"/>
      <c r="T19" s="1410"/>
      <c r="U19" s="83"/>
    </row>
    <row r="20" spans="2:21" ht="13.5" customHeight="1" thickBot="1">
      <c r="B20" s="82"/>
      <c r="C20" s="1408" t="s">
        <v>969</v>
      </c>
      <c r="D20" s="1410"/>
      <c r="E20" s="85"/>
      <c r="F20" s="108"/>
      <c r="G20" s="108"/>
      <c r="H20" s="108"/>
      <c r="I20" s="108"/>
      <c r="J20" s="83"/>
      <c r="K20" s="88"/>
      <c r="L20" s="82"/>
      <c r="M20" s="1182"/>
      <c r="N20" s="1182"/>
      <c r="O20" s="85"/>
      <c r="P20" s="1514" t="s">
        <v>967</v>
      </c>
      <c r="Q20" s="1515"/>
      <c r="R20" s="1515"/>
      <c r="S20" s="1516"/>
      <c r="T20" s="193" t="s">
        <v>91</v>
      </c>
      <c r="U20" s="83"/>
    </row>
    <row r="21" spans="2:21" ht="13.5" customHeight="1" thickBot="1">
      <c r="B21" s="82"/>
      <c r="C21" s="236" t="s">
        <v>967</v>
      </c>
      <c r="D21" s="193" t="s">
        <v>91</v>
      </c>
      <c r="E21" s="85"/>
      <c r="F21" s="98"/>
      <c r="G21" s="98"/>
      <c r="H21" s="98"/>
      <c r="I21" s="98"/>
      <c r="J21" s="83"/>
      <c r="L21" s="82"/>
      <c r="M21" s="85"/>
      <c r="N21" s="85"/>
      <c r="O21" s="85"/>
      <c r="P21" s="85"/>
      <c r="Q21" s="85"/>
      <c r="R21" s="247"/>
      <c r="S21" s="247"/>
      <c r="T21" s="247"/>
      <c r="U21" s="83"/>
    </row>
    <row r="22" spans="2:21" ht="13.5" customHeight="1" thickBot="1">
      <c r="B22" s="82"/>
      <c r="C22" s="230"/>
      <c r="D22" s="230"/>
      <c r="E22" s="85"/>
      <c r="F22" s="108"/>
      <c r="G22" s="108"/>
      <c r="H22" s="108"/>
      <c r="I22" s="108"/>
      <c r="J22" s="83"/>
      <c r="L22" s="82"/>
      <c r="M22" s="85"/>
      <c r="N22" s="85"/>
      <c r="O22" s="85"/>
      <c r="P22" s="111" t="s">
        <v>970</v>
      </c>
      <c r="Q22" s="246" t="str">
        <f>IF(OR($O$23&lt;1,COUNT(Q26:Q1025)&lt;1),"",AVERAGE(Q26:Q1025))</f>
        <v/>
      </c>
      <c r="R22" s="245">
        <f>IF(OR($O$23&lt;1,COUNT(R26:R1025)&lt;1),"",AVERAGE(R26:R1025))</f>
        <v>200</v>
      </c>
      <c r="S22" s="244">
        <f>IF(OR($O$23&lt;1,COUNT(S26:S1025)&lt;1),"",AVERAGE(S26:S1025))</f>
        <v>38.017999877929689</v>
      </c>
      <c r="T22" s="243" t="str">
        <f>IF(OR($O$23&lt;1,COUNT(T26:T1025)&lt;1),"",AVERAGE(T26:T1025))</f>
        <v/>
      </c>
      <c r="U22" s="83"/>
    </row>
    <row r="23" spans="2:21" ht="13.5" customHeight="1" thickBot="1">
      <c r="B23" s="82"/>
      <c r="C23" s="1489" t="s">
        <v>89</v>
      </c>
      <c r="D23" s="1513"/>
      <c r="E23" s="1513"/>
      <c r="F23" s="1513"/>
      <c r="G23" s="1513"/>
      <c r="H23" s="1513"/>
      <c r="I23" s="1490"/>
      <c r="J23" s="83"/>
      <c r="L23" s="82"/>
      <c r="M23" s="1517" t="s">
        <v>98</v>
      </c>
      <c r="N23" s="1518"/>
      <c r="O23" s="242">
        <f>COUNT(R26:R1025)</f>
        <v>100</v>
      </c>
      <c r="P23" s="241" t="s">
        <v>968</v>
      </c>
      <c r="Q23" s="240" t="str">
        <f>IF(OR($O$23&lt;2,COUNT(Q26:Q1025)&lt;2),"",STDEV(Q26:Q1025))</f>
        <v/>
      </c>
      <c r="R23" s="239">
        <f>IF(OR($O$23&lt;2,COUNT(R26:R1025)&lt;2),"",STDEV(R26:R1025))</f>
        <v>0</v>
      </c>
      <c r="S23" s="238">
        <f>IF(OR($O$23&lt;2,COUNT(S26:S1025)&lt;2),"",STDEV(S26:S1025))</f>
        <v>2.9022937092513774</v>
      </c>
      <c r="T23" s="237" t="str">
        <f>IF(OR($O$23&lt;2,COUNT(T26:T1025)&lt;2),"",STDEV(T26:T1025))</f>
        <v/>
      </c>
      <c r="U23" s="83"/>
    </row>
    <row r="24" spans="2:21" ht="13.5" customHeight="1" thickBot="1">
      <c r="B24" s="82"/>
      <c r="C24" s="111" t="s">
        <v>90</v>
      </c>
      <c r="D24" s="111" t="s">
        <v>91</v>
      </c>
      <c r="E24" s="111" t="s">
        <v>92</v>
      </c>
      <c r="F24" s="111" t="s">
        <v>93</v>
      </c>
      <c r="G24" s="111" t="s">
        <v>94</v>
      </c>
      <c r="H24" s="111" t="s">
        <v>95</v>
      </c>
      <c r="I24" s="111" t="s">
        <v>96</v>
      </c>
      <c r="J24" s="83"/>
      <c r="L24" s="82"/>
      <c r="M24" s="1511" t="s">
        <v>62</v>
      </c>
      <c r="N24" s="235" t="s">
        <v>966</v>
      </c>
      <c r="O24" s="234" t="s">
        <v>36</v>
      </c>
      <c r="P24" s="233" t="s">
        <v>18</v>
      </c>
      <c r="Q24" s="232" t="s">
        <v>15</v>
      </c>
      <c r="R24" s="102" t="s">
        <v>79</v>
      </c>
      <c r="S24" s="231" t="s">
        <v>80</v>
      </c>
      <c r="T24" s="103" t="s">
        <v>965</v>
      </c>
      <c r="U24" s="83"/>
    </row>
    <row r="25" spans="2:21" ht="13.5" customHeight="1" thickBot="1">
      <c r="B25" s="82"/>
      <c r="C25" s="86" t="s">
        <v>66</v>
      </c>
      <c r="D25" s="112">
        <v>5400</v>
      </c>
      <c r="E25" s="112">
        <v>5200</v>
      </c>
      <c r="F25" s="112">
        <v>4600</v>
      </c>
      <c r="G25" s="112">
        <v>4900</v>
      </c>
      <c r="H25" s="112">
        <v>4400</v>
      </c>
      <c r="I25" s="112">
        <v>5300</v>
      </c>
      <c r="J25" s="83"/>
      <c r="L25" s="82"/>
      <c r="M25" s="1512"/>
      <c r="N25" s="229" t="s">
        <v>964</v>
      </c>
      <c r="O25" s="228" t="s">
        <v>2026</v>
      </c>
      <c r="P25" s="227" t="s">
        <v>2027</v>
      </c>
      <c r="Q25" s="226" t="s">
        <v>83</v>
      </c>
      <c r="R25" s="106" t="s">
        <v>84</v>
      </c>
      <c r="S25" s="225" t="s">
        <v>85</v>
      </c>
      <c r="T25" s="107" t="s">
        <v>963</v>
      </c>
      <c r="U25" s="83"/>
    </row>
    <row r="26" spans="2:21" ht="13.5" customHeight="1">
      <c r="B26" s="82"/>
      <c r="C26" s="87" t="s">
        <v>67</v>
      </c>
      <c r="D26" s="113">
        <v>920</v>
      </c>
      <c r="E26" s="113">
        <v>780</v>
      </c>
      <c r="F26" s="113">
        <v>790</v>
      </c>
      <c r="G26" s="113">
        <v>760</v>
      </c>
      <c r="H26" s="113">
        <v>510</v>
      </c>
      <c r="I26" s="113">
        <v>730</v>
      </c>
      <c r="J26" s="83"/>
      <c r="L26" s="82"/>
      <c r="M26" s="109">
        <v>1</v>
      </c>
      <c r="N26" s="818" t="s">
        <v>957</v>
      </c>
      <c r="O26" s="819">
        <v>162</v>
      </c>
      <c r="P26" s="819">
        <v>57</v>
      </c>
      <c r="Q26" s="820"/>
      <c r="R26" s="821">
        <v>200</v>
      </c>
      <c r="S26" s="822">
        <v>42.200000762939453</v>
      </c>
      <c r="T26" s="823"/>
      <c r="U26" s="83"/>
    </row>
    <row r="27" spans="2:21" ht="13.5" customHeight="1">
      <c r="B27" s="82"/>
      <c r="C27" s="87" t="s">
        <v>68</v>
      </c>
      <c r="D27" s="113">
        <v>3000</v>
      </c>
      <c r="E27" s="113">
        <v>3000</v>
      </c>
      <c r="F27" s="113">
        <v>3000</v>
      </c>
      <c r="G27" s="113">
        <v>3000</v>
      </c>
      <c r="H27" s="113">
        <v>2500</v>
      </c>
      <c r="I27" s="113">
        <v>3000</v>
      </c>
      <c r="J27" s="83"/>
      <c r="L27" s="82"/>
      <c r="M27" s="110">
        <v>2</v>
      </c>
      <c r="N27" s="223" t="s">
        <v>957</v>
      </c>
      <c r="O27" s="223">
        <v>174</v>
      </c>
      <c r="P27" s="223">
        <v>67</v>
      </c>
      <c r="Q27" s="205"/>
      <c r="R27" s="206">
        <v>200</v>
      </c>
      <c r="S27" s="222">
        <v>45.799999237060547</v>
      </c>
      <c r="T27" s="207"/>
      <c r="U27" s="83"/>
    </row>
    <row r="28" spans="2:21" ht="13.5" customHeight="1" thickBot="1">
      <c r="B28" s="82"/>
      <c r="C28" s="84" t="s">
        <v>70</v>
      </c>
      <c r="D28" s="114">
        <v>10000</v>
      </c>
      <c r="E28" s="114">
        <v>8000</v>
      </c>
      <c r="F28" s="114">
        <v>8000</v>
      </c>
      <c r="G28" s="114">
        <v>8000</v>
      </c>
      <c r="H28" s="114">
        <v>7000</v>
      </c>
      <c r="I28" s="114">
        <v>8000</v>
      </c>
      <c r="J28" s="83"/>
      <c r="L28" s="82"/>
      <c r="M28" s="110">
        <v>3</v>
      </c>
      <c r="N28" s="223" t="s">
        <v>1892</v>
      </c>
      <c r="O28" s="223">
        <v>161</v>
      </c>
      <c r="P28" s="223">
        <v>65</v>
      </c>
      <c r="Q28" s="205"/>
      <c r="R28" s="206">
        <v>200</v>
      </c>
      <c r="S28" s="222">
        <v>39.200000762939453</v>
      </c>
      <c r="T28" s="207"/>
      <c r="U28" s="83"/>
    </row>
    <row r="29" spans="2:21" ht="13.5" customHeight="1">
      <c r="B29" s="82"/>
      <c r="C29" s="86" t="s">
        <v>72</v>
      </c>
      <c r="D29" s="112">
        <v>260</v>
      </c>
      <c r="E29" s="112">
        <v>260</v>
      </c>
      <c r="F29" s="112">
        <v>250</v>
      </c>
      <c r="G29" s="112">
        <v>250</v>
      </c>
      <c r="H29" s="112">
        <v>240</v>
      </c>
      <c r="I29" s="112">
        <v>280</v>
      </c>
      <c r="J29" s="83"/>
      <c r="L29" s="82"/>
      <c r="M29" s="110">
        <v>4</v>
      </c>
      <c r="N29" s="223" t="s">
        <v>957</v>
      </c>
      <c r="O29" s="223">
        <v>175</v>
      </c>
      <c r="P29" s="223">
        <v>75</v>
      </c>
      <c r="Q29" s="205"/>
      <c r="R29" s="206">
        <v>200</v>
      </c>
      <c r="S29" s="222">
        <v>38.299999237060547</v>
      </c>
      <c r="T29" s="207"/>
      <c r="U29" s="83"/>
    </row>
    <row r="30" spans="2:21" ht="13.5" customHeight="1">
      <c r="B30" s="82"/>
      <c r="C30" s="87" t="s">
        <v>73</v>
      </c>
      <c r="D30" s="113">
        <v>60</v>
      </c>
      <c r="E30" s="113">
        <v>45</v>
      </c>
      <c r="F30" s="113">
        <v>50</v>
      </c>
      <c r="G30" s="113">
        <v>50</v>
      </c>
      <c r="H30" s="113">
        <v>35</v>
      </c>
      <c r="I30" s="113">
        <v>45</v>
      </c>
      <c r="J30" s="83"/>
      <c r="L30" s="82"/>
      <c r="M30" s="110">
        <v>5</v>
      </c>
      <c r="N30" s="223" t="s">
        <v>957</v>
      </c>
      <c r="O30" s="223">
        <v>158</v>
      </c>
      <c r="P30" s="223">
        <v>52</v>
      </c>
      <c r="Q30" s="205"/>
      <c r="R30" s="206">
        <v>200</v>
      </c>
      <c r="S30" s="222">
        <v>43.099998474121094</v>
      </c>
      <c r="T30" s="207"/>
      <c r="U30" s="83"/>
    </row>
    <row r="31" spans="2:21" ht="13.5" customHeight="1">
      <c r="B31" s="82"/>
      <c r="C31" s="87" t="s">
        <v>75</v>
      </c>
      <c r="D31" s="113">
        <v>150</v>
      </c>
      <c r="E31" s="113">
        <v>150</v>
      </c>
      <c r="F31" s="113">
        <v>150</v>
      </c>
      <c r="G31" s="113">
        <v>150</v>
      </c>
      <c r="H31" s="113">
        <v>150</v>
      </c>
      <c r="I31" s="113">
        <v>150</v>
      </c>
      <c r="J31" s="83"/>
      <c r="L31" s="82"/>
      <c r="M31" s="110">
        <v>6</v>
      </c>
      <c r="N31" s="223" t="s">
        <v>957</v>
      </c>
      <c r="O31" s="223">
        <v>167</v>
      </c>
      <c r="P31" s="223">
        <v>58</v>
      </c>
      <c r="Q31" s="205"/>
      <c r="R31" s="206">
        <v>200</v>
      </c>
      <c r="S31" s="222">
        <v>43.5</v>
      </c>
      <c r="T31" s="207"/>
      <c r="U31" s="83"/>
    </row>
    <row r="32" spans="2:21" ht="13.5" customHeight="1" thickBot="1">
      <c r="B32" s="82"/>
      <c r="C32" s="84" t="s">
        <v>77</v>
      </c>
      <c r="D32" s="114">
        <v>500</v>
      </c>
      <c r="E32" s="114">
        <v>500</v>
      </c>
      <c r="F32" s="114">
        <v>500</v>
      </c>
      <c r="G32" s="114">
        <v>500</v>
      </c>
      <c r="H32" s="114">
        <v>500</v>
      </c>
      <c r="I32" s="114">
        <v>500</v>
      </c>
      <c r="J32" s="83"/>
      <c r="L32" s="82"/>
      <c r="M32" s="110">
        <v>7</v>
      </c>
      <c r="N32" s="223" t="s">
        <v>1892</v>
      </c>
      <c r="O32" s="223">
        <v>164</v>
      </c>
      <c r="P32" s="223">
        <v>72</v>
      </c>
      <c r="Q32" s="205"/>
      <c r="R32" s="206">
        <v>200</v>
      </c>
      <c r="S32" s="222">
        <v>36.299999237060547</v>
      </c>
      <c r="T32" s="207"/>
      <c r="U32" s="83"/>
    </row>
    <row r="33" spans="2:21" ht="13.5" customHeight="1">
      <c r="B33" s="82"/>
      <c r="C33" s="86" t="s">
        <v>81</v>
      </c>
      <c r="D33" s="115">
        <v>43</v>
      </c>
      <c r="E33" s="115">
        <v>45</v>
      </c>
      <c r="F33" s="115">
        <v>41</v>
      </c>
      <c r="G33" s="115">
        <v>43</v>
      </c>
      <c r="H33" s="115">
        <v>44</v>
      </c>
      <c r="I33" s="115">
        <v>43</v>
      </c>
      <c r="J33" s="83"/>
      <c r="L33" s="82"/>
      <c r="M33" s="110">
        <v>8</v>
      </c>
      <c r="N33" s="223" t="s">
        <v>957</v>
      </c>
      <c r="O33" s="224">
        <v>174</v>
      </c>
      <c r="P33" s="223">
        <v>53</v>
      </c>
      <c r="Q33" s="205"/>
      <c r="R33" s="206">
        <v>200</v>
      </c>
      <c r="S33" s="222">
        <v>35.700000762939453</v>
      </c>
      <c r="T33" s="207"/>
      <c r="U33" s="83"/>
    </row>
    <row r="34" spans="2:21" ht="13.5" customHeight="1">
      <c r="B34" s="82"/>
      <c r="C34" s="87" t="s">
        <v>86</v>
      </c>
      <c r="D34" s="116">
        <v>3.6</v>
      </c>
      <c r="E34" s="117">
        <v>3</v>
      </c>
      <c r="F34" s="117">
        <v>3</v>
      </c>
      <c r="G34" s="117">
        <v>3.5</v>
      </c>
      <c r="H34" s="117">
        <v>4.8</v>
      </c>
      <c r="I34" s="117">
        <v>3</v>
      </c>
      <c r="J34" s="83"/>
      <c r="L34" s="82"/>
      <c r="M34" s="110">
        <v>9</v>
      </c>
      <c r="N34" s="223" t="s">
        <v>957</v>
      </c>
      <c r="O34" s="223">
        <v>164</v>
      </c>
      <c r="P34" s="223">
        <v>70</v>
      </c>
      <c r="Q34" s="205"/>
      <c r="R34" s="206">
        <v>200</v>
      </c>
      <c r="S34" s="222">
        <v>42.599998474121094</v>
      </c>
      <c r="T34" s="207"/>
      <c r="U34" s="83"/>
    </row>
    <row r="35" spans="2:21" ht="13.5" customHeight="1">
      <c r="B35" s="82"/>
      <c r="C35" s="87" t="s">
        <v>87</v>
      </c>
      <c r="D35" s="116">
        <v>35</v>
      </c>
      <c r="E35" s="116">
        <v>35</v>
      </c>
      <c r="F35" s="116">
        <v>35</v>
      </c>
      <c r="G35" s="116">
        <v>35</v>
      </c>
      <c r="H35" s="116">
        <v>35</v>
      </c>
      <c r="I35" s="116">
        <v>35</v>
      </c>
      <c r="J35" s="83"/>
      <c r="L35" s="82"/>
      <c r="M35" s="110">
        <v>10</v>
      </c>
      <c r="N35" s="223" t="s">
        <v>957</v>
      </c>
      <c r="O35" s="223">
        <v>170</v>
      </c>
      <c r="P35" s="223">
        <v>85</v>
      </c>
      <c r="Q35" s="205"/>
      <c r="R35" s="206">
        <v>200</v>
      </c>
      <c r="S35" s="222">
        <v>43</v>
      </c>
      <c r="T35" s="207"/>
      <c r="U35" s="83"/>
    </row>
    <row r="36" spans="2:21" ht="13.5" customHeight="1" thickBot="1">
      <c r="B36" s="82"/>
      <c r="C36" s="84" t="s">
        <v>88</v>
      </c>
      <c r="D36" s="118">
        <v>55</v>
      </c>
      <c r="E36" s="118">
        <v>55</v>
      </c>
      <c r="F36" s="118">
        <v>55</v>
      </c>
      <c r="G36" s="118">
        <v>55</v>
      </c>
      <c r="H36" s="118">
        <v>55</v>
      </c>
      <c r="I36" s="118">
        <v>55</v>
      </c>
      <c r="J36" s="83"/>
      <c r="L36" s="82"/>
      <c r="M36" s="110">
        <v>11</v>
      </c>
      <c r="N36" s="223" t="s">
        <v>957</v>
      </c>
      <c r="O36" s="223">
        <v>171</v>
      </c>
      <c r="P36" s="223">
        <v>62</v>
      </c>
      <c r="Q36" s="205"/>
      <c r="R36" s="206">
        <v>200</v>
      </c>
      <c r="S36" s="222">
        <v>37.299999237060547</v>
      </c>
      <c r="T36" s="207"/>
      <c r="U36" s="83"/>
    </row>
    <row r="37" spans="2:21" ht="13.5" customHeight="1" thickBot="1">
      <c r="B37" s="119"/>
      <c r="C37" s="120"/>
      <c r="D37" s="120"/>
      <c r="E37" s="120"/>
      <c r="F37" s="120"/>
      <c r="G37" s="120"/>
      <c r="H37" s="120"/>
      <c r="I37" s="120"/>
      <c r="J37" s="121"/>
      <c r="L37" s="82"/>
      <c r="M37" s="110">
        <v>12</v>
      </c>
      <c r="N37" s="223" t="s">
        <v>957</v>
      </c>
      <c r="O37" s="223">
        <v>170</v>
      </c>
      <c r="P37" s="223">
        <v>53</v>
      </c>
      <c r="Q37" s="205"/>
      <c r="R37" s="206">
        <v>200</v>
      </c>
      <c r="S37" s="222">
        <v>36.599998474121094</v>
      </c>
      <c r="T37" s="207"/>
      <c r="U37" s="83"/>
    </row>
    <row r="38" spans="2:21" ht="13.5" customHeight="1">
      <c r="L38" s="82"/>
      <c r="M38" s="110">
        <v>13</v>
      </c>
      <c r="N38" s="223" t="s">
        <v>957</v>
      </c>
      <c r="O38" s="223">
        <v>170</v>
      </c>
      <c r="P38" s="223">
        <v>65</v>
      </c>
      <c r="Q38" s="205"/>
      <c r="R38" s="206">
        <v>200</v>
      </c>
      <c r="S38" s="222">
        <v>39.900001525878906</v>
      </c>
      <c r="T38" s="207"/>
      <c r="U38" s="83"/>
    </row>
    <row r="39" spans="2:21" ht="13.5" customHeight="1">
      <c r="L39" s="82"/>
      <c r="M39" s="110">
        <v>14</v>
      </c>
      <c r="N39" s="223" t="s">
        <v>957</v>
      </c>
      <c r="O39" s="223">
        <v>165</v>
      </c>
      <c r="P39" s="223">
        <v>64</v>
      </c>
      <c r="Q39" s="205"/>
      <c r="R39" s="206">
        <v>200</v>
      </c>
      <c r="S39" s="222">
        <v>39.299999237060547</v>
      </c>
      <c r="T39" s="207"/>
      <c r="U39" s="83"/>
    </row>
    <row r="40" spans="2:21" ht="13.5" customHeight="1">
      <c r="L40" s="82"/>
      <c r="M40" s="110">
        <v>15</v>
      </c>
      <c r="N40" s="223" t="s">
        <v>957</v>
      </c>
      <c r="O40" s="223">
        <v>170</v>
      </c>
      <c r="P40" s="223">
        <v>57</v>
      </c>
      <c r="Q40" s="205"/>
      <c r="R40" s="206">
        <v>200</v>
      </c>
      <c r="S40" s="222">
        <v>44.400001525878906</v>
      </c>
      <c r="T40" s="207"/>
      <c r="U40" s="83"/>
    </row>
    <row r="41" spans="2:21" ht="13.5" customHeight="1">
      <c r="L41" s="82"/>
      <c r="M41" s="110">
        <v>16</v>
      </c>
      <c r="N41" s="223" t="s">
        <v>957</v>
      </c>
      <c r="O41" s="223">
        <v>170</v>
      </c>
      <c r="P41" s="223">
        <v>59</v>
      </c>
      <c r="Q41" s="205"/>
      <c r="R41" s="206">
        <v>200</v>
      </c>
      <c r="S41" s="222">
        <v>42</v>
      </c>
      <c r="T41" s="207"/>
      <c r="U41" s="83"/>
    </row>
    <row r="42" spans="2:21" ht="13.5" customHeight="1">
      <c r="L42" s="82"/>
      <c r="M42" s="110">
        <v>17</v>
      </c>
      <c r="N42" s="223" t="s">
        <v>957</v>
      </c>
      <c r="O42" s="223">
        <v>164</v>
      </c>
      <c r="P42" s="223">
        <v>65</v>
      </c>
      <c r="Q42" s="205"/>
      <c r="R42" s="206">
        <v>200</v>
      </c>
      <c r="S42" s="222">
        <v>41.099998474121094</v>
      </c>
      <c r="T42" s="207"/>
      <c r="U42" s="83"/>
    </row>
    <row r="43" spans="2:21" ht="13.5" customHeight="1">
      <c r="L43" s="82"/>
      <c r="M43" s="110">
        <v>18</v>
      </c>
      <c r="N43" s="223" t="s">
        <v>957</v>
      </c>
      <c r="O43" s="223">
        <v>165</v>
      </c>
      <c r="P43" s="223">
        <v>62</v>
      </c>
      <c r="Q43" s="205"/>
      <c r="R43" s="206">
        <v>200</v>
      </c>
      <c r="S43" s="222">
        <v>42.900001525878906</v>
      </c>
      <c r="T43" s="207"/>
      <c r="U43" s="83"/>
    </row>
    <row r="44" spans="2:21" ht="13.5" customHeight="1">
      <c r="L44" s="82"/>
      <c r="M44" s="110">
        <v>19</v>
      </c>
      <c r="N44" s="223" t="s">
        <v>957</v>
      </c>
      <c r="O44" s="223">
        <v>170</v>
      </c>
      <c r="P44" s="223">
        <v>70</v>
      </c>
      <c r="Q44" s="205"/>
      <c r="R44" s="206">
        <v>200</v>
      </c>
      <c r="S44" s="222">
        <v>40</v>
      </c>
      <c r="T44" s="207"/>
      <c r="U44" s="83"/>
    </row>
    <row r="45" spans="2:21" ht="13.5" customHeight="1">
      <c r="L45" s="82"/>
      <c r="M45" s="110">
        <v>20</v>
      </c>
      <c r="N45" s="223" t="s">
        <v>957</v>
      </c>
      <c r="O45" s="223">
        <v>159</v>
      </c>
      <c r="P45" s="223">
        <v>62</v>
      </c>
      <c r="Q45" s="205"/>
      <c r="R45" s="206">
        <v>200</v>
      </c>
      <c r="S45" s="222">
        <v>43.099998474121094</v>
      </c>
      <c r="T45" s="207"/>
      <c r="U45" s="83"/>
    </row>
    <row r="46" spans="2:21" ht="13.5" customHeight="1">
      <c r="L46" s="82"/>
      <c r="M46" s="110">
        <v>21</v>
      </c>
      <c r="N46" s="223" t="s">
        <v>957</v>
      </c>
      <c r="O46" s="223">
        <v>177</v>
      </c>
      <c r="P46" s="223">
        <v>61</v>
      </c>
      <c r="Q46" s="205"/>
      <c r="R46" s="206">
        <v>200</v>
      </c>
      <c r="S46" s="222">
        <v>41.400001525878906</v>
      </c>
      <c r="T46" s="207"/>
      <c r="U46" s="83"/>
    </row>
    <row r="47" spans="2:21" ht="13.5" customHeight="1">
      <c r="L47" s="82"/>
      <c r="M47" s="110">
        <v>22</v>
      </c>
      <c r="N47" s="223" t="s">
        <v>957</v>
      </c>
      <c r="O47" s="223">
        <v>181</v>
      </c>
      <c r="P47" s="223">
        <v>84</v>
      </c>
      <c r="Q47" s="205"/>
      <c r="R47" s="206">
        <v>200</v>
      </c>
      <c r="S47" s="222">
        <v>42</v>
      </c>
      <c r="T47" s="207"/>
      <c r="U47" s="83"/>
    </row>
    <row r="48" spans="2:21" ht="13.5" customHeight="1">
      <c r="L48" s="82"/>
      <c r="M48" s="110">
        <v>23</v>
      </c>
      <c r="N48" s="223" t="s">
        <v>957</v>
      </c>
      <c r="O48" s="223">
        <v>176</v>
      </c>
      <c r="P48" s="223">
        <v>81</v>
      </c>
      <c r="Q48" s="205"/>
      <c r="R48" s="206">
        <v>200</v>
      </c>
      <c r="S48" s="222">
        <v>39.900001525878906</v>
      </c>
      <c r="T48" s="207"/>
      <c r="U48" s="83"/>
    </row>
    <row r="49" spans="12:21" ht="13.5" customHeight="1">
      <c r="L49" s="82"/>
      <c r="M49" s="110">
        <v>24</v>
      </c>
      <c r="N49" s="223" t="s">
        <v>957</v>
      </c>
      <c r="O49" s="223">
        <v>172</v>
      </c>
      <c r="P49" s="223">
        <v>72</v>
      </c>
      <c r="Q49" s="205"/>
      <c r="R49" s="206">
        <v>200</v>
      </c>
      <c r="S49" s="222">
        <v>41.299999237060547</v>
      </c>
      <c r="T49" s="207"/>
      <c r="U49" s="83"/>
    </row>
    <row r="50" spans="12:21" ht="13.5" customHeight="1">
      <c r="L50" s="82"/>
      <c r="M50" s="110">
        <v>25</v>
      </c>
      <c r="N50" s="223" t="s">
        <v>957</v>
      </c>
      <c r="O50" s="223">
        <v>164</v>
      </c>
      <c r="P50" s="223">
        <v>56</v>
      </c>
      <c r="Q50" s="205"/>
      <c r="R50" s="206">
        <v>200</v>
      </c>
      <c r="S50" s="222">
        <v>37.400001525878906</v>
      </c>
      <c r="T50" s="207"/>
      <c r="U50" s="83"/>
    </row>
    <row r="51" spans="12:21" ht="13.5" customHeight="1">
      <c r="L51" s="82"/>
      <c r="M51" s="110">
        <v>26</v>
      </c>
      <c r="N51" s="223" t="s">
        <v>957</v>
      </c>
      <c r="O51" s="223">
        <v>168</v>
      </c>
      <c r="P51" s="223">
        <v>64</v>
      </c>
      <c r="Q51" s="205"/>
      <c r="R51" s="206">
        <v>200</v>
      </c>
      <c r="S51" s="222">
        <v>39.299999237060547</v>
      </c>
      <c r="T51" s="207"/>
      <c r="U51" s="83"/>
    </row>
    <row r="52" spans="12:21" ht="13.5" customHeight="1">
      <c r="L52" s="82"/>
      <c r="M52" s="110">
        <v>27</v>
      </c>
      <c r="N52" s="223" t="s">
        <v>957</v>
      </c>
      <c r="O52" s="223">
        <v>174</v>
      </c>
      <c r="P52" s="223">
        <v>82</v>
      </c>
      <c r="Q52" s="205"/>
      <c r="R52" s="206">
        <v>200</v>
      </c>
      <c r="S52" s="222">
        <v>41.400001525878906</v>
      </c>
      <c r="T52" s="207"/>
      <c r="U52" s="83"/>
    </row>
    <row r="53" spans="12:21" ht="13.5" customHeight="1">
      <c r="L53" s="82"/>
      <c r="M53" s="110">
        <v>28</v>
      </c>
      <c r="N53" s="223" t="s">
        <v>1892</v>
      </c>
      <c r="O53" s="223">
        <v>166</v>
      </c>
      <c r="P53" s="223">
        <v>57</v>
      </c>
      <c r="Q53" s="205"/>
      <c r="R53" s="206">
        <v>200</v>
      </c>
      <c r="S53" s="222">
        <v>37.799999237060547</v>
      </c>
      <c r="T53" s="207"/>
      <c r="U53" s="83"/>
    </row>
    <row r="54" spans="12:21" ht="13.5" customHeight="1">
      <c r="L54" s="82"/>
      <c r="M54" s="110">
        <v>29</v>
      </c>
      <c r="N54" s="223" t="s">
        <v>1892</v>
      </c>
      <c r="O54" s="223">
        <v>167</v>
      </c>
      <c r="P54" s="223">
        <v>75</v>
      </c>
      <c r="Q54" s="205"/>
      <c r="R54" s="206">
        <v>200</v>
      </c>
      <c r="S54" s="222">
        <v>39.299999237060547</v>
      </c>
      <c r="T54" s="207"/>
      <c r="U54" s="83"/>
    </row>
    <row r="55" spans="12:21" ht="13.5" customHeight="1">
      <c r="L55" s="82"/>
      <c r="M55" s="110">
        <v>30</v>
      </c>
      <c r="N55" s="223" t="s">
        <v>1892</v>
      </c>
      <c r="O55" s="223">
        <v>165</v>
      </c>
      <c r="P55" s="223">
        <v>58</v>
      </c>
      <c r="Q55" s="205"/>
      <c r="R55" s="206">
        <v>200</v>
      </c>
      <c r="S55" s="222">
        <v>37.099998474121094</v>
      </c>
      <c r="T55" s="207"/>
      <c r="U55" s="83"/>
    </row>
    <row r="56" spans="12:21" ht="13.5" customHeight="1">
      <c r="L56" s="82"/>
      <c r="M56" s="110">
        <v>31</v>
      </c>
      <c r="N56" s="223" t="s">
        <v>957</v>
      </c>
      <c r="O56" s="223">
        <v>167</v>
      </c>
      <c r="P56" s="223">
        <v>49</v>
      </c>
      <c r="Q56" s="205"/>
      <c r="R56" s="206">
        <v>200</v>
      </c>
      <c r="S56" s="222">
        <v>42.5</v>
      </c>
      <c r="T56" s="207"/>
      <c r="U56" s="83"/>
    </row>
    <row r="57" spans="12:21" ht="13.5" customHeight="1">
      <c r="L57" s="82"/>
      <c r="M57" s="110">
        <v>32</v>
      </c>
      <c r="N57" s="223" t="s">
        <v>957</v>
      </c>
      <c r="O57" s="223">
        <v>173</v>
      </c>
      <c r="P57" s="223">
        <v>61</v>
      </c>
      <c r="Q57" s="205"/>
      <c r="R57" s="206">
        <v>200</v>
      </c>
      <c r="S57" s="222">
        <v>37.599998474121094</v>
      </c>
      <c r="T57" s="207"/>
      <c r="U57" s="83"/>
    </row>
    <row r="58" spans="12:21" ht="13.5" customHeight="1">
      <c r="L58" s="82"/>
      <c r="M58" s="110">
        <v>33</v>
      </c>
      <c r="N58" s="223" t="s">
        <v>957</v>
      </c>
      <c r="O58" s="223">
        <v>162</v>
      </c>
      <c r="P58" s="223">
        <v>57</v>
      </c>
      <c r="Q58" s="205"/>
      <c r="R58" s="206">
        <v>200</v>
      </c>
      <c r="S58" s="222">
        <v>40.200000762939453</v>
      </c>
      <c r="T58" s="207"/>
      <c r="U58" s="83"/>
    </row>
    <row r="59" spans="12:21" ht="13.5" customHeight="1">
      <c r="L59" s="82"/>
      <c r="M59" s="110">
        <v>34</v>
      </c>
      <c r="N59" s="223" t="s">
        <v>957</v>
      </c>
      <c r="O59" s="223">
        <v>161</v>
      </c>
      <c r="P59" s="223">
        <v>56</v>
      </c>
      <c r="Q59" s="205"/>
      <c r="R59" s="206">
        <v>200</v>
      </c>
      <c r="S59" s="222">
        <v>38.200000762939453</v>
      </c>
      <c r="T59" s="207"/>
      <c r="U59" s="83"/>
    </row>
    <row r="60" spans="12:21" ht="13.5" customHeight="1">
      <c r="L60" s="82"/>
      <c r="M60" s="110">
        <v>35</v>
      </c>
      <c r="N60" s="223" t="s">
        <v>957</v>
      </c>
      <c r="O60" s="223">
        <v>162</v>
      </c>
      <c r="P60" s="223">
        <v>59</v>
      </c>
      <c r="Q60" s="205"/>
      <c r="R60" s="206">
        <v>200</v>
      </c>
      <c r="S60" s="222">
        <v>42.299999237060547</v>
      </c>
      <c r="T60" s="207"/>
      <c r="U60" s="83"/>
    </row>
    <row r="61" spans="12:21" ht="13.5" customHeight="1">
      <c r="L61" s="82"/>
      <c r="M61" s="110">
        <v>36</v>
      </c>
      <c r="N61" s="223" t="s">
        <v>957</v>
      </c>
      <c r="O61" s="223">
        <v>170</v>
      </c>
      <c r="P61" s="223">
        <v>91</v>
      </c>
      <c r="Q61" s="205"/>
      <c r="R61" s="206">
        <v>200</v>
      </c>
      <c r="S61" s="222">
        <v>41.099998474121094</v>
      </c>
      <c r="T61" s="207"/>
      <c r="U61" s="83"/>
    </row>
    <row r="62" spans="12:21" ht="13.5" customHeight="1">
      <c r="L62" s="82"/>
      <c r="M62" s="110">
        <v>37</v>
      </c>
      <c r="N62" s="223" t="s">
        <v>957</v>
      </c>
      <c r="O62" s="223">
        <v>173</v>
      </c>
      <c r="P62" s="223">
        <v>61</v>
      </c>
      <c r="Q62" s="205"/>
      <c r="R62" s="206">
        <v>200</v>
      </c>
      <c r="S62" s="222">
        <v>41.799999237060547</v>
      </c>
      <c r="T62" s="207"/>
      <c r="U62" s="83"/>
    </row>
    <row r="63" spans="12:21" ht="13.5" customHeight="1">
      <c r="L63" s="82"/>
      <c r="M63" s="110">
        <v>38</v>
      </c>
      <c r="N63" s="223" t="s">
        <v>1892</v>
      </c>
      <c r="O63" s="223">
        <v>161</v>
      </c>
      <c r="P63" s="223">
        <v>62</v>
      </c>
      <c r="Q63" s="205"/>
      <c r="R63" s="206">
        <v>200</v>
      </c>
      <c r="S63" s="222">
        <v>37.299999237060547</v>
      </c>
      <c r="T63" s="207"/>
      <c r="U63" s="83"/>
    </row>
    <row r="64" spans="12:21" ht="13.5" customHeight="1">
      <c r="L64" s="82"/>
      <c r="M64" s="110">
        <v>39</v>
      </c>
      <c r="N64" s="223" t="s">
        <v>957</v>
      </c>
      <c r="O64" s="223">
        <v>168</v>
      </c>
      <c r="P64" s="223">
        <v>55</v>
      </c>
      <c r="Q64" s="205"/>
      <c r="R64" s="206">
        <v>200</v>
      </c>
      <c r="S64" s="222">
        <v>39.099998474121094</v>
      </c>
      <c r="T64" s="207"/>
      <c r="U64" s="83"/>
    </row>
    <row r="65" spans="12:21" ht="13.5" customHeight="1">
      <c r="L65" s="82"/>
      <c r="M65" s="110">
        <v>40</v>
      </c>
      <c r="N65" s="223" t="s">
        <v>1892</v>
      </c>
      <c r="O65" s="223">
        <v>166</v>
      </c>
      <c r="P65" s="223">
        <v>54</v>
      </c>
      <c r="Q65" s="205"/>
      <c r="R65" s="206">
        <v>200</v>
      </c>
      <c r="S65" s="222">
        <v>42.599998474121094</v>
      </c>
      <c r="T65" s="207"/>
      <c r="U65" s="83"/>
    </row>
    <row r="66" spans="12:21" ht="13.5" customHeight="1">
      <c r="L66" s="82"/>
      <c r="M66" s="110">
        <v>41</v>
      </c>
      <c r="N66" s="223" t="s">
        <v>957</v>
      </c>
      <c r="O66" s="223">
        <v>172</v>
      </c>
      <c r="P66" s="223">
        <v>71</v>
      </c>
      <c r="Q66" s="205"/>
      <c r="R66" s="206">
        <v>200</v>
      </c>
      <c r="S66" s="222">
        <v>37.900001525878906</v>
      </c>
      <c r="T66" s="207"/>
      <c r="U66" s="83"/>
    </row>
    <row r="67" spans="12:21" ht="13.5" customHeight="1">
      <c r="L67" s="82"/>
      <c r="M67" s="110">
        <v>42</v>
      </c>
      <c r="N67" s="223" t="s">
        <v>957</v>
      </c>
      <c r="O67" s="223">
        <v>169</v>
      </c>
      <c r="P67" s="223">
        <v>65</v>
      </c>
      <c r="Q67" s="205"/>
      <c r="R67" s="206">
        <v>200</v>
      </c>
      <c r="S67" s="222">
        <v>44.200000762939453</v>
      </c>
      <c r="T67" s="207"/>
      <c r="U67" s="83"/>
    </row>
    <row r="68" spans="12:21" ht="13.5" customHeight="1">
      <c r="L68" s="82"/>
      <c r="M68" s="110">
        <v>43</v>
      </c>
      <c r="N68" s="223" t="s">
        <v>957</v>
      </c>
      <c r="O68" s="223">
        <v>165</v>
      </c>
      <c r="P68" s="223">
        <v>72</v>
      </c>
      <c r="Q68" s="205"/>
      <c r="R68" s="206">
        <v>200</v>
      </c>
      <c r="S68" s="222">
        <v>38.599998474121094</v>
      </c>
      <c r="T68" s="207"/>
      <c r="U68" s="83"/>
    </row>
    <row r="69" spans="12:21" ht="13.5" customHeight="1">
      <c r="L69" s="82"/>
      <c r="M69" s="110">
        <v>44</v>
      </c>
      <c r="N69" s="223" t="s">
        <v>1892</v>
      </c>
      <c r="O69" s="223">
        <v>160</v>
      </c>
      <c r="P69" s="223">
        <v>58</v>
      </c>
      <c r="Q69" s="205"/>
      <c r="R69" s="206">
        <v>200</v>
      </c>
      <c r="S69" s="222">
        <v>35.599998474121094</v>
      </c>
      <c r="T69" s="207"/>
      <c r="U69" s="83"/>
    </row>
    <row r="70" spans="12:21" ht="13.5" customHeight="1">
      <c r="L70" s="82"/>
      <c r="M70" s="110">
        <v>45</v>
      </c>
      <c r="N70" s="223" t="s">
        <v>1892</v>
      </c>
      <c r="O70" s="223">
        <v>164</v>
      </c>
      <c r="P70" s="223">
        <v>57</v>
      </c>
      <c r="Q70" s="205"/>
      <c r="R70" s="206">
        <v>200</v>
      </c>
      <c r="S70" s="222">
        <v>33.599998474121094</v>
      </c>
      <c r="T70" s="207"/>
      <c r="U70" s="83"/>
    </row>
    <row r="71" spans="12:21" ht="13.5" customHeight="1">
      <c r="L71" s="82"/>
      <c r="M71" s="110">
        <v>46</v>
      </c>
      <c r="N71" s="223" t="s">
        <v>1892</v>
      </c>
      <c r="O71" s="223">
        <v>164</v>
      </c>
      <c r="P71" s="223">
        <v>57</v>
      </c>
      <c r="Q71" s="205"/>
      <c r="R71" s="206">
        <v>200</v>
      </c>
      <c r="S71" s="222">
        <v>35.5</v>
      </c>
      <c r="T71" s="207"/>
      <c r="U71" s="83"/>
    </row>
    <row r="72" spans="12:21" ht="13.5" customHeight="1">
      <c r="L72" s="82"/>
      <c r="M72" s="110">
        <v>47</v>
      </c>
      <c r="N72" s="223" t="s">
        <v>1892</v>
      </c>
      <c r="O72" s="223">
        <v>158</v>
      </c>
      <c r="P72" s="223">
        <v>62</v>
      </c>
      <c r="Q72" s="205"/>
      <c r="R72" s="206">
        <v>200</v>
      </c>
      <c r="S72" s="222">
        <v>34.099998474121094</v>
      </c>
      <c r="T72" s="207"/>
      <c r="U72" s="83"/>
    </row>
    <row r="73" spans="12:21" ht="13.5" customHeight="1">
      <c r="L73" s="82"/>
      <c r="M73" s="110">
        <v>48</v>
      </c>
      <c r="N73" s="223" t="s">
        <v>1892</v>
      </c>
      <c r="O73" s="223">
        <v>158</v>
      </c>
      <c r="P73" s="223">
        <v>57</v>
      </c>
      <c r="Q73" s="205"/>
      <c r="R73" s="206">
        <v>200</v>
      </c>
      <c r="S73" s="222">
        <v>36.400001525878906</v>
      </c>
      <c r="T73" s="207"/>
      <c r="U73" s="83"/>
    </row>
    <row r="74" spans="12:21" ht="13.5" customHeight="1">
      <c r="L74" s="82"/>
      <c r="M74" s="110">
        <v>49</v>
      </c>
      <c r="N74" s="223" t="s">
        <v>1892</v>
      </c>
      <c r="O74" s="223">
        <v>165</v>
      </c>
      <c r="P74" s="223">
        <v>54</v>
      </c>
      <c r="Q74" s="205"/>
      <c r="R74" s="206">
        <v>200</v>
      </c>
      <c r="S74" s="222">
        <v>35</v>
      </c>
      <c r="T74" s="207"/>
      <c r="U74" s="83"/>
    </row>
    <row r="75" spans="12:21" ht="13.5" customHeight="1">
      <c r="L75" s="82"/>
      <c r="M75" s="110">
        <v>50</v>
      </c>
      <c r="N75" s="223" t="s">
        <v>1892</v>
      </c>
      <c r="O75" s="223">
        <v>168</v>
      </c>
      <c r="P75" s="223">
        <v>50</v>
      </c>
      <c r="Q75" s="205"/>
      <c r="R75" s="206">
        <v>200</v>
      </c>
      <c r="S75" s="222">
        <v>38.599998474121094</v>
      </c>
      <c r="T75" s="207"/>
      <c r="U75" s="83"/>
    </row>
    <row r="76" spans="12:21" ht="13.5" customHeight="1">
      <c r="L76" s="82"/>
      <c r="M76" s="110">
        <v>51</v>
      </c>
      <c r="N76" s="223" t="s">
        <v>1892</v>
      </c>
      <c r="O76" s="223">
        <v>163</v>
      </c>
      <c r="P76" s="223">
        <v>55</v>
      </c>
      <c r="Q76" s="205"/>
      <c r="R76" s="206">
        <v>200</v>
      </c>
      <c r="S76" s="222">
        <v>34.700000762939453</v>
      </c>
      <c r="T76" s="207"/>
      <c r="U76" s="83"/>
    </row>
    <row r="77" spans="12:21" ht="13.5" customHeight="1">
      <c r="L77" s="82"/>
      <c r="M77" s="110">
        <v>52</v>
      </c>
      <c r="N77" s="223" t="s">
        <v>1892</v>
      </c>
      <c r="O77" s="223">
        <v>158</v>
      </c>
      <c r="P77" s="223">
        <v>58</v>
      </c>
      <c r="Q77" s="205"/>
      <c r="R77" s="206">
        <v>200</v>
      </c>
      <c r="S77" s="222">
        <v>38.200000762939453</v>
      </c>
      <c r="T77" s="207"/>
      <c r="U77" s="83"/>
    </row>
    <row r="78" spans="12:21" ht="13.5" customHeight="1">
      <c r="L78" s="82"/>
      <c r="M78" s="110">
        <v>53</v>
      </c>
      <c r="N78" s="223" t="s">
        <v>1892</v>
      </c>
      <c r="O78" s="223">
        <v>160</v>
      </c>
      <c r="P78" s="223">
        <v>55</v>
      </c>
      <c r="Q78" s="205"/>
      <c r="R78" s="206">
        <v>200</v>
      </c>
      <c r="S78" s="222">
        <v>39.200000762939453</v>
      </c>
      <c r="T78" s="207"/>
      <c r="U78" s="83"/>
    </row>
    <row r="79" spans="12:21" ht="13.5" customHeight="1">
      <c r="L79" s="82"/>
      <c r="M79" s="110">
        <v>54</v>
      </c>
      <c r="N79" s="223" t="s">
        <v>1892</v>
      </c>
      <c r="O79" s="223">
        <v>156</v>
      </c>
      <c r="P79" s="223">
        <v>60</v>
      </c>
      <c r="Q79" s="205"/>
      <c r="R79" s="206">
        <v>200</v>
      </c>
      <c r="S79" s="222">
        <v>34.799999237060547</v>
      </c>
      <c r="T79" s="207"/>
      <c r="U79" s="83"/>
    </row>
    <row r="80" spans="12:21" ht="13.5" customHeight="1">
      <c r="L80" s="82"/>
      <c r="M80" s="110">
        <v>55</v>
      </c>
      <c r="N80" s="223" t="s">
        <v>1892</v>
      </c>
      <c r="O80" s="224">
        <v>148</v>
      </c>
      <c r="P80" s="224">
        <v>40</v>
      </c>
      <c r="Q80" s="205"/>
      <c r="R80" s="206">
        <v>200</v>
      </c>
      <c r="S80" s="222">
        <v>36</v>
      </c>
      <c r="T80" s="207"/>
      <c r="U80" s="83"/>
    </row>
    <row r="81" spans="12:21" ht="13.5" customHeight="1">
      <c r="L81" s="82"/>
      <c r="M81" s="110">
        <v>56</v>
      </c>
      <c r="N81" s="223" t="s">
        <v>1892</v>
      </c>
      <c r="O81" s="223">
        <v>159</v>
      </c>
      <c r="P81" s="223">
        <v>52</v>
      </c>
      <c r="Q81" s="205"/>
      <c r="R81" s="206">
        <v>200</v>
      </c>
      <c r="S81" s="222">
        <v>38.099998474121094</v>
      </c>
      <c r="T81" s="207"/>
      <c r="U81" s="83"/>
    </row>
    <row r="82" spans="12:21" ht="13.5" customHeight="1">
      <c r="L82" s="82"/>
      <c r="M82" s="110">
        <v>57</v>
      </c>
      <c r="N82" s="223" t="s">
        <v>1892</v>
      </c>
      <c r="O82" s="223">
        <v>162</v>
      </c>
      <c r="P82" s="223">
        <v>52</v>
      </c>
      <c r="Q82" s="205"/>
      <c r="R82" s="206">
        <v>200</v>
      </c>
      <c r="S82" s="222">
        <v>36.200000762939453</v>
      </c>
      <c r="T82" s="207"/>
      <c r="U82" s="83"/>
    </row>
    <row r="83" spans="12:21" ht="13.5" customHeight="1">
      <c r="L83" s="82"/>
      <c r="M83" s="110">
        <v>58</v>
      </c>
      <c r="N83" s="223" t="s">
        <v>1892</v>
      </c>
      <c r="O83" s="223">
        <v>158</v>
      </c>
      <c r="P83" s="223">
        <v>55</v>
      </c>
      <c r="Q83" s="205"/>
      <c r="R83" s="206">
        <v>200</v>
      </c>
      <c r="S83" s="222">
        <v>37.299999237060547</v>
      </c>
      <c r="T83" s="207"/>
      <c r="U83" s="83"/>
    </row>
    <row r="84" spans="12:21" ht="13.5" customHeight="1">
      <c r="L84" s="82"/>
      <c r="M84" s="110">
        <v>59</v>
      </c>
      <c r="N84" s="223" t="s">
        <v>1892</v>
      </c>
      <c r="O84" s="223">
        <v>160</v>
      </c>
      <c r="P84" s="223">
        <v>54</v>
      </c>
      <c r="Q84" s="205"/>
      <c r="R84" s="206">
        <v>200</v>
      </c>
      <c r="S84" s="222">
        <v>36.5</v>
      </c>
      <c r="T84" s="207"/>
      <c r="U84" s="83"/>
    </row>
    <row r="85" spans="12:21" ht="13.5" customHeight="1">
      <c r="L85" s="82"/>
      <c r="M85" s="110">
        <v>60</v>
      </c>
      <c r="N85" s="223" t="s">
        <v>1892</v>
      </c>
      <c r="O85" s="223">
        <v>158</v>
      </c>
      <c r="P85" s="223">
        <v>54</v>
      </c>
      <c r="Q85" s="205"/>
      <c r="R85" s="206">
        <v>200</v>
      </c>
      <c r="S85" s="222">
        <v>38.799999237060547</v>
      </c>
      <c r="T85" s="207"/>
      <c r="U85" s="83"/>
    </row>
    <row r="86" spans="12:21" ht="13.5" customHeight="1">
      <c r="L86" s="82"/>
      <c r="M86" s="110">
        <v>61</v>
      </c>
      <c r="N86" s="223" t="s">
        <v>1892</v>
      </c>
      <c r="O86" s="223">
        <v>160</v>
      </c>
      <c r="P86" s="223">
        <v>53</v>
      </c>
      <c r="Q86" s="205"/>
      <c r="R86" s="206">
        <v>200</v>
      </c>
      <c r="S86" s="222">
        <v>34.799999237060547</v>
      </c>
      <c r="T86" s="207"/>
      <c r="U86" s="83"/>
    </row>
    <row r="87" spans="12:21" ht="13.5" customHeight="1">
      <c r="L87" s="82"/>
      <c r="M87" s="110">
        <v>62</v>
      </c>
      <c r="N87" s="223" t="s">
        <v>1892</v>
      </c>
      <c r="O87" s="223">
        <v>161</v>
      </c>
      <c r="P87" s="223">
        <v>51</v>
      </c>
      <c r="Q87" s="205"/>
      <c r="R87" s="206">
        <v>200</v>
      </c>
      <c r="S87" s="222">
        <v>35.900001525878906</v>
      </c>
      <c r="T87" s="207"/>
      <c r="U87" s="83"/>
    </row>
    <row r="88" spans="12:21" ht="13.5" customHeight="1">
      <c r="L88" s="82"/>
      <c r="M88" s="110">
        <v>63</v>
      </c>
      <c r="N88" s="223" t="s">
        <v>1892</v>
      </c>
      <c r="O88" s="223">
        <v>165</v>
      </c>
      <c r="P88" s="223">
        <v>48</v>
      </c>
      <c r="Q88" s="205"/>
      <c r="R88" s="206">
        <v>200</v>
      </c>
      <c r="S88" s="222">
        <v>37.400001525878906</v>
      </c>
      <c r="T88" s="207"/>
      <c r="U88" s="83"/>
    </row>
    <row r="89" spans="12:21" ht="13.5" customHeight="1">
      <c r="L89" s="82"/>
      <c r="M89" s="110">
        <v>64</v>
      </c>
      <c r="N89" s="223" t="s">
        <v>1892</v>
      </c>
      <c r="O89" s="223">
        <v>160</v>
      </c>
      <c r="P89" s="223">
        <v>53</v>
      </c>
      <c r="Q89" s="205"/>
      <c r="R89" s="206">
        <v>200</v>
      </c>
      <c r="S89" s="222">
        <v>35.799999237060547</v>
      </c>
      <c r="T89" s="207"/>
      <c r="U89" s="83"/>
    </row>
    <row r="90" spans="12:21" ht="13.5" customHeight="1">
      <c r="L90" s="82"/>
      <c r="M90" s="110">
        <v>65</v>
      </c>
      <c r="N90" s="223" t="s">
        <v>1892</v>
      </c>
      <c r="O90" s="223">
        <v>165</v>
      </c>
      <c r="P90" s="223">
        <v>48</v>
      </c>
      <c r="Q90" s="205"/>
      <c r="R90" s="206">
        <v>200</v>
      </c>
      <c r="S90" s="222">
        <v>36.900001525878906</v>
      </c>
      <c r="T90" s="207"/>
      <c r="U90" s="83"/>
    </row>
    <row r="91" spans="12:21" ht="13.5" customHeight="1">
      <c r="L91" s="82"/>
      <c r="M91" s="110">
        <v>66</v>
      </c>
      <c r="N91" s="223" t="s">
        <v>1892</v>
      </c>
      <c r="O91" s="223">
        <v>152</v>
      </c>
      <c r="P91" s="223">
        <v>58</v>
      </c>
      <c r="Q91" s="205"/>
      <c r="R91" s="206">
        <v>200</v>
      </c>
      <c r="S91" s="222">
        <v>37.299999237060547</v>
      </c>
      <c r="T91" s="207"/>
      <c r="U91" s="83"/>
    </row>
    <row r="92" spans="12:21" ht="13.5" customHeight="1">
      <c r="L92" s="82"/>
      <c r="M92" s="110">
        <v>67</v>
      </c>
      <c r="N92" s="223" t="s">
        <v>1892</v>
      </c>
      <c r="O92" s="223">
        <v>155</v>
      </c>
      <c r="P92" s="223">
        <v>53</v>
      </c>
      <c r="Q92" s="205"/>
      <c r="R92" s="206">
        <v>200</v>
      </c>
      <c r="S92" s="222">
        <v>35.5</v>
      </c>
      <c r="T92" s="207"/>
      <c r="U92" s="83"/>
    </row>
    <row r="93" spans="12:21" ht="13.5" customHeight="1">
      <c r="L93" s="82"/>
      <c r="M93" s="110">
        <v>68</v>
      </c>
      <c r="N93" s="223" t="s">
        <v>1892</v>
      </c>
      <c r="O93" s="223">
        <v>150</v>
      </c>
      <c r="P93" s="223">
        <v>42</v>
      </c>
      <c r="Q93" s="205"/>
      <c r="R93" s="206">
        <v>200</v>
      </c>
      <c r="S93" s="222">
        <v>33.900001525878906</v>
      </c>
      <c r="T93" s="207"/>
      <c r="U93" s="83"/>
    </row>
    <row r="94" spans="12:21" ht="13.5" customHeight="1">
      <c r="L94" s="82"/>
      <c r="M94" s="110">
        <v>69</v>
      </c>
      <c r="N94" s="223" t="s">
        <v>1892</v>
      </c>
      <c r="O94" s="223">
        <v>154</v>
      </c>
      <c r="P94" s="223">
        <v>56</v>
      </c>
      <c r="Q94" s="205"/>
      <c r="R94" s="206">
        <v>200</v>
      </c>
      <c r="S94" s="222">
        <v>35.099998474121094</v>
      </c>
      <c r="T94" s="207"/>
      <c r="U94" s="83"/>
    </row>
    <row r="95" spans="12:21" ht="13.5" customHeight="1">
      <c r="L95" s="82"/>
      <c r="M95" s="110">
        <v>70</v>
      </c>
      <c r="N95" s="223" t="s">
        <v>1892</v>
      </c>
      <c r="O95" s="223">
        <v>155</v>
      </c>
      <c r="P95" s="223">
        <v>55</v>
      </c>
      <c r="Q95" s="205"/>
      <c r="R95" s="206">
        <v>200</v>
      </c>
      <c r="S95" s="222">
        <v>36.599998474121094</v>
      </c>
      <c r="T95" s="207"/>
      <c r="U95" s="83"/>
    </row>
    <row r="96" spans="12:21" ht="13.5" customHeight="1">
      <c r="L96" s="82"/>
      <c r="M96" s="110">
        <v>71</v>
      </c>
      <c r="N96" s="223" t="s">
        <v>1892</v>
      </c>
      <c r="O96" s="223">
        <v>151</v>
      </c>
      <c r="P96" s="223">
        <v>41</v>
      </c>
      <c r="Q96" s="205"/>
      <c r="R96" s="206">
        <v>200</v>
      </c>
      <c r="S96" s="222">
        <v>33</v>
      </c>
      <c r="T96" s="207"/>
      <c r="U96" s="83"/>
    </row>
    <row r="97" spans="12:21" ht="13.5" customHeight="1">
      <c r="L97" s="82"/>
      <c r="M97" s="110">
        <v>72</v>
      </c>
      <c r="N97" s="223" t="s">
        <v>1892</v>
      </c>
      <c r="O97" s="223">
        <v>160</v>
      </c>
      <c r="P97" s="223">
        <v>50</v>
      </c>
      <c r="Q97" s="205"/>
      <c r="R97" s="206">
        <v>200</v>
      </c>
      <c r="S97" s="222">
        <v>36.900001525878906</v>
      </c>
      <c r="T97" s="207"/>
      <c r="U97" s="83"/>
    </row>
    <row r="98" spans="12:21" ht="13.5" customHeight="1">
      <c r="L98" s="82"/>
      <c r="M98" s="110">
        <v>73</v>
      </c>
      <c r="N98" s="223" t="s">
        <v>1892</v>
      </c>
      <c r="O98" s="223">
        <v>160</v>
      </c>
      <c r="P98" s="223">
        <v>50</v>
      </c>
      <c r="Q98" s="205"/>
      <c r="R98" s="206">
        <v>200</v>
      </c>
      <c r="S98" s="222">
        <v>37.700000762939453</v>
      </c>
      <c r="T98" s="207"/>
      <c r="U98" s="83"/>
    </row>
    <row r="99" spans="12:21" ht="13.5" customHeight="1">
      <c r="L99" s="82"/>
      <c r="M99" s="110">
        <v>74</v>
      </c>
      <c r="N99" s="223" t="s">
        <v>1892</v>
      </c>
      <c r="O99" s="223">
        <v>156</v>
      </c>
      <c r="P99" s="223">
        <v>53</v>
      </c>
      <c r="Q99" s="205"/>
      <c r="R99" s="206">
        <v>200</v>
      </c>
      <c r="S99" s="222">
        <v>36</v>
      </c>
      <c r="T99" s="207"/>
      <c r="U99" s="83"/>
    </row>
    <row r="100" spans="12:21" ht="13.5" customHeight="1">
      <c r="L100" s="82"/>
      <c r="M100" s="110">
        <v>75</v>
      </c>
      <c r="N100" s="223" t="s">
        <v>1892</v>
      </c>
      <c r="O100" s="223">
        <v>160</v>
      </c>
      <c r="P100" s="223">
        <v>47</v>
      </c>
      <c r="Q100" s="205"/>
      <c r="R100" s="206">
        <v>200</v>
      </c>
      <c r="S100" s="222">
        <v>38</v>
      </c>
      <c r="T100" s="207"/>
      <c r="U100" s="83"/>
    </row>
    <row r="101" spans="12:21" ht="13.5" customHeight="1">
      <c r="L101" s="82"/>
      <c r="M101" s="110">
        <v>76</v>
      </c>
      <c r="N101" s="223" t="s">
        <v>1892</v>
      </c>
      <c r="O101" s="223">
        <v>154</v>
      </c>
      <c r="P101" s="223">
        <v>45</v>
      </c>
      <c r="Q101" s="205"/>
      <c r="R101" s="206">
        <v>200</v>
      </c>
      <c r="S101" s="222">
        <v>36.099998474121094</v>
      </c>
      <c r="T101" s="207"/>
      <c r="U101" s="83"/>
    </row>
    <row r="102" spans="12:21" ht="13.5" customHeight="1">
      <c r="L102" s="82"/>
      <c r="M102" s="110">
        <v>77</v>
      </c>
      <c r="N102" s="223" t="s">
        <v>1892</v>
      </c>
      <c r="O102" s="223">
        <v>160</v>
      </c>
      <c r="P102" s="223">
        <v>50</v>
      </c>
      <c r="Q102" s="205"/>
      <c r="R102" s="206">
        <v>200</v>
      </c>
      <c r="S102" s="222">
        <v>34.700000762939453</v>
      </c>
      <c r="T102" s="207"/>
      <c r="U102" s="83"/>
    </row>
    <row r="103" spans="12:21" ht="13.5" customHeight="1">
      <c r="L103" s="82"/>
      <c r="M103" s="110">
        <v>78</v>
      </c>
      <c r="N103" s="223" t="s">
        <v>1892</v>
      </c>
      <c r="O103" s="223">
        <v>153</v>
      </c>
      <c r="P103" s="223">
        <v>53</v>
      </c>
      <c r="Q103" s="205"/>
      <c r="R103" s="206">
        <v>200</v>
      </c>
      <c r="S103" s="222">
        <v>37.299999237060547</v>
      </c>
      <c r="T103" s="207"/>
      <c r="U103" s="83"/>
    </row>
    <row r="104" spans="12:21" ht="13.5" customHeight="1">
      <c r="L104" s="82"/>
      <c r="M104" s="110">
        <v>79</v>
      </c>
      <c r="N104" s="223" t="s">
        <v>1892</v>
      </c>
      <c r="O104" s="223">
        <v>152</v>
      </c>
      <c r="P104" s="223">
        <v>45</v>
      </c>
      <c r="Q104" s="205"/>
      <c r="R104" s="206">
        <v>200</v>
      </c>
      <c r="S104" s="222">
        <v>38.400001525878906</v>
      </c>
      <c r="T104" s="207"/>
      <c r="U104" s="83"/>
    </row>
    <row r="105" spans="12:21" ht="13.5" customHeight="1">
      <c r="L105" s="82"/>
      <c r="M105" s="110">
        <v>80</v>
      </c>
      <c r="N105" s="223" t="s">
        <v>1892</v>
      </c>
      <c r="O105" s="223">
        <v>159</v>
      </c>
      <c r="P105" s="223">
        <v>46</v>
      </c>
      <c r="Q105" s="205"/>
      <c r="R105" s="206">
        <v>200</v>
      </c>
      <c r="S105" s="222">
        <v>33.700000762939453</v>
      </c>
      <c r="T105" s="207"/>
      <c r="U105" s="83"/>
    </row>
    <row r="106" spans="12:21" ht="13.5" customHeight="1">
      <c r="L106" s="82"/>
      <c r="M106" s="110">
        <v>81</v>
      </c>
      <c r="N106" s="223" t="s">
        <v>1892</v>
      </c>
      <c r="O106" s="223">
        <v>156</v>
      </c>
      <c r="P106" s="223">
        <v>52</v>
      </c>
      <c r="Q106" s="205"/>
      <c r="R106" s="206">
        <v>200</v>
      </c>
      <c r="S106" s="222">
        <v>34.200000762939453</v>
      </c>
      <c r="T106" s="207"/>
      <c r="U106" s="83"/>
    </row>
    <row r="107" spans="12:21" ht="13.5" customHeight="1">
      <c r="L107" s="82"/>
      <c r="M107" s="110">
        <v>82</v>
      </c>
      <c r="N107" s="223" t="s">
        <v>1892</v>
      </c>
      <c r="O107" s="223">
        <v>153</v>
      </c>
      <c r="P107" s="223">
        <v>53</v>
      </c>
      <c r="Q107" s="205"/>
      <c r="R107" s="206">
        <v>200</v>
      </c>
      <c r="S107" s="222">
        <v>36.5</v>
      </c>
      <c r="T107" s="207"/>
      <c r="U107" s="83"/>
    </row>
    <row r="108" spans="12:21" ht="13.5" customHeight="1">
      <c r="L108" s="82"/>
      <c r="M108" s="110">
        <v>83</v>
      </c>
      <c r="N108" s="223" t="s">
        <v>1892</v>
      </c>
      <c r="O108" s="223">
        <v>157</v>
      </c>
      <c r="P108" s="223">
        <v>52</v>
      </c>
      <c r="Q108" s="205"/>
      <c r="R108" s="206">
        <v>200</v>
      </c>
      <c r="S108" s="222">
        <v>35.200000762939453</v>
      </c>
      <c r="T108" s="207"/>
      <c r="U108" s="83"/>
    </row>
    <row r="109" spans="12:21" ht="13.5" customHeight="1">
      <c r="L109" s="82"/>
      <c r="M109" s="110">
        <v>84</v>
      </c>
      <c r="N109" s="223" t="s">
        <v>1892</v>
      </c>
      <c r="O109" s="223">
        <v>150</v>
      </c>
      <c r="P109" s="223">
        <v>46</v>
      </c>
      <c r="Q109" s="205"/>
      <c r="R109" s="206">
        <v>200</v>
      </c>
      <c r="S109" s="222">
        <v>37.099998474121094</v>
      </c>
      <c r="T109" s="207"/>
      <c r="U109" s="83"/>
    </row>
    <row r="110" spans="12:21" ht="13.5" customHeight="1">
      <c r="L110" s="82"/>
      <c r="M110" s="110">
        <v>85</v>
      </c>
      <c r="N110" s="223" t="s">
        <v>1892</v>
      </c>
      <c r="O110" s="223">
        <v>152</v>
      </c>
      <c r="P110" s="223">
        <v>53</v>
      </c>
      <c r="Q110" s="205"/>
      <c r="R110" s="206">
        <v>200</v>
      </c>
      <c r="S110" s="222">
        <v>38.099998474121094</v>
      </c>
      <c r="T110" s="207"/>
      <c r="U110" s="83"/>
    </row>
    <row r="111" spans="12:21" ht="13.5" customHeight="1">
      <c r="L111" s="82"/>
      <c r="M111" s="110">
        <v>86</v>
      </c>
      <c r="N111" s="223" t="s">
        <v>1892</v>
      </c>
      <c r="O111" s="223">
        <v>147</v>
      </c>
      <c r="P111" s="223">
        <v>56</v>
      </c>
      <c r="Q111" s="205"/>
      <c r="R111" s="206">
        <v>200</v>
      </c>
      <c r="S111" s="222">
        <v>39.599998474121094</v>
      </c>
      <c r="T111" s="207"/>
      <c r="U111" s="83"/>
    </row>
    <row r="112" spans="12:21" ht="13.5" customHeight="1">
      <c r="L112" s="82"/>
      <c r="M112" s="110">
        <v>87</v>
      </c>
      <c r="N112" s="223" t="s">
        <v>1892</v>
      </c>
      <c r="O112" s="223">
        <v>152</v>
      </c>
      <c r="P112" s="223">
        <v>44</v>
      </c>
      <c r="Q112" s="205"/>
      <c r="R112" s="206">
        <v>200</v>
      </c>
      <c r="S112" s="222">
        <v>35.400001525878906</v>
      </c>
      <c r="T112" s="207"/>
      <c r="U112" s="83"/>
    </row>
    <row r="113" spans="12:21" ht="13.5" customHeight="1">
      <c r="L113" s="82"/>
      <c r="M113" s="110">
        <v>88</v>
      </c>
      <c r="N113" s="223" t="s">
        <v>1892</v>
      </c>
      <c r="O113" s="223">
        <v>158</v>
      </c>
      <c r="P113" s="223">
        <v>48</v>
      </c>
      <c r="Q113" s="205"/>
      <c r="R113" s="206">
        <v>200</v>
      </c>
      <c r="S113" s="222">
        <v>37.200000762939453</v>
      </c>
      <c r="T113" s="207"/>
      <c r="U113" s="83"/>
    </row>
    <row r="114" spans="12:21" ht="13.5" customHeight="1">
      <c r="L114" s="82"/>
      <c r="M114" s="110">
        <v>89</v>
      </c>
      <c r="N114" s="223" t="s">
        <v>1892</v>
      </c>
      <c r="O114" s="223">
        <v>157</v>
      </c>
      <c r="P114" s="223">
        <v>46</v>
      </c>
      <c r="Q114" s="205"/>
      <c r="R114" s="206">
        <v>200</v>
      </c>
      <c r="S114" s="222">
        <v>33.700000762939453</v>
      </c>
      <c r="T114" s="207"/>
      <c r="U114" s="83"/>
    </row>
    <row r="115" spans="12:21" ht="13.5" customHeight="1">
      <c r="L115" s="82"/>
      <c r="M115" s="110">
        <v>90</v>
      </c>
      <c r="N115" s="223" t="s">
        <v>1892</v>
      </c>
      <c r="O115" s="223">
        <v>155</v>
      </c>
      <c r="P115" s="223">
        <v>49</v>
      </c>
      <c r="Q115" s="205"/>
      <c r="R115" s="206">
        <v>200</v>
      </c>
      <c r="S115" s="222">
        <v>38.599998474121094</v>
      </c>
      <c r="T115" s="207"/>
      <c r="U115" s="83"/>
    </row>
    <row r="116" spans="12:21" ht="13.5" customHeight="1">
      <c r="L116" s="82"/>
      <c r="M116" s="110">
        <v>91</v>
      </c>
      <c r="N116" s="223" t="s">
        <v>1892</v>
      </c>
      <c r="O116" s="223">
        <v>150</v>
      </c>
      <c r="P116" s="223">
        <v>42</v>
      </c>
      <c r="Q116" s="205"/>
      <c r="R116" s="206">
        <v>200</v>
      </c>
      <c r="S116" s="222">
        <v>34.5</v>
      </c>
      <c r="T116" s="207"/>
      <c r="U116" s="83"/>
    </row>
    <row r="117" spans="12:21" ht="13.5" customHeight="1">
      <c r="L117" s="82"/>
      <c r="M117" s="110">
        <v>92</v>
      </c>
      <c r="N117" s="223" t="s">
        <v>1892</v>
      </c>
      <c r="O117" s="223">
        <v>149</v>
      </c>
      <c r="P117" s="223">
        <v>44</v>
      </c>
      <c r="Q117" s="205"/>
      <c r="R117" s="206">
        <v>200</v>
      </c>
      <c r="S117" s="222">
        <v>35.099998474121094</v>
      </c>
      <c r="T117" s="207"/>
      <c r="U117" s="83"/>
    </row>
    <row r="118" spans="12:21" ht="13.5" customHeight="1">
      <c r="L118" s="82"/>
      <c r="M118" s="110">
        <v>93</v>
      </c>
      <c r="N118" s="223" t="s">
        <v>1892</v>
      </c>
      <c r="O118" s="224">
        <v>153</v>
      </c>
      <c r="P118" s="224">
        <v>47</v>
      </c>
      <c r="Q118" s="205"/>
      <c r="R118" s="206">
        <v>200</v>
      </c>
      <c r="S118" s="222">
        <v>38.400001525878906</v>
      </c>
      <c r="T118" s="207"/>
      <c r="U118" s="83"/>
    </row>
    <row r="119" spans="12:21" ht="13.5" customHeight="1">
      <c r="L119" s="82"/>
      <c r="M119" s="110">
        <v>94</v>
      </c>
      <c r="N119" s="223" t="s">
        <v>1892</v>
      </c>
      <c r="O119" s="223">
        <v>151</v>
      </c>
      <c r="P119" s="223">
        <v>52</v>
      </c>
      <c r="Q119" s="205"/>
      <c r="R119" s="206">
        <v>200</v>
      </c>
      <c r="S119" s="222">
        <v>36.5</v>
      </c>
      <c r="T119" s="207"/>
      <c r="U119" s="83"/>
    </row>
    <row r="120" spans="12:21" ht="13.5" customHeight="1">
      <c r="L120" s="82"/>
      <c r="M120" s="110">
        <v>95</v>
      </c>
      <c r="N120" s="223" t="s">
        <v>1892</v>
      </c>
      <c r="O120" s="223">
        <v>155</v>
      </c>
      <c r="P120" s="223">
        <v>49</v>
      </c>
      <c r="Q120" s="205"/>
      <c r="R120" s="206">
        <v>200</v>
      </c>
      <c r="S120" s="222">
        <v>34.5</v>
      </c>
      <c r="T120" s="207"/>
      <c r="U120" s="83"/>
    </row>
    <row r="121" spans="12:21" ht="13.5" customHeight="1">
      <c r="L121" s="82"/>
      <c r="M121" s="110">
        <v>96</v>
      </c>
      <c r="N121" s="223" t="s">
        <v>1892</v>
      </c>
      <c r="O121" s="223">
        <v>153</v>
      </c>
      <c r="P121" s="223">
        <v>47</v>
      </c>
      <c r="Q121" s="205"/>
      <c r="R121" s="206">
        <v>200</v>
      </c>
      <c r="S121" s="222">
        <v>36.799999237060547</v>
      </c>
      <c r="T121" s="207"/>
      <c r="U121" s="83"/>
    </row>
    <row r="122" spans="12:21" ht="13.5" customHeight="1">
      <c r="L122" s="82"/>
      <c r="M122" s="110">
        <v>97</v>
      </c>
      <c r="N122" s="223" t="s">
        <v>1892</v>
      </c>
      <c r="O122" s="223">
        <v>153</v>
      </c>
      <c r="P122" s="223">
        <v>48</v>
      </c>
      <c r="Q122" s="205"/>
      <c r="R122" s="206">
        <v>200</v>
      </c>
      <c r="S122" s="222">
        <v>35.900001525878906</v>
      </c>
      <c r="T122" s="207"/>
      <c r="U122" s="83"/>
    </row>
    <row r="123" spans="12:21" ht="13.5" customHeight="1">
      <c r="L123" s="82"/>
      <c r="M123" s="110">
        <v>98</v>
      </c>
      <c r="N123" s="223" t="s">
        <v>1892</v>
      </c>
      <c r="O123" s="223">
        <v>152</v>
      </c>
      <c r="P123" s="223">
        <v>51</v>
      </c>
      <c r="Q123" s="205"/>
      <c r="R123" s="206">
        <v>200</v>
      </c>
      <c r="S123" s="222">
        <v>33.5</v>
      </c>
      <c r="T123" s="207"/>
      <c r="U123" s="83"/>
    </row>
    <row r="124" spans="12:21" ht="13.5" customHeight="1">
      <c r="L124" s="82"/>
      <c r="M124" s="110">
        <v>99</v>
      </c>
      <c r="N124" s="223" t="s">
        <v>1892</v>
      </c>
      <c r="O124" s="223">
        <v>150</v>
      </c>
      <c r="P124" s="223">
        <v>48</v>
      </c>
      <c r="Q124" s="205"/>
      <c r="R124" s="206">
        <v>200</v>
      </c>
      <c r="S124" s="222">
        <v>37.799999237060547</v>
      </c>
      <c r="T124" s="207"/>
      <c r="U124" s="83"/>
    </row>
    <row r="125" spans="12:21" ht="13.5" customHeight="1">
      <c r="L125" s="82"/>
      <c r="M125" s="110">
        <v>100</v>
      </c>
      <c r="N125" s="223" t="s">
        <v>1892</v>
      </c>
      <c r="O125" s="223">
        <v>140</v>
      </c>
      <c r="P125" s="223">
        <v>46</v>
      </c>
      <c r="Q125" s="205"/>
      <c r="R125" s="206">
        <v>200</v>
      </c>
      <c r="S125" s="222">
        <v>37</v>
      </c>
      <c r="T125" s="207"/>
      <c r="U125" s="83"/>
    </row>
    <row r="126" spans="12:21" ht="13.5" customHeight="1">
      <c r="L126" s="82"/>
      <c r="M126" s="110">
        <v>101</v>
      </c>
      <c r="N126" s="223"/>
      <c r="O126" s="223"/>
      <c r="P126" s="223"/>
      <c r="Q126" s="205"/>
      <c r="R126" s="206"/>
      <c r="S126" s="222"/>
      <c r="T126" s="207"/>
      <c r="U126" s="83"/>
    </row>
    <row r="127" spans="12:21" ht="13.5" customHeight="1">
      <c r="L127" s="82"/>
      <c r="M127" s="110">
        <v>102</v>
      </c>
      <c r="N127" s="223"/>
      <c r="O127" s="223"/>
      <c r="P127" s="223"/>
      <c r="Q127" s="205"/>
      <c r="R127" s="206"/>
      <c r="S127" s="222"/>
      <c r="T127" s="207"/>
      <c r="U127" s="83"/>
    </row>
    <row r="128" spans="12:21" ht="13.5" customHeight="1">
      <c r="L128" s="82"/>
      <c r="M128" s="110">
        <v>103</v>
      </c>
      <c r="N128" s="223"/>
      <c r="O128" s="223"/>
      <c r="P128" s="223"/>
      <c r="Q128" s="205"/>
      <c r="R128" s="206"/>
      <c r="S128" s="222"/>
      <c r="T128" s="207"/>
      <c r="U128" s="83"/>
    </row>
    <row r="129" spans="12:21" ht="13.5" customHeight="1">
      <c r="L129" s="82"/>
      <c r="M129" s="110">
        <v>104</v>
      </c>
      <c r="N129" s="223"/>
      <c r="O129" s="223"/>
      <c r="P129" s="223"/>
      <c r="Q129" s="205"/>
      <c r="R129" s="206"/>
      <c r="S129" s="222"/>
      <c r="T129" s="207"/>
      <c r="U129" s="83"/>
    </row>
    <row r="130" spans="12:21" ht="13.5" customHeight="1">
      <c r="L130" s="82"/>
      <c r="M130" s="110">
        <v>105</v>
      </c>
      <c r="N130" s="223"/>
      <c r="O130" s="223"/>
      <c r="P130" s="223"/>
      <c r="Q130" s="205"/>
      <c r="R130" s="206"/>
      <c r="S130" s="222"/>
      <c r="T130" s="207"/>
      <c r="U130" s="83"/>
    </row>
    <row r="131" spans="12:21" ht="13.5" customHeight="1">
      <c r="L131" s="82"/>
      <c r="M131" s="110">
        <v>106</v>
      </c>
      <c r="N131" s="223"/>
      <c r="O131" s="223"/>
      <c r="P131" s="223"/>
      <c r="Q131" s="205"/>
      <c r="R131" s="206"/>
      <c r="S131" s="222"/>
      <c r="T131" s="207"/>
      <c r="U131" s="83"/>
    </row>
    <row r="132" spans="12:21" ht="13.5" customHeight="1">
      <c r="L132" s="82"/>
      <c r="M132" s="110">
        <v>107</v>
      </c>
      <c r="N132" s="223"/>
      <c r="O132" s="223"/>
      <c r="P132" s="223"/>
      <c r="Q132" s="205"/>
      <c r="R132" s="206"/>
      <c r="S132" s="222"/>
      <c r="T132" s="207"/>
      <c r="U132" s="83"/>
    </row>
    <row r="133" spans="12:21" ht="13.5" customHeight="1">
      <c r="L133" s="82"/>
      <c r="M133" s="110">
        <v>108</v>
      </c>
      <c r="N133" s="223"/>
      <c r="O133" s="223"/>
      <c r="P133" s="223"/>
      <c r="Q133" s="205"/>
      <c r="R133" s="206"/>
      <c r="S133" s="222"/>
      <c r="T133" s="207"/>
      <c r="U133" s="83"/>
    </row>
    <row r="134" spans="12:21" ht="13.5" customHeight="1">
      <c r="L134" s="82"/>
      <c r="M134" s="110">
        <v>109</v>
      </c>
      <c r="N134" s="223"/>
      <c r="O134" s="223"/>
      <c r="P134" s="223"/>
      <c r="Q134" s="205"/>
      <c r="R134" s="206"/>
      <c r="S134" s="222"/>
      <c r="T134" s="207"/>
      <c r="U134" s="83"/>
    </row>
    <row r="135" spans="12:21" ht="13.5" customHeight="1">
      <c r="L135" s="82"/>
      <c r="M135" s="110">
        <v>110</v>
      </c>
      <c r="N135" s="223"/>
      <c r="O135" s="223"/>
      <c r="P135" s="223"/>
      <c r="Q135" s="205"/>
      <c r="R135" s="206"/>
      <c r="S135" s="222"/>
      <c r="T135" s="207"/>
      <c r="U135" s="83"/>
    </row>
    <row r="136" spans="12:21" ht="13.5" customHeight="1">
      <c r="L136" s="82"/>
      <c r="M136" s="110">
        <v>111</v>
      </c>
      <c r="N136" s="223"/>
      <c r="O136" s="223"/>
      <c r="P136" s="223"/>
      <c r="Q136" s="205"/>
      <c r="R136" s="206"/>
      <c r="S136" s="222"/>
      <c r="T136" s="207"/>
      <c r="U136" s="83"/>
    </row>
    <row r="137" spans="12:21" ht="13.5" customHeight="1">
      <c r="L137" s="82"/>
      <c r="M137" s="110">
        <v>112</v>
      </c>
      <c r="N137" s="223"/>
      <c r="O137" s="223"/>
      <c r="P137" s="223"/>
      <c r="Q137" s="205"/>
      <c r="R137" s="206"/>
      <c r="S137" s="222"/>
      <c r="T137" s="207"/>
      <c r="U137" s="83"/>
    </row>
    <row r="138" spans="12:21" ht="13.5" customHeight="1">
      <c r="L138" s="82"/>
      <c r="M138" s="110">
        <v>113</v>
      </c>
      <c r="N138" s="223"/>
      <c r="O138" s="223"/>
      <c r="P138" s="223"/>
      <c r="Q138" s="205"/>
      <c r="R138" s="206"/>
      <c r="S138" s="222"/>
      <c r="T138" s="207"/>
      <c r="U138" s="83"/>
    </row>
    <row r="139" spans="12:21" ht="13.5" customHeight="1">
      <c r="L139" s="82"/>
      <c r="M139" s="110">
        <v>114</v>
      </c>
      <c r="N139" s="223"/>
      <c r="O139" s="223"/>
      <c r="P139" s="223"/>
      <c r="Q139" s="205"/>
      <c r="R139" s="206"/>
      <c r="S139" s="222"/>
      <c r="T139" s="207"/>
      <c r="U139" s="83"/>
    </row>
    <row r="140" spans="12:21" ht="13.5" customHeight="1">
      <c r="L140" s="82"/>
      <c r="M140" s="110">
        <v>115</v>
      </c>
      <c r="N140" s="223"/>
      <c r="O140" s="223"/>
      <c r="P140" s="223"/>
      <c r="Q140" s="205"/>
      <c r="R140" s="206"/>
      <c r="S140" s="222"/>
      <c r="T140" s="207"/>
      <c r="U140" s="83"/>
    </row>
    <row r="141" spans="12:21" ht="13.5" customHeight="1">
      <c r="L141" s="82"/>
      <c r="M141" s="110">
        <v>116</v>
      </c>
      <c r="N141" s="223"/>
      <c r="O141" s="223"/>
      <c r="P141" s="223"/>
      <c r="Q141" s="205"/>
      <c r="R141" s="206"/>
      <c r="S141" s="222"/>
      <c r="T141" s="207"/>
      <c r="U141" s="83"/>
    </row>
    <row r="142" spans="12:21" ht="13.5" customHeight="1">
      <c r="L142" s="82"/>
      <c r="M142" s="110">
        <v>117</v>
      </c>
      <c r="N142" s="223"/>
      <c r="O142" s="223"/>
      <c r="P142" s="223"/>
      <c r="Q142" s="205"/>
      <c r="R142" s="206"/>
      <c r="S142" s="222"/>
      <c r="T142" s="207"/>
      <c r="U142" s="83"/>
    </row>
    <row r="143" spans="12:21" ht="13.5" customHeight="1">
      <c r="L143" s="82"/>
      <c r="M143" s="110">
        <v>118</v>
      </c>
      <c r="N143" s="223"/>
      <c r="O143" s="223"/>
      <c r="P143" s="223"/>
      <c r="Q143" s="205"/>
      <c r="R143" s="206"/>
      <c r="S143" s="222"/>
      <c r="T143" s="207"/>
      <c r="U143" s="83"/>
    </row>
    <row r="144" spans="12:21" ht="13.5" customHeight="1">
      <c r="L144" s="82"/>
      <c r="M144" s="110">
        <v>119</v>
      </c>
      <c r="N144" s="223"/>
      <c r="O144" s="223"/>
      <c r="P144" s="223"/>
      <c r="Q144" s="205"/>
      <c r="R144" s="206"/>
      <c r="S144" s="222"/>
      <c r="T144" s="207"/>
      <c r="U144" s="83"/>
    </row>
    <row r="145" spans="12:21" ht="13.5" customHeight="1">
      <c r="L145" s="82"/>
      <c r="M145" s="110">
        <v>120</v>
      </c>
      <c r="N145" s="223"/>
      <c r="O145" s="223"/>
      <c r="P145" s="223"/>
      <c r="Q145" s="205"/>
      <c r="R145" s="206"/>
      <c r="S145" s="222"/>
      <c r="T145" s="207"/>
      <c r="U145" s="83"/>
    </row>
    <row r="146" spans="12:21" ht="13.5" customHeight="1">
      <c r="L146" s="82"/>
      <c r="M146" s="110">
        <v>121</v>
      </c>
      <c r="N146" s="223"/>
      <c r="O146" s="223"/>
      <c r="P146" s="223"/>
      <c r="Q146" s="205"/>
      <c r="R146" s="206"/>
      <c r="S146" s="222"/>
      <c r="T146" s="207"/>
      <c r="U146" s="83"/>
    </row>
    <row r="147" spans="12:21" ht="13.5" customHeight="1">
      <c r="L147" s="82"/>
      <c r="M147" s="110">
        <v>122</v>
      </c>
      <c r="N147" s="223"/>
      <c r="O147" s="223"/>
      <c r="P147" s="223"/>
      <c r="Q147" s="205"/>
      <c r="R147" s="206"/>
      <c r="S147" s="222"/>
      <c r="T147" s="207"/>
      <c r="U147" s="83"/>
    </row>
    <row r="148" spans="12:21" ht="13.5" customHeight="1">
      <c r="L148" s="82"/>
      <c r="M148" s="110">
        <v>123</v>
      </c>
      <c r="N148" s="223"/>
      <c r="O148" s="223"/>
      <c r="P148" s="223"/>
      <c r="Q148" s="205"/>
      <c r="R148" s="206"/>
      <c r="S148" s="222"/>
      <c r="T148" s="207"/>
      <c r="U148" s="83"/>
    </row>
    <row r="149" spans="12:21" ht="13.5" customHeight="1">
      <c r="L149" s="82"/>
      <c r="M149" s="110">
        <v>124</v>
      </c>
      <c r="N149" s="223"/>
      <c r="O149" s="223"/>
      <c r="P149" s="223"/>
      <c r="Q149" s="205"/>
      <c r="R149" s="206"/>
      <c r="S149" s="222"/>
      <c r="T149" s="207"/>
      <c r="U149" s="83"/>
    </row>
    <row r="150" spans="12:21" ht="13.5" customHeight="1">
      <c r="L150" s="82"/>
      <c r="M150" s="110">
        <v>125</v>
      </c>
      <c r="N150" s="223"/>
      <c r="O150" s="223"/>
      <c r="P150" s="223"/>
      <c r="Q150" s="205"/>
      <c r="R150" s="206"/>
      <c r="S150" s="222"/>
      <c r="T150" s="207"/>
      <c r="U150" s="83"/>
    </row>
    <row r="151" spans="12:21" ht="13.5" customHeight="1">
      <c r="L151" s="82"/>
      <c r="M151" s="110">
        <v>126</v>
      </c>
      <c r="N151" s="223"/>
      <c r="O151" s="223"/>
      <c r="P151" s="223"/>
      <c r="Q151" s="205"/>
      <c r="R151" s="206"/>
      <c r="S151" s="222"/>
      <c r="T151" s="207"/>
      <c r="U151" s="83"/>
    </row>
    <row r="152" spans="12:21" ht="13.5" customHeight="1">
      <c r="L152" s="82"/>
      <c r="M152" s="110">
        <v>127</v>
      </c>
      <c r="N152" s="223"/>
      <c r="O152" s="223"/>
      <c r="P152" s="223"/>
      <c r="Q152" s="205"/>
      <c r="R152" s="206"/>
      <c r="S152" s="222"/>
      <c r="T152" s="207"/>
      <c r="U152" s="83"/>
    </row>
    <row r="153" spans="12:21" ht="13.5" customHeight="1">
      <c r="L153" s="82"/>
      <c r="M153" s="110">
        <v>128</v>
      </c>
      <c r="N153" s="223"/>
      <c r="O153" s="223"/>
      <c r="P153" s="223"/>
      <c r="Q153" s="205"/>
      <c r="R153" s="206"/>
      <c r="S153" s="222"/>
      <c r="T153" s="207"/>
      <c r="U153" s="83"/>
    </row>
    <row r="154" spans="12:21" ht="13.5" customHeight="1">
      <c r="L154" s="82"/>
      <c r="M154" s="110">
        <v>129</v>
      </c>
      <c r="N154" s="223"/>
      <c r="O154" s="223"/>
      <c r="P154" s="223"/>
      <c r="Q154" s="205"/>
      <c r="R154" s="206"/>
      <c r="S154" s="222"/>
      <c r="T154" s="207"/>
      <c r="U154" s="83"/>
    </row>
    <row r="155" spans="12:21" ht="13.5" customHeight="1">
      <c r="L155" s="82"/>
      <c r="M155" s="110">
        <v>130</v>
      </c>
      <c r="N155" s="223"/>
      <c r="O155" s="223"/>
      <c r="P155" s="223"/>
      <c r="Q155" s="205"/>
      <c r="R155" s="206"/>
      <c r="S155" s="222"/>
      <c r="T155" s="207"/>
      <c r="U155" s="83"/>
    </row>
    <row r="156" spans="12:21" ht="13.5" customHeight="1">
      <c r="L156" s="82"/>
      <c r="M156" s="110">
        <v>131</v>
      </c>
      <c r="N156" s="223"/>
      <c r="O156" s="223"/>
      <c r="P156" s="223"/>
      <c r="Q156" s="205"/>
      <c r="R156" s="206"/>
      <c r="S156" s="222"/>
      <c r="T156" s="207"/>
      <c r="U156" s="83"/>
    </row>
    <row r="157" spans="12:21" ht="13.5" customHeight="1">
      <c r="L157" s="82"/>
      <c r="M157" s="110">
        <v>132</v>
      </c>
      <c r="N157" s="223"/>
      <c r="O157" s="223"/>
      <c r="P157" s="223"/>
      <c r="Q157" s="205"/>
      <c r="R157" s="206"/>
      <c r="S157" s="222"/>
      <c r="T157" s="207"/>
      <c r="U157" s="83"/>
    </row>
    <row r="158" spans="12:21" ht="13.5" customHeight="1">
      <c r="L158" s="82"/>
      <c r="M158" s="110">
        <v>133</v>
      </c>
      <c r="N158" s="223"/>
      <c r="O158" s="223"/>
      <c r="P158" s="223"/>
      <c r="Q158" s="205"/>
      <c r="R158" s="206"/>
      <c r="S158" s="222"/>
      <c r="T158" s="207"/>
      <c r="U158" s="83"/>
    </row>
    <row r="159" spans="12:21" ht="13.5" customHeight="1">
      <c r="L159" s="82"/>
      <c r="M159" s="110">
        <v>134</v>
      </c>
      <c r="N159" s="223"/>
      <c r="O159" s="223"/>
      <c r="P159" s="223"/>
      <c r="Q159" s="205"/>
      <c r="R159" s="206"/>
      <c r="S159" s="222"/>
      <c r="T159" s="207"/>
      <c r="U159" s="83"/>
    </row>
    <row r="160" spans="12:21" ht="13.5" customHeight="1">
      <c r="L160" s="82"/>
      <c r="M160" s="110">
        <v>135</v>
      </c>
      <c r="N160" s="223"/>
      <c r="O160" s="223"/>
      <c r="P160" s="223"/>
      <c r="Q160" s="205"/>
      <c r="R160" s="206"/>
      <c r="S160" s="222"/>
      <c r="T160" s="207"/>
      <c r="U160" s="83"/>
    </row>
    <row r="161" spans="12:21" ht="13.5" customHeight="1">
      <c r="L161" s="82"/>
      <c r="M161" s="110">
        <v>136</v>
      </c>
      <c r="N161" s="223"/>
      <c r="O161" s="223"/>
      <c r="P161" s="223"/>
      <c r="Q161" s="205"/>
      <c r="R161" s="206"/>
      <c r="S161" s="222"/>
      <c r="T161" s="207"/>
      <c r="U161" s="83"/>
    </row>
    <row r="162" spans="12:21" ht="13.5" customHeight="1">
      <c r="L162" s="82"/>
      <c r="M162" s="110">
        <v>137</v>
      </c>
      <c r="N162" s="223"/>
      <c r="O162" s="223"/>
      <c r="P162" s="223"/>
      <c r="Q162" s="205"/>
      <c r="R162" s="206"/>
      <c r="S162" s="222"/>
      <c r="T162" s="207"/>
      <c r="U162" s="83"/>
    </row>
    <row r="163" spans="12:21" ht="13.5" customHeight="1">
      <c r="L163" s="82"/>
      <c r="M163" s="110">
        <v>138</v>
      </c>
      <c r="N163" s="223"/>
      <c r="O163" s="223"/>
      <c r="P163" s="223"/>
      <c r="Q163" s="205"/>
      <c r="R163" s="206"/>
      <c r="S163" s="222"/>
      <c r="T163" s="207"/>
      <c r="U163" s="83"/>
    </row>
    <row r="164" spans="12:21" ht="13.5" customHeight="1">
      <c r="L164" s="82"/>
      <c r="M164" s="110">
        <v>139</v>
      </c>
      <c r="N164" s="223"/>
      <c r="O164" s="223"/>
      <c r="P164" s="223"/>
      <c r="Q164" s="205"/>
      <c r="R164" s="206"/>
      <c r="S164" s="222"/>
      <c r="T164" s="207"/>
      <c r="U164" s="83"/>
    </row>
    <row r="165" spans="12:21" ht="13.5" customHeight="1">
      <c r="L165" s="82"/>
      <c r="M165" s="110">
        <v>140</v>
      </c>
      <c r="N165" s="223"/>
      <c r="O165" s="223"/>
      <c r="P165" s="223"/>
      <c r="Q165" s="205"/>
      <c r="R165" s="206"/>
      <c r="S165" s="222"/>
      <c r="T165" s="207"/>
      <c r="U165" s="83"/>
    </row>
    <row r="166" spans="12:21" ht="13.5" customHeight="1">
      <c r="L166" s="82"/>
      <c r="M166" s="110">
        <v>141</v>
      </c>
      <c r="N166" s="223"/>
      <c r="O166" s="223"/>
      <c r="P166" s="223"/>
      <c r="Q166" s="205"/>
      <c r="R166" s="206"/>
      <c r="S166" s="222"/>
      <c r="T166" s="207"/>
      <c r="U166" s="83"/>
    </row>
    <row r="167" spans="12:21" ht="13.5" customHeight="1">
      <c r="L167" s="82"/>
      <c r="M167" s="110">
        <v>142</v>
      </c>
      <c r="N167" s="223"/>
      <c r="O167" s="223"/>
      <c r="P167" s="223"/>
      <c r="Q167" s="205"/>
      <c r="R167" s="206"/>
      <c r="S167" s="222"/>
      <c r="T167" s="207"/>
      <c r="U167" s="83"/>
    </row>
    <row r="168" spans="12:21" ht="13.5" customHeight="1">
      <c r="L168" s="82"/>
      <c r="M168" s="110">
        <v>143</v>
      </c>
      <c r="N168" s="223"/>
      <c r="O168" s="223"/>
      <c r="P168" s="223"/>
      <c r="Q168" s="205"/>
      <c r="R168" s="206"/>
      <c r="S168" s="222"/>
      <c r="T168" s="207"/>
      <c r="U168" s="83"/>
    </row>
    <row r="169" spans="12:21" ht="13.5" customHeight="1">
      <c r="L169" s="82"/>
      <c r="M169" s="110">
        <v>144</v>
      </c>
      <c r="N169" s="223"/>
      <c r="O169" s="223"/>
      <c r="P169" s="223"/>
      <c r="Q169" s="205"/>
      <c r="R169" s="206"/>
      <c r="S169" s="222"/>
      <c r="T169" s="207"/>
      <c r="U169" s="83"/>
    </row>
    <row r="170" spans="12:21" ht="13.5" customHeight="1">
      <c r="L170" s="82"/>
      <c r="M170" s="110">
        <v>145</v>
      </c>
      <c r="N170" s="223"/>
      <c r="O170" s="223"/>
      <c r="P170" s="223"/>
      <c r="Q170" s="205"/>
      <c r="R170" s="206"/>
      <c r="S170" s="222"/>
      <c r="T170" s="207"/>
      <c r="U170" s="83"/>
    </row>
    <row r="171" spans="12:21" ht="13.5" customHeight="1">
      <c r="L171" s="82"/>
      <c r="M171" s="110">
        <v>146</v>
      </c>
      <c r="N171" s="223"/>
      <c r="O171" s="223"/>
      <c r="P171" s="223"/>
      <c r="Q171" s="205"/>
      <c r="R171" s="206"/>
      <c r="S171" s="222"/>
      <c r="T171" s="207"/>
      <c r="U171" s="83"/>
    </row>
    <row r="172" spans="12:21" ht="13.5" customHeight="1">
      <c r="L172" s="82"/>
      <c r="M172" s="110">
        <v>147</v>
      </c>
      <c r="N172" s="223"/>
      <c r="O172" s="223"/>
      <c r="P172" s="223"/>
      <c r="Q172" s="205"/>
      <c r="R172" s="206"/>
      <c r="S172" s="222"/>
      <c r="T172" s="207"/>
      <c r="U172" s="83"/>
    </row>
    <row r="173" spans="12:21" ht="13.5" customHeight="1">
      <c r="L173" s="82"/>
      <c r="M173" s="110">
        <v>148</v>
      </c>
      <c r="N173" s="223"/>
      <c r="O173" s="223"/>
      <c r="P173" s="223"/>
      <c r="Q173" s="205"/>
      <c r="R173" s="206"/>
      <c r="S173" s="222"/>
      <c r="T173" s="207"/>
      <c r="U173" s="83"/>
    </row>
    <row r="174" spans="12:21" ht="13.5" customHeight="1">
      <c r="L174" s="82"/>
      <c r="M174" s="110">
        <v>149</v>
      </c>
      <c r="N174" s="223"/>
      <c r="O174" s="223"/>
      <c r="P174" s="223"/>
      <c r="Q174" s="205"/>
      <c r="R174" s="206"/>
      <c r="S174" s="222"/>
      <c r="T174" s="207"/>
      <c r="U174" s="83"/>
    </row>
    <row r="175" spans="12:21" ht="13.5" customHeight="1">
      <c r="L175" s="82"/>
      <c r="M175" s="110">
        <v>150</v>
      </c>
      <c r="N175" s="223"/>
      <c r="O175" s="223"/>
      <c r="P175" s="223"/>
      <c r="Q175" s="205"/>
      <c r="R175" s="206"/>
      <c r="S175" s="222"/>
      <c r="T175" s="207"/>
      <c r="U175" s="83"/>
    </row>
    <row r="176" spans="12:21" ht="13.5" customHeight="1">
      <c r="L176" s="82"/>
      <c r="M176" s="110">
        <v>151</v>
      </c>
      <c r="N176" s="223"/>
      <c r="O176" s="223"/>
      <c r="P176" s="223"/>
      <c r="Q176" s="205"/>
      <c r="R176" s="206"/>
      <c r="S176" s="222"/>
      <c r="T176" s="207"/>
      <c r="U176" s="83"/>
    </row>
    <row r="177" spans="12:21" ht="13.5" customHeight="1">
      <c r="L177" s="82"/>
      <c r="M177" s="110">
        <v>152</v>
      </c>
      <c r="N177" s="223"/>
      <c r="O177" s="223"/>
      <c r="P177" s="223"/>
      <c r="Q177" s="205"/>
      <c r="R177" s="206"/>
      <c r="S177" s="222"/>
      <c r="T177" s="207"/>
      <c r="U177" s="83"/>
    </row>
    <row r="178" spans="12:21" ht="13.5" customHeight="1">
      <c r="L178" s="82"/>
      <c r="M178" s="110">
        <v>153</v>
      </c>
      <c r="N178" s="223"/>
      <c r="O178" s="223"/>
      <c r="P178" s="223"/>
      <c r="Q178" s="205"/>
      <c r="R178" s="206"/>
      <c r="S178" s="222"/>
      <c r="T178" s="207"/>
      <c r="U178" s="83"/>
    </row>
    <row r="179" spans="12:21" ht="13.5" customHeight="1">
      <c r="L179" s="82"/>
      <c r="M179" s="110">
        <v>154</v>
      </c>
      <c r="N179" s="223"/>
      <c r="O179" s="223"/>
      <c r="P179" s="223"/>
      <c r="Q179" s="205"/>
      <c r="R179" s="206"/>
      <c r="S179" s="222"/>
      <c r="T179" s="207"/>
      <c r="U179" s="83"/>
    </row>
    <row r="180" spans="12:21" ht="13.5" customHeight="1">
      <c r="L180" s="82"/>
      <c r="M180" s="110">
        <v>155</v>
      </c>
      <c r="N180" s="223"/>
      <c r="O180" s="223"/>
      <c r="P180" s="223"/>
      <c r="Q180" s="205"/>
      <c r="R180" s="206"/>
      <c r="S180" s="222"/>
      <c r="T180" s="207"/>
      <c r="U180" s="83"/>
    </row>
    <row r="181" spans="12:21" ht="13.5" customHeight="1">
      <c r="L181" s="82"/>
      <c r="M181" s="110">
        <v>156</v>
      </c>
      <c r="N181" s="223"/>
      <c r="O181" s="223"/>
      <c r="P181" s="223"/>
      <c r="Q181" s="205"/>
      <c r="R181" s="206"/>
      <c r="S181" s="222"/>
      <c r="T181" s="207"/>
      <c r="U181" s="83"/>
    </row>
    <row r="182" spans="12:21" ht="13.5" customHeight="1">
      <c r="L182" s="82"/>
      <c r="M182" s="110">
        <v>157</v>
      </c>
      <c r="N182" s="223"/>
      <c r="O182" s="223"/>
      <c r="P182" s="223"/>
      <c r="Q182" s="205"/>
      <c r="R182" s="206"/>
      <c r="S182" s="222"/>
      <c r="T182" s="207"/>
      <c r="U182" s="83"/>
    </row>
    <row r="183" spans="12:21" ht="13.5" customHeight="1">
      <c r="L183" s="82"/>
      <c r="M183" s="110">
        <v>158</v>
      </c>
      <c r="N183" s="223"/>
      <c r="O183" s="223"/>
      <c r="P183" s="223"/>
      <c r="Q183" s="205"/>
      <c r="R183" s="206"/>
      <c r="S183" s="222"/>
      <c r="T183" s="207"/>
      <c r="U183" s="83"/>
    </row>
    <row r="184" spans="12:21" ht="13.5" customHeight="1">
      <c r="L184" s="82"/>
      <c r="M184" s="110">
        <v>159</v>
      </c>
      <c r="N184" s="223"/>
      <c r="O184" s="223"/>
      <c r="P184" s="223"/>
      <c r="Q184" s="205"/>
      <c r="R184" s="206"/>
      <c r="S184" s="222"/>
      <c r="T184" s="207"/>
      <c r="U184" s="83"/>
    </row>
    <row r="185" spans="12:21" ht="13.5" customHeight="1">
      <c r="L185" s="82"/>
      <c r="M185" s="110">
        <v>160</v>
      </c>
      <c r="N185" s="223"/>
      <c r="O185" s="223"/>
      <c r="P185" s="223"/>
      <c r="Q185" s="205"/>
      <c r="R185" s="206"/>
      <c r="S185" s="222"/>
      <c r="T185" s="207"/>
      <c r="U185" s="83"/>
    </row>
    <row r="186" spans="12:21" ht="13.5" customHeight="1">
      <c r="L186" s="82"/>
      <c r="M186" s="110">
        <v>161</v>
      </c>
      <c r="N186" s="223"/>
      <c r="O186" s="223"/>
      <c r="P186" s="223"/>
      <c r="Q186" s="205"/>
      <c r="R186" s="206"/>
      <c r="S186" s="222"/>
      <c r="T186" s="207"/>
      <c r="U186" s="83"/>
    </row>
    <row r="187" spans="12:21" ht="13.5" customHeight="1">
      <c r="L187" s="82"/>
      <c r="M187" s="110">
        <v>162</v>
      </c>
      <c r="N187" s="223"/>
      <c r="O187" s="223"/>
      <c r="P187" s="223"/>
      <c r="Q187" s="205"/>
      <c r="R187" s="206"/>
      <c r="S187" s="222"/>
      <c r="T187" s="207"/>
      <c r="U187" s="83"/>
    </row>
    <row r="188" spans="12:21" ht="13.5" customHeight="1">
      <c r="L188" s="82"/>
      <c r="M188" s="110">
        <v>163</v>
      </c>
      <c r="N188" s="223"/>
      <c r="O188" s="223"/>
      <c r="P188" s="223"/>
      <c r="Q188" s="205"/>
      <c r="R188" s="206"/>
      <c r="S188" s="222"/>
      <c r="T188" s="207"/>
      <c r="U188" s="83"/>
    </row>
    <row r="189" spans="12:21" ht="13.5" customHeight="1">
      <c r="L189" s="82"/>
      <c r="M189" s="110">
        <v>164</v>
      </c>
      <c r="N189" s="223"/>
      <c r="O189" s="223"/>
      <c r="P189" s="223"/>
      <c r="Q189" s="205"/>
      <c r="R189" s="206"/>
      <c r="S189" s="222"/>
      <c r="T189" s="207"/>
      <c r="U189" s="83"/>
    </row>
    <row r="190" spans="12:21" ht="13.5" customHeight="1">
      <c r="L190" s="82"/>
      <c r="M190" s="110">
        <v>165</v>
      </c>
      <c r="N190" s="223"/>
      <c r="O190" s="223"/>
      <c r="P190" s="223"/>
      <c r="Q190" s="205"/>
      <c r="R190" s="206"/>
      <c r="S190" s="222"/>
      <c r="T190" s="207"/>
      <c r="U190" s="83"/>
    </row>
    <row r="191" spans="12:21" ht="13.5" customHeight="1">
      <c r="L191" s="82"/>
      <c r="M191" s="110">
        <v>166</v>
      </c>
      <c r="N191" s="223"/>
      <c r="O191" s="223"/>
      <c r="P191" s="223"/>
      <c r="Q191" s="205"/>
      <c r="R191" s="206"/>
      <c r="S191" s="222"/>
      <c r="T191" s="207"/>
      <c r="U191" s="83"/>
    </row>
    <row r="192" spans="12:21" ht="13.5" customHeight="1">
      <c r="L192" s="82"/>
      <c r="M192" s="110">
        <v>167</v>
      </c>
      <c r="N192" s="223"/>
      <c r="O192" s="223"/>
      <c r="P192" s="223"/>
      <c r="Q192" s="205"/>
      <c r="R192" s="206"/>
      <c r="S192" s="222"/>
      <c r="T192" s="207"/>
      <c r="U192" s="83"/>
    </row>
    <row r="193" spans="12:21" ht="13.5" customHeight="1">
      <c r="L193" s="82"/>
      <c r="M193" s="110">
        <v>168</v>
      </c>
      <c r="N193" s="223"/>
      <c r="O193" s="223"/>
      <c r="P193" s="223"/>
      <c r="Q193" s="205"/>
      <c r="R193" s="206"/>
      <c r="S193" s="222"/>
      <c r="T193" s="207"/>
      <c r="U193" s="83"/>
    </row>
    <row r="194" spans="12:21" ht="13.5" customHeight="1">
      <c r="L194" s="82"/>
      <c r="M194" s="110">
        <v>169</v>
      </c>
      <c r="N194" s="223"/>
      <c r="O194" s="223"/>
      <c r="P194" s="223"/>
      <c r="Q194" s="205"/>
      <c r="R194" s="206"/>
      <c r="S194" s="222"/>
      <c r="T194" s="207"/>
      <c r="U194" s="83"/>
    </row>
    <row r="195" spans="12:21" ht="13.5" customHeight="1">
      <c r="L195" s="82"/>
      <c r="M195" s="110">
        <v>170</v>
      </c>
      <c r="N195" s="223"/>
      <c r="O195" s="223"/>
      <c r="P195" s="223"/>
      <c r="Q195" s="205"/>
      <c r="R195" s="206"/>
      <c r="S195" s="222"/>
      <c r="T195" s="207"/>
      <c r="U195" s="83"/>
    </row>
    <row r="196" spans="12:21" ht="13.5" customHeight="1">
      <c r="L196" s="82"/>
      <c r="M196" s="110">
        <v>171</v>
      </c>
      <c r="N196" s="223"/>
      <c r="O196" s="223"/>
      <c r="P196" s="223"/>
      <c r="Q196" s="205"/>
      <c r="R196" s="206"/>
      <c r="S196" s="222"/>
      <c r="T196" s="207"/>
      <c r="U196" s="83"/>
    </row>
    <row r="197" spans="12:21" ht="13.5" customHeight="1">
      <c r="L197" s="82"/>
      <c r="M197" s="110">
        <v>172</v>
      </c>
      <c r="N197" s="223"/>
      <c r="O197" s="223"/>
      <c r="P197" s="223"/>
      <c r="Q197" s="205"/>
      <c r="R197" s="206"/>
      <c r="S197" s="222"/>
      <c r="T197" s="207"/>
      <c r="U197" s="83"/>
    </row>
    <row r="198" spans="12:21" ht="13.5" customHeight="1">
      <c r="L198" s="82"/>
      <c r="M198" s="110">
        <v>173</v>
      </c>
      <c r="N198" s="223"/>
      <c r="O198" s="223"/>
      <c r="P198" s="223"/>
      <c r="Q198" s="205"/>
      <c r="R198" s="206"/>
      <c r="S198" s="222"/>
      <c r="T198" s="207"/>
      <c r="U198" s="83"/>
    </row>
    <row r="199" spans="12:21" ht="13.5" customHeight="1">
      <c r="L199" s="82"/>
      <c r="M199" s="110">
        <v>174</v>
      </c>
      <c r="N199" s="223"/>
      <c r="O199" s="223"/>
      <c r="P199" s="223"/>
      <c r="Q199" s="205"/>
      <c r="R199" s="206"/>
      <c r="S199" s="222"/>
      <c r="T199" s="207"/>
      <c r="U199" s="83"/>
    </row>
    <row r="200" spans="12:21" ht="13.5" customHeight="1">
      <c r="L200" s="82"/>
      <c r="M200" s="110">
        <v>175</v>
      </c>
      <c r="N200" s="223"/>
      <c r="O200" s="223"/>
      <c r="P200" s="223"/>
      <c r="Q200" s="205"/>
      <c r="R200" s="206"/>
      <c r="S200" s="222"/>
      <c r="T200" s="207"/>
      <c r="U200" s="83"/>
    </row>
    <row r="201" spans="12:21" ht="13.5" customHeight="1">
      <c r="L201" s="82"/>
      <c r="M201" s="110">
        <v>176</v>
      </c>
      <c r="N201" s="223"/>
      <c r="O201" s="223"/>
      <c r="P201" s="223"/>
      <c r="Q201" s="205"/>
      <c r="R201" s="206"/>
      <c r="S201" s="222"/>
      <c r="T201" s="207"/>
      <c r="U201" s="83"/>
    </row>
    <row r="202" spans="12:21" ht="13.5" customHeight="1">
      <c r="L202" s="82"/>
      <c r="M202" s="110">
        <v>177</v>
      </c>
      <c r="N202" s="223"/>
      <c r="O202" s="223"/>
      <c r="P202" s="223"/>
      <c r="Q202" s="205"/>
      <c r="R202" s="206"/>
      <c r="S202" s="222"/>
      <c r="T202" s="207"/>
      <c r="U202" s="83"/>
    </row>
    <row r="203" spans="12:21" ht="13.5" customHeight="1">
      <c r="L203" s="82"/>
      <c r="M203" s="110">
        <v>178</v>
      </c>
      <c r="N203" s="223"/>
      <c r="O203" s="223"/>
      <c r="P203" s="223"/>
      <c r="Q203" s="205"/>
      <c r="R203" s="206"/>
      <c r="S203" s="222"/>
      <c r="T203" s="207"/>
      <c r="U203" s="83"/>
    </row>
    <row r="204" spans="12:21" ht="13.5" customHeight="1">
      <c r="L204" s="82"/>
      <c r="M204" s="110">
        <v>179</v>
      </c>
      <c r="N204" s="223"/>
      <c r="O204" s="223"/>
      <c r="P204" s="223"/>
      <c r="Q204" s="205"/>
      <c r="R204" s="206"/>
      <c r="S204" s="222"/>
      <c r="T204" s="207"/>
      <c r="U204" s="83"/>
    </row>
    <row r="205" spans="12:21" ht="13.5" customHeight="1">
      <c r="L205" s="82"/>
      <c r="M205" s="110">
        <v>180</v>
      </c>
      <c r="N205" s="223"/>
      <c r="O205" s="223"/>
      <c r="P205" s="223"/>
      <c r="Q205" s="205"/>
      <c r="R205" s="206"/>
      <c r="S205" s="222"/>
      <c r="T205" s="207"/>
      <c r="U205" s="83"/>
    </row>
    <row r="206" spans="12:21" ht="13.5" customHeight="1">
      <c r="L206" s="82"/>
      <c r="M206" s="110">
        <v>181</v>
      </c>
      <c r="N206" s="223"/>
      <c r="O206" s="223"/>
      <c r="P206" s="223"/>
      <c r="Q206" s="205"/>
      <c r="R206" s="206"/>
      <c r="S206" s="222"/>
      <c r="T206" s="207"/>
      <c r="U206" s="83"/>
    </row>
    <row r="207" spans="12:21" ht="13.5" customHeight="1">
      <c r="L207" s="82"/>
      <c r="M207" s="110">
        <v>182</v>
      </c>
      <c r="N207" s="223"/>
      <c r="O207" s="223"/>
      <c r="P207" s="223"/>
      <c r="Q207" s="205"/>
      <c r="R207" s="206"/>
      <c r="S207" s="222"/>
      <c r="T207" s="207"/>
      <c r="U207" s="83"/>
    </row>
    <row r="208" spans="12:21" ht="13.5" customHeight="1">
      <c r="L208" s="82"/>
      <c r="M208" s="110">
        <v>183</v>
      </c>
      <c r="N208" s="223"/>
      <c r="O208" s="223"/>
      <c r="P208" s="223"/>
      <c r="Q208" s="205"/>
      <c r="R208" s="206"/>
      <c r="S208" s="222"/>
      <c r="T208" s="207"/>
      <c r="U208" s="83"/>
    </row>
    <row r="209" spans="12:21" ht="13.5" customHeight="1">
      <c r="L209" s="82"/>
      <c r="M209" s="110">
        <v>184</v>
      </c>
      <c r="N209" s="223"/>
      <c r="O209" s="223"/>
      <c r="P209" s="223"/>
      <c r="Q209" s="205"/>
      <c r="R209" s="206"/>
      <c r="S209" s="222"/>
      <c r="T209" s="207"/>
      <c r="U209" s="83"/>
    </row>
    <row r="210" spans="12:21" ht="13.5" customHeight="1">
      <c r="L210" s="82"/>
      <c r="M210" s="110">
        <v>185</v>
      </c>
      <c r="N210" s="223"/>
      <c r="O210" s="223"/>
      <c r="P210" s="223"/>
      <c r="Q210" s="205"/>
      <c r="R210" s="206"/>
      <c r="S210" s="222"/>
      <c r="T210" s="207"/>
      <c r="U210" s="83"/>
    </row>
    <row r="211" spans="12:21" ht="13.5" customHeight="1">
      <c r="L211" s="82"/>
      <c r="M211" s="110">
        <v>186</v>
      </c>
      <c r="N211" s="223"/>
      <c r="O211" s="223"/>
      <c r="P211" s="223"/>
      <c r="Q211" s="205"/>
      <c r="R211" s="206"/>
      <c r="S211" s="222"/>
      <c r="T211" s="207"/>
      <c r="U211" s="83"/>
    </row>
    <row r="212" spans="12:21" ht="13.5" customHeight="1">
      <c r="L212" s="82"/>
      <c r="M212" s="110">
        <v>187</v>
      </c>
      <c r="N212" s="223"/>
      <c r="O212" s="223"/>
      <c r="P212" s="223"/>
      <c r="Q212" s="205"/>
      <c r="R212" s="206"/>
      <c r="S212" s="222"/>
      <c r="T212" s="207"/>
      <c r="U212" s="83"/>
    </row>
    <row r="213" spans="12:21" ht="13.5" customHeight="1">
      <c r="L213" s="82"/>
      <c r="M213" s="110">
        <v>188</v>
      </c>
      <c r="N213" s="223"/>
      <c r="O213" s="223"/>
      <c r="P213" s="223"/>
      <c r="Q213" s="205"/>
      <c r="R213" s="206"/>
      <c r="S213" s="222"/>
      <c r="T213" s="207"/>
      <c r="U213" s="83"/>
    </row>
    <row r="214" spans="12:21" ht="13.5" customHeight="1">
      <c r="L214" s="82"/>
      <c r="M214" s="110">
        <v>189</v>
      </c>
      <c r="N214" s="223"/>
      <c r="O214" s="223"/>
      <c r="P214" s="223"/>
      <c r="Q214" s="205"/>
      <c r="R214" s="206"/>
      <c r="S214" s="222"/>
      <c r="T214" s="207"/>
      <c r="U214" s="83"/>
    </row>
    <row r="215" spans="12:21" ht="13.5" customHeight="1">
      <c r="L215" s="82"/>
      <c r="M215" s="110">
        <v>190</v>
      </c>
      <c r="N215" s="223"/>
      <c r="O215" s="223"/>
      <c r="P215" s="223"/>
      <c r="Q215" s="205"/>
      <c r="R215" s="206"/>
      <c r="S215" s="222"/>
      <c r="T215" s="207"/>
      <c r="U215" s="83"/>
    </row>
    <row r="216" spans="12:21" ht="13.5" customHeight="1">
      <c r="L216" s="82"/>
      <c r="M216" s="110">
        <v>191</v>
      </c>
      <c r="N216" s="223"/>
      <c r="O216" s="223"/>
      <c r="P216" s="223"/>
      <c r="Q216" s="205"/>
      <c r="R216" s="206"/>
      <c r="S216" s="222"/>
      <c r="T216" s="207"/>
      <c r="U216" s="83"/>
    </row>
    <row r="217" spans="12:21" ht="13.5" customHeight="1">
      <c r="L217" s="82"/>
      <c r="M217" s="110">
        <v>192</v>
      </c>
      <c r="N217" s="223"/>
      <c r="O217" s="223"/>
      <c r="P217" s="223"/>
      <c r="Q217" s="205"/>
      <c r="R217" s="206"/>
      <c r="S217" s="222"/>
      <c r="T217" s="207"/>
      <c r="U217" s="83"/>
    </row>
    <row r="218" spans="12:21" ht="13.5" customHeight="1">
      <c r="L218" s="82"/>
      <c r="M218" s="110">
        <v>193</v>
      </c>
      <c r="N218" s="223"/>
      <c r="O218" s="223"/>
      <c r="P218" s="223"/>
      <c r="Q218" s="205"/>
      <c r="R218" s="206"/>
      <c r="S218" s="222"/>
      <c r="T218" s="207"/>
      <c r="U218" s="83"/>
    </row>
    <row r="219" spans="12:21" ht="13.5" customHeight="1">
      <c r="L219" s="82"/>
      <c r="M219" s="110">
        <v>194</v>
      </c>
      <c r="N219" s="223"/>
      <c r="O219" s="223"/>
      <c r="P219" s="223"/>
      <c r="Q219" s="205"/>
      <c r="R219" s="206"/>
      <c r="S219" s="222"/>
      <c r="T219" s="207"/>
      <c r="U219" s="83"/>
    </row>
    <row r="220" spans="12:21" ht="13.5" customHeight="1">
      <c r="L220" s="82"/>
      <c r="M220" s="110">
        <v>195</v>
      </c>
      <c r="N220" s="223"/>
      <c r="O220" s="223"/>
      <c r="P220" s="223"/>
      <c r="Q220" s="205"/>
      <c r="R220" s="206"/>
      <c r="S220" s="222"/>
      <c r="T220" s="207"/>
      <c r="U220" s="83"/>
    </row>
    <row r="221" spans="12:21" ht="13.5" customHeight="1">
      <c r="L221" s="82"/>
      <c r="M221" s="110">
        <v>196</v>
      </c>
      <c r="N221" s="223"/>
      <c r="O221" s="223"/>
      <c r="P221" s="223"/>
      <c r="Q221" s="205"/>
      <c r="R221" s="206"/>
      <c r="S221" s="222"/>
      <c r="T221" s="207"/>
      <c r="U221" s="83"/>
    </row>
    <row r="222" spans="12:21" ht="13.5" customHeight="1">
      <c r="L222" s="82"/>
      <c r="M222" s="110">
        <v>197</v>
      </c>
      <c r="N222" s="223"/>
      <c r="O222" s="223"/>
      <c r="P222" s="223"/>
      <c r="Q222" s="205"/>
      <c r="R222" s="206"/>
      <c r="S222" s="222"/>
      <c r="T222" s="207"/>
      <c r="U222" s="83"/>
    </row>
    <row r="223" spans="12:21" ht="13.5" customHeight="1">
      <c r="L223" s="82"/>
      <c r="M223" s="110">
        <v>198</v>
      </c>
      <c r="N223" s="223"/>
      <c r="O223" s="223"/>
      <c r="P223" s="223"/>
      <c r="Q223" s="205"/>
      <c r="R223" s="206"/>
      <c r="S223" s="222"/>
      <c r="T223" s="207"/>
      <c r="U223" s="83"/>
    </row>
    <row r="224" spans="12:21" ht="13.5" customHeight="1">
      <c r="L224" s="82"/>
      <c r="M224" s="110">
        <v>199</v>
      </c>
      <c r="N224" s="223"/>
      <c r="O224" s="223"/>
      <c r="P224" s="223"/>
      <c r="Q224" s="205"/>
      <c r="R224" s="206"/>
      <c r="S224" s="222"/>
      <c r="T224" s="207"/>
      <c r="U224" s="83"/>
    </row>
    <row r="225" spans="12:21" ht="13.5" customHeight="1">
      <c r="L225" s="82"/>
      <c r="M225" s="110">
        <v>200</v>
      </c>
      <c r="N225" s="223"/>
      <c r="O225" s="223"/>
      <c r="P225" s="223"/>
      <c r="Q225" s="205"/>
      <c r="R225" s="206"/>
      <c r="S225" s="222"/>
      <c r="T225" s="207"/>
      <c r="U225" s="83"/>
    </row>
    <row r="226" spans="12:21" ht="13.5" customHeight="1">
      <c r="L226" s="82"/>
      <c r="M226" s="110">
        <v>201</v>
      </c>
      <c r="N226" s="223"/>
      <c r="O226" s="223"/>
      <c r="P226" s="223"/>
      <c r="Q226" s="205"/>
      <c r="R226" s="206"/>
      <c r="S226" s="222"/>
      <c r="T226" s="207"/>
      <c r="U226" s="83"/>
    </row>
    <row r="227" spans="12:21" ht="13.5" customHeight="1">
      <c r="L227" s="82"/>
      <c r="M227" s="110">
        <v>202</v>
      </c>
      <c r="N227" s="223"/>
      <c r="O227" s="223"/>
      <c r="P227" s="223"/>
      <c r="Q227" s="205"/>
      <c r="R227" s="206"/>
      <c r="S227" s="222"/>
      <c r="T227" s="207"/>
      <c r="U227" s="83"/>
    </row>
    <row r="228" spans="12:21" ht="13.5" customHeight="1">
      <c r="L228" s="82"/>
      <c r="M228" s="110">
        <v>203</v>
      </c>
      <c r="N228" s="223"/>
      <c r="O228" s="223"/>
      <c r="P228" s="223"/>
      <c r="Q228" s="205"/>
      <c r="R228" s="206"/>
      <c r="S228" s="222"/>
      <c r="T228" s="207"/>
      <c r="U228" s="83"/>
    </row>
    <row r="229" spans="12:21" ht="13.5" customHeight="1">
      <c r="L229" s="82"/>
      <c r="M229" s="110">
        <v>204</v>
      </c>
      <c r="N229" s="223"/>
      <c r="O229" s="223"/>
      <c r="P229" s="223"/>
      <c r="Q229" s="205"/>
      <c r="R229" s="206"/>
      <c r="S229" s="222"/>
      <c r="T229" s="207"/>
      <c r="U229" s="83"/>
    </row>
    <row r="230" spans="12:21" ht="13.5" customHeight="1">
      <c r="L230" s="82"/>
      <c r="M230" s="110">
        <v>205</v>
      </c>
      <c r="N230" s="223"/>
      <c r="O230" s="223"/>
      <c r="P230" s="223"/>
      <c r="Q230" s="205"/>
      <c r="R230" s="206"/>
      <c r="S230" s="222"/>
      <c r="T230" s="207"/>
      <c r="U230" s="83"/>
    </row>
    <row r="231" spans="12:21" ht="13.5" customHeight="1">
      <c r="L231" s="82"/>
      <c r="M231" s="110">
        <v>206</v>
      </c>
      <c r="N231" s="223"/>
      <c r="O231" s="223"/>
      <c r="P231" s="223"/>
      <c r="Q231" s="205"/>
      <c r="R231" s="206"/>
      <c r="S231" s="222"/>
      <c r="T231" s="207"/>
      <c r="U231" s="83"/>
    </row>
    <row r="232" spans="12:21" ht="13.5" customHeight="1">
      <c r="L232" s="82"/>
      <c r="M232" s="110">
        <v>207</v>
      </c>
      <c r="N232" s="223"/>
      <c r="O232" s="223"/>
      <c r="P232" s="223"/>
      <c r="Q232" s="205"/>
      <c r="R232" s="206"/>
      <c r="S232" s="222"/>
      <c r="T232" s="207"/>
      <c r="U232" s="83"/>
    </row>
    <row r="233" spans="12:21" ht="13.5" customHeight="1">
      <c r="L233" s="82"/>
      <c r="M233" s="110">
        <v>208</v>
      </c>
      <c r="N233" s="223"/>
      <c r="O233" s="223"/>
      <c r="P233" s="223"/>
      <c r="Q233" s="205"/>
      <c r="R233" s="206"/>
      <c r="S233" s="222"/>
      <c r="T233" s="207"/>
      <c r="U233" s="83"/>
    </row>
    <row r="234" spans="12:21" ht="13.5" customHeight="1">
      <c r="L234" s="82"/>
      <c r="M234" s="110">
        <v>209</v>
      </c>
      <c r="N234" s="223"/>
      <c r="O234" s="223"/>
      <c r="P234" s="223"/>
      <c r="Q234" s="205"/>
      <c r="R234" s="206"/>
      <c r="S234" s="222"/>
      <c r="T234" s="207"/>
      <c r="U234" s="83"/>
    </row>
    <row r="235" spans="12:21" ht="13.5" customHeight="1">
      <c r="L235" s="82"/>
      <c r="M235" s="110">
        <v>210</v>
      </c>
      <c r="N235" s="223"/>
      <c r="O235" s="223"/>
      <c r="P235" s="223"/>
      <c r="Q235" s="205"/>
      <c r="R235" s="206"/>
      <c r="S235" s="222"/>
      <c r="T235" s="207"/>
      <c r="U235" s="83"/>
    </row>
    <row r="236" spans="12:21" ht="13.5" customHeight="1">
      <c r="L236" s="82"/>
      <c r="M236" s="110">
        <v>211</v>
      </c>
      <c r="N236" s="223"/>
      <c r="O236" s="223"/>
      <c r="P236" s="223"/>
      <c r="Q236" s="205"/>
      <c r="R236" s="206"/>
      <c r="S236" s="222"/>
      <c r="T236" s="207"/>
      <c r="U236" s="83"/>
    </row>
    <row r="237" spans="12:21" ht="13.5" customHeight="1">
      <c r="L237" s="82"/>
      <c r="M237" s="110">
        <v>212</v>
      </c>
      <c r="N237" s="223"/>
      <c r="O237" s="223"/>
      <c r="P237" s="223"/>
      <c r="Q237" s="205"/>
      <c r="R237" s="206"/>
      <c r="S237" s="222"/>
      <c r="T237" s="207"/>
      <c r="U237" s="83"/>
    </row>
    <row r="238" spans="12:21" ht="13.5" customHeight="1">
      <c r="L238" s="82"/>
      <c r="M238" s="110">
        <v>213</v>
      </c>
      <c r="N238" s="223"/>
      <c r="O238" s="223"/>
      <c r="P238" s="223"/>
      <c r="Q238" s="205"/>
      <c r="R238" s="206"/>
      <c r="S238" s="222"/>
      <c r="T238" s="207"/>
      <c r="U238" s="83"/>
    </row>
    <row r="239" spans="12:21" ht="13.5" customHeight="1">
      <c r="L239" s="82"/>
      <c r="M239" s="110">
        <v>214</v>
      </c>
      <c r="N239" s="223"/>
      <c r="O239" s="223"/>
      <c r="P239" s="223"/>
      <c r="Q239" s="205"/>
      <c r="R239" s="206"/>
      <c r="S239" s="222"/>
      <c r="T239" s="207"/>
      <c r="U239" s="83"/>
    </row>
    <row r="240" spans="12:21" ht="13.5" customHeight="1">
      <c r="L240" s="82"/>
      <c r="M240" s="110">
        <v>215</v>
      </c>
      <c r="N240" s="223"/>
      <c r="O240" s="223"/>
      <c r="P240" s="223"/>
      <c r="Q240" s="205"/>
      <c r="R240" s="206"/>
      <c r="S240" s="222"/>
      <c r="T240" s="207"/>
      <c r="U240" s="83"/>
    </row>
    <row r="241" spans="12:21" ht="13.5" customHeight="1">
      <c r="L241" s="82"/>
      <c r="M241" s="110">
        <v>216</v>
      </c>
      <c r="N241" s="223"/>
      <c r="O241" s="223"/>
      <c r="P241" s="223"/>
      <c r="Q241" s="205"/>
      <c r="R241" s="206"/>
      <c r="S241" s="222"/>
      <c r="T241" s="207"/>
      <c r="U241" s="83"/>
    </row>
    <row r="242" spans="12:21" ht="13.5" customHeight="1">
      <c r="L242" s="82"/>
      <c r="M242" s="110">
        <v>217</v>
      </c>
      <c r="N242" s="223"/>
      <c r="O242" s="223"/>
      <c r="P242" s="223"/>
      <c r="Q242" s="205"/>
      <c r="R242" s="206"/>
      <c r="S242" s="222"/>
      <c r="T242" s="207"/>
      <c r="U242" s="83"/>
    </row>
    <row r="243" spans="12:21" ht="13.5" customHeight="1">
      <c r="L243" s="82"/>
      <c r="M243" s="110">
        <v>218</v>
      </c>
      <c r="N243" s="223"/>
      <c r="O243" s="223"/>
      <c r="P243" s="223"/>
      <c r="Q243" s="205"/>
      <c r="R243" s="206"/>
      <c r="S243" s="222"/>
      <c r="T243" s="207"/>
      <c r="U243" s="83"/>
    </row>
    <row r="244" spans="12:21" ht="13.5" customHeight="1">
      <c r="L244" s="82"/>
      <c r="M244" s="110">
        <v>219</v>
      </c>
      <c r="N244" s="223"/>
      <c r="O244" s="223"/>
      <c r="P244" s="223"/>
      <c r="Q244" s="205"/>
      <c r="R244" s="206"/>
      <c r="S244" s="222"/>
      <c r="T244" s="207"/>
      <c r="U244" s="83"/>
    </row>
    <row r="245" spans="12:21" ht="13.5" customHeight="1">
      <c r="L245" s="82"/>
      <c r="M245" s="110">
        <v>220</v>
      </c>
      <c r="N245" s="223"/>
      <c r="O245" s="223"/>
      <c r="P245" s="223"/>
      <c r="Q245" s="205"/>
      <c r="R245" s="206"/>
      <c r="S245" s="222"/>
      <c r="T245" s="207"/>
      <c r="U245" s="83"/>
    </row>
    <row r="246" spans="12:21" ht="13.5" customHeight="1">
      <c r="L246" s="82"/>
      <c r="M246" s="110">
        <v>221</v>
      </c>
      <c r="N246" s="223"/>
      <c r="O246" s="223"/>
      <c r="P246" s="223"/>
      <c r="Q246" s="205"/>
      <c r="R246" s="206"/>
      <c r="S246" s="222"/>
      <c r="T246" s="207"/>
      <c r="U246" s="83"/>
    </row>
    <row r="247" spans="12:21" ht="13.5" customHeight="1">
      <c r="L247" s="82"/>
      <c r="M247" s="110">
        <v>222</v>
      </c>
      <c r="N247" s="223"/>
      <c r="O247" s="223"/>
      <c r="P247" s="223"/>
      <c r="Q247" s="205"/>
      <c r="R247" s="206"/>
      <c r="S247" s="222"/>
      <c r="T247" s="207"/>
      <c r="U247" s="83"/>
    </row>
    <row r="248" spans="12:21" ht="13.5" customHeight="1">
      <c r="L248" s="82"/>
      <c r="M248" s="110">
        <v>223</v>
      </c>
      <c r="N248" s="223"/>
      <c r="O248" s="223"/>
      <c r="P248" s="223"/>
      <c r="Q248" s="205"/>
      <c r="R248" s="206"/>
      <c r="S248" s="222"/>
      <c r="T248" s="207"/>
      <c r="U248" s="83"/>
    </row>
    <row r="249" spans="12:21" ht="13.5" customHeight="1">
      <c r="L249" s="82"/>
      <c r="M249" s="110">
        <v>224</v>
      </c>
      <c r="N249" s="223"/>
      <c r="O249" s="223"/>
      <c r="P249" s="223"/>
      <c r="Q249" s="205"/>
      <c r="R249" s="206"/>
      <c r="S249" s="222"/>
      <c r="T249" s="207"/>
      <c r="U249" s="83"/>
    </row>
    <row r="250" spans="12:21" ht="13.5" customHeight="1">
      <c r="L250" s="82"/>
      <c r="M250" s="110">
        <v>225</v>
      </c>
      <c r="N250" s="223"/>
      <c r="O250" s="223"/>
      <c r="P250" s="223"/>
      <c r="Q250" s="205"/>
      <c r="R250" s="206"/>
      <c r="S250" s="222"/>
      <c r="T250" s="207"/>
      <c r="U250" s="83"/>
    </row>
    <row r="251" spans="12:21" ht="13.5" customHeight="1">
      <c r="L251" s="82"/>
      <c r="M251" s="110">
        <v>226</v>
      </c>
      <c r="N251" s="223"/>
      <c r="O251" s="223"/>
      <c r="P251" s="223"/>
      <c r="Q251" s="205"/>
      <c r="R251" s="206"/>
      <c r="S251" s="222"/>
      <c r="T251" s="207"/>
      <c r="U251" s="83"/>
    </row>
    <row r="252" spans="12:21" ht="13.5" customHeight="1">
      <c r="L252" s="82"/>
      <c r="M252" s="110">
        <v>227</v>
      </c>
      <c r="N252" s="223"/>
      <c r="O252" s="223"/>
      <c r="P252" s="223"/>
      <c r="Q252" s="205"/>
      <c r="R252" s="206"/>
      <c r="S252" s="222"/>
      <c r="T252" s="207"/>
      <c r="U252" s="83"/>
    </row>
    <row r="253" spans="12:21" ht="13.5" customHeight="1">
      <c r="L253" s="82"/>
      <c r="M253" s="110">
        <v>228</v>
      </c>
      <c r="N253" s="223"/>
      <c r="O253" s="223"/>
      <c r="P253" s="223"/>
      <c r="Q253" s="205"/>
      <c r="R253" s="206"/>
      <c r="S253" s="222"/>
      <c r="T253" s="207"/>
      <c r="U253" s="83"/>
    </row>
    <row r="254" spans="12:21" ht="13.5" customHeight="1">
      <c r="L254" s="82"/>
      <c r="M254" s="110">
        <v>229</v>
      </c>
      <c r="N254" s="223"/>
      <c r="O254" s="223"/>
      <c r="P254" s="223"/>
      <c r="Q254" s="205"/>
      <c r="R254" s="206"/>
      <c r="S254" s="222"/>
      <c r="T254" s="207"/>
      <c r="U254" s="83"/>
    </row>
    <row r="255" spans="12:21" ht="13.5" customHeight="1">
      <c r="L255" s="82"/>
      <c r="M255" s="110">
        <v>230</v>
      </c>
      <c r="N255" s="223"/>
      <c r="O255" s="223"/>
      <c r="P255" s="223"/>
      <c r="Q255" s="205"/>
      <c r="R255" s="206"/>
      <c r="S255" s="222"/>
      <c r="T255" s="207"/>
      <c r="U255" s="83"/>
    </row>
    <row r="256" spans="12:21" ht="13.5" customHeight="1">
      <c r="L256" s="82"/>
      <c r="M256" s="110">
        <v>231</v>
      </c>
      <c r="N256" s="223"/>
      <c r="O256" s="223"/>
      <c r="P256" s="223"/>
      <c r="Q256" s="205"/>
      <c r="R256" s="206"/>
      <c r="S256" s="222"/>
      <c r="T256" s="207"/>
      <c r="U256" s="83"/>
    </row>
    <row r="257" spans="12:21" ht="13.5" customHeight="1">
      <c r="L257" s="82"/>
      <c r="M257" s="110">
        <v>232</v>
      </c>
      <c r="N257" s="223"/>
      <c r="O257" s="223"/>
      <c r="P257" s="223"/>
      <c r="Q257" s="205"/>
      <c r="R257" s="206"/>
      <c r="S257" s="222"/>
      <c r="T257" s="207"/>
      <c r="U257" s="83"/>
    </row>
    <row r="258" spans="12:21" ht="13.5" customHeight="1">
      <c r="L258" s="82"/>
      <c r="M258" s="110">
        <v>233</v>
      </c>
      <c r="N258" s="223"/>
      <c r="O258" s="223"/>
      <c r="P258" s="223"/>
      <c r="Q258" s="205"/>
      <c r="R258" s="206"/>
      <c r="S258" s="222"/>
      <c r="T258" s="207"/>
      <c r="U258" s="83"/>
    </row>
    <row r="259" spans="12:21" ht="13.5" customHeight="1">
      <c r="L259" s="82"/>
      <c r="M259" s="110">
        <v>234</v>
      </c>
      <c r="N259" s="223"/>
      <c r="O259" s="223"/>
      <c r="P259" s="223"/>
      <c r="Q259" s="205"/>
      <c r="R259" s="206"/>
      <c r="S259" s="222"/>
      <c r="T259" s="207"/>
      <c r="U259" s="83"/>
    </row>
    <row r="260" spans="12:21" ht="13.5" customHeight="1">
      <c r="L260" s="82"/>
      <c r="M260" s="110">
        <v>235</v>
      </c>
      <c r="N260" s="223"/>
      <c r="O260" s="223"/>
      <c r="P260" s="223"/>
      <c r="Q260" s="205"/>
      <c r="R260" s="206"/>
      <c r="S260" s="222"/>
      <c r="T260" s="207"/>
      <c r="U260" s="83"/>
    </row>
    <row r="261" spans="12:21" ht="13.5" customHeight="1">
      <c r="L261" s="82"/>
      <c r="M261" s="110">
        <v>236</v>
      </c>
      <c r="N261" s="223"/>
      <c r="O261" s="223"/>
      <c r="P261" s="223"/>
      <c r="Q261" s="205"/>
      <c r="R261" s="206"/>
      <c r="S261" s="222"/>
      <c r="T261" s="207"/>
      <c r="U261" s="83"/>
    </row>
    <row r="262" spans="12:21" ht="13.5" customHeight="1">
      <c r="L262" s="82"/>
      <c r="M262" s="110">
        <v>237</v>
      </c>
      <c r="N262" s="223"/>
      <c r="O262" s="223"/>
      <c r="P262" s="223"/>
      <c r="Q262" s="205"/>
      <c r="R262" s="206"/>
      <c r="S262" s="222"/>
      <c r="T262" s="207"/>
      <c r="U262" s="83"/>
    </row>
    <row r="263" spans="12:21" ht="13.5" customHeight="1">
      <c r="L263" s="82"/>
      <c r="M263" s="110">
        <v>238</v>
      </c>
      <c r="N263" s="223"/>
      <c r="O263" s="223"/>
      <c r="P263" s="223"/>
      <c r="Q263" s="205"/>
      <c r="R263" s="206"/>
      <c r="S263" s="222"/>
      <c r="T263" s="207"/>
      <c r="U263" s="83"/>
    </row>
    <row r="264" spans="12:21" ht="13.5" customHeight="1">
      <c r="L264" s="82"/>
      <c r="M264" s="110">
        <v>239</v>
      </c>
      <c r="N264" s="223"/>
      <c r="O264" s="223"/>
      <c r="P264" s="223"/>
      <c r="Q264" s="205"/>
      <c r="R264" s="206"/>
      <c r="S264" s="222"/>
      <c r="T264" s="207"/>
      <c r="U264" s="83"/>
    </row>
    <row r="265" spans="12:21" ht="13.5" customHeight="1">
      <c r="L265" s="82"/>
      <c r="M265" s="110">
        <v>240</v>
      </c>
      <c r="N265" s="223"/>
      <c r="O265" s="223"/>
      <c r="P265" s="223"/>
      <c r="Q265" s="205"/>
      <c r="R265" s="206"/>
      <c r="S265" s="222"/>
      <c r="T265" s="207"/>
      <c r="U265" s="83"/>
    </row>
    <row r="266" spans="12:21" ht="13.5" customHeight="1">
      <c r="L266" s="82"/>
      <c r="M266" s="110">
        <v>241</v>
      </c>
      <c r="N266" s="223"/>
      <c r="O266" s="223"/>
      <c r="P266" s="223"/>
      <c r="Q266" s="205"/>
      <c r="R266" s="206"/>
      <c r="S266" s="222"/>
      <c r="T266" s="207"/>
      <c r="U266" s="83"/>
    </row>
    <row r="267" spans="12:21" ht="13.5" customHeight="1">
      <c r="L267" s="82"/>
      <c r="M267" s="110">
        <v>242</v>
      </c>
      <c r="N267" s="223"/>
      <c r="O267" s="223"/>
      <c r="P267" s="223"/>
      <c r="Q267" s="205"/>
      <c r="R267" s="206"/>
      <c r="S267" s="222"/>
      <c r="T267" s="207"/>
      <c r="U267" s="83"/>
    </row>
    <row r="268" spans="12:21" ht="13.5" customHeight="1">
      <c r="L268" s="82"/>
      <c r="M268" s="110">
        <v>243</v>
      </c>
      <c r="N268" s="223"/>
      <c r="O268" s="223"/>
      <c r="P268" s="223"/>
      <c r="Q268" s="205"/>
      <c r="R268" s="206"/>
      <c r="S268" s="222"/>
      <c r="T268" s="207"/>
      <c r="U268" s="83"/>
    </row>
    <row r="269" spans="12:21" ht="13.5" customHeight="1">
      <c r="L269" s="82"/>
      <c r="M269" s="110">
        <v>244</v>
      </c>
      <c r="N269" s="223"/>
      <c r="O269" s="223"/>
      <c r="P269" s="223"/>
      <c r="Q269" s="205"/>
      <c r="R269" s="206"/>
      <c r="S269" s="222"/>
      <c r="T269" s="207"/>
      <c r="U269" s="83"/>
    </row>
    <row r="270" spans="12:21" ht="13.5" customHeight="1">
      <c r="L270" s="82"/>
      <c r="M270" s="110">
        <v>245</v>
      </c>
      <c r="N270" s="223"/>
      <c r="O270" s="223"/>
      <c r="P270" s="223"/>
      <c r="Q270" s="205"/>
      <c r="R270" s="206"/>
      <c r="S270" s="222"/>
      <c r="T270" s="207"/>
      <c r="U270" s="83"/>
    </row>
    <row r="271" spans="12:21" ht="13.5" customHeight="1">
      <c r="L271" s="82"/>
      <c r="M271" s="110">
        <v>246</v>
      </c>
      <c r="N271" s="223"/>
      <c r="O271" s="223"/>
      <c r="P271" s="223"/>
      <c r="Q271" s="205"/>
      <c r="R271" s="206"/>
      <c r="S271" s="222"/>
      <c r="T271" s="207"/>
      <c r="U271" s="83"/>
    </row>
    <row r="272" spans="12:21" ht="13.5" customHeight="1">
      <c r="L272" s="82"/>
      <c r="M272" s="110">
        <v>247</v>
      </c>
      <c r="N272" s="223"/>
      <c r="O272" s="223"/>
      <c r="P272" s="223"/>
      <c r="Q272" s="205"/>
      <c r="R272" s="206"/>
      <c r="S272" s="222"/>
      <c r="T272" s="207"/>
      <c r="U272" s="83"/>
    </row>
    <row r="273" spans="12:21" ht="13.5" customHeight="1">
      <c r="L273" s="82"/>
      <c r="M273" s="110">
        <v>248</v>
      </c>
      <c r="N273" s="223"/>
      <c r="O273" s="223"/>
      <c r="P273" s="223"/>
      <c r="Q273" s="205"/>
      <c r="R273" s="206"/>
      <c r="S273" s="222"/>
      <c r="T273" s="207"/>
      <c r="U273" s="83"/>
    </row>
    <row r="274" spans="12:21" ht="13.5" customHeight="1">
      <c r="L274" s="82"/>
      <c r="M274" s="110">
        <v>249</v>
      </c>
      <c r="N274" s="223"/>
      <c r="O274" s="223"/>
      <c r="P274" s="223"/>
      <c r="Q274" s="205"/>
      <c r="R274" s="206"/>
      <c r="S274" s="222"/>
      <c r="T274" s="207"/>
      <c r="U274" s="83"/>
    </row>
    <row r="275" spans="12:21" ht="13.5" customHeight="1">
      <c r="L275" s="82"/>
      <c r="M275" s="110">
        <v>250</v>
      </c>
      <c r="N275" s="223"/>
      <c r="O275" s="223"/>
      <c r="P275" s="223"/>
      <c r="Q275" s="205"/>
      <c r="R275" s="206"/>
      <c r="S275" s="222"/>
      <c r="T275" s="207"/>
      <c r="U275" s="83"/>
    </row>
    <row r="276" spans="12:21" ht="13.5" customHeight="1">
      <c r="L276" s="82"/>
      <c r="M276" s="110">
        <v>251</v>
      </c>
      <c r="N276" s="223"/>
      <c r="O276" s="223"/>
      <c r="P276" s="223"/>
      <c r="Q276" s="205"/>
      <c r="R276" s="206"/>
      <c r="S276" s="222"/>
      <c r="T276" s="207"/>
      <c r="U276" s="83"/>
    </row>
    <row r="277" spans="12:21" ht="13.5" customHeight="1">
      <c r="L277" s="82"/>
      <c r="M277" s="110">
        <v>252</v>
      </c>
      <c r="N277" s="223"/>
      <c r="O277" s="223"/>
      <c r="P277" s="223"/>
      <c r="Q277" s="205"/>
      <c r="R277" s="206"/>
      <c r="S277" s="222"/>
      <c r="T277" s="207"/>
      <c r="U277" s="83"/>
    </row>
    <row r="278" spans="12:21" ht="13.5" customHeight="1">
      <c r="L278" s="82"/>
      <c r="M278" s="110">
        <v>253</v>
      </c>
      <c r="N278" s="223"/>
      <c r="O278" s="223"/>
      <c r="P278" s="223"/>
      <c r="Q278" s="205"/>
      <c r="R278" s="206"/>
      <c r="S278" s="222"/>
      <c r="T278" s="207"/>
      <c r="U278" s="83"/>
    </row>
    <row r="279" spans="12:21" ht="13.5" customHeight="1">
      <c r="L279" s="82"/>
      <c r="M279" s="110">
        <v>254</v>
      </c>
      <c r="N279" s="223"/>
      <c r="O279" s="223"/>
      <c r="P279" s="223"/>
      <c r="Q279" s="205"/>
      <c r="R279" s="206"/>
      <c r="S279" s="222"/>
      <c r="T279" s="207"/>
      <c r="U279" s="83"/>
    </row>
    <row r="280" spans="12:21" ht="13.5" customHeight="1">
      <c r="L280" s="82"/>
      <c r="M280" s="110">
        <v>255</v>
      </c>
      <c r="N280" s="223"/>
      <c r="O280" s="223"/>
      <c r="P280" s="223"/>
      <c r="Q280" s="205"/>
      <c r="R280" s="206"/>
      <c r="S280" s="222"/>
      <c r="T280" s="207"/>
      <c r="U280" s="83"/>
    </row>
    <row r="281" spans="12:21" ht="13.5" customHeight="1">
      <c r="L281" s="82"/>
      <c r="M281" s="110">
        <v>256</v>
      </c>
      <c r="N281" s="223"/>
      <c r="O281" s="223"/>
      <c r="P281" s="223"/>
      <c r="Q281" s="205"/>
      <c r="R281" s="206"/>
      <c r="S281" s="222"/>
      <c r="T281" s="207"/>
      <c r="U281" s="83"/>
    </row>
    <row r="282" spans="12:21" ht="13.5" customHeight="1">
      <c r="L282" s="82"/>
      <c r="M282" s="110">
        <v>257</v>
      </c>
      <c r="N282" s="223"/>
      <c r="O282" s="223"/>
      <c r="P282" s="223"/>
      <c r="Q282" s="205"/>
      <c r="R282" s="206"/>
      <c r="S282" s="222"/>
      <c r="T282" s="207"/>
      <c r="U282" s="83"/>
    </row>
    <row r="283" spans="12:21" ht="13.5" customHeight="1">
      <c r="L283" s="82"/>
      <c r="M283" s="110">
        <v>258</v>
      </c>
      <c r="N283" s="223"/>
      <c r="O283" s="223"/>
      <c r="P283" s="223"/>
      <c r="Q283" s="205"/>
      <c r="R283" s="206"/>
      <c r="S283" s="222"/>
      <c r="T283" s="207"/>
      <c r="U283" s="83"/>
    </row>
    <row r="284" spans="12:21" ht="13.5" customHeight="1">
      <c r="L284" s="82"/>
      <c r="M284" s="110">
        <v>259</v>
      </c>
      <c r="N284" s="223"/>
      <c r="O284" s="223"/>
      <c r="P284" s="223"/>
      <c r="Q284" s="205"/>
      <c r="R284" s="206"/>
      <c r="S284" s="222"/>
      <c r="T284" s="207"/>
      <c r="U284" s="83"/>
    </row>
    <row r="285" spans="12:21" ht="13.5" customHeight="1">
      <c r="L285" s="82"/>
      <c r="M285" s="110">
        <v>260</v>
      </c>
      <c r="N285" s="223"/>
      <c r="O285" s="223"/>
      <c r="P285" s="223"/>
      <c r="Q285" s="205"/>
      <c r="R285" s="206"/>
      <c r="S285" s="222"/>
      <c r="T285" s="207"/>
      <c r="U285" s="83"/>
    </row>
    <row r="286" spans="12:21" ht="13.5" customHeight="1">
      <c r="L286" s="82"/>
      <c r="M286" s="110">
        <v>261</v>
      </c>
      <c r="N286" s="223"/>
      <c r="O286" s="223"/>
      <c r="P286" s="223"/>
      <c r="Q286" s="205"/>
      <c r="R286" s="206"/>
      <c r="S286" s="222"/>
      <c r="T286" s="207"/>
      <c r="U286" s="83"/>
    </row>
    <row r="287" spans="12:21" ht="13.5" customHeight="1">
      <c r="L287" s="82"/>
      <c r="M287" s="110">
        <v>262</v>
      </c>
      <c r="N287" s="223"/>
      <c r="O287" s="223"/>
      <c r="P287" s="223"/>
      <c r="Q287" s="205"/>
      <c r="R287" s="206"/>
      <c r="S287" s="222"/>
      <c r="T287" s="207"/>
      <c r="U287" s="83"/>
    </row>
    <row r="288" spans="12:21" ht="13.5" customHeight="1">
      <c r="L288" s="82"/>
      <c r="M288" s="110">
        <v>263</v>
      </c>
      <c r="N288" s="223"/>
      <c r="O288" s="223"/>
      <c r="P288" s="223"/>
      <c r="Q288" s="205"/>
      <c r="R288" s="206"/>
      <c r="S288" s="222"/>
      <c r="T288" s="207"/>
      <c r="U288" s="83"/>
    </row>
    <row r="289" spans="12:21" ht="13.5" customHeight="1">
      <c r="L289" s="82"/>
      <c r="M289" s="110">
        <v>264</v>
      </c>
      <c r="N289" s="223"/>
      <c r="O289" s="223"/>
      <c r="P289" s="223"/>
      <c r="Q289" s="205"/>
      <c r="R289" s="206"/>
      <c r="S289" s="222"/>
      <c r="T289" s="207"/>
      <c r="U289" s="83"/>
    </row>
    <row r="290" spans="12:21" ht="13.5" customHeight="1">
      <c r="L290" s="82"/>
      <c r="M290" s="110">
        <v>265</v>
      </c>
      <c r="N290" s="223"/>
      <c r="O290" s="223"/>
      <c r="P290" s="223"/>
      <c r="Q290" s="205"/>
      <c r="R290" s="206"/>
      <c r="S290" s="222"/>
      <c r="T290" s="207"/>
      <c r="U290" s="83"/>
    </row>
    <row r="291" spans="12:21" ht="13.5" customHeight="1">
      <c r="L291" s="82"/>
      <c r="M291" s="110">
        <v>266</v>
      </c>
      <c r="N291" s="223"/>
      <c r="O291" s="223"/>
      <c r="P291" s="223"/>
      <c r="Q291" s="205"/>
      <c r="R291" s="206"/>
      <c r="S291" s="222"/>
      <c r="T291" s="207"/>
      <c r="U291" s="83"/>
    </row>
    <row r="292" spans="12:21" ht="13.5" customHeight="1">
      <c r="L292" s="82"/>
      <c r="M292" s="110">
        <v>267</v>
      </c>
      <c r="N292" s="223"/>
      <c r="O292" s="223"/>
      <c r="P292" s="223"/>
      <c r="Q292" s="205"/>
      <c r="R292" s="206"/>
      <c r="S292" s="222"/>
      <c r="T292" s="207"/>
      <c r="U292" s="83"/>
    </row>
    <row r="293" spans="12:21" ht="13.5" customHeight="1">
      <c r="L293" s="82"/>
      <c r="M293" s="110">
        <v>268</v>
      </c>
      <c r="N293" s="223"/>
      <c r="O293" s="223"/>
      <c r="P293" s="223"/>
      <c r="Q293" s="205"/>
      <c r="R293" s="206"/>
      <c r="S293" s="222"/>
      <c r="T293" s="207"/>
      <c r="U293" s="83"/>
    </row>
    <row r="294" spans="12:21" ht="13.5" customHeight="1">
      <c r="L294" s="82"/>
      <c r="M294" s="110">
        <v>269</v>
      </c>
      <c r="N294" s="223"/>
      <c r="O294" s="223"/>
      <c r="P294" s="223"/>
      <c r="Q294" s="205"/>
      <c r="R294" s="206"/>
      <c r="S294" s="222"/>
      <c r="T294" s="207"/>
      <c r="U294" s="83"/>
    </row>
    <row r="295" spans="12:21" ht="13.5" customHeight="1">
      <c r="L295" s="82"/>
      <c r="M295" s="110">
        <v>270</v>
      </c>
      <c r="N295" s="223"/>
      <c r="O295" s="223"/>
      <c r="P295" s="223"/>
      <c r="Q295" s="205"/>
      <c r="R295" s="206"/>
      <c r="S295" s="222"/>
      <c r="T295" s="207"/>
      <c r="U295" s="83"/>
    </row>
    <row r="296" spans="12:21" ht="13.5" customHeight="1">
      <c r="L296" s="82"/>
      <c r="M296" s="110">
        <v>271</v>
      </c>
      <c r="N296" s="223"/>
      <c r="O296" s="223"/>
      <c r="P296" s="223"/>
      <c r="Q296" s="205"/>
      <c r="R296" s="206"/>
      <c r="S296" s="222"/>
      <c r="T296" s="207"/>
      <c r="U296" s="83"/>
    </row>
    <row r="297" spans="12:21" ht="13.5" customHeight="1">
      <c r="L297" s="82"/>
      <c r="M297" s="110">
        <v>272</v>
      </c>
      <c r="N297" s="223"/>
      <c r="O297" s="223"/>
      <c r="P297" s="223"/>
      <c r="Q297" s="205"/>
      <c r="R297" s="206"/>
      <c r="S297" s="222"/>
      <c r="T297" s="207"/>
      <c r="U297" s="83"/>
    </row>
    <row r="298" spans="12:21" ht="13.5" customHeight="1">
      <c r="L298" s="82"/>
      <c r="M298" s="110">
        <v>273</v>
      </c>
      <c r="N298" s="223"/>
      <c r="O298" s="223"/>
      <c r="P298" s="223"/>
      <c r="Q298" s="205"/>
      <c r="R298" s="206"/>
      <c r="S298" s="222"/>
      <c r="T298" s="207"/>
      <c r="U298" s="83"/>
    </row>
    <row r="299" spans="12:21" ht="13.5" customHeight="1">
      <c r="L299" s="82"/>
      <c r="M299" s="110">
        <v>274</v>
      </c>
      <c r="N299" s="223"/>
      <c r="O299" s="223"/>
      <c r="P299" s="223"/>
      <c r="Q299" s="205"/>
      <c r="R299" s="206"/>
      <c r="S299" s="222"/>
      <c r="T299" s="207"/>
      <c r="U299" s="83"/>
    </row>
    <row r="300" spans="12:21" ht="13.5" customHeight="1">
      <c r="L300" s="82"/>
      <c r="M300" s="110">
        <v>275</v>
      </c>
      <c r="N300" s="223"/>
      <c r="O300" s="223"/>
      <c r="P300" s="223"/>
      <c r="Q300" s="205"/>
      <c r="R300" s="206"/>
      <c r="S300" s="222"/>
      <c r="T300" s="207"/>
      <c r="U300" s="83"/>
    </row>
    <row r="301" spans="12:21" ht="13.5" customHeight="1">
      <c r="L301" s="82"/>
      <c r="M301" s="110">
        <v>276</v>
      </c>
      <c r="N301" s="223"/>
      <c r="O301" s="223"/>
      <c r="P301" s="223"/>
      <c r="Q301" s="205"/>
      <c r="R301" s="206"/>
      <c r="S301" s="222"/>
      <c r="T301" s="207"/>
      <c r="U301" s="83"/>
    </row>
    <row r="302" spans="12:21" ht="13.5" customHeight="1">
      <c r="L302" s="82"/>
      <c r="M302" s="110">
        <v>277</v>
      </c>
      <c r="N302" s="223"/>
      <c r="O302" s="223"/>
      <c r="P302" s="223"/>
      <c r="Q302" s="205"/>
      <c r="R302" s="206"/>
      <c r="S302" s="222"/>
      <c r="T302" s="207"/>
      <c r="U302" s="83"/>
    </row>
    <row r="303" spans="12:21" ht="13.5" customHeight="1">
      <c r="L303" s="82"/>
      <c r="M303" s="110">
        <v>278</v>
      </c>
      <c r="N303" s="223"/>
      <c r="O303" s="223"/>
      <c r="P303" s="223"/>
      <c r="Q303" s="205"/>
      <c r="R303" s="206"/>
      <c r="S303" s="222"/>
      <c r="T303" s="207"/>
      <c r="U303" s="83"/>
    </row>
    <row r="304" spans="12:21" ht="13.5" customHeight="1">
      <c r="L304" s="82"/>
      <c r="M304" s="110">
        <v>279</v>
      </c>
      <c r="N304" s="223"/>
      <c r="O304" s="223"/>
      <c r="P304" s="223"/>
      <c r="Q304" s="205"/>
      <c r="R304" s="206"/>
      <c r="S304" s="222"/>
      <c r="T304" s="207"/>
      <c r="U304" s="83"/>
    </row>
    <row r="305" spans="12:21" ht="13.5" customHeight="1">
      <c r="L305" s="82"/>
      <c r="M305" s="110">
        <v>280</v>
      </c>
      <c r="N305" s="223"/>
      <c r="O305" s="223"/>
      <c r="P305" s="223"/>
      <c r="Q305" s="205"/>
      <c r="R305" s="206"/>
      <c r="S305" s="222"/>
      <c r="T305" s="207"/>
      <c r="U305" s="83"/>
    </row>
    <row r="306" spans="12:21" ht="13.5" customHeight="1">
      <c r="L306" s="82"/>
      <c r="M306" s="110">
        <v>281</v>
      </c>
      <c r="N306" s="223"/>
      <c r="O306" s="223"/>
      <c r="P306" s="223"/>
      <c r="Q306" s="205"/>
      <c r="R306" s="206"/>
      <c r="S306" s="222"/>
      <c r="T306" s="207"/>
      <c r="U306" s="83"/>
    </row>
    <row r="307" spans="12:21" ht="13.5" customHeight="1">
      <c r="L307" s="82"/>
      <c r="M307" s="110">
        <v>282</v>
      </c>
      <c r="N307" s="223"/>
      <c r="O307" s="223"/>
      <c r="P307" s="223"/>
      <c r="Q307" s="205"/>
      <c r="R307" s="206"/>
      <c r="S307" s="222"/>
      <c r="T307" s="207"/>
      <c r="U307" s="83"/>
    </row>
    <row r="308" spans="12:21" ht="13.5" customHeight="1">
      <c r="L308" s="82"/>
      <c r="M308" s="110">
        <v>283</v>
      </c>
      <c r="N308" s="223"/>
      <c r="O308" s="223"/>
      <c r="P308" s="223"/>
      <c r="Q308" s="205"/>
      <c r="R308" s="206"/>
      <c r="S308" s="222"/>
      <c r="T308" s="207"/>
      <c r="U308" s="83"/>
    </row>
    <row r="309" spans="12:21" ht="13.5" customHeight="1">
      <c r="L309" s="82"/>
      <c r="M309" s="110">
        <v>284</v>
      </c>
      <c r="N309" s="223"/>
      <c r="O309" s="223"/>
      <c r="P309" s="223"/>
      <c r="Q309" s="205"/>
      <c r="R309" s="206"/>
      <c r="S309" s="222"/>
      <c r="T309" s="207"/>
      <c r="U309" s="83"/>
    </row>
    <row r="310" spans="12:21" ht="13.5" customHeight="1">
      <c r="L310" s="82"/>
      <c r="M310" s="110">
        <v>285</v>
      </c>
      <c r="N310" s="223"/>
      <c r="O310" s="223"/>
      <c r="P310" s="223"/>
      <c r="Q310" s="205"/>
      <c r="R310" s="206"/>
      <c r="S310" s="222"/>
      <c r="T310" s="207"/>
      <c r="U310" s="83"/>
    </row>
    <row r="311" spans="12:21" ht="13.5" customHeight="1">
      <c r="L311" s="82"/>
      <c r="M311" s="110">
        <v>286</v>
      </c>
      <c r="N311" s="223"/>
      <c r="O311" s="223"/>
      <c r="P311" s="223"/>
      <c r="Q311" s="205"/>
      <c r="R311" s="206"/>
      <c r="S311" s="222"/>
      <c r="T311" s="207"/>
      <c r="U311" s="83"/>
    </row>
    <row r="312" spans="12:21" ht="13.5" customHeight="1">
      <c r="L312" s="82"/>
      <c r="M312" s="110">
        <v>287</v>
      </c>
      <c r="N312" s="223"/>
      <c r="O312" s="223"/>
      <c r="P312" s="223"/>
      <c r="Q312" s="205"/>
      <c r="R312" s="206"/>
      <c r="S312" s="222"/>
      <c r="T312" s="207"/>
      <c r="U312" s="83"/>
    </row>
    <row r="313" spans="12:21" ht="13.5" customHeight="1">
      <c r="L313" s="82"/>
      <c r="M313" s="110">
        <v>288</v>
      </c>
      <c r="N313" s="223"/>
      <c r="O313" s="223"/>
      <c r="P313" s="223"/>
      <c r="Q313" s="205"/>
      <c r="R313" s="206"/>
      <c r="S313" s="222"/>
      <c r="T313" s="207"/>
      <c r="U313" s="83"/>
    </row>
    <row r="314" spans="12:21" ht="13.5" customHeight="1">
      <c r="L314" s="82"/>
      <c r="M314" s="110">
        <v>289</v>
      </c>
      <c r="N314" s="223"/>
      <c r="O314" s="223"/>
      <c r="P314" s="223"/>
      <c r="Q314" s="205"/>
      <c r="R314" s="206"/>
      <c r="S314" s="222"/>
      <c r="T314" s="207"/>
      <c r="U314" s="83"/>
    </row>
    <row r="315" spans="12:21" ht="13.5" customHeight="1">
      <c r="L315" s="82"/>
      <c r="M315" s="110">
        <v>290</v>
      </c>
      <c r="N315" s="223"/>
      <c r="O315" s="223"/>
      <c r="P315" s="223"/>
      <c r="Q315" s="205"/>
      <c r="R315" s="206"/>
      <c r="S315" s="222"/>
      <c r="T315" s="207"/>
      <c r="U315" s="83"/>
    </row>
    <row r="316" spans="12:21" ht="13.5" customHeight="1">
      <c r="L316" s="82"/>
      <c r="M316" s="110">
        <v>291</v>
      </c>
      <c r="N316" s="223"/>
      <c r="O316" s="223"/>
      <c r="P316" s="223"/>
      <c r="Q316" s="205"/>
      <c r="R316" s="206"/>
      <c r="S316" s="222"/>
      <c r="T316" s="207"/>
      <c r="U316" s="83"/>
    </row>
    <row r="317" spans="12:21" ht="13.5" customHeight="1">
      <c r="L317" s="82"/>
      <c r="M317" s="110">
        <v>292</v>
      </c>
      <c r="N317" s="223"/>
      <c r="O317" s="223"/>
      <c r="P317" s="223"/>
      <c r="Q317" s="205"/>
      <c r="R317" s="206"/>
      <c r="S317" s="222"/>
      <c r="T317" s="207"/>
      <c r="U317" s="83"/>
    </row>
    <row r="318" spans="12:21" ht="13.5" customHeight="1">
      <c r="L318" s="82"/>
      <c r="M318" s="110">
        <v>293</v>
      </c>
      <c r="N318" s="223"/>
      <c r="O318" s="223"/>
      <c r="P318" s="223"/>
      <c r="Q318" s="205"/>
      <c r="R318" s="206"/>
      <c r="S318" s="222"/>
      <c r="T318" s="207"/>
      <c r="U318" s="83"/>
    </row>
    <row r="319" spans="12:21" ht="13.5" customHeight="1">
      <c r="L319" s="82"/>
      <c r="M319" s="110">
        <v>294</v>
      </c>
      <c r="N319" s="223"/>
      <c r="O319" s="223"/>
      <c r="P319" s="223"/>
      <c r="Q319" s="205"/>
      <c r="R319" s="206"/>
      <c r="S319" s="222"/>
      <c r="T319" s="207"/>
      <c r="U319" s="83"/>
    </row>
    <row r="320" spans="12:21" ht="13.5" customHeight="1">
      <c r="L320" s="82"/>
      <c r="M320" s="110">
        <v>295</v>
      </c>
      <c r="N320" s="223"/>
      <c r="O320" s="223"/>
      <c r="P320" s="223"/>
      <c r="Q320" s="205"/>
      <c r="R320" s="206"/>
      <c r="S320" s="222"/>
      <c r="T320" s="207"/>
      <c r="U320" s="83"/>
    </row>
    <row r="321" spans="12:21" ht="13.5" customHeight="1">
      <c r="L321" s="82"/>
      <c r="M321" s="110">
        <v>296</v>
      </c>
      <c r="N321" s="223"/>
      <c r="O321" s="223"/>
      <c r="P321" s="223"/>
      <c r="Q321" s="205"/>
      <c r="R321" s="206"/>
      <c r="S321" s="222"/>
      <c r="T321" s="207"/>
      <c r="U321" s="83"/>
    </row>
    <row r="322" spans="12:21" ht="13.5" customHeight="1">
      <c r="L322" s="82"/>
      <c r="M322" s="110">
        <v>297</v>
      </c>
      <c r="N322" s="223"/>
      <c r="O322" s="223"/>
      <c r="P322" s="223"/>
      <c r="Q322" s="205"/>
      <c r="R322" s="206"/>
      <c r="S322" s="222"/>
      <c r="T322" s="207"/>
      <c r="U322" s="83"/>
    </row>
    <row r="323" spans="12:21" ht="13.5" customHeight="1">
      <c r="L323" s="82"/>
      <c r="M323" s="110">
        <v>298</v>
      </c>
      <c r="N323" s="223"/>
      <c r="O323" s="223"/>
      <c r="P323" s="223"/>
      <c r="Q323" s="205"/>
      <c r="R323" s="206"/>
      <c r="S323" s="222"/>
      <c r="T323" s="207"/>
      <c r="U323" s="83"/>
    </row>
    <row r="324" spans="12:21" ht="13.5" customHeight="1">
      <c r="L324" s="82"/>
      <c r="M324" s="110">
        <v>299</v>
      </c>
      <c r="N324" s="223"/>
      <c r="O324" s="223"/>
      <c r="P324" s="223"/>
      <c r="Q324" s="205"/>
      <c r="R324" s="206"/>
      <c r="S324" s="222"/>
      <c r="T324" s="207"/>
      <c r="U324" s="83"/>
    </row>
    <row r="325" spans="12:21" ht="13.5" customHeight="1">
      <c r="L325" s="82"/>
      <c r="M325" s="110">
        <v>300</v>
      </c>
      <c r="N325" s="223"/>
      <c r="O325" s="223"/>
      <c r="P325" s="223"/>
      <c r="Q325" s="205"/>
      <c r="R325" s="206"/>
      <c r="S325" s="222"/>
      <c r="T325" s="207"/>
      <c r="U325" s="83"/>
    </row>
    <row r="326" spans="12:21" ht="13.5" customHeight="1">
      <c r="L326" s="82"/>
      <c r="M326" s="110">
        <v>301</v>
      </c>
      <c r="N326" s="223"/>
      <c r="O326" s="223"/>
      <c r="P326" s="223"/>
      <c r="Q326" s="205"/>
      <c r="R326" s="206"/>
      <c r="S326" s="222"/>
      <c r="T326" s="207"/>
      <c r="U326" s="83"/>
    </row>
    <row r="327" spans="12:21" ht="13.5" customHeight="1">
      <c r="L327" s="82"/>
      <c r="M327" s="110">
        <v>302</v>
      </c>
      <c r="N327" s="223"/>
      <c r="O327" s="223"/>
      <c r="P327" s="223"/>
      <c r="Q327" s="205"/>
      <c r="R327" s="206"/>
      <c r="S327" s="222"/>
      <c r="T327" s="207"/>
      <c r="U327" s="83"/>
    </row>
    <row r="328" spans="12:21" ht="13.5" customHeight="1">
      <c r="L328" s="82"/>
      <c r="M328" s="110">
        <v>303</v>
      </c>
      <c r="N328" s="223"/>
      <c r="O328" s="223"/>
      <c r="P328" s="223"/>
      <c r="Q328" s="205"/>
      <c r="R328" s="206"/>
      <c r="S328" s="222"/>
      <c r="T328" s="207"/>
      <c r="U328" s="83"/>
    </row>
    <row r="329" spans="12:21" ht="13.5" customHeight="1">
      <c r="L329" s="82"/>
      <c r="M329" s="110">
        <v>304</v>
      </c>
      <c r="N329" s="223"/>
      <c r="O329" s="223"/>
      <c r="P329" s="223"/>
      <c r="Q329" s="205"/>
      <c r="R329" s="206"/>
      <c r="S329" s="222"/>
      <c r="T329" s="207"/>
      <c r="U329" s="83"/>
    </row>
    <row r="330" spans="12:21" ht="13.5" customHeight="1">
      <c r="L330" s="82"/>
      <c r="M330" s="110">
        <v>305</v>
      </c>
      <c r="N330" s="223"/>
      <c r="O330" s="223"/>
      <c r="P330" s="223"/>
      <c r="Q330" s="205"/>
      <c r="R330" s="206"/>
      <c r="S330" s="222"/>
      <c r="T330" s="207"/>
      <c r="U330" s="83"/>
    </row>
    <row r="331" spans="12:21" ht="13.5" customHeight="1">
      <c r="L331" s="82"/>
      <c r="M331" s="110">
        <v>306</v>
      </c>
      <c r="N331" s="223"/>
      <c r="O331" s="223"/>
      <c r="P331" s="223"/>
      <c r="Q331" s="205"/>
      <c r="R331" s="206"/>
      <c r="S331" s="222"/>
      <c r="T331" s="207"/>
      <c r="U331" s="83"/>
    </row>
    <row r="332" spans="12:21" ht="13.5" customHeight="1">
      <c r="L332" s="82"/>
      <c r="M332" s="110">
        <v>307</v>
      </c>
      <c r="N332" s="223"/>
      <c r="O332" s="223"/>
      <c r="P332" s="223"/>
      <c r="Q332" s="205"/>
      <c r="R332" s="206"/>
      <c r="S332" s="222"/>
      <c r="T332" s="207"/>
      <c r="U332" s="83"/>
    </row>
    <row r="333" spans="12:21" ht="13.5" customHeight="1">
      <c r="L333" s="82"/>
      <c r="M333" s="110">
        <v>308</v>
      </c>
      <c r="N333" s="223"/>
      <c r="O333" s="223"/>
      <c r="P333" s="223"/>
      <c r="Q333" s="205"/>
      <c r="R333" s="206"/>
      <c r="S333" s="222"/>
      <c r="T333" s="207"/>
      <c r="U333" s="83"/>
    </row>
    <row r="334" spans="12:21" ht="13.5" customHeight="1">
      <c r="L334" s="82"/>
      <c r="M334" s="110">
        <v>309</v>
      </c>
      <c r="N334" s="223"/>
      <c r="O334" s="223"/>
      <c r="P334" s="223"/>
      <c r="Q334" s="205"/>
      <c r="R334" s="206"/>
      <c r="S334" s="222"/>
      <c r="T334" s="207"/>
      <c r="U334" s="83"/>
    </row>
    <row r="335" spans="12:21" ht="13.5" customHeight="1">
      <c r="L335" s="82"/>
      <c r="M335" s="110">
        <v>310</v>
      </c>
      <c r="N335" s="223"/>
      <c r="O335" s="223"/>
      <c r="P335" s="223"/>
      <c r="Q335" s="205"/>
      <c r="R335" s="206"/>
      <c r="S335" s="222"/>
      <c r="T335" s="207"/>
      <c r="U335" s="83"/>
    </row>
    <row r="336" spans="12:21" ht="13.5" customHeight="1">
      <c r="L336" s="82"/>
      <c r="M336" s="110">
        <v>311</v>
      </c>
      <c r="N336" s="223"/>
      <c r="O336" s="223"/>
      <c r="P336" s="223"/>
      <c r="Q336" s="205"/>
      <c r="R336" s="206"/>
      <c r="S336" s="222"/>
      <c r="T336" s="207"/>
      <c r="U336" s="83"/>
    </row>
    <row r="337" spans="12:21" ht="13.5" customHeight="1">
      <c r="L337" s="82"/>
      <c r="M337" s="110">
        <v>312</v>
      </c>
      <c r="N337" s="223"/>
      <c r="O337" s="223"/>
      <c r="P337" s="223"/>
      <c r="Q337" s="205"/>
      <c r="R337" s="206"/>
      <c r="S337" s="222"/>
      <c r="T337" s="207"/>
      <c r="U337" s="83"/>
    </row>
    <row r="338" spans="12:21" ht="13.5" customHeight="1">
      <c r="L338" s="82"/>
      <c r="M338" s="110">
        <v>313</v>
      </c>
      <c r="N338" s="223"/>
      <c r="O338" s="223"/>
      <c r="P338" s="223"/>
      <c r="Q338" s="205"/>
      <c r="R338" s="206"/>
      <c r="S338" s="222"/>
      <c r="T338" s="207"/>
      <c r="U338" s="83"/>
    </row>
    <row r="339" spans="12:21" ht="13.5" customHeight="1">
      <c r="L339" s="82"/>
      <c r="M339" s="110">
        <v>314</v>
      </c>
      <c r="N339" s="223"/>
      <c r="O339" s="223"/>
      <c r="P339" s="223"/>
      <c r="Q339" s="205"/>
      <c r="R339" s="206"/>
      <c r="S339" s="222"/>
      <c r="T339" s="207"/>
      <c r="U339" s="83"/>
    </row>
    <row r="340" spans="12:21" ht="13.5" customHeight="1">
      <c r="L340" s="82"/>
      <c r="M340" s="110">
        <v>315</v>
      </c>
      <c r="N340" s="223"/>
      <c r="O340" s="223"/>
      <c r="P340" s="223"/>
      <c r="Q340" s="205"/>
      <c r="R340" s="206"/>
      <c r="S340" s="222"/>
      <c r="T340" s="207"/>
      <c r="U340" s="83"/>
    </row>
    <row r="341" spans="12:21" ht="13.5" customHeight="1">
      <c r="L341" s="82"/>
      <c r="M341" s="110">
        <v>316</v>
      </c>
      <c r="N341" s="223"/>
      <c r="O341" s="223"/>
      <c r="P341" s="223"/>
      <c r="Q341" s="205"/>
      <c r="R341" s="206"/>
      <c r="S341" s="222"/>
      <c r="T341" s="207"/>
      <c r="U341" s="83"/>
    </row>
    <row r="342" spans="12:21" ht="13.5" customHeight="1">
      <c r="L342" s="82"/>
      <c r="M342" s="110">
        <v>317</v>
      </c>
      <c r="N342" s="223"/>
      <c r="O342" s="223"/>
      <c r="P342" s="223"/>
      <c r="Q342" s="205"/>
      <c r="R342" s="206"/>
      <c r="S342" s="222"/>
      <c r="T342" s="207"/>
      <c r="U342" s="83"/>
    </row>
    <row r="343" spans="12:21" ht="13.5" customHeight="1">
      <c r="L343" s="82"/>
      <c r="M343" s="110">
        <v>318</v>
      </c>
      <c r="N343" s="223"/>
      <c r="O343" s="223"/>
      <c r="P343" s="223"/>
      <c r="Q343" s="205"/>
      <c r="R343" s="206"/>
      <c r="S343" s="222"/>
      <c r="T343" s="207"/>
      <c r="U343" s="83"/>
    </row>
    <row r="344" spans="12:21" ht="13.5" customHeight="1">
      <c r="L344" s="82"/>
      <c r="M344" s="110">
        <v>319</v>
      </c>
      <c r="N344" s="223"/>
      <c r="O344" s="223"/>
      <c r="P344" s="223"/>
      <c r="Q344" s="205"/>
      <c r="R344" s="206"/>
      <c r="S344" s="222"/>
      <c r="T344" s="207"/>
      <c r="U344" s="83"/>
    </row>
    <row r="345" spans="12:21" ht="13.5" customHeight="1">
      <c r="L345" s="82"/>
      <c r="M345" s="110">
        <v>320</v>
      </c>
      <c r="N345" s="223"/>
      <c r="O345" s="223"/>
      <c r="P345" s="223"/>
      <c r="Q345" s="205"/>
      <c r="R345" s="206"/>
      <c r="S345" s="222"/>
      <c r="T345" s="207"/>
      <c r="U345" s="83"/>
    </row>
    <row r="346" spans="12:21" ht="13.5" customHeight="1">
      <c r="L346" s="82"/>
      <c r="M346" s="110">
        <v>321</v>
      </c>
      <c r="N346" s="223"/>
      <c r="O346" s="223"/>
      <c r="P346" s="223"/>
      <c r="Q346" s="205"/>
      <c r="R346" s="206"/>
      <c r="S346" s="222"/>
      <c r="T346" s="207"/>
      <c r="U346" s="83"/>
    </row>
    <row r="347" spans="12:21" ht="13.5" customHeight="1">
      <c r="L347" s="82"/>
      <c r="M347" s="110">
        <v>322</v>
      </c>
      <c r="N347" s="223"/>
      <c r="O347" s="223"/>
      <c r="P347" s="223"/>
      <c r="Q347" s="205"/>
      <c r="R347" s="206"/>
      <c r="S347" s="222"/>
      <c r="T347" s="207"/>
      <c r="U347" s="83"/>
    </row>
    <row r="348" spans="12:21" ht="13.5" customHeight="1">
      <c r="L348" s="82"/>
      <c r="M348" s="110">
        <v>323</v>
      </c>
      <c r="N348" s="223"/>
      <c r="O348" s="223"/>
      <c r="P348" s="223"/>
      <c r="Q348" s="205"/>
      <c r="R348" s="206"/>
      <c r="S348" s="222"/>
      <c r="T348" s="207"/>
      <c r="U348" s="83"/>
    </row>
    <row r="349" spans="12:21" ht="13.5" customHeight="1">
      <c r="L349" s="82"/>
      <c r="M349" s="110">
        <v>324</v>
      </c>
      <c r="N349" s="223"/>
      <c r="O349" s="223"/>
      <c r="P349" s="223"/>
      <c r="Q349" s="205"/>
      <c r="R349" s="206"/>
      <c r="S349" s="222"/>
      <c r="T349" s="207"/>
      <c r="U349" s="83"/>
    </row>
    <row r="350" spans="12:21" ht="13.5" customHeight="1">
      <c r="L350" s="82"/>
      <c r="M350" s="110">
        <v>325</v>
      </c>
      <c r="N350" s="223"/>
      <c r="O350" s="223"/>
      <c r="P350" s="223"/>
      <c r="Q350" s="205"/>
      <c r="R350" s="206"/>
      <c r="S350" s="222"/>
      <c r="T350" s="207"/>
      <c r="U350" s="83"/>
    </row>
    <row r="351" spans="12:21" ht="13.5" customHeight="1">
      <c r="L351" s="82"/>
      <c r="M351" s="110">
        <v>326</v>
      </c>
      <c r="N351" s="223"/>
      <c r="O351" s="223"/>
      <c r="P351" s="223"/>
      <c r="Q351" s="205"/>
      <c r="R351" s="206"/>
      <c r="S351" s="222"/>
      <c r="T351" s="207"/>
      <c r="U351" s="83"/>
    </row>
    <row r="352" spans="12:21" ht="13.5" customHeight="1">
      <c r="L352" s="82"/>
      <c r="M352" s="110">
        <v>327</v>
      </c>
      <c r="N352" s="223"/>
      <c r="O352" s="223"/>
      <c r="P352" s="223"/>
      <c r="Q352" s="205"/>
      <c r="R352" s="206"/>
      <c r="S352" s="222"/>
      <c r="T352" s="207"/>
      <c r="U352" s="83"/>
    </row>
    <row r="353" spans="12:21" ht="13.5" customHeight="1">
      <c r="L353" s="82"/>
      <c r="M353" s="110">
        <v>328</v>
      </c>
      <c r="N353" s="223"/>
      <c r="O353" s="223"/>
      <c r="P353" s="223"/>
      <c r="Q353" s="205"/>
      <c r="R353" s="206"/>
      <c r="S353" s="222"/>
      <c r="T353" s="207"/>
      <c r="U353" s="83"/>
    </row>
    <row r="354" spans="12:21" ht="13.5" customHeight="1">
      <c r="L354" s="82"/>
      <c r="M354" s="110">
        <v>329</v>
      </c>
      <c r="N354" s="223"/>
      <c r="O354" s="223"/>
      <c r="P354" s="223"/>
      <c r="Q354" s="205"/>
      <c r="R354" s="206"/>
      <c r="S354" s="222"/>
      <c r="T354" s="207"/>
      <c r="U354" s="83"/>
    </row>
    <row r="355" spans="12:21" ht="13.5" customHeight="1">
      <c r="L355" s="82"/>
      <c r="M355" s="110">
        <v>330</v>
      </c>
      <c r="N355" s="223"/>
      <c r="O355" s="223"/>
      <c r="P355" s="223"/>
      <c r="Q355" s="205"/>
      <c r="R355" s="206"/>
      <c r="S355" s="222"/>
      <c r="T355" s="207"/>
      <c r="U355" s="83"/>
    </row>
    <row r="356" spans="12:21" ht="13.5" customHeight="1">
      <c r="L356" s="82"/>
      <c r="M356" s="110">
        <v>331</v>
      </c>
      <c r="N356" s="223"/>
      <c r="O356" s="223"/>
      <c r="P356" s="223"/>
      <c r="Q356" s="205"/>
      <c r="R356" s="206"/>
      <c r="S356" s="222"/>
      <c r="T356" s="207"/>
      <c r="U356" s="83"/>
    </row>
    <row r="357" spans="12:21" ht="13.5" customHeight="1">
      <c r="L357" s="82"/>
      <c r="M357" s="110">
        <v>332</v>
      </c>
      <c r="N357" s="223"/>
      <c r="O357" s="223"/>
      <c r="P357" s="223"/>
      <c r="Q357" s="205"/>
      <c r="R357" s="206"/>
      <c r="S357" s="222"/>
      <c r="T357" s="207"/>
      <c r="U357" s="83"/>
    </row>
    <row r="358" spans="12:21" ht="13.5" customHeight="1">
      <c r="L358" s="82"/>
      <c r="M358" s="110">
        <v>333</v>
      </c>
      <c r="N358" s="223"/>
      <c r="O358" s="223"/>
      <c r="P358" s="223"/>
      <c r="Q358" s="205"/>
      <c r="R358" s="206"/>
      <c r="S358" s="222"/>
      <c r="T358" s="207"/>
      <c r="U358" s="83"/>
    </row>
    <row r="359" spans="12:21" ht="13.5" customHeight="1">
      <c r="L359" s="82"/>
      <c r="M359" s="110">
        <v>334</v>
      </c>
      <c r="N359" s="223"/>
      <c r="O359" s="223"/>
      <c r="P359" s="223"/>
      <c r="Q359" s="205"/>
      <c r="R359" s="206"/>
      <c r="S359" s="222"/>
      <c r="T359" s="207"/>
      <c r="U359" s="83"/>
    </row>
    <row r="360" spans="12:21" ht="13.5" customHeight="1">
      <c r="L360" s="82"/>
      <c r="M360" s="110">
        <v>335</v>
      </c>
      <c r="N360" s="223"/>
      <c r="O360" s="223"/>
      <c r="P360" s="223"/>
      <c r="Q360" s="205"/>
      <c r="R360" s="206"/>
      <c r="S360" s="222"/>
      <c r="T360" s="207"/>
      <c r="U360" s="83"/>
    </row>
    <row r="361" spans="12:21" ht="13.5" customHeight="1">
      <c r="L361" s="82"/>
      <c r="M361" s="110">
        <v>336</v>
      </c>
      <c r="N361" s="223"/>
      <c r="O361" s="223"/>
      <c r="P361" s="223"/>
      <c r="Q361" s="205"/>
      <c r="R361" s="206"/>
      <c r="S361" s="222"/>
      <c r="T361" s="207"/>
      <c r="U361" s="83"/>
    </row>
    <row r="362" spans="12:21" ht="13.5" customHeight="1">
      <c r="L362" s="82"/>
      <c r="M362" s="110">
        <v>337</v>
      </c>
      <c r="N362" s="223"/>
      <c r="O362" s="223"/>
      <c r="P362" s="223"/>
      <c r="Q362" s="205"/>
      <c r="R362" s="206"/>
      <c r="S362" s="222"/>
      <c r="T362" s="207"/>
      <c r="U362" s="83"/>
    </row>
    <row r="363" spans="12:21" ht="13.5" customHeight="1">
      <c r="L363" s="82"/>
      <c r="M363" s="110">
        <v>338</v>
      </c>
      <c r="N363" s="223"/>
      <c r="O363" s="223"/>
      <c r="P363" s="223"/>
      <c r="Q363" s="205"/>
      <c r="R363" s="206"/>
      <c r="S363" s="222"/>
      <c r="T363" s="207"/>
      <c r="U363" s="83"/>
    </row>
    <row r="364" spans="12:21" ht="13.5" customHeight="1">
      <c r="L364" s="82"/>
      <c r="M364" s="110">
        <v>339</v>
      </c>
      <c r="N364" s="223"/>
      <c r="O364" s="223"/>
      <c r="P364" s="223"/>
      <c r="Q364" s="205"/>
      <c r="R364" s="206"/>
      <c r="S364" s="222"/>
      <c r="T364" s="207"/>
      <c r="U364" s="83"/>
    </row>
    <row r="365" spans="12:21" ht="13.5" customHeight="1">
      <c r="L365" s="82"/>
      <c r="M365" s="110">
        <v>340</v>
      </c>
      <c r="N365" s="223"/>
      <c r="O365" s="223"/>
      <c r="P365" s="223"/>
      <c r="Q365" s="205"/>
      <c r="R365" s="206"/>
      <c r="S365" s="222"/>
      <c r="T365" s="207"/>
      <c r="U365" s="83"/>
    </row>
    <row r="366" spans="12:21" ht="13.5" customHeight="1">
      <c r="L366" s="82"/>
      <c r="M366" s="110">
        <v>341</v>
      </c>
      <c r="N366" s="223"/>
      <c r="O366" s="223"/>
      <c r="P366" s="223"/>
      <c r="Q366" s="205"/>
      <c r="R366" s="206"/>
      <c r="S366" s="222"/>
      <c r="T366" s="207"/>
      <c r="U366" s="83"/>
    </row>
    <row r="367" spans="12:21" ht="13.5" customHeight="1">
      <c r="L367" s="82"/>
      <c r="M367" s="110">
        <v>342</v>
      </c>
      <c r="N367" s="223"/>
      <c r="O367" s="223"/>
      <c r="P367" s="223"/>
      <c r="Q367" s="205"/>
      <c r="R367" s="206"/>
      <c r="S367" s="222"/>
      <c r="T367" s="207"/>
      <c r="U367" s="83"/>
    </row>
    <row r="368" spans="12:21" ht="13.5" customHeight="1">
      <c r="L368" s="82"/>
      <c r="M368" s="110">
        <v>343</v>
      </c>
      <c r="N368" s="223"/>
      <c r="O368" s="223"/>
      <c r="P368" s="223"/>
      <c r="Q368" s="205"/>
      <c r="R368" s="206"/>
      <c r="S368" s="222"/>
      <c r="T368" s="207"/>
      <c r="U368" s="83"/>
    </row>
    <row r="369" spans="12:21" ht="13.5" customHeight="1">
      <c r="L369" s="82"/>
      <c r="M369" s="110">
        <v>344</v>
      </c>
      <c r="N369" s="223"/>
      <c r="O369" s="223"/>
      <c r="P369" s="223"/>
      <c r="Q369" s="205"/>
      <c r="R369" s="206"/>
      <c r="S369" s="222"/>
      <c r="T369" s="207"/>
      <c r="U369" s="83"/>
    </row>
    <row r="370" spans="12:21" ht="13.5" customHeight="1">
      <c r="L370" s="82"/>
      <c r="M370" s="110">
        <v>345</v>
      </c>
      <c r="N370" s="223"/>
      <c r="O370" s="223"/>
      <c r="P370" s="223"/>
      <c r="Q370" s="205"/>
      <c r="R370" s="206"/>
      <c r="S370" s="222"/>
      <c r="T370" s="207"/>
      <c r="U370" s="83"/>
    </row>
    <row r="371" spans="12:21" ht="13.5" customHeight="1">
      <c r="L371" s="82"/>
      <c r="M371" s="110">
        <v>346</v>
      </c>
      <c r="N371" s="223"/>
      <c r="O371" s="223"/>
      <c r="P371" s="223"/>
      <c r="Q371" s="205"/>
      <c r="R371" s="206"/>
      <c r="S371" s="222"/>
      <c r="T371" s="207"/>
      <c r="U371" s="83"/>
    </row>
    <row r="372" spans="12:21" ht="13.5" customHeight="1">
      <c r="L372" s="82"/>
      <c r="M372" s="110">
        <v>347</v>
      </c>
      <c r="N372" s="223"/>
      <c r="O372" s="223"/>
      <c r="P372" s="223"/>
      <c r="Q372" s="205"/>
      <c r="R372" s="206"/>
      <c r="S372" s="222"/>
      <c r="T372" s="207"/>
      <c r="U372" s="83"/>
    </row>
    <row r="373" spans="12:21" ht="13.5" customHeight="1">
      <c r="L373" s="82"/>
      <c r="M373" s="110">
        <v>348</v>
      </c>
      <c r="N373" s="223"/>
      <c r="O373" s="223"/>
      <c r="P373" s="223"/>
      <c r="Q373" s="205"/>
      <c r="R373" s="206"/>
      <c r="S373" s="222"/>
      <c r="T373" s="207"/>
      <c r="U373" s="83"/>
    </row>
    <row r="374" spans="12:21" ht="13.5" customHeight="1">
      <c r="L374" s="82"/>
      <c r="M374" s="110">
        <v>349</v>
      </c>
      <c r="N374" s="223"/>
      <c r="O374" s="223"/>
      <c r="P374" s="223"/>
      <c r="Q374" s="205"/>
      <c r="R374" s="206"/>
      <c r="S374" s="222"/>
      <c r="T374" s="207"/>
      <c r="U374" s="83"/>
    </row>
    <row r="375" spans="12:21" ht="13.5" customHeight="1">
      <c r="L375" s="82"/>
      <c r="M375" s="110">
        <v>350</v>
      </c>
      <c r="N375" s="223"/>
      <c r="O375" s="223"/>
      <c r="P375" s="223"/>
      <c r="Q375" s="205"/>
      <c r="R375" s="206"/>
      <c r="S375" s="222"/>
      <c r="T375" s="207"/>
      <c r="U375" s="83"/>
    </row>
    <row r="376" spans="12:21" ht="13.5" customHeight="1">
      <c r="L376" s="82"/>
      <c r="M376" s="110">
        <v>351</v>
      </c>
      <c r="N376" s="223"/>
      <c r="O376" s="223"/>
      <c r="P376" s="223"/>
      <c r="Q376" s="205"/>
      <c r="R376" s="206"/>
      <c r="S376" s="222"/>
      <c r="T376" s="207"/>
      <c r="U376" s="83"/>
    </row>
    <row r="377" spans="12:21" ht="13.5" customHeight="1">
      <c r="L377" s="82"/>
      <c r="M377" s="110">
        <v>352</v>
      </c>
      <c r="N377" s="223"/>
      <c r="O377" s="223"/>
      <c r="P377" s="223"/>
      <c r="Q377" s="205"/>
      <c r="R377" s="206"/>
      <c r="S377" s="222"/>
      <c r="T377" s="207"/>
      <c r="U377" s="83"/>
    </row>
    <row r="378" spans="12:21" ht="13.5" customHeight="1">
      <c r="L378" s="82"/>
      <c r="M378" s="110">
        <v>353</v>
      </c>
      <c r="N378" s="223"/>
      <c r="O378" s="223"/>
      <c r="P378" s="223"/>
      <c r="Q378" s="205"/>
      <c r="R378" s="206"/>
      <c r="S378" s="222"/>
      <c r="T378" s="207"/>
      <c r="U378" s="83"/>
    </row>
    <row r="379" spans="12:21" ht="13.5" customHeight="1">
      <c r="L379" s="82"/>
      <c r="M379" s="110">
        <v>354</v>
      </c>
      <c r="N379" s="223"/>
      <c r="O379" s="223"/>
      <c r="P379" s="223"/>
      <c r="Q379" s="205"/>
      <c r="R379" s="206"/>
      <c r="S379" s="222"/>
      <c r="T379" s="207"/>
      <c r="U379" s="83"/>
    </row>
    <row r="380" spans="12:21" ht="13.5" customHeight="1">
      <c r="L380" s="82"/>
      <c r="M380" s="110">
        <v>355</v>
      </c>
      <c r="N380" s="223"/>
      <c r="O380" s="223"/>
      <c r="P380" s="223"/>
      <c r="Q380" s="205"/>
      <c r="R380" s="206"/>
      <c r="S380" s="222"/>
      <c r="T380" s="207"/>
      <c r="U380" s="83"/>
    </row>
    <row r="381" spans="12:21" ht="13.5" customHeight="1">
      <c r="L381" s="82"/>
      <c r="M381" s="110">
        <v>356</v>
      </c>
      <c r="N381" s="223"/>
      <c r="O381" s="223"/>
      <c r="P381" s="223"/>
      <c r="Q381" s="205"/>
      <c r="R381" s="206"/>
      <c r="S381" s="222"/>
      <c r="T381" s="207"/>
      <c r="U381" s="83"/>
    </row>
    <row r="382" spans="12:21" ht="13.5" customHeight="1">
      <c r="L382" s="82"/>
      <c r="M382" s="110">
        <v>357</v>
      </c>
      <c r="N382" s="223"/>
      <c r="O382" s="223"/>
      <c r="P382" s="223"/>
      <c r="Q382" s="205"/>
      <c r="R382" s="206"/>
      <c r="S382" s="222"/>
      <c r="T382" s="207"/>
      <c r="U382" s="83"/>
    </row>
    <row r="383" spans="12:21" ht="13.5" customHeight="1">
      <c r="L383" s="82"/>
      <c r="M383" s="110">
        <v>358</v>
      </c>
      <c r="N383" s="223"/>
      <c r="O383" s="223"/>
      <c r="P383" s="223"/>
      <c r="Q383" s="205"/>
      <c r="R383" s="206"/>
      <c r="S383" s="222"/>
      <c r="T383" s="207"/>
      <c r="U383" s="83"/>
    </row>
    <row r="384" spans="12:21" ht="13.5" customHeight="1">
      <c r="L384" s="82"/>
      <c r="M384" s="110">
        <v>359</v>
      </c>
      <c r="N384" s="223"/>
      <c r="O384" s="223"/>
      <c r="P384" s="223"/>
      <c r="Q384" s="205"/>
      <c r="R384" s="206"/>
      <c r="S384" s="222"/>
      <c r="T384" s="207"/>
      <c r="U384" s="83"/>
    </row>
    <row r="385" spans="12:21" ht="13.5" customHeight="1">
      <c r="L385" s="82"/>
      <c r="M385" s="110">
        <v>360</v>
      </c>
      <c r="N385" s="223"/>
      <c r="O385" s="223"/>
      <c r="P385" s="223"/>
      <c r="Q385" s="205"/>
      <c r="R385" s="206"/>
      <c r="S385" s="222"/>
      <c r="T385" s="207"/>
      <c r="U385" s="83"/>
    </row>
    <row r="386" spans="12:21" ht="13.5" customHeight="1">
      <c r="L386" s="82"/>
      <c r="M386" s="110">
        <v>361</v>
      </c>
      <c r="N386" s="223"/>
      <c r="O386" s="223"/>
      <c r="P386" s="223"/>
      <c r="Q386" s="205"/>
      <c r="R386" s="206"/>
      <c r="S386" s="222"/>
      <c r="T386" s="207"/>
      <c r="U386" s="83"/>
    </row>
    <row r="387" spans="12:21" ht="13.5" customHeight="1">
      <c r="L387" s="82"/>
      <c r="M387" s="110">
        <v>362</v>
      </c>
      <c r="N387" s="223"/>
      <c r="O387" s="223"/>
      <c r="P387" s="223"/>
      <c r="Q387" s="205"/>
      <c r="R387" s="206"/>
      <c r="S387" s="222"/>
      <c r="T387" s="207"/>
      <c r="U387" s="83"/>
    </row>
    <row r="388" spans="12:21" ht="13.5" customHeight="1">
      <c r="L388" s="82"/>
      <c r="M388" s="110">
        <v>363</v>
      </c>
      <c r="N388" s="223"/>
      <c r="O388" s="223"/>
      <c r="P388" s="223"/>
      <c r="Q388" s="205"/>
      <c r="R388" s="206"/>
      <c r="S388" s="222"/>
      <c r="T388" s="207"/>
      <c r="U388" s="83"/>
    </row>
    <row r="389" spans="12:21" ht="13.5" customHeight="1">
      <c r="L389" s="82"/>
      <c r="M389" s="110">
        <v>364</v>
      </c>
      <c r="N389" s="223"/>
      <c r="O389" s="223"/>
      <c r="P389" s="223"/>
      <c r="Q389" s="205"/>
      <c r="R389" s="206"/>
      <c r="S389" s="222"/>
      <c r="T389" s="207"/>
      <c r="U389" s="83"/>
    </row>
    <row r="390" spans="12:21" ht="13.5" customHeight="1">
      <c r="L390" s="82"/>
      <c r="M390" s="110">
        <v>365</v>
      </c>
      <c r="N390" s="223"/>
      <c r="O390" s="223"/>
      <c r="P390" s="223"/>
      <c r="Q390" s="205"/>
      <c r="R390" s="206"/>
      <c r="S390" s="222"/>
      <c r="T390" s="207"/>
      <c r="U390" s="83"/>
    </row>
    <row r="391" spans="12:21" ht="13.5" customHeight="1">
      <c r="L391" s="82"/>
      <c r="M391" s="110">
        <v>366</v>
      </c>
      <c r="N391" s="223"/>
      <c r="O391" s="223"/>
      <c r="P391" s="223"/>
      <c r="Q391" s="205"/>
      <c r="R391" s="206"/>
      <c r="S391" s="222"/>
      <c r="T391" s="207"/>
      <c r="U391" s="83"/>
    </row>
    <row r="392" spans="12:21" ht="13.5" customHeight="1">
      <c r="L392" s="82"/>
      <c r="M392" s="110">
        <v>367</v>
      </c>
      <c r="N392" s="223"/>
      <c r="O392" s="223"/>
      <c r="P392" s="223"/>
      <c r="Q392" s="205"/>
      <c r="R392" s="206"/>
      <c r="S392" s="222"/>
      <c r="T392" s="207"/>
      <c r="U392" s="83"/>
    </row>
    <row r="393" spans="12:21" ht="13.5" customHeight="1">
      <c r="L393" s="82"/>
      <c r="M393" s="110">
        <v>368</v>
      </c>
      <c r="N393" s="223"/>
      <c r="O393" s="223"/>
      <c r="P393" s="223"/>
      <c r="Q393" s="205"/>
      <c r="R393" s="206"/>
      <c r="S393" s="222"/>
      <c r="T393" s="207"/>
      <c r="U393" s="83"/>
    </row>
    <row r="394" spans="12:21" ht="13.5" customHeight="1">
      <c r="L394" s="82"/>
      <c r="M394" s="110">
        <v>369</v>
      </c>
      <c r="N394" s="223"/>
      <c r="O394" s="223"/>
      <c r="P394" s="223"/>
      <c r="Q394" s="205"/>
      <c r="R394" s="206"/>
      <c r="S394" s="222"/>
      <c r="T394" s="207"/>
      <c r="U394" s="83"/>
    </row>
    <row r="395" spans="12:21" ht="13.5" customHeight="1">
      <c r="L395" s="82"/>
      <c r="M395" s="110">
        <v>370</v>
      </c>
      <c r="N395" s="223"/>
      <c r="O395" s="223"/>
      <c r="P395" s="223"/>
      <c r="Q395" s="205"/>
      <c r="R395" s="206"/>
      <c r="S395" s="222"/>
      <c r="T395" s="207"/>
      <c r="U395" s="83"/>
    </row>
    <row r="396" spans="12:21" ht="13.5" customHeight="1">
      <c r="L396" s="82"/>
      <c r="M396" s="110">
        <v>371</v>
      </c>
      <c r="N396" s="223"/>
      <c r="O396" s="223"/>
      <c r="P396" s="223"/>
      <c r="Q396" s="205"/>
      <c r="R396" s="206"/>
      <c r="S396" s="222"/>
      <c r="T396" s="207"/>
      <c r="U396" s="83"/>
    </row>
    <row r="397" spans="12:21" ht="13.5" customHeight="1">
      <c r="L397" s="82"/>
      <c r="M397" s="110">
        <v>372</v>
      </c>
      <c r="N397" s="223"/>
      <c r="O397" s="223"/>
      <c r="P397" s="223"/>
      <c r="Q397" s="205"/>
      <c r="R397" s="206"/>
      <c r="S397" s="222"/>
      <c r="T397" s="207"/>
      <c r="U397" s="83"/>
    </row>
    <row r="398" spans="12:21" ht="13.5" customHeight="1">
      <c r="L398" s="82"/>
      <c r="M398" s="110">
        <v>373</v>
      </c>
      <c r="N398" s="223"/>
      <c r="O398" s="223"/>
      <c r="P398" s="223"/>
      <c r="Q398" s="205"/>
      <c r="R398" s="206"/>
      <c r="S398" s="222"/>
      <c r="T398" s="207"/>
      <c r="U398" s="83"/>
    </row>
    <row r="399" spans="12:21" ht="13.5" customHeight="1">
      <c r="L399" s="82"/>
      <c r="M399" s="110">
        <v>374</v>
      </c>
      <c r="N399" s="223"/>
      <c r="O399" s="223"/>
      <c r="P399" s="223"/>
      <c r="Q399" s="205"/>
      <c r="R399" s="206"/>
      <c r="S399" s="222"/>
      <c r="T399" s="207"/>
      <c r="U399" s="83"/>
    </row>
    <row r="400" spans="12:21" ht="13.5" customHeight="1">
      <c r="L400" s="82"/>
      <c r="M400" s="110">
        <v>375</v>
      </c>
      <c r="N400" s="223"/>
      <c r="O400" s="223"/>
      <c r="P400" s="223"/>
      <c r="Q400" s="205"/>
      <c r="R400" s="206"/>
      <c r="S400" s="222"/>
      <c r="T400" s="207"/>
      <c r="U400" s="83"/>
    </row>
    <row r="401" spans="12:21" ht="13.5" customHeight="1">
      <c r="L401" s="82"/>
      <c r="M401" s="110">
        <v>376</v>
      </c>
      <c r="N401" s="223"/>
      <c r="O401" s="223"/>
      <c r="P401" s="223"/>
      <c r="Q401" s="205"/>
      <c r="R401" s="206"/>
      <c r="S401" s="222"/>
      <c r="T401" s="207"/>
      <c r="U401" s="83"/>
    </row>
    <row r="402" spans="12:21" ht="13.5" customHeight="1">
      <c r="L402" s="82"/>
      <c r="M402" s="110">
        <v>377</v>
      </c>
      <c r="N402" s="223"/>
      <c r="O402" s="223"/>
      <c r="P402" s="223"/>
      <c r="Q402" s="205"/>
      <c r="R402" s="206"/>
      <c r="S402" s="222"/>
      <c r="T402" s="207"/>
      <c r="U402" s="83"/>
    </row>
    <row r="403" spans="12:21" ht="13.5" customHeight="1">
      <c r="L403" s="82"/>
      <c r="M403" s="110">
        <v>378</v>
      </c>
      <c r="N403" s="223"/>
      <c r="O403" s="223"/>
      <c r="P403" s="223"/>
      <c r="Q403" s="205"/>
      <c r="R403" s="206"/>
      <c r="S403" s="222"/>
      <c r="T403" s="207"/>
      <c r="U403" s="83"/>
    </row>
    <row r="404" spans="12:21" ht="13.5" customHeight="1">
      <c r="L404" s="82"/>
      <c r="M404" s="110">
        <v>379</v>
      </c>
      <c r="N404" s="223"/>
      <c r="O404" s="223"/>
      <c r="P404" s="223"/>
      <c r="Q404" s="205"/>
      <c r="R404" s="206"/>
      <c r="S404" s="222"/>
      <c r="T404" s="207"/>
      <c r="U404" s="83"/>
    </row>
    <row r="405" spans="12:21" ht="13.5" customHeight="1">
      <c r="L405" s="82"/>
      <c r="M405" s="110">
        <v>380</v>
      </c>
      <c r="N405" s="223"/>
      <c r="O405" s="223"/>
      <c r="P405" s="223"/>
      <c r="Q405" s="205"/>
      <c r="R405" s="206"/>
      <c r="S405" s="222"/>
      <c r="T405" s="207"/>
      <c r="U405" s="83"/>
    </row>
    <row r="406" spans="12:21" ht="13.5" customHeight="1">
      <c r="L406" s="82"/>
      <c r="M406" s="110">
        <v>381</v>
      </c>
      <c r="N406" s="223"/>
      <c r="O406" s="223"/>
      <c r="P406" s="223"/>
      <c r="Q406" s="205"/>
      <c r="R406" s="206"/>
      <c r="S406" s="222"/>
      <c r="T406" s="207"/>
      <c r="U406" s="83"/>
    </row>
    <row r="407" spans="12:21" ht="13.5" customHeight="1">
      <c r="L407" s="82"/>
      <c r="M407" s="110">
        <v>382</v>
      </c>
      <c r="N407" s="223"/>
      <c r="O407" s="223"/>
      <c r="P407" s="223"/>
      <c r="Q407" s="205"/>
      <c r="R407" s="206"/>
      <c r="S407" s="222"/>
      <c r="T407" s="207"/>
      <c r="U407" s="83"/>
    </row>
    <row r="408" spans="12:21" ht="13.5" customHeight="1">
      <c r="L408" s="82"/>
      <c r="M408" s="110">
        <v>383</v>
      </c>
      <c r="N408" s="223"/>
      <c r="O408" s="223"/>
      <c r="P408" s="223"/>
      <c r="Q408" s="205"/>
      <c r="R408" s="206"/>
      <c r="S408" s="222"/>
      <c r="T408" s="207"/>
      <c r="U408" s="83"/>
    </row>
    <row r="409" spans="12:21" ht="13.5" customHeight="1">
      <c r="L409" s="82"/>
      <c r="M409" s="110">
        <v>384</v>
      </c>
      <c r="N409" s="223"/>
      <c r="O409" s="223"/>
      <c r="P409" s="223"/>
      <c r="Q409" s="205"/>
      <c r="R409" s="206"/>
      <c r="S409" s="222"/>
      <c r="T409" s="207"/>
      <c r="U409" s="83"/>
    </row>
    <row r="410" spans="12:21" ht="13.5" customHeight="1">
      <c r="L410" s="82"/>
      <c r="M410" s="110">
        <v>385</v>
      </c>
      <c r="N410" s="223"/>
      <c r="O410" s="223"/>
      <c r="P410" s="223"/>
      <c r="Q410" s="205"/>
      <c r="R410" s="206"/>
      <c r="S410" s="222"/>
      <c r="T410" s="207"/>
      <c r="U410" s="83"/>
    </row>
    <row r="411" spans="12:21" ht="13.5" customHeight="1">
      <c r="L411" s="82"/>
      <c r="M411" s="110">
        <v>386</v>
      </c>
      <c r="N411" s="223"/>
      <c r="O411" s="223"/>
      <c r="P411" s="223"/>
      <c r="Q411" s="205"/>
      <c r="R411" s="206"/>
      <c r="S411" s="222"/>
      <c r="T411" s="207"/>
      <c r="U411" s="83"/>
    </row>
    <row r="412" spans="12:21" ht="13.5" customHeight="1">
      <c r="L412" s="82"/>
      <c r="M412" s="110">
        <v>387</v>
      </c>
      <c r="N412" s="223"/>
      <c r="O412" s="223"/>
      <c r="P412" s="223"/>
      <c r="Q412" s="205"/>
      <c r="R412" s="206"/>
      <c r="S412" s="222"/>
      <c r="T412" s="207"/>
      <c r="U412" s="83"/>
    </row>
    <row r="413" spans="12:21" ht="13.5" customHeight="1">
      <c r="L413" s="82"/>
      <c r="M413" s="110">
        <v>388</v>
      </c>
      <c r="N413" s="223"/>
      <c r="O413" s="223"/>
      <c r="P413" s="223"/>
      <c r="Q413" s="205"/>
      <c r="R413" s="206"/>
      <c r="S413" s="222"/>
      <c r="T413" s="207"/>
      <c r="U413" s="83"/>
    </row>
    <row r="414" spans="12:21" ht="13.5" customHeight="1">
      <c r="L414" s="82"/>
      <c r="M414" s="110">
        <v>389</v>
      </c>
      <c r="N414" s="223"/>
      <c r="O414" s="223"/>
      <c r="P414" s="223"/>
      <c r="Q414" s="205"/>
      <c r="R414" s="206"/>
      <c r="S414" s="222"/>
      <c r="T414" s="207"/>
      <c r="U414" s="83"/>
    </row>
    <row r="415" spans="12:21" ht="13.5" customHeight="1">
      <c r="L415" s="82"/>
      <c r="M415" s="110">
        <v>390</v>
      </c>
      <c r="N415" s="223"/>
      <c r="O415" s="223"/>
      <c r="P415" s="223"/>
      <c r="Q415" s="205"/>
      <c r="R415" s="206"/>
      <c r="S415" s="222"/>
      <c r="T415" s="207"/>
      <c r="U415" s="83"/>
    </row>
    <row r="416" spans="12:21" ht="13.5" customHeight="1">
      <c r="L416" s="82"/>
      <c r="M416" s="110">
        <v>391</v>
      </c>
      <c r="N416" s="223"/>
      <c r="O416" s="223"/>
      <c r="P416" s="223"/>
      <c r="Q416" s="205"/>
      <c r="R416" s="206"/>
      <c r="S416" s="222"/>
      <c r="T416" s="207"/>
      <c r="U416" s="83"/>
    </row>
    <row r="417" spans="12:21" ht="13.5" customHeight="1">
      <c r="L417" s="82"/>
      <c r="M417" s="110">
        <v>392</v>
      </c>
      <c r="N417" s="223"/>
      <c r="O417" s="223"/>
      <c r="P417" s="223"/>
      <c r="Q417" s="205"/>
      <c r="R417" s="206"/>
      <c r="S417" s="222"/>
      <c r="T417" s="207"/>
      <c r="U417" s="83"/>
    </row>
    <row r="418" spans="12:21" ht="13.5" customHeight="1">
      <c r="L418" s="82"/>
      <c r="M418" s="110">
        <v>393</v>
      </c>
      <c r="N418" s="223"/>
      <c r="O418" s="223"/>
      <c r="P418" s="223"/>
      <c r="Q418" s="205"/>
      <c r="R418" s="206"/>
      <c r="S418" s="222"/>
      <c r="T418" s="207"/>
      <c r="U418" s="83"/>
    </row>
    <row r="419" spans="12:21" ht="13.5" customHeight="1">
      <c r="L419" s="82"/>
      <c r="M419" s="110">
        <v>394</v>
      </c>
      <c r="N419" s="223"/>
      <c r="O419" s="223"/>
      <c r="P419" s="223"/>
      <c r="Q419" s="205"/>
      <c r="R419" s="206"/>
      <c r="S419" s="222"/>
      <c r="T419" s="207"/>
      <c r="U419" s="83"/>
    </row>
    <row r="420" spans="12:21" ht="13.5" customHeight="1">
      <c r="L420" s="82"/>
      <c r="M420" s="110">
        <v>395</v>
      </c>
      <c r="N420" s="223"/>
      <c r="O420" s="223"/>
      <c r="P420" s="223"/>
      <c r="Q420" s="205"/>
      <c r="R420" s="206"/>
      <c r="S420" s="222"/>
      <c r="T420" s="207"/>
      <c r="U420" s="83"/>
    </row>
    <row r="421" spans="12:21" ht="13.5" customHeight="1">
      <c r="L421" s="82"/>
      <c r="M421" s="110">
        <v>396</v>
      </c>
      <c r="N421" s="223"/>
      <c r="O421" s="223"/>
      <c r="P421" s="223"/>
      <c r="Q421" s="205"/>
      <c r="R421" s="206"/>
      <c r="S421" s="222"/>
      <c r="T421" s="207"/>
      <c r="U421" s="83"/>
    </row>
    <row r="422" spans="12:21" ht="13.5" customHeight="1">
      <c r="L422" s="82"/>
      <c r="M422" s="110">
        <v>397</v>
      </c>
      <c r="N422" s="223"/>
      <c r="O422" s="223"/>
      <c r="P422" s="223"/>
      <c r="Q422" s="205"/>
      <c r="R422" s="206"/>
      <c r="S422" s="222"/>
      <c r="T422" s="207"/>
      <c r="U422" s="83"/>
    </row>
    <row r="423" spans="12:21" ht="13.5" customHeight="1">
      <c r="L423" s="82"/>
      <c r="M423" s="110">
        <v>398</v>
      </c>
      <c r="N423" s="223"/>
      <c r="O423" s="223"/>
      <c r="P423" s="223"/>
      <c r="Q423" s="205"/>
      <c r="R423" s="206"/>
      <c r="S423" s="222"/>
      <c r="T423" s="207"/>
      <c r="U423" s="83"/>
    </row>
    <row r="424" spans="12:21" ht="13.5" customHeight="1">
      <c r="L424" s="82"/>
      <c r="M424" s="110">
        <v>399</v>
      </c>
      <c r="N424" s="223"/>
      <c r="O424" s="223"/>
      <c r="P424" s="223"/>
      <c r="Q424" s="205"/>
      <c r="R424" s="206"/>
      <c r="S424" s="222"/>
      <c r="T424" s="207"/>
      <c r="U424" s="83"/>
    </row>
    <row r="425" spans="12:21" ht="13.5" customHeight="1">
      <c r="L425" s="82"/>
      <c r="M425" s="110">
        <v>400</v>
      </c>
      <c r="N425" s="223"/>
      <c r="O425" s="223"/>
      <c r="P425" s="223"/>
      <c r="Q425" s="205"/>
      <c r="R425" s="206"/>
      <c r="S425" s="222"/>
      <c r="T425" s="207"/>
      <c r="U425" s="83"/>
    </row>
    <row r="426" spans="12:21" ht="13.5" customHeight="1">
      <c r="L426" s="82"/>
      <c r="M426" s="110">
        <v>401</v>
      </c>
      <c r="N426" s="223"/>
      <c r="O426" s="223"/>
      <c r="P426" s="223"/>
      <c r="Q426" s="205"/>
      <c r="R426" s="206"/>
      <c r="S426" s="222"/>
      <c r="T426" s="207"/>
      <c r="U426" s="83"/>
    </row>
    <row r="427" spans="12:21" ht="13.5" customHeight="1">
      <c r="L427" s="82"/>
      <c r="M427" s="110">
        <v>402</v>
      </c>
      <c r="N427" s="223"/>
      <c r="O427" s="223"/>
      <c r="P427" s="223"/>
      <c r="Q427" s="205"/>
      <c r="R427" s="206"/>
      <c r="S427" s="222"/>
      <c r="T427" s="207"/>
      <c r="U427" s="83"/>
    </row>
    <row r="428" spans="12:21" ht="13.5" customHeight="1">
      <c r="L428" s="82"/>
      <c r="M428" s="110">
        <v>403</v>
      </c>
      <c r="N428" s="223"/>
      <c r="O428" s="223"/>
      <c r="P428" s="223"/>
      <c r="Q428" s="205"/>
      <c r="R428" s="206"/>
      <c r="S428" s="222"/>
      <c r="T428" s="207"/>
      <c r="U428" s="83"/>
    </row>
    <row r="429" spans="12:21" ht="13.5" customHeight="1">
      <c r="L429" s="82"/>
      <c r="M429" s="110">
        <v>404</v>
      </c>
      <c r="N429" s="223"/>
      <c r="O429" s="223"/>
      <c r="P429" s="223"/>
      <c r="Q429" s="205"/>
      <c r="R429" s="206"/>
      <c r="S429" s="222"/>
      <c r="T429" s="207"/>
      <c r="U429" s="83"/>
    </row>
    <row r="430" spans="12:21" ht="13.5" customHeight="1">
      <c r="L430" s="82"/>
      <c r="M430" s="110">
        <v>405</v>
      </c>
      <c r="N430" s="223"/>
      <c r="O430" s="223"/>
      <c r="P430" s="223"/>
      <c r="Q430" s="205"/>
      <c r="R430" s="206"/>
      <c r="S430" s="222"/>
      <c r="T430" s="207"/>
      <c r="U430" s="83"/>
    </row>
    <row r="431" spans="12:21" ht="13.5" customHeight="1">
      <c r="L431" s="82"/>
      <c r="M431" s="110">
        <v>406</v>
      </c>
      <c r="N431" s="223"/>
      <c r="O431" s="223"/>
      <c r="P431" s="223"/>
      <c r="Q431" s="205"/>
      <c r="R431" s="206"/>
      <c r="S431" s="222"/>
      <c r="T431" s="207"/>
      <c r="U431" s="83"/>
    </row>
    <row r="432" spans="12:21" ht="13.5" customHeight="1">
      <c r="L432" s="82"/>
      <c r="M432" s="110">
        <v>407</v>
      </c>
      <c r="N432" s="223"/>
      <c r="O432" s="223"/>
      <c r="P432" s="223"/>
      <c r="Q432" s="205"/>
      <c r="R432" s="206"/>
      <c r="S432" s="222"/>
      <c r="T432" s="207"/>
      <c r="U432" s="83"/>
    </row>
    <row r="433" spans="12:21" ht="13.5" customHeight="1">
      <c r="L433" s="82"/>
      <c r="M433" s="110">
        <v>408</v>
      </c>
      <c r="N433" s="223"/>
      <c r="O433" s="223"/>
      <c r="P433" s="223"/>
      <c r="Q433" s="205"/>
      <c r="R433" s="206"/>
      <c r="S433" s="222"/>
      <c r="T433" s="207"/>
      <c r="U433" s="83"/>
    </row>
    <row r="434" spans="12:21" ht="13.5" customHeight="1">
      <c r="L434" s="82"/>
      <c r="M434" s="110">
        <v>409</v>
      </c>
      <c r="N434" s="223"/>
      <c r="O434" s="223"/>
      <c r="P434" s="223"/>
      <c r="Q434" s="205"/>
      <c r="R434" s="206"/>
      <c r="S434" s="222"/>
      <c r="T434" s="207"/>
      <c r="U434" s="83"/>
    </row>
    <row r="435" spans="12:21" ht="13.5" customHeight="1">
      <c r="L435" s="82"/>
      <c r="M435" s="110">
        <v>410</v>
      </c>
      <c r="N435" s="223"/>
      <c r="O435" s="223"/>
      <c r="P435" s="223"/>
      <c r="Q435" s="205"/>
      <c r="R435" s="206"/>
      <c r="S435" s="222"/>
      <c r="T435" s="207"/>
      <c r="U435" s="83"/>
    </row>
    <row r="436" spans="12:21" ht="13.5" customHeight="1">
      <c r="L436" s="82"/>
      <c r="M436" s="110">
        <v>411</v>
      </c>
      <c r="N436" s="223"/>
      <c r="O436" s="223"/>
      <c r="P436" s="223"/>
      <c r="Q436" s="205"/>
      <c r="R436" s="206"/>
      <c r="S436" s="222"/>
      <c r="T436" s="207"/>
      <c r="U436" s="83"/>
    </row>
    <row r="437" spans="12:21" ht="13.5" customHeight="1">
      <c r="L437" s="82"/>
      <c r="M437" s="110">
        <v>412</v>
      </c>
      <c r="N437" s="223"/>
      <c r="O437" s="223"/>
      <c r="P437" s="223"/>
      <c r="Q437" s="205"/>
      <c r="R437" s="206"/>
      <c r="S437" s="222"/>
      <c r="T437" s="207"/>
      <c r="U437" s="83"/>
    </row>
    <row r="438" spans="12:21" ht="13.5" customHeight="1">
      <c r="L438" s="82"/>
      <c r="M438" s="110">
        <v>413</v>
      </c>
      <c r="N438" s="223"/>
      <c r="O438" s="223"/>
      <c r="P438" s="223"/>
      <c r="Q438" s="205"/>
      <c r="R438" s="206"/>
      <c r="S438" s="222"/>
      <c r="T438" s="207"/>
      <c r="U438" s="83"/>
    </row>
    <row r="439" spans="12:21" ht="13.5" customHeight="1">
      <c r="L439" s="82"/>
      <c r="M439" s="110">
        <v>414</v>
      </c>
      <c r="N439" s="223"/>
      <c r="O439" s="223"/>
      <c r="P439" s="223"/>
      <c r="Q439" s="205"/>
      <c r="R439" s="206"/>
      <c r="S439" s="222"/>
      <c r="T439" s="207"/>
      <c r="U439" s="83"/>
    </row>
    <row r="440" spans="12:21" ht="13.5" customHeight="1">
      <c r="L440" s="82"/>
      <c r="M440" s="110">
        <v>415</v>
      </c>
      <c r="N440" s="223"/>
      <c r="O440" s="223"/>
      <c r="P440" s="223"/>
      <c r="Q440" s="205"/>
      <c r="R440" s="206"/>
      <c r="S440" s="222"/>
      <c r="T440" s="207"/>
      <c r="U440" s="83"/>
    </row>
    <row r="441" spans="12:21" ht="13.5" customHeight="1">
      <c r="L441" s="82"/>
      <c r="M441" s="110">
        <v>416</v>
      </c>
      <c r="N441" s="223"/>
      <c r="O441" s="223"/>
      <c r="P441" s="223"/>
      <c r="Q441" s="205"/>
      <c r="R441" s="206"/>
      <c r="S441" s="222"/>
      <c r="T441" s="207"/>
      <c r="U441" s="83"/>
    </row>
    <row r="442" spans="12:21" ht="13.5" customHeight="1">
      <c r="L442" s="82"/>
      <c r="M442" s="110">
        <v>417</v>
      </c>
      <c r="N442" s="223"/>
      <c r="O442" s="223"/>
      <c r="P442" s="223"/>
      <c r="Q442" s="205"/>
      <c r="R442" s="206"/>
      <c r="S442" s="222"/>
      <c r="T442" s="207"/>
      <c r="U442" s="83"/>
    </row>
    <row r="443" spans="12:21" ht="13.5" customHeight="1">
      <c r="L443" s="82"/>
      <c r="M443" s="110">
        <v>418</v>
      </c>
      <c r="N443" s="223"/>
      <c r="O443" s="223"/>
      <c r="P443" s="223"/>
      <c r="Q443" s="205"/>
      <c r="R443" s="206"/>
      <c r="S443" s="222"/>
      <c r="T443" s="207"/>
      <c r="U443" s="83"/>
    </row>
    <row r="444" spans="12:21" ht="13.5" customHeight="1">
      <c r="L444" s="82"/>
      <c r="M444" s="110">
        <v>419</v>
      </c>
      <c r="N444" s="223"/>
      <c r="O444" s="223"/>
      <c r="P444" s="223"/>
      <c r="Q444" s="205"/>
      <c r="R444" s="206"/>
      <c r="S444" s="222"/>
      <c r="T444" s="207"/>
      <c r="U444" s="83"/>
    </row>
    <row r="445" spans="12:21" ht="13.5" customHeight="1">
      <c r="L445" s="82"/>
      <c r="M445" s="110">
        <v>420</v>
      </c>
      <c r="N445" s="223"/>
      <c r="O445" s="223"/>
      <c r="P445" s="223"/>
      <c r="Q445" s="205"/>
      <c r="R445" s="206"/>
      <c r="S445" s="222"/>
      <c r="T445" s="207"/>
      <c r="U445" s="83"/>
    </row>
    <row r="446" spans="12:21" ht="13.5" customHeight="1">
      <c r="L446" s="82"/>
      <c r="M446" s="110">
        <v>421</v>
      </c>
      <c r="N446" s="223"/>
      <c r="O446" s="223"/>
      <c r="P446" s="223"/>
      <c r="Q446" s="205"/>
      <c r="R446" s="206"/>
      <c r="S446" s="222"/>
      <c r="T446" s="207"/>
      <c r="U446" s="83"/>
    </row>
    <row r="447" spans="12:21" ht="13.5" customHeight="1">
      <c r="L447" s="82"/>
      <c r="M447" s="110">
        <v>422</v>
      </c>
      <c r="N447" s="223"/>
      <c r="O447" s="223"/>
      <c r="P447" s="223"/>
      <c r="Q447" s="205"/>
      <c r="R447" s="206"/>
      <c r="S447" s="222"/>
      <c r="T447" s="207"/>
      <c r="U447" s="83"/>
    </row>
    <row r="448" spans="12:21" ht="13.5" customHeight="1">
      <c r="L448" s="82"/>
      <c r="M448" s="110">
        <v>423</v>
      </c>
      <c r="N448" s="223"/>
      <c r="O448" s="223"/>
      <c r="P448" s="223"/>
      <c r="Q448" s="205"/>
      <c r="R448" s="206"/>
      <c r="S448" s="222"/>
      <c r="T448" s="207"/>
      <c r="U448" s="83"/>
    </row>
    <row r="449" spans="12:21" ht="13.5" customHeight="1">
      <c r="L449" s="82"/>
      <c r="M449" s="110">
        <v>424</v>
      </c>
      <c r="N449" s="223"/>
      <c r="O449" s="223"/>
      <c r="P449" s="223"/>
      <c r="Q449" s="205"/>
      <c r="R449" s="206"/>
      <c r="S449" s="222"/>
      <c r="T449" s="207"/>
      <c r="U449" s="83"/>
    </row>
    <row r="450" spans="12:21" ht="13.5" customHeight="1">
      <c r="L450" s="82"/>
      <c r="M450" s="110">
        <v>425</v>
      </c>
      <c r="N450" s="223"/>
      <c r="O450" s="223"/>
      <c r="P450" s="223"/>
      <c r="Q450" s="205"/>
      <c r="R450" s="206"/>
      <c r="S450" s="222"/>
      <c r="T450" s="207"/>
      <c r="U450" s="83"/>
    </row>
    <row r="451" spans="12:21" ht="13.5" customHeight="1">
      <c r="L451" s="82"/>
      <c r="M451" s="110">
        <v>426</v>
      </c>
      <c r="N451" s="223"/>
      <c r="O451" s="223"/>
      <c r="P451" s="223"/>
      <c r="Q451" s="205"/>
      <c r="R451" s="206"/>
      <c r="S451" s="222"/>
      <c r="T451" s="207"/>
      <c r="U451" s="83"/>
    </row>
    <row r="452" spans="12:21" ht="13.5" customHeight="1">
      <c r="L452" s="82"/>
      <c r="M452" s="110">
        <v>427</v>
      </c>
      <c r="N452" s="223"/>
      <c r="O452" s="223"/>
      <c r="P452" s="223"/>
      <c r="Q452" s="205"/>
      <c r="R452" s="206"/>
      <c r="S452" s="222"/>
      <c r="T452" s="207"/>
      <c r="U452" s="83"/>
    </row>
    <row r="453" spans="12:21" ht="13.5" customHeight="1">
      <c r="L453" s="82"/>
      <c r="M453" s="110">
        <v>428</v>
      </c>
      <c r="N453" s="223"/>
      <c r="O453" s="223"/>
      <c r="P453" s="223"/>
      <c r="Q453" s="205"/>
      <c r="R453" s="206"/>
      <c r="S453" s="222"/>
      <c r="T453" s="207"/>
      <c r="U453" s="83"/>
    </row>
    <row r="454" spans="12:21" ht="13.5" customHeight="1">
      <c r="L454" s="82"/>
      <c r="M454" s="110">
        <v>429</v>
      </c>
      <c r="N454" s="223"/>
      <c r="O454" s="223"/>
      <c r="P454" s="223"/>
      <c r="Q454" s="205"/>
      <c r="R454" s="206"/>
      <c r="S454" s="222"/>
      <c r="T454" s="207"/>
      <c r="U454" s="83"/>
    </row>
    <row r="455" spans="12:21" ht="13.5" customHeight="1">
      <c r="L455" s="82"/>
      <c r="M455" s="110">
        <v>430</v>
      </c>
      <c r="N455" s="223"/>
      <c r="O455" s="223"/>
      <c r="P455" s="223"/>
      <c r="Q455" s="205"/>
      <c r="R455" s="206"/>
      <c r="S455" s="222"/>
      <c r="T455" s="207"/>
      <c r="U455" s="83"/>
    </row>
    <row r="456" spans="12:21" ht="13.5" customHeight="1">
      <c r="L456" s="82"/>
      <c r="M456" s="110">
        <v>431</v>
      </c>
      <c r="N456" s="223"/>
      <c r="O456" s="223"/>
      <c r="P456" s="223"/>
      <c r="Q456" s="205"/>
      <c r="R456" s="206"/>
      <c r="S456" s="222"/>
      <c r="T456" s="207"/>
      <c r="U456" s="83"/>
    </row>
    <row r="457" spans="12:21" ht="13.5" customHeight="1">
      <c r="L457" s="82"/>
      <c r="M457" s="110">
        <v>432</v>
      </c>
      <c r="N457" s="223"/>
      <c r="O457" s="223"/>
      <c r="P457" s="223"/>
      <c r="Q457" s="205"/>
      <c r="R457" s="206"/>
      <c r="S457" s="222"/>
      <c r="T457" s="207"/>
      <c r="U457" s="83"/>
    </row>
    <row r="458" spans="12:21" ht="13.5" customHeight="1">
      <c r="L458" s="82"/>
      <c r="M458" s="110">
        <v>433</v>
      </c>
      <c r="N458" s="223"/>
      <c r="O458" s="223"/>
      <c r="P458" s="223"/>
      <c r="Q458" s="205"/>
      <c r="R458" s="206"/>
      <c r="S458" s="222"/>
      <c r="T458" s="207"/>
      <c r="U458" s="83"/>
    </row>
    <row r="459" spans="12:21" ht="13.5" customHeight="1">
      <c r="L459" s="82"/>
      <c r="M459" s="110">
        <v>434</v>
      </c>
      <c r="N459" s="223"/>
      <c r="O459" s="223"/>
      <c r="P459" s="223"/>
      <c r="Q459" s="205"/>
      <c r="R459" s="206"/>
      <c r="S459" s="222"/>
      <c r="T459" s="207"/>
      <c r="U459" s="83"/>
    </row>
    <row r="460" spans="12:21" ht="13.5" customHeight="1">
      <c r="L460" s="82"/>
      <c r="M460" s="110">
        <v>435</v>
      </c>
      <c r="N460" s="223"/>
      <c r="O460" s="223"/>
      <c r="P460" s="223"/>
      <c r="Q460" s="205"/>
      <c r="R460" s="206"/>
      <c r="S460" s="222"/>
      <c r="T460" s="207"/>
      <c r="U460" s="83"/>
    </row>
    <row r="461" spans="12:21" ht="13.5" customHeight="1">
      <c r="L461" s="82"/>
      <c r="M461" s="110">
        <v>436</v>
      </c>
      <c r="N461" s="223"/>
      <c r="O461" s="223"/>
      <c r="P461" s="223"/>
      <c r="Q461" s="205"/>
      <c r="R461" s="206"/>
      <c r="S461" s="222"/>
      <c r="T461" s="207"/>
      <c r="U461" s="83"/>
    </row>
    <row r="462" spans="12:21" ht="13.5" customHeight="1">
      <c r="L462" s="82"/>
      <c r="M462" s="110">
        <v>437</v>
      </c>
      <c r="N462" s="223"/>
      <c r="O462" s="223"/>
      <c r="P462" s="223"/>
      <c r="Q462" s="205"/>
      <c r="R462" s="206"/>
      <c r="S462" s="222"/>
      <c r="T462" s="207"/>
      <c r="U462" s="83"/>
    </row>
    <row r="463" spans="12:21" ht="13.5" customHeight="1">
      <c r="L463" s="82"/>
      <c r="M463" s="110">
        <v>438</v>
      </c>
      <c r="N463" s="223"/>
      <c r="O463" s="223"/>
      <c r="P463" s="223"/>
      <c r="Q463" s="205"/>
      <c r="R463" s="206"/>
      <c r="S463" s="222"/>
      <c r="T463" s="207"/>
      <c r="U463" s="83"/>
    </row>
    <row r="464" spans="12:21" ht="13.5" customHeight="1">
      <c r="L464" s="82"/>
      <c r="M464" s="110">
        <v>439</v>
      </c>
      <c r="N464" s="223"/>
      <c r="O464" s="223"/>
      <c r="P464" s="223"/>
      <c r="Q464" s="205"/>
      <c r="R464" s="206"/>
      <c r="S464" s="222"/>
      <c r="T464" s="207"/>
      <c r="U464" s="83"/>
    </row>
    <row r="465" spans="12:21" ht="13.5" customHeight="1">
      <c r="L465" s="82"/>
      <c r="M465" s="110">
        <v>440</v>
      </c>
      <c r="N465" s="223"/>
      <c r="O465" s="223"/>
      <c r="P465" s="223"/>
      <c r="Q465" s="205"/>
      <c r="R465" s="206"/>
      <c r="S465" s="222"/>
      <c r="T465" s="207"/>
      <c r="U465" s="83"/>
    </row>
    <row r="466" spans="12:21" ht="13.5" customHeight="1">
      <c r="L466" s="82"/>
      <c r="M466" s="110">
        <v>441</v>
      </c>
      <c r="N466" s="223"/>
      <c r="O466" s="223"/>
      <c r="P466" s="223"/>
      <c r="Q466" s="205"/>
      <c r="R466" s="206"/>
      <c r="S466" s="222"/>
      <c r="T466" s="207"/>
      <c r="U466" s="83"/>
    </row>
    <row r="467" spans="12:21" ht="13.5" customHeight="1">
      <c r="L467" s="82"/>
      <c r="M467" s="110">
        <v>442</v>
      </c>
      <c r="N467" s="223"/>
      <c r="O467" s="223"/>
      <c r="P467" s="223"/>
      <c r="Q467" s="205"/>
      <c r="R467" s="206"/>
      <c r="S467" s="222"/>
      <c r="T467" s="207"/>
      <c r="U467" s="83"/>
    </row>
    <row r="468" spans="12:21" ht="13.5" customHeight="1">
      <c r="L468" s="82"/>
      <c r="M468" s="110">
        <v>443</v>
      </c>
      <c r="N468" s="223"/>
      <c r="O468" s="223"/>
      <c r="P468" s="223"/>
      <c r="Q468" s="205"/>
      <c r="R468" s="206"/>
      <c r="S468" s="222"/>
      <c r="T468" s="207"/>
      <c r="U468" s="83"/>
    </row>
    <row r="469" spans="12:21" ht="13.5" customHeight="1">
      <c r="L469" s="82"/>
      <c r="M469" s="110">
        <v>444</v>
      </c>
      <c r="N469" s="223"/>
      <c r="O469" s="223"/>
      <c r="P469" s="223"/>
      <c r="Q469" s="205"/>
      <c r="R469" s="206"/>
      <c r="S469" s="222"/>
      <c r="T469" s="207"/>
      <c r="U469" s="83"/>
    </row>
    <row r="470" spans="12:21" ht="13.5" customHeight="1">
      <c r="L470" s="82"/>
      <c r="M470" s="110">
        <v>445</v>
      </c>
      <c r="N470" s="223"/>
      <c r="O470" s="223"/>
      <c r="P470" s="223"/>
      <c r="Q470" s="205"/>
      <c r="R470" s="206"/>
      <c r="S470" s="222"/>
      <c r="T470" s="207"/>
      <c r="U470" s="83"/>
    </row>
    <row r="471" spans="12:21" ht="13.5" customHeight="1">
      <c r="L471" s="82"/>
      <c r="M471" s="110">
        <v>446</v>
      </c>
      <c r="N471" s="223"/>
      <c r="O471" s="223"/>
      <c r="P471" s="223"/>
      <c r="Q471" s="205"/>
      <c r="R471" s="206"/>
      <c r="S471" s="222"/>
      <c r="T471" s="207"/>
      <c r="U471" s="83"/>
    </row>
    <row r="472" spans="12:21" ht="13.5" customHeight="1">
      <c r="L472" s="82"/>
      <c r="M472" s="110">
        <v>447</v>
      </c>
      <c r="N472" s="223"/>
      <c r="O472" s="223"/>
      <c r="P472" s="223"/>
      <c r="Q472" s="205"/>
      <c r="R472" s="206"/>
      <c r="S472" s="222"/>
      <c r="T472" s="207"/>
      <c r="U472" s="83"/>
    </row>
    <row r="473" spans="12:21" ht="13.5" customHeight="1">
      <c r="L473" s="82"/>
      <c r="M473" s="110">
        <v>448</v>
      </c>
      <c r="N473" s="223"/>
      <c r="O473" s="223"/>
      <c r="P473" s="223"/>
      <c r="Q473" s="205"/>
      <c r="R473" s="206"/>
      <c r="S473" s="222"/>
      <c r="T473" s="207"/>
      <c r="U473" s="83"/>
    </row>
    <row r="474" spans="12:21" ht="13.5" customHeight="1">
      <c r="L474" s="82"/>
      <c r="M474" s="110">
        <v>449</v>
      </c>
      <c r="N474" s="223"/>
      <c r="O474" s="223"/>
      <c r="P474" s="223"/>
      <c r="Q474" s="205"/>
      <c r="R474" s="206"/>
      <c r="S474" s="222"/>
      <c r="T474" s="207"/>
      <c r="U474" s="83"/>
    </row>
    <row r="475" spans="12:21" ht="13.5" customHeight="1">
      <c r="L475" s="82"/>
      <c r="M475" s="110">
        <v>450</v>
      </c>
      <c r="N475" s="223"/>
      <c r="O475" s="223"/>
      <c r="P475" s="223"/>
      <c r="Q475" s="205"/>
      <c r="R475" s="206"/>
      <c r="S475" s="222"/>
      <c r="T475" s="207"/>
      <c r="U475" s="83"/>
    </row>
    <row r="476" spans="12:21" ht="13.5" customHeight="1">
      <c r="L476" s="82"/>
      <c r="M476" s="110">
        <v>451</v>
      </c>
      <c r="N476" s="223"/>
      <c r="O476" s="223"/>
      <c r="P476" s="223"/>
      <c r="Q476" s="205"/>
      <c r="R476" s="206"/>
      <c r="S476" s="222"/>
      <c r="T476" s="207"/>
      <c r="U476" s="83"/>
    </row>
    <row r="477" spans="12:21" ht="13.5" customHeight="1">
      <c r="L477" s="82"/>
      <c r="M477" s="110">
        <v>452</v>
      </c>
      <c r="N477" s="223"/>
      <c r="O477" s="223"/>
      <c r="P477" s="223"/>
      <c r="Q477" s="205"/>
      <c r="R477" s="206"/>
      <c r="S477" s="222"/>
      <c r="T477" s="207"/>
      <c r="U477" s="83"/>
    </row>
    <row r="478" spans="12:21" ht="13.5" customHeight="1">
      <c r="L478" s="82"/>
      <c r="M478" s="110">
        <v>453</v>
      </c>
      <c r="N478" s="223"/>
      <c r="O478" s="223"/>
      <c r="P478" s="223"/>
      <c r="Q478" s="205"/>
      <c r="R478" s="206"/>
      <c r="S478" s="222"/>
      <c r="T478" s="207"/>
      <c r="U478" s="83"/>
    </row>
    <row r="479" spans="12:21" ht="13.5" customHeight="1">
      <c r="L479" s="82"/>
      <c r="M479" s="110">
        <v>454</v>
      </c>
      <c r="N479" s="223"/>
      <c r="O479" s="223"/>
      <c r="P479" s="223"/>
      <c r="Q479" s="205"/>
      <c r="R479" s="206"/>
      <c r="S479" s="222"/>
      <c r="T479" s="207"/>
      <c r="U479" s="83"/>
    </row>
    <row r="480" spans="12:21" ht="13.5" customHeight="1">
      <c r="L480" s="82"/>
      <c r="M480" s="110">
        <v>455</v>
      </c>
      <c r="N480" s="223"/>
      <c r="O480" s="223"/>
      <c r="P480" s="223"/>
      <c r="Q480" s="205"/>
      <c r="R480" s="206"/>
      <c r="S480" s="222"/>
      <c r="T480" s="207"/>
      <c r="U480" s="83"/>
    </row>
    <row r="481" spans="12:21" ht="13.5" customHeight="1">
      <c r="L481" s="82"/>
      <c r="M481" s="110">
        <v>456</v>
      </c>
      <c r="N481" s="223"/>
      <c r="O481" s="223"/>
      <c r="P481" s="223"/>
      <c r="Q481" s="205"/>
      <c r="R481" s="206"/>
      <c r="S481" s="222"/>
      <c r="T481" s="207"/>
      <c r="U481" s="83"/>
    </row>
    <row r="482" spans="12:21" ht="13.5" customHeight="1">
      <c r="L482" s="82"/>
      <c r="M482" s="110">
        <v>457</v>
      </c>
      <c r="N482" s="223"/>
      <c r="O482" s="223"/>
      <c r="P482" s="223"/>
      <c r="Q482" s="205"/>
      <c r="R482" s="206"/>
      <c r="S482" s="222"/>
      <c r="T482" s="207"/>
      <c r="U482" s="83"/>
    </row>
    <row r="483" spans="12:21" ht="13.5" customHeight="1">
      <c r="L483" s="82"/>
      <c r="M483" s="110">
        <v>458</v>
      </c>
      <c r="N483" s="223"/>
      <c r="O483" s="223"/>
      <c r="P483" s="223"/>
      <c r="Q483" s="205"/>
      <c r="R483" s="206"/>
      <c r="S483" s="222"/>
      <c r="T483" s="207"/>
      <c r="U483" s="83"/>
    </row>
    <row r="484" spans="12:21" ht="13.5" customHeight="1">
      <c r="L484" s="82"/>
      <c r="M484" s="110">
        <v>459</v>
      </c>
      <c r="N484" s="223"/>
      <c r="O484" s="223"/>
      <c r="P484" s="223"/>
      <c r="Q484" s="205"/>
      <c r="R484" s="206"/>
      <c r="S484" s="222"/>
      <c r="T484" s="207"/>
      <c r="U484" s="83"/>
    </row>
    <row r="485" spans="12:21" ht="13.5" customHeight="1">
      <c r="L485" s="82"/>
      <c r="M485" s="110">
        <v>460</v>
      </c>
      <c r="N485" s="223"/>
      <c r="O485" s="223"/>
      <c r="P485" s="223"/>
      <c r="Q485" s="205"/>
      <c r="R485" s="206"/>
      <c r="S485" s="222"/>
      <c r="T485" s="207"/>
      <c r="U485" s="83"/>
    </row>
    <row r="486" spans="12:21" ht="13.5" customHeight="1">
      <c r="L486" s="82"/>
      <c r="M486" s="110">
        <v>461</v>
      </c>
      <c r="N486" s="223"/>
      <c r="O486" s="223"/>
      <c r="P486" s="223"/>
      <c r="Q486" s="205"/>
      <c r="R486" s="206"/>
      <c r="S486" s="222"/>
      <c r="T486" s="207"/>
      <c r="U486" s="83"/>
    </row>
    <row r="487" spans="12:21" ht="13.5" customHeight="1">
      <c r="L487" s="82"/>
      <c r="M487" s="110">
        <v>462</v>
      </c>
      <c r="N487" s="223"/>
      <c r="O487" s="223"/>
      <c r="P487" s="223"/>
      <c r="Q487" s="205"/>
      <c r="R487" s="206"/>
      <c r="S487" s="222"/>
      <c r="T487" s="207"/>
      <c r="U487" s="83"/>
    </row>
    <row r="488" spans="12:21" ht="13.5" customHeight="1">
      <c r="L488" s="82"/>
      <c r="M488" s="110">
        <v>463</v>
      </c>
      <c r="N488" s="223"/>
      <c r="O488" s="223"/>
      <c r="P488" s="223"/>
      <c r="Q488" s="205"/>
      <c r="R488" s="206"/>
      <c r="S488" s="222"/>
      <c r="T488" s="207"/>
      <c r="U488" s="83"/>
    </row>
    <row r="489" spans="12:21" ht="13.5" customHeight="1">
      <c r="L489" s="82"/>
      <c r="M489" s="110">
        <v>464</v>
      </c>
      <c r="N489" s="223"/>
      <c r="O489" s="223"/>
      <c r="P489" s="223"/>
      <c r="Q489" s="205"/>
      <c r="R489" s="206"/>
      <c r="S489" s="222"/>
      <c r="T489" s="207"/>
      <c r="U489" s="83"/>
    </row>
    <row r="490" spans="12:21" ht="13.5" customHeight="1">
      <c r="L490" s="82"/>
      <c r="M490" s="110">
        <v>465</v>
      </c>
      <c r="N490" s="223"/>
      <c r="O490" s="223"/>
      <c r="P490" s="223"/>
      <c r="Q490" s="205"/>
      <c r="R490" s="206"/>
      <c r="S490" s="222"/>
      <c r="T490" s="207"/>
      <c r="U490" s="83"/>
    </row>
    <row r="491" spans="12:21" ht="13.5" customHeight="1">
      <c r="L491" s="82"/>
      <c r="M491" s="110">
        <v>466</v>
      </c>
      <c r="N491" s="223"/>
      <c r="O491" s="223"/>
      <c r="P491" s="223"/>
      <c r="Q491" s="205"/>
      <c r="R491" s="206"/>
      <c r="S491" s="222"/>
      <c r="T491" s="207"/>
      <c r="U491" s="83"/>
    </row>
    <row r="492" spans="12:21" ht="13.5" customHeight="1">
      <c r="L492" s="82"/>
      <c r="M492" s="110">
        <v>467</v>
      </c>
      <c r="N492" s="223"/>
      <c r="O492" s="223"/>
      <c r="P492" s="223"/>
      <c r="Q492" s="205"/>
      <c r="R492" s="206"/>
      <c r="S492" s="222"/>
      <c r="T492" s="207"/>
      <c r="U492" s="83"/>
    </row>
    <row r="493" spans="12:21" ht="13.5" customHeight="1">
      <c r="L493" s="82"/>
      <c r="M493" s="110">
        <v>468</v>
      </c>
      <c r="N493" s="223"/>
      <c r="O493" s="223"/>
      <c r="P493" s="223"/>
      <c r="Q493" s="205"/>
      <c r="R493" s="206"/>
      <c r="S493" s="222"/>
      <c r="T493" s="207"/>
      <c r="U493" s="83"/>
    </row>
    <row r="494" spans="12:21" ht="13.5" customHeight="1">
      <c r="L494" s="82"/>
      <c r="M494" s="110">
        <v>469</v>
      </c>
      <c r="N494" s="223"/>
      <c r="O494" s="223"/>
      <c r="P494" s="223"/>
      <c r="Q494" s="205"/>
      <c r="R494" s="206"/>
      <c r="S494" s="222"/>
      <c r="T494" s="207"/>
      <c r="U494" s="83"/>
    </row>
    <row r="495" spans="12:21" ht="13.5" customHeight="1">
      <c r="L495" s="82"/>
      <c r="M495" s="110">
        <v>470</v>
      </c>
      <c r="N495" s="223"/>
      <c r="O495" s="223"/>
      <c r="P495" s="223"/>
      <c r="Q495" s="205"/>
      <c r="R495" s="206"/>
      <c r="S495" s="222"/>
      <c r="T495" s="207"/>
      <c r="U495" s="83"/>
    </row>
    <row r="496" spans="12:21" ht="13.5" customHeight="1">
      <c r="L496" s="82"/>
      <c r="M496" s="110">
        <v>471</v>
      </c>
      <c r="N496" s="223"/>
      <c r="O496" s="223"/>
      <c r="P496" s="223"/>
      <c r="Q496" s="205"/>
      <c r="R496" s="206"/>
      <c r="S496" s="222"/>
      <c r="T496" s="207"/>
      <c r="U496" s="83"/>
    </row>
    <row r="497" spans="12:21" ht="13.5" customHeight="1">
      <c r="L497" s="82"/>
      <c r="M497" s="110">
        <v>472</v>
      </c>
      <c r="N497" s="223"/>
      <c r="O497" s="223"/>
      <c r="P497" s="223"/>
      <c r="Q497" s="205"/>
      <c r="R497" s="206"/>
      <c r="S497" s="222"/>
      <c r="T497" s="207"/>
      <c r="U497" s="83"/>
    </row>
    <row r="498" spans="12:21" ht="13.5" customHeight="1">
      <c r="L498" s="82"/>
      <c r="M498" s="110">
        <v>473</v>
      </c>
      <c r="N498" s="223"/>
      <c r="O498" s="223"/>
      <c r="P498" s="223"/>
      <c r="Q498" s="205"/>
      <c r="R498" s="206"/>
      <c r="S498" s="222"/>
      <c r="T498" s="207"/>
      <c r="U498" s="83"/>
    </row>
    <row r="499" spans="12:21" ht="13.5" customHeight="1">
      <c r="L499" s="82"/>
      <c r="M499" s="110">
        <v>474</v>
      </c>
      <c r="N499" s="223"/>
      <c r="O499" s="223"/>
      <c r="P499" s="223"/>
      <c r="Q499" s="205"/>
      <c r="R499" s="206"/>
      <c r="S499" s="222"/>
      <c r="T499" s="207"/>
      <c r="U499" s="83"/>
    </row>
    <row r="500" spans="12:21" ht="13.5" customHeight="1">
      <c r="L500" s="82"/>
      <c r="M500" s="110">
        <v>475</v>
      </c>
      <c r="N500" s="223"/>
      <c r="O500" s="223"/>
      <c r="P500" s="223"/>
      <c r="Q500" s="205"/>
      <c r="R500" s="206"/>
      <c r="S500" s="222"/>
      <c r="T500" s="207"/>
      <c r="U500" s="83"/>
    </row>
    <row r="501" spans="12:21" ht="13.5" customHeight="1">
      <c r="L501" s="82"/>
      <c r="M501" s="110">
        <v>476</v>
      </c>
      <c r="N501" s="223"/>
      <c r="O501" s="223"/>
      <c r="P501" s="223"/>
      <c r="Q501" s="205"/>
      <c r="R501" s="206"/>
      <c r="S501" s="222"/>
      <c r="T501" s="207"/>
      <c r="U501" s="83"/>
    </row>
    <row r="502" spans="12:21" ht="13.5" customHeight="1">
      <c r="L502" s="82"/>
      <c r="M502" s="110">
        <v>477</v>
      </c>
      <c r="N502" s="223"/>
      <c r="O502" s="223"/>
      <c r="P502" s="223"/>
      <c r="Q502" s="205"/>
      <c r="R502" s="206"/>
      <c r="S502" s="222"/>
      <c r="T502" s="207"/>
      <c r="U502" s="83"/>
    </row>
    <row r="503" spans="12:21" ht="13.5" customHeight="1">
      <c r="L503" s="82"/>
      <c r="M503" s="110">
        <v>478</v>
      </c>
      <c r="N503" s="223"/>
      <c r="O503" s="223"/>
      <c r="P503" s="223"/>
      <c r="Q503" s="205"/>
      <c r="R503" s="206"/>
      <c r="S503" s="222"/>
      <c r="T503" s="207"/>
      <c r="U503" s="83"/>
    </row>
    <row r="504" spans="12:21" ht="13.5" customHeight="1">
      <c r="L504" s="82"/>
      <c r="M504" s="110">
        <v>479</v>
      </c>
      <c r="N504" s="223"/>
      <c r="O504" s="223"/>
      <c r="P504" s="223"/>
      <c r="Q504" s="205"/>
      <c r="R504" s="206"/>
      <c r="S504" s="222"/>
      <c r="T504" s="207"/>
      <c r="U504" s="83"/>
    </row>
    <row r="505" spans="12:21" ht="13.5" customHeight="1">
      <c r="L505" s="82"/>
      <c r="M505" s="110">
        <v>480</v>
      </c>
      <c r="N505" s="223"/>
      <c r="O505" s="223"/>
      <c r="P505" s="223"/>
      <c r="Q505" s="205"/>
      <c r="R505" s="206"/>
      <c r="S505" s="222"/>
      <c r="T505" s="207"/>
      <c r="U505" s="83"/>
    </row>
    <row r="506" spans="12:21" ht="13.5" customHeight="1">
      <c r="L506" s="82"/>
      <c r="M506" s="110">
        <v>481</v>
      </c>
      <c r="N506" s="223"/>
      <c r="O506" s="223"/>
      <c r="P506" s="223"/>
      <c r="Q506" s="205"/>
      <c r="R506" s="206"/>
      <c r="S506" s="222"/>
      <c r="T506" s="207"/>
      <c r="U506" s="83"/>
    </row>
    <row r="507" spans="12:21" ht="13.5" customHeight="1">
      <c r="L507" s="82"/>
      <c r="M507" s="110">
        <v>482</v>
      </c>
      <c r="N507" s="223"/>
      <c r="O507" s="223"/>
      <c r="P507" s="223"/>
      <c r="Q507" s="205"/>
      <c r="R507" s="206"/>
      <c r="S507" s="222"/>
      <c r="T507" s="207"/>
      <c r="U507" s="83"/>
    </row>
    <row r="508" spans="12:21" ht="13.5" customHeight="1">
      <c r="L508" s="82"/>
      <c r="M508" s="110">
        <v>483</v>
      </c>
      <c r="N508" s="223"/>
      <c r="O508" s="223"/>
      <c r="P508" s="223"/>
      <c r="Q508" s="205"/>
      <c r="R508" s="206"/>
      <c r="S508" s="222"/>
      <c r="T508" s="207"/>
      <c r="U508" s="83"/>
    </row>
    <row r="509" spans="12:21" ht="13.5" customHeight="1">
      <c r="L509" s="82"/>
      <c r="M509" s="110">
        <v>484</v>
      </c>
      <c r="N509" s="223"/>
      <c r="O509" s="223"/>
      <c r="P509" s="223"/>
      <c r="Q509" s="205"/>
      <c r="R509" s="206"/>
      <c r="S509" s="222"/>
      <c r="T509" s="207"/>
      <c r="U509" s="83"/>
    </row>
    <row r="510" spans="12:21" ht="13.5" customHeight="1">
      <c r="L510" s="82"/>
      <c r="M510" s="110">
        <v>485</v>
      </c>
      <c r="N510" s="223"/>
      <c r="O510" s="223"/>
      <c r="P510" s="223"/>
      <c r="Q510" s="205"/>
      <c r="R510" s="206"/>
      <c r="S510" s="222"/>
      <c r="T510" s="207"/>
      <c r="U510" s="83"/>
    </row>
    <row r="511" spans="12:21" ht="13.5" customHeight="1">
      <c r="L511" s="82"/>
      <c r="M511" s="110">
        <v>486</v>
      </c>
      <c r="N511" s="223"/>
      <c r="O511" s="223"/>
      <c r="P511" s="223"/>
      <c r="Q511" s="205"/>
      <c r="R511" s="206"/>
      <c r="S511" s="222"/>
      <c r="T511" s="207"/>
      <c r="U511" s="83"/>
    </row>
    <row r="512" spans="12:21" ht="13.5" customHeight="1">
      <c r="L512" s="82"/>
      <c r="M512" s="110">
        <v>487</v>
      </c>
      <c r="N512" s="223"/>
      <c r="O512" s="223"/>
      <c r="P512" s="223"/>
      <c r="Q512" s="205"/>
      <c r="R512" s="206"/>
      <c r="S512" s="222"/>
      <c r="T512" s="207"/>
      <c r="U512" s="83"/>
    </row>
    <row r="513" spans="12:21" ht="13.5" customHeight="1">
      <c r="L513" s="82"/>
      <c r="M513" s="110">
        <v>488</v>
      </c>
      <c r="N513" s="223"/>
      <c r="O513" s="223"/>
      <c r="P513" s="223"/>
      <c r="Q513" s="205"/>
      <c r="R513" s="206"/>
      <c r="S513" s="222"/>
      <c r="T513" s="207"/>
      <c r="U513" s="83"/>
    </row>
    <row r="514" spans="12:21" ht="13.5" customHeight="1">
      <c r="L514" s="82"/>
      <c r="M514" s="110">
        <v>489</v>
      </c>
      <c r="N514" s="223"/>
      <c r="O514" s="223"/>
      <c r="P514" s="223"/>
      <c r="Q514" s="205"/>
      <c r="R514" s="206"/>
      <c r="S514" s="222"/>
      <c r="T514" s="207"/>
      <c r="U514" s="83"/>
    </row>
    <row r="515" spans="12:21" ht="13.5" customHeight="1">
      <c r="L515" s="82"/>
      <c r="M515" s="110">
        <v>490</v>
      </c>
      <c r="N515" s="223"/>
      <c r="O515" s="223"/>
      <c r="P515" s="223"/>
      <c r="Q515" s="205"/>
      <c r="R515" s="206"/>
      <c r="S515" s="222"/>
      <c r="T515" s="207"/>
      <c r="U515" s="83"/>
    </row>
    <row r="516" spans="12:21" ht="13.5" customHeight="1">
      <c r="L516" s="82"/>
      <c r="M516" s="110">
        <v>491</v>
      </c>
      <c r="N516" s="223"/>
      <c r="O516" s="223"/>
      <c r="P516" s="223"/>
      <c r="Q516" s="205"/>
      <c r="R516" s="206"/>
      <c r="S516" s="222"/>
      <c r="T516" s="207"/>
      <c r="U516" s="83"/>
    </row>
    <row r="517" spans="12:21" ht="13.5" customHeight="1">
      <c r="L517" s="82"/>
      <c r="M517" s="110">
        <v>492</v>
      </c>
      <c r="N517" s="223"/>
      <c r="O517" s="223"/>
      <c r="P517" s="223"/>
      <c r="Q517" s="205"/>
      <c r="R517" s="206"/>
      <c r="S517" s="222"/>
      <c r="T517" s="207"/>
      <c r="U517" s="83"/>
    </row>
    <row r="518" spans="12:21" ht="13.5" customHeight="1">
      <c r="L518" s="82"/>
      <c r="M518" s="110">
        <v>493</v>
      </c>
      <c r="N518" s="223"/>
      <c r="O518" s="223"/>
      <c r="P518" s="223"/>
      <c r="Q518" s="205"/>
      <c r="R518" s="206"/>
      <c r="S518" s="222"/>
      <c r="T518" s="207"/>
      <c r="U518" s="83"/>
    </row>
    <row r="519" spans="12:21" ht="13.5" customHeight="1">
      <c r="L519" s="82"/>
      <c r="M519" s="110">
        <v>494</v>
      </c>
      <c r="N519" s="223"/>
      <c r="O519" s="223"/>
      <c r="P519" s="223"/>
      <c r="Q519" s="205"/>
      <c r="R519" s="206"/>
      <c r="S519" s="222"/>
      <c r="T519" s="207"/>
      <c r="U519" s="83"/>
    </row>
    <row r="520" spans="12:21" ht="13.5" customHeight="1">
      <c r="L520" s="82"/>
      <c r="M520" s="110">
        <v>495</v>
      </c>
      <c r="N520" s="223"/>
      <c r="O520" s="223"/>
      <c r="P520" s="223"/>
      <c r="Q520" s="205"/>
      <c r="R520" s="206"/>
      <c r="S520" s="222"/>
      <c r="T520" s="207"/>
      <c r="U520" s="83"/>
    </row>
    <row r="521" spans="12:21" ht="13.5" customHeight="1">
      <c r="L521" s="82"/>
      <c r="M521" s="110">
        <v>496</v>
      </c>
      <c r="N521" s="223"/>
      <c r="O521" s="223"/>
      <c r="P521" s="223"/>
      <c r="Q521" s="205"/>
      <c r="R521" s="206"/>
      <c r="S521" s="222"/>
      <c r="T521" s="207"/>
      <c r="U521" s="83"/>
    </row>
    <row r="522" spans="12:21" ht="13.5" customHeight="1">
      <c r="L522" s="82"/>
      <c r="M522" s="110">
        <v>497</v>
      </c>
      <c r="N522" s="223"/>
      <c r="O522" s="223"/>
      <c r="P522" s="223"/>
      <c r="Q522" s="205"/>
      <c r="R522" s="206"/>
      <c r="S522" s="222"/>
      <c r="T522" s="207"/>
      <c r="U522" s="83"/>
    </row>
    <row r="523" spans="12:21" ht="13.5" customHeight="1">
      <c r="L523" s="82"/>
      <c r="M523" s="110">
        <v>498</v>
      </c>
      <c r="N523" s="223"/>
      <c r="O523" s="223"/>
      <c r="P523" s="223"/>
      <c r="Q523" s="205"/>
      <c r="R523" s="206"/>
      <c r="S523" s="222"/>
      <c r="T523" s="207"/>
      <c r="U523" s="83"/>
    </row>
    <row r="524" spans="12:21" ht="13.5" customHeight="1">
      <c r="L524" s="82"/>
      <c r="M524" s="110">
        <v>499</v>
      </c>
      <c r="N524" s="223"/>
      <c r="O524" s="223"/>
      <c r="P524" s="223"/>
      <c r="Q524" s="205"/>
      <c r="R524" s="206"/>
      <c r="S524" s="222"/>
      <c r="T524" s="207"/>
      <c r="U524" s="83"/>
    </row>
    <row r="525" spans="12:21" ht="13.5" customHeight="1">
      <c r="L525" s="82"/>
      <c r="M525" s="110">
        <v>500</v>
      </c>
      <c r="N525" s="223"/>
      <c r="O525" s="223"/>
      <c r="P525" s="223"/>
      <c r="Q525" s="205"/>
      <c r="R525" s="206"/>
      <c r="S525" s="222"/>
      <c r="T525" s="207"/>
      <c r="U525" s="83"/>
    </row>
    <row r="526" spans="12:21" ht="13.5" customHeight="1">
      <c r="L526" s="82"/>
      <c r="M526" s="110">
        <v>501</v>
      </c>
      <c r="N526" s="223"/>
      <c r="O526" s="223"/>
      <c r="P526" s="223"/>
      <c r="Q526" s="205"/>
      <c r="R526" s="206"/>
      <c r="S526" s="222"/>
      <c r="T526" s="207"/>
      <c r="U526" s="83"/>
    </row>
    <row r="527" spans="12:21" ht="13.5" customHeight="1">
      <c r="L527" s="82"/>
      <c r="M527" s="110">
        <v>502</v>
      </c>
      <c r="N527" s="223"/>
      <c r="O527" s="223"/>
      <c r="P527" s="223"/>
      <c r="Q527" s="205"/>
      <c r="R527" s="206"/>
      <c r="S527" s="222"/>
      <c r="T527" s="207"/>
      <c r="U527" s="83"/>
    </row>
    <row r="528" spans="12:21" ht="13.5" customHeight="1">
      <c r="L528" s="82"/>
      <c r="M528" s="110">
        <v>503</v>
      </c>
      <c r="N528" s="223"/>
      <c r="O528" s="223"/>
      <c r="P528" s="223"/>
      <c r="Q528" s="205"/>
      <c r="R528" s="206"/>
      <c r="S528" s="222"/>
      <c r="T528" s="207"/>
      <c r="U528" s="83"/>
    </row>
    <row r="529" spans="12:21" ht="13.5" customHeight="1">
      <c r="L529" s="82"/>
      <c r="M529" s="110">
        <v>504</v>
      </c>
      <c r="N529" s="223"/>
      <c r="O529" s="223"/>
      <c r="P529" s="223"/>
      <c r="Q529" s="205"/>
      <c r="R529" s="206"/>
      <c r="S529" s="222"/>
      <c r="T529" s="207"/>
      <c r="U529" s="83"/>
    </row>
    <row r="530" spans="12:21" ht="13.5" customHeight="1">
      <c r="L530" s="82"/>
      <c r="M530" s="110">
        <v>505</v>
      </c>
      <c r="N530" s="223"/>
      <c r="O530" s="223"/>
      <c r="P530" s="223"/>
      <c r="Q530" s="205"/>
      <c r="R530" s="206"/>
      <c r="S530" s="222"/>
      <c r="T530" s="207"/>
      <c r="U530" s="83"/>
    </row>
    <row r="531" spans="12:21" ht="13.5" customHeight="1">
      <c r="L531" s="82"/>
      <c r="M531" s="110">
        <v>506</v>
      </c>
      <c r="N531" s="223"/>
      <c r="O531" s="223"/>
      <c r="P531" s="223"/>
      <c r="Q531" s="205"/>
      <c r="R531" s="206"/>
      <c r="S531" s="222"/>
      <c r="T531" s="207"/>
      <c r="U531" s="83"/>
    </row>
    <row r="532" spans="12:21" ht="13.5" customHeight="1">
      <c r="L532" s="82"/>
      <c r="M532" s="110">
        <v>507</v>
      </c>
      <c r="N532" s="223"/>
      <c r="O532" s="223"/>
      <c r="P532" s="223"/>
      <c r="Q532" s="205"/>
      <c r="R532" s="206"/>
      <c r="S532" s="222"/>
      <c r="T532" s="207"/>
      <c r="U532" s="83"/>
    </row>
    <row r="533" spans="12:21" ht="13.5" customHeight="1">
      <c r="L533" s="82"/>
      <c r="M533" s="110">
        <v>508</v>
      </c>
      <c r="N533" s="223"/>
      <c r="O533" s="223"/>
      <c r="P533" s="223"/>
      <c r="Q533" s="205"/>
      <c r="R533" s="206"/>
      <c r="S533" s="222"/>
      <c r="T533" s="207"/>
      <c r="U533" s="83"/>
    </row>
    <row r="534" spans="12:21" ht="13.5" customHeight="1">
      <c r="L534" s="82"/>
      <c r="M534" s="110">
        <v>509</v>
      </c>
      <c r="N534" s="223"/>
      <c r="O534" s="223"/>
      <c r="P534" s="223"/>
      <c r="Q534" s="205"/>
      <c r="R534" s="206"/>
      <c r="S534" s="222"/>
      <c r="T534" s="207"/>
      <c r="U534" s="83"/>
    </row>
    <row r="535" spans="12:21" ht="13.5" customHeight="1">
      <c r="L535" s="82"/>
      <c r="M535" s="110">
        <v>510</v>
      </c>
      <c r="N535" s="223"/>
      <c r="O535" s="223"/>
      <c r="P535" s="223"/>
      <c r="Q535" s="205"/>
      <c r="R535" s="206"/>
      <c r="S535" s="222"/>
      <c r="T535" s="207"/>
      <c r="U535" s="83"/>
    </row>
    <row r="536" spans="12:21" ht="13.5" customHeight="1">
      <c r="L536" s="82"/>
      <c r="M536" s="110">
        <v>511</v>
      </c>
      <c r="N536" s="223"/>
      <c r="O536" s="223"/>
      <c r="P536" s="223"/>
      <c r="Q536" s="205"/>
      <c r="R536" s="206"/>
      <c r="S536" s="222"/>
      <c r="T536" s="207"/>
      <c r="U536" s="83"/>
    </row>
    <row r="537" spans="12:21" ht="13.5" customHeight="1">
      <c r="L537" s="82"/>
      <c r="M537" s="110">
        <v>512</v>
      </c>
      <c r="N537" s="223"/>
      <c r="O537" s="223"/>
      <c r="P537" s="223"/>
      <c r="Q537" s="205"/>
      <c r="R537" s="206"/>
      <c r="S537" s="222"/>
      <c r="T537" s="207"/>
      <c r="U537" s="83"/>
    </row>
    <row r="538" spans="12:21" ht="13.5" customHeight="1">
      <c r="L538" s="82"/>
      <c r="M538" s="110">
        <v>513</v>
      </c>
      <c r="N538" s="223"/>
      <c r="O538" s="223"/>
      <c r="P538" s="223"/>
      <c r="Q538" s="205"/>
      <c r="R538" s="206"/>
      <c r="S538" s="222"/>
      <c r="T538" s="207"/>
      <c r="U538" s="83"/>
    </row>
    <row r="539" spans="12:21" ht="13.5" customHeight="1">
      <c r="L539" s="82"/>
      <c r="M539" s="110">
        <v>514</v>
      </c>
      <c r="N539" s="223"/>
      <c r="O539" s="223"/>
      <c r="P539" s="223"/>
      <c r="Q539" s="205"/>
      <c r="R539" s="206"/>
      <c r="S539" s="222"/>
      <c r="T539" s="207"/>
      <c r="U539" s="83"/>
    </row>
    <row r="540" spans="12:21" ht="13.5" customHeight="1">
      <c r="L540" s="82"/>
      <c r="M540" s="110">
        <v>515</v>
      </c>
      <c r="N540" s="223"/>
      <c r="O540" s="223"/>
      <c r="P540" s="223"/>
      <c r="Q540" s="205"/>
      <c r="R540" s="206"/>
      <c r="S540" s="222"/>
      <c r="T540" s="207"/>
      <c r="U540" s="83"/>
    </row>
    <row r="541" spans="12:21" ht="13.5" customHeight="1">
      <c r="L541" s="82"/>
      <c r="M541" s="110">
        <v>516</v>
      </c>
      <c r="N541" s="223"/>
      <c r="O541" s="223"/>
      <c r="P541" s="223"/>
      <c r="Q541" s="205"/>
      <c r="R541" s="206"/>
      <c r="S541" s="222"/>
      <c r="T541" s="207"/>
      <c r="U541" s="83"/>
    </row>
    <row r="542" spans="12:21" ht="13.5" customHeight="1">
      <c r="L542" s="82"/>
      <c r="M542" s="110">
        <v>517</v>
      </c>
      <c r="N542" s="223"/>
      <c r="O542" s="223"/>
      <c r="P542" s="223"/>
      <c r="Q542" s="205"/>
      <c r="R542" s="206"/>
      <c r="S542" s="222"/>
      <c r="T542" s="207"/>
      <c r="U542" s="83"/>
    </row>
    <row r="543" spans="12:21" ht="13.5" customHeight="1">
      <c r="L543" s="82"/>
      <c r="M543" s="110">
        <v>518</v>
      </c>
      <c r="N543" s="223"/>
      <c r="O543" s="223"/>
      <c r="P543" s="223"/>
      <c r="Q543" s="205"/>
      <c r="R543" s="206"/>
      <c r="S543" s="222"/>
      <c r="T543" s="207"/>
      <c r="U543" s="83"/>
    </row>
    <row r="544" spans="12:21" ht="13.5" customHeight="1">
      <c r="L544" s="82"/>
      <c r="M544" s="110">
        <v>519</v>
      </c>
      <c r="N544" s="223"/>
      <c r="O544" s="223"/>
      <c r="P544" s="223"/>
      <c r="Q544" s="205"/>
      <c r="R544" s="206"/>
      <c r="S544" s="222"/>
      <c r="T544" s="207"/>
      <c r="U544" s="83"/>
    </row>
    <row r="545" spans="12:21" ht="13.5" customHeight="1">
      <c r="L545" s="82"/>
      <c r="M545" s="110">
        <v>520</v>
      </c>
      <c r="N545" s="223"/>
      <c r="O545" s="223"/>
      <c r="P545" s="223"/>
      <c r="Q545" s="205"/>
      <c r="R545" s="206"/>
      <c r="S545" s="222"/>
      <c r="T545" s="207"/>
      <c r="U545" s="83"/>
    </row>
    <row r="546" spans="12:21" ht="13.5" customHeight="1">
      <c r="L546" s="82"/>
      <c r="M546" s="110">
        <v>521</v>
      </c>
      <c r="N546" s="223"/>
      <c r="O546" s="223"/>
      <c r="P546" s="223"/>
      <c r="Q546" s="205"/>
      <c r="R546" s="206"/>
      <c r="S546" s="222"/>
      <c r="T546" s="207"/>
      <c r="U546" s="83"/>
    </row>
    <row r="547" spans="12:21" ht="13.5" customHeight="1">
      <c r="L547" s="82"/>
      <c r="M547" s="110">
        <v>522</v>
      </c>
      <c r="N547" s="223"/>
      <c r="O547" s="223"/>
      <c r="P547" s="223"/>
      <c r="Q547" s="205"/>
      <c r="R547" s="206"/>
      <c r="S547" s="222"/>
      <c r="T547" s="207"/>
      <c r="U547" s="83"/>
    </row>
    <row r="548" spans="12:21" ht="13.5" customHeight="1">
      <c r="L548" s="82"/>
      <c r="M548" s="110">
        <v>523</v>
      </c>
      <c r="N548" s="223"/>
      <c r="O548" s="223"/>
      <c r="P548" s="223"/>
      <c r="Q548" s="205"/>
      <c r="R548" s="206"/>
      <c r="S548" s="222"/>
      <c r="T548" s="207"/>
      <c r="U548" s="83"/>
    </row>
    <row r="549" spans="12:21" ht="13.5" customHeight="1">
      <c r="L549" s="82"/>
      <c r="M549" s="110">
        <v>524</v>
      </c>
      <c r="N549" s="223"/>
      <c r="O549" s="223"/>
      <c r="P549" s="223"/>
      <c r="Q549" s="205"/>
      <c r="R549" s="206"/>
      <c r="S549" s="222"/>
      <c r="T549" s="207"/>
      <c r="U549" s="83"/>
    </row>
    <row r="550" spans="12:21" ht="13.5" customHeight="1">
      <c r="L550" s="82"/>
      <c r="M550" s="110">
        <v>525</v>
      </c>
      <c r="N550" s="223"/>
      <c r="O550" s="223"/>
      <c r="P550" s="223"/>
      <c r="Q550" s="205"/>
      <c r="R550" s="206"/>
      <c r="S550" s="222"/>
      <c r="T550" s="207"/>
      <c r="U550" s="83"/>
    </row>
    <row r="551" spans="12:21" ht="13.5" customHeight="1">
      <c r="L551" s="82"/>
      <c r="M551" s="110">
        <v>526</v>
      </c>
      <c r="N551" s="223"/>
      <c r="O551" s="223"/>
      <c r="P551" s="223"/>
      <c r="Q551" s="205"/>
      <c r="R551" s="206"/>
      <c r="S551" s="222"/>
      <c r="T551" s="207"/>
      <c r="U551" s="83"/>
    </row>
    <row r="552" spans="12:21" ht="13.5" customHeight="1">
      <c r="L552" s="82"/>
      <c r="M552" s="110">
        <v>527</v>
      </c>
      <c r="N552" s="223"/>
      <c r="O552" s="223"/>
      <c r="P552" s="223"/>
      <c r="Q552" s="205"/>
      <c r="R552" s="206"/>
      <c r="S552" s="222"/>
      <c r="T552" s="207"/>
      <c r="U552" s="83"/>
    </row>
    <row r="553" spans="12:21" ht="13.5" customHeight="1">
      <c r="L553" s="82"/>
      <c r="M553" s="110">
        <v>528</v>
      </c>
      <c r="N553" s="223"/>
      <c r="O553" s="223"/>
      <c r="P553" s="223"/>
      <c r="Q553" s="205"/>
      <c r="R553" s="206"/>
      <c r="S553" s="222"/>
      <c r="T553" s="207"/>
      <c r="U553" s="83"/>
    </row>
    <row r="554" spans="12:21" ht="13.5" customHeight="1">
      <c r="L554" s="82"/>
      <c r="M554" s="110">
        <v>529</v>
      </c>
      <c r="N554" s="223"/>
      <c r="O554" s="223"/>
      <c r="P554" s="223"/>
      <c r="Q554" s="205"/>
      <c r="R554" s="206"/>
      <c r="S554" s="222"/>
      <c r="T554" s="207"/>
      <c r="U554" s="83"/>
    </row>
    <row r="555" spans="12:21" ht="13.5" customHeight="1">
      <c r="L555" s="82"/>
      <c r="M555" s="110">
        <v>530</v>
      </c>
      <c r="N555" s="223"/>
      <c r="O555" s="223"/>
      <c r="P555" s="223"/>
      <c r="Q555" s="205"/>
      <c r="R555" s="206"/>
      <c r="S555" s="222"/>
      <c r="T555" s="207"/>
      <c r="U555" s="83"/>
    </row>
    <row r="556" spans="12:21" ht="13.5" customHeight="1">
      <c r="L556" s="82"/>
      <c r="M556" s="110">
        <v>531</v>
      </c>
      <c r="N556" s="223"/>
      <c r="O556" s="223"/>
      <c r="P556" s="223"/>
      <c r="Q556" s="205"/>
      <c r="R556" s="206"/>
      <c r="S556" s="222"/>
      <c r="T556" s="207"/>
      <c r="U556" s="83"/>
    </row>
    <row r="557" spans="12:21" ht="13.5" customHeight="1">
      <c r="L557" s="82"/>
      <c r="M557" s="110">
        <v>532</v>
      </c>
      <c r="N557" s="223"/>
      <c r="O557" s="223"/>
      <c r="P557" s="223"/>
      <c r="Q557" s="205"/>
      <c r="R557" s="206"/>
      <c r="S557" s="222"/>
      <c r="T557" s="207"/>
      <c r="U557" s="83"/>
    </row>
    <row r="558" spans="12:21" ht="13.5" customHeight="1">
      <c r="L558" s="82"/>
      <c r="M558" s="110">
        <v>533</v>
      </c>
      <c r="N558" s="223"/>
      <c r="O558" s="223"/>
      <c r="P558" s="223"/>
      <c r="Q558" s="205"/>
      <c r="R558" s="206"/>
      <c r="S558" s="222"/>
      <c r="T558" s="207"/>
      <c r="U558" s="83"/>
    </row>
    <row r="559" spans="12:21" ht="13.5" customHeight="1">
      <c r="L559" s="82"/>
      <c r="M559" s="110">
        <v>534</v>
      </c>
      <c r="N559" s="223"/>
      <c r="O559" s="223"/>
      <c r="P559" s="223"/>
      <c r="Q559" s="205"/>
      <c r="R559" s="206"/>
      <c r="S559" s="222"/>
      <c r="T559" s="207"/>
      <c r="U559" s="83"/>
    </row>
    <row r="560" spans="12:21" ht="13.5" customHeight="1">
      <c r="L560" s="82"/>
      <c r="M560" s="110">
        <v>535</v>
      </c>
      <c r="N560" s="223"/>
      <c r="O560" s="223"/>
      <c r="P560" s="223"/>
      <c r="Q560" s="205"/>
      <c r="R560" s="206"/>
      <c r="S560" s="222"/>
      <c r="T560" s="207"/>
      <c r="U560" s="83"/>
    </row>
    <row r="561" spans="12:21" ht="13.5" customHeight="1">
      <c r="L561" s="82"/>
      <c r="M561" s="110">
        <v>536</v>
      </c>
      <c r="N561" s="223"/>
      <c r="O561" s="223"/>
      <c r="P561" s="223"/>
      <c r="Q561" s="205"/>
      <c r="R561" s="206"/>
      <c r="S561" s="222"/>
      <c r="T561" s="207"/>
      <c r="U561" s="83"/>
    </row>
    <row r="562" spans="12:21" ht="13.5" customHeight="1">
      <c r="L562" s="82"/>
      <c r="M562" s="110">
        <v>537</v>
      </c>
      <c r="N562" s="223"/>
      <c r="O562" s="223"/>
      <c r="P562" s="223"/>
      <c r="Q562" s="205"/>
      <c r="R562" s="206"/>
      <c r="S562" s="222"/>
      <c r="T562" s="207"/>
      <c r="U562" s="83"/>
    </row>
    <row r="563" spans="12:21" ht="13.5" customHeight="1">
      <c r="L563" s="82"/>
      <c r="M563" s="110">
        <v>538</v>
      </c>
      <c r="N563" s="223"/>
      <c r="O563" s="223"/>
      <c r="P563" s="223"/>
      <c r="Q563" s="205"/>
      <c r="R563" s="206"/>
      <c r="S563" s="222"/>
      <c r="T563" s="207"/>
      <c r="U563" s="83"/>
    </row>
    <row r="564" spans="12:21" ht="13.5" customHeight="1">
      <c r="L564" s="82"/>
      <c r="M564" s="110">
        <v>539</v>
      </c>
      <c r="N564" s="223"/>
      <c r="O564" s="223"/>
      <c r="P564" s="223"/>
      <c r="Q564" s="205"/>
      <c r="R564" s="206"/>
      <c r="S564" s="222"/>
      <c r="T564" s="207"/>
      <c r="U564" s="83"/>
    </row>
    <row r="565" spans="12:21" ht="13.5" customHeight="1">
      <c r="L565" s="82"/>
      <c r="M565" s="110">
        <v>540</v>
      </c>
      <c r="N565" s="223"/>
      <c r="O565" s="223"/>
      <c r="P565" s="223"/>
      <c r="Q565" s="205"/>
      <c r="R565" s="206"/>
      <c r="S565" s="222"/>
      <c r="T565" s="207"/>
      <c r="U565" s="83"/>
    </row>
    <row r="566" spans="12:21" ht="13.5" customHeight="1">
      <c r="L566" s="82"/>
      <c r="M566" s="110">
        <v>541</v>
      </c>
      <c r="N566" s="223"/>
      <c r="O566" s="223"/>
      <c r="P566" s="223"/>
      <c r="Q566" s="205"/>
      <c r="R566" s="206"/>
      <c r="S566" s="222"/>
      <c r="T566" s="207"/>
      <c r="U566" s="83"/>
    </row>
    <row r="567" spans="12:21" ht="13.5" customHeight="1">
      <c r="L567" s="82"/>
      <c r="M567" s="110">
        <v>542</v>
      </c>
      <c r="N567" s="223"/>
      <c r="O567" s="223"/>
      <c r="P567" s="223"/>
      <c r="Q567" s="205"/>
      <c r="R567" s="206"/>
      <c r="S567" s="222"/>
      <c r="T567" s="207"/>
      <c r="U567" s="83"/>
    </row>
    <row r="568" spans="12:21" ht="13.5" customHeight="1">
      <c r="L568" s="82"/>
      <c r="M568" s="110">
        <v>543</v>
      </c>
      <c r="N568" s="223"/>
      <c r="O568" s="223"/>
      <c r="P568" s="223"/>
      <c r="Q568" s="205"/>
      <c r="R568" s="206"/>
      <c r="S568" s="222"/>
      <c r="T568" s="207"/>
      <c r="U568" s="83"/>
    </row>
    <row r="569" spans="12:21" ht="13.5" customHeight="1">
      <c r="L569" s="82"/>
      <c r="M569" s="110">
        <v>544</v>
      </c>
      <c r="N569" s="223"/>
      <c r="O569" s="223"/>
      <c r="P569" s="223"/>
      <c r="Q569" s="205"/>
      <c r="R569" s="206"/>
      <c r="S569" s="222"/>
      <c r="T569" s="207"/>
      <c r="U569" s="83"/>
    </row>
    <row r="570" spans="12:21" ht="13.5" customHeight="1">
      <c r="L570" s="82"/>
      <c r="M570" s="110">
        <v>545</v>
      </c>
      <c r="N570" s="223"/>
      <c r="O570" s="223"/>
      <c r="P570" s="223"/>
      <c r="Q570" s="205"/>
      <c r="R570" s="206"/>
      <c r="S570" s="222"/>
      <c r="T570" s="207"/>
      <c r="U570" s="83"/>
    </row>
    <row r="571" spans="12:21" ht="13.5" customHeight="1">
      <c r="L571" s="82"/>
      <c r="M571" s="110">
        <v>546</v>
      </c>
      <c r="N571" s="223"/>
      <c r="O571" s="223"/>
      <c r="P571" s="223"/>
      <c r="Q571" s="205"/>
      <c r="R571" s="206"/>
      <c r="S571" s="222"/>
      <c r="T571" s="207"/>
      <c r="U571" s="83"/>
    </row>
    <row r="572" spans="12:21" ht="13.5" customHeight="1">
      <c r="L572" s="82"/>
      <c r="M572" s="110">
        <v>547</v>
      </c>
      <c r="N572" s="223"/>
      <c r="O572" s="223"/>
      <c r="P572" s="223"/>
      <c r="Q572" s="205"/>
      <c r="R572" s="206"/>
      <c r="S572" s="222"/>
      <c r="T572" s="207"/>
      <c r="U572" s="83"/>
    </row>
    <row r="573" spans="12:21" ht="13.5" customHeight="1">
      <c r="L573" s="82"/>
      <c r="M573" s="110">
        <v>548</v>
      </c>
      <c r="N573" s="223"/>
      <c r="O573" s="223"/>
      <c r="P573" s="223"/>
      <c r="Q573" s="205"/>
      <c r="R573" s="206"/>
      <c r="S573" s="222"/>
      <c r="T573" s="207"/>
      <c r="U573" s="83"/>
    </row>
    <row r="574" spans="12:21" ht="13.5" customHeight="1">
      <c r="L574" s="82"/>
      <c r="M574" s="110">
        <v>549</v>
      </c>
      <c r="N574" s="223"/>
      <c r="O574" s="223"/>
      <c r="P574" s="223"/>
      <c r="Q574" s="205"/>
      <c r="R574" s="206"/>
      <c r="S574" s="222"/>
      <c r="T574" s="207"/>
      <c r="U574" s="83"/>
    </row>
    <row r="575" spans="12:21" ht="13.5" customHeight="1">
      <c r="L575" s="82"/>
      <c r="M575" s="110">
        <v>550</v>
      </c>
      <c r="N575" s="223"/>
      <c r="O575" s="223"/>
      <c r="P575" s="223"/>
      <c r="Q575" s="205"/>
      <c r="R575" s="206"/>
      <c r="S575" s="222"/>
      <c r="T575" s="207"/>
      <c r="U575" s="83"/>
    </row>
    <row r="576" spans="12:21" ht="13.5" customHeight="1">
      <c r="L576" s="82"/>
      <c r="M576" s="110">
        <v>551</v>
      </c>
      <c r="N576" s="223"/>
      <c r="O576" s="223"/>
      <c r="P576" s="223"/>
      <c r="Q576" s="205"/>
      <c r="R576" s="206"/>
      <c r="S576" s="222"/>
      <c r="T576" s="207"/>
      <c r="U576" s="83"/>
    </row>
    <row r="577" spans="12:21" ht="13.5" customHeight="1">
      <c r="L577" s="82"/>
      <c r="M577" s="110">
        <v>552</v>
      </c>
      <c r="N577" s="223"/>
      <c r="O577" s="223"/>
      <c r="P577" s="223"/>
      <c r="Q577" s="205"/>
      <c r="R577" s="206"/>
      <c r="S577" s="222"/>
      <c r="T577" s="207"/>
      <c r="U577" s="83"/>
    </row>
    <row r="578" spans="12:21" ht="13.5" customHeight="1">
      <c r="L578" s="82"/>
      <c r="M578" s="110">
        <v>553</v>
      </c>
      <c r="N578" s="223"/>
      <c r="O578" s="223"/>
      <c r="P578" s="223"/>
      <c r="Q578" s="205"/>
      <c r="R578" s="206"/>
      <c r="S578" s="222"/>
      <c r="T578" s="207"/>
      <c r="U578" s="83"/>
    </row>
    <row r="579" spans="12:21" ht="13.5" customHeight="1">
      <c r="L579" s="82"/>
      <c r="M579" s="110">
        <v>554</v>
      </c>
      <c r="N579" s="223"/>
      <c r="O579" s="223"/>
      <c r="P579" s="223"/>
      <c r="Q579" s="205"/>
      <c r="R579" s="206"/>
      <c r="S579" s="222"/>
      <c r="T579" s="207"/>
      <c r="U579" s="83"/>
    </row>
    <row r="580" spans="12:21" ht="13.5" customHeight="1">
      <c r="L580" s="82"/>
      <c r="M580" s="110">
        <v>555</v>
      </c>
      <c r="N580" s="223"/>
      <c r="O580" s="223"/>
      <c r="P580" s="223"/>
      <c r="Q580" s="205"/>
      <c r="R580" s="206"/>
      <c r="S580" s="222"/>
      <c r="T580" s="207"/>
      <c r="U580" s="83"/>
    </row>
    <row r="581" spans="12:21" ht="13.5" customHeight="1">
      <c r="L581" s="82"/>
      <c r="M581" s="110">
        <v>556</v>
      </c>
      <c r="N581" s="223"/>
      <c r="O581" s="223"/>
      <c r="P581" s="223"/>
      <c r="Q581" s="205"/>
      <c r="R581" s="206"/>
      <c r="S581" s="222"/>
      <c r="T581" s="207"/>
      <c r="U581" s="83"/>
    </row>
    <row r="582" spans="12:21" ht="13.5" customHeight="1">
      <c r="L582" s="82"/>
      <c r="M582" s="110">
        <v>557</v>
      </c>
      <c r="N582" s="223"/>
      <c r="O582" s="223"/>
      <c r="P582" s="223"/>
      <c r="Q582" s="205"/>
      <c r="R582" s="206"/>
      <c r="S582" s="222"/>
      <c r="T582" s="207"/>
      <c r="U582" s="83"/>
    </row>
    <row r="583" spans="12:21" ht="13.5" customHeight="1">
      <c r="L583" s="82"/>
      <c r="M583" s="110">
        <v>558</v>
      </c>
      <c r="N583" s="223"/>
      <c r="O583" s="223"/>
      <c r="P583" s="223"/>
      <c r="Q583" s="205"/>
      <c r="R583" s="206"/>
      <c r="S583" s="222"/>
      <c r="T583" s="207"/>
      <c r="U583" s="83"/>
    </row>
    <row r="584" spans="12:21" ht="13.5" customHeight="1">
      <c r="L584" s="82"/>
      <c r="M584" s="110">
        <v>559</v>
      </c>
      <c r="N584" s="223"/>
      <c r="O584" s="223"/>
      <c r="P584" s="223"/>
      <c r="Q584" s="205"/>
      <c r="R584" s="206"/>
      <c r="S584" s="222"/>
      <c r="T584" s="207"/>
      <c r="U584" s="83"/>
    </row>
    <row r="585" spans="12:21" ht="13.5" customHeight="1">
      <c r="L585" s="82"/>
      <c r="M585" s="110">
        <v>560</v>
      </c>
      <c r="N585" s="223"/>
      <c r="O585" s="223"/>
      <c r="P585" s="223"/>
      <c r="Q585" s="205"/>
      <c r="R585" s="206"/>
      <c r="S585" s="222"/>
      <c r="T585" s="207"/>
      <c r="U585" s="83"/>
    </row>
    <row r="586" spans="12:21" ht="13.5" customHeight="1">
      <c r="L586" s="82"/>
      <c r="M586" s="110">
        <v>561</v>
      </c>
      <c r="N586" s="223"/>
      <c r="O586" s="223"/>
      <c r="P586" s="223"/>
      <c r="Q586" s="205"/>
      <c r="R586" s="206"/>
      <c r="S586" s="222"/>
      <c r="T586" s="207"/>
      <c r="U586" s="83"/>
    </row>
    <row r="587" spans="12:21" ht="13.5" customHeight="1">
      <c r="L587" s="82"/>
      <c r="M587" s="110">
        <v>562</v>
      </c>
      <c r="N587" s="223"/>
      <c r="O587" s="223"/>
      <c r="P587" s="223"/>
      <c r="Q587" s="205"/>
      <c r="R587" s="206"/>
      <c r="S587" s="222"/>
      <c r="T587" s="207"/>
      <c r="U587" s="83"/>
    </row>
    <row r="588" spans="12:21" ht="13.5" customHeight="1">
      <c r="L588" s="82"/>
      <c r="M588" s="110">
        <v>563</v>
      </c>
      <c r="N588" s="223"/>
      <c r="O588" s="223"/>
      <c r="P588" s="223"/>
      <c r="Q588" s="205"/>
      <c r="R588" s="206"/>
      <c r="S588" s="222"/>
      <c r="T588" s="207"/>
      <c r="U588" s="83"/>
    </row>
    <row r="589" spans="12:21" ht="13.5" customHeight="1">
      <c r="L589" s="82"/>
      <c r="M589" s="110">
        <v>564</v>
      </c>
      <c r="N589" s="223"/>
      <c r="O589" s="223"/>
      <c r="P589" s="223"/>
      <c r="Q589" s="205"/>
      <c r="R589" s="206"/>
      <c r="S589" s="222"/>
      <c r="T589" s="207"/>
      <c r="U589" s="83"/>
    </row>
    <row r="590" spans="12:21" ht="13.5" customHeight="1">
      <c r="L590" s="82"/>
      <c r="M590" s="110">
        <v>565</v>
      </c>
      <c r="N590" s="223"/>
      <c r="O590" s="223"/>
      <c r="P590" s="223"/>
      <c r="Q590" s="205"/>
      <c r="R590" s="206"/>
      <c r="S590" s="222"/>
      <c r="T590" s="207"/>
      <c r="U590" s="83"/>
    </row>
    <row r="591" spans="12:21" ht="13.5" customHeight="1">
      <c r="L591" s="82"/>
      <c r="M591" s="110">
        <v>566</v>
      </c>
      <c r="N591" s="223"/>
      <c r="O591" s="223"/>
      <c r="P591" s="223"/>
      <c r="Q591" s="205"/>
      <c r="R591" s="206"/>
      <c r="S591" s="222"/>
      <c r="T591" s="207"/>
      <c r="U591" s="83"/>
    </row>
    <row r="592" spans="12:21" ht="13.5" customHeight="1">
      <c r="L592" s="82"/>
      <c r="M592" s="110">
        <v>567</v>
      </c>
      <c r="N592" s="223"/>
      <c r="O592" s="223"/>
      <c r="P592" s="223"/>
      <c r="Q592" s="205"/>
      <c r="R592" s="206"/>
      <c r="S592" s="222"/>
      <c r="T592" s="207"/>
      <c r="U592" s="83"/>
    </row>
    <row r="593" spans="12:21" ht="13.5" customHeight="1">
      <c r="L593" s="82"/>
      <c r="M593" s="110">
        <v>568</v>
      </c>
      <c r="N593" s="223"/>
      <c r="O593" s="223"/>
      <c r="P593" s="223"/>
      <c r="Q593" s="205"/>
      <c r="R593" s="206"/>
      <c r="S593" s="222"/>
      <c r="T593" s="207"/>
      <c r="U593" s="83"/>
    </row>
    <row r="594" spans="12:21" ht="13.5" customHeight="1">
      <c r="L594" s="82"/>
      <c r="M594" s="110">
        <v>569</v>
      </c>
      <c r="N594" s="223"/>
      <c r="O594" s="223"/>
      <c r="P594" s="223"/>
      <c r="Q594" s="205"/>
      <c r="R594" s="206"/>
      <c r="S594" s="222"/>
      <c r="T594" s="207"/>
      <c r="U594" s="83"/>
    </row>
    <row r="595" spans="12:21" ht="13.5" customHeight="1">
      <c r="L595" s="82"/>
      <c r="M595" s="110">
        <v>570</v>
      </c>
      <c r="N595" s="223"/>
      <c r="O595" s="223"/>
      <c r="P595" s="223"/>
      <c r="Q595" s="205"/>
      <c r="R595" s="206"/>
      <c r="S595" s="222"/>
      <c r="T595" s="207"/>
      <c r="U595" s="83"/>
    </row>
    <row r="596" spans="12:21" ht="13.5" customHeight="1">
      <c r="L596" s="82"/>
      <c r="M596" s="110">
        <v>571</v>
      </c>
      <c r="N596" s="223"/>
      <c r="O596" s="223"/>
      <c r="P596" s="223"/>
      <c r="Q596" s="205"/>
      <c r="R596" s="206"/>
      <c r="S596" s="222"/>
      <c r="T596" s="207"/>
      <c r="U596" s="83"/>
    </row>
    <row r="597" spans="12:21" ht="13.5" customHeight="1">
      <c r="L597" s="82"/>
      <c r="M597" s="110">
        <v>572</v>
      </c>
      <c r="N597" s="223"/>
      <c r="O597" s="223"/>
      <c r="P597" s="223"/>
      <c r="Q597" s="205"/>
      <c r="R597" s="206"/>
      <c r="S597" s="222"/>
      <c r="T597" s="207"/>
      <c r="U597" s="83"/>
    </row>
    <row r="598" spans="12:21" ht="13.5" customHeight="1">
      <c r="L598" s="82"/>
      <c r="M598" s="110">
        <v>573</v>
      </c>
      <c r="N598" s="223"/>
      <c r="O598" s="223"/>
      <c r="P598" s="223"/>
      <c r="Q598" s="205"/>
      <c r="R598" s="206"/>
      <c r="S598" s="222"/>
      <c r="T598" s="207"/>
      <c r="U598" s="83"/>
    </row>
    <row r="599" spans="12:21" ht="13.5" customHeight="1">
      <c r="L599" s="82"/>
      <c r="M599" s="110">
        <v>574</v>
      </c>
      <c r="N599" s="223"/>
      <c r="O599" s="223"/>
      <c r="P599" s="223"/>
      <c r="Q599" s="205"/>
      <c r="R599" s="206"/>
      <c r="S599" s="222"/>
      <c r="T599" s="207"/>
      <c r="U599" s="83"/>
    </row>
    <row r="600" spans="12:21" ht="13.5" customHeight="1">
      <c r="L600" s="82"/>
      <c r="M600" s="110">
        <v>575</v>
      </c>
      <c r="N600" s="223"/>
      <c r="O600" s="223"/>
      <c r="P600" s="223"/>
      <c r="Q600" s="205"/>
      <c r="R600" s="206"/>
      <c r="S600" s="222"/>
      <c r="T600" s="207"/>
      <c r="U600" s="83"/>
    </row>
    <row r="601" spans="12:21" ht="13.5" customHeight="1">
      <c r="L601" s="82"/>
      <c r="M601" s="110">
        <v>576</v>
      </c>
      <c r="N601" s="223"/>
      <c r="O601" s="223"/>
      <c r="P601" s="223"/>
      <c r="Q601" s="205"/>
      <c r="R601" s="206"/>
      <c r="S601" s="222"/>
      <c r="T601" s="207"/>
      <c r="U601" s="83"/>
    </row>
    <row r="602" spans="12:21" ht="13.5" customHeight="1">
      <c r="L602" s="82"/>
      <c r="M602" s="110">
        <v>577</v>
      </c>
      <c r="N602" s="223"/>
      <c r="O602" s="223"/>
      <c r="P602" s="223"/>
      <c r="Q602" s="205"/>
      <c r="R602" s="206"/>
      <c r="S602" s="222"/>
      <c r="T602" s="207"/>
      <c r="U602" s="83"/>
    </row>
    <row r="603" spans="12:21" ht="13.5" customHeight="1">
      <c r="L603" s="82"/>
      <c r="M603" s="110">
        <v>578</v>
      </c>
      <c r="N603" s="223"/>
      <c r="O603" s="223"/>
      <c r="P603" s="223"/>
      <c r="Q603" s="205"/>
      <c r="R603" s="206"/>
      <c r="S603" s="222"/>
      <c r="T603" s="207"/>
      <c r="U603" s="83"/>
    </row>
    <row r="604" spans="12:21" ht="13.5" customHeight="1">
      <c r="L604" s="82"/>
      <c r="M604" s="110">
        <v>579</v>
      </c>
      <c r="N604" s="223"/>
      <c r="O604" s="223"/>
      <c r="P604" s="223"/>
      <c r="Q604" s="205"/>
      <c r="R604" s="206"/>
      <c r="S604" s="222"/>
      <c r="T604" s="207"/>
      <c r="U604" s="83"/>
    </row>
    <row r="605" spans="12:21" ht="13.5" customHeight="1">
      <c r="L605" s="82"/>
      <c r="M605" s="110">
        <v>580</v>
      </c>
      <c r="N605" s="223"/>
      <c r="O605" s="223"/>
      <c r="P605" s="223"/>
      <c r="Q605" s="205"/>
      <c r="R605" s="206"/>
      <c r="S605" s="222"/>
      <c r="T605" s="207"/>
      <c r="U605" s="83"/>
    </row>
    <row r="606" spans="12:21" ht="13.5" customHeight="1">
      <c r="L606" s="82"/>
      <c r="M606" s="110">
        <v>581</v>
      </c>
      <c r="N606" s="223"/>
      <c r="O606" s="223"/>
      <c r="P606" s="223"/>
      <c r="Q606" s="205"/>
      <c r="R606" s="206"/>
      <c r="S606" s="222"/>
      <c r="T606" s="207"/>
      <c r="U606" s="83"/>
    </row>
    <row r="607" spans="12:21" ht="13.5" customHeight="1">
      <c r="L607" s="82"/>
      <c r="M607" s="110">
        <v>582</v>
      </c>
      <c r="N607" s="223"/>
      <c r="O607" s="223"/>
      <c r="P607" s="223"/>
      <c r="Q607" s="205"/>
      <c r="R607" s="206"/>
      <c r="S607" s="222"/>
      <c r="T607" s="207"/>
      <c r="U607" s="83"/>
    </row>
    <row r="608" spans="12:21" ht="13.5" customHeight="1">
      <c r="L608" s="82"/>
      <c r="M608" s="110">
        <v>583</v>
      </c>
      <c r="N608" s="223"/>
      <c r="O608" s="223"/>
      <c r="P608" s="223"/>
      <c r="Q608" s="205"/>
      <c r="R608" s="206"/>
      <c r="S608" s="222"/>
      <c r="T608" s="207"/>
      <c r="U608" s="83"/>
    </row>
    <row r="609" spans="12:21" ht="13.5" customHeight="1">
      <c r="L609" s="82"/>
      <c r="M609" s="110">
        <v>584</v>
      </c>
      <c r="N609" s="223"/>
      <c r="O609" s="223"/>
      <c r="P609" s="223"/>
      <c r="Q609" s="205"/>
      <c r="R609" s="206"/>
      <c r="S609" s="222"/>
      <c r="T609" s="207"/>
      <c r="U609" s="83"/>
    </row>
    <row r="610" spans="12:21" ht="13.5" customHeight="1">
      <c r="L610" s="82"/>
      <c r="M610" s="110">
        <v>585</v>
      </c>
      <c r="N610" s="223"/>
      <c r="O610" s="223"/>
      <c r="P610" s="223"/>
      <c r="Q610" s="205"/>
      <c r="R610" s="206"/>
      <c r="S610" s="222"/>
      <c r="T610" s="207"/>
      <c r="U610" s="83"/>
    </row>
    <row r="611" spans="12:21" ht="13.5" customHeight="1">
      <c r="L611" s="82"/>
      <c r="M611" s="110">
        <v>586</v>
      </c>
      <c r="N611" s="223"/>
      <c r="O611" s="223"/>
      <c r="P611" s="223"/>
      <c r="Q611" s="205"/>
      <c r="R611" s="206"/>
      <c r="S611" s="222"/>
      <c r="T611" s="207"/>
      <c r="U611" s="83"/>
    </row>
    <row r="612" spans="12:21" ht="13.5" customHeight="1">
      <c r="L612" s="82"/>
      <c r="M612" s="110">
        <v>587</v>
      </c>
      <c r="N612" s="223"/>
      <c r="O612" s="223"/>
      <c r="P612" s="223"/>
      <c r="Q612" s="205"/>
      <c r="R612" s="206"/>
      <c r="S612" s="222"/>
      <c r="T612" s="207"/>
      <c r="U612" s="83"/>
    </row>
    <row r="613" spans="12:21" ht="13.5" customHeight="1">
      <c r="L613" s="82"/>
      <c r="M613" s="110">
        <v>588</v>
      </c>
      <c r="N613" s="223"/>
      <c r="O613" s="223"/>
      <c r="P613" s="223"/>
      <c r="Q613" s="205"/>
      <c r="R613" s="206"/>
      <c r="S613" s="222"/>
      <c r="T613" s="207"/>
      <c r="U613" s="83"/>
    </row>
    <row r="614" spans="12:21" ht="13.5" customHeight="1">
      <c r="L614" s="82"/>
      <c r="M614" s="110">
        <v>589</v>
      </c>
      <c r="N614" s="223"/>
      <c r="O614" s="223"/>
      <c r="P614" s="223"/>
      <c r="Q614" s="205"/>
      <c r="R614" s="206"/>
      <c r="S614" s="222"/>
      <c r="T614" s="207"/>
      <c r="U614" s="83"/>
    </row>
    <row r="615" spans="12:21" ht="13.5" customHeight="1">
      <c r="L615" s="82"/>
      <c r="M615" s="110">
        <v>590</v>
      </c>
      <c r="N615" s="223"/>
      <c r="O615" s="223"/>
      <c r="P615" s="223"/>
      <c r="Q615" s="205"/>
      <c r="R615" s="206"/>
      <c r="S615" s="222"/>
      <c r="T615" s="207"/>
      <c r="U615" s="83"/>
    </row>
    <row r="616" spans="12:21" ht="13.5" customHeight="1">
      <c r="L616" s="82"/>
      <c r="M616" s="110">
        <v>591</v>
      </c>
      <c r="N616" s="223"/>
      <c r="O616" s="223"/>
      <c r="P616" s="223"/>
      <c r="Q616" s="205"/>
      <c r="R616" s="206"/>
      <c r="S616" s="222"/>
      <c r="T616" s="207"/>
      <c r="U616" s="83"/>
    </row>
    <row r="617" spans="12:21" ht="13.5" customHeight="1">
      <c r="L617" s="82"/>
      <c r="M617" s="110">
        <v>592</v>
      </c>
      <c r="N617" s="223"/>
      <c r="O617" s="223"/>
      <c r="P617" s="223"/>
      <c r="Q617" s="205"/>
      <c r="R617" s="206"/>
      <c r="S617" s="222"/>
      <c r="T617" s="207"/>
      <c r="U617" s="83"/>
    </row>
    <row r="618" spans="12:21" ht="13.5" customHeight="1">
      <c r="L618" s="82"/>
      <c r="M618" s="110">
        <v>593</v>
      </c>
      <c r="N618" s="223"/>
      <c r="O618" s="223"/>
      <c r="P618" s="223"/>
      <c r="Q618" s="205"/>
      <c r="R618" s="206"/>
      <c r="S618" s="222"/>
      <c r="T618" s="207"/>
      <c r="U618" s="83"/>
    </row>
    <row r="619" spans="12:21" ht="13.5" customHeight="1">
      <c r="L619" s="82"/>
      <c r="M619" s="110">
        <v>594</v>
      </c>
      <c r="N619" s="223"/>
      <c r="O619" s="223"/>
      <c r="P619" s="223"/>
      <c r="Q619" s="205"/>
      <c r="R619" s="206"/>
      <c r="S619" s="222"/>
      <c r="T619" s="207"/>
      <c r="U619" s="83"/>
    </row>
    <row r="620" spans="12:21" ht="13.5" customHeight="1">
      <c r="L620" s="82"/>
      <c r="M620" s="110">
        <v>595</v>
      </c>
      <c r="N620" s="223"/>
      <c r="O620" s="223"/>
      <c r="P620" s="223"/>
      <c r="Q620" s="205"/>
      <c r="R620" s="206"/>
      <c r="S620" s="222"/>
      <c r="T620" s="207"/>
      <c r="U620" s="83"/>
    </row>
    <row r="621" spans="12:21" ht="13.5" customHeight="1">
      <c r="L621" s="82"/>
      <c r="M621" s="110">
        <v>596</v>
      </c>
      <c r="N621" s="223"/>
      <c r="O621" s="223"/>
      <c r="P621" s="223"/>
      <c r="Q621" s="205"/>
      <c r="R621" s="206"/>
      <c r="S621" s="222"/>
      <c r="T621" s="207"/>
      <c r="U621" s="83"/>
    </row>
    <row r="622" spans="12:21" ht="13.5" customHeight="1">
      <c r="L622" s="82"/>
      <c r="M622" s="110">
        <v>597</v>
      </c>
      <c r="N622" s="223"/>
      <c r="O622" s="223"/>
      <c r="P622" s="223"/>
      <c r="Q622" s="205"/>
      <c r="R622" s="206"/>
      <c r="S622" s="222"/>
      <c r="T622" s="207"/>
      <c r="U622" s="83"/>
    </row>
    <row r="623" spans="12:21" ht="13.5" customHeight="1">
      <c r="L623" s="82"/>
      <c r="M623" s="110">
        <v>598</v>
      </c>
      <c r="N623" s="223"/>
      <c r="O623" s="223"/>
      <c r="P623" s="223"/>
      <c r="Q623" s="205"/>
      <c r="R623" s="206"/>
      <c r="S623" s="222"/>
      <c r="T623" s="207"/>
      <c r="U623" s="83"/>
    </row>
    <row r="624" spans="12:21" ht="13.5" customHeight="1">
      <c r="L624" s="82"/>
      <c r="M624" s="110">
        <v>599</v>
      </c>
      <c r="N624" s="223"/>
      <c r="O624" s="223"/>
      <c r="P624" s="223"/>
      <c r="Q624" s="205"/>
      <c r="R624" s="206"/>
      <c r="S624" s="222"/>
      <c r="T624" s="207"/>
      <c r="U624" s="83"/>
    </row>
    <row r="625" spans="12:21" ht="13.5" customHeight="1">
      <c r="L625" s="82"/>
      <c r="M625" s="110">
        <v>600</v>
      </c>
      <c r="N625" s="223"/>
      <c r="O625" s="223"/>
      <c r="P625" s="223"/>
      <c r="Q625" s="205"/>
      <c r="R625" s="206"/>
      <c r="S625" s="222"/>
      <c r="T625" s="207"/>
      <c r="U625" s="83"/>
    </row>
    <row r="626" spans="12:21" ht="13.5" customHeight="1">
      <c r="L626" s="82"/>
      <c r="M626" s="110">
        <v>601</v>
      </c>
      <c r="N626" s="223"/>
      <c r="O626" s="223"/>
      <c r="P626" s="223"/>
      <c r="Q626" s="205"/>
      <c r="R626" s="206"/>
      <c r="S626" s="222"/>
      <c r="T626" s="207"/>
      <c r="U626" s="83"/>
    </row>
    <row r="627" spans="12:21" ht="13.5" customHeight="1">
      <c r="L627" s="82"/>
      <c r="M627" s="110">
        <v>602</v>
      </c>
      <c r="N627" s="223"/>
      <c r="O627" s="223"/>
      <c r="P627" s="223"/>
      <c r="Q627" s="205"/>
      <c r="R627" s="206"/>
      <c r="S627" s="222"/>
      <c r="T627" s="207"/>
      <c r="U627" s="83"/>
    </row>
    <row r="628" spans="12:21" ht="13.5" customHeight="1">
      <c r="L628" s="82"/>
      <c r="M628" s="110">
        <v>603</v>
      </c>
      <c r="N628" s="223"/>
      <c r="O628" s="223"/>
      <c r="P628" s="223"/>
      <c r="Q628" s="205"/>
      <c r="R628" s="206"/>
      <c r="S628" s="222"/>
      <c r="T628" s="207"/>
      <c r="U628" s="83"/>
    </row>
    <row r="629" spans="12:21" ht="13.5" customHeight="1">
      <c r="L629" s="82"/>
      <c r="M629" s="110">
        <v>604</v>
      </c>
      <c r="N629" s="223"/>
      <c r="O629" s="223"/>
      <c r="P629" s="223"/>
      <c r="Q629" s="205"/>
      <c r="R629" s="206"/>
      <c r="S629" s="222"/>
      <c r="T629" s="207"/>
      <c r="U629" s="83"/>
    </row>
    <row r="630" spans="12:21" ht="13.5" customHeight="1">
      <c r="L630" s="82"/>
      <c r="M630" s="110">
        <v>605</v>
      </c>
      <c r="N630" s="223"/>
      <c r="O630" s="223"/>
      <c r="P630" s="223"/>
      <c r="Q630" s="205"/>
      <c r="R630" s="206"/>
      <c r="S630" s="222"/>
      <c r="T630" s="207"/>
      <c r="U630" s="83"/>
    </row>
    <row r="631" spans="12:21" ht="13.5" customHeight="1">
      <c r="L631" s="82"/>
      <c r="M631" s="110">
        <v>606</v>
      </c>
      <c r="N631" s="223"/>
      <c r="O631" s="223"/>
      <c r="P631" s="223"/>
      <c r="Q631" s="205"/>
      <c r="R631" s="206"/>
      <c r="S631" s="222"/>
      <c r="T631" s="207"/>
      <c r="U631" s="83"/>
    </row>
    <row r="632" spans="12:21" ht="13.5" customHeight="1">
      <c r="L632" s="82"/>
      <c r="M632" s="110">
        <v>607</v>
      </c>
      <c r="N632" s="223"/>
      <c r="O632" s="223"/>
      <c r="P632" s="223"/>
      <c r="Q632" s="205"/>
      <c r="R632" s="206"/>
      <c r="S632" s="222"/>
      <c r="T632" s="207"/>
      <c r="U632" s="83"/>
    </row>
    <row r="633" spans="12:21" ht="13.5" customHeight="1">
      <c r="L633" s="82"/>
      <c r="M633" s="110">
        <v>608</v>
      </c>
      <c r="N633" s="223"/>
      <c r="O633" s="223"/>
      <c r="P633" s="223"/>
      <c r="Q633" s="205"/>
      <c r="R633" s="206"/>
      <c r="S633" s="222"/>
      <c r="T633" s="207"/>
      <c r="U633" s="83"/>
    </row>
    <row r="634" spans="12:21" ht="13.5" customHeight="1">
      <c r="L634" s="82"/>
      <c r="M634" s="110">
        <v>609</v>
      </c>
      <c r="N634" s="223"/>
      <c r="O634" s="223"/>
      <c r="P634" s="223"/>
      <c r="Q634" s="205"/>
      <c r="R634" s="206"/>
      <c r="S634" s="222"/>
      <c r="T634" s="207"/>
      <c r="U634" s="83"/>
    </row>
    <row r="635" spans="12:21" ht="13.5" customHeight="1">
      <c r="L635" s="82"/>
      <c r="M635" s="110">
        <v>610</v>
      </c>
      <c r="N635" s="223"/>
      <c r="O635" s="223"/>
      <c r="P635" s="223"/>
      <c r="Q635" s="205"/>
      <c r="R635" s="206"/>
      <c r="S635" s="222"/>
      <c r="T635" s="207"/>
      <c r="U635" s="83"/>
    </row>
    <row r="636" spans="12:21" ht="13.5" customHeight="1">
      <c r="L636" s="82"/>
      <c r="M636" s="110">
        <v>611</v>
      </c>
      <c r="N636" s="223"/>
      <c r="O636" s="223"/>
      <c r="P636" s="223"/>
      <c r="Q636" s="205"/>
      <c r="R636" s="206"/>
      <c r="S636" s="222"/>
      <c r="T636" s="207"/>
      <c r="U636" s="83"/>
    </row>
    <row r="637" spans="12:21" ht="13.5" customHeight="1">
      <c r="L637" s="82"/>
      <c r="M637" s="110">
        <v>612</v>
      </c>
      <c r="N637" s="223"/>
      <c r="O637" s="223"/>
      <c r="P637" s="223"/>
      <c r="Q637" s="205"/>
      <c r="R637" s="206"/>
      <c r="S637" s="222"/>
      <c r="T637" s="207"/>
      <c r="U637" s="83"/>
    </row>
    <row r="638" spans="12:21" ht="13.5" customHeight="1">
      <c r="L638" s="82"/>
      <c r="M638" s="110">
        <v>613</v>
      </c>
      <c r="N638" s="223"/>
      <c r="O638" s="223"/>
      <c r="P638" s="223"/>
      <c r="Q638" s="205"/>
      <c r="R638" s="206"/>
      <c r="S638" s="222"/>
      <c r="T638" s="207"/>
      <c r="U638" s="83"/>
    </row>
    <row r="639" spans="12:21" ht="13.5" customHeight="1">
      <c r="L639" s="82"/>
      <c r="M639" s="110">
        <v>614</v>
      </c>
      <c r="N639" s="223"/>
      <c r="O639" s="223"/>
      <c r="P639" s="223"/>
      <c r="Q639" s="205"/>
      <c r="R639" s="206"/>
      <c r="S639" s="222"/>
      <c r="T639" s="207"/>
      <c r="U639" s="83"/>
    </row>
    <row r="640" spans="12:21" ht="13.5" customHeight="1">
      <c r="L640" s="82"/>
      <c r="M640" s="110">
        <v>615</v>
      </c>
      <c r="N640" s="223"/>
      <c r="O640" s="223"/>
      <c r="P640" s="223"/>
      <c r="Q640" s="205"/>
      <c r="R640" s="206"/>
      <c r="S640" s="222"/>
      <c r="T640" s="207"/>
      <c r="U640" s="83"/>
    </row>
    <row r="641" spans="12:21" ht="13.5" customHeight="1">
      <c r="L641" s="82"/>
      <c r="M641" s="110">
        <v>616</v>
      </c>
      <c r="N641" s="223"/>
      <c r="O641" s="223"/>
      <c r="P641" s="223"/>
      <c r="Q641" s="205"/>
      <c r="R641" s="206"/>
      <c r="S641" s="222"/>
      <c r="T641" s="207"/>
      <c r="U641" s="83"/>
    </row>
    <row r="642" spans="12:21" ht="13.5" customHeight="1">
      <c r="L642" s="82"/>
      <c r="M642" s="110">
        <v>617</v>
      </c>
      <c r="N642" s="223"/>
      <c r="O642" s="223"/>
      <c r="P642" s="223"/>
      <c r="Q642" s="205"/>
      <c r="R642" s="206"/>
      <c r="S642" s="222"/>
      <c r="T642" s="207"/>
      <c r="U642" s="83"/>
    </row>
    <row r="643" spans="12:21" ht="13.5" customHeight="1">
      <c r="L643" s="82"/>
      <c r="M643" s="110">
        <v>618</v>
      </c>
      <c r="N643" s="223"/>
      <c r="O643" s="223"/>
      <c r="P643" s="223"/>
      <c r="Q643" s="205"/>
      <c r="R643" s="206"/>
      <c r="S643" s="222"/>
      <c r="T643" s="207"/>
      <c r="U643" s="83"/>
    </row>
    <row r="644" spans="12:21" ht="13.5" customHeight="1">
      <c r="L644" s="82"/>
      <c r="M644" s="110">
        <v>619</v>
      </c>
      <c r="N644" s="223"/>
      <c r="O644" s="223"/>
      <c r="P644" s="223"/>
      <c r="Q644" s="205"/>
      <c r="R644" s="206"/>
      <c r="S644" s="222"/>
      <c r="T644" s="207"/>
      <c r="U644" s="83"/>
    </row>
    <row r="645" spans="12:21" ht="13.5" customHeight="1">
      <c r="L645" s="82"/>
      <c r="M645" s="110">
        <v>620</v>
      </c>
      <c r="N645" s="223"/>
      <c r="O645" s="223"/>
      <c r="P645" s="223"/>
      <c r="Q645" s="205"/>
      <c r="R645" s="206"/>
      <c r="S645" s="222"/>
      <c r="T645" s="207"/>
      <c r="U645" s="83"/>
    </row>
    <row r="646" spans="12:21" ht="13.5" customHeight="1">
      <c r="L646" s="82"/>
      <c r="M646" s="110">
        <v>621</v>
      </c>
      <c r="N646" s="223"/>
      <c r="O646" s="223"/>
      <c r="P646" s="223"/>
      <c r="Q646" s="205"/>
      <c r="R646" s="206"/>
      <c r="S646" s="222"/>
      <c r="T646" s="207"/>
      <c r="U646" s="83"/>
    </row>
    <row r="647" spans="12:21" ht="13.5" customHeight="1">
      <c r="L647" s="82"/>
      <c r="M647" s="110">
        <v>622</v>
      </c>
      <c r="N647" s="223"/>
      <c r="O647" s="223"/>
      <c r="P647" s="223"/>
      <c r="Q647" s="205"/>
      <c r="R647" s="206"/>
      <c r="S647" s="222"/>
      <c r="T647" s="207"/>
      <c r="U647" s="83"/>
    </row>
    <row r="648" spans="12:21" ht="13.5" customHeight="1">
      <c r="L648" s="82"/>
      <c r="M648" s="110">
        <v>623</v>
      </c>
      <c r="N648" s="223"/>
      <c r="O648" s="223"/>
      <c r="P648" s="223"/>
      <c r="Q648" s="205"/>
      <c r="R648" s="206"/>
      <c r="S648" s="222"/>
      <c r="T648" s="207"/>
      <c r="U648" s="83"/>
    </row>
    <row r="649" spans="12:21" ht="13.5" customHeight="1">
      <c r="L649" s="82"/>
      <c r="M649" s="110">
        <v>624</v>
      </c>
      <c r="N649" s="223"/>
      <c r="O649" s="223"/>
      <c r="P649" s="223"/>
      <c r="Q649" s="205"/>
      <c r="R649" s="206"/>
      <c r="S649" s="222"/>
      <c r="T649" s="207"/>
      <c r="U649" s="83"/>
    </row>
    <row r="650" spans="12:21" ht="13.5" customHeight="1">
      <c r="L650" s="82"/>
      <c r="M650" s="110">
        <v>625</v>
      </c>
      <c r="N650" s="223"/>
      <c r="O650" s="223"/>
      <c r="P650" s="223"/>
      <c r="Q650" s="205"/>
      <c r="R650" s="206"/>
      <c r="S650" s="222"/>
      <c r="T650" s="207"/>
      <c r="U650" s="83"/>
    </row>
    <row r="651" spans="12:21" ht="13.5" customHeight="1">
      <c r="L651" s="82"/>
      <c r="M651" s="110">
        <v>626</v>
      </c>
      <c r="N651" s="223"/>
      <c r="O651" s="223"/>
      <c r="P651" s="223"/>
      <c r="Q651" s="205"/>
      <c r="R651" s="206"/>
      <c r="S651" s="222"/>
      <c r="T651" s="207"/>
      <c r="U651" s="83"/>
    </row>
    <row r="652" spans="12:21" ht="13.5" customHeight="1">
      <c r="L652" s="82"/>
      <c r="M652" s="110">
        <v>627</v>
      </c>
      <c r="N652" s="223"/>
      <c r="O652" s="223"/>
      <c r="P652" s="223"/>
      <c r="Q652" s="205"/>
      <c r="R652" s="206"/>
      <c r="S652" s="222"/>
      <c r="T652" s="207"/>
      <c r="U652" s="83"/>
    </row>
    <row r="653" spans="12:21" ht="13.5" customHeight="1">
      <c r="L653" s="82"/>
      <c r="M653" s="110">
        <v>628</v>
      </c>
      <c r="N653" s="223"/>
      <c r="O653" s="223"/>
      <c r="P653" s="223"/>
      <c r="Q653" s="205"/>
      <c r="R653" s="206"/>
      <c r="S653" s="222"/>
      <c r="T653" s="207"/>
      <c r="U653" s="83"/>
    </row>
    <row r="654" spans="12:21" ht="13.5" customHeight="1">
      <c r="L654" s="82"/>
      <c r="M654" s="110">
        <v>629</v>
      </c>
      <c r="N654" s="223"/>
      <c r="O654" s="223"/>
      <c r="P654" s="223"/>
      <c r="Q654" s="205"/>
      <c r="R654" s="206"/>
      <c r="S654" s="222"/>
      <c r="T654" s="207"/>
      <c r="U654" s="83"/>
    </row>
    <row r="655" spans="12:21" ht="13.5" customHeight="1">
      <c r="L655" s="82"/>
      <c r="M655" s="110">
        <v>630</v>
      </c>
      <c r="N655" s="223"/>
      <c r="O655" s="223"/>
      <c r="P655" s="223"/>
      <c r="Q655" s="205"/>
      <c r="R655" s="206"/>
      <c r="S655" s="222"/>
      <c r="T655" s="207"/>
      <c r="U655" s="83"/>
    </row>
    <row r="656" spans="12:21" ht="13.5" customHeight="1">
      <c r="L656" s="82"/>
      <c r="M656" s="110">
        <v>631</v>
      </c>
      <c r="N656" s="223"/>
      <c r="O656" s="223"/>
      <c r="P656" s="223"/>
      <c r="Q656" s="205"/>
      <c r="R656" s="206"/>
      <c r="S656" s="222"/>
      <c r="T656" s="207"/>
      <c r="U656" s="83"/>
    </row>
    <row r="657" spans="12:21" ht="13.5" customHeight="1">
      <c r="L657" s="82"/>
      <c r="M657" s="110">
        <v>632</v>
      </c>
      <c r="N657" s="223"/>
      <c r="O657" s="223"/>
      <c r="P657" s="223"/>
      <c r="Q657" s="205"/>
      <c r="R657" s="206"/>
      <c r="S657" s="222"/>
      <c r="T657" s="207"/>
      <c r="U657" s="83"/>
    </row>
    <row r="658" spans="12:21" ht="13.5" customHeight="1">
      <c r="L658" s="82"/>
      <c r="M658" s="110">
        <v>633</v>
      </c>
      <c r="N658" s="223"/>
      <c r="O658" s="223"/>
      <c r="P658" s="223"/>
      <c r="Q658" s="205"/>
      <c r="R658" s="206"/>
      <c r="S658" s="222"/>
      <c r="T658" s="207"/>
      <c r="U658" s="83"/>
    </row>
    <row r="659" spans="12:21" ht="13.5" customHeight="1">
      <c r="L659" s="82"/>
      <c r="M659" s="110">
        <v>634</v>
      </c>
      <c r="N659" s="223"/>
      <c r="O659" s="223"/>
      <c r="P659" s="223"/>
      <c r="Q659" s="205"/>
      <c r="R659" s="206"/>
      <c r="S659" s="222"/>
      <c r="T659" s="207"/>
      <c r="U659" s="83"/>
    </row>
    <row r="660" spans="12:21" ht="13.5" customHeight="1">
      <c r="L660" s="82"/>
      <c r="M660" s="110">
        <v>635</v>
      </c>
      <c r="N660" s="223"/>
      <c r="O660" s="223"/>
      <c r="P660" s="223"/>
      <c r="Q660" s="205"/>
      <c r="R660" s="206"/>
      <c r="S660" s="222"/>
      <c r="T660" s="207"/>
      <c r="U660" s="83"/>
    </row>
    <row r="661" spans="12:21" ht="13.5" customHeight="1">
      <c r="L661" s="82"/>
      <c r="M661" s="110">
        <v>636</v>
      </c>
      <c r="N661" s="223"/>
      <c r="O661" s="223"/>
      <c r="P661" s="223"/>
      <c r="Q661" s="205"/>
      <c r="R661" s="206"/>
      <c r="S661" s="222"/>
      <c r="T661" s="207"/>
      <c r="U661" s="83"/>
    </row>
    <row r="662" spans="12:21" ht="13.5" customHeight="1">
      <c r="L662" s="82"/>
      <c r="M662" s="110">
        <v>637</v>
      </c>
      <c r="N662" s="223"/>
      <c r="O662" s="223"/>
      <c r="P662" s="223"/>
      <c r="Q662" s="205"/>
      <c r="R662" s="206"/>
      <c r="S662" s="222"/>
      <c r="T662" s="207"/>
      <c r="U662" s="83"/>
    </row>
    <row r="663" spans="12:21" ht="13.5" customHeight="1">
      <c r="L663" s="82"/>
      <c r="M663" s="110">
        <v>638</v>
      </c>
      <c r="N663" s="223"/>
      <c r="O663" s="223"/>
      <c r="P663" s="223"/>
      <c r="Q663" s="205"/>
      <c r="R663" s="206"/>
      <c r="S663" s="222"/>
      <c r="T663" s="207"/>
      <c r="U663" s="83"/>
    </row>
    <row r="664" spans="12:21" ht="13.5" customHeight="1">
      <c r="L664" s="82"/>
      <c r="M664" s="110">
        <v>639</v>
      </c>
      <c r="N664" s="223"/>
      <c r="O664" s="223"/>
      <c r="P664" s="223"/>
      <c r="Q664" s="205"/>
      <c r="R664" s="206"/>
      <c r="S664" s="222"/>
      <c r="T664" s="207"/>
      <c r="U664" s="83"/>
    </row>
    <row r="665" spans="12:21" ht="13.5" customHeight="1">
      <c r="L665" s="82"/>
      <c r="M665" s="110">
        <v>640</v>
      </c>
      <c r="N665" s="223"/>
      <c r="O665" s="223"/>
      <c r="P665" s="223"/>
      <c r="Q665" s="205"/>
      <c r="R665" s="206"/>
      <c r="S665" s="222"/>
      <c r="T665" s="207"/>
      <c r="U665" s="83"/>
    </row>
    <row r="666" spans="12:21" ht="13.5" customHeight="1">
      <c r="L666" s="82"/>
      <c r="M666" s="110">
        <v>641</v>
      </c>
      <c r="N666" s="223"/>
      <c r="O666" s="223"/>
      <c r="P666" s="223"/>
      <c r="Q666" s="205"/>
      <c r="R666" s="206"/>
      <c r="S666" s="222"/>
      <c r="T666" s="207"/>
      <c r="U666" s="83"/>
    </row>
    <row r="667" spans="12:21" ht="13.5" customHeight="1">
      <c r="L667" s="82"/>
      <c r="M667" s="110">
        <v>642</v>
      </c>
      <c r="N667" s="223"/>
      <c r="O667" s="223"/>
      <c r="P667" s="223"/>
      <c r="Q667" s="205"/>
      <c r="R667" s="206"/>
      <c r="S667" s="222"/>
      <c r="T667" s="207"/>
      <c r="U667" s="83"/>
    </row>
    <row r="668" spans="12:21" ht="13.5" customHeight="1">
      <c r="L668" s="82"/>
      <c r="M668" s="110">
        <v>643</v>
      </c>
      <c r="N668" s="223"/>
      <c r="O668" s="223"/>
      <c r="P668" s="223"/>
      <c r="Q668" s="205"/>
      <c r="R668" s="206"/>
      <c r="S668" s="222"/>
      <c r="T668" s="207"/>
      <c r="U668" s="83"/>
    </row>
    <row r="669" spans="12:21" ht="13.5" customHeight="1">
      <c r="L669" s="82"/>
      <c r="M669" s="110">
        <v>644</v>
      </c>
      <c r="N669" s="223"/>
      <c r="O669" s="223"/>
      <c r="P669" s="223"/>
      <c r="Q669" s="205"/>
      <c r="R669" s="206"/>
      <c r="S669" s="222"/>
      <c r="T669" s="207"/>
      <c r="U669" s="83"/>
    </row>
    <row r="670" spans="12:21" ht="13.5" customHeight="1">
      <c r="L670" s="82"/>
      <c r="M670" s="110">
        <v>645</v>
      </c>
      <c r="N670" s="223"/>
      <c r="O670" s="223"/>
      <c r="P670" s="223"/>
      <c r="Q670" s="205"/>
      <c r="R670" s="206"/>
      <c r="S670" s="222"/>
      <c r="T670" s="207"/>
      <c r="U670" s="83"/>
    </row>
    <row r="671" spans="12:21" ht="13.5" customHeight="1">
      <c r="L671" s="82"/>
      <c r="M671" s="110">
        <v>646</v>
      </c>
      <c r="N671" s="223"/>
      <c r="O671" s="223"/>
      <c r="P671" s="223"/>
      <c r="Q671" s="205"/>
      <c r="R671" s="206"/>
      <c r="S671" s="222"/>
      <c r="T671" s="207"/>
      <c r="U671" s="83"/>
    </row>
    <row r="672" spans="12:21" ht="13.5" customHeight="1">
      <c r="L672" s="82"/>
      <c r="M672" s="110">
        <v>647</v>
      </c>
      <c r="N672" s="223"/>
      <c r="O672" s="223"/>
      <c r="P672" s="223"/>
      <c r="Q672" s="205"/>
      <c r="R672" s="206"/>
      <c r="S672" s="222"/>
      <c r="T672" s="207"/>
      <c r="U672" s="83"/>
    </row>
    <row r="673" spans="12:21" ht="13.5" customHeight="1">
      <c r="L673" s="82"/>
      <c r="M673" s="110">
        <v>648</v>
      </c>
      <c r="N673" s="223"/>
      <c r="O673" s="223"/>
      <c r="P673" s="223"/>
      <c r="Q673" s="205"/>
      <c r="R673" s="206"/>
      <c r="S673" s="222"/>
      <c r="T673" s="207"/>
      <c r="U673" s="83"/>
    </row>
    <row r="674" spans="12:21" ht="13.5" customHeight="1">
      <c r="L674" s="82"/>
      <c r="M674" s="110">
        <v>649</v>
      </c>
      <c r="N674" s="223"/>
      <c r="O674" s="223"/>
      <c r="P674" s="223"/>
      <c r="Q674" s="205"/>
      <c r="R674" s="206"/>
      <c r="S674" s="222"/>
      <c r="T674" s="207"/>
      <c r="U674" s="83"/>
    </row>
    <row r="675" spans="12:21" ht="13.5" customHeight="1">
      <c r="L675" s="82"/>
      <c r="M675" s="110">
        <v>650</v>
      </c>
      <c r="N675" s="223"/>
      <c r="O675" s="223"/>
      <c r="P675" s="223"/>
      <c r="Q675" s="205"/>
      <c r="R675" s="206"/>
      <c r="S675" s="222"/>
      <c r="T675" s="207"/>
      <c r="U675" s="83"/>
    </row>
    <row r="676" spans="12:21" ht="13.5" customHeight="1">
      <c r="L676" s="82"/>
      <c r="M676" s="110">
        <v>651</v>
      </c>
      <c r="N676" s="223"/>
      <c r="O676" s="223"/>
      <c r="P676" s="223"/>
      <c r="Q676" s="205"/>
      <c r="R676" s="206"/>
      <c r="S676" s="222"/>
      <c r="T676" s="207"/>
      <c r="U676" s="83"/>
    </row>
    <row r="677" spans="12:21" ht="13.5" customHeight="1">
      <c r="L677" s="82"/>
      <c r="M677" s="110">
        <v>652</v>
      </c>
      <c r="N677" s="223"/>
      <c r="O677" s="223"/>
      <c r="P677" s="223"/>
      <c r="Q677" s="205"/>
      <c r="R677" s="206"/>
      <c r="S677" s="222"/>
      <c r="T677" s="207"/>
      <c r="U677" s="83"/>
    </row>
    <row r="678" spans="12:21" ht="13.5" customHeight="1">
      <c r="L678" s="82"/>
      <c r="M678" s="110">
        <v>653</v>
      </c>
      <c r="N678" s="223"/>
      <c r="O678" s="223"/>
      <c r="P678" s="223"/>
      <c r="Q678" s="205"/>
      <c r="R678" s="206"/>
      <c r="S678" s="222"/>
      <c r="T678" s="207"/>
      <c r="U678" s="83"/>
    </row>
    <row r="679" spans="12:21" ht="13.5" customHeight="1">
      <c r="L679" s="82"/>
      <c r="M679" s="110">
        <v>654</v>
      </c>
      <c r="N679" s="223"/>
      <c r="O679" s="223"/>
      <c r="P679" s="223"/>
      <c r="Q679" s="205"/>
      <c r="R679" s="206"/>
      <c r="S679" s="222"/>
      <c r="T679" s="207"/>
      <c r="U679" s="83"/>
    </row>
    <row r="680" spans="12:21" ht="13.5" customHeight="1">
      <c r="L680" s="82"/>
      <c r="M680" s="110">
        <v>655</v>
      </c>
      <c r="N680" s="223"/>
      <c r="O680" s="223"/>
      <c r="P680" s="223"/>
      <c r="Q680" s="205"/>
      <c r="R680" s="206"/>
      <c r="S680" s="222"/>
      <c r="T680" s="207"/>
      <c r="U680" s="83"/>
    </row>
    <row r="681" spans="12:21" ht="13.5" customHeight="1">
      <c r="L681" s="82"/>
      <c r="M681" s="110">
        <v>656</v>
      </c>
      <c r="N681" s="223"/>
      <c r="O681" s="223"/>
      <c r="P681" s="223"/>
      <c r="Q681" s="205"/>
      <c r="R681" s="206"/>
      <c r="S681" s="222"/>
      <c r="T681" s="207"/>
      <c r="U681" s="83"/>
    </row>
    <row r="682" spans="12:21" ht="13.5" customHeight="1">
      <c r="L682" s="82"/>
      <c r="M682" s="110">
        <v>657</v>
      </c>
      <c r="N682" s="223"/>
      <c r="O682" s="223"/>
      <c r="P682" s="223"/>
      <c r="Q682" s="205"/>
      <c r="R682" s="206"/>
      <c r="S682" s="222"/>
      <c r="T682" s="207"/>
      <c r="U682" s="83"/>
    </row>
    <row r="683" spans="12:21" ht="13.5" customHeight="1">
      <c r="L683" s="82"/>
      <c r="M683" s="110">
        <v>658</v>
      </c>
      <c r="N683" s="223"/>
      <c r="O683" s="223"/>
      <c r="P683" s="223"/>
      <c r="Q683" s="205"/>
      <c r="R683" s="206"/>
      <c r="S683" s="222"/>
      <c r="T683" s="207"/>
      <c r="U683" s="83"/>
    </row>
    <row r="684" spans="12:21" ht="13.5" customHeight="1">
      <c r="L684" s="82"/>
      <c r="M684" s="110">
        <v>659</v>
      </c>
      <c r="N684" s="223"/>
      <c r="O684" s="223"/>
      <c r="P684" s="223"/>
      <c r="Q684" s="205"/>
      <c r="R684" s="206"/>
      <c r="S684" s="222"/>
      <c r="T684" s="207"/>
      <c r="U684" s="83"/>
    </row>
    <row r="685" spans="12:21" ht="13.5" customHeight="1">
      <c r="L685" s="82"/>
      <c r="M685" s="110">
        <v>660</v>
      </c>
      <c r="N685" s="223"/>
      <c r="O685" s="223"/>
      <c r="P685" s="223"/>
      <c r="Q685" s="205"/>
      <c r="R685" s="206"/>
      <c r="S685" s="222"/>
      <c r="T685" s="207"/>
      <c r="U685" s="83"/>
    </row>
    <row r="686" spans="12:21" ht="13.5" customHeight="1">
      <c r="L686" s="82"/>
      <c r="M686" s="110">
        <v>661</v>
      </c>
      <c r="N686" s="223"/>
      <c r="O686" s="223"/>
      <c r="P686" s="223"/>
      <c r="Q686" s="205"/>
      <c r="R686" s="206"/>
      <c r="S686" s="222"/>
      <c r="T686" s="207"/>
      <c r="U686" s="83"/>
    </row>
    <row r="687" spans="12:21" ht="13.5" customHeight="1">
      <c r="L687" s="82"/>
      <c r="M687" s="110">
        <v>662</v>
      </c>
      <c r="N687" s="223"/>
      <c r="O687" s="223"/>
      <c r="P687" s="223"/>
      <c r="Q687" s="205"/>
      <c r="R687" s="206"/>
      <c r="S687" s="222"/>
      <c r="T687" s="207"/>
      <c r="U687" s="83"/>
    </row>
    <row r="688" spans="12:21" ht="13.5" customHeight="1">
      <c r="L688" s="82"/>
      <c r="M688" s="110">
        <v>663</v>
      </c>
      <c r="N688" s="223"/>
      <c r="O688" s="223"/>
      <c r="P688" s="223"/>
      <c r="Q688" s="205"/>
      <c r="R688" s="206"/>
      <c r="S688" s="222"/>
      <c r="T688" s="207"/>
      <c r="U688" s="83"/>
    </row>
    <row r="689" spans="12:21" ht="13.5" customHeight="1">
      <c r="L689" s="82"/>
      <c r="M689" s="110">
        <v>664</v>
      </c>
      <c r="N689" s="223"/>
      <c r="O689" s="223"/>
      <c r="P689" s="223"/>
      <c r="Q689" s="205"/>
      <c r="R689" s="206"/>
      <c r="S689" s="222"/>
      <c r="T689" s="207"/>
      <c r="U689" s="83"/>
    </row>
    <row r="690" spans="12:21" ht="13.5" customHeight="1">
      <c r="L690" s="82"/>
      <c r="M690" s="110">
        <v>665</v>
      </c>
      <c r="N690" s="223"/>
      <c r="O690" s="223"/>
      <c r="P690" s="223"/>
      <c r="Q690" s="205"/>
      <c r="R690" s="206"/>
      <c r="S690" s="222"/>
      <c r="T690" s="207"/>
      <c r="U690" s="83"/>
    </row>
    <row r="691" spans="12:21" ht="13.5" customHeight="1">
      <c r="L691" s="82"/>
      <c r="M691" s="110">
        <v>666</v>
      </c>
      <c r="N691" s="223"/>
      <c r="O691" s="223"/>
      <c r="P691" s="223"/>
      <c r="Q691" s="205"/>
      <c r="R691" s="206"/>
      <c r="S691" s="222"/>
      <c r="T691" s="207"/>
      <c r="U691" s="83"/>
    </row>
    <row r="692" spans="12:21" ht="13.5" customHeight="1">
      <c r="L692" s="82"/>
      <c r="M692" s="110">
        <v>667</v>
      </c>
      <c r="N692" s="223"/>
      <c r="O692" s="223"/>
      <c r="P692" s="223"/>
      <c r="Q692" s="205"/>
      <c r="R692" s="206"/>
      <c r="S692" s="222"/>
      <c r="T692" s="207"/>
      <c r="U692" s="83"/>
    </row>
    <row r="693" spans="12:21" ht="13.5" customHeight="1">
      <c r="L693" s="82"/>
      <c r="M693" s="110">
        <v>668</v>
      </c>
      <c r="N693" s="223"/>
      <c r="O693" s="223"/>
      <c r="P693" s="223"/>
      <c r="Q693" s="205"/>
      <c r="R693" s="206"/>
      <c r="S693" s="222"/>
      <c r="T693" s="207"/>
      <c r="U693" s="83"/>
    </row>
    <row r="694" spans="12:21" ht="13.5" customHeight="1">
      <c r="L694" s="82"/>
      <c r="M694" s="110">
        <v>669</v>
      </c>
      <c r="N694" s="223"/>
      <c r="O694" s="223"/>
      <c r="P694" s="223"/>
      <c r="Q694" s="205"/>
      <c r="R694" s="206"/>
      <c r="S694" s="222"/>
      <c r="T694" s="207"/>
      <c r="U694" s="83"/>
    </row>
    <row r="695" spans="12:21" ht="13.5" customHeight="1">
      <c r="L695" s="82"/>
      <c r="M695" s="110">
        <v>670</v>
      </c>
      <c r="N695" s="223"/>
      <c r="O695" s="223"/>
      <c r="P695" s="223"/>
      <c r="Q695" s="205"/>
      <c r="R695" s="206"/>
      <c r="S695" s="222"/>
      <c r="T695" s="207"/>
      <c r="U695" s="83"/>
    </row>
    <row r="696" spans="12:21" ht="13.5" customHeight="1">
      <c r="L696" s="82"/>
      <c r="M696" s="110">
        <v>671</v>
      </c>
      <c r="N696" s="223"/>
      <c r="O696" s="223"/>
      <c r="P696" s="223"/>
      <c r="Q696" s="205"/>
      <c r="R696" s="206"/>
      <c r="S696" s="222"/>
      <c r="T696" s="207"/>
      <c r="U696" s="83"/>
    </row>
    <row r="697" spans="12:21" ht="13.5" customHeight="1">
      <c r="L697" s="82"/>
      <c r="M697" s="110">
        <v>672</v>
      </c>
      <c r="N697" s="223"/>
      <c r="O697" s="223"/>
      <c r="P697" s="223"/>
      <c r="Q697" s="205"/>
      <c r="R697" s="206"/>
      <c r="S697" s="222"/>
      <c r="T697" s="207"/>
      <c r="U697" s="83"/>
    </row>
    <row r="698" spans="12:21" ht="13.5" customHeight="1">
      <c r="L698" s="82"/>
      <c r="M698" s="110">
        <v>673</v>
      </c>
      <c r="N698" s="223"/>
      <c r="O698" s="223"/>
      <c r="P698" s="223"/>
      <c r="Q698" s="205"/>
      <c r="R698" s="206"/>
      <c r="S698" s="222"/>
      <c r="T698" s="207"/>
      <c r="U698" s="83"/>
    </row>
    <row r="699" spans="12:21" ht="13.5" customHeight="1">
      <c r="L699" s="82"/>
      <c r="M699" s="110">
        <v>674</v>
      </c>
      <c r="N699" s="223"/>
      <c r="O699" s="223"/>
      <c r="P699" s="223"/>
      <c r="Q699" s="205"/>
      <c r="R699" s="206"/>
      <c r="S699" s="222"/>
      <c r="T699" s="207"/>
      <c r="U699" s="83"/>
    </row>
    <row r="700" spans="12:21" ht="13.5" customHeight="1">
      <c r="L700" s="82"/>
      <c r="M700" s="110">
        <v>675</v>
      </c>
      <c r="N700" s="223"/>
      <c r="O700" s="223"/>
      <c r="P700" s="223"/>
      <c r="Q700" s="205"/>
      <c r="R700" s="206"/>
      <c r="S700" s="222"/>
      <c r="T700" s="207"/>
      <c r="U700" s="83"/>
    </row>
    <row r="701" spans="12:21" ht="13.5" customHeight="1">
      <c r="L701" s="82"/>
      <c r="M701" s="110">
        <v>676</v>
      </c>
      <c r="N701" s="223"/>
      <c r="O701" s="223"/>
      <c r="P701" s="223"/>
      <c r="Q701" s="205"/>
      <c r="R701" s="206"/>
      <c r="S701" s="222"/>
      <c r="T701" s="207"/>
      <c r="U701" s="83"/>
    </row>
    <row r="702" spans="12:21" ht="13.5" customHeight="1">
      <c r="L702" s="82"/>
      <c r="M702" s="110">
        <v>677</v>
      </c>
      <c r="N702" s="223"/>
      <c r="O702" s="223"/>
      <c r="P702" s="223"/>
      <c r="Q702" s="205"/>
      <c r="R702" s="206"/>
      <c r="S702" s="222"/>
      <c r="T702" s="207"/>
      <c r="U702" s="83"/>
    </row>
    <row r="703" spans="12:21" ht="13.5" customHeight="1">
      <c r="L703" s="82"/>
      <c r="M703" s="110">
        <v>678</v>
      </c>
      <c r="N703" s="223"/>
      <c r="O703" s="223"/>
      <c r="P703" s="223"/>
      <c r="Q703" s="205"/>
      <c r="R703" s="206"/>
      <c r="S703" s="222"/>
      <c r="T703" s="207"/>
      <c r="U703" s="83"/>
    </row>
    <row r="704" spans="12:21" ht="13.5" customHeight="1">
      <c r="L704" s="82"/>
      <c r="M704" s="110">
        <v>679</v>
      </c>
      <c r="N704" s="223"/>
      <c r="O704" s="223"/>
      <c r="P704" s="223"/>
      <c r="Q704" s="205"/>
      <c r="R704" s="206"/>
      <c r="S704" s="222"/>
      <c r="T704" s="207"/>
      <c r="U704" s="83"/>
    </row>
    <row r="705" spans="12:21" ht="13.5" customHeight="1">
      <c r="L705" s="82"/>
      <c r="M705" s="110">
        <v>680</v>
      </c>
      <c r="N705" s="223"/>
      <c r="O705" s="223"/>
      <c r="P705" s="223"/>
      <c r="Q705" s="205"/>
      <c r="R705" s="206"/>
      <c r="S705" s="222"/>
      <c r="T705" s="207"/>
      <c r="U705" s="83"/>
    </row>
    <row r="706" spans="12:21" ht="13.5" customHeight="1">
      <c r="L706" s="82"/>
      <c r="M706" s="110">
        <v>681</v>
      </c>
      <c r="N706" s="223"/>
      <c r="O706" s="223"/>
      <c r="P706" s="223"/>
      <c r="Q706" s="205"/>
      <c r="R706" s="206"/>
      <c r="S706" s="222"/>
      <c r="T706" s="207"/>
      <c r="U706" s="83"/>
    </row>
    <row r="707" spans="12:21" ht="13.5" customHeight="1">
      <c r="L707" s="82"/>
      <c r="M707" s="110">
        <v>682</v>
      </c>
      <c r="N707" s="223"/>
      <c r="O707" s="223"/>
      <c r="P707" s="223"/>
      <c r="Q707" s="205"/>
      <c r="R707" s="206"/>
      <c r="S707" s="222"/>
      <c r="T707" s="207"/>
      <c r="U707" s="83"/>
    </row>
    <row r="708" spans="12:21" ht="13.5" customHeight="1">
      <c r="L708" s="82"/>
      <c r="M708" s="110">
        <v>683</v>
      </c>
      <c r="N708" s="223"/>
      <c r="O708" s="223"/>
      <c r="P708" s="223"/>
      <c r="Q708" s="205"/>
      <c r="R708" s="206"/>
      <c r="S708" s="222"/>
      <c r="T708" s="207"/>
      <c r="U708" s="83"/>
    </row>
    <row r="709" spans="12:21" ht="13.5" customHeight="1">
      <c r="L709" s="82"/>
      <c r="M709" s="110">
        <v>684</v>
      </c>
      <c r="N709" s="223"/>
      <c r="O709" s="223"/>
      <c r="P709" s="223"/>
      <c r="Q709" s="205"/>
      <c r="R709" s="206"/>
      <c r="S709" s="222"/>
      <c r="T709" s="207"/>
      <c r="U709" s="83"/>
    </row>
    <row r="710" spans="12:21" ht="13.5" customHeight="1">
      <c r="L710" s="82"/>
      <c r="M710" s="110">
        <v>685</v>
      </c>
      <c r="N710" s="223"/>
      <c r="O710" s="223"/>
      <c r="P710" s="223"/>
      <c r="Q710" s="205"/>
      <c r="R710" s="206"/>
      <c r="S710" s="222"/>
      <c r="T710" s="207"/>
      <c r="U710" s="83"/>
    </row>
    <row r="711" spans="12:21" ht="13.5" customHeight="1">
      <c r="L711" s="82"/>
      <c r="M711" s="110">
        <v>686</v>
      </c>
      <c r="N711" s="223"/>
      <c r="O711" s="223"/>
      <c r="P711" s="223"/>
      <c r="Q711" s="205"/>
      <c r="R711" s="206"/>
      <c r="S711" s="222"/>
      <c r="T711" s="207"/>
      <c r="U711" s="83"/>
    </row>
    <row r="712" spans="12:21" ht="13.5" customHeight="1">
      <c r="L712" s="82"/>
      <c r="M712" s="110">
        <v>687</v>
      </c>
      <c r="N712" s="223"/>
      <c r="O712" s="223"/>
      <c r="P712" s="223"/>
      <c r="Q712" s="205"/>
      <c r="R712" s="206"/>
      <c r="S712" s="222"/>
      <c r="T712" s="207"/>
      <c r="U712" s="83"/>
    </row>
    <row r="713" spans="12:21" ht="13.5" customHeight="1">
      <c r="L713" s="82"/>
      <c r="M713" s="110">
        <v>688</v>
      </c>
      <c r="N713" s="223"/>
      <c r="O713" s="223"/>
      <c r="P713" s="223"/>
      <c r="Q713" s="205"/>
      <c r="R713" s="206"/>
      <c r="S713" s="222"/>
      <c r="T713" s="207"/>
      <c r="U713" s="83"/>
    </row>
    <row r="714" spans="12:21" ht="13.5" customHeight="1">
      <c r="L714" s="82"/>
      <c r="M714" s="110">
        <v>689</v>
      </c>
      <c r="N714" s="223"/>
      <c r="O714" s="223"/>
      <c r="P714" s="223"/>
      <c r="Q714" s="205"/>
      <c r="R714" s="206"/>
      <c r="S714" s="222"/>
      <c r="T714" s="207"/>
      <c r="U714" s="83"/>
    </row>
    <row r="715" spans="12:21" ht="13.5" customHeight="1">
      <c r="L715" s="82"/>
      <c r="M715" s="110">
        <v>690</v>
      </c>
      <c r="N715" s="223"/>
      <c r="O715" s="223"/>
      <c r="P715" s="223"/>
      <c r="Q715" s="205"/>
      <c r="R715" s="206"/>
      <c r="S715" s="222"/>
      <c r="T715" s="207"/>
      <c r="U715" s="83"/>
    </row>
    <row r="716" spans="12:21" ht="13.5" customHeight="1">
      <c r="L716" s="82"/>
      <c r="M716" s="110">
        <v>691</v>
      </c>
      <c r="N716" s="223"/>
      <c r="O716" s="223"/>
      <c r="P716" s="223"/>
      <c r="Q716" s="205"/>
      <c r="R716" s="206"/>
      <c r="S716" s="222"/>
      <c r="T716" s="207"/>
      <c r="U716" s="83"/>
    </row>
    <row r="717" spans="12:21" ht="13.5" customHeight="1">
      <c r="L717" s="82"/>
      <c r="M717" s="110">
        <v>692</v>
      </c>
      <c r="N717" s="223"/>
      <c r="O717" s="223"/>
      <c r="P717" s="223"/>
      <c r="Q717" s="205"/>
      <c r="R717" s="206"/>
      <c r="S717" s="222"/>
      <c r="T717" s="207"/>
      <c r="U717" s="83"/>
    </row>
    <row r="718" spans="12:21" ht="13.5" customHeight="1">
      <c r="L718" s="82"/>
      <c r="M718" s="110">
        <v>693</v>
      </c>
      <c r="N718" s="223"/>
      <c r="O718" s="223"/>
      <c r="P718" s="223"/>
      <c r="Q718" s="205"/>
      <c r="R718" s="206"/>
      <c r="S718" s="222"/>
      <c r="T718" s="207"/>
      <c r="U718" s="83"/>
    </row>
    <row r="719" spans="12:21" ht="13.5" customHeight="1">
      <c r="L719" s="82"/>
      <c r="M719" s="110">
        <v>694</v>
      </c>
      <c r="N719" s="223"/>
      <c r="O719" s="223"/>
      <c r="P719" s="223"/>
      <c r="Q719" s="205"/>
      <c r="R719" s="206"/>
      <c r="S719" s="222"/>
      <c r="T719" s="207"/>
      <c r="U719" s="83"/>
    </row>
    <row r="720" spans="12:21" ht="13.5" customHeight="1">
      <c r="L720" s="82"/>
      <c r="M720" s="110">
        <v>695</v>
      </c>
      <c r="N720" s="223"/>
      <c r="O720" s="223"/>
      <c r="P720" s="223"/>
      <c r="Q720" s="205"/>
      <c r="R720" s="206"/>
      <c r="S720" s="222"/>
      <c r="T720" s="207"/>
      <c r="U720" s="83"/>
    </row>
    <row r="721" spans="12:21" ht="13.5" customHeight="1">
      <c r="L721" s="82"/>
      <c r="M721" s="110">
        <v>696</v>
      </c>
      <c r="N721" s="223"/>
      <c r="O721" s="223"/>
      <c r="P721" s="223"/>
      <c r="Q721" s="205"/>
      <c r="R721" s="206"/>
      <c r="S721" s="222"/>
      <c r="T721" s="207"/>
      <c r="U721" s="83"/>
    </row>
    <row r="722" spans="12:21" ht="13.5" customHeight="1">
      <c r="L722" s="82"/>
      <c r="M722" s="110">
        <v>697</v>
      </c>
      <c r="N722" s="223"/>
      <c r="O722" s="223"/>
      <c r="P722" s="223"/>
      <c r="Q722" s="205"/>
      <c r="R722" s="206"/>
      <c r="S722" s="222"/>
      <c r="T722" s="207"/>
      <c r="U722" s="83"/>
    </row>
    <row r="723" spans="12:21" ht="13.5" customHeight="1">
      <c r="L723" s="82"/>
      <c r="M723" s="110">
        <v>698</v>
      </c>
      <c r="N723" s="223"/>
      <c r="O723" s="223"/>
      <c r="P723" s="223"/>
      <c r="Q723" s="205"/>
      <c r="R723" s="206"/>
      <c r="S723" s="222"/>
      <c r="T723" s="207"/>
      <c r="U723" s="83"/>
    </row>
    <row r="724" spans="12:21" ht="13.5" customHeight="1">
      <c r="L724" s="82"/>
      <c r="M724" s="110">
        <v>699</v>
      </c>
      <c r="N724" s="223"/>
      <c r="O724" s="223"/>
      <c r="P724" s="223"/>
      <c r="Q724" s="205"/>
      <c r="R724" s="206"/>
      <c r="S724" s="222"/>
      <c r="T724" s="207"/>
      <c r="U724" s="83"/>
    </row>
    <row r="725" spans="12:21" ht="13.5" customHeight="1">
      <c r="L725" s="82"/>
      <c r="M725" s="110">
        <v>700</v>
      </c>
      <c r="N725" s="223"/>
      <c r="O725" s="223"/>
      <c r="P725" s="223"/>
      <c r="Q725" s="205"/>
      <c r="R725" s="206"/>
      <c r="S725" s="222"/>
      <c r="T725" s="207"/>
      <c r="U725" s="83"/>
    </row>
    <row r="726" spans="12:21" ht="13.5" customHeight="1">
      <c r="L726" s="82"/>
      <c r="M726" s="110">
        <v>701</v>
      </c>
      <c r="N726" s="223"/>
      <c r="O726" s="223"/>
      <c r="P726" s="223"/>
      <c r="Q726" s="205"/>
      <c r="R726" s="206"/>
      <c r="S726" s="222"/>
      <c r="T726" s="207"/>
      <c r="U726" s="83"/>
    </row>
    <row r="727" spans="12:21" ht="13.5" customHeight="1">
      <c r="L727" s="82"/>
      <c r="M727" s="110">
        <v>702</v>
      </c>
      <c r="N727" s="223"/>
      <c r="O727" s="223"/>
      <c r="P727" s="223"/>
      <c r="Q727" s="205"/>
      <c r="R727" s="206"/>
      <c r="S727" s="222"/>
      <c r="T727" s="207"/>
      <c r="U727" s="83"/>
    </row>
    <row r="728" spans="12:21" ht="13.5" customHeight="1">
      <c r="L728" s="82"/>
      <c r="M728" s="110">
        <v>703</v>
      </c>
      <c r="N728" s="223"/>
      <c r="O728" s="223"/>
      <c r="P728" s="223"/>
      <c r="Q728" s="205"/>
      <c r="R728" s="206"/>
      <c r="S728" s="222"/>
      <c r="T728" s="207"/>
      <c r="U728" s="83"/>
    </row>
    <row r="729" spans="12:21" ht="13.5" customHeight="1">
      <c r="L729" s="82"/>
      <c r="M729" s="110">
        <v>704</v>
      </c>
      <c r="N729" s="223"/>
      <c r="O729" s="223"/>
      <c r="P729" s="223"/>
      <c r="Q729" s="205"/>
      <c r="R729" s="206"/>
      <c r="S729" s="222"/>
      <c r="T729" s="207"/>
      <c r="U729" s="83"/>
    </row>
    <row r="730" spans="12:21" ht="13.5" customHeight="1">
      <c r="L730" s="82"/>
      <c r="M730" s="110">
        <v>705</v>
      </c>
      <c r="N730" s="223"/>
      <c r="O730" s="223"/>
      <c r="P730" s="223"/>
      <c r="Q730" s="205"/>
      <c r="R730" s="206"/>
      <c r="S730" s="222"/>
      <c r="T730" s="207"/>
      <c r="U730" s="83"/>
    </row>
    <row r="731" spans="12:21" ht="13.5" customHeight="1">
      <c r="L731" s="82"/>
      <c r="M731" s="110">
        <v>706</v>
      </c>
      <c r="N731" s="223"/>
      <c r="O731" s="223"/>
      <c r="P731" s="223"/>
      <c r="Q731" s="205"/>
      <c r="R731" s="206"/>
      <c r="S731" s="222"/>
      <c r="T731" s="207"/>
      <c r="U731" s="83"/>
    </row>
    <row r="732" spans="12:21" ht="13.5" customHeight="1">
      <c r="L732" s="82"/>
      <c r="M732" s="110">
        <v>707</v>
      </c>
      <c r="N732" s="223"/>
      <c r="O732" s="223"/>
      <c r="P732" s="223"/>
      <c r="Q732" s="205"/>
      <c r="R732" s="206"/>
      <c r="S732" s="222"/>
      <c r="T732" s="207"/>
      <c r="U732" s="83"/>
    </row>
    <row r="733" spans="12:21" ht="13.5" customHeight="1">
      <c r="L733" s="82"/>
      <c r="M733" s="110">
        <v>708</v>
      </c>
      <c r="N733" s="223"/>
      <c r="O733" s="223"/>
      <c r="P733" s="223"/>
      <c r="Q733" s="205"/>
      <c r="R733" s="206"/>
      <c r="S733" s="222"/>
      <c r="T733" s="207"/>
      <c r="U733" s="83"/>
    </row>
    <row r="734" spans="12:21" ht="13.5" customHeight="1">
      <c r="L734" s="82"/>
      <c r="M734" s="110">
        <v>709</v>
      </c>
      <c r="N734" s="223"/>
      <c r="O734" s="223"/>
      <c r="P734" s="223"/>
      <c r="Q734" s="205"/>
      <c r="R734" s="206"/>
      <c r="S734" s="222"/>
      <c r="T734" s="207"/>
      <c r="U734" s="83"/>
    </row>
    <row r="735" spans="12:21" ht="13.5" customHeight="1">
      <c r="L735" s="82"/>
      <c r="M735" s="110">
        <v>710</v>
      </c>
      <c r="N735" s="223"/>
      <c r="O735" s="223"/>
      <c r="P735" s="223"/>
      <c r="Q735" s="205"/>
      <c r="R735" s="206"/>
      <c r="S735" s="222"/>
      <c r="T735" s="207"/>
      <c r="U735" s="83"/>
    </row>
    <row r="736" spans="12:21" ht="13.5" customHeight="1">
      <c r="L736" s="82"/>
      <c r="M736" s="110">
        <v>711</v>
      </c>
      <c r="N736" s="223"/>
      <c r="O736" s="223"/>
      <c r="P736" s="223"/>
      <c r="Q736" s="205"/>
      <c r="R736" s="206"/>
      <c r="S736" s="222"/>
      <c r="T736" s="207"/>
      <c r="U736" s="83"/>
    </row>
    <row r="737" spans="12:21" ht="13.5" customHeight="1">
      <c r="L737" s="82"/>
      <c r="M737" s="110">
        <v>712</v>
      </c>
      <c r="N737" s="223"/>
      <c r="O737" s="223"/>
      <c r="P737" s="223"/>
      <c r="Q737" s="205"/>
      <c r="R737" s="206"/>
      <c r="S737" s="222"/>
      <c r="T737" s="207"/>
      <c r="U737" s="83"/>
    </row>
    <row r="738" spans="12:21" ht="13.5" customHeight="1">
      <c r="L738" s="82"/>
      <c r="M738" s="110">
        <v>713</v>
      </c>
      <c r="N738" s="223"/>
      <c r="O738" s="223"/>
      <c r="P738" s="223"/>
      <c r="Q738" s="205"/>
      <c r="R738" s="206"/>
      <c r="S738" s="222"/>
      <c r="T738" s="207"/>
      <c r="U738" s="83"/>
    </row>
    <row r="739" spans="12:21" ht="13.5" customHeight="1">
      <c r="L739" s="82"/>
      <c r="M739" s="110">
        <v>714</v>
      </c>
      <c r="N739" s="223"/>
      <c r="O739" s="223"/>
      <c r="P739" s="223"/>
      <c r="Q739" s="205"/>
      <c r="R739" s="206"/>
      <c r="S739" s="222"/>
      <c r="T739" s="207"/>
      <c r="U739" s="83"/>
    </row>
    <row r="740" spans="12:21" ht="13.5" customHeight="1">
      <c r="L740" s="82"/>
      <c r="M740" s="110">
        <v>715</v>
      </c>
      <c r="N740" s="223"/>
      <c r="O740" s="223"/>
      <c r="P740" s="223"/>
      <c r="Q740" s="205"/>
      <c r="R740" s="206"/>
      <c r="S740" s="222"/>
      <c r="T740" s="207"/>
      <c r="U740" s="83"/>
    </row>
    <row r="741" spans="12:21" ht="13.5" customHeight="1">
      <c r="L741" s="82"/>
      <c r="M741" s="110">
        <v>716</v>
      </c>
      <c r="N741" s="223"/>
      <c r="O741" s="223"/>
      <c r="P741" s="223"/>
      <c r="Q741" s="205"/>
      <c r="R741" s="206"/>
      <c r="S741" s="222"/>
      <c r="T741" s="207"/>
      <c r="U741" s="83"/>
    </row>
    <row r="742" spans="12:21" ht="13.5" customHeight="1">
      <c r="L742" s="82"/>
      <c r="M742" s="110">
        <v>717</v>
      </c>
      <c r="N742" s="223"/>
      <c r="O742" s="223"/>
      <c r="P742" s="223"/>
      <c r="Q742" s="205"/>
      <c r="R742" s="206"/>
      <c r="S742" s="222"/>
      <c r="T742" s="207"/>
      <c r="U742" s="83"/>
    </row>
    <row r="743" spans="12:21" ht="13.5" customHeight="1">
      <c r="L743" s="82"/>
      <c r="M743" s="110">
        <v>718</v>
      </c>
      <c r="N743" s="223"/>
      <c r="O743" s="223"/>
      <c r="P743" s="223"/>
      <c r="Q743" s="205"/>
      <c r="R743" s="206"/>
      <c r="S743" s="222"/>
      <c r="T743" s="207"/>
      <c r="U743" s="83"/>
    </row>
    <row r="744" spans="12:21" ht="13.5" customHeight="1">
      <c r="L744" s="82"/>
      <c r="M744" s="110">
        <v>719</v>
      </c>
      <c r="N744" s="223"/>
      <c r="O744" s="223"/>
      <c r="P744" s="223"/>
      <c r="Q744" s="205"/>
      <c r="R744" s="206"/>
      <c r="S744" s="222"/>
      <c r="T744" s="207"/>
      <c r="U744" s="83"/>
    </row>
    <row r="745" spans="12:21" ht="13.5" customHeight="1">
      <c r="L745" s="82"/>
      <c r="M745" s="110">
        <v>720</v>
      </c>
      <c r="N745" s="223"/>
      <c r="O745" s="223"/>
      <c r="P745" s="223"/>
      <c r="Q745" s="205"/>
      <c r="R745" s="206"/>
      <c r="S745" s="222"/>
      <c r="T745" s="207"/>
      <c r="U745" s="83"/>
    </row>
    <row r="746" spans="12:21" ht="13.5" customHeight="1">
      <c r="L746" s="82"/>
      <c r="M746" s="110">
        <v>721</v>
      </c>
      <c r="N746" s="223"/>
      <c r="O746" s="223"/>
      <c r="P746" s="223"/>
      <c r="Q746" s="205"/>
      <c r="R746" s="206"/>
      <c r="S746" s="222"/>
      <c r="T746" s="207"/>
      <c r="U746" s="83"/>
    </row>
    <row r="747" spans="12:21" ht="13.5" customHeight="1">
      <c r="L747" s="82"/>
      <c r="M747" s="110">
        <v>722</v>
      </c>
      <c r="N747" s="223"/>
      <c r="O747" s="223"/>
      <c r="P747" s="223"/>
      <c r="Q747" s="205"/>
      <c r="R747" s="206"/>
      <c r="S747" s="222"/>
      <c r="T747" s="207"/>
      <c r="U747" s="83"/>
    </row>
    <row r="748" spans="12:21" ht="13.5" customHeight="1">
      <c r="L748" s="82"/>
      <c r="M748" s="110">
        <v>723</v>
      </c>
      <c r="N748" s="223"/>
      <c r="O748" s="223"/>
      <c r="P748" s="223"/>
      <c r="Q748" s="205"/>
      <c r="R748" s="206"/>
      <c r="S748" s="222"/>
      <c r="T748" s="207"/>
      <c r="U748" s="83"/>
    </row>
    <row r="749" spans="12:21" ht="13.5" customHeight="1">
      <c r="L749" s="82"/>
      <c r="M749" s="110">
        <v>724</v>
      </c>
      <c r="N749" s="223"/>
      <c r="O749" s="223"/>
      <c r="P749" s="223"/>
      <c r="Q749" s="205"/>
      <c r="R749" s="206"/>
      <c r="S749" s="222"/>
      <c r="T749" s="207"/>
      <c r="U749" s="83"/>
    </row>
    <row r="750" spans="12:21" ht="13.5" customHeight="1">
      <c r="L750" s="82"/>
      <c r="M750" s="110">
        <v>725</v>
      </c>
      <c r="N750" s="223"/>
      <c r="O750" s="223"/>
      <c r="P750" s="223"/>
      <c r="Q750" s="205"/>
      <c r="R750" s="206"/>
      <c r="S750" s="222"/>
      <c r="T750" s="207"/>
      <c r="U750" s="83"/>
    </row>
    <row r="751" spans="12:21" ht="13.5" customHeight="1">
      <c r="L751" s="82"/>
      <c r="M751" s="110">
        <v>726</v>
      </c>
      <c r="N751" s="223"/>
      <c r="O751" s="223"/>
      <c r="P751" s="223"/>
      <c r="Q751" s="205"/>
      <c r="R751" s="206"/>
      <c r="S751" s="222"/>
      <c r="T751" s="207"/>
      <c r="U751" s="83"/>
    </row>
    <row r="752" spans="12:21" ht="13.5" customHeight="1">
      <c r="L752" s="82"/>
      <c r="M752" s="110">
        <v>727</v>
      </c>
      <c r="N752" s="223"/>
      <c r="O752" s="223"/>
      <c r="P752" s="223"/>
      <c r="Q752" s="205"/>
      <c r="R752" s="206"/>
      <c r="S752" s="222"/>
      <c r="T752" s="207"/>
      <c r="U752" s="83"/>
    </row>
    <row r="753" spans="12:21" ht="13.5" customHeight="1">
      <c r="L753" s="82"/>
      <c r="M753" s="110">
        <v>728</v>
      </c>
      <c r="N753" s="223"/>
      <c r="O753" s="223"/>
      <c r="P753" s="223"/>
      <c r="Q753" s="205"/>
      <c r="R753" s="206"/>
      <c r="S753" s="222"/>
      <c r="T753" s="207"/>
      <c r="U753" s="83"/>
    </row>
    <row r="754" spans="12:21" ht="13.5" customHeight="1">
      <c r="L754" s="82"/>
      <c r="M754" s="110">
        <v>729</v>
      </c>
      <c r="N754" s="223"/>
      <c r="O754" s="223"/>
      <c r="P754" s="223"/>
      <c r="Q754" s="205"/>
      <c r="R754" s="206"/>
      <c r="S754" s="222"/>
      <c r="T754" s="207"/>
      <c r="U754" s="83"/>
    </row>
    <row r="755" spans="12:21" ht="13.5" customHeight="1">
      <c r="L755" s="82"/>
      <c r="M755" s="110">
        <v>730</v>
      </c>
      <c r="N755" s="223"/>
      <c r="O755" s="223"/>
      <c r="P755" s="223"/>
      <c r="Q755" s="205"/>
      <c r="R755" s="206"/>
      <c r="S755" s="222"/>
      <c r="T755" s="207"/>
      <c r="U755" s="83"/>
    </row>
    <row r="756" spans="12:21" ht="13.5" customHeight="1">
      <c r="L756" s="82"/>
      <c r="M756" s="110">
        <v>731</v>
      </c>
      <c r="N756" s="223"/>
      <c r="O756" s="223"/>
      <c r="P756" s="223"/>
      <c r="Q756" s="205"/>
      <c r="R756" s="206"/>
      <c r="S756" s="222"/>
      <c r="T756" s="207"/>
      <c r="U756" s="83"/>
    </row>
    <row r="757" spans="12:21" ht="13.5" customHeight="1">
      <c r="L757" s="82"/>
      <c r="M757" s="110">
        <v>732</v>
      </c>
      <c r="N757" s="223"/>
      <c r="O757" s="223"/>
      <c r="P757" s="223"/>
      <c r="Q757" s="205"/>
      <c r="R757" s="206"/>
      <c r="S757" s="222"/>
      <c r="T757" s="207"/>
      <c r="U757" s="83"/>
    </row>
    <row r="758" spans="12:21" ht="13.5" customHeight="1">
      <c r="L758" s="82"/>
      <c r="M758" s="110">
        <v>733</v>
      </c>
      <c r="N758" s="223"/>
      <c r="O758" s="223"/>
      <c r="P758" s="223"/>
      <c r="Q758" s="205"/>
      <c r="R758" s="206"/>
      <c r="S758" s="222"/>
      <c r="T758" s="207"/>
      <c r="U758" s="83"/>
    </row>
    <row r="759" spans="12:21" ht="13.5" customHeight="1">
      <c r="L759" s="82"/>
      <c r="M759" s="110">
        <v>734</v>
      </c>
      <c r="N759" s="223"/>
      <c r="O759" s="223"/>
      <c r="P759" s="223"/>
      <c r="Q759" s="205"/>
      <c r="R759" s="206"/>
      <c r="S759" s="222"/>
      <c r="T759" s="207"/>
      <c r="U759" s="83"/>
    </row>
    <row r="760" spans="12:21" ht="13.5" customHeight="1">
      <c r="L760" s="82"/>
      <c r="M760" s="110">
        <v>735</v>
      </c>
      <c r="N760" s="223"/>
      <c r="O760" s="223"/>
      <c r="P760" s="223"/>
      <c r="Q760" s="205"/>
      <c r="R760" s="206"/>
      <c r="S760" s="222"/>
      <c r="T760" s="207"/>
      <c r="U760" s="83"/>
    </row>
    <row r="761" spans="12:21" ht="13.5" customHeight="1">
      <c r="L761" s="82"/>
      <c r="M761" s="110">
        <v>736</v>
      </c>
      <c r="N761" s="223"/>
      <c r="O761" s="223"/>
      <c r="P761" s="223"/>
      <c r="Q761" s="205"/>
      <c r="R761" s="206"/>
      <c r="S761" s="222"/>
      <c r="T761" s="207"/>
      <c r="U761" s="83"/>
    </row>
    <row r="762" spans="12:21" ht="13.5" customHeight="1">
      <c r="L762" s="82"/>
      <c r="M762" s="110">
        <v>737</v>
      </c>
      <c r="N762" s="223"/>
      <c r="O762" s="223"/>
      <c r="P762" s="223"/>
      <c r="Q762" s="205"/>
      <c r="R762" s="206"/>
      <c r="S762" s="222"/>
      <c r="T762" s="207"/>
      <c r="U762" s="83"/>
    </row>
    <row r="763" spans="12:21" ht="13.5" customHeight="1">
      <c r="L763" s="82"/>
      <c r="M763" s="110">
        <v>738</v>
      </c>
      <c r="N763" s="223"/>
      <c r="O763" s="223"/>
      <c r="P763" s="223"/>
      <c r="Q763" s="205"/>
      <c r="R763" s="206"/>
      <c r="S763" s="222"/>
      <c r="T763" s="207"/>
      <c r="U763" s="83"/>
    </row>
    <row r="764" spans="12:21" ht="13.5" customHeight="1">
      <c r="L764" s="82"/>
      <c r="M764" s="110">
        <v>739</v>
      </c>
      <c r="N764" s="223"/>
      <c r="O764" s="223"/>
      <c r="P764" s="223"/>
      <c r="Q764" s="205"/>
      <c r="R764" s="206"/>
      <c r="S764" s="222"/>
      <c r="T764" s="207"/>
      <c r="U764" s="83"/>
    </row>
    <row r="765" spans="12:21" ht="13.5" customHeight="1">
      <c r="L765" s="82"/>
      <c r="M765" s="110">
        <v>740</v>
      </c>
      <c r="N765" s="223"/>
      <c r="O765" s="223"/>
      <c r="P765" s="223"/>
      <c r="Q765" s="205"/>
      <c r="R765" s="206"/>
      <c r="S765" s="222"/>
      <c r="T765" s="207"/>
      <c r="U765" s="83"/>
    </row>
    <row r="766" spans="12:21" ht="13.5" customHeight="1">
      <c r="L766" s="82"/>
      <c r="M766" s="110">
        <v>741</v>
      </c>
      <c r="N766" s="223"/>
      <c r="O766" s="223"/>
      <c r="P766" s="223"/>
      <c r="Q766" s="205"/>
      <c r="R766" s="206"/>
      <c r="S766" s="222"/>
      <c r="T766" s="207"/>
      <c r="U766" s="83"/>
    </row>
    <row r="767" spans="12:21" ht="13.5" customHeight="1">
      <c r="L767" s="82"/>
      <c r="M767" s="110">
        <v>742</v>
      </c>
      <c r="N767" s="223"/>
      <c r="O767" s="223"/>
      <c r="P767" s="223"/>
      <c r="Q767" s="205"/>
      <c r="R767" s="206"/>
      <c r="S767" s="222"/>
      <c r="T767" s="207"/>
      <c r="U767" s="83"/>
    </row>
    <row r="768" spans="12:21" ht="13.5" customHeight="1">
      <c r="L768" s="82"/>
      <c r="M768" s="110">
        <v>743</v>
      </c>
      <c r="N768" s="223"/>
      <c r="O768" s="223"/>
      <c r="P768" s="223"/>
      <c r="Q768" s="205"/>
      <c r="R768" s="206"/>
      <c r="S768" s="222"/>
      <c r="T768" s="207"/>
      <c r="U768" s="83"/>
    </row>
    <row r="769" spans="12:21" ht="13.5" customHeight="1">
      <c r="L769" s="82"/>
      <c r="M769" s="110">
        <v>744</v>
      </c>
      <c r="N769" s="223"/>
      <c r="O769" s="223"/>
      <c r="P769" s="223"/>
      <c r="Q769" s="205"/>
      <c r="R769" s="206"/>
      <c r="S769" s="222"/>
      <c r="T769" s="207"/>
      <c r="U769" s="83"/>
    </row>
    <row r="770" spans="12:21" ht="13.5" customHeight="1">
      <c r="L770" s="82"/>
      <c r="M770" s="110">
        <v>745</v>
      </c>
      <c r="N770" s="223"/>
      <c r="O770" s="223"/>
      <c r="P770" s="223"/>
      <c r="Q770" s="205"/>
      <c r="R770" s="206"/>
      <c r="S770" s="222"/>
      <c r="T770" s="207"/>
      <c r="U770" s="83"/>
    </row>
    <row r="771" spans="12:21" ht="13.5" customHeight="1">
      <c r="L771" s="82"/>
      <c r="M771" s="110">
        <v>746</v>
      </c>
      <c r="N771" s="223"/>
      <c r="O771" s="223"/>
      <c r="P771" s="223"/>
      <c r="Q771" s="205"/>
      <c r="R771" s="206"/>
      <c r="S771" s="222"/>
      <c r="T771" s="207"/>
      <c r="U771" s="83"/>
    </row>
    <row r="772" spans="12:21" ht="13.5" customHeight="1">
      <c r="L772" s="82"/>
      <c r="M772" s="110">
        <v>747</v>
      </c>
      <c r="N772" s="223"/>
      <c r="O772" s="223"/>
      <c r="P772" s="223"/>
      <c r="Q772" s="205"/>
      <c r="R772" s="206"/>
      <c r="S772" s="222"/>
      <c r="T772" s="207"/>
      <c r="U772" s="83"/>
    </row>
    <row r="773" spans="12:21" ht="13.5" customHeight="1">
      <c r="L773" s="82"/>
      <c r="M773" s="110">
        <v>748</v>
      </c>
      <c r="N773" s="223"/>
      <c r="O773" s="223"/>
      <c r="P773" s="223"/>
      <c r="Q773" s="205"/>
      <c r="R773" s="206"/>
      <c r="S773" s="222"/>
      <c r="T773" s="207"/>
      <c r="U773" s="83"/>
    </row>
    <row r="774" spans="12:21" ht="13.5" customHeight="1">
      <c r="L774" s="82"/>
      <c r="M774" s="110">
        <v>749</v>
      </c>
      <c r="N774" s="223"/>
      <c r="O774" s="223"/>
      <c r="P774" s="223"/>
      <c r="Q774" s="205"/>
      <c r="R774" s="206"/>
      <c r="S774" s="222"/>
      <c r="T774" s="207"/>
      <c r="U774" s="83"/>
    </row>
    <row r="775" spans="12:21" ht="13.5" customHeight="1">
      <c r="L775" s="82"/>
      <c r="M775" s="110">
        <v>750</v>
      </c>
      <c r="N775" s="223"/>
      <c r="O775" s="223"/>
      <c r="P775" s="223"/>
      <c r="Q775" s="205"/>
      <c r="R775" s="206"/>
      <c r="S775" s="222"/>
      <c r="T775" s="207"/>
      <c r="U775" s="83"/>
    </row>
    <row r="776" spans="12:21" ht="13.5" customHeight="1">
      <c r="L776" s="82"/>
      <c r="M776" s="110">
        <v>751</v>
      </c>
      <c r="N776" s="223"/>
      <c r="O776" s="223"/>
      <c r="P776" s="223"/>
      <c r="Q776" s="205"/>
      <c r="R776" s="206"/>
      <c r="S776" s="222"/>
      <c r="T776" s="207"/>
      <c r="U776" s="83"/>
    </row>
    <row r="777" spans="12:21" ht="13.5" customHeight="1">
      <c r="L777" s="82"/>
      <c r="M777" s="110">
        <v>752</v>
      </c>
      <c r="N777" s="223"/>
      <c r="O777" s="223"/>
      <c r="P777" s="223"/>
      <c r="Q777" s="205"/>
      <c r="R777" s="206"/>
      <c r="S777" s="222"/>
      <c r="T777" s="207"/>
      <c r="U777" s="83"/>
    </row>
    <row r="778" spans="12:21" ht="13.5" customHeight="1">
      <c r="L778" s="82"/>
      <c r="M778" s="110">
        <v>753</v>
      </c>
      <c r="N778" s="223"/>
      <c r="O778" s="223"/>
      <c r="P778" s="223"/>
      <c r="Q778" s="205"/>
      <c r="R778" s="206"/>
      <c r="S778" s="222"/>
      <c r="T778" s="207"/>
      <c r="U778" s="83"/>
    </row>
    <row r="779" spans="12:21" ht="13.5" customHeight="1">
      <c r="L779" s="82"/>
      <c r="M779" s="110">
        <v>754</v>
      </c>
      <c r="N779" s="223"/>
      <c r="O779" s="223"/>
      <c r="P779" s="223"/>
      <c r="Q779" s="205"/>
      <c r="R779" s="206"/>
      <c r="S779" s="222"/>
      <c r="T779" s="207"/>
      <c r="U779" s="83"/>
    </row>
    <row r="780" spans="12:21" ht="13.5" customHeight="1">
      <c r="L780" s="82"/>
      <c r="M780" s="110">
        <v>755</v>
      </c>
      <c r="N780" s="223"/>
      <c r="O780" s="223"/>
      <c r="P780" s="223"/>
      <c r="Q780" s="205"/>
      <c r="R780" s="206"/>
      <c r="S780" s="222"/>
      <c r="T780" s="207"/>
      <c r="U780" s="83"/>
    </row>
    <row r="781" spans="12:21" ht="13.5" customHeight="1">
      <c r="L781" s="82"/>
      <c r="M781" s="110">
        <v>756</v>
      </c>
      <c r="N781" s="223"/>
      <c r="O781" s="223"/>
      <c r="P781" s="223"/>
      <c r="Q781" s="205"/>
      <c r="R781" s="206"/>
      <c r="S781" s="222"/>
      <c r="T781" s="207"/>
      <c r="U781" s="83"/>
    </row>
    <row r="782" spans="12:21" ht="13.5" customHeight="1">
      <c r="L782" s="82"/>
      <c r="M782" s="110">
        <v>757</v>
      </c>
      <c r="N782" s="223"/>
      <c r="O782" s="223"/>
      <c r="P782" s="223"/>
      <c r="Q782" s="205"/>
      <c r="R782" s="206"/>
      <c r="S782" s="222"/>
      <c r="T782" s="207"/>
      <c r="U782" s="83"/>
    </row>
    <row r="783" spans="12:21" ht="13.5" customHeight="1">
      <c r="L783" s="82"/>
      <c r="M783" s="110">
        <v>758</v>
      </c>
      <c r="N783" s="223"/>
      <c r="O783" s="223"/>
      <c r="P783" s="223"/>
      <c r="Q783" s="205"/>
      <c r="R783" s="206"/>
      <c r="S783" s="222"/>
      <c r="T783" s="207"/>
      <c r="U783" s="83"/>
    </row>
    <row r="784" spans="12:21" ht="13.5" customHeight="1">
      <c r="L784" s="82"/>
      <c r="M784" s="110">
        <v>759</v>
      </c>
      <c r="N784" s="223"/>
      <c r="O784" s="223"/>
      <c r="P784" s="223"/>
      <c r="Q784" s="205"/>
      <c r="R784" s="206"/>
      <c r="S784" s="222"/>
      <c r="T784" s="207"/>
      <c r="U784" s="83"/>
    </row>
    <row r="785" spans="12:21" ht="13.5" customHeight="1">
      <c r="L785" s="82"/>
      <c r="M785" s="110">
        <v>760</v>
      </c>
      <c r="N785" s="223"/>
      <c r="O785" s="223"/>
      <c r="P785" s="223"/>
      <c r="Q785" s="205"/>
      <c r="R785" s="206"/>
      <c r="S785" s="222"/>
      <c r="T785" s="207"/>
      <c r="U785" s="83"/>
    </row>
    <row r="786" spans="12:21" ht="13.5" customHeight="1">
      <c r="L786" s="82"/>
      <c r="M786" s="110">
        <v>761</v>
      </c>
      <c r="N786" s="223"/>
      <c r="O786" s="223"/>
      <c r="P786" s="223"/>
      <c r="Q786" s="205"/>
      <c r="R786" s="206"/>
      <c r="S786" s="222"/>
      <c r="T786" s="207"/>
      <c r="U786" s="83"/>
    </row>
    <row r="787" spans="12:21" ht="13.5" customHeight="1">
      <c r="L787" s="82"/>
      <c r="M787" s="110">
        <v>762</v>
      </c>
      <c r="N787" s="223"/>
      <c r="O787" s="223"/>
      <c r="P787" s="223"/>
      <c r="Q787" s="205"/>
      <c r="R787" s="206"/>
      <c r="S787" s="222"/>
      <c r="T787" s="207"/>
      <c r="U787" s="83"/>
    </row>
    <row r="788" spans="12:21" ht="13.5" customHeight="1">
      <c r="L788" s="82"/>
      <c r="M788" s="110">
        <v>763</v>
      </c>
      <c r="N788" s="223"/>
      <c r="O788" s="223"/>
      <c r="P788" s="223"/>
      <c r="Q788" s="205"/>
      <c r="R788" s="206"/>
      <c r="S788" s="222"/>
      <c r="T788" s="207"/>
      <c r="U788" s="83"/>
    </row>
    <row r="789" spans="12:21" ht="13.5" customHeight="1">
      <c r="L789" s="82"/>
      <c r="M789" s="110">
        <v>764</v>
      </c>
      <c r="N789" s="223"/>
      <c r="O789" s="223"/>
      <c r="P789" s="223"/>
      <c r="Q789" s="205"/>
      <c r="R789" s="206"/>
      <c r="S789" s="222"/>
      <c r="T789" s="207"/>
      <c r="U789" s="83"/>
    </row>
    <row r="790" spans="12:21" ht="13.5" customHeight="1">
      <c r="L790" s="82"/>
      <c r="M790" s="110">
        <v>765</v>
      </c>
      <c r="N790" s="223"/>
      <c r="O790" s="223"/>
      <c r="P790" s="223"/>
      <c r="Q790" s="205"/>
      <c r="R790" s="206"/>
      <c r="S790" s="222"/>
      <c r="T790" s="207"/>
      <c r="U790" s="83"/>
    </row>
    <row r="791" spans="12:21" ht="13.5" customHeight="1">
      <c r="L791" s="82"/>
      <c r="M791" s="110">
        <v>766</v>
      </c>
      <c r="N791" s="223"/>
      <c r="O791" s="223"/>
      <c r="P791" s="223"/>
      <c r="Q791" s="205"/>
      <c r="R791" s="206"/>
      <c r="S791" s="222"/>
      <c r="T791" s="207"/>
      <c r="U791" s="83"/>
    </row>
    <row r="792" spans="12:21" ht="13.5" customHeight="1">
      <c r="L792" s="82"/>
      <c r="M792" s="110">
        <v>767</v>
      </c>
      <c r="N792" s="223"/>
      <c r="O792" s="223"/>
      <c r="P792" s="223"/>
      <c r="Q792" s="205"/>
      <c r="R792" s="206"/>
      <c r="S792" s="222"/>
      <c r="T792" s="207"/>
      <c r="U792" s="83"/>
    </row>
    <row r="793" spans="12:21" ht="13.5" customHeight="1">
      <c r="L793" s="82"/>
      <c r="M793" s="110">
        <v>768</v>
      </c>
      <c r="N793" s="223"/>
      <c r="O793" s="223"/>
      <c r="P793" s="223"/>
      <c r="Q793" s="205"/>
      <c r="R793" s="206"/>
      <c r="S793" s="222"/>
      <c r="T793" s="207"/>
      <c r="U793" s="83"/>
    </row>
    <row r="794" spans="12:21" ht="13.5" customHeight="1">
      <c r="L794" s="82"/>
      <c r="M794" s="110">
        <v>769</v>
      </c>
      <c r="N794" s="223"/>
      <c r="O794" s="223"/>
      <c r="P794" s="223"/>
      <c r="Q794" s="205"/>
      <c r="R794" s="206"/>
      <c r="S794" s="222"/>
      <c r="T794" s="207"/>
      <c r="U794" s="83"/>
    </row>
    <row r="795" spans="12:21" ht="13.5" customHeight="1">
      <c r="L795" s="82"/>
      <c r="M795" s="110">
        <v>770</v>
      </c>
      <c r="N795" s="223"/>
      <c r="O795" s="223"/>
      <c r="P795" s="223"/>
      <c r="Q795" s="205"/>
      <c r="R795" s="206"/>
      <c r="S795" s="222"/>
      <c r="T795" s="207"/>
      <c r="U795" s="83"/>
    </row>
    <row r="796" spans="12:21" ht="13.5" customHeight="1">
      <c r="L796" s="82"/>
      <c r="M796" s="110">
        <v>771</v>
      </c>
      <c r="N796" s="223"/>
      <c r="O796" s="223"/>
      <c r="P796" s="223"/>
      <c r="Q796" s="205"/>
      <c r="R796" s="206"/>
      <c r="S796" s="222"/>
      <c r="T796" s="207"/>
      <c r="U796" s="83"/>
    </row>
    <row r="797" spans="12:21" ht="13.5" customHeight="1">
      <c r="L797" s="82"/>
      <c r="M797" s="110">
        <v>772</v>
      </c>
      <c r="N797" s="223"/>
      <c r="O797" s="223"/>
      <c r="P797" s="223"/>
      <c r="Q797" s="205"/>
      <c r="R797" s="206"/>
      <c r="S797" s="222"/>
      <c r="T797" s="207"/>
      <c r="U797" s="83"/>
    </row>
    <row r="798" spans="12:21" ht="13.5" customHeight="1">
      <c r="L798" s="82"/>
      <c r="M798" s="110">
        <v>773</v>
      </c>
      <c r="N798" s="223"/>
      <c r="O798" s="223"/>
      <c r="P798" s="223"/>
      <c r="Q798" s="205"/>
      <c r="R798" s="206"/>
      <c r="S798" s="222"/>
      <c r="T798" s="207"/>
      <c r="U798" s="83"/>
    </row>
    <row r="799" spans="12:21" ht="13.5" customHeight="1">
      <c r="L799" s="82"/>
      <c r="M799" s="110">
        <v>774</v>
      </c>
      <c r="N799" s="223"/>
      <c r="O799" s="223"/>
      <c r="P799" s="223"/>
      <c r="Q799" s="205"/>
      <c r="R799" s="206"/>
      <c r="S799" s="222"/>
      <c r="T799" s="207"/>
      <c r="U799" s="83"/>
    </row>
    <row r="800" spans="12:21" ht="13.5" customHeight="1">
      <c r="L800" s="82"/>
      <c r="M800" s="110">
        <v>775</v>
      </c>
      <c r="N800" s="223"/>
      <c r="O800" s="223"/>
      <c r="P800" s="223"/>
      <c r="Q800" s="205"/>
      <c r="R800" s="206"/>
      <c r="S800" s="222"/>
      <c r="T800" s="207"/>
      <c r="U800" s="83"/>
    </row>
    <row r="801" spans="12:21" ht="13.5" customHeight="1">
      <c r="L801" s="82"/>
      <c r="M801" s="110">
        <v>776</v>
      </c>
      <c r="N801" s="223"/>
      <c r="O801" s="223"/>
      <c r="P801" s="223"/>
      <c r="Q801" s="205"/>
      <c r="R801" s="206"/>
      <c r="S801" s="222"/>
      <c r="T801" s="207"/>
      <c r="U801" s="83"/>
    </row>
    <row r="802" spans="12:21" ht="13.5" customHeight="1">
      <c r="L802" s="82"/>
      <c r="M802" s="110">
        <v>777</v>
      </c>
      <c r="N802" s="223"/>
      <c r="O802" s="223"/>
      <c r="P802" s="223"/>
      <c r="Q802" s="205"/>
      <c r="R802" s="206"/>
      <c r="S802" s="222"/>
      <c r="T802" s="207"/>
      <c r="U802" s="83"/>
    </row>
    <row r="803" spans="12:21" ht="13.5" customHeight="1">
      <c r="L803" s="82"/>
      <c r="M803" s="110">
        <v>778</v>
      </c>
      <c r="N803" s="223"/>
      <c r="O803" s="223"/>
      <c r="P803" s="223"/>
      <c r="Q803" s="205"/>
      <c r="R803" s="206"/>
      <c r="S803" s="222"/>
      <c r="T803" s="207"/>
      <c r="U803" s="83"/>
    </row>
    <row r="804" spans="12:21" ht="13.5" customHeight="1">
      <c r="L804" s="82"/>
      <c r="M804" s="110">
        <v>779</v>
      </c>
      <c r="N804" s="223"/>
      <c r="O804" s="223"/>
      <c r="P804" s="223"/>
      <c r="Q804" s="205"/>
      <c r="R804" s="206"/>
      <c r="S804" s="222"/>
      <c r="T804" s="207"/>
      <c r="U804" s="83"/>
    </row>
    <row r="805" spans="12:21" ht="13.5" customHeight="1">
      <c r="L805" s="82"/>
      <c r="M805" s="110">
        <v>780</v>
      </c>
      <c r="N805" s="223"/>
      <c r="O805" s="223"/>
      <c r="P805" s="223"/>
      <c r="Q805" s="205"/>
      <c r="R805" s="206"/>
      <c r="S805" s="222"/>
      <c r="T805" s="207"/>
      <c r="U805" s="83"/>
    </row>
    <row r="806" spans="12:21" ht="13.5" customHeight="1">
      <c r="L806" s="82"/>
      <c r="M806" s="110">
        <v>781</v>
      </c>
      <c r="N806" s="223"/>
      <c r="O806" s="223"/>
      <c r="P806" s="223"/>
      <c r="Q806" s="205"/>
      <c r="R806" s="206"/>
      <c r="S806" s="222"/>
      <c r="T806" s="207"/>
      <c r="U806" s="83"/>
    </row>
    <row r="807" spans="12:21" ht="13.5" customHeight="1">
      <c r="L807" s="82"/>
      <c r="M807" s="110">
        <v>782</v>
      </c>
      <c r="N807" s="223"/>
      <c r="O807" s="223"/>
      <c r="P807" s="223"/>
      <c r="Q807" s="205"/>
      <c r="R807" s="206"/>
      <c r="S807" s="222"/>
      <c r="T807" s="207"/>
      <c r="U807" s="83"/>
    </row>
    <row r="808" spans="12:21" ht="13.5" customHeight="1">
      <c r="L808" s="82"/>
      <c r="M808" s="110">
        <v>783</v>
      </c>
      <c r="N808" s="223"/>
      <c r="O808" s="223"/>
      <c r="P808" s="223"/>
      <c r="Q808" s="205"/>
      <c r="R808" s="206"/>
      <c r="S808" s="222"/>
      <c r="T808" s="207"/>
      <c r="U808" s="83"/>
    </row>
    <row r="809" spans="12:21" ht="13.5" customHeight="1">
      <c r="L809" s="82"/>
      <c r="M809" s="110">
        <v>784</v>
      </c>
      <c r="N809" s="223"/>
      <c r="O809" s="223"/>
      <c r="P809" s="223"/>
      <c r="Q809" s="205"/>
      <c r="R809" s="206"/>
      <c r="S809" s="222"/>
      <c r="T809" s="207"/>
      <c r="U809" s="83"/>
    </row>
    <row r="810" spans="12:21" ht="13.5" customHeight="1">
      <c r="L810" s="82"/>
      <c r="M810" s="110">
        <v>785</v>
      </c>
      <c r="N810" s="223"/>
      <c r="O810" s="223"/>
      <c r="P810" s="223"/>
      <c r="Q810" s="205"/>
      <c r="R810" s="206"/>
      <c r="S810" s="222"/>
      <c r="T810" s="207"/>
      <c r="U810" s="83"/>
    </row>
    <row r="811" spans="12:21" ht="13.5" customHeight="1">
      <c r="L811" s="82"/>
      <c r="M811" s="110">
        <v>786</v>
      </c>
      <c r="N811" s="223"/>
      <c r="O811" s="223"/>
      <c r="P811" s="223"/>
      <c r="Q811" s="205"/>
      <c r="R811" s="206"/>
      <c r="S811" s="222"/>
      <c r="T811" s="207"/>
      <c r="U811" s="83"/>
    </row>
    <row r="812" spans="12:21" ht="13.5" customHeight="1">
      <c r="L812" s="82"/>
      <c r="M812" s="110">
        <v>787</v>
      </c>
      <c r="N812" s="223"/>
      <c r="O812" s="223"/>
      <c r="P812" s="223"/>
      <c r="Q812" s="205"/>
      <c r="R812" s="206"/>
      <c r="S812" s="222"/>
      <c r="T812" s="207"/>
      <c r="U812" s="83"/>
    </row>
    <row r="813" spans="12:21" ht="13.5" customHeight="1">
      <c r="L813" s="82"/>
      <c r="M813" s="110">
        <v>788</v>
      </c>
      <c r="N813" s="223"/>
      <c r="O813" s="223"/>
      <c r="P813" s="223"/>
      <c r="Q813" s="205"/>
      <c r="R813" s="206"/>
      <c r="S813" s="222"/>
      <c r="T813" s="207"/>
      <c r="U813" s="83"/>
    </row>
    <row r="814" spans="12:21" ht="13.5" customHeight="1">
      <c r="L814" s="82"/>
      <c r="M814" s="110">
        <v>789</v>
      </c>
      <c r="N814" s="223"/>
      <c r="O814" s="223"/>
      <c r="P814" s="223"/>
      <c r="Q814" s="205"/>
      <c r="R814" s="206"/>
      <c r="S814" s="222"/>
      <c r="T814" s="207"/>
      <c r="U814" s="83"/>
    </row>
    <row r="815" spans="12:21" ht="13.5" customHeight="1">
      <c r="L815" s="82"/>
      <c r="M815" s="110">
        <v>790</v>
      </c>
      <c r="N815" s="223"/>
      <c r="O815" s="223"/>
      <c r="P815" s="223"/>
      <c r="Q815" s="205"/>
      <c r="R815" s="206"/>
      <c r="S815" s="222"/>
      <c r="T815" s="207"/>
      <c r="U815" s="83"/>
    </row>
    <row r="816" spans="12:21" ht="13.5" customHeight="1">
      <c r="L816" s="82"/>
      <c r="M816" s="110">
        <v>791</v>
      </c>
      <c r="N816" s="223"/>
      <c r="O816" s="223"/>
      <c r="P816" s="223"/>
      <c r="Q816" s="205"/>
      <c r="R816" s="206"/>
      <c r="S816" s="222"/>
      <c r="T816" s="207"/>
      <c r="U816" s="83"/>
    </row>
    <row r="817" spans="12:21" ht="13.5" customHeight="1">
      <c r="L817" s="82"/>
      <c r="M817" s="110">
        <v>792</v>
      </c>
      <c r="N817" s="223"/>
      <c r="O817" s="223"/>
      <c r="P817" s="223"/>
      <c r="Q817" s="205"/>
      <c r="R817" s="206"/>
      <c r="S817" s="222"/>
      <c r="T817" s="207"/>
      <c r="U817" s="83"/>
    </row>
    <row r="818" spans="12:21" ht="13.5" customHeight="1">
      <c r="L818" s="82"/>
      <c r="M818" s="110">
        <v>793</v>
      </c>
      <c r="N818" s="223"/>
      <c r="O818" s="223"/>
      <c r="P818" s="223"/>
      <c r="Q818" s="205"/>
      <c r="R818" s="206"/>
      <c r="S818" s="222"/>
      <c r="T818" s="207"/>
      <c r="U818" s="83"/>
    </row>
    <row r="819" spans="12:21" ht="13.5" customHeight="1">
      <c r="L819" s="82"/>
      <c r="M819" s="110">
        <v>794</v>
      </c>
      <c r="N819" s="223"/>
      <c r="O819" s="223"/>
      <c r="P819" s="223"/>
      <c r="Q819" s="205"/>
      <c r="R819" s="206"/>
      <c r="S819" s="222"/>
      <c r="T819" s="207"/>
      <c r="U819" s="83"/>
    </row>
    <row r="820" spans="12:21" ht="13.5" customHeight="1">
      <c r="L820" s="82"/>
      <c r="M820" s="110">
        <v>795</v>
      </c>
      <c r="N820" s="223"/>
      <c r="O820" s="223"/>
      <c r="P820" s="223"/>
      <c r="Q820" s="205"/>
      <c r="R820" s="206"/>
      <c r="S820" s="222"/>
      <c r="T820" s="207"/>
      <c r="U820" s="83"/>
    </row>
    <row r="821" spans="12:21" ht="13.5" customHeight="1">
      <c r="L821" s="82"/>
      <c r="M821" s="110">
        <v>796</v>
      </c>
      <c r="N821" s="223"/>
      <c r="O821" s="223"/>
      <c r="P821" s="223"/>
      <c r="Q821" s="205"/>
      <c r="R821" s="206"/>
      <c r="S821" s="222"/>
      <c r="T821" s="207"/>
      <c r="U821" s="83"/>
    </row>
    <row r="822" spans="12:21" ht="13.5" customHeight="1">
      <c r="L822" s="82"/>
      <c r="M822" s="110">
        <v>797</v>
      </c>
      <c r="N822" s="223"/>
      <c r="O822" s="223"/>
      <c r="P822" s="223"/>
      <c r="Q822" s="205"/>
      <c r="R822" s="206"/>
      <c r="S822" s="222"/>
      <c r="T822" s="207"/>
      <c r="U822" s="83"/>
    </row>
    <row r="823" spans="12:21" ht="13.5" customHeight="1">
      <c r="L823" s="82"/>
      <c r="M823" s="110">
        <v>798</v>
      </c>
      <c r="N823" s="223"/>
      <c r="O823" s="223"/>
      <c r="P823" s="223"/>
      <c r="Q823" s="205"/>
      <c r="R823" s="206"/>
      <c r="S823" s="222"/>
      <c r="T823" s="207"/>
      <c r="U823" s="83"/>
    </row>
    <row r="824" spans="12:21" ht="13.5" customHeight="1">
      <c r="L824" s="82"/>
      <c r="M824" s="110">
        <v>799</v>
      </c>
      <c r="N824" s="223"/>
      <c r="O824" s="223"/>
      <c r="P824" s="223"/>
      <c r="Q824" s="205"/>
      <c r="R824" s="206"/>
      <c r="S824" s="222"/>
      <c r="T824" s="207"/>
      <c r="U824" s="83"/>
    </row>
    <row r="825" spans="12:21" ht="13.5" customHeight="1">
      <c r="L825" s="82"/>
      <c r="M825" s="110">
        <v>800</v>
      </c>
      <c r="N825" s="223"/>
      <c r="O825" s="223"/>
      <c r="P825" s="223"/>
      <c r="Q825" s="205"/>
      <c r="R825" s="206"/>
      <c r="S825" s="222"/>
      <c r="T825" s="207"/>
      <c r="U825" s="83"/>
    </row>
    <row r="826" spans="12:21" ht="13.5" customHeight="1">
      <c r="L826" s="82"/>
      <c r="M826" s="110">
        <v>801</v>
      </c>
      <c r="N826" s="223"/>
      <c r="O826" s="223"/>
      <c r="P826" s="223"/>
      <c r="Q826" s="205"/>
      <c r="R826" s="206"/>
      <c r="S826" s="222"/>
      <c r="T826" s="207"/>
      <c r="U826" s="83"/>
    </row>
    <row r="827" spans="12:21" ht="13.5" customHeight="1">
      <c r="L827" s="82"/>
      <c r="M827" s="110">
        <v>802</v>
      </c>
      <c r="N827" s="223"/>
      <c r="O827" s="223"/>
      <c r="P827" s="223"/>
      <c r="Q827" s="205"/>
      <c r="R827" s="206"/>
      <c r="S827" s="222"/>
      <c r="T827" s="207"/>
      <c r="U827" s="83"/>
    </row>
    <row r="828" spans="12:21" ht="13.5" customHeight="1">
      <c r="L828" s="82"/>
      <c r="M828" s="110">
        <v>803</v>
      </c>
      <c r="N828" s="223"/>
      <c r="O828" s="223"/>
      <c r="P828" s="223"/>
      <c r="Q828" s="205"/>
      <c r="R828" s="206"/>
      <c r="S828" s="222"/>
      <c r="T828" s="207"/>
      <c r="U828" s="83"/>
    </row>
    <row r="829" spans="12:21" ht="13.5" customHeight="1">
      <c r="L829" s="82"/>
      <c r="M829" s="110">
        <v>804</v>
      </c>
      <c r="N829" s="223"/>
      <c r="O829" s="223"/>
      <c r="P829" s="223"/>
      <c r="Q829" s="205"/>
      <c r="R829" s="206"/>
      <c r="S829" s="222"/>
      <c r="T829" s="207"/>
      <c r="U829" s="83"/>
    </row>
    <row r="830" spans="12:21" ht="13.5" customHeight="1">
      <c r="L830" s="82"/>
      <c r="M830" s="110">
        <v>805</v>
      </c>
      <c r="N830" s="223"/>
      <c r="O830" s="223"/>
      <c r="P830" s="223"/>
      <c r="Q830" s="205"/>
      <c r="R830" s="206"/>
      <c r="S830" s="222"/>
      <c r="T830" s="207"/>
      <c r="U830" s="83"/>
    </row>
    <row r="831" spans="12:21" ht="13.5" customHeight="1">
      <c r="L831" s="82"/>
      <c r="M831" s="110">
        <v>806</v>
      </c>
      <c r="N831" s="223"/>
      <c r="O831" s="223"/>
      <c r="P831" s="223"/>
      <c r="Q831" s="205"/>
      <c r="R831" s="206"/>
      <c r="S831" s="222"/>
      <c r="T831" s="207"/>
      <c r="U831" s="83"/>
    </row>
    <row r="832" spans="12:21" ht="13.5" customHeight="1">
      <c r="L832" s="82"/>
      <c r="M832" s="110">
        <v>807</v>
      </c>
      <c r="N832" s="223"/>
      <c r="O832" s="223"/>
      <c r="P832" s="223"/>
      <c r="Q832" s="205"/>
      <c r="R832" s="206"/>
      <c r="S832" s="222"/>
      <c r="T832" s="207"/>
      <c r="U832" s="83"/>
    </row>
    <row r="833" spans="12:21" ht="13.5" customHeight="1">
      <c r="L833" s="82"/>
      <c r="M833" s="110">
        <v>808</v>
      </c>
      <c r="N833" s="223"/>
      <c r="O833" s="223"/>
      <c r="P833" s="223"/>
      <c r="Q833" s="205"/>
      <c r="R833" s="206"/>
      <c r="S833" s="222"/>
      <c r="T833" s="207"/>
      <c r="U833" s="83"/>
    </row>
    <row r="834" spans="12:21" ht="13.5" customHeight="1">
      <c r="L834" s="82"/>
      <c r="M834" s="110">
        <v>809</v>
      </c>
      <c r="N834" s="223"/>
      <c r="O834" s="223"/>
      <c r="P834" s="223"/>
      <c r="Q834" s="205"/>
      <c r="R834" s="206"/>
      <c r="S834" s="222"/>
      <c r="T834" s="207"/>
      <c r="U834" s="83"/>
    </row>
    <row r="835" spans="12:21" ht="13.5" customHeight="1">
      <c r="L835" s="82"/>
      <c r="M835" s="110">
        <v>810</v>
      </c>
      <c r="N835" s="223"/>
      <c r="O835" s="223"/>
      <c r="P835" s="223"/>
      <c r="Q835" s="205"/>
      <c r="R835" s="206"/>
      <c r="S835" s="222"/>
      <c r="T835" s="207"/>
      <c r="U835" s="83"/>
    </row>
    <row r="836" spans="12:21" ht="13.5" customHeight="1">
      <c r="L836" s="82"/>
      <c r="M836" s="110">
        <v>811</v>
      </c>
      <c r="N836" s="223"/>
      <c r="O836" s="223"/>
      <c r="P836" s="223"/>
      <c r="Q836" s="205"/>
      <c r="R836" s="206"/>
      <c r="S836" s="222"/>
      <c r="T836" s="207"/>
      <c r="U836" s="83"/>
    </row>
    <row r="837" spans="12:21" ht="13.5" customHeight="1">
      <c r="L837" s="82"/>
      <c r="M837" s="110">
        <v>812</v>
      </c>
      <c r="N837" s="223"/>
      <c r="O837" s="223"/>
      <c r="P837" s="223"/>
      <c r="Q837" s="205"/>
      <c r="R837" s="206"/>
      <c r="S837" s="222"/>
      <c r="T837" s="207"/>
      <c r="U837" s="83"/>
    </row>
    <row r="838" spans="12:21" ht="13.5" customHeight="1">
      <c r="L838" s="82"/>
      <c r="M838" s="110">
        <v>813</v>
      </c>
      <c r="N838" s="223"/>
      <c r="O838" s="223"/>
      <c r="P838" s="223"/>
      <c r="Q838" s="205"/>
      <c r="R838" s="206"/>
      <c r="S838" s="222"/>
      <c r="T838" s="207"/>
      <c r="U838" s="83"/>
    </row>
    <row r="839" spans="12:21" ht="13.5" customHeight="1">
      <c r="L839" s="82"/>
      <c r="M839" s="110">
        <v>814</v>
      </c>
      <c r="N839" s="223"/>
      <c r="O839" s="223"/>
      <c r="P839" s="223"/>
      <c r="Q839" s="205"/>
      <c r="R839" s="206"/>
      <c r="S839" s="222"/>
      <c r="T839" s="207"/>
      <c r="U839" s="83"/>
    </row>
    <row r="840" spans="12:21" ht="13.5" customHeight="1">
      <c r="L840" s="82"/>
      <c r="M840" s="110">
        <v>815</v>
      </c>
      <c r="N840" s="223"/>
      <c r="O840" s="223"/>
      <c r="P840" s="223"/>
      <c r="Q840" s="205"/>
      <c r="R840" s="206"/>
      <c r="S840" s="222"/>
      <c r="T840" s="207"/>
      <c r="U840" s="83"/>
    </row>
    <row r="841" spans="12:21" ht="13.5" customHeight="1">
      <c r="L841" s="82"/>
      <c r="M841" s="110">
        <v>816</v>
      </c>
      <c r="N841" s="223"/>
      <c r="O841" s="223"/>
      <c r="P841" s="223"/>
      <c r="Q841" s="205"/>
      <c r="R841" s="206"/>
      <c r="S841" s="222"/>
      <c r="T841" s="207"/>
      <c r="U841" s="83"/>
    </row>
    <row r="842" spans="12:21" ht="13.5" customHeight="1">
      <c r="L842" s="82"/>
      <c r="M842" s="110">
        <v>817</v>
      </c>
      <c r="N842" s="223"/>
      <c r="O842" s="223"/>
      <c r="P842" s="223"/>
      <c r="Q842" s="205"/>
      <c r="R842" s="206"/>
      <c r="S842" s="222"/>
      <c r="T842" s="207"/>
      <c r="U842" s="83"/>
    </row>
    <row r="843" spans="12:21" ht="13.5" customHeight="1">
      <c r="L843" s="82"/>
      <c r="M843" s="110">
        <v>818</v>
      </c>
      <c r="N843" s="223"/>
      <c r="O843" s="223"/>
      <c r="P843" s="223"/>
      <c r="Q843" s="205"/>
      <c r="R843" s="206"/>
      <c r="S843" s="222"/>
      <c r="T843" s="207"/>
      <c r="U843" s="83"/>
    </row>
    <row r="844" spans="12:21" ht="13.5" customHeight="1">
      <c r="L844" s="82"/>
      <c r="M844" s="110">
        <v>819</v>
      </c>
      <c r="N844" s="223"/>
      <c r="O844" s="223"/>
      <c r="P844" s="223"/>
      <c r="Q844" s="205"/>
      <c r="R844" s="206"/>
      <c r="S844" s="222"/>
      <c r="T844" s="207"/>
      <c r="U844" s="83"/>
    </row>
    <row r="845" spans="12:21" ht="13.5" customHeight="1">
      <c r="L845" s="82"/>
      <c r="M845" s="110">
        <v>820</v>
      </c>
      <c r="N845" s="223"/>
      <c r="O845" s="223"/>
      <c r="P845" s="223"/>
      <c r="Q845" s="205"/>
      <c r="R845" s="206"/>
      <c r="S845" s="222"/>
      <c r="T845" s="207"/>
      <c r="U845" s="83"/>
    </row>
    <row r="846" spans="12:21" ht="13.5" customHeight="1">
      <c r="L846" s="82"/>
      <c r="M846" s="110">
        <v>821</v>
      </c>
      <c r="N846" s="223"/>
      <c r="O846" s="223"/>
      <c r="P846" s="223"/>
      <c r="Q846" s="205"/>
      <c r="R846" s="206"/>
      <c r="S846" s="222"/>
      <c r="T846" s="207"/>
      <c r="U846" s="83"/>
    </row>
    <row r="847" spans="12:21" ht="13.5" customHeight="1">
      <c r="L847" s="82"/>
      <c r="M847" s="110">
        <v>822</v>
      </c>
      <c r="N847" s="223"/>
      <c r="O847" s="223"/>
      <c r="P847" s="223"/>
      <c r="Q847" s="205"/>
      <c r="R847" s="206"/>
      <c r="S847" s="222"/>
      <c r="T847" s="207"/>
      <c r="U847" s="83"/>
    </row>
    <row r="848" spans="12:21" ht="13.5" customHeight="1">
      <c r="L848" s="82"/>
      <c r="M848" s="110">
        <v>823</v>
      </c>
      <c r="N848" s="223"/>
      <c r="O848" s="223"/>
      <c r="P848" s="223"/>
      <c r="Q848" s="205"/>
      <c r="R848" s="206"/>
      <c r="S848" s="222"/>
      <c r="T848" s="207"/>
      <c r="U848" s="83"/>
    </row>
    <row r="849" spans="12:21" ht="13.5" customHeight="1">
      <c r="L849" s="82"/>
      <c r="M849" s="110">
        <v>824</v>
      </c>
      <c r="N849" s="223"/>
      <c r="O849" s="223"/>
      <c r="P849" s="223"/>
      <c r="Q849" s="205"/>
      <c r="R849" s="206"/>
      <c r="S849" s="222"/>
      <c r="T849" s="207"/>
      <c r="U849" s="83"/>
    </row>
    <row r="850" spans="12:21" ht="13.5" customHeight="1">
      <c r="L850" s="82"/>
      <c r="M850" s="110">
        <v>825</v>
      </c>
      <c r="N850" s="223"/>
      <c r="O850" s="223"/>
      <c r="P850" s="223"/>
      <c r="Q850" s="205"/>
      <c r="R850" s="206"/>
      <c r="S850" s="222"/>
      <c r="T850" s="207"/>
      <c r="U850" s="83"/>
    </row>
    <row r="851" spans="12:21" ht="13.5" customHeight="1">
      <c r="L851" s="82"/>
      <c r="M851" s="110">
        <v>826</v>
      </c>
      <c r="N851" s="223"/>
      <c r="O851" s="223"/>
      <c r="P851" s="223"/>
      <c r="Q851" s="205"/>
      <c r="R851" s="206"/>
      <c r="S851" s="222"/>
      <c r="T851" s="207"/>
      <c r="U851" s="83"/>
    </row>
    <row r="852" spans="12:21" ht="13.5" customHeight="1">
      <c r="L852" s="82"/>
      <c r="M852" s="110">
        <v>827</v>
      </c>
      <c r="N852" s="223"/>
      <c r="O852" s="223"/>
      <c r="P852" s="223"/>
      <c r="Q852" s="205"/>
      <c r="R852" s="206"/>
      <c r="S852" s="222"/>
      <c r="T852" s="207"/>
      <c r="U852" s="83"/>
    </row>
    <row r="853" spans="12:21" ht="13.5" customHeight="1">
      <c r="L853" s="82"/>
      <c r="M853" s="110">
        <v>828</v>
      </c>
      <c r="N853" s="223"/>
      <c r="O853" s="223"/>
      <c r="P853" s="223"/>
      <c r="Q853" s="205"/>
      <c r="R853" s="206"/>
      <c r="S853" s="222"/>
      <c r="T853" s="207"/>
      <c r="U853" s="83"/>
    </row>
    <row r="854" spans="12:21" ht="13.5" customHeight="1">
      <c r="L854" s="82"/>
      <c r="M854" s="110">
        <v>829</v>
      </c>
      <c r="N854" s="223"/>
      <c r="O854" s="223"/>
      <c r="P854" s="223"/>
      <c r="Q854" s="205"/>
      <c r="R854" s="206"/>
      <c r="S854" s="222"/>
      <c r="T854" s="207"/>
      <c r="U854" s="83"/>
    </row>
    <row r="855" spans="12:21" ht="13.5" customHeight="1">
      <c r="L855" s="82"/>
      <c r="M855" s="110">
        <v>830</v>
      </c>
      <c r="N855" s="223"/>
      <c r="O855" s="223"/>
      <c r="P855" s="223"/>
      <c r="Q855" s="205"/>
      <c r="R855" s="206"/>
      <c r="S855" s="222"/>
      <c r="T855" s="207"/>
      <c r="U855" s="83"/>
    </row>
    <row r="856" spans="12:21" ht="13.5" customHeight="1">
      <c r="L856" s="82"/>
      <c r="M856" s="110">
        <v>831</v>
      </c>
      <c r="N856" s="223"/>
      <c r="O856" s="223"/>
      <c r="P856" s="223"/>
      <c r="Q856" s="205"/>
      <c r="R856" s="206"/>
      <c r="S856" s="222"/>
      <c r="T856" s="207"/>
      <c r="U856" s="83"/>
    </row>
    <row r="857" spans="12:21" ht="13.5" customHeight="1">
      <c r="L857" s="82"/>
      <c r="M857" s="110">
        <v>832</v>
      </c>
      <c r="N857" s="223"/>
      <c r="O857" s="223"/>
      <c r="P857" s="223"/>
      <c r="Q857" s="205"/>
      <c r="R857" s="206"/>
      <c r="S857" s="222"/>
      <c r="T857" s="207"/>
      <c r="U857" s="83"/>
    </row>
    <row r="858" spans="12:21" ht="13.5" customHeight="1">
      <c r="L858" s="82"/>
      <c r="M858" s="110">
        <v>833</v>
      </c>
      <c r="N858" s="223"/>
      <c r="O858" s="223"/>
      <c r="P858" s="223"/>
      <c r="Q858" s="205"/>
      <c r="R858" s="206"/>
      <c r="S858" s="222"/>
      <c r="T858" s="207"/>
      <c r="U858" s="83"/>
    </row>
    <row r="859" spans="12:21" ht="13.5" customHeight="1">
      <c r="L859" s="82"/>
      <c r="M859" s="110">
        <v>834</v>
      </c>
      <c r="N859" s="223"/>
      <c r="O859" s="223"/>
      <c r="P859" s="223"/>
      <c r="Q859" s="205"/>
      <c r="R859" s="206"/>
      <c r="S859" s="222"/>
      <c r="T859" s="207"/>
      <c r="U859" s="83"/>
    </row>
    <row r="860" spans="12:21" ht="13.5" customHeight="1">
      <c r="L860" s="82"/>
      <c r="M860" s="110">
        <v>835</v>
      </c>
      <c r="N860" s="223"/>
      <c r="O860" s="223"/>
      <c r="P860" s="223"/>
      <c r="Q860" s="205"/>
      <c r="R860" s="206"/>
      <c r="S860" s="222"/>
      <c r="T860" s="207"/>
      <c r="U860" s="83"/>
    </row>
    <row r="861" spans="12:21" ht="13.5" customHeight="1">
      <c r="L861" s="82"/>
      <c r="M861" s="110">
        <v>836</v>
      </c>
      <c r="N861" s="223"/>
      <c r="O861" s="223"/>
      <c r="P861" s="223"/>
      <c r="Q861" s="205"/>
      <c r="R861" s="206"/>
      <c r="S861" s="222"/>
      <c r="T861" s="207"/>
      <c r="U861" s="83"/>
    </row>
    <row r="862" spans="12:21" ht="13.5" customHeight="1">
      <c r="L862" s="82"/>
      <c r="M862" s="110">
        <v>837</v>
      </c>
      <c r="N862" s="223"/>
      <c r="O862" s="223"/>
      <c r="P862" s="223"/>
      <c r="Q862" s="205"/>
      <c r="R862" s="206"/>
      <c r="S862" s="222"/>
      <c r="T862" s="207"/>
      <c r="U862" s="83"/>
    </row>
    <row r="863" spans="12:21" ht="13.5" customHeight="1">
      <c r="L863" s="82"/>
      <c r="M863" s="110">
        <v>838</v>
      </c>
      <c r="N863" s="223"/>
      <c r="O863" s="223"/>
      <c r="P863" s="223"/>
      <c r="Q863" s="205"/>
      <c r="R863" s="206"/>
      <c r="S863" s="222"/>
      <c r="T863" s="207"/>
      <c r="U863" s="83"/>
    </row>
    <row r="864" spans="12:21" ht="13.5" customHeight="1">
      <c r="L864" s="82"/>
      <c r="M864" s="110">
        <v>839</v>
      </c>
      <c r="N864" s="223"/>
      <c r="O864" s="223"/>
      <c r="P864" s="223"/>
      <c r="Q864" s="205"/>
      <c r="R864" s="206"/>
      <c r="S864" s="222"/>
      <c r="T864" s="207"/>
      <c r="U864" s="83"/>
    </row>
    <row r="865" spans="12:21" ht="13.5" customHeight="1">
      <c r="L865" s="82"/>
      <c r="M865" s="110">
        <v>840</v>
      </c>
      <c r="N865" s="223"/>
      <c r="O865" s="223"/>
      <c r="P865" s="223"/>
      <c r="Q865" s="205"/>
      <c r="R865" s="206"/>
      <c r="S865" s="222"/>
      <c r="T865" s="207"/>
      <c r="U865" s="83"/>
    </row>
    <row r="866" spans="12:21" ht="13.5" customHeight="1">
      <c r="L866" s="82"/>
      <c r="M866" s="110">
        <v>841</v>
      </c>
      <c r="N866" s="223"/>
      <c r="O866" s="223"/>
      <c r="P866" s="223"/>
      <c r="Q866" s="205"/>
      <c r="R866" s="206"/>
      <c r="S866" s="222"/>
      <c r="T866" s="207"/>
      <c r="U866" s="83"/>
    </row>
    <row r="867" spans="12:21" ht="13.5" customHeight="1">
      <c r="L867" s="82"/>
      <c r="M867" s="110">
        <v>842</v>
      </c>
      <c r="N867" s="223"/>
      <c r="O867" s="223"/>
      <c r="P867" s="223"/>
      <c r="Q867" s="205"/>
      <c r="R867" s="206"/>
      <c r="S867" s="222"/>
      <c r="T867" s="207"/>
      <c r="U867" s="83"/>
    </row>
    <row r="868" spans="12:21" ht="13.5" customHeight="1">
      <c r="L868" s="82"/>
      <c r="M868" s="110">
        <v>843</v>
      </c>
      <c r="N868" s="223"/>
      <c r="O868" s="223"/>
      <c r="P868" s="223"/>
      <c r="Q868" s="205"/>
      <c r="R868" s="206"/>
      <c r="S868" s="222"/>
      <c r="T868" s="207"/>
      <c r="U868" s="83"/>
    </row>
    <row r="869" spans="12:21" ht="13.5" customHeight="1">
      <c r="L869" s="82"/>
      <c r="M869" s="110">
        <v>844</v>
      </c>
      <c r="N869" s="223"/>
      <c r="O869" s="223"/>
      <c r="P869" s="223"/>
      <c r="Q869" s="205"/>
      <c r="R869" s="206"/>
      <c r="S869" s="222"/>
      <c r="T869" s="207"/>
      <c r="U869" s="83"/>
    </row>
    <row r="870" spans="12:21" ht="13.5" customHeight="1">
      <c r="L870" s="82"/>
      <c r="M870" s="110">
        <v>845</v>
      </c>
      <c r="N870" s="223"/>
      <c r="O870" s="223"/>
      <c r="P870" s="223"/>
      <c r="Q870" s="205"/>
      <c r="R870" s="206"/>
      <c r="S870" s="222"/>
      <c r="T870" s="207"/>
      <c r="U870" s="83"/>
    </row>
    <row r="871" spans="12:21" ht="13.5" customHeight="1">
      <c r="L871" s="82"/>
      <c r="M871" s="110">
        <v>846</v>
      </c>
      <c r="N871" s="223"/>
      <c r="O871" s="223"/>
      <c r="P871" s="223"/>
      <c r="Q871" s="205"/>
      <c r="R871" s="206"/>
      <c r="S871" s="222"/>
      <c r="T871" s="207"/>
      <c r="U871" s="83"/>
    </row>
    <row r="872" spans="12:21" ht="13.5" customHeight="1">
      <c r="L872" s="82"/>
      <c r="M872" s="110">
        <v>847</v>
      </c>
      <c r="N872" s="223"/>
      <c r="O872" s="223"/>
      <c r="P872" s="223"/>
      <c r="Q872" s="205"/>
      <c r="R872" s="206"/>
      <c r="S872" s="222"/>
      <c r="T872" s="207"/>
      <c r="U872" s="83"/>
    </row>
    <row r="873" spans="12:21" ht="13.5" customHeight="1">
      <c r="L873" s="82"/>
      <c r="M873" s="110">
        <v>848</v>
      </c>
      <c r="N873" s="223"/>
      <c r="O873" s="223"/>
      <c r="P873" s="223"/>
      <c r="Q873" s="205"/>
      <c r="R873" s="206"/>
      <c r="S873" s="222"/>
      <c r="T873" s="207"/>
      <c r="U873" s="83"/>
    </row>
    <row r="874" spans="12:21" ht="13.5" customHeight="1">
      <c r="L874" s="82"/>
      <c r="M874" s="110">
        <v>849</v>
      </c>
      <c r="N874" s="223"/>
      <c r="O874" s="223"/>
      <c r="P874" s="223"/>
      <c r="Q874" s="205"/>
      <c r="R874" s="206"/>
      <c r="S874" s="222"/>
      <c r="T874" s="207"/>
      <c r="U874" s="83"/>
    </row>
    <row r="875" spans="12:21" ht="13.5" customHeight="1">
      <c r="L875" s="82"/>
      <c r="M875" s="110">
        <v>850</v>
      </c>
      <c r="N875" s="223"/>
      <c r="O875" s="223"/>
      <c r="P875" s="223"/>
      <c r="Q875" s="205"/>
      <c r="R875" s="206"/>
      <c r="S875" s="222"/>
      <c r="T875" s="207"/>
      <c r="U875" s="83"/>
    </row>
    <row r="876" spans="12:21" ht="13.5" customHeight="1">
      <c r="L876" s="82"/>
      <c r="M876" s="110">
        <v>851</v>
      </c>
      <c r="N876" s="223"/>
      <c r="O876" s="223"/>
      <c r="P876" s="223"/>
      <c r="Q876" s="205"/>
      <c r="R876" s="206"/>
      <c r="S876" s="222"/>
      <c r="T876" s="207"/>
      <c r="U876" s="83"/>
    </row>
    <row r="877" spans="12:21" ht="13.5" customHeight="1">
      <c r="L877" s="82"/>
      <c r="M877" s="110">
        <v>852</v>
      </c>
      <c r="N877" s="223"/>
      <c r="O877" s="223"/>
      <c r="P877" s="223"/>
      <c r="Q877" s="205"/>
      <c r="R877" s="206"/>
      <c r="S877" s="222"/>
      <c r="T877" s="207"/>
      <c r="U877" s="83"/>
    </row>
    <row r="878" spans="12:21" ht="13.5" customHeight="1">
      <c r="L878" s="82"/>
      <c r="M878" s="110">
        <v>853</v>
      </c>
      <c r="N878" s="223"/>
      <c r="O878" s="223"/>
      <c r="P878" s="223"/>
      <c r="Q878" s="205"/>
      <c r="R878" s="206"/>
      <c r="S878" s="222"/>
      <c r="T878" s="207"/>
      <c r="U878" s="83"/>
    </row>
    <row r="879" spans="12:21" ht="13.5" customHeight="1">
      <c r="L879" s="82"/>
      <c r="M879" s="110">
        <v>854</v>
      </c>
      <c r="N879" s="223"/>
      <c r="O879" s="223"/>
      <c r="P879" s="223"/>
      <c r="Q879" s="205"/>
      <c r="R879" s="206"/>
      <c r="S879" s="222"/>
      <c r="T879" s="207"/>
      <c r="U879" s="83"/>
    </row>
    <row r="880" spans="12:21" ht="13.5" customHeight="1">
      <c r="L880" s="82"/>
      <c r="M880" s="110">
        <v>855</v>
      </c>
      <c r="N880" s="223"/>
      <c r="O880" s="223"/>
      <c r="P880" s="223"/>
      <c r="Q880" s="205"/>
      <c r="R880" s="206"/>
      <c r="S880" s="222"/>
      <c r="T880" s="207"/>
      <c r="U880" s="83"/>
    </row>
    <row r="881" spans="12:21" ht="13.5" customHeight="1">
      <c r="L881" s="82"/>
      <c r="M881" s="110">
        <v>856</v>
      </c>
      <c r="N881" s="223"/>
      <c r="O881" s="223"/>
      <c r="P881" s="223"/>
      <c r="Q881" s="205"/>
      <c r="R881" s="206"/>
      <c r="S881" s="222"/>
      <c r="T881" s="207"/>
      <c r="U881" s="83"/>
    </row>
    <row r="882" spans="12:21" ht="13.5" customHeight="1">
      <c r="L882" s="82"/>
      <c r="M882" s="110">
        <v>857</v>
      </c>
      <c r="N882" s="223"/>
      <c r="O882" s="223"/>
      <c r="P882" s="223"/>
      <c r="Q882" s="205"/>
      <c r="R882" s="206"/>
      <c r="S882" s="222"/>
      <c r="T882" s="207"/>
      <c r="U882" s="83"/>
    </row>
    <row r="883" spans="12:21" ht="13.5" customHeight="1">
      <c r="L883" s="82"/>
      <c r="M883" s="110">
        <v>858</v>
      </c>
      <c r="N883" s="223"/>
      <c r="O883" s="223"/>
      <c r="P883" s="223"/>
      <c r="Q883" s="205"/>
      <c r="R883" s="206"/>
      <c r="S883" s="222"/>
      <c r="T883" s="207"/>
      <c r="U883" s="83"/>
    </row>
    <row r="884" spans="12:21" ht="13.5" customHeight="1">
      <c r="L884" s="82"/>
      <c r="M884" s="110">
        <v>859</v>
      </c>
      <c r="N884" s="223"/>
      <c r="O884" s="223"/>
      <c r="P884" s="223"/>
      <c r="Q884" s="205"/>
      <c r="R884" s="206"/>
      <c r="S884" s="222"/>
      <c r="T884" s="207"/>
      <c r="U884" s="83"/>
    </row>
    <row r="885" spans="12:21" ht="13.5" customHeight="1">
      <c r="L885" s="82"/>
      <c r="M885" s="110">
        <v>860</v>
      </c>
      <c r="N885" s="223"/>
      <c r="O885" s="223"/>
      <c r="P885" s="223"/>
      <c r="Q885" s="205"/>
      <c r="R885" s="206"/>
      <c r="S885" s="222"/>
      <c r="T885" s="207"/>
      <c r="U885" s="83"/>
    </row>
    <row r="886" spans="12:21" ht="13.5" customHeight="1">
      <c r="L886" s="82"/>
      <c r="M886" s="110">
        <v>861</v>
      </c>
      <c r="N886" s="223"/>
      <c r="O886" s="223"/>
      <c r="P886" s="223"/>
      <c r="Q886" s="205"/>
      <c r="R886" s="206"/>
      <c r="S886" s="222"/>
      <c r="T886" s="207"/>
      <c r="U886" s="83"/>
    </row>
    <row r="887" spans="12:21" ht="13.5" customHeight="1">
      <c r="L887" s="82"/>
      <c r="M887" s="110">
        <v>862</v>
      </c>
      <c r="N887" s="223"/>
      <c r="O887" s="223"/>
      <c r="P887" s="223"/>
      <c r="Q887" s="205"/>
      <c r="R887" s="206"/>
      <c r="S887" s="222"/>
      <c r="T887" s="207"/>
      <c r="U887" s="83"/>
    </row>
    <row r="888" spans="12:21" ht="13.5" customHeight="1">
      <c r="L888" s="82"/>
      <c r="M888" s="110">
        <v>863</v>
      </c>
      <c r="N888" s="223"/>
      <c r="O888" s="223"/>
      <c r="P888" s="223"/>
      <c r="Q888" s="205"/>
      <c r="R888" s="206"/>
      <c r="S888" s="222"/>
      <c r="T888" s="207"/>
      <c r="U888" s="83"/>
    </row>
    <row r="889" spans="12:21" ht="13.5" customHeight="1">
      <c r="L889" s="82"/>
      <c r="M889" s="110">
        <v>864</v>
      </c>
      <c r="N889" s="223"/>
      <c r="O889" s="223"/>
      <c r="P889" s="223"/>
      <c r="Q889" s="205"/>
      <c r="R889" s="206"/>
      <c r="S889" s="222"/>
      <c r="T889" s="207"/>
      <c r="U889" s="83"/>
    </row>
    <row r="890" spans="12:21" ht="13.5" customHeight="1">
      <c r="L890" s="82"/>
      <c r="M890" s="110">
        <v>865</v>
      </c>
      <c r="N890" s="223"/>
      <c r="O890" s="223"/>
      <c r="P890" s="223"/>
      <c r="Q890" s="205"/>
      <c r="R890" s="206"/>
      <c r="S890" s="222"/>
      <c r="T890" s="207"/>
      <c r="U890" s="83"/>
    </row>
    <row r="891" spans="12:21" ht="13.5" customHeight="1">
      <c r="L891" s="82"/>
      <c r="M891" s="110">
        <v>866</v>
      </c>
      <c r="N891" s="223"/>
      <c r="O891" s="223"/>
      <c r="P891" s="223"/>
      <c r="Q891" s="205"/>
      <c r="R891" s="206"/>
      <c r="S891" s="222"/>
      <c r="T891" s="207"/>
      <c r="U891" s="83"/>
    </row>
    <row r="892" spans="12:21" ht="13.5" customHeight="1">
      <c r="L892" s="82"/>
      <c r="M892" s="110">
        <v>867</v>
      </c>
      <c r="N892" s="223"/>
      <c r="O892" s="223"/>
      <c r="P892" s="223"/>
      <c r="Q892" s="205"/>
      <c r="R892" s="206"/>
      <c r="S892" s="222"/>
      <c r="T892" s="207"/>
      <c r="U892" s="83"/>
    </row>
    <row r="893" spans="12:21" ht="13.5" customHeight="1">
      <c r="L893" s="82"/>
      <c r="M893" s="110">
        <v>868</v>
      </c>
      <c r="N893" s="223"/>
      <c r="O893" s="223"/>
      <c r="P893" s="223"/>
      <c r="Q893" s="205"/>
      <c r="R893" s="206"/>
      <c r="S893" s="222"/>
      <c r="T893" s="207"/>
      <c r="U893" s="83"/>
    </row>
    <row r="894" spans="12:21" ht="13.5" customHeight="1">
      <c r="L894" s="82"/>
      <c r="M894" s="110">
        <v>869</v>
      </c>
      <c r="N894" s="223"/>
      <c r="O894" s="223"/>
      <c r="P894" s="223"/>
      <c r="Q894" s="205"/>
      <c r="R894" s="206"/>
      <c r="S894" s="222"/>
      <c r="T894" s="207"/>
      <c r="U894" s="83"/>
    </row>
    <row r="895" spans="12:21" ht="13.5" customHeight="1">
      <c r="L895" s="82"/>
      <c r="M895" s="110">
        <v>870</v>
      </c>
      <c r="N895" s="223"/>
      <c r="O895" s="223"/>
      <c r="P895" s="223"/>
      <c r="Q895" s="205"/>
      <c r="R895" s="206"/>
      <c r="S895" s="222"/>
      <c r="T895" s="207"/>
      <c r="U895" s="83"/>
    </row>
    <row r="896" spans="12:21" ht="13.5" customHeight="1">
      <c r="L896" s="82"/>
      <c r="M896" s="110">
        <v>871</v>
      </c>
      <c r="N896" s="223"/>
      <c r="O896" s="223"/>
      <c r="P896" s="223"/>
      <c r="Q896" s="205"/>
      <c r="R896" s="206"/>
      <c r="S896" s="222"/>
      <c r="T896" s="207"/>
      <c r="U896" s="83"/>
    </row>
    <row r="897" spans="12:21" ht="13.5" customHeight="1">
      <c r="L897" s="82"/>
      <c r="M897" s="110">
        <v>872</v>
      </c>
      <c r="N897" s="223"/>
      <c r="O897" s="223"/>
      <c r="P897" s="223"/>
      <c r="Q897" s="205"/>
      <c r="R897" s="206"/>
      <c r="S897" s="222"/>
      <c r="T897" s="207"/>
      <c r="U897" s="83"/>
    </row>
    <row r="898" spans="12:21" ht="13.5" customHeight="1">
      <c r="L898" s="82"/>
      <c r="M898" s="110">
        <v>873</v>
      </c>
      <c r="N898" s="223"/>
      <c r="O898" s="223"/>
      <c r="P898" s="223"/>
      <c r="Q898" s="205"/>
      <c r="R898" s="206"/>
      <c r="S898" s="222"/>
      <c r="T898" s="207"/>
      <c r="U898" s="83"/>
    </row>
    <row r="899" spans="12:21" ht="13.5" customHeight="1">
      <c r="L899" s="82"/>
      <c r="M899" s="110">
        <v>874</v>
      </c>
      <c r="N899" s="223"/>
      <c r="O899" s="223"/>
      <c r="P899" s="223"/>
      <c r="Q899" s="205"/>
      <c r="R899" s="206"/>
      <c r="S899" s="222"/>
      <c r="T899" s="207"/>
      <c r="U899" s="83"/>
    </row>
    <row r="900" spans="12:21" ht="13.5" customHeight="1">
      <c r="L900" s="82"/>
      <c r="M900" s="110">
        <v>875</v>
      </c>
      <c r="N900" s="223"/>
      <c r="O900" s="223"/>
      <c r="P900" s="223"/>
      <c r="Q900" s="205"/>
      <c r="R900" s="206"/>
      <c r="S900" s="222"/>
      <c r="T900" s="207"/>
      <c r="U900" s="83"/>
    </row>
    <row r="901" spans="12:21" ht="13.5" customHeight="1">
      <c r="L901" s="82"/>
      <c r="M901" s="110">
        <v>876</v>
      </c>
      <c r="N901" s="223"/>
      <c r="O901" s="223"/>
      <c r="P901" s="223"/>
      <c r="Q901" s="205"/>
      <c r="R901" s="206"/>
      <c r="S901" s="222"/>
      <c r="T901" s="207"/>
      <c r="U901" s="83"/>
    </row>
    <row r="902" spans="12:21" ht="13.5" customHeight="1">
      <c r="L902" s="82"/>
      <c r="M902" s="110">
        <v>877</v>
      </c>
      <c r="N902" s="223"/>
      <c r="O902" s="223"/>
      <c r="P902" s="223"/>
      <c r="Q902" s="205"/>
      <c r="R902" s="206"/>
      <c r="S902" s="222"/>
      <c r="T902" s="207"/>
      <c r="U902" s="83"/>
    </row>
    <row r="903" spans="12:21" ht="13.5" customHeight="1">
      <c r="L903" s="82"/>
      <c r="M903" s="110">
        <v>878</v>
      </c>
      <c r="N903" s="223"/>
      <c r="O903" s="223"/>
      <c r="P903" s="223"/>
      <c r="Q903" s="205"/>
      <c r="R903" s="206"/>
      <c r="S903" s="222"/>
      <c r="T903" s="207"/>
      <c r="U903" s="83"/>
    </row>
    <row r="904" spans="12:21" ht="13.5" customHeight="1">
      <c r="L904" s="82"/>
      <c r="M904" s="110">
        <v>879</v>
      </c>
      <c r="N904" s="223"/>
      <c r="O904" s="223"/>
      <c r="P904" s="223"/>
      <c r="Q904" s="205"/>
      <c r="R904" s="206"/>
      <c r="S904" s="222"/>
      <c r="T904" s="207"/>
      <c r="U904" s="83"/>
    </row>
    <row r="905" spans="12:21" ht="13.5" customHeight="1">
      <c r="L905" s="82"/>
      <c r="M905" s="110">
        <v>880</v>
      </c>
      <c r="N905" s="223"/>
      <c r="O905" s="223"/>
      <c r="P905" s="223"/>
      <c r="Q905" s="205"/>
      <c r="R905" s="206"/>
      <c r="S905" s="222"/>
      <c r="T905" s="207"/>
      <c r="U905" s="83"/>
    </row>
    <row r="906" spans="12:21" ht="13.5" customHeight="1">
      <c r="L906" s="82"/>
      <c r="M906" s="110">
        <v>881</v>
      </c>
      <c r="N906" s="223"/>
      <c r="O906" s="223"/>
      <c r="P906" s="223"/>
      <c r="Q906" s="205"/>
      <c r="R906" s="206"/>
      <c r="S906" s="222"/>
      <c r="T906" s="207"/>
      <c r="U906" s="83"/>
    </row>
    <row r="907" spans="12:21" ht="13.5" customHeight="1">
      <c r="L907" s="82"/>
      <c r="M907" s="110">
        <v>882</v>
      </c>
      <c r="N907" s="223"/>
      <c r="O907" s="223"/>
      <c r="P907" s="223"/>
      <c r="Q907" s="205"/>
      <c r="R907" s="206"/>
      <c r="S907" s="222"/>
      <c r="T907" s="207"/>
      <c r="U907" s="83"/>
    </row>
    <row r="908" spans="12:21" ht="13.5" customHeight="1">
      <c r="L908" s="82"/>
      <c r="M908" s="110">
        <v>883</v>
      </c>
      <c r="N908" s="223"/>
      <c r="O908" s="223"/>
      <c r="P908" s="223"/>
      <c r="Q908" s="205"/>
      <c r="R908" s="206"/>
      <c r="S908" s="222"/>
      <c r="T908" s="207"/>
      <c r="U908" s="83"/>
    </row>
    <row r="909" spans="12:21" ht="13.5" customHeight="1">
      <c r="L909" s="82"/>
      <c r="M909" s="110">
        <v>884</v>
      </c>
      <c r="N909" s="223"/>
      <c r="O909" s="223"/>
      <c r="P909" s="223"/>
      <c r="Q909" s="205"/>
      <c r="R909" s="206"/>
      <c r="S909" s="222"/>
      <c r="T909" s="207"/>
      <c r="U909" s="83"/>
    </row>
    <row r="910" spans="12:21" ht="13.5" customHeight="1">
      <c r="L910" s="82"/>
      <c r="M910" s="110">
        <v>885</v>
      </c>
      <c r="N910" s="223"/>
      <c r="O910" s="223"/>
      <c r="P910" s="223"/>
      <c r="Q910" s="205"/>
      <c r="R910" s="206"/>
      <c r="S910" s="222"/>
      <c r="T910" s="207"/>
      <c r="U910" s="83"/>
    </row>
    <row r="911" spans="12:21" ht="13.5" customHeight="1">
      <c r="L911" s="82"/>
      <c r="M911" s="110">
        <v>886</v>
      </c>
      <c r="N911" s="223"/>
      <c r="O911" s="223"/>
      <c r="P911" s="223"/>
      <c r="Q911" s="205"/>
      <c r="R911" s="206"/>
      <c r="S911" s="222"/>
      <c r="T911" s="207"/>
      <c r="U911" s="83"/>
    </row>
    <row r="912" spans="12:21" ht="13.5" customHeight="1">
      <c r="L912" s="82"/>
      <c r="M912" s="110">
        <v>887</v>
      </c>
      <c r="N912" s="223"/>
      <c r="O912" s="223"/>
      <c r="P912" s="223"/>
      <c r="Q912" s="205"/>
      <c r="R912" s="206"/>
      <c r="S912" s="222"/>
      <c r="T912" s="207"/>
      <c r="U912" s="83"/>
    </row>
    <row r="913" spans="12:21" ht="13.5" customHeight="1">
      <c r="L913" s="82"/>
      <c r="M913" s="110">
        <v>888</v>
      </c>
      <c r="N913" s="223"/>
      <c r="O913" s="223"/>
      <c r="P913" s="223"/>
      <c r="Q913" s="205"/>
      <c r="R913" s="206"/>
      <c r="S913" s="222"/>
      <c r="T913" s="207"/>
      <c r="U913" s="83"/>
    </row>
    <row r="914" spans="12:21" ht="13.5" customHeight="1">
      <c r="L914" s="82"/>
      <c r="M914" s="110">
        <v>889</v>
      </c>
      <c r="N914" s="223"/>
      <c r="O914" s="223"/>
      <c r="P914" s="223"/>
      <c r="Q914" s="205"/>
      <c r="R914" s="206"/>
      <c r="S914" s="222"/>
      <c r="T914" s="207"/>
      <c r="U914" s="83"/>
    </row>
    <row r="915" spans="12:21" ht="13.5" customHeight="1">
      <c r="L915" s="82"/>
      <c r="M915" s="110">
        <v>890</v>
      </c>
      <c r="N915" s="223"/>
      <c r="O915" s="223"/>
      <c r="P915" s="223"/>
      <c r="Q915" s="205"/>
      <c r="R915" s="206"/>
      <c r="S915" s="222"/>
      <c r="T915" s="207"/>
      <c r="U915" s="83"/>
    </row>
    <row r="916" spans="12:21" ht="13.5" customHeight="1">
      <c r="L916" s="82"/>
      <c r="M916" s="110">
        <v>891</v>
      </c>
      <c r="N916" s="223"/>
      <c r="O916" s="223"/>
      <c r="P916" s="223"/>
      <c r="Q916" s="205"/>
      <c r="R916" s="206"/>
      <c r="S916" s="222"/>
      <c r="T916" s="207"/>
      <c r="U916" s="83"/>
    </row>
    <row r="917" spans="12:21" ht="13.5" customHeight="1">
      <c r="L917" s="82"/>
      <c r="M917" s="110">
        <v>892</v>
      </c>
      <c r="N917" s="223"/>
      <c r="O917" s="223"/>
      <c r="P917" s="223"/>
      <c r="Q917" s="205"/>
      <c r="R917" s="206"/>
      <c r="S917" s="222"/>
      <c r="T917" s="207"/>
      <c r="U917" s="83"/>
    </row>
    <row r="918" spans="12:21" ht="13.5" customHeight="1">
      <c r="L918" s="82"/>
      <c r="M918" s="110">
        <v>893</v>
      </c>
      <c r="N918" s="223"/>
      <c r="O918" s="223"/>
      <c r="P918" s="223"/>
      <c r="Q918" s="205"/>
      <c r="R918" s="206"/>
      <c r="S918" s="222"/>
      <c r="T918" s="207"/>
      <c r="U918" s="83"/>
    </row>
    <row r="919" spans="12:21" ht="13.5" customHeight="1">
      <c r="L919" s="82"/>
      <c r="M919" s="110">
        <v>894</v>
      </c>
      <c r="N919" s="223"/>
      <c r="O919" s="223"/>
      <c r="P919" s="223"/>
      <c r="Q919" s="205"/>
      <c r="R919" s="206"/>
      <c r="S919" s="222"/>
      <c r="T919" s="207"/>
      <c r="U919" s="83"/>
    </row>
    <row r="920" spans="12:21" ht="13.5" customHeight="1">
      <c r="L920" s="82"/>
      <c r="M920" s="110">
        <v>895</v>
      </c>
      <c r="N920" s="223"/>
      <c r="O920" s="223"/>
      <c r="P920" s="223"/>
      <c r="Q920" s="205"/>
      <c r="R920" s="206"/>
      <c r="S920" s="222"/>
      <c r="T920" s="207"/>
      <c r="U920" s="83"/>
    </row>
    <row r="921" spans="12:21" ht="13.5" customHeight="1">
      <c r="L921" s="82"/>
      <c r="M921" s="110">
        <v>896</v>
      </c>
      <c r="N921" s="223"/>
      <c r="O921" s="223"/>
      <c r="P921" s="223"/>
      <c r="Q921" s="205"/>
      <c r="R921" s="206"/>
      <c r="S921" s="222"/>
      <c r="T921" s="207"/>
      <c r="U921" s="83"/>
    </row>
    <row r="922" spans="12:21" ht="13.5" customHeight="1">
      <c r="L922" s="82"/>
      <c r="M922" s="110">
        <v>897</v>
      </c>
      <c r="N922" s="223"/>
      <c r="O922" s="223"/>
      <c r="P922" s="223"/>
      <c r="Q922" s="205"/>
      <c r="R922" s="206"/>
      <c r="S922" s="222"/>
      <c r="T922" s="207"/>
      <c r="U922" s="83"/>
    </row>
    <row r="923" spans="12:21" ht="13.5" customHeight="1">
      <c r="L923" s="82"/>
      <c r="M923" s="110">
        <v>898</v>
      </c>
      <c r="N923" s="223"/>
      <c r="O923" s="223"/>
      <c r="P923" s="223"/>
      <c r="Q923" s="205"/>
      <c r="R923" s="206"/>
      <c r="S923" s="222"/>
      <c r="T923" s="207"/>
      <c r="U923" s="83"/>
    </row>
    <row r="924" spans="12:21" ht="13.5" customHeight="1">
      <c r="L924" s="82"/>
      <c r="M924" s="110">
        <v>899</v>
      </c>
      <c r="N924" s="223"/>
      <c r="O924" s="223"/>
      <c r="P924" s="223"/>
      <c r="Q924" s="205"/>
      <c r="R924" s="206"/>
      <c r="S924" s="222"/>
      <c r="T924" s="207"/>
      <c r="U924" s="83"/>
    </row>
    <row r="925" spans="12:21" ht="13.5" customHeight="1">
      <c r="L925" s="82"/>
      <c r="M925" s="110">
        <v>900</v>
      </c>
      <c r="N925" s="223"/>
      <c r="O925" s="223"/>
      <c r="P925" s="223"/>
      <c r="Q925" s="205"/>
      <c r="R925" s="206"/>
      <c r="S925" s="222"/>
      <c r="T925" s="207"/>
      <c r="U925" s="83"/>
    </row>
    <row r="926" spans="12:21" ht="13.5" customHeight="1">
      <c r="L926" s="82"/>
      <c r="M926" s="110">
        <v>901</v>
      </c>
      <c r="N926" s="223"/>
      <c r="O926" s="223"/>
      <c r="P926" s="223"/>
      <c r="Q926" s="205"/>
      <c r="R926" s="206"/>
      <c r="S926" s="222"/>
      <c r="T926" s="207"/>
      <c r="U926" s="83"/>
    </row>
    <row r="927" spans="12:21" ht="13.5" customHeight="1">
      <c r="L927" s="82"/>
      <c r="M927" s="110">
        <v>902</v>
      </c>
      <c r="N927" s="223"/>
      <c r="O927" s="223"/>
      <c r="P927" s="223"/>
      <c r="Q927" s="205"/>
      <c r="R927" s="206"/>
      <c r="S927" s="222"/>
      <c r="T927" s="207"/>
      <c r="U927" s="83"/>
    </row>
    <row r="928" spans="12:21" ht="13.5" customHeight="1">
      <c r="L928" s="82"/>
      <c r="M928" s="110">
        <v>903</v>
      </c>
      <c r="N928" s="223"/>
      <c r="O928" s="223"/>
      <c r="P928" s="223"/>
      <c r="Q928" s="205"/>
      <c r="R928" s="206"/>
      <c r="S928" s="222"/>
      <c r="T928" s="207"/>
      <c r="U928" s="83"/>
    </row>
    <row r="929" spans="12:21" ht="13.5" customHeight="1">
      <c r="L929" s="82"/>
      <c r="M929" s="110">
        <v>904</v>
      </c>
      <c r="N929" s="223"/>
      <c r="O929" s="223"/>
      <c r="P929" s="223"/>
      <c r="Q929" s="205"/>
      <c r="R929" s="206"/>
      <c r="S929" s="222"/>
      <c r="T929" s="207"/>
      <c r="U929" s="83"/>
    </row>
    <row r="930" spans="12:21" ht="13.5" customHeight="1">
      <c r="L930" s="82"/>
      <c r="M930" s="110">
        <v>905</v>
      </c>
      <c r="N930" s="223"/>
      <c r="O930" s="223"/>
      <c r="P930" s="223"/>
      <c r="Q930" s="205"/>
      <c r="R930" s="206"/>
      <c r="S930" s="222"/>
      <c r="T930" s="207"/>
      <c r="U930" s="83"/>
    </row>
    <row r="931" spans="12:21" ht="13.5" customHeight="1">
      <c r="L931" s="82"/>
      <c r="M931" s="110">
        <v>906</v>
      </c>
      <c r="N931" s="223"/>
      <c r="O931" s="223"/>
      <c r="P931" s="223"/>
      <c r="Q931" s="205"/>
      <c r="R931" s="206"/>
      <c r="S931" s="222"/>
      <c r="T931" s="207"/>
      <c r="U931" s="83"/>
    </row>
    <row r="932" spans="12:21" ht="13.5" customHeight="1">
      <c r="L932" s="82"/>
      <c r="M932" s="110">
        <v>907</v>
      </c>
      <c r="N932" s="223"/>
      <c r="O932" s="223"/>
      <c r="P932" s="223"/>
      <c r="Q932" s="205"/>
      <c r="R932" s="206"/>
      <c r="S932" s="222"/>
      <c r="T932" s="207"/>
      <c r="U932" s="83"/>
    </row>
    <row r="933" spans="12:21" ht="13.5" customHeight="1">
      <c r="L933" s="82"/>
      <c r="M933" s="110">
        <v>908</v>
      </c>
      <c r="N933" s="223"/>
      <c r="O933" s="223"/>
      <c r="P933" s="223"/>
      <c r="Q933" s="205"/>
      <c r="R933" s="206"/>
      <c r="S933" s="222"/>
      <c r="T933" s="207"/>
      <c r="U933" s="83"/>
    </row>
    <row r="934" spans="12:21" ht="13.5" customHeight="1">
      <c r="L934" s="82"/>
      <c r="M934" s="110">
        <v>909</v>
      </c>
      <c r="N934" s="223"/>
      <c r="O934" s="223"/>
      <c r="P934" s="223"/>
      <c r="Q934" s="205"/>
      <c r="R934" s="206"/>
      <c r="S934" s="222"/>
      <c r="T934" s="207"/>
      <c r="U934" s="83"/>
    </row>
    <row r="935" spans="12:21" ht="13.5" customHeight="1">
      <c r="L935" s="82"/>
      <c r="M935" s="110">
        <v>910</v>
      </c>
      <c r="N935" s="223"/>
      <c r="O935" s="223"/>
      <c r="P935" s="223"/>
      <c r="Q935" s="205"/>
      <c r="R935" s="206"/>
      <c r="S935" s="222"/>
      <c r="T935" s="207"/>
      <c r="U935" s="83"/>
    </row>
    <row r="936" spans="12:21" ht="13.5" customHeight="1">
      <c r="L936" s="82"/>
      <c r="M936" s="110">
        <v>911</v>
      </c>
      <c r="N936" s="223"/>
      <c r="O936" s="223"/>
      <c r="P936" s="223"/>
      <c r="Q936" s="205"/>
      <c r="R936" s="206"/>
      <c r="S936" s="222"/>
      <c r="T936" s="207"/>
      <c r="U936" s="83"/>
    </row>
    <row r="937" spans="12:21" ht="13.5" customHeight="1">
      <c r="L937" s="82"/>
      <c r="M937" s="110">
        <v>912</v>
      </c>
      <c r="N937" s="223"/>
      <c r="O937" s="223"/>
      <c r="P937" s="223"/>
      <c r="Q937" s="205"/>
      <c r="R937" s="206"/>
      <c r="S937" s="222"/>
      <c r="T937" s="207"/>
      <c r="U937" s="83"/>
    </row>
    <row r="938" spans="12:21" ht="13.5" customHeight="1">
      <c r="L938" s="82"/>
      <c r="M938" s="110">
        <v>913</v>
      </c>
      <c r="N938" s="223"/>
      <c r="O938" s="223"/>
      <c r="P938" s="223"/>
      <c r="Q938" s="205"/>
      <c r="R938" s="206"/>
      <c r="S938" s="222"/>
      <c r="T938" s="207"/>
      <c r="U938" s="83"/>
    </row>
    <row r="939" spans="12:21" ht="13.5" customHeight="1">
      <c r="L939" s="82"/>
      <c r="M939" s="110">
        <v>914</v>
      </c>
      <c r="N939" s="223"/>
      <c r="O939" s="223"/>
      <c r="P939" s="223"/>
      <c r="Q939" s="205"/>
      <c r="R939" s="206"/>
      <c r="S939" s="222"/>
      <c r="T939" s="207"/>
      <c r="U939" s="83"/>
    </row>
    <row r="940" spans="12:21" ht="13.5" customHeight="1">
      <c r="L940" s="82"/>
      <c r="M940" s="110">
        <v>915</v>
      </c>
      <c r="N940" s="223"/>
      <c r="O940" s="223"/>
      <c r="P940" s="223"/>
      <c r="Q940" s="205"/>
      <c r="R940" s="206"/>
      <c r="S940" s="222"/>
      <c r="T940" s="207"/>
      <c r="U940" s="83"/>
    </row>
    <row r="941" spans="12:21" ht="13.5" customHeight="1">
      <c r="L941" s="82"/>
      <c r="M941" s="110">
        <v>916</v>
      </c>
      <c r="N941" s="223"/>
      <c r="O941" s="223"/>
      <c r="P941" s="223"/>
      <c r="Q941" s="205"/>
      <c r="R941" s="206"/>
      <c r="S941" s="222"/>
      <c r="T941" s="207"/>
      <c r="U941" s="83"/>
    </row>
    <row r="942" spans="12:21" ht="13.5" customHeight="1">
      <c r="L942" s="82"/>
      <c r="M942" s="110">
        <v>917</v>
      </c>
      <c r="N942" s="223"/>
      <c r="O942" s="223"/>
      <c r="P942" s="223"/>
      <c r="Q942" s="205"/>
      <c r="R942" s="206"/>
      <c r="S942" s="222"/>
      <c r="T942" s="207"/>
      <c r="U942" s="83"/>
    </row>
    <row r="943" spans="12:21" ht="13.5" customHeight="1">
      <c r="L943" s="82"/>
      <c r="M943" s="110">
        <v>918</v>
      </c>
      <c r="N943" s="223"/>
      <c r="O943" s="223"/>
      <c r="P943" s="223"/>
      <c r="Q943" s="205"/>
      <c r="R943" s="206"/>
      <c r="S943" s="222"/>
      <c r="T943" s="207"/>
      <c r="U943" s="83"/>
    </row>
    <row r="944" spans="12:21" ht="13.5" customHeight="1">
      <c r="L944" s="82"/>
      <c r="M944" s="110">
        <v>919</v>
      </c>
      <c r="N944" s="223"/>
      <c r="O944" s="223"/>
      <c r="P944" s="223"/>
      <c r="Q944" s="205"/>
      <c r="R944" s="206"/>
      <c r="S944" s="222"/>
      <c r="T944" s="207"/>
      <c r="U944" s="83"/>
    </row>
    <row r="945" spans="12:21" ht="13.5" customHeight="1">
      <c r="L945" s="82"/>
      <c r="M945" s="110">
        <v>920</v>
      </c>
      <c r="N945" s="223"/>
      <c r="O945" s="223"/>
      <c r="P945" s="223"/>
      <c r="Q945" s="205"/>
      <c r="R945" s="206"/>
      <c r="S945" s="222"/>
      <c r="T945" s="207"/>
      <c r="U945" s="83"/>
    </row>
    <row r="946" spans="12:21" ht="13.5" customHeight="1">
      <c r="L946" s="82"/>
      <c r="M946" s="110">
        <v>921</v>
      </c>
      <c r="N946" s="223"/>
      <c r="O946" s="223"/>
      <c r="P946" s="223"/>
      <c r="Q946" s="205"/>
      <c r="R946" s="206"/>
      <c r="S946" s="222"/>
      <c r="T946" s="207"/>
      <c r="U946" s="83"/>
    </row>
    <row r="947" spans="12:21" ht="13.5" customHeight="1">
      <c r="L947" s="82"/>
      <c r="M947" s="110">
        <v>922</v>
      </c>
      <c r="N947" s="223"/>
      <c r="O947" s="223"/>
      <c r="P947" s="223"/>
      <c r="Q947" s="205"/>
      <c r="R947" s="206"/>
      <c r="S947" s="222"/>
      <c r="T947" s="207"/>
      <c r="U947" s="83"/>
    </row>
    <row r="948" spans="12:21" ht="13.5" customHeight="1">
      <c r="L948" s="82"/>
      <c r="M948" s="110">
        <v>923</v>
      </c>
      <c r="N948" s="223"/>
      <c r="O948" s="223"/>
      <c r="P948" s="223"/>
      <c r="Q948" s="205"/>
      <c r="R948" s="206"/>
      <c r="S948" s="222"/>
      <c r="T948" s="207"/>
      <c r="U948" s="83"/>
    </row>
    <row r="949" spans="12:21" ht="13.5" customHeight="1">
      <c r="L949" s="82"/>
      <c r="M949" s="110">
        <v>924</v>
      </c>
      <c r="N949" s="223"/>
      <c r="O949" s="223"/>
      <c r="P949" s="223"/>
      <c r="Q949" s="205"/>
      <c r="R949" s="206"/>
      <c r="S949" s="222"/>
      <c r="T949" s="207"/>
      <c r="U949" s="83"/>
    </row>
    <row r="950" spans="12:21" ht="13.5" customHeight="1">
      <c r="L950" s="82"/>
      <c r="M950" s="110">
        <v>925</v>
      </c>
      <c r="N950" s="223"/>
      <c r="O950" s="223"/>
      <c r="P950" s="223"/>
      <c r="Q950" s="205"/>
      <c r="R950" s="206"/>
      <c r="S950" s="222"/>
      <c r="T950" s="207"/>
      <c r="U950" s="83"/>
    </row>
    <row r="951" spans="12:21" ht="13.5" customHeight="1">
      <c r="L951" s="82"/>
      <c r="M951" s="110">
        <v>926</v>
      </c>
      <c r="N951" s="223"/>
      <c r="O951" s="223"/>
      <c r="P951" s="223"/>
      <c r="Q951" s="205"/>
      <c r="R951" s="206"/>
      <c r="S951" s="222"/>
      <c r="T951" s="207"/>
      <c r="U951" s="83"/>
    </row>
    <row r="952" spans="12:21" ht="13.5" customHeight="1">
      <c r="L952" s="82"/>
      <c r="M952" s="110">
        <v>927</v>
      </c>
      <c r="N952" s="223"/>
      <c r="O952" s="223"/>
      <c r="P952" s="223"/>
      <c r="Q952" s="205"/>
      <c r="R952" s="206"/>
      <c r="S952" s="222"/>
      <c r="T952" s="207"/>
      <c r="U952" s="83"/>
    </row>
    <row r="953" spans="12:21" ht="13.5" customHeight="1">
      <c r="L953" s="82"/>
      <c r="M953" s="110">
        <v>928</v>
      </c>
      <c r="N953" s="223"/>
      <c r="O953" s="223"/>
      <c r="P953" s="223"/>
      <c r="Q953" s="205"/>
      <c r="R953" s="206"/>
      <c r="S953" s="222"/>
      <c r="T953" s="207"/>
      <c r="U953" s="83"/>
    </row>
    <row r="954" spans="12:21" ht="13.5" customHeight="1">
      <c r="L954" s="82"/>
      <c r="M954" s="110">
        <v>929</v>
      </c>
      <c r="N954" s="223"/>
      <c r="O954" s="223"/>
      <c r="P954" s="223"/>
      <c r="Q954" s="205"/>
      <c r="R954" s="206"/>
      <c r="S954" s="222"/>
      <c r="T954" s="207"/>
      <c r="U954" s="83"/>
    </row>
    <row r="955" spans="12:21" ht="13.5" customHeight="1">
      <c r="L955" s="82"/>
      <c r="M955" s="110">
        <v>930</v>
      </c>
      <c r="N955" s="223"/>
      <c r="O955" s="223"/>
      <c r="P955" s="223"/>
      <c r="Q955" s="205"/>
      <c r="R955" s="206"/>
      <c r="S955" s="222"/>
      <c r="T955" s="207"/>
      <c r="U955" s="83"/>
    </row>
    <row r="956" spans="12:21" ht="13.5" customHeight="1">
      <c r="L956" s="82"/>
      <c r="M956" s="110">
        <v>931</v>
      </c>
      <c r="N956" s="223"/>
      <c r="O956" s="223"/>
      <c r="P956" s="223"/>
      <c r="Q956" s="205"/>
      <c r="R956" s="206"/>
      <c r="S956" s="222"/>
      <c r="T956" s="207"/>
      <c r="U956" s="83"/>
    </row>
    <row r="957" spans="12:21" ht="13.5" customHeight="1">
      <c r="L957" s="82"/>
      <c r="M957" s="110">
        <v>932</v>
      </c>
      <c r="N957" s="223"/>
      <c r="O957" s="223"/>
      <c r="P957" s="223"/>
      <c r="Q957" s="205"/>
      <c r="R957" s="206"/>
      <c r="S957" s="222"/>
      <c r="T957" s="207"/>
      <c r="U957" s="83"/>
    </row>
    <row r="958" spans="12:21" ht="13.5" customHeight="1">
      <c r="L958" s="82"/>
      <c r="M958" s="110">
        <v>933</v>
      </c>
      <c r="N958" s="223"/>
      <c r="O958" s="223"/>
      <c r="P958" s="223"/>
      <c r="Q958" s="205"/>
      <c r="R958" s="206"/>
      <c r="S958" s="222"/>
      <c r="T958" s="207"/>
      <c r="U958" s="83"/>
    </row>
    <row r="959" spans="12:21" ht="13.5" customHeight="1">
      <c r="L959" s="82"/>
      <c r="M959" s="110">
        <v>934</v>
      </c>
      <c r="N959" s="223"/>
      <c r="O959" s="223"/>
      <c r="P959" s="223"/>
      <c r="Q959" s="205"/>
      <c r="R959" s="206"/>
      <c r="S959" s="222"/>
      <c r="T959" s="207"/>
      <c r="U959" s="83"/>
    </row>
    <row r="960" spans="12:21" ht="13.5" customHeight="1">
      <c r="L960" s="82"/>
      <c r="M960" s="110">
        <v>935</v>
      </c>
      <c r="N960" s="223"/>
      <c r="O960" s="223"/>
      <c r="P960" s="223"/>
      <c r="Q960" s="205"/>
      <c r="R960" s="206"/>
      <c r="S960" s="222"/>
      <c r="T960" s="207"/>
      <c r="U960" s="83"/>
    </row>
    <row r="961" spans="12:21" ht="13.5" customHeight="1">
      <c r="L961" s="82"/>
      <c r="M961" s="110">
        <v>936</v>
      </c>
      <c r="N961" s="223"/>
      <c r="O961" s="223"/>
      <c r="P961" s="223"/>
      <c r="Q961" s="205"/>
      <c r="R961" s="206"/>
      <c r="S961" s="222"/>
      <c r="T961" s="207"/>
      <c r="U961" s="83"/>
    </row>
    <row r="962" spans="12:21" ht="13.5" customHeight="1">
      <c r="L962" s="82"/>
      <c r="M962" s="110">
        <v>937</v>
      </c>
      <c r="N962" s="223"/>
      <c r="O962" s="223"/>
      <c r="P962" s="223"/>
      <c r="Q962" s="205"/>
      <c r="R962" s="206"/>
      <c r="S962" s="222"/>
      <c r="T962" s="207"/>
      <c r="U962" s="83"/>
    </row>
    <row r="963" spans="12:21" ht="13.5" customHeight="1">
      <c r="L963" s="82"/>
      <c r="M963" s="110">
        <v>938</v>
      </c>
      <c r="N963" s="223"/>
      <c r="O963" s="223"/>
      <c r="P963" s="223"/>
      <c r="Q963" s="205"/>
      <c r="R963" s="206"/>
      <c r="S963" s="222"/>
      <c r="T963" s="207"/>
      <c r="U963" s="83"/>
    </row>
    <row r="964" spans="12:21" ht="13.5" customHeight="1">
      <c r="L964" s="82"/>
      <c r="M964" s="110">
        <v>939</v>
      </c>
      <c r="N964" s="223"/>
      <c r="O964" s="223"/>
      <c r="P964" s="223"/>
      <c r="Q964" s="205"/>
      <c r="R964" s="206"/>
      <c r="S964" s="222"/>
      <c r="T964" s="207"/>
      <c r="U964" s="83"/>
    </row>
    <row r="965" spans="12:21" ht="13.5" customHeight="1">
      <c r="L965" s="82"/>
      <c r="M965" s="110">
        <v>940</v>
      </c>
      <c r="N965" s="223"/>
      <c r="O965" s="223"/>
      <c r="P965" s="223"/>
      <c r="Q965" s="205"/>
      <c r="R965" s="206"/>
      <c r="S965" s="222"/>
      <c r="T965" s="207"/>
      <c r="U965" s="83"/>
    </row>
    <row r="966" spans="12:21" ht="13.5" customHeight="1">
      <c r="L966" s="82"/>
      <c r="M966" s="110">
        <v>941</v>
      </c>
      <c r="N966" s="223"/>
      <c r="O966" s="223"/>
      <c r="P966" s="223"/>
      <c r="Q966" s="205"/>
      <c r="R966" s="206"/>
      <c r="S966" s="222"/>
      <c r="T966" s="207"/>
      <c r="U966" s="83"/>
    </row>
    <row r="967" spans="12:21" ht="13.5" customHeight="1">
      <c r="L967" s="82"/>
      <c r="M967" s="110">
        <v>942</v>
      </c>
      <c r="N967" s="223"/>
      <c r="O967" s="223"/>
      <c r="P967" s="223"/>
      <c r="Q967" s="205"/>
      <c r="R967" s="206"/>
      <c r="S967" s="222"/>
      <c r="T967" s="207"/>
      <c r="U967" s="83"/>
    </row>
    <row r="968" spans="12:21" ht="13.5" customHeight="1">
      <c r="L968" s="82"/>
      <c r="M968" s="110">
        <v>943</v>
      </c>
      <c r="N968" s="223"/>
      <c r="O968" s="223"/>
      <c r="P968" s="223"/>
      <c r="Q968" s="205"/>
      <c r="R968" s="206"/>
      <c r="S968" s="222"/>
      <c r="T968" s="207"/>
      <c r="U968" s="83"/>
    </row>
    <row r="969" spans="12:21" ht="13.5" customHeight="1">
      <c r="L969" s="82"/>
      <c r="M969" s="110">
        <v>944</v>
      </c>
      <c r="N969" s="223"/>
      <c r="O969" s="223"/>
      <c r="P969" s="223"/>
      <c r="Q969" s="205"/>
      <c r="R969" s="206"/>
      <c r="S969" s="222"/>
      <c r="T969" s="207"/>
      <c r="U969" s="83"/>
    </row>
    <row r="970" spans="12:21" ht="13.5" customHeight="1">
      <c r="L970" s="82"/>
      <c r="M970" s="110">
        <v>945</v>
      </c>
      <c r="N970" s="223"/>
      <c r="O970" s="223"/>
      <c r="P970" s="223"/>
      <c r="Q970" s="205"/>
      <c r="R970" s="206"/>
      <c r="S970" s="222"/>
      <c r="T970" s="207"/>
      <c r="U970" s="83"/>
    </row>
    <row r="971" spans="12:21" ht="13.5" customHeight="1">
      <c r="L971" s="82"/>
      <c r="M971" s="110">
        <v>946</v>
      </c>
      <c r="N971" s="223"/>
      <c r="O971" s="223"/>
      <c r="P971" s="223"/>
      <c r="Q971" s="205"/>
      <c r="R971" s="206"/>
      <c r="S971" s="222"/>
      <c r="T971" s="207"/>
      <c r="U971" s="83"/>
    </row>
    <row r="972" spans="12:21" ht="13.5" customHeight="1">
      <c r="L972" s="82"/>
      <c r="M972" s="110">
        <v>947</v>
      </c>
      <c r="N972" s="223"/>
      <c r="O972" s="223"/>
      <c r="P972" s="223"/>
      <c r="Q972" s="205"/>
      <c r="R972" s="206"/>
      <c r="S972" s="222"/>
      <c r="T972" s="207"/>
      <c r="U972" s="83"/>
    </row>
    <row r="973" spans="12:21" ht="13.5" customHeight="1">
      <c r="L973" s="82"/>
      <c r="M973" s="110">
        <v>948</v>
      </c>
      <c r="N973" s="223"/>
      <c r="O973" s="223"/>
      <c r="P973" s="223"/>
      <c r="Q973" s="205"/>
      <c r="R973" s="206"/>
      <c r="S973" s="222"/>
      <c r="T973" s="207"/>
      <c r="U973" s="83"/>
    </row>
    <row r="974" spans="12:21" ht="13.5" customHeight="1">
      <c r="L974" s="82"/>
      <c r="M974" s="110">
        <v>949</v>
      </c>
      <c r="N974" s="223"/>
      <c r="O974" s="223"/>
      <c r="P974" s="223"/>
      <c r="Q974" s="205"/>
      <c r="R974" s="206"/>
      <c r="S974" s="222"/>
      <c r="T974" s="207"/>
      <c r="U974" s="83"/>
    </row>
    <row r="975" spans="12:21" ht="13.5" customHeight="1">
      <c r="L975" s="82"/>
      <c r="M975" s="110">
        <v>950</v>
      </c>
      <c r="N975" s="223"/>
      <c r="O975" s="223"/>
      <c r="P975" s="223"/>
      <c r="Q975" s="205"/>
      <c r="R975" s="206"/>
      <c r="S975" s="222"/>
      <c r="T975" s="207"/>
      <c r="U975" s="83"/>
    </row>
    <row r="976" spans="12:21" ht="13.5" customHeight="1">
      <c r="L976" s="82"/>
      <c r="M976" s="110">
        <v>951</v>
      </c>
      <c r="N976" s="223"/>
      <c r="O976" s="223"/>
      <c r="P976" s="223"/>
      <c r="Q976" s="205"/>
      <c r="R976" s="206"/>
      <c r="S976" s="222"/>
      <c r="T976" s="207"/>
      <c r="U976" s="83"/>
    </row>
    <row r="977" spans="12:21" ht="13.5" customHeight="1">
      <c r="L977" s="82"/>
      <c r="M977" s="110">
        <v>952</v>
      </c>
      <c r="N977" s="223"/>
      <c r="O977" s="223"/>
      <c r="P977" s="223"/>
      <c r="Q977" s="205"/>
      <c r="R977" s="206"/>
      <c r="S977" s="222"/>
      <c r="T977" s="207"/>
      <c r="U977" s="83"/>
    </row>
    <row r="978" spans="12:21" ht="13.5" customHeight="1">
      <c r="L978" s="82"/>
      <c r="M978" s="110">
        <v>953</v>
      </c>
      <c r="N978" s="223"/>
      <c r="O978" s="223"/>
      <c r="P978" s="223"/>
      <c r="Q978" s="205"/>
      <c r="R978" s="206"/>
      <c r="S978" s="222"/>
      <c r="T978" s="207"/>
      <c r="U978" s="83"/>
    </row>
    <row r="979" spans="12:21" ht="13.5" customHeight="1">
      <c r="L979" s="82"/>
      <c r="M979" s="110">
        <v>954</v>
      </c>
      <c r="N979" s="223"/>
      <c r="O979" s="223"/>
      <c r="P979" s="223"/>
      <c r="Q979" s="205"/>
      <c r="R979" s="206"/>
      <c r="S979" s="222"/>
      <c r="T979" s="207"/>
      <c r="U979" s="83"/>
    </row>
    <row r="980" spans="12:21" ht="13.5" customHeight="1">
      <c r="L980" s="82"/>
      <c r="M980" s="110">
        <v>955</v>
      </c>
      <c r="N980" s="223"/>
      <c r="O980" s="223"/>
      <c r="P980" s="223"/>
      <c r="Q980" s="205"/>
      <c r="R980" s="206"/>
      <c r="S980" s="222"/>
      <c r="T980" s="207"/>
      <c r="U980" s="83"/>
    </row>
    <row r="981" spans="12:21" ht="13.5" customHeight="1">
      <c r="L981" s="82"/>
      <c r="M981" s="110">
        <v>956</v>
      </c>
      <c r="N981" s="223"/>
      <c r="O981" s="223"/>
      <c r="P981" s="223"/>
      <c r="Q981" s="205"/>
      <c r="R981" s="206"/>
      <c r="S981" s="222"/>
      <c r="T981" s="207"/>
      <c r="U981" s="83"/>
    </row>
    <row r="982" spans="12:21" ht="13.5" customHeight="1">
      <c r="L982" s="82"/>
      <c r="M982" s="110">
        <v>957</v>
      </c>
      <c r="N982" s="223"/>
      <c r="O982" s="223"/>
      <c r="P982" s="223"/>
      <c r="Q982" s="205"/>
      <c r="R982" s="206"/>
      <c r="S982" s="222"/>
      <c r="T982" s="207"/>
      <c r="U982" s="83"/>
    </row>
    <row r="983" spans="12:21" ht="13.5" customHeight="1">
      <c r="L983" s="82"/>
      <c r="M983" s="110">
        <v>958</v>
      </c>
      <c r="N983" s="223"/>
      <c r="O983" s="223"/>
      <c r="P983" s="223"/>
      <c r="Q983" s="205"/>
      <c r="R983" s="206"/>
      <c r="S983" s="222"/>
      <c r="T983" s="207"/>
      <c r="U983" s="83"/>
    </row>
    <row r="984" spans="12:21" ht="13.5" customHeight="1">
      <c r="L984" s="82"/>
      <c r="M984" s="110">
        <v>959</v>
      </c>
      <c r="N984" s="223"/>
      <c r="O984" s="223"/>
      <c r="P984" s="223"/>
      <c r="Q984" s="205"/>
      <c r="R984" s="206"/>
      <c r="S984" s="222"/>
      <c r="T984" s="207"/>
      <c r="U984" s="83"/>
    </row>
    <row r="985" spans="12:21" ht="13.5" customHeight="1">
      <c r="L985" s="82"/>
      <c r="M985" s="110">
        <v>960</v>
      </c>
      <c r="N985" s="223"/>
      <c r="O985" s="223"/>
      <c r="P985" s="223"/>
      <c r="Q985" s="205"/>
      <c r="R985" s="206"/>
      <c r="S985" s="222"/>
      <c r="T985" s="207"/>
      <c r="U985" s="83"/>
    </row>
    <row r="986" spans="12:21" ht="13.5" customHeight="1">
      <c r="L986" s="82"/>
      <c r="M986" s="110">
        <v>961</v>
      </c>
      <c r="N986" s="223"/>
      <c r="O986" s="223"/>
      <c r="P986" s="223"/>
      <c r="Q986" s="205"/>
      <c r="R986" s="206"/>
      <c r="S986" s="222"/>
      <c r="T986" s="207"/>
      <c r="U986" s="83"/>
    </row>
    <row r="987" spans="12:21" ht="13.5" customHeight="1">
      <c r="L987" s="82"/>
      <c r="M987" s="110">
        <v>962</v>
      </c>
      <c r="N987" s="223"/>
      <c r="O987" s="223"/>
      <c r="P987" s="223"/>
      <c r="Q987" s="205"/>
      <c r="R987" s="206"/>
      <c r="S987" s="222"/>
      <c r="T987" s="207"/>
      <c r="U987" s="83"/>
    </row>
    <row r="988" spans="12:21" ht="13.5" customHeight="1">
      <c r="L988" s="82"/>
      <c r="M988" s="110">
        <v>963</v>
      </c>
      <c r="N988" s="223"/>
      <c r="O988" s="223"/>
      <c r="P988" s="223"/>
      <c r="Q988" s="205"/>
      <c r="R988" s="206"/>
      <c r="S988" s="222"/>
      <c r="T988" s="207"/>
      <c r="U988" s="83"/>
    </row>
    <row r="989" spans="12:21" ht="13.5" customHeight="1">
      <c r="L989" s="82"/>
      <c r="M989" s="110">
        <v>964</v>
      </c>
      <c r="N989" s="223"/>
      <c r="O989" s="223"/>
      <c r="P989" s="223"/>
      <c r="Q989" s="205"/>
      <c r="R989" s="206"/>
      <c r="S989" s="222"/>
      <c r="T989" s="207"/>
      <c r="U989" s="83"/>
    </row>
    <row r="990" spans="12:21" ht="13.5" customHeight="1">
      <c r="L990" s="82"/>
      <c r="M990" s="110">
        <v>965</v>
      </c>
      <c r="N990" s="223"/>
      <c r="O990" s="223"/>
      <c r="P990" s="223"/>
      <c r="Q990" s="205"/>
      <c r="R990" s="206"/>
      <c r="S990" s="222"/>
      <c r="T990" s="207"/>
      <c r="U990" s="83"/>
    </row>
    <row r="991" spans="12:21" ht="13.5" customHeight="1">
      <c r="L991" s="82"/>
      <c r="M991" s="110">
        <v>966</v>
      </c>
      <c r="N991" s="223"/>
      <c r="O991" s="223"/>
      <c r="P991" s="223"/>
      <c r="Q991" s="205"/>
      <c r="R991" s="206"/>
      <c r="S991" s="222"/>
      <c r="T991" s="207"/>
      <c r="U991" s="83"/>
    </row>
    <row r="992" spans="12:21" ht="13.5" customHeight="1">
      <c r="L992" s="82"/>
      <c r="M992" s="110">
        <v>967</v>
      </c>
      <c r="N992" s="223"/>
      <c r="O992" s="223"/>
      <c r="P992" s="223"/>
      <c r="Q992" s="205"/>
      <c r="R992" s="206"/>
      <c r="S992" s="222"/>
      <c r="T992" s="207"/>
      <c r="U992" s="83"/>
    </row>
    <row r="993" spans="12:21" ht="13.5" customHeight="1">
      <c r="L993" s="82"/>
      <c r="M993" s="110">
        <v>968</v>
      </c>
      <c r="N993" s="223"/>
      <c r="O993" s="223"/>
      <c r="P993" s="223"/>
      <c r="Q993" s="205"/>
      <c r="R993" s="206"/>
      <c r="S993" s="222"/>
      <c r="T993" s="207"/>
      <c r="U993" s="83"/>
    </row>
    <row r="994" spans="12:21" ht="13.5" customHeight="1">
      <c r="L994" s="82"/>
      <c r="M994" s="110">
        <v>969</v>
      </c>
      <c r="N994" s="223"/>
      <c r="O994" s="223"/>
      <c r="P994" s="223"/>
      <c r="Q994" s="205"/>
      <c r="R994" s="206"/>
      <c r="S994" s="222"/>
      <c r="T994" s="207"/>
      <c r="U994" s="83"/>
    </row>
    <row r="995" spans="12:21" ht="13.5" customHeight="1">
      <c r="L995" s="82"/>
      <c r="M995" s="110">
        <v>970</v>
      </c>
      <c r="N995" s="223"/>
      <c r="O995" s="223"/>
      <c r="P995" s="223"/>
      <c r="Q995" s="205"/>
      <c r="R995" s="206"/>
      <c r="S995" s="222"/>
      <c r="T995" s="207"/>
      <c r="U995" s="83"/>
    </row>
    <row r="996" spans="12:21" ht="13.5" customHeight="1">
      <c r="L996" s="82"/>
      <c r="M996" s="110">
        <v>971</v>
      </c>
      <c r="N996" s="223"/>
      <c r="O996" s="223"/>
      <c r="P996" s="223"/>
      <c r="Q996" s="205"/>
      <c r="R996" s="206"/>
      <c r="S996" s="222"/>
      <c r="T996" s="207"/>
      <c r="U996" s="83"/>
    </row>
    <row r="997" spans="12:21" ht="13.5" customHeight="1">
      <c r="L997" s="82"/>
      <c r="M997" s="110">
        <v>972</v>
      </c>
      <c r="N997" s="223"/>
      <c r="O997" s="223"/>
      <c r="P997" s="223"/>
      <c r="Q997" s="205"/>
      <c r="R997" s="206"/>
      <c r="S997" s="222"/>
      <c r="T997" s="207"/>
      <c r="U997" s="83"/>
    </row>
    <row r="998" spans="12:21" ht="13.5" customHeight="1">
      <c r="L998" s="82"/>
      <c r="M998" s="110">
        <v>973</v>
      </c>
      <c r="N998" s="223"/>
      <c r="O998" s="223"/>
      <c r="P998" s="223"/>
      <c r="Q998" s="205"/>
      <c r="R998" s="206"/>
      <c r="S998" s="222"/>
      <c r="T998" s="207"/>
      <c r="U998" s="83"/>
    </row>
    <row r="999" spans="12:21" ht="13.5" customHeight="1">
      <c r="L999" s="82"/>
      <c r="M999" s="110">
        <v>974</v>
      </c>
      <c r="N999" s="223"/>
      <c r="O999" s="223"/>
      <c r="P999" s="223"/>
      <c r="Q999" s="205"/>
      <c r="R999" s="206"/>
      <c r="S999" s="222"/>
      <c r="T999" s="207"/>
      <c r="U999" s="83"/>
    </row>
    <row r="1000" spans="12:21" ht="13.5" customHeight="1">
      <c r="L1000" s="82"/>
      <c r="M1000" s="110">
        <v>975</v>
      </c>
      <c r="N1000" s="223"/>
      <c r="O1000" s="223"/>
      <c r="P1000" s="223"/>
      <c r="Q1000" s="205"/>
      <c r="R1000" s="206"/>
      <c r="S1000" s="222"/>
      <c r="T1000" s="207"/>
      <c r="U1000" s="83"/>
    </row>
    <row r="1001" spans="12:21" ht="13.5" customHeight="1">
      <c r="L1001" s="82"/>
      <c r="M1001" s="110">
        <v>976</v>
      </c>
      <c r="N1001" s="223"/>
      <c r="O1001" s="223"/>
      <c r="P1001" s="223"/>
      <c r="Q1001" s="205"/>
      <c r="R1001" s="206"/>
      <c r="S1001" s="222"/>
      <c r="T1001" s="207"/>
      <c r="U1001" s="83"/>
    </row>
    <row r="1002" spans="12:21" ht="13.5" customHeight="1">
      <c r="L1002" s="82"/>
      <c r="M1002" s="110">
        <v>977</v>
      </c>
      <c r="N1002" s="223"/>
      <c r="O1002" s="223"/>
      <c r="P1002" s="223"/>
      <c r="Q1002" s="205"/>
      <c r="R1002" s="206"/>
      <c r="S1002" s="222"/>
      <c r="T1002" s="207"/>
      <c r="U1002" s="83"/>
    </row>
    <row r="1003" spans="12:21" ht="13.5" customHeight="1">
      <c r="L1003" s="82"/>
      <c r="M1003" s="110">
        <v>978</v>
      </c>
      <c r="N1003" s="223"/>
      <c r="O1003" s="223"/>
      <c r="P1003" s="223"/>
      <c r="Q1003" s="205"/>
      <c r="R1003" s="206"/>
      <c r="S1003" s="222"/>
      <c r="T1003" s="207"/>
      <c r="U1003" s="83"/>
    </row>
    <row r="1004" spans="12:21" ht="13.5" customHeight="1">
      <c r="L1004" s="82"/>
      <c r="M1004" s="110">
        <v>979</v>
      </c>
      <c r="N1004" s="223"/>
      <c r="O1004" s="223"/>
      <c r="P1004" s="223"/>
      <c r="Q1004" s="205"/>
      <c r="R1004" s="206"/>
      <c r="S1004" s="222"/>
      <c r="T1004" s="207"/>
      <c r="U1004" s="83"/>
    </row>
    <row r="1005" spans="12:21" ht="13.5" customHeight="1">
      <c r="L1005" s="82"/>
      <c r="M1005" s="110">
        <v>980</v>
      </c>
      <c r="N1005" s="223"/>
      <c r="O1005" s="223"/>
      <c r="P1005" s="223"/>
      <c r="Q1005" s="205"/>
      <c r="R1005" s="206"/>
      <c r="S1005" s="222"/>
      <c r="T1005" s="207"/>
      <c r="U1005" s="83"/>
    </row>
    <row r="1006" spans="12:21" ht="13.5" customHeight="1">
      <c r="L1006" s="82"/>
      <c r="M1006" s="110">
        <v>981</v>
      </c>
      <c r="N1006" s="223"/>
      <c r="O1006" s="223"/>
      <c r="P1006" s="223"/>
      <c r="Q1006" s="205"/>
      <c r="R1006" s="206"/>
      <c r="S1006" s="222"/>
      <c r="T1006" s="207"/>
      <c r="U1006" s="83"/>
    </row>
    <row r="1007" spans="12:21" ht="13.5" customHeight="1">
      <c r="L1007" s="82"/>
      <c r="M1007" s="110">
        <v>982</v>
      </c>
      <c r="N1007" s="223"/>
      <c r="O1007" s="223"/>
      <c r="P1007" s="223"/>
      <c r="Q1007" s="205"/>
      <c r="R1007" s="206"/>
      <c r="S1007" s="222"/>
      <c r="T1007" s="207"/>
      <c r="U1007" s="83"/>
    </row>
    <row r="1008" spans="12:21" ht="13.5" customHeight="1">
      <c r="L1008" s="82"/>
      <c r="M1008" s="110">
        <v>983</v>
      </c>
      <c r="N1008" s="223"/>
      <c r="O1008" s="223"/>
      <c r="P1008" s="223"/>
      <c r="Q1008" s="205"/>
      <c r="R1008" s="206"/>
      <c r="S1008" s="222"/>
      <c r="T1008" s="207"/>
      <c r="U1008" s="83"/>
    </row>
    <row r="1009" spans="12:21" ht="13.5" customHeight="1">
      <c r="L1009" s="82"/>
      <c r="M1009" s="110">
        <v>984</v>
      </c>
      <c r="N1009" s="223"/>
      <c r="O1009" s="223"/>
      <c r="P1009" s="223"/>
      <c r="Q1009" s="205"/>
      <c r="R1009" s="206"/>
      <c r="S1009" s="222"/>
      <c r="T1009" s="207"/>
      <c r="U1009" s="83"/>
    </row>
    <row r="1010" spans="12:21" ht="13.5" customHeight="1">
      <c r="L1010" s="82"/>
      <c r="M1010" s="110">
        <v>985</v>
      </c>
      <c r="N1010" s="223"/>
      <c r="O1010" s="223"/>
      <c r="P1010" s="223"/>
      <c r="Q1010" s="205"/>
      <c r="R1010" s="206"/>
      <c r="S1010" s="222"/>
      <c r="T1010" s="207"/>
      <c r="U1010" s="83"/>
    </row>
    <row r="1011" spans="12:21" ht="13.5" customHeight="1">
      <c r="L1011" s="82"/>
      <c r="M1011" s="110">
        <v>986</v>
      </c>
      <c r="N1011" s="223"/>
      <c r="O1011" s="223"/>
      <c r="P1011" s="223"/>
      <c r="Q1011" s="205"/>
      <c r="R1011" s="206"/>
      <c r="S1011" s="222"/>
      <c r="T1011" s="207"/>
      <c r="U1011" s="83"/>
    </row>
    <row r="1012" spans="12:21" ht="13.5" customHeight="1">
      <c r="L1012" s="82"/>
      <c r="M1012" s="110">
        <v>987</v>
      </c>
      <c r="N1012" s="223"/>
      <c r="O1012" s="223"/>
      <c r="P1012" s="223"/>
      <c r="Q1012" s="205"/>
      <c r="R1012" s="206"/>
      <c r="S1012" s="222"/>
      <c r="T1012" s="207"/>
      <c r="U1012" s="83"/>
    </row>
    <row r="1013" spans="12:21" ht="13.5" customHeight="1">
      <c r="L1013" s="82"/>
      <c r="M1013" s="110">
        <v>988</v>
      </c>
      <c r="N1013" s="223"/>
      <c r="O1013" s="223"/>
      <c r="P1013" s="223"/>
      <c r="Q1013" s="205"/>
      <c r="R1013" s="206"/>
      <c r="S1013" s="222"/>
      <c r="T1013" s="207"/>
      <c r="U1013" s="83"/>
    </row>
    <row r="1014" spans="12:21" ht="13.5" customHeight="1">
      <c r="L1014" s="82"/>
      <c r="M1014" s="110">
        <v>989</v>
      </c>
      <c r="N1014" s="223"/>
      <c r="O1014" s="223"/>
      <c r="P1014" s="223"/>
      <c r="Q1014" s="205"/>
      <c r="R1014" s="206"/>
      <c r="S1014" s="222"/>
      <c r="T1014" s="207"/>
      <c r="U1014" s="83"/>
    </row>
    <row r="1015" spans="12:21" ht="13.5" customHeight="1">
      <c r="L1015" s="82"/>
      <c r="M1015" s="110">
        <v>990</v>
      </c>
      <c r="N1015" s="223"/>
      <c r="O1015" s="223"/>
      <c r="P1015" s="223"/>
      <c r="Q1015" s="205"/>
      <c r="R1015" s="206"/>
      <c r="S1015" s="222"/>
      <c r="T1015" s="207"/>
      <c r="U1015" s="83"/>
    </row>
    <row r="1016" spans="12:21" ht="13.5" customHeight="1">
      <c r="L1016" s="82"/>
      <c r="M1016" s="110">
        <v>991</v>
      </c>
      <c r="N1016" s="223"/>
      <c r="O1016" s="223"/>
      <c r="P1016" s="223"/>
      <c r="Q1016" s="205"/>
      <c r="R1016" s="206"/>
      <c r="S1016" s="222"/>
      <c r="T1016" s="207"/>
      <c r="U1016" s="83"/>
    </row>
    <row r="1017" spans="12:21" ht="13.5" customHeight="1">
      <c r="L1017" s="82"/>
      <c r="M1017" s="110">
        <v>992</v>
      </c>
      <c r="N1017" s="223"/>
      <c r="O1017" s="223"/>
      <c r="P1017" s="223"/>
      <c r="Q1017" s="205"/>
      <c r="R1017" s="206"/>
      <c r="S1017" s="222"/>
      <c r="T1017" s="207"/>
      <c r="U1017" s="83"/>
    </row>
    <row r="1018" spans="12:21" ht="13.5" customHeight="1">
      <c r="L1018" s="82"/>
      <c r="M1018" s="110">
        <v>993</v>
      </c>
      <c r="N1018" s="223"/>
      <c r="O1018" s="223"/>
      <c r="P1018" s="223"/>
      <c r="Q1018" s="205"/>
      <c r="R1018" s="206"/>
      <c r="S1018" s="222"/>
      <c r="T1018" s="207"/>
      <c r="U1018" s="83"/>
    </row>
    <row r="1019" spans="12:21" ht="13.5" customHeight="1">
      <c r="L1019" s="82"/>
      <c r="M1019" s="110">
        <v>994</v>
      </c>
      <c r="N1019" s="223"/>
      <c r="O1019" s="223"/>
      <c r="P1019" s="223"/>
      <c r="Q1019" s="205"/>
      <c r="R1019" s="206"/>
      <c r="S1019" s="222"/>
      <c r="T1019" s="207"/>
      <c r="U1019" s="83"/>
    </row>
    <row r="1020" spans="12:21" ht="13.5" customHeight="1">
      <c r="L1020" s="82"/>
      <c r="M1020" s="110">
        <v>995</v>
      </c>
      <c r="N1020" s="223"/>
      <c r="O1020" s="223"/>
      <c r="P1020" s="223"/>
      <c r="Q1020" s="205"/>
      <c r="R1020" s="206"/>
      <c r="S1020" s="222"/>
      <c r="T1020" s="207"/>
      <c r="U1020" s="83"/>
    </row>
    <row r="1021" spans="12:21" ht="13.5" customHeight="1">
      <c r="L1021" s="82"/>
      <c r="M1021" s="110">
        <v>996</v>
      </c>
      <c r="N1021" s="223"/>
      <c r="O1021" s="223"/>
      <c r="P1021" s="223"/>
      <c r="Q1021" s="205"/>
      <c r="R1021" s="206"/>
      <c r="S1021" s="222"/>
      <c r="T1021" s="207"/>
      <c r="U1021" s="83"/>
    </row>
    <row r="1022" spans="12:21" ht="13.5" customHeight="1">
      <c r="L1022" s="82"/>
      <c r="M1022" s="110">
        <v>997</v>
      </c>
      <c r="N1022" s="223"/>
      <c r="O1022" s="223"/>
      <c r="P1022" s="223"/>
      <c r="Q1022" s="205"/>
      <c r="R1022" s="206"/>
      <c r="S1022" s="222"/>
      <c r="T1022" s="207"/>
      <c r="U1022" s="83"/>
    </row>
    <row r="1023" spans="12:21" ht="13.5" customHeight="1">
      <c r="L1023" s="82"/>
      <c r="M1023" s="110">
        <v>998</v>
      </c>
      <c r="N1023" s="223"/>
      <c r="O1023" s="223"/>
      <c r="P1023" s="223"/>
      <c r="Q1023" s="205"/>
      <c r="R1023" s="206"/>
      <c r="S1023" s="222"/>
      <c r="T1023" s="207"/>
      <c r="U1023" s="83"/>
    </row>
    <row r="1024" spans="12:21">
      <c r="L1024" s="82"/>
      <c r="M1024" s="110">
        <v>999</v>
      </c>
      <c r="N1024" s="223"/>
      <c r="O1024" s="223"/>
      <c r="P1024" s="223"/>
      <c r="Q1024" s="205"/>
      <c r="R1024" s="206"/>
      <c r="S1024" s="222"/>
      <c r="T1024" s="207"/>
      <c r="U1024" s="83"/>
    </row>
    <row r="1025" spans="12:21" ht="13.5" thickBot="1">
      <c r="L1025" s="82"/>
      <c r="M1025" s="122">
        <v>1000</v>
      </c>
      <c r="N1025" s="223"/>
      <c r="O1025" s="221"/>
      <c r="P1025" s="221"/>
      <c r="Q1025" s="210"/>
      <c r="R1025" s="211"/>
      <c r="S1025" s="220"/>
      <c r="T1025" s="212"/>
      <c r="U1025" s="83"/>
    </row>
    <row r="1026" spans="12:21" ht="13.5" thickBot="1">
      <c r="L1026" s="119"/>
      <c r="M1026" s="120"/>
      <c r="N1026" s="120"/>
      <c r="O1026" s="120"/>
      <c r="P1026" s="120"/>
      <c r="Q1026" s="120"/>
      <c r="R1026" s="120"/>
      <c r="S1026" s="120"/>
      <c r="T1026" s="120"/>
      <c r="U1026" s="121"/>
    </row>
  </sheetData>
  <sheetProtection password="C2EC" sheet="1" objects="1" scenarios="1"/>
  <mergeCells count="15">
    <mergeCell ref="C20:D20"/>
    <mergeCell ref="M24:M25"/>
    <mergeCell ref="C23:I23"/>
    <mergeCell ref="P20:S20"/>
    <mergeCell ref="P19:T19"/>
    <mergeCell ref="M23:N23"/>
    <mergeCell ref="Y6:AG6"/>
    <mergeCell ref="W4:AH4"/>
    <mergeCell ref="B2:D2"/>
    <mergeCell ref="E2:F2"/>
    <mergeCell ref="B4:J4"/>
    <mergeCell ref="L4:U4"/>
    <mergeCell ref="C6:D6"/>
    <mergeCell ref="F6:I6"/>
    <mergeCell ref="M6:T6"/>
  </mergeCells>
  <dataValidations count="7">
    <dataValidation type="list" allowBlank="1" showInputMessage="1" showErrorMessage="1" sqref="D65544 D131080 D196616 D262152 D327688 D393224 D458760 D524296 D589832 D655368 D720904 D786440 D851976 D917512 D983048 WVL983062 WLP983062 WBT983062 VRX983062 VIB983062 UYF983062 UOJ983062 UEN983062 TUR983062 TKV983062 TAZ983062 SRD983062 SHH983062 RXL983062 RNP983062 RDT983062 QTX983062 QKB983062 QAF983062 PQJ983062 PGN983062 OWR983062 OMV983062 OCZ983062 NTD983062 NJH983062 MZL983062 MPP983062 MFT983062 LVX983062 LMB983062 LCF983062 KSJ983062 KIN983062 JYR983062 JOV983062 JEZ983062 IVD983062 ILH983062 IBL983062 HRP983062 HHT983062 GXX983062 GOB983062 GEF983062 FUJ983062 FKN983062 FAR983062 EQV983062 EGZ983062 DXD983062 DNH983062 DDL983062 CTP983062 CJT983062 BZX983062 BQB983062 BGF983062 AWJ983062 AMN983062 ACR983062 SV983062 IZ983062 WVL917526 WLP917526 WBT917526 VRX917526 VIB917526 UYF917526 UOJ917526 UEN917526 TUR917526 TKV917526 TAZ917526 SRD917526 SHH917526 RXL917526 RNP917526 RDT917526 QTX917526 QKB917526 QAF917526 PQJ917526 PGN917526 OWR917526 OMV917526 OCZ917526 NTD917526 NJH917526 MZL917526 MPP917526 MFT917526 LVX917526 LMB917526 LCF917526 KSJ917526 KIN917526 JYR917526 JOV917526 JEZ917526 IVD917526 ILH917526 IBL917526 HRP917526 HHT917526 GXX917526 GOB917526 GEF917526 FUJ917526 FKN917526 FAR917526 EQV917526 EGZ917526 DXD917526 DNH917526 DDL917526 CTP917526 CJT917526 BZX917526 BQB917526 BGF917526 AWJ917526 AMN917526 ACR917526 SV917526 IZ917526 WVL851990 WLP851990 WBT851990 VRX851990 VIB851990 UYF851990 UOJ851990 UEN851990 TUR851990 TKV851990 TAZ851990 SRD851990 SHH851990 RXL851990 RNP851990 RDT851990 QTX851990 QKB851990 QAF851990 PQJ851990 PGN851990 OWR851990 OMV851990 OCZ851990 NTD851990 NJH851990 MZL851990 MPP851990 MFT851990 LVX851990 LMB851990 LCF851990 KSJ851990 KIN851990 JYR851990 JOV851990 JEZ851990 IVD851990 ILH851990 IBL851990 HRP851990 HHT851990 GXX851990 GOB851990 GEF851990 FUJ851990 FKN851990 FAR851990 EQV851990 EGZ851990 DXD851990 DNH851990 DDL851990 CTP851990 CJT851990 BZX851990 BQB851990 BGF851990 AWJ851990 AMN851990 ACR851990 SV851990 IZ851990 WVL786454 WLP786454 WBT786454 VRX786454 VIB786454 UYF786454 UOJ786454 UEN786454 TUR786454 TKV786454 TAZ786454 SRD786454 SHH786454 RXL786454 RNP786454 RDT786454 QTX786454 QKB786454 QAF786454 PQJ786454 PGN786454 OWR786454 OMV786454 OCZ786454 NTD786454 NJH786454 MZL786454 MPP786454 MFT786454 LVX786454 LMB786454 LCF786454 KSJ786454 KIN786454 JYR786454 JOV786454 JEZ786454 IVD786454 ILH786454 IBL786454 HRP786454 HHT786454 GXX786454 GOB786454 GEF786454 FUJ786454 FKN786454 FAR786454 EQV786454 EGZ786454 DXD786454 DNH786454 DDL786454 CTP786454 CJT786454 BZX786454 BQB786454 BGF786454 AWJ786454 AMN786454 ACR786454 SV786454 IZ786454 WVL720918 WLP720918 WBT720918 VRX720918 VIB720918 UYF720918 UOJ720918 UEN720918 TUR720918 TKV720918 TAZ720918 SRD720918 SHH720918 RXL720918 RNP720918 RDT720918 QTX720918 QKB720918 QAF720918 PQJ720918 PGN720918 OWR720918 OMV720918 OCZ720918 NTD720918 NJH720918 MZL720918 MPP720918 MFT720918 LVX720918 LMB720918 LCF720918 KSJ720918 KIN720918 JYR720918 JOV720918 JEZ720918 IVD720918 ILH720918 IBL720918 HRP720918 HHT720918 GXX720918 GOB720918 GEF720918 FUJ720918 FKN720918 FAR720918 EQV720918 EGZ720918 DXD720918 DNH720918 DDL720918 CTP720918 CJT720918 BZX720918 BQB720918 BGF720918 AWJ720918 AMN720918 ACR720918 SV720918 IZ720918 WVL655382 WLP655382 WBT655382 VRX655382 VIB655382 UYF655382 UOJ655382 UEN655382 TUR655382 TKV655382 TAZ655382 SRD655382 SHH655382 RXL655382 RNP655382 RDT655382 QTX655382 QKB655382 QAF655382 PQJ655382 PGN655382 OWR655382 OMV655382 OCZ655382 NTD655382 NJH655382 MZL655382 MPP655382 MFT655382 LVX655382 LMB655382 LCF655382 KSJ655382 KIN655382 JYR655382 JOV655382 JEZ655382 IVD655382 ILH655382 IBL655382 HRP655382 HHT655382 GXX655382 GOB655382 GEF655382 FUJ655382 FKN655382 FAR655382 EQV655382 EGZ655382 DXD655382 DNH655382 DDL655382 CTP655382 CJT655382 BZX655382 BQB655382 BGF655382 AWJ655382 AMN655382 ACR655382 SV655382 IZ655382 WVL589846 WLP589846 WBT589846 VRX589846 VIB589846 UYF589846 UOJ589846 UEN589846 TUR589846 TKV589846 TAZ589846 SRD589846 SHH589846 RXL589846 RNP589846 RDT589846 QTX589846 QKB589846 QAF589846 PQJ589846 PGN589846 OWR589846 OMV589846 OCZ589846 NTD589846 NJH589846 MZL589846 MPP589846 MFT589846 LVX589846 LMB589846 LCF589846 KSJ589846 KIN589846 JYR589846 JOV589846 JEZ589846 IVD589846 ILH589846 IBL589846 HRP589846 HHT589846 GXX589846 GOB589846 GEF589846 FUJ589846 FKN589846 FAR589846 EQV589846 EGZ589846 DXD589846 DNH589846 DDL589846 CTP589846 CJT589846 BZX589846 BQB589846 BGF589846 AWJ589846 AMN589846 ACR589846 SV589846 IZ589846 WVL524310 WLP524310 WBT524310 VRX524310 VIB524310 UYF524310 UOJ524310 UEN524310 TUR524310 TKV524310 TAZ524310 SRD524310 SHH524310 RXL524310 RNP524310 RDT524310 QTX524310 QKB524310 QAF524310 PQJ524310 PGN524310 OWR524310 OMV524310 OCZ524310 NTD524310 NJH524310 MZL524310 MPP524310 MFT524310 LVX524310 LMB524310 LCF524310 KSJ524310 KIN524310 JYR524310 JOV524310 JEZ524310 IVD524310 ILH524310 IBL524310 HRP524310 HHT524310 GXX524310 GOB524310 GEF524310 FUJ524310 FKN524310 FAR524310 EQV524310 EGZ524310 DXD524310 DNH524310 DDL524310 CTP524310 CJT524310 BZX524310 BQB524310 BGF524310 AWJ524310 AMN524310 ACR524310 SV524310 IZ524310 WVL458774 WLP458774 WBT458774 VRX458774 VIB458774 UYF458774 UOJ458774 UEN458774 TUR458774 TKV458774 TAZ458774 SRD458774 SHH458774 RXL458774 RNP458774 RDT458774 QTX458774 QKB458774 QAF458774 PQJ458774 PGN458774 OWR458774 OMV458774 OCZ458774 NTD458774 NJH458774 MZL458774 MPP458774 MFT458774 LVX458774 LMB458774 LCF458774 KSJ458774 KIN458774 JYR458774 JOV458774 JEZ458774 IVD458774 ILH458774 IBL458774 HRP458774 HHT458774 GXX458774 GOB458774 GEF458774 FUJ458774 FKN458774 FAR458774 EQV458774 EGZ458774 DXD458774 DNH458774 DDL458774 CTP458774 CJT458774 BZX458774 BQB458774 BGF458774 AWJ458774 AMN458774 ACR458774 SV458774 IZ458774 WVL393238 WLP393238 WBT393238 VRX393238 VIB393238 UYF393238 UOJ393238 UEN393238 TUR393238 TKV393238 TAZ393238 SRD393238 SHH393238 RXL393238 RNP393238 RDT393238 QTX393238 QKB393238 QAF393238 PQJ393238 PGN393238 OWR393238 OMV393238 OCZ393238 NTD393238 NJH393238 MZL393238 MPP393238 MFT393238 LVX393238 LMB393238 LCF393238 KSJ393238 KIN393238 JYR393238 JOV393238 JEZ393238 IVD393238 ILH393238 IBL393238 HRP393238 HHT393238 GXX393238 GOB393238 GEF393238 FUJ393238 FKN393238 FAR393238 EQV393238 EGZ393238 DXD393238 DNH393238 DDL393238 CTP393238 CJT393238 BZX393238 BQB393238 BGF393238 AWJ393238 AMN393238 ACR393238 SV393238 IZ393238 WVL327702 WLP327702 WBT327702 VRX327702 VIB327702 UYF327702 UOJ327702 UEN327702 TUR327702 TKV327702 TAZ327702 SRD327702 SHH327702 RXL327702 RNP327702 RDT327702 QTX327702 QKB327702 QAF327702 PQJ327702 PGN327702 OWR327702 OMV327702 OCZ327702 NTD327702 NJH327702 MZL327702 MPP327702 MFT327702 LVX327702 LMB327702 LCF327702 KSJ327702 KIN327702 JYR327702 JOV327702 JEZ327702 IVD327702 ILH327702 IBL327702 HRP327702 HHT327702 GXX327702 GOB327702 GEF327702 FUJ327702 FKN327702 FAR327702 EQV327702 EGZ327702 DXD327702 DNH327702 DDL327702 CTP327702 CJT327702 BZX327702 BQB327702 BGF327702 AWJ327702 AMN327702 ACR327702 SV327702 IZ327702 WVL262166 WLP262166 WBT262166 VRX262166 VIB262166 UYF262166 UOJ262166 UEN262166 TUR262166 TKV262166 TAZ262166 SRD262166 SHH262166 RXL262166 RNP262166 RDT262166 QTX262166 QKB262166 QAF262166 PQJ262166 PGN262166 OWR262166 OMV262166 OCZ262166 NTD262166 NJH262166 MZL262166 MPP262166 MFT262166 LVX262166 LMB262166 LCF262166 KSJ262166 KIN262166 JYR262166 JOV262166 JEZ262166 IVD262166 ILH262166 IBL262166 HRP262166 HHT262166 GXX262166 GOB262166 GEF262166 FUJ262166 FKN262166 FAR262166 EQV262166 EGZ262166 DXD262166 DNH262166 DDL262166 CTP262166 CJT262166 BZX262166 BQB262166 BGF262166 AWJ262166 AMN262166 ACR262166 SV262166 IZ262166 WVL196630 WLP196630 WBT196630 VRX196630 VIB196630 UYF196630 UOJ196630 UEN196630 TUR196630 TKV196630 TAZ196630 SRD196630 SHH196630 RXL196630 RNP196630 RDT196630 QTX196630 QKB196630 QAF196630 PQJ196630 PGN196630 OWR196630 OMV196630 OCZ196630 NTD196630 NJH196630 MZL196630 MPP196630 MFT196630 LVX196630 LMB196630 LCF196630 KSJ196630 KIN196630 JYR196630 JOV196630 JEZ196630 IVD196630 ILH196630 IBL196630 HRP196630 HHT196630 GXX196630 GOB196630 GEF196630 FUJ196630 FKN196630 FAR196630 EQV196630 EGZ196630 DXD196630 DNH196630 DDL196630 CTP196630 CJT196630 BZX196630 BQB196630 BGF196630 AWJ196630 AMN196630 ACR196630 SV196630 IZ196630 WVL131094 WLP131094 WBT131094 VRX131094 VIB131094 UYF131094 UOJ131094 UEN131094 TUR131094 TKV131094 TAZ131094 SRD131094 SHH131094 RXL131094 RNP131094 RDT131094 QTX131094 QKB131094 QAF131094 PQJ131094 PGN131094 OWR131094 OMV131094 OCZ131094 NTD131094 NJH131094 MZL131094 MPP131094 MFT131094 LVX131094 LMB131094 LCF131094 KSJ131094 KIN131094 JYR131094 JOV131094 JEZ131094 IVD131094 ILH131094 IBL131094 HRP131094 HHT131094 GXX131094 GOB131094 GEF131094 FUJ131094 FKN131094 FAR131094 EQV131094 EGZ131094 DXD131094 DNH131094 DDL131094 CTP131094 CJT131094 BZX131094 BQB131094 BGF131094 AWJ131094 AMN131094 ACR131094 SV131094 IZ131094 WVL65558 WLP65558 WBT65558 VRX65558 VIB65558 UYF65558 UOJ65558 UEN65558 TUR65558 TKV65558 TAZ65558 SRD65558 SHH65558 RXL65558 RNP65558 RDT65558 QTX65558 QKB65558 QAF65558 PQJ65558 PGN65558 OWR65558 OMV65558 OCZ65558 NTD65558 NJH65558 MZL65558 MPP65558 MFT65558 LVX65558 LMB65558 LCF65558 KSJ65558 KIN65558 JYR65558 JOV65558 JEZ65558 IVD65558 ILH65558 IBL65558 HRP65558 HHT65558 GXX65558 GOB65558 GEF65558 FUJ65558 FKN65558 FAR65558 EQV65558 EGZ65558 DXD65558 DNH65558 DDL65558 CTP65558 CJT65558 BZX65558 BQB65558 BGF65558 AWJ65558 AMN65558 ACR65558 SV65558 IZ65558 WVL22 WLP22 WBT22 VRX22 VIB22 UYF22 UOJ22 UEN22 TUR22 TKV22 TAZ22 SRD22 SHH22 RXL22 RNP22 RDT22 QTX22 QKB22 QAF22 PQJ22 PGN22 OWR22 OMV22 OCZ22 NTD22 NJH22 MZL22 MPP22 MFT22 LVX22 LMB22 LCF22 KSJ22 KIN22 JYR22 JOV22 JEZ22 IVD22 ILH22 IBL22 HRP22 HHT22 GXX22 GOB22 GEF22 FUJ22 FKN22 FAR22 EQV22 EGZ22 DXD22 DNH22 DDL22 CTP22 CJT22 BZX22 BQB22 BGF22 AWJ22 AMN22 ACR22 SV22 IZ22 D22">
      <formula1>"USA,Germany,France,S. Europe,Asia"</formula1>
    </dataValidation>
    <dataValidation type="list" allowBlank="1" showInputMessage="1" showErrorMessage="1" sqref="D65543 D131079 D196615 D262151 D327687 D393223 D458759 D524295 D589831 D655367 D720903 D786439 D851975 D917511 D983047 WWB983057 WMF983057 WCJ983057 VSN983057 VIR983057 UYV983057 UOZ983057 UFD983057 TVH983057 TLL983057 TBP983057 SRT983057 SHX983057 RYB983057 ROF983057 REJ983057 QUN983057 QKR983057 QAV983057 PQZ983057 PHD983057 OXH983057 ONL983057 ODP983057 NTT983057 NJX983057 NAB983057 MQF983057 MGJ983057 LWN983057 LMR983057 LCV983057 KSZ983057 KJD983057 JZH983057 JPL983057 JFP983057 IVT983057 ILX983057 ICB983057 HSF983057 HIJ983057 GYN983057 GOR983057 GEV983057 FUZ983057 FLD983057 FBH983057 ERL983057 EHP983057 DXT983057 DNX983057 DEB983057 CUF983057 CKJ983057 CAN983057 BQR983057 BGV983057 AWZ983057 AND983057 ADH983057 TL983057 JP983057 T983060 WWB917521 WMF917521 WCJ917521 VSN917521 VIR917521 UYV917521 UOZ917521 UFD917521 TVH917521 TLL917521 TBP917521 SRT917521 SHX917521 RYB917521 ROF917521 REJ917521 QUN917521 QKR917521 QAV917521 PQZ917521 PHD917521 OXH917521 ONL917521 ODP917521 NTT917521 NJX917521 NAB917521 MQF917521 MGJ917521 LWN917521 LMR917521 LCV917521 KSZ917521 KJD917521 JZH917521 JPL917521 JFP917521 IVT917521 ILX917521 ICB917521 HSF917521 HIJ917521 GYN917521 GOR917521 GEV917521 FUZ917521 FLD917521 FBH917521 ERL917521 EHP917521 DXT917521 DNX917521 DEB917521 CUF917521 CKJ917521 CAN917521 BQR917521 BGV917521 AWZ917521 AND917521 ADH917521 TL917521 JP917521 T917524 WWB851985 WMF851985 WCJ851985 VSN851985 VIR851985 UYV851985 UOZ851985 UFD851985 TVH851985 TLL851985 TBP851985 SRT851985 SHX851985 RYB851985 ROF851985 REJ851985 QUN851985 QKR851985 QAV851985 PQZ851985 PHD851985 OXH851985 ONL851985 ODP851985 NTT851985 NJX851985 NAB851985 MQF851985 MGJ851985 LWN851985 LMR851985 LCV851985 KSZ851985 KJD851985 JZH851985 JPL851985 JFP851985 IVT851985 ILX851985 ICB851985 HSF851985 HIJ851985 GYN851985 GOR851985 GEV851985 FUZ851985 FLD851985 FBH851985 ERL851985 EHP851985 DXT851985 DNX851985 DEB851985 CUF851985 CKJ851985 CAN851985 BQR851985 BGV851985 AWZ851985 AND851985 ADH851985 TL851985 JP851985 T851988 WWB786449 WMF786449 WCJ786449 VSN786449 VIR786449 UYV786449 UOZ786449 UFD786449 TVH786449 TLL786449 TBP786449 SRT786449 SHX786449 RYB786449 ROF786449 REJ786449 QUN786449 QKR786449 QAV786449 PQZ786449 PHD786449 OXH786449 ONL786449 ODP786449 NTT786449 NJX786449 NAB786449 MQF786449 MGJ786449 LWN786449 LMR786449 LCV786449 KSZ786449 KJD786449 JZH786449 JPL786449 JFP786449 IVT786449 ILX786449 ICB786449 HSF786449 HIJ786449 GYN786449 GOR786449 GEV786449 FUZ786449 FLD786449 FBH786449 ERL786449 EHP786449 DXT786449 DNX786449 DEB786449 CUF786449 CKJ786449 CAN786449 BQR786449 BGV786449 AWZ786449 AND786449 ADH786449 TL786449 JP786449 T786452 WWB720913 WMF720913 WCJ720913 VSN720913 VIR720913 UYV720913 UOZ720913 UFD720913 TVH720913 TLL720913 TBP720913 SRT720913 SHX720913 RYB720913 ROF720913 REJ720913 QUN720913 QKR720913 QAV720913 PQZ720913 PHD720913 OXH720913 ONL720913 ODP720913 NTT720913 NJX720913 NAB720913 MQF720913 MGJ720913 LWN720913 LMR720913 LCV720913 KSZ720913 KJD720913 JZH720913 JPL720913 JFP720913 IVT720913 ILX720913 ICB720913 HSF720913 HIJ720913 GYN720913 GOR720913 GEV720913 FUZ720913 FLD720913 FBH720913 ERL720913 EHP720913 DXT720913 DNX720913 DEB720913 CUF720913 CKJ720913 CAN720913 BQR720913 BGV720913 AWZ720913 AND720913 ADH720913 TL720913 JP720913 T720916 WWB655377 WMF655377 WCJ655377 VSN655377 VIR655377 UYV655377 UOZ655377 UFD655377 TVH655377 TLL655377 TBP655377 SRT655377 SHX655377 RYB655377 ROF655377 REJ655377 QUN655377 QKR655377 QAV655377 PQZ655377 PHD655377 OXH655377 ONL655377 ODP655377 NTT655377 NJX655377 NAB655377 MQF655377 MGJ655377 LWN655377 LMR655377 LCV655377 KSZ655377 KJD655377 JZH655377 JPL655377 JFP655377 IVT655377 ILX655377 ICB655377 HSF655377 HIJ655377 GYN655377 GOR655377 GEV655377 FUZ655377 FLD655377 FBH655377 ERL655377 EHP655377 DXT655377 DNX655377 DEB655377 CUF655377 CKJ655377 CAN655377 BQR655377 BGV655377 AWZ655377 AND655377 ADH655377 TL655377 JP655377 T655380 WWB589841 WMF589841 WCJ589841 VSN589841 VIR589841 UYV589841 UOZ589841 UFD589841 TVH589841 TLL589841 TBP589841 SRT589841 SHX589841 RYB589841 ROF589841 REJ589841 QUN589841 QKR589841 QAV589841 PQZ589841 PHD589841 OXH589841 ONL589841 ODP589841 NTT589841 NJX589841 NAB589841 MQF589841 MGJ589841 LWN589841 LMR589841 LCV589841 KSZ589841 KJD589841 JZH589841 JPL589841 JFP589841 IVT589841 ILX589841 ICB589841 HSF589841 HIJ589841 GYN589841 GOR589841 GEV589841 FUZ589841 FLD589841 FBH589841 ERL589841 EHP589841 DXT589841 DNX589841 DEB589841 CUF589841 CKJ589841 CAN589841 BQR589841 BGV589841 AWZ589841 AND589841 ADH589841 TL589841 JP589841 T589844 WWB524305 WMF524305 WCJ524305 VSN524305 VIR524305 UYV524305 UOZ524305 UFD524305 TVH524305 TLL524305 TBP524305 SRT524305 SHX524305 RYB524305 ROF524305 REJ524305 QUN524305 QKR524305 QAV524305 PQZ524305 PHD524305 OXH524305 ONL524305 ODP524305 NTT524305 NJX524305 NAB524305 MQF524305 MGJ524305 LWN524305 LMR524305 LCV524305 KSZ524305 KJD524305 JZH524305 JPL524305 JFP524305 IVT524305 ILX524305 ICB524305 HSF524305 HIJ524305 GYN524305 GOR524305 GEV524305 FUZ524305 FLD524305 FBH524305 ERL524305 EHP524305 DXT524305 DNX524305 DEB524305 CUF524305 CKJ524305 CAN524305 BQR524305 BGV524305 AWZ524305 AND524305 ADH524305 TL524305 JP524305 T524308 WWB458769 WMF458769 WCJ458769 VSN458769 VIR458769 UYV458769 UOZ458769 UFD458769 TVH458769 TLL458769 TBP458769 SRT458769 SHX458769 RYB458769 ROF458769 REJ458769 QUN458769 QKR458769 QAV458769 PQZ458769 PHD458769 OXH458769 ONL458769 ODP458769 NTT458769 NJX458769 NAB458769 MQF458769 MGJ458769 LWN458769 LMR458769 LCV458769 KSZ458769 KJD458769 JZH458769 JPL458769 JFP458769 IVT458769 ILX458769 ICB458769 HSF458769 HIJ458769 GYN458769 GOR458769 GEV458769 FUZ458769 FLD458769 FBH458769 ERL458769 EHP458769 DXT458769 DNX458769 DEB458769 CUF458769 CKJ458769 CAN458769 BQR458769 BGV458769 AWZ458769 AND458769 ADH458769 TL458769 JP458769 T458772 WWB393233 WMF393233 WCJ393233 VSN393233 VIR393233 UYV393233 UOZ393233 UFD393233 TVH393233 TLL393233 TBP393233 SRT393233 SHX393233 RYB393233 ROF393233 REJ393233 QUN393233 QKR393233 QAV393233 PQZ393233 PHD393233 OXH393233 ONL393233 ODP393233 NTT393233 NJX393233 NAB393233 MQF393233 MGJ393233 LWN393233 LMR393233 LCV393233 KSZ393233 KJD393233 JZH393233 JPL393233 JFP393233 IVT393233 ILX393233 ICB393233 HSF393233 HIJ393233 GYN393233 GOR393233 GEV393233 FUZ393233 FLD393233 FBH393233 ERL393233 EHP393233 DXT393233 DNX393233 DEB393233 CUF393233 CKJ393233 CAN393233 BQR393233 BGV393233 AWZ393233 AND393233 ADH393233 TL393233 JP393233 T393236 WWB327697 WMF327697 WCJ327697 VSN327697 VIR327697 UYV327697 UOZ327697 UFD327697 TVH327697 TLL327697 TBP327697 SRT327697 SHX327697 RYB327697 ROF327697 REJ327697 QUN327697 QKR327697 QAV327697 PQZ327697 PHD327697 OXH327697 ONL327697 ODP327697 NTT327697 NJX327697 NAB327697 MQF327697 MGJ327697 LWN327697 LMR327697 LCV327697 KSZ327697 KJD327697 JZH327697 JPL327697 JFP327697 IVT327697 ILX327697 ICB327697 HSF327697 HIJ327697 GYN327697 GOR327697 GEV327697 FUZ327697 FLD327697 FBH327697 ERL327697 EHP327697 DXT327697 DNX327697 DEB327697 CUF327697 CKJ327697 CAN327697 BQR327697 BGV327697 AWZ327697 AND327697 ADH327697 TL327697 JP327697 T327700 WWB262161 WMF262161 WCJ262161 VSN262161 VIR262161 UYV262161 UOZ262161 UFD262161 TVH262161 TLL262161 TBP262161 SRT262161 SHX262161 RYB262161 ROF262161 REJ262161 QUN262161 QKR262161 QAV262161 PQZ262161 PHD262161 OXH262161 ONL262161 ODP262161 NTT262161 NJX262161 NAB262161 MQF262161 MGJ262161 LWN262161 LMR262161 LCV262161 KSZ262161 KJD262161 JZH262161 JPL262161 JFP262161 IVT262161 ILX262161 ICB262161 HSF262161 HIJ262161 GYN262161 GOR262161 GEV262161 FUZ262161 FLD262161 FBH262161 ERL262161 EHP262161 DXT262161 DNX262161 DEB262161 CUF262161 CKJ262161 CAN262161 BQR262161 BGV262161 AWZ262161 AND262161 ADH262161 TL262161 JP262161 T262164 WWB196625 WMF196625 WCJ196625 VSN196625 VIR196625 UYV196625 UOZ196625 UFD196625 TVH196625 TLL196625 TBP196625 SRT196625 SHX196625 RYB196625 ROF196625 REJ196625 QUN196625 QKR196625 QAV196625 PQZ196625 PHD196625 OXH196625 ONL196625 ODP196625 NTT196625 NJX196625 NAB196625 MQF196625 MGJ196625 LWN196625 LMR196625 LCV196625 KSZ196625 KJD196625 JZH196625 JPL196625 JFP196625 IVT196625 ILX196625 ICB196625 HSF196625 HIJ196625 GYN196625 GOR196625 GEV196625 FUZ196625 FLD196625 FBH196625 ERL196625 EHP196625 DXT196625 DNX196625 DEB196625 CUF196625 CKJ196625 CAN196625 BQR196625 BGV196625 AWZ196625 AND196625 ADH196625 TL196625 JP196625 T196628 WWB131089 WMF131089 WCJ131089 VSN131089 VIR131089 UYV131089 UOZ131089 UFD131089 TVH131089 TLL131089 TBP131089 SRT131089 SHX131089 RYB131089 ROF131089 REJ131089 QUN131089 QKR131089 QAV131089 PQZ131089 PHD131089 OXH131089 ONL131089 ODP131089 NTT131089 NJX131089 NAB131089 MQF131089 MGJ131089 LWN131089 LMR131089 LCV131089 KSZ131089 KJD131089 JZH131089 JPL131089 JFP131089 IVT131089 ILX131089 ICB131089 HSF131089 HIJ131089 GYN131089 GOR131089 GEV131089 FUZ131089 FLD131089 FBH131089 ERL131089 EHP131089 DXT131089 DNX131089 DEB131089 CUF131089 CKJ131089 CAN131089 BQR131089 BGV131089 AWZ131089 AND131089 ADH131089 TL131089 JP131089 T131092 WWB65553 WMF65553 WCJ65553 VSN65553 VIR65553 UYV65553 UOZ65553 UFD65553 TVH65553 TLL65553 TBP65553 SRT65553 SHX65553 RYB65553 ROF65553 REJ65553 QUN65553 QKR65553 QAV65553 PQZ65553 PHD65553 OXH65553 ONL65553 ODP65553 NTT65553 NJX65553 NAB65553 MQF65553 MGJ65553 LWN65553 LMR65553 LCV65553 KSZ65553 KJD65553 JZH65553 JPL65553 JFP65553 IVT65553 ILX65553 ICB65553 HSF65553 HIJ65553 GYN65553 GOR65553 GEV65553 FUZ65553 FLD65553 FBH65553 ERL65553 EHP65553 DXT65553 DNX65553 DEB65553 CUF65553 CKJ65553 CAN65553 BQR65553 BGV65553 AWZ65553 AND65553 ADH65553 TL65553 JP65553 T65556 WWB17 WMF17 WCJ17 VSN17 VIR17 UYV17 UOZ17 UFD17 TVH17 TLL17 TBP17 SRT17 SHX17 RYB17 ROF17 REJ17 QUN17 QKR17 QAV17 PQZ17 PHD17 OXH17 ONL17 ODP17 NTT17 NJX17 NAB17 MQF17 MGJ17 LWN17 LMR17 LCV17 KSZ17 KJD17 JZH17 JPL17 JFP17 IVT17 ILX17 ICB17 HSF17 HIJ17 GYN17 GOR17 GEV17 FUZ17 FLD17 FBH17 ERL17 EHP17 DXT17 DNX17 DEB17 CUF17 CKJ17 CAN17 BQR17 BGV17 AWZ17 AND17 ADH17 TL17 JP17 SV21 WVL983061 WLP983061 WBT983061 VRX983061 VIB983061 UYF983061 UOJ983061 UEN983061 TUR983061 TKV983061 TAZ983061 SRD983061 SHH983061 RXL983061 RNP983061 RDT983061 QTX983061 QKB983061 QAF983061 PQJ983061 PGN983061 OWR983061 OMV983061 OCZ983061 NTD983061 NJH983061 MZL983061 MPP983061 MFT983061 LVX983061 LMB983061 LCF983061 KSJ983061 KIN983061 JYR983061 JOV983061 JEZ983061 IVD983061 ILH983061 IBL983061 HRP983061 HHT983061 GXX983061 GOB983061 GEF983061 FUJ983061 FKN983061 FAR983061 EQV983061 EGZ983061 DXD983061 DNH983061 DDL983061 CTP983061 CJT983061 BZX983061 BQB983061 BGF983061 AWJ983061 AMN983061 ACR983061 SV983061 IZ983061 WVL917525 WLP917525 WBT917525 VRX917525 VIB917525 UYF917525 UOJ917525 UEN917525 TUR917525 TKV917525 TAZ917525 SRD917525 SHH917525 RXL917525 RNP917525 RDT917525 QTX917525 QKB917525 QAF917525 PQJ917525 PGN917525 OWR917525 OMV917525 OCZ917525 NTD917525 NJH917525 MZL917525 MPP917525 MFT917525 LVX917525 LMB917525 LCF917525 KSJ917525 KIN917525 JYR917525 JOV917525 JEZ917525 IVD917525 ILH917525 IBL917525 HRP917525 HHT917525 GXX917525 GOB917525 GEF917525 FUJ917525 FKN917525 FAR917525 EQV917525 EGZ917525 DXD917525 DNH917525 DDL917525 CTP917525 CJT917525 BZX917525 BQB917525 BGF917525 AWJ917525 AMN917525 ACR917525 SV917525 IZ917525 WVL851989 WLP851989 WBT851989 VRX851989 VIB851989 UYF851989 UOJ851989 UEN851989 TUR851989 TKV851989 TAZ851989 SRD851989 SHH851989 RXL851989 RNP851989 RDT851989 QTX851989 QKB851989 QAF851989 PQJ851989 PGN851989 OWR851989 OMV851989 OCZ851989 NTD851989 NJH851989 MZL851989 MPP851989 MFT851989 LVX851989 LMB851989 LCF851989 KSJ851989 KIN851989 JYR851989 JOV851989 JEZ851989 IVD851989 ILH851989 IBL851989 HRP851989 HHT851989 GXX851989 GOB851989 GEF851989 FUJ851989 FKN851989 FAR851989 EQV851989 EGZ851989 DXD851989 DNH851989 DDL851989 CTP851989 CJT851989 BZX851989 BQB851989 BGF851989 AWJ851989 AMN851989 ACR851989 SV851989 IZ851989 WVL786453 WLP786453 WBT786453 VRX786453 VIB786453 UYF786453 UOJ786453 UEN786453 TUR786453 TKV786453 TAZ786453 SRD786453 SHH786453 RXL786453 RNP786453 RDT786453 QTX786453 QKB786453 QAF786453 PQJ786453 PGN786453 OWR786453 OMV786453 OCZ786453 NTD786453 NJH786453 MZL786453 MPP786453 MFT786453 LVX786453 LMB786453 LCF786453 KSJ786453 KIN786453 JYR786453 JOV786453 JEZ786453 IVD786453 ILH786453 IBL786453 HRP786453 HHT786453 GXX786453 GOB786453 GEF786453 FUJ786453 FKN786453 FAR786453 EQV786453 EGZ786453 DXD786453 DNH786453 DDL786453 CTP786453 CJT786453 BZX786453 BQB786453 BGF786453 AWJ786453 AMN786453 ACR786453 SV786453 IZ786453 WVL720917 WLP720917 WBT720917 VRX720917 VIB720917 UYF720917 UOJ720917 UEN720917 TUR720917 TKV720917 TAZ720917 SRD720917 SHH720917 RXL720917 RNP720917 RDT720917 QTX720917 QKB720917 QAF720917 PQJ720917 PGN720917 OWR720917 OMV720917 OCZ720917 NTD720917 NJH720917 MZL720917 MPP720917 MFT720917 LVX720917 LMB720917 LCF720917 KSJ720917 KIN720917 JYR720917 JOV720917 JEZ720917 IVD720917 ILH720917 IBL720917 HRP720917 HHT720917 GXX720917 GOB720917 GEF720917 FUJ720917 FKN720917 FAR720917 EQV720917 EGZ720917 DXD720917 DNH720917 DDL720917 CTP720917 CJT720917 BZX720917 BQB720917 BGF720917 AWJ720917 AMN720917 ACR720917 SV720917 IZ720917 WVL655381 WLP655381 WBT655381 VRX655381 VIB655381 UYF655381 UOJ655381 UEN655381 TUR655381 TKV655381 TAZ655381 SRD655381 SHH655381 RXL655381 RNP655381 RDT655381 QTX655381 QKB655381 QAF655381 PQJ655381 PGN655381 OWR655381 OMV655381 OCZ655381 NTD655381 NJH655381 MZL655381 MPP655381 MFT655381 LVX655381 LMB655381 LCF655381 KSJ655381 KIN655381 JYR655381 JOV655381 JEZ655381 IVD655381 ILH655381 IBL655381 HRP655381 HHT655381 GXX655381 GOB655381 GEF655381 FUJ655381 FKN655381 FAR655381 EQV655381 EGZ655381 DXD655381 DNH655381 DDL655381 CTP655381 CJT655381 BZX655381 BQB655381 BGF655381 AWJ655381 AMN655381 ACR655381 SV655381 IZ655381 WVL589845 WLP589845 WBT589845 VRX589845 VIB589845 UYF589845 UOJ589845 UEN589845 TUR589845 TKV589845 TAZ589845 SRD589845 SHH589845 RXL589845 RNP589845 RDT589845 QTX589845 QKB589845 QAF589845 PQJ589845 PGN589845 OWR589845 OMV589845 OCZ589845 NTD589845 NJH589845 MZL589845 MPP589845 MFT589845 LVX589845 LMB589845 LCF589845 KSJ589845 KIN589845 JYR589845 JOV589845 JEZ589845 IVD589845 ILH589845 IBL589845 HRP589845 HHT589845 GXX589845 GOB589845 GEF589845 FUJ589845 FKN589845 FAR589845 EQV589845 EGZ589845 DXD589845 DNH589845 DDL589845 CTP589845 CJT589845 BZX589845 BQB589845 BGF589845 AWJ589845 AMN589845 ACR589845 SV589845 IZ589845 WVL524309 WLP524309 WBT524309 VRX524309 VIB524309 UYF524309 UOJ524309 UEN524309 TUR524309 TKV524309 TAZ524309 SRD524309 SHH524309 RXL524309 RNP524309 RDT524309 QTX524309 QKB524309 QAF524309 PQJ524309 PGN524309 OWR524309 OMV524309 OCZ524309 NTD524309 NJH524309 MZL524309 MPP524309 MFT524309 LVX524309 LMB524309 LCF524309 KSJ524309 KIN524309 JYR524309 JOV524309 JEZ524309 IVD524309 ILH524309 IBL524309 HRP524309 HHT524309 GXX524309 GOB524309 GEF524309 FUJ524309 FKN524309 FAR524309 EQV524309 EGZ524309 DXD524309 DNH524309 DDL524309 CTP524309 CJT524309 BZX524309 BQB524309 BGF524309 AWJ524309 AMN524309 ACR524309 SV524309 IZ524309 WVL458773 WLP458773 WBT458773 VRX458773 VIB458773 UYF458773 UOJ458773 UEN458773 TUR458773 TKV458773 TAZ458773 SRD458773 SHH458773 RXL458773 RNP458773 RDT458773 QTX458773 QKB458773 QAF458773 PQJ458773 PGN458773 OWR458773 OMV458773 OCZ458773 NTD458773 NJH458773 MZL458773 MPP458773 MFT458773 LVX458773 LMB458773 LCF458773 KSJ458773 KIN458773 JYR458773 JOV458773 JEZ458773 IVD458773 ILH458773 IBL458773 HRP458773 HHT458773 GXX458773 GOB458773 GEF458773 FUJ458773 FKN458773 FAR458773 EQV458773 EGZ458773 DXD458773 DNH458773 DDL458773 CTP458773 CJT458773 BZX458773 BQB458773 BGF458773 AWJ458773 AMN458773 ACR458773 SV458773 IZ458773 WVL393237 WLP393237 WBT393237 VRX393237 VIB393237 UYF393237 UOJ393237 UEN393237 TUR393237 TKV393237 TAZ393237 SRD393237 SHH393237 RXL393237 RNP393237 RDT393237 QTX393237 QKB393237 QAF393237 PQJ393237 PGN393237 OWR393237 OMV393237 OCZ393237 NTD393237 NJH393237 MZL393237 MPP393237 MFT393237 LVX393237 LMB393237 LCF393237 KSJ393237 KIN393237 JYR393237 JOV393237 JEZ393237 IVD393237 ILH393237 IBL393237 HRP393237 HHT393237 GXX393237 GOB393237 GEF393237 FUJ393237 FKN393237 FAR393237 EQV393237 EGZ393237 DXD393237 DNH393237 DDL393237 CTP393237 CJT393237 BZX393237 BQB393237 BGF393237 AWJ393237 AMN393237 ACR393237 SV393237 IZ393237 WVL327701 WLP327701 WBT327701 VRX327701 VIB327701 UYF327701 UOJ327701 UEN327701 TUR327701 TKV327701 TAZ327701 SRD327701 SHH327701 RXL327701 RNP327701 RDT327701 QTX327701 QKB327701 QAF327701 PQJ327701 PGN327701 OWR327701 OMV327701 OCZ327701 NTD327701 NJH327701 MZL327701 MPP327701 MFT327701 LVX327701 LMB327701 LCF327701 KSJ327701 KIN327701 JYR327701 JOV327701 JEZ327701 IVD327701 ILH327701 IBL327701 HRP327701 HHT327701 GXX327701 GOB327701 GEF327701 FUJ327701 FKN327701 FAR327701 EQV327701 EGZ327701 DXD327701 DNH327701 DDL327701 CTP327701 CJT327701 BZX327701 BQB327701 BGF327701 AWJ327701 AMN327701 ACR327701 SV327701 IZ327701 WVL262165 WLP262165 WBT262165 VRX262165 VIB262165 UYF262165 UOJ262165 UEN262165 TUR262165 TKV262165 TAZ262165 SRD262165 SHH262165 RXL262165 RNP262165 RDT262165 QTX262165 QKB262165 QAF262165 PQJ262165 PGN262165 OWR262165 OMV262165 OCZ262165 NTD262165 NJH262165 MZL262165 MPP262165 MFT262165 LVX262165 LMB262165 LCF262165 KSJ262165 KIN262165 JYR262165 JOV262165 JEZ262165 IVD262165 ILH262165 IBL262165 HRP262165 HHT262165 GXX262165 GOB262165 GEF262165 FUJ262165 FKN262165 FAR262165 EQV262165 EGZ262165 DXD262165 DNH262165 DDL262165 CTP262165 CJT262165 BZX262165 BQB262165 BGF262165 AWJ262165 AMN262165 ACR262165 SV262165 IZ262165 WVL196629 WLP196629 WBT196629 VRX196629 VIB196629 UYF196629 UOJ196629 UEN196629 TUR196629 TKV196629 TAZ196629 SRD196629 SHH196629 RXL196629 RNP196629 RDT196629 QTX196629 QKB196629 QAF196629 PQJ196629 PGN196629 OWR196629 OMV196629 OCZ196629 NTD196629 NJH196629 MZL196629 MPP196629 MFT196629 LVX196629 LMB196629 LCF196629 KSJ196629 KIN196629 JYR196629 JOV196629 JEZ196629 IVD196629 ILH196629 IBL196629 HRP196629 HHT196629 GXX196629 GOB196629 GEF196629 FUJ196629 FKN196629 FAR196629 EQV196629 EGZ196629 DXD196629 DNH196629 DDL196629 CTP196629 CJT196629 BZX196629 BQB196629 BGF196629 AWJ196629 AMN196629 ACR196629 SV196629 IZ196629 WVL131093 WLP131093 WBT131093 VRX131093 VIB131093 UYF131093 UOJ131093 UEN131093 TUR131093 TKV131093 TAZ131093 SRD131093 SHH131093 RXL131093 RNP131093 RDT131093 QTX131093 QKB131093 QAF131093 PQJ131093 PGN131093 OWR131093 OMV131093 OCZ131093 NTD131093 NJH131093 MZL131093 MPP131093 MFT131093 LVX131093 LMB131093 LCF131093 KSJ131093 KIN131093 JYR131093 JOV131093 JEZ131093 IVD131093 ILH131093 IBL131093 HRP131093 HHT131093 GXX131093 GOB131093 GEF131093 FUJ131093 FKN131093 FAR131093 EQV131093 EGZ131093 DXD131093 DNH131093 DDL131093 CTP131093 CJT131093 BZX131093 BQB131093 BGF131093 AWJ131093 AMN131093 ACR131093 SV131093 IZ131093 WVL65557 WLP65557 WBT65557 VRX65557 VIB65557 UYF65557 UOJ65557 UEN65557 TUR65557 TKV65557 TAZ65557 SRD65557 SHH65557 RXL65557 RNP65557 RDT65557 QTX65557 QKB65557 QAF65557 PQJ65557 PGN65557 OWR65557 OMV65557 OCZ65557 NTD65557 NJH65557 MZL65557 MPP65557 MFT65557 LVX65557 LMB65557 LCF65557 KSJ65557 KIN65557 JYR65557 JOV65557 JEZ65557 IVD65557 ILH65557 IBL65557 HRP65557 HHT65557 GXX65557 GOB65557 GEF65557 FUJ65557 FKN65557 FAR65557 EQV65557 EGZ65557 DXD65557 DNH65557 DDL65557 CTP65557 CJT65557 BZX65557 BQB65557 BGF65557 AWJ65557 AMN65557 ACR65557 SV65557 IZ65557 WVL21 WLP21 WBT21 VRX21 VIB21 UYF21 UOJ21 UEN21 TUR21 TKV21 TAZ21 SRD21 SHH21 RXL21 RNP21 RDT21 QTX21 QKB21 QAF21 PQJ21 PGN21 OWR21 OMV21 OCZ21 NTD21 NJH21 MZL21 MPP21 MFT21 LVX21 LMB21 LCF21 KSJ21 KIN21 JYR21 JOV21 JEZ21 IVD21 ILH21 IBL21 HRP21 HHT21 GXX21 GOB21 GEF21 FUJ21 FKN21 FAR21 EQV21 EGZ21 DXD21 DNH21 DDL21 CTP21 CJT21 BZX21 BQB21 BGF21 AWJ21 AMN21 ACR21 IZ21">
      <formula1>"USA,Germany,France,S. Europe,Asia,Australia,Canada"</formula1>
    </dataValidation>
    <dataValidation type="list" allowBlank="1" showInputMessage="1" showErrorMessage="1" sqref="WVM983042:WVN983042 WLQ983042:WLR983042 WBU983042:WBV983042 VRY983042:VRZ983042 VIC983042:VID983042 UYG983042:UYH983042 UOK983042:UOL983042 UEO983042:UEP983042 TUS983042:TUT983042 TKW983042:TKX983042 TBA983042:TBB983042 SRE983042:SRF983042 SHI983042:SHJ983042 RXM983042:RXN983042 RNQ983042:RNR983042 RDU983042:RDV983042 QTY983042:QTZ983042 QKC983042:QKD983042 QAG983042:QAH983042 PQK983042:PQL983042 PGO983042:PGP983042 OWS983042:OWT983042 OMW983042:OMX983042 ODA983042:ODB983042 NTE983042:NTF983042 NJI983042:NJJ983042 MZM983042:MZN983042 MPQ983042:MPR983042 MFU983042:MFV983042 LVY983042:LVZ983042 LMC983042:LMD983042 LCG983042:LCH983042 KSK983042:KSL983042 KIO983042:KIP983042 JYS983042:JYT983042 JOW983042:JOX983042 JFA983042:JFB983042 IVE983042:IVF983042 ILI983042:ILJ983042 IBM983042:IBN983042 HRQ983042:HRR983042 HHU983042:HHV983042 GXY983042:GXZ983042 GOC983042:GOD983042 GEG983042:GEH983042 FUK983042:FUL983042 FKO983042:FKP983042 FAS983042:FAT983042 EQW983042:EQX983042 EHA983042:EHB983042 DXE983042:DXF983042 DNI983042:DNJ983042 DDM983042:DDN983042 CTQ983042:CTR983042 CJU983042:CJV983042 BZY983042:BZZ983042 BQC983042:BQD983042 BGG983042:BGH983042 AWK983042:AWL983042 AMO983042:AMP983042 ACS983042:ACT983042 SW983042:SX983042 JA983042:JB983042 E983042:F983042 WVM917506:WVN917506 WLQ917506:WLR917506 WBU917506:WBV917506 VRY917506:VRZ917506 VIC917506:VID917506 UYG917506:UYH917506 UOK917506:UOL917506 UEO917506:UEP917506 TUS917506:TUT917506 TKW917506:TKX917506 TBA917506:TBB917506 SRE917506:SRF917506 SHI917506:SHJ917506 RXM917506:RXN917506 RNQ917506:RNR917506 RDU917506:RDV917506 QTY917506:QTZ917506 QKC917506:QKD917506 QAG917506:QAH917506 PQK917506:PQL917506 PGO917506:PGP917506 OWS917506:OWT917506 OMW917506:OMX917506 ODA917506:ODB917506 NTE917506:NTF917506 NJI917506:NJJ917506 MZM917506:MZN917506 MPQ917506:MPR917506 MFU917506:MFV917506 LVY917506:LVZ917506 LMC917506:LMD917506 LCG917506:LCH917506 KSK917506:KSL917506 KIO917506:KIP917506 JYS917506:JYT917506 JOW917506:JOX917506 JFA917506:JFB917506 IVE917506:IVF917506 ILI917506:ILJ917506 IBM917506:IBN917506 HRQ917506:HRR917506 HHU917506:HHV917506 GXY917506:GXZ917506 GOC917506:GOD917506 GEG917506:GEH917506 FUK917506:FUL917506 FKO917506:FKP917506 FAS917506:FAT917506 EQW917506:EQX917506 EHA917506:EHB917506 DXE917506:DXF917506 DNI917506:DNJ917506 DDM917506:DDN917506 CTQ917506:CTR917506 CJU917506:CJV917506 BZY917506:BZZ917506 BQC917506:BQD917506 BGG917506:BGH917506 AWK917506:AWL917506 AMO917506:AMP917506 ACS917506:ACT917506 SW917506:SX917506 JA917506:JB917506 E917506:F917506 WVM851970:WVN851970 WLQ851970:WLR851970 WBU851970:WBV851970 VRY851970:VRZ851970 VIC851970:VID851970 UYG851970:UYH851970 UOK851970:UOL851970 UEO851970:UEP851970 TUS851970:TUT851970 TKW851970:TKX851970 TBA851970:TBB851970 SRE851970:SRF851970 SHI851970:SHJ851970 RXM851970:RXN851970 RNQ851970:RNR851970 RDU851970:RDV851970 QTY851970:QTZ851970 QKC851970:QKD851970 QAG851970:QAH851970 PQK851970:PQL851970 PGO851970:PGP851970 OWS851970:OWT851970 OMW851970:OMX851970 ODA851970:ODB851970 NTE851970:NTF851970 NJI851970:NJJ851970 MZM851970:MZN851970 MPQ851970:MPR851970 MFU851970:MFV851970 LVY851970:LVZ851970 LMC851970:LMD851970 LCG851970:LCH851970 KSK851970:KSL851970 KIO851970:KIP851970 JYS851970:JYT851970 JOW851970:JOX851970 JFA851970:JFB851970 IVE851970:IVF851970 ILI851970:ILJ851970 IBM851970:IBN851970 HRQ851970:HRR851970 HHU851970:HHV851970 GXY851970:GXZ851970 GOC851970:GOD851970 GEG851970:GEH851970 FUK851970:FUL851970 FKO851970:FKP851970 FAS851970:FAT851970 EQW851970:EQX851970 EHA851970:EHB851970 DXE851970:DXF851970 DNI851970:DNJ851970 DDM851970:DDN851970 CTQ851970:CTR851970 CJU851970:CJV851970 BZY851970:BZZ851970 BQC851970:BQD851970 BGG851970:BGH851970 AWK851970:AWL851970 AMO851970:AMP851970 ACS851970:ACT851970 SW851970:SX851970 JA851970:JB851970 E851970:F851970 WVM786434:WVN786434 WLQ786434:WLR786434 WBU786434:WBV786434 VRY786434:VRZ786434 VIC786434:VID786434 UYG786434:UYH786434 UOK786434:UOL786434 UEO786434:UEP786434 TUS786434:TUT786434 TKW786434:TKX786434 TBA786434:TBB786434 SRE786434:SRF786434 SHI786434:SHJ786434 RXM786434:RXN786434 RNQ786434:RNR786434 RDU786434:RDV786434 QTY786434:QTZ786434 QKC786434:QKD786434 QAG786434:QAH786434 PQK786434:PQL786434 PGO786434:PGP786434 OWS786434:OWT786434 OMW786434:OMX786434 ODA786434:ODB786434 NTE786434:NTF786434 NJI786434:NJJ786434 MZM786434:MZN786434 MPQ786434:MPR786434 MFU786434:MFV786434 LVY786434:LVZ786434 LMC786434:LMD786434 LCG786434:LCH786434 KSK786434:KSL786434 KIO786434:KIP786434 JYS786434:JYT786434 JOW786434:JOX786434 JFA786434:JFB786434 IVE786434:IVF786434 ILI786434:ILJ786434 IBM786434:IBN786434 HRQ786434:HRR786434 HHU786434:HHV786434 GXY786434:GXZ786434 GOC786434:GOD786434 GEG786434:GEH786434 FUK786434:FUL786434 FKO786434:FKP786434 FAS786434:FAT786434 EQW786434:EQX786434 EHA786434:EHB786434 DXE786434:DXF786434 DNI786434:DNJ786434 DDM786434:DDN786434 CTQ786434:CTR786434 CJU786434:CJV786434 BZY786434:BZZ786434 BQC786434:BQD786434 BGG786434:BGH786434 AWK786434:AWL786434 AMO786434:AMP786434 ACS786434:ACT786434 SW786434:SX786434 JA786434:JB786434 E786434:F786434 WVM720898:WVN720898 WLQ720898:WLR720898 WBU720898:WBV720898 VRY720898:VRZ720898 VIC720898:VID720898 UYG720898:UYH720898 UOK720898:UOL720898 UEO720898:UEP720898 TUS720898:TUT720898 TKW720898:TKX720898 TBA720898:TBB720898 SRE720898:SRF720898 SHI720898:SHJ720898 RXM720898:RXN720898 RNQ720898:RNR720898 RDU720898:RDV720898 QTY720898:QTZ720898 QKC720898:QKD720898 QAG720898:QAH720898 PQK720898:PQL720898 PGO720898:PGP720898 OWS720898:OWT720898 OMW720898:OMX720898 ODA720898:ODB720898 NTE720898:NTF720898 NJI720898:NJJ720898 MZM720898:MZN720898 MPQ720898:MPR720898 MFU720898:MFV720898 LVY720898:LVZ720898 LMC720898:LMD720898 LCG720898:LCH720898 KSK720898:KSL720898 KIO720898:KIP720898 JYS720898:JYT720898 JOW720898:JOX720898 JFA720898:JFB720898 IVE720898:IVF720898 ILI720898:ILJ720898 IBM720898:IBN720898 HRQ720898:HRR720898 HHU720898:HHV720898 GXY720898:GXZ720898 GOC720898:GOD720898 GEG720898:GEH720898 FUK720898:FUL720898 FKO720898:FKP720898 FAS720898:FAT720898 EQW720898:EQX720898 EHA720898:EHB720898 DXE720898:DXF720898 DNI720898:DNJ720898 DDM720898:DDN720898 CTQ720898:CTR720898 CJU720898:CJV720898 BZY720898:BZZ720898 BQC720898:BQD720898 BGG720898:BGH720898 AWK720898:AWL720898 AMO720898:AMP720898 ACS720898:ACT720898 SW720898:SX720898 JA720898:JB720898 E720898:F720898 WVM655362:WVN655362 WLQ655362:WLR655362 WBU655362:WBV655362 VRY655362:VRZ655362 VIC655362:VID655362 UYG655362:UYH655362 UOK655362:UOL655362 UEO655362:UEP655362 TUS655362:TUT655362 TKW655362:TKX655362 TBA655362:TBB655362 SRE655362:SRF655362 SHI655362:SHJ655362 RXM655362:RXN655362 RNQ655362:RNR655362 RDU655362:RDV655362 QTY655362:QTZ655362 QKC655362:QKD655362 QAG655362:QAH655362 PQK655362:PQL655362 PGO655362:PGP655362 OWS655362:OWT655362 OMW655362:OMX655362 ODA655362:ODB655362 NTE655362:NTF655362 NJI655362:NJJ655362 MZM655362:MZN655362 MPQ655362:MPR655362 MFU655362:MFV655362 LVY655362:LVZ655362 LMC655362:LMD655362 LCG655362:LCH655362 KSK655362:KSL655362 KIO655362:KIP655362 JYS655362:JYT655362 JOW655362:JOX655362 JFA655362:JFB655362 IVE655362:IVF655362 ILI655362:ILJ655362 IBM655362:IBN655362 HRQ655362:HRR655362 HHU655362:HHV655362 GXY655362:GXZ655362 GOC655362:GOD655362 GEG655362:GEH655362 FUK655362:FUL655362 FKO655362:FKP655362 FAS655362:FAT655362 EQW655362:EQX655362 EHA655362:EHB655362 DXE655362:DXF655362 DNI655362:DNJ655362 DDM655362:DDN655362 CTQ655362:CTR655362 CJU655362:CJV655362 BZY655362:BZZ655362 BQC655362:BQD655362 BGG655362:BGH655362 AWK655362:AWL655362 AMO655362:AMP655362 ACS655362:ACT655362 SW655362:SX655362 JA655362:JB655362 E655362:F655362 WVM589826:WVN589826 WLQ589826:WLR589826 WBU589826:WBV589826 VRY589826:VRZ589826 VIC589826:VID589826 UYG589826:UYH589826 UOK589826:UOL589826 UEO589826:UEP589826 TUS589826:TUT589826 TKW589826:TKX589826 TBA589826:TBB589826 SRE589826:SRF589826 SHI589826:SHJ589826 RXM589826:RXN589826 RNQ589826:RNR589826 RDU589826:RDV589826 QTY589826:QTZ589826 QKC589826:QKD589826 QAG589826:QAH589826 PQK589826:PQL589826 PGO589826:PGP589826 OWS589826:OWT589826 OMW589826:OMX589826 ODA589826:ODB589826 NTE589826:NTF589826 NJI589826:NJJ589826 MZM589826:MZN589826 MPQ589826:MPR589826 MFU589826:MFV589826 LVY589826:LVZ589826 LMC589826:LMD589826 LCG589826:LCH589826 KSK589826:KSL589826 KIO589826:KIP589826 JYS589826:JYT589826 JOW589826:JOX589826 JFA589826:JFB589826 IVE589826:IVF589826 ILI589826:ILJ589826 IBM589826:IBN589826 HRQ589826:HRR589826 HHU589826:HHV589826 GXY589826:GXZ589826 GOC589826:GOD589826 GEG589826:GEH589826 FUK589826:FUL589826 FKO589826:FKP589826 FAS589826:FAT589826 EQW589826:EQX589826 EHA589826:EHB589826 DXE589826:DXF589826 DNI589826:DNJ589826 DDM589826:DDN589826 CTQ589826:CTR589826 CJU589826:CJV589826 BZY589826:BZZ589826 BQC589826:BQD589826 BGG589826:BGH589826 AWK589826:AWL589826 AMO589826:AMP589826 ACS589826:ACT589826 SW589826:SX589826 JA589826:JB589826 E589826:F589826 WVM524290:WVN524290 WLQ524290:WLR524290 WBU524290:WBV524290 VRY524290:VRZ524290 VIC524290:VID524290 UYG524290:UYH524290 UOK524290:UOL524290 UEO524290:UEP524290 TUS524290:TUT524290 TKW524290:TKX524290 TBA524290:TBB524290 SRE524290:SRF524290 SHI524290:SHJ524290 RXM524290:RXN524290 RNQ524290:RNR524290 RDU524290:RDV524290 QTY524290:QTZ524290 QKC524290:QKD524290 QAG524290:QAH524290 PQK524290:PQL524290 PGO524290:PGP524290 OWS524290:OWT524290 OMW524290:OMX524290 ODA524290:ODB524290 NTE524290:NTF524290 NJI524290:NJJ524290 MZM524290:MZN524290 MPQ524290:MPR524290 MFU524290:MFV524290 LVY524290:LVZ524290 LMC524290:LMD524290 LCG524290:LCH524290 KSK524290:KSL524290 KIO524290:KIP524290 JYS524290:JYT524290 JOW524290:JOX524290 JFA524290:JFB524290 IVE524290:IVF524290 ILI524290:ILJ524290 IBM524290:IBN524290 HRQ524290:HRR524290 HHU524290:HHV524290 GXY524290:GXZ524290 GOC524290:GOD524290 GEG524290:GEH524290 FUK524290:FUL524290 FKO524290:FKP524290 FAS524290:FAT524290 EQW524290:EQX524290 EHA524290:EHB524290 DXE524290:DXF524290 DNI524290:DNJ524290 DDM524290:DDN524290 CTQ524290:CTR524290 CJU524290:CJV524290 BZY524290:BZZ524290 BQC524290:BQD524290 BGG524290:BGH524290 AWK524290:AWL524290 AMO524290:AMP524290 ACS524290:ACT524290 SW524290:SX524290 JA524290:JB524290 E524290:F524290 WVM458754:WVN458754 WLQ458754:WLR458754 WBU458754:WBV458754 VRY458754:VRZ458754 VIC458754:VID458754 UYG458754:UYH458754 UOK458754:UOL458754 UEO458754:UEP458754 TUS458754:TUT458754 TKW458754:TKX458754 TBA458754:TBB458754 SRE458754:SRF458754 SHI458754:SHJ458754 RXM458754:RXN458754 RNQ458754:RNR458754 RDU458754:RDV458754 QTY458754:QTZ458754 QKC458754:QKD458754 QAG458754:QAH458754 PQK458754:PQL458754 PGO458754:PGP458754 OWS458754:OWT458754 OMW458754:OMX458754 ODA458754:ODB458754 NTE458754:NTF458754 NJI458754:NJJ458754 MZM458754:MZN458754 MPQ458754:MPR458754 MFU458754:MFV458754 LVY458754:LVZ458754 LMC458754:LMD458754 LCG458754:LCH458754 KSK458754:KSL458754 KIO458754:KIP458754 JYS458754:JYT458754 JOW458754:JOX458754 JFA458754:JFB458754 IVE458754:IVF458754 ILI458754:ILJ458754 IBM458754:IBN458754 HRQ458754:HRR458754 HHU458754:HHV458754 GXY458754:GXZ458754 GOC458754:GOD458754 GEG458754:GEH458754 FUK458754:FUL458754 FKO458754:FKP458754 FAS458754:FAT458754 EQW458754:EQX458754 EHA458754:EHB458754 DXE458754:DXF458754 DNI458754:DNJ458754 DDM458754:DDN458754 CTQ458754:CTR458754 CJU458754:CJV458754 BZY458754:BZZ458754 BQC458754:BQD458754 BGG458754:BGH458754 AWK458754:AWL458754 AMO458754:AMP458754 ACS458754:ACT458754 SW458754:SX458754 JA458754:JB458754 E458754:F458754 WVM393218:WVN393218 WLQ393218:WLR393218 WBU393218:WBV393218 VRY393218:VRZ393218 VIC393218:VID393218 UYG393218:UYH393218 UOK393218:UOL393218 UEO393218:UEP393218 TUS393218:TUT393218 TKW393218:TKX393218 TBA393218:TBB393218 SRE393218:SRF393218 SHI393218:SHJ393218 RXM393218:RXN393218 RNQ393218:RNR393218 RDU393218:RDV393218 QTY393218:QTZ393218 QKC393218:QKD393218 QAG393218:QAH393218 PQK393218:PQL393218 PGO393218:PGP393218 OWS393218:OWT393218 OMW393218:OMX393218 ODA393218:ODB393218 NTE393218:NTF393218 NJI393218:NJJ393218 MZM393218:MZN393218 MPQ393218:MPR393218 MFU393218:MFV393218 LVY393218:LVZ393218 LMC393218:LMD393218 LCG393218:LCH393218 KSK393218:KSL393218 KIO393218:KIP393218 JYS393218:JYT393218 JOW393218:JOX393218 JFA393218:JFB393218 IVE393218:IVF393218 ILI393218:ILJ393218 IBM393218:IBN393218 HRQ393218:HRR393218 HHU393218:HHV393218 GXY393218:GXZ393218 GOC393218:GOD393218 GEG393218:GEH393218 FUK393218:FUL393218 FKO393218:FKP393218 FAS393218:FAT393218 EQW393218:EQX393218 EHA393218:EHB393218 DXE393218:DXF393218 DNI393218:DNJ393218 DDM393218:DDN393218 CTQ393218:CTR393218 CJU393218:CJV393218 BZY393218:BZZ393218 BQC393218:BQD393218 BGG393218:BGH393218 AWK393218:AWL393218 AMO393218:AMP393218 ACS393218:ACT393218 SW393218:SX393218 JA393218:JB393218 E393218:F393218 WVM327682:WVN327682 WLQ327682:WLR327682 WBU327682:WBV327682 VRY327682:VRZ327682 VIC327682:VID327682 UYG327682:UYH327682 UOK327682:UOL327682 UEO327682:UEP327682 TUS327682:TUT327682 TKW327682:TKX327682 TBA327682:TBB327682 SRE327682:SRF327682 SHI327682:SHJ327682 RXM327682:RXN327682 RNQ327682:RNR327682 RDU327682:RDV327682 QTY327682:QTZ327682 QKC327682:QKD327682 QAG327682:QAH327682 PQK327682:PQL327682 PGO327682:PGP327682 OWS327682:OWT327682 OMW327682:OMX327682 ODA327682:ODB327682 NTE327682:NTF327682 NJI327682:NJJ327682 MZM327682:MZN327682 MPQ327682:MPR327682 MFU327682:MFV327682 LVY327682:LVZ327682 LMC327682:LMD327682 LCG327682:LCH327682 KSK327682:KSL327682 KIO327682:KIP327682 JYS327682:JYT327682 JOW327682:JOX327682 JFA327682:JFB327682 IVE327682:IVF327682 ILI327682:ILJ327682 IBM327682:IBN327682 HRQ327682:HRR327682 HHU327682:HHV327682 GXY327682:GXZ327682 GOC327682:GOD327682 GEG327682:GEH327682 FUK327682:FUL327682 FKO327682:FKP327682 FAS327682:FAT327682 EQW327682:EQX327682 EHA327682:EHB327682 DXE327682:DXF327682 DNI327682:DNJ327682 DDM327682:DDN327682 CTQ327682:CTR327682 CJU327682:CJV327682 BZY327682:BZZ327682 BQC327682:BQD327682 BGG327682:BGH327682 AWK327682:AWL327682 AMO327682:AMP327682 ACS327682:ACT327682 SW327682:SX327682 JA327682:JB327682 E327682:F327682 WVM262146:WVN262146 WLQ262146:WLR262146 WBU262146:WBV262146 VRY262146:VRZ262146 VIC262146:VID262146 UYG262146:UYH262146 UOK262146:UOL262146 UEO262146:UEP262146 TUS262146:TUT262146 TKW262146:TKX262146 TBA262146:TBB262146 SRE262146:SRF262146 SHI262146:SHJ262146 RXM262146:RXN262146 RNQ262146:RNR262146 RDU262146:RDV262146 QTY262146:QTZ262146 QKC262146:QKD262146 QAG262146:QAH262146 PQK262146:PQL262146 PGO262146:PGP262146 OWS262146:OWT262146 OMW262146:OMX262146 ODA262146:ODB262146 NTE262146:NTF262146 NJI262146:NJJ262146 MZM262146:MZN262146 MPQ262146:MPR262146 MFU262146:MFV262146 LVY262146:LVZ262146 LMC262146:LMD262146 LCG262146:LCH262146 KSK262146:KSL262146 KIO262146:KIP262146 JYS262146:JYT262146 JOW262146:JOX262146 JFA262146:JFB262146 IVE262146:IVF262146 ILI262146:ILJ262146 IBM262146:IBN262146 HRQ262146:HRR262146 HHU262146:HHV262146 GXY262146:GXZ262146 GOC262146:GOD262146 GEG262146:GEH262146 FUK262146:FUL262146 FKO262146:FKP262146 FAS262146:FAT262146 EQW262146:EQX262146 EHA262146:EHB262146 DXE262146:DXF262146 DNI262146:DNJ262146 DDM262146:DDN262146 CTQ262146:CTR262146 CJU262146:CJV262146 BZY262146:BZZ262146 BQC262146:BQD262146 BGG262146:BGH262146 AWK262146:AWL262146 AMO262146:AMP262146 ACS262146:ACT262146 SW262146:SX262146 JA262146:JB262146 E262146:F262146 WVM196610:WVN196610 WLQ196610:WLR196610 WBU196610:WBV196610 VRY196610:VRZ196610 VIC196610:VID196610 UYG196610:UYH196610 UOK196610:UOL196610 UEO196610:UEP196610 TUS196610:TUT196610 TKW196610:TKX196610 TBA196610:TBB196610 SRE196610:SRF196610 SHI196610:SHJ196610 RXM196610:RXN196610 RNQ196610:RNR196610 RDU196610:RDV196610 QTY196610:QTZ196610 QKC196610:QKD196610 QAG196610:QAH196610 PQK196610:PQL196610 PGO196610:PGP196610 OWS196610:OWT196610 OMW196610:OMX196610 ODA196610:ODB196610 NTE196610:NTF196610 NJI196610:NJJ196610 MZM196610:MZN196610 MPQ196610:MPR196610 MFU196610:MFV196610 LVY196610:LVZ196610 LMC196610:LMD196610 LCG196610:LCH196610 KSK196610:KSL196610 KIO196610:KIP196610 JYS196610:JYT196610 JOW196610:JOX196610 JFA196610:JFB196610 IVE196610:IVF196610 ILI196610:ILJ196610 IBM196610:IBN196610 HRQ196610:HRR196610 HHU196610:HHV196610 GXY196610:GXZ196610 GOC196610:GOD196610 GEG196610:GEH196610 FUK196610:FUL196610 FKO196610:FKP196610 FAS196610:FAT196610 EQW196610:EQX196610 EHA196610:EHB196610 DXE196610:DXF196610 DNI196610:DNJ196610 DDM196610:DDN196610 CTQ196610:CTR196610 CJU196610:CJV196610 BZY196610:BZZ196610 BQC196610:BQD196610 BGG196610:BGH196610 AWK196610:AWL196610 AMO196610:AMP196610 ACS196610:ACT196610 SW196610:SX196610 JA196610:JB196610 E196610:F196610 WVM131074:WVN131074 WLQ131074:WLR131074 WBU131074:WBV131074 VRY131074:VRZ131074 VIC131074:VID131074 UYG131074:UYH131074 UOK131074:UOL131074 UEO131074:UEP131074 TUS131074:TUT131074 TKW131074:TKX131074 TBA131074:TBB131074 SRE131074:SRF131074 SHI131074:SHJ131074 RXM131074:RXN131074 RNQ131074:RNR131074 RDU131074:RDV131074 QTY131074:QTZ131074 QKC131074:QKD131074 QAG131074:QAH131074 PQK131074:PQL131074 PGO131074:PGP131074 OWS131074:OWT131074 OMW131074:OMX131074 ODA131074:ODB131074 NTE131074:NTF131074 NJI131074:NJJ131074 MZM131074:MZN131074 MPQ131074:MPR131074 MFU131074:MFV131074 LVY131074:LVZ131074 LMC131074:LMD131074 LCG131074:LCH131074 KSK131074:KSL131074 KIO131074:KIP131074 JYS131074:JYT131074 JOW131074:JOX131074 JFA131074:JFB131074 IVE131074:IVF131074 ILI131074:ILJ131074 IBM131074:IBN131074 HRQ131074:HRR131074 HHU131074:HHV131074 GXY131074:GXZ131074 GOC131074:GOD131074 GEG131074:GEH131074 FUK131074:FUL131074 FKO131074:FKP131074 FAS131074:FAT131074 EQW131074:EQX131074 EHA131074:EHB131074 DXE131074:DXF131074 DNI131074:DNJ131074 DDM131074:DDN131074 CTQ131074:CTR131074 CJU131074:CJV131074 BZY131074:BZZ131074 BQC131074:BQD131074 BGG131074:BGH131074 AWK131074:AWL131074 AMO131074:AMP131074 ACS131074:ACT131074 SW131074:SX131074 JA131074:JB131074 E131074:F131074 WVM65538:WVN65538 WLQ65538:WLR65538 WBU65538:WBV65538 VRY65538:VRZ65538 VIC65538:VID65538 UYG65538:UYH65538 UOK65538:UOL65538 UEO65538:UEP65538 TUS65538:TUT65538 TKW65538:TKX65538 TBA65538:TBB65538 SRE65538:SRF65538 SHI65538:SHJ65538 RXM65538:RXN65538 RNQ65538:RNR65538 RDU65538:RDV65538 QTY65538:QTZ65538 QKC65538:QKD65538 QAG65538:QAH65538 PQK65538:PQL65538 PGO65538:PGP65538 OWS65538:OWT65538 OMW65538:OMX65538 ODA65538:ODB65538 NTE65538:NTF65538 NJI65538:NJJ65538 MZM65538:MZN65538 MPQ65538:MPR65538 MFU65538:MFV65538 LVY65538:LVZ65538 LMC65538:LMD65538 LCG65538:LCH65538 KSK65538:KSL65538 KIO65538:KIP65538 JYS65538:JYT65538 JOW65538:JOX65538 JFA65538:JFB65538 IVE65538:IVF65538 ILI65538:ILJ65538 IBM65538:IBN65538 HRQ65538:HRR65538 HHU65538:HHV65538 GXY65538:GXZ65538 GOC65538:GOD65538 GEG65538:GEH65538 FUK65538:FUL65538 FKO65538:FKP65538 FAS65538:FAT65538 EQW65538:EQX65538 EHA65538:EHB65538 DXE65538:DXF65538 DNI65538:DNJ65538 DDM65538:DDN65538 CTQ65538:CTR65538 CJU65538:CJV65538 BZY65538:BZZ65538 BQC65538:BQD65538 BGG65538:BGH65538 AWK65538:AWL65538 AMO65538:AMP65538 ACS65538:ACT65538 SW65538:SX65538 JA65538:JB65538 E65538:F65538 WVM2:WVN2 WLQ2:WLR2 WBU2:WBV2 VRY2:VRZ2 VIC2:VID2 UYG2:UYH2 UOK2:UOL2 UEO2:UEP2 TUS2:TUT2 TKW2:TKX2 TBA2:TBB2 SRE2:SRF2 SHI2:SHJ2 RXM2:RXN2 RNQ2:RNR2 RDU2:RDV2 QTY2:QTZ2 QKC2:QKD2 QAG2:QAH2 PQK2:PQL2 PGO2:PGP2 OWS2:OWT2 OMW2:OMX2 ODA2:ODB2 NTE2:NTF2 NJI2:NJJ2 MZM2:MZN2 MPQ2:MPR2 MFU2:MFV2 LVY2:LVZ2 LMC2:LMD2 LCG2:LCH2 KSK2:KSL2 KIO2:KIP2 JYS2:JYT2 JOW2:JOX2 JFA2:JFB2 IVE2:IVF2 ILI2:ILJ2 IBM2:IBN2 HRQ2:HRR2 HHU2:HHV2 GXY2:GXZ2 GOC2:GOD2 GEG2:GEH2 FUK2:FUL2 FKO2:FKP2 FAS2:FAT2 EQW2:EQX2 EHA2:EHB2 DXE2:DXF2 DNI2:DNJ2 DDM2:DDN2 CTQ2:CTR2 CJU2:CJV2 BZY2:BZZ2 BQC2:BQD2 BGG2:BGH2 AWK2:AWL2 AMO2:AMP2 ACS2:ACT2 SW2:SX2 JA2:JB2">
      <formula1>"Statistical,Direct Input"</formula1>
    </dataValidation>
    <dataValidation type="list" allowBlank="1" showInputMessage="1" showErrorMessage="1" sqref="O25 WVW983062 WMA983062 WCE983062 VSI983062 VIM983062 UYQ983062 UOU983062 UEY983062 TVC983062 TLG983062 TBK983062 SRO983062 SHS983062 RXW983062 ROA983062 REE983062 QUI983062 QKM983062 QAQ983062 PQU983062 PGY983062 OXC983062 ONG983062 ODK983062 NTO983062 NJS983062 MZW983062 MQA983062 MGE983062 LWI983062 LMM983062 LCQ983062 KSU983062 KIY983062 JZC983062 JPG983062 JFK983062 IVO983062 ILS983062 IBW983062 HSA983062 HIE983062 GYI983062 GOM983062 GEQ983062 FUU983062 FKY983062 FBC983062 ERG983062 EHK983062 DXO983062 DNS983062 DDW983062 CUA983062 CKE983062 CAI983062 BQM983062 BGQ983062 AWU983062 AMY983062 ADC983062 TG983062 JK983062 O983065 WVW917526 WMA917526 WCE917526 VSI917526 VIM917526 UYQ917526 UOU917526 UEY917526 TVC917526 TLG917526 TBK917526 SRO917526 SHS917526 RXW917526 ROA917526 REE917526 QUI917526 QKM917526 QAQ917526 PQU917526 PGY917526 OXC917526 ONG917526 ODK917526 NTO917526 NJS917526 MZW917526 MQA917526 MGE917526 LWI917526 LMM917526 LCQ917526 KSU917526 KIY917526 JZC917526 JPG917526 JFK917526 IVO917526 ILS917526 IBW917526 HSA917526 HIE917526 GYI917526 GOM917526 GEQ917526 FUU917526 FKY917526 FBC917526 ERG917526 EHK917526 DXO917526 DNS917526 DDW917526 CUA917526 CKE917526 CAI917526 BQM917526 BGQ917526 AWU917526 AMY917526 ADC917526 TG917526 JK917526 O917529 WVW851990 WMA851990 WCE851990 VSI851990 VIM851990 UYQ851990 UOU851990 UEY851990 TVC851990 TLG851990 TBK851990 SRO851990 SHS851990 RXW851990 ROA851990 REE851990 QUI851990 QKM851990 QAQ851990 PQU851990 PGY851990 OXC851990 ONG851990 ODK851990 NTO851990 NJS851990 MZW851990 MQA851990 MGE851990 LWI851990 LMM851990 LCQ851990 KSU851990 KIY851990 JZC851990 JPG851990 JFK851990 IVO851990 ILS851990 IBW851990 HSA851990 HIE851990 GYI851990 GOM851990 GEQ851990 FUU851990 FKY851990 FBC851990 ERG851990 EHK851990 DXO851990 DNS851990 DDW851990 CUA851990 CKE851990 CAI851990 BQM851990 BGQ851990 AWU851990 AMY851990 ADC851990 TG851990 JK851990 O851993 WVW786454 WMA786454 WCE786454 VSI786454 VIM786454 UYQ786454 UOU786454 UEY786454 TVC786454 TLG786454 TBK786454 SRO786454 SHS786454 RXW786454 ROA786454 REE786454 QUI786454 QKM786454 QAQ786454 PQU786454 PGY786454 OXC786454 ONG786454 ODK786454 NTO786454 NJS786454 MZW786454 MQA786454 MGE786454 LWI786454 LMM786454 LCQ786454 KSU786454 KIY786454 JZC786454 JPG786454 JFK786454 IVO786454 ILS786454 IBW786454 HSA786454 HIE786454 GYI786454 GOM786454 GEQ786454 FUU786454 FKY786454 FBC786454 ERG786454 EHK786454 DXO786454 DNS786454 DDW786454 CUA786454 CKE786454 CAI786454 BQM786454 BGQ786454 AWU786454 AMY786454 ADC786454 TG786454 JK786454 O786457 WVW720918 WMA720918 WCE720918 VSI720918 VIM720918 UYQ720918 UOU720918 UEY720918 TVC720918 TLG720918 TBK720918 SRO720918 SHS720918 RXW720918 ROA720918 REE720918 QUI720918 QKM720918 QAQ720918 PQU720918 PGY720918 OXC720918 ONG720918 ODK720918 NTO720918 NJS720918 MZW720918 MQA720918 MGE720918 LWI720918 LMM720918 LCQ720918 KSU720918 KIY720918 JZC720918 JPG720918 JFK720918 IVO720918 ILS720918 IBW720918 HSA720918 HIE720918 GYI720918 GOM720918 GEQ720918 FUU720918 FKY720918 FBC720918 ERG720918 EHK720918 DXO720918 DNS720918 DDW720918 CUA720918 CKE720918 CAI720918 BQM720918 BGQ720918 AWU720918 AMY720918 ADC720918 TG720918 JK720918 O720921 WVW655382 WMA655382 WCE655382 VSI655382 VIM655382 UYQ655382 UOU655382 UEY655382 TVC655382 TLG655382 TBK655382 SRO655382 SHS655382 RXW655382 ROA655382 REE655382 QUI655382 QKM655382 QAQ655382 PQU655382 PGY655382 OXC655382 ONG655382 ODK655382 NTO655382 NJS655382 MZW655382 MQA655382 MGE655382 LWI655382 LMM655382 LCQ655382 KSU655382 KIY655382 JZC655382 JPG655382 JFK655382 IVO655382 ILS655382 IBW655382 HSA655382 HIE655382 GYI655382 GOM655382 GEQ655382 FUU655382 FKY655382 FBC655382 ERG655382 EHK655382 DXO655382 DNS655382 DDW655382 CUA655382 CKE655382 CAI655382 BQM655382 BGQ655382 AWU655382 AMY655382 ADC655382 TG655382 JK655382 O655385 WVW589846 WMA589846 WCE589846 VSI589846 VIM589846 UYQ589846 UOU589846 UEY589846 TVC589846 TLG589846 TBK589846 SRO589846 SHS589846 RXW589846 ROA589846 REE589846 QUI589846 QKM589846 QAQ589846 PQU589846 PGY589846 OXC589846 ONG589846 ODK589846 NTO589846 NJS589846 MZW589846 MQA589846 MGE589846 LWI589846 LMM589846 LCQ589846 KSU589846 KIY589846 JZC589846 JPG589846 JFK589846 IVO589846 ILS589846 IBW589846 HSA589846 HIE589846 GYI589846 GOM589846 GEQ589846 FUU589846 FKY589846 FBC589846 ERG589846 EHK589846 DXO589846 DNS589846 DDW589846 CUA589846 CKE589846 CAI589846 BQM589846 BGQ589846 AWU589846 AMY589846 ADC589846 TG589846 JK589846 O589849 WVW524310 WMA524310 WCE524310 VSI524310 VIM524310 UYQ524310 UOU524310 UEY524310 TVC524310 TLG524310 TBK524310 SRO524310 SHS524310 RXW524310 ROA524310 REE524310 QUI524310 QKM524310 QAQ524310 PQU524310 PGY524310 OXC524310 ONG524310 ODK524310 NTO524310 NJS524310 MZW524310 MQA524310 MGE524310 LWI524310 LMM524310 LCQ524310 KSU524310 KIY524310 JZC524310 JPG524310 JFK524310 IVO524310 ILS524310 IBW524310 HSA524310 HIE524310 GYI524310 GOM524310 GEQ524310 FUU524310 FKY524310 FBC524310 ERG524310 EHK524310 DXO524310 DNS524310 DDW524310 CUA524310 CKE524310 CAI524310 BQM524310 BGQ524310 AWU524310 AMY524310 ADC524310 TG524310 JK524310 O524313 WVW458774 WMA458774 WCE458774 VSI458774 VIM458774 UYQ458774 UOU458774 UEY458774 TVC458774 TLG458774 TBK458774 SRO458774 SHS458774 RXW458774 ROA458774 REE458774 QUI458774 QKM458774 QAQ458774 PQU458774 PGY458774 OXC458774 ONG458774 ODK458774 NTO458774 NJS458774 MZW458774 MQA458774 MGE458774 LWI458774 LMM458774 LCQ458774 KSU458774 KIY458774 JZC458774 JPG458774 JFK458774 IVO458774 ILS458774 IBW458774 HSA458774 HIE458774 GYI458774 GOM458774 GEQ458774 FUU458774 FKY458774 FBC458774 ERG458774 EHK458774 DXO458774 DNS458774 DDW458774 CUA458774 CKE458774 CAI458774 BQM458774 BGQ458774 AWU458774 AMY458774 ADC458774 TG458774 JK458774 O458777 WVW393238 WMA393238 WCE393238 VSI393238 VIM393238 UYQ393238 UOU393238 UEY393238 TVC393238 TLG393238 TBK393238 SRO393238 SHS393238 RXW393238 ROA393238 REE393238 QUI393238 QKM393238 QAQ393238 PQU393238 PGY393238 OXC393238 ONG393238 ODK393238 NTO393238 NJS393238 MZW393238 MQA393238 MGE393238 LWI393238 LMM393238 LCQ393238 KSU393238 KIY393238 JZC393238 JPG393238 JFK393238 IVO393238 ILS393238 IBW393238 HSA393238 HIE393238 GYI393238 GOM393238 GEQ393238 FUU393238 FKY393238 FBC393238 ERG393238 EHK393238 DXO393238 DNS393238 DDW393238 CUA393238 CKE393238 CAI393238 BQM393238 BGQ393238 AWU393238 AMY393238 ADC393238 TG393238 JK393238 O393241 WVW327702 WMA327702 WCE327702 VSI327702 VIM327702 UYQ327702 UOU327702 UEY327702 TVC327702 TLG327702 TBK327702 SRO327702 SHS327702 RXW327702 ROA327702 REE327702 QUI327702 QKM327702 QAQ327702 PQU327702 PGY327702 OXC327702 ONG327702 ODK327702 NTO327702 NJS327702 MZW327702 MQA327702 MGE327702 LWI327702 LMM327702 LCQ327702 KSU327702 KIY327702 JZC327702 JPG327702 JFK327702 IVO327702 ILS327702 IBW327702 HSA327702 HIE327702 GYI327702 GOM327702 GEQ327702 FUU327702 FKY327702 FBC327702 ERG327702 EHK327702 DXO327702 DNS327702 DDW327702 CUA327702 CKE327702 CAI327702 BQM327702 BGQ327702 AWU327702 AMY327702 ADC327702 TG327702 JK327702 O327705 WVW262166 WMA262166 WCE262166 VSI262166 VIM262166 UYQ262166 UOU262166 UEY262166 TVC262166 TLG262166 TBK262166 SRO262166 SHS262166 RXW262166 ROA262166 REE262166 QUI262166 QKM262166 QAQ262166 PQU262166 PGY262166 OXC262166 ONG262166 ODK262166 NTO262166 NJS262166 MZW262166 MQA262166 MGE262166 LWI262166 LMM262166 LCQ262166 KSU262166 KIY262166 JZC262166 JPG262166 JFK262166 IVO262166 ILS262166 IBW262166 HSA262166 HIE262166 GYI262166 GOM262166 GEQ262166 FUU262166 FKY262166 FBC262166 ERG262166 EHK262166 DXO262166 DNS262166 DDW262166 CUA262166 CKE262166 CAI262166 BQM262166 BGQ262166 AWU262166 AMY262166 ADC262166 TG262166 JK262166 O262169 WVW196630 WMA196630 WCE196630 VSI196630 VIM196630 UYQ196630 UOU196630 UEY196630 TVC196630 TLG196630 TBK196630 SRO196630 SHS196630 RXW196630 ROA196630 REE196630 QUI196630 QKM196630 QAQ196630 PQU196630 PGY196630 OXC196630 ONG196630 ODK196630 NTO196630 NJS196630 MZW196630 MQA196630 MGE196630 LWI196630 LMM196630 LCQ196630 KSU196630 KIY196630 JZC196630 JPG196630 JFK196630 IVO196630 ILS196630 IBW196630 HSA196630 HIE196630 GYI196630 GOM196630 GEQ196630 FUU196630 FKY196630 FBC196630 ERG196630 EHK196630 DXO196630 DNS196630 DDW196630 CUA196630 CKE196630 CAI196630 BQM196630 BGQ196630 AWU196630 AMY196630 ADC196630 TG196630 JK196630 O196633 WVW131094 WMA131094 WCE131094 VSI131094 VIM131094 UYQ131094 UOU131094 UEY131094 TVC131094 TLG131094 TBK131094 SRO131094 SHS131094 RXW131094 ROA131094 REE131094 QUI131094 QKM131094 QAQ131094 PQU131094 PGY131094 OXC131094 ONG131094 ODK131094 NTO131094 NJS131094 MZW131094 MQA131094 MGE131094 LWI131094 LMM131094 LCQ131094 KSU131094 KIY131094 JZC131094 JPG131094 JFK131094 IVO131094 ILS131094 IBW131094 HSA131094 HIE131094 GYI131094 GOM131094 GEQ131094 FUU131094 FKY131094 FBC131094 ERG131094 EHK131094 DXO131094 DNS131094 DDW131094 CUA131094 CKE131094 CAI131094 BQM131094 BGQ131094 AWU131094 AMY131094 ADC131094 TG131094 JK131094 O131097 WVW65558 WMA65558 WCE65558 VSI65558 VIM65558 UYQ65558 UOU65558 UEY65558 TVC65558 TLG65558 TBK65558 SRO65558 SHS65558 RXW65558 ROA65558 REE65558 QUI65558 QKM65558 QAQ65558 PQU65558 PGY65558 OXC65558 ONG65558 ODK65558 NTO65558 NJS65558 MZW65558 MQA65558 MGE65558 LWI65558 LMM65558 LCQ65558 KSU65558 KIY65558 JZC65558 JPG65558 JFK65558 IVO65558 ILS65558 IBW65558 HSA65558 HIE65558 GYI65558 GOM65558 GEQ65558 FUU65558 FKY65558 FBC65558 ERG65558 EHK65558 DXO65558 DNS65558 DDW65558 CUA65558 CKE65558 CAI65558 BQM65558 BGQ65558 AWU65558 AMY65558 ADC65558 TG65558 JK65558 O65561 WVW22 WMA22 WCE22 VSI22 VIM22 UYQ22 UOU22 UEY22 TVC22 TLG22 TBK22 SRO22 SHS22 RXW22 ROA22 REE22 QUI22 QKM22 QAQ22 PQU22 PGY22 OXC22 ONG22 ODK22 NTO22 NJS22 MZW22 MQA22 MGE22 LWI22 LMM22 LCQ22 KSU22 KIY22 JZC22 JPG22 JFK22 IVO22 ILS22 IBW22 HSA22 HIE22 GYI22 GOM22 GEQ22 FUU22 FKY22 FBC22 ERG22 EHK22 DXO22 DNS22 DDW22 CUA22 CKE22 CAI22 BQM22 BGQ22 AWU22 AMY22 ADC22 TG22 JK22">
      <formula1>"IN,CM"</formula1>
    </dataValidation>
    <dataValidation type="list" allowBlank="1" showInputMessage="1" showErrorMessage="1" sqref="P25 WVX983062 WMB983062 WCF983062 VSJ983062 VIN983062 UYR983062 UOV983062 UEZ983062 TVD983062 TLH983062 TBL983062 SRP983062 SHT983062 RXX983062 ROB983062 REF983062 QUJ983062 QKN983062 QAR983062 PQV983062 PGZ983062 OXD983062 ONH983062 ODL983062 NTP983062 NJT983062 MZX983062 MQB983062 MGF983062 LWJ983062 LMN983062 LCR983062 KSV983062 KIZ983062 JZD983062 JPH983062 JFL983062 IVP983062 ILT983062 IBX983062 HSB983062 HIF983062 GYJ983062 GON983062 GER983062 FUV983062 FKZ983062 FBD983062 ERH983062 EHL983062 DXP983062 DNT983062 DDX983062 CUB983062 CKF983062 CAJ983062 BQN983062 BGR983062 AWV983062 AMZ983062 ADD983062 TH983062 JL983062 P983065 WVX917526 WMB917526 WCF917526 VSJ917526 VIN917526 UYR917526 UOV917526 UEZ917526 TVD917526 TLH917526 TBL917526 SRP917526 SHT917526 RXX917526 ROB917526 REF917526 QUJ917526 QKN917526 QAR917526 PQV917526 PGZ917526 OXD917526 ONH917526 ODL917526 NTP917526 NJT917526 MZX917526 MQB917526 MGF917526 LWJ917526 LMN917526 LCR917526 KSV917526 KIZ917526 JZD917526 JPH917526 JFL917526 IVP917526 ILT917526 IBX917526 HSB917526 HIF917526 GYJ917526 GON917526 GER917526 FUV917526 FKZ917526 FBD917526 ERH917526 EHL917526 DXP917526 DNT917526 DDX917526 CUB917526 CKF917526 CAJ917526 BQN917526 BGR917526 AWV917526 AMZ917526 ADD917526 TH917526 JL917526 P917529 WVX851990 WMB851990 WCF851990 VSJ851990 VIN851990 UYR851990 UOV851990 UEZ851990 TVD851990 TLH851990 TBL851990 SRP851990 SHT851990 RXX851990 ROB851990 REF851990 QUJ851990 QKN851990 QAR851990 PQV851990 PGZ851990 OXD851990 ONH851990 ODL851990 NTP851990 NJT851990 MZX851990 MQB851990 MGF851990 LWJ851990 LMN851990 LCR851990 KSV851990 KIZ851990 JZD851990 JPH851990 JFL851990 IVP851990 ILT851990 IBX851990 HSB851990 HIF851990 GYJ851990 GON851990 GER851990 FUV851990 FKZ851990 FBD851990 ERH851990 EHL851990 DXP851990 DNT851990 DDX851990 CUB851990 CKF851990 CAJ851990 BQN851990 BGR851990 AWV851990 AMZ851990 ADD851990 TH851990 JL851990 P851993 WVX786454 WMB786454 WCF786454 VSJ786454 VIN786454 UYR786454 UOV786454 UEZ786454 TVD786454 TLH786454 TBL786454 SRP786454 SHT786454 RXX786454 ROB786454 REF786454 QUJ786454 QKN786454 QAR786454 PQV786454 PGZ786454 OXD786454 ONH786454 ODL786454 NTP786454 NJT786454 MZX786454 MQB786454 MGF786454 LWJ786454 LMN786454 LCR786454 KSV786454 KIZ786454 JZD786454 JPH786454 JFL786454 IVP786454 ILT786454 IBX786454 HSB786454 HIF786454 GYJ786454 GON786454 GER786454 FUV786454 FKZ786454 FBD786454 ERH786454 EHL786454 DXP786454 DNT786454 DDX786454 CUB786454 CKF786454 CAJ786454 BQN786454 BGR786454 AWV786454 AMZ786454 ADD786454 TH786454 JL786454 P786457 WVX720918 WMB720918 WCF720918 VSJ720918 VIN720918 UYR720918 UOV720918 UEZ720918 TVD720918 TLH720918 TBL720918 SRP720918 SHT720918 RXX720918 ROB720918 REF720918 QUJ720918 QKN720918 QAR720918 PQV720918 PGZ720918 OXD720918 ONH720918 ODL720918 NTP720918 NJT720918 MZX720918 MQB720918 MGF720918 LWJ720918 LMN720918 LCR720918 KSV720918 KIZ720918 JZD720918 JPH720918 JFL720918 IVP720918 ILT720918 IBX720918 HSB720918 HIF720918 GYJ720918 GON720918 GER720918 FUV720918 FKZ720918 FBD720918 ERH720918 EHL720918 DXP720918 DNT720918 DDX720918 CUB720918 CKF720918 CAJ720918 BQN720918 BGR720918 AWV720918 AMZ720918 ADD720918 TH720918 JL720918 P720921 WVX655382 WMB655382 WCF655382 VSJ655382 VIN655382 UYR655382 UOV655382 UEZ655382 TVD655382 TLH655382 TBL655382 SRP655382 SHT655382 RXX655382 ROB655382 REF655382 QUJ655382 QKN655382 QAR655382 PQV655382 PGZ655382 OXD655382 ONH655382 ODL655382 NTP655382 NJT655382 MZX655382 MQB655382 MGF655382 LWJ655382 LMN655382 LCR655382 KSV655382 KIZ655382 JZD655382 JPH655382 JFL655382 IVP655382 ILT655382 IBX655382 HSB655382 HIF655382 GYJ655382 GON655382 GER655382 FUV655382 FKZ655382 FBD655382 ERH655382 EHL655382 DXP655382 DNT655382 DDX655382 CUB655382 CKF655382 CAJ655382 BQN655382 BGR655382 AWV655382 AMZ655382 ADD655382 TH655382 JL655382 P655385 WVX589846 WMB589846 WCF589846 VSJ589846 VIN589846 UYR589846 UOV589846 UEZ589846 TVD589846 TLH589846 TBL589846 SRP589846 SHT589846 RXX589846 ROB589846 REF589846 QUJ589846 QKN589846 QAR589846 PQV589846 PGZ589846 OXD589846 ONH589846 ODL589846 NTP589846 NJT589846 MZX589846 MQB589846 MGF589846 LWJ589846 LMN589846 LCR589846 KSV589846 KIZ589846 JZD589846 JPH589846 JFL589846 IVP589846 ILT589846 IBX589846 HSB589846 HIF589846 GYJ589846 GON589846 GER589846 FUV589846 FKZ589846 FBD589846 ERH589846 EHL589846 DXP589846 DNT589846 DDX589846 CUB589846 CKF589846 CAJ589846 BQN589846 BGR589846 AWV589846 AMZ589846 ADD589846 TH589846 JL589846 P589849 WVX524310 WMB524310 WCF524310 VSJ524310 VIN524310 UYR524310 UOV524310 UEZ524310 TVD524310 TLH524310 TBL524310 SRP524310 SHT524310 RXX524310 ROB524310 REF524310 QUJ524310 QKN524310 QAR524310 PQV524310 PGZ524310 OXD524310 ONH524310 ODL524310 NTP524310 NJT524310 MZX524310 MQB524310 MGF524310 LWJ524310 LMN524310 LCR524310 KSV524310 KIZ524310 JZD524310 JPH524310 JFL524310 IVP524310 ILT524310 IBX524310 HSB524310 HIF524310 GYJ524310 GON524310 GER524310 FUV524310 FKZ524310 FBD524310 ERH524310 EHL524310 DXP524310 DNT524310 DDX524310 CUB524310 CKF524310 CAJ524310 BQN524310 BGR524310 AWV524310 AMZ524310 ADD524310 TH524310 JL524310 P524313 WVX458774 WMB458774 WCF458774 VSJ458774 VIN458774 UYR458774 UOV458774 UEZ458774 TVD458774 TLH458774 TBL458774 SRP458774 SHT458774 RXX458774 ROB458774 REF458774 QUJ458774 QKN458774 QAR458774 PQV458774 PGZ458774 OXD458774 ONH458774 ODL458774 NTP458774 NJT458774 MZX458774 MQB458774 MGF458774 LWJ458774 LMN458774 LCR458774 KSV458774 KIZ458774 JZD458774 JPH458774 JFL458774 IVP458774 ILT458774 IBX458774 HSB458774 HIF458774 GYJ458774 GON458774 GER458774 FUV458774 FKZ458774 FBD458774 ERH458774 EHL458774 DXP458774 DNT458774 DDX458774 CUB458774 CKF458774 CAJ458774 BQN458774 BGR458774 AWV458774 AMZ458774 ADD458774 TH458774 JL458774 P458777 WVX393238 WMB393238 WCF393238 VSJ393238 VIN393238 UYR393238 UOV393238 UEZ393238 TVD393238 TLH393238 TBL393238 SRP393238 SHT393238 RXX393238 ROB393238 REF393238 QUJ393238 QKN393238 QAR393238 PQV393238 PGZ393238 OXD393238 ONH393238 ODL393238 NTP393238 NJT393238 MZX393238 MQB393238 MGF393238 LWJ393238 LMN393238 LCR393238 KSV393238 KIZ393238 JZD393238 JPH393238 JFL393238 IVP393238 ILT393238 IBX393238 HSB393238 HIF393238 GYJ393238 GON393238 GER393238 FUV393238 FKZ393238 FBD393238 ERH393238 EHL393238 DXP393238 DNT393238 DDX393238 CUB393238 CKF393238 CAJ393238 BQN393238 BGR393238 AWV393238 AMZ393238 ADD393238 TH393238 JL393238 P393241 WVX327702 WMB327702 WCF327702 VSJ327702 VIN327702 UYR327702 UOV327702 UEZ327702 TVD327702 TLH327702 TBL327702 SRP327702 SHT327702 RXX327702 ROB327702 REF327702 QUJ327702 QKN327702 QAR327702 PQV327702 PGZ327702 OXD327702 ONH327702 ODL327702 NTP327702 NJT327702 MZX327702 MQB327702 MGF327702 LWJ327702 LMN327702 LCR327702 KSV327702 KIZ327702 JZD327702 JPH327702 JFL327702 IVP327702 ILT327702 IBX327702 HSB327702 HIF327702 GYJ327702 GON327702 GER327702 FUV327702 FKZ327702 FBD327702 ERH327702 EHL327702 DXP327702 DNT327702 DDX327702 CUB327702 CKF327702 CAJ327702 BQN327702 BGR327702 AWV327702 AMZ327702 ADD327702 TH327702 JL327702 P327705 WVX262166 WMB262166 WCF262166 VSJ262166 VIN262166 UYR262166 UOV262166 UEZ262166 TVD262166 TLH262166 TBL262166 SRP262166 SHT262166 RXX262166 ROB262166 REF262166 QUJ262166 QKN262166 QAR262166 PQV262166 PGZ262166 OXD262166 ONH262166 ODL262166 NTP262166 NJT262166 MZX262166 MQB262166 MGF262166 LWJ262166 LMN262166 LCR262166 KSV262166 KIZ262166 JZD262166 JPH262166 JFL262166 IVP262166 ILT262166 IBX262166 HSB262166 HIF262166 GYJ262166 GON262166 GER262166 FUV262166 FKZ262166 FBD262166 ERH262166 EHL262166 DXP262166 DNT262166 DDX262166 CUB262166 CKF262166 CAJ262166 BQN262166 BGR262166 AWV262166 AMZ262166 ADD262166 TH262166 JL262166 P262169 WVX196630 WMB196630 WCF196630 VSJ196630 VIN196630 UYR196630 UOV196630 UEZ196630 TVD196630 TLH196630 TBL196630 SRP196630 SHT196630 RXX196630 ROB196630 REF196630 QUJ196630 QKN196630 QAR196630 PQV196630 PGZ196630 OXD196630 ONH196630 ODL196630 NTP196630 NJT196630 MZX196630 MQB196630 MGF196630 LWJ196630 LMN196630 LCR196630 KSV196630 KIZ196630 JZD196630 JPH196630 JFL196630 IVP196630 ILT196630 IBX196630 HSB196630 HIF196630 GYJ196630 GON196630 GER196630 FUV196630 FKZ196630 FBD196630 ERH196630 EHL196630 DXP196630 DNT196630 DDX196630 CUB196630 CKF196630 CAJ196630 BQN196630 BGR196630 AWV196630 AMZ196630 ADD196630 TH196630 JL196630 P196633 WVX131094 WMB131094 WCF131094 VSJ131094 VIN131094 UYR131094 UOV131094 UEZ131094 TVD131094 TLH131094 TBL131094 SRP131094 SHT131094 RXX131094 ROB131094 REF131094 QUJ131094 QKN131094 QAR131094 PQV131094 PGZ131094 OXD131094 ONH131094 ODL131094 NTP131094 NJT131094 MZX131094 MQB131094 MGF131094 LWJ131094 LMN131094 LCR131094 KSV131094 KIZ131094 JZD131094 JPH131094 JFL131094 IVP131094 ILT131094 IBX131094 HSB131094 HIF131094 GYJ131094 GON131094 GER131094 FUV131094 FKZ131094 FBD131094 ERH131094 EHL131094 DXP131094 DNT131094 DDX131094 CUB131094 CKF131094 CAJ131094 BQN131094 BGR131094 AWV131094 AMZ131094 ADD131094 TH131094 JL131094 P131097 WVX65558 WMB65558 WCF65558 VSJ65558 VIN65558 UYR65558 UOV65558 UEZ65558 TVD65558 TLH65558 TBL65558 SRP65558 SHT65558 RXX65558 ROB65558 REF65558 QUJ65558 QKN65558 QAR65558 PQV65558 PGZ65558 OXD65558 ONH65558 ODL65558 NTP65558 NJT65558 MZX65558 MQB65558 MGF65558 LWJ65558 LMN65558 LCR65558 KSV65558 KIZ65558 JZD65558 JPH65558 JFL65558 IVP65558 ILT65558 IBX65558 HSB65558 HIF65558 GYJ65558 GON65558 GER65558 FUV65558 FKZ65558 FBD65558 ERH65558 EHL65558 DXP65558 DNT65558 DDX65558 CUB65558 CKF65558 CAJ65558 BQN65558 BGR65558 AWV65558 AMZ65558 ADD65558 TH65558 JL65558 P65561 WVX22 WMB22 WCF22 VSJ22 VIN22 UYR22 UOV22 UEZ22 TVD22 TLH22 TBL22 SRP22 SHT22 RXX22 ROB22 REF22 QUJ22 QKN22 QAR22 PQV22 PGZ22 OXD22 ONH22 ODL22 NTP22 NJT22 MZX22 MQB22 MGF22 LWJ22 LMN22 LCR22 KSV22 KIZ22 JZD22 JPH22 JFL22 IVP22 ILT22 IBX22 HSB22 HIF22 GYJ22 GON22 GER22 FUV22 FKZ22 FBD22 ERH22 EHL22 DXP22 DNT22 DDX22 CUB22 CKF22 CAJ22 BQN22 BGR22 AWV22 AMZ22 ADD22 TH22 JL22">
      <formula1>"LB,KG"</formula1>
    </dataValidation>
    <dataValidation type="list" allowBlank="1" showInputMessage="1" showErrorMessage="1" sqref="E2:F2">
      <formula1>"Statistical,Direct Input, Single Donor"</formula1>
    </dataValidation>
    <dataValidation type="list" allowBlank="1" showInputMessage="1" showErrorMessage="1" sqref="D21 T20">
      <formula1>"USA,Germany,France,S. Europe,Asia,Australia,Canada,Custom"</formula1>
    </dataValidation>
  </dataValidations>
  <printOptions horizontalCentered="1"/>
  <pageMargins left="0.25" right="0.25" top="0.75" bottom="0.5" header="0.5" footer="0.25"/>
  <pageSetup scale="78" orientation="landscape" horizontalDpi="300" verticalDpi="300" r:id="rId1"/>
  <headerFooter alignWithMargins="0">
    <oddFooter>&amp;R&amp;D</oddFooter>
  </headerFooter>
  <legacyDrawing r:id="rId2"/>
</worksheet>
</file>

<file path=xl/worksheets/sheet5.xml><?xml version="1.0" encoding="utf-8"?>
<worksheet xmlns="http://schemas.openxmlformats.org/spreadsheetml/2006/main" xmlns:r="http://schemas.openxmlformats.org/officeDocument/2006/relationships">
  <sheetPr codeName="Sheet7">
    <pageSetUpPr autoPageBreaks="0" fitToPage="1"/>
  </sheetPr>
  <dimension ref="A2:AG75"/>
  <sheetViews>
    <sheetView showGridLines="0" zoomScale="75" zoomScaleNormal="75" workbookViewId="0"/>
  </sheetViews>
  <sheetFormatPr defaultRowHeight="12.75"/>
  <cols>
    <col min="1" max="1" width="13" style="76" customWidth="1"/>
    <col min="2" max="2" width="11.7109375" style="76" bestFit="1" customWidth="1"/>
    <col min="3" max="3" width="9.28515625" style="76" bestFit="1" customWidth="1"/>
    <col min="4" max="4" width="8.85546875" style="76" bestFit="1" customWidth="1"/>
    <col min="5" max="5" width="6.85546875" style="76" bestFit="1" customWidth="1"/>
    <col min="6" max="6" width="23.140625" style="76" hidden="1" customWidth="1"/>
    <col min="7" max="7" width="18.85546875" style="76" bestFit="1" customWidth="1"/>
    <col min="8" max="8" width="12.85546875" style="76" bestFit="1" customWidth="1"/>
    <col min="9" max="9" width="13.28515625" style="76" bestFit="1" customWidth="1"/>
    <col min="10" max="10" width="14.5703125" style="76" customWidth="1"/>
    <col min="11" max="12" width="16.28515625" style="76" bestFit="1" customWidth="1"/>
    <col min="13" max="13" width="18" style="76" customWidth="1"/>
    <col min="14" max="26" width="9.140625" style="76" customWidth="1"/>
    <col min="27" max="27" width="11.7109375" style="76" customWidth="1"/>
    <col min="28" max="28" width="7.7109375" style="76" customWidth="1"/>
    <col min="29" max="30" width="8.85546875" style="76" customWidth="1"/>
    <col min="31" max="32" width="9.140625" style="76" customWidth="1"/>
    <col min="33" max="33" width="9" style="76" customWidth="1"/>
    <col min="34" max="16384" width="9.140625" style="76"/>
  </cols>
  <sheetData>
    <row r="2" spans="1:33" ht="27.75">
      <c r="A2" s="1142" t="s">
        <v>1551</v>
      </c>
      <c r="B2" s="1142"/>
      <c r="C2" s="1142"/>
      <c r="D2" s="1142"/>
      <c r="E2" s="1142"/>
      <c r="F2" s="1142"/>
      <c r="G2" s="1142"/>
      <c r="H2" s="1142"/>
      <c r="I2" s="1142"/>
      <c r="J2" s="1142"/>
      <c r="L2" s="876"/>
      <c r="M2" s="876"/>
    </row>
    <row r="3" spans="1:33">
      <c r="A3" s="1340">
        <f>'Configs &amp; Procedures'!H11</f>
        <v>6.3</v>
      </c>
    </row>
    <row r="4" spans="1:33" ht="23.25">
      <c r="B4" s="1522" t="s">
        <v>1111</v>
      </c>
      <c r="C4" s="1522"/>
      <c r="D4" s="1522"/>
      <c r="E4" s="1522"/>
      <c r="F4" s="1522"/>
      <c r="G4" s="1522"/>
      <c r="H4" s="1522"/>
      <c r="I4" s="1522"/>
      <c r="J4" s="1522"/>
      <c r="K4" s="1522"/>
      <c r="L4" s="611"/>
      <c r="M4" s="612"/>
    </row>
    <row r="5" spans="1:33" ht="13.5" thickBot="1"/>
    <row r="6" spans="1:33" ht="13.5" customHeight="1" thickBot="1">
      <c r="B6" s="613" t="s">
        <v>943</v>
      </c>
      <c r="C6" s="1474" t="s">
        <v>1112</v>
      </c>
      <c r="D6" s="1475"/>
      <c r="E6" s="1475"/>
      <c r="F6" s="1476"/>
      <c r="G6" s="197" t="s">
        <v>1209</v>
      </c>
      <c r="H6" s="192" t="s">
        <v>1113</v>
      </c>
      <c r="I6" s="934" t="s">
        <v>1232</v>
      </c>
      <c r="J6" s="935" t="s">
        <v>1114</v>
      </c>
      <c r="K6" s="934" t="s">
        <v>1120</v>
      </c>
      <c r="L6"/>
      <c r="AA6" s="1133" t="s">
        <v>943</v>
      </c>
      <c r="AB6" s="197" t="s">
        <v>1479</v>
      </c>
      <c r="AC6" s="1474" t="s">
        <v>1477</v>
      </c>
      <c r="AD6" s="1476"/>
      <c r="AE6" s="1143" t="s">
        <v>1347</v>
      </c>
      <c r="AF6" s="1144" t="s">
        <v>0</v>
      </c>
      <c r="AG6" s="1144" t="s">
        <v>1674</v>
      </c>
    </row>
    <row r="7" spans="1:33" ht="13.5" customHeight="1" thickBot="1">
      <c r="B7" s="616" t="s">
        <v>947</v>
      </c>
      <c r="C7" s="617" t="s">
        <v>948</v>
      </c>
      <c r="D7" s="845" t="s">
        <v>55</v>
      </c>
      <c r="E7" s="845" t="s">
        <v>949</v>
      </c>
      <c r="F7" s="618" t="s">
        <v>951</v>
      </c>
      <c r="G7" s="619" t="s">
        <v>1208</v>
      </c>
      <c r="H7" s="617" t="s">
        <v>1115</v>
      </c>
      <c r="I7" s="619" t="s">
        <v>1116</v>
      </c>
      <c r="J7" s="936" t="s">
        <v>1116</v>
      </c>
      <c r="K7" s="619" t="s">
        <v>1125</v>
      </c>
      <c r="L7"/>
      <c r="AA7" s="616" t="s">
        <v>947</v>
      </c>
      <c r="AB7" s="619" t="s">
        <v>1476</v>
      </c>
      <c r="AC7" s="619" t="s">
        <v>1481</v>
      </c>
      <c r="AD7" s="619" t="s">
        <v>0</v>
      </c>
      <c r="AE7" s="1145" t="s">
        <v>1478</v>
      </c>
      <c r="AF7" s="1145" t="s">
        <v>1476</v>
      </c>
      <c r="AG7" s="1145" t="s">
        <v>1051</v>
      </c>
    </row>
    <row r="8" spans="1:33" ht="13.5" customHeight="1">
      <c r="B8" s="111">
        <v>1</v>
      </c>
      <c r="C8" s="622" t="str">
        <f>IF('DS Analysis'!AL44=0,"",'DS Analysis'!AL44)</f>
        <v/>
      </c>
      <c r="D8" s="623" t="str">
        <f>IF('Configs &amp; Procedures'!E44="A","AMAP",IF('Configs &amp; Procedures'!E44="M","MC",IF('DS Analysis'!AM44=0,"",'DS Analysis'!AM44)))</f>
        <v>AMAP</v>
      </c>
      <c r="E8" s="623" t="str">
        <f>IF('DS Analysis'!AN44=0,"",'DS Analysis'!AN44)</f>
        <v/>
      </c>
      <c r="F8" s="927" t="str">
        <f>IF('Configs &amp; Procedures'!H44="","",'Configs &amp; Procedures'!H44)</f>
        <v/>
      </c>
      <c r="G8" s="624">
        <f>IF('MD Details'!BG13="","",'MD Details'!BG13)</f>
        <v>100</v>
      </c>
      <c r="H8" s="625" t="str">
        <f>IF(C8="","",C8)</f>
        <v/>
      </c>
      <c r="I8" s="933">
        <f>IF(AND(AC8&gt;0,D8&lt;&gt;""),SUMPRODUCT(('MD Details'!$BF$16:$BF$1015=B8)*('MD Details'!$K$16:$K$1015))/SUMPRODUCT(('MD Details'!$BF$16:$BF$1015=B8)*('MD Details'!$BF$16:$BF$1015=B8)),"")</f>
        <v>680</v>
      </c>
      <c r="J8" s="624" t="str">
        <f>IF(E8="","",E8*(100/'Configs &amp; Procedures'!$L$22))</f>
        <v/>
      </c>
      <c r="K8" s="937">
        <f>IF(SUM('DS Analysis'!AP44:AR44)&gt;0,IF(AC8&gt;0,AG8/AC8,"NQ"),"")</f>
        <v>40.346519470214844</v>
      </c>
      <c r="L8"/>
      <c r="AA8" s="111">
        <v>1</v>
      </c>
      <c r="AB8" s="937">
        <f>SUMPRODUCT((Details!C10:C1009=AA8)*(Details!C10:C1009=AA8))</f>
        <v>1000</v>
      </c>
      <c r="AC8" s="937">
        <f>SUMPRODUCT(('MD Details'!$BF$16:$BF$1015=AA8)*('MD Details'!$BF$16:$BF$1015=AA8))</f>
        <v>1</v>
      </c>
      <c r="AD8" s="1139">
        <f>AC8/'MD Details'!$B$11*100</f>
        <v>100</v>
      </c>
      <c r="AE8" s="937">
        <f>AC8*'DS Analysis'!BD8</f>
        <v>1</v>
      </c>
      <c r="AF8" s="1139">
        <f>AE8/'MD Details'!$B$11*100</f>
        <v>100</v>
      </c>
      <c r="AG8" s="937">
        <f>SUMIF('MD Details'!$BF$16:$BF$1015,"=" &amp; $AA8,'MD Details'!$M$16:$M$1015)</f>
        <v>40.346519470214844</v>
      </c>
    </row>
    <row r="9" spans="1:33" ht="13.5" customHeight="1">
      <c r="B9" s="630">
        <v>2</v>
      </c>
      <c r="C9" s="631" t="str">
        <f>IF('DS Analysis'!AL45=0,"",'DS Analysis'!AL45)</f>
        <v/>
      </c>
      <c r="D9" s="632" t="str">
        <f>IF('Configs &amp; Procedures'!E45="A","AMAP",IF('Configs &amp; Procedures'!E45="M","MC",IF('DS Analysis'!AM45=0,"",'DS Analysis'!AM45)))</f>
        <v/>
      </c>
      <c r="E9" s="632" t="str">
        <f>IF('DS Analysis'!AN45=0,"",'DS Analysis'!AN45)</f>
        <v/>
      </c>
      <c r="F9" s="928" t="str">
        <f>IF('Configs &amp; Procedures'!H45="","",'Configs &amp; Procedures'!H45)</f>
        <v/>
      </c>
      <c r="G9" s="633" t="str">
        <f>IF('MD Details'!BH13="","",'MD Details'!BH13)</f>
        <v/>
      </c>
      <c r="H9" s="634" t="str">
        <f t="shared" ref="H9:H27" si="0">IF(C9="","",C9)</f>
        <v/>
      </c>
      <c r="I9" s="933" t="str">
        <f>IF(AND(AC9&gt;0,D9&lt;&gt;""),SUMPRODUCT(('MD Details'!$BF$16:$BF$1015=B9)*('MD Details'!$K$16:$K$1015))/SUMPRODUCT(('MD Details'!$BF$16:$BF$1015=B9)*('MD Details'!$BF$16:$BF$1015=B9)),"")</f>
        <v/>
      </c>
      <c r="J9" s="633" t="str">
        <f>IF(E9="","",E9*(100/'Configs &amp; Procedures'!$L$22))</f>
        <v/>
      </c>
      <c r="K9" s="633" t="str">
        <f>IF(SUM('DS Analysis'!AP45:AR45)&gt;0,IF(AC9&gt;0,AG9/AC9,"NQ"),"")</f>
        <v/>
      </c>
      <c r="L9"/>
      <c r="AA9" s="630">
        <v>2</v>
      </c>
      <c r="AB9" s="937">
        <f>SUMPRODUCT((Details!C11:C1010=AA9)*(Details!C11:C1010=AA9))</f>
        <v>0</v>
      </c>
      <c r="AC9" s="633">
        <f>SUMPRODUCT(('MD Details'!$BF$16:$BF$1015=AA9)*('MD Details'!$BF$16:$BF$1015=AA9))</f>
        <v>0</v>
      </c>
      <c r="AD9" s="1139">
        <f>AC9/'MD Details'!$B$11*100</f>
        <v>0</v>
      </c>
      <c r="AE9" s="937">
        <f>AC9*'DS Analysis'!BD9</f>
        <v>0</v>
      </c>
      <c r="AF9" s="1139">
        <f>AE9/'MD Details'!$B$11*100</f>
        <v>0</v>
      </c>
      <c r="AG9" s="937">
        <f>SUMIF('MD Details'!$BF$16:$BF$1015,"=" &amp; $AA9,'MD Details'!$M$16:$M$1015)</f>
        <v>0</v>
      </c>
    </row>
    <row r="10" spans="1:33" ht="13.5" customHeight="1">
      <c r="B10" s="630">
        <v>3</v>
      </c>
      <c r="C10" s="631" t="str">
        <f>IF('DS Analysis'!AL46=0,"",'DS Analysis'!AL46)</f>
        <v/>
      </c>
      <c r="D10" s="632" t="str">
        <f>IF('Configs &amp; Procedures'!E46="A","AMAP",IF('Configs &amp; Procedures'!E46="M","MC",IF('DS Analysis'!AM46=0,"",'DS Analysis'!AM46)))</f>
        <v/>
      </c>
      <c r="E10" s="632" t="str">
        <f>IF('DS Analysis'!AN46=0,"",'DS Analysis'!AN46)</f>
        <v/>
      </c>
      <c r="F10" s="928" t="str">
        <f>IF('Configs &amp; Procedures'!H46="","",'Configs &amp; Procedures'!H46)</f>
        <v/>
      </c>
      <c r="G10" s="633" t="str">
        <f>IF('MD Details'!BI13="","",'MD Details'!BI13)</f>
        <v/>
      </c>
      <c r="H10" s="634" t="str">
        <f t="shared" si="0"/>
        <v/>
      </c>
      <c r="I10" s="933" t="str">
        <f>IF(AND(AC10&gt;0,D10&lt;&gt;""),SUMPRODUCT(('MD Details'!$BF$16:$BF$1015=B10)*('MD Details'!$K$16:$K$1015))/SUMPRODUCT(('MD Details'!$BF$16:$BF$1015=B10)*('MD Details'!$BF$16:$BF$1015=B10)),"")</f>
        <v/>
      </c>
      <c r="J10" s="633" t="str">
        <f>IF(E10="","",E10*(100/'Configs &amp; Procedures'!$L$22))</f>
        <v/>
      </c>
      <c r="K10" s="633" t="str">
        <f>IF(SUM('DS Analysis'!AP46:AR46)&gt;0,IF(AC10&gt;0,AG10/AC10,"NQ"),"")</f>
        <v/>
      </c>
      <c r="L10"/>
      <c r="AA10" s="630">
        <v>3</v>
      </c>
      <c r="AB10" s="937">
        <f>SUMPRODUCT((Details!C12:C1011=AA10)*(Details!C12:C1011=AA10))</f>
        <v>0</v>
      </c>
      <c r="AC10" s="633">
        <f>SUMPRODUCT(('MD Details'!$BF$16:$BF$1015=AA10)*('MD Details'!$BF$16:$BF$1015=AA10))</f>
        <v>0</v>
      </c>
      <c r="AD10" s="1139">
        <f>AC10/'MD Details'!$B$11*100</f>
        <v>0</v>
      </c>
      <c r="AE10" s="937">
        <f>AC10*'DS Analysis'!BD10</f>
        <v>0</v>
      </c>
      <c r="AF10" s="1139">
        <f>AE10/'MD Details'!$B$11*100</f>
        <v>0</v>
      </c>
      <c r="AG10" s="937">
        <f>SUMIF('MD Details'!$BF$16:$BF$1015,"=" &amp; $AA10,'MD Details'!$M$16:$M$1015)</f>
        <v>0</v>
      </c>
    </row>
    <row r="11" spans="1:33" ht="13.5" customHeight="1">
      <c r="B11" s="630">
        <v>4</v>
      </c>
      <c r="C11" s="631" t="str">
        <f>IF('DS Analysis'!AL47=0,"",'DS Analysis'!AL47)</f>
        <v/>
      </c>
      <c r="D11" s="632" t="str">
        <f>IF('Configs &amp; Procedures'!E47="A","AMAP",IF('Configs &amp; Procedures'!E47="M","MC",IF('DS Analysis'!AM47=0,"",'DS Analysis'!AM47)))</f>
        <v/>
      </c>
      <c r="E11" s="632" t="str">
        <f>IF('DS Analysis'!AN47=0,"",'DS Analysis'!AN47)</f>
        <v/>
      </c>
      <c r="F11" s="928" t="str">
        <f>IF('Configs &amp; Procedures'!H47="","",'Configs &amp; Procedures'!H47)</f>
        <v/>
      </c>
      <c r="G11" s="633" t="str">
        <f>IF('MD Details'!BJ13="","",'MD Details'!BJ13)</f>
        <v/>
      </c>
      <c r="H11" s="634" t="str">
        <f t="shared" si="0"/>
        <v/>
      </c>
      <c r="I11" s="933" t="str">
        <f>IF(AND(AC11&gt;0,D11&lt;&gt;""),SUMPRODUCT(('MD Details'!$BF$16:$BF$1015=B11)*('MD Details'!$K$16:$K$1015))/SUMPRODUCT(('MD Details'!$BF$16:$BF$1015=B11)*('MD Details'!$BF$16:$BF$1015=B11)),"")</f>
        <v/>
      </c>
      <c r="J11" s="633" t="str">
        <f>IF(E11="","",E11*(100/'Configs &amp; Procedures'!$L$22))</f>
        <v/>
      </c>
      <c r="K11" s="633" t="str">
        <f>IF(SUM('DS Analysis'!AP47:AR47)&gt;0,IF(AC11&gt;0,AG11/AC11,"NQ"),"")</f>
        <v/>
      </c>
      <c r="L11"/>
      <c r="AA11" s="630">
        <v>4</v>
      </c>
      <c r="AB11" s="937">
        <f>SUMPRODUCT((Details!C13:C1012=AA11)*(Details!C13:C1012=AA11))</f>
        <v>0</v>
      </c>
      <c r="AC11" s="633">
        <f>SUMPRODUCT(('MD Details'!$BF$16:$BF$1015=AA11)*('MD Details'!$BF$16:$BF$1015=AA11))</f>
        <v>0</v>
      </c>
      <c r="AD11" s="1139">
        <f>AC11/'MD Details'!$B$11*100</f>
        <v>0</v>
      </c>
      <c r="AE11" s="937">
        <f>AC11*'DS Analysis'!BD11</f>
        <v>0</v>
      </c>
      <c r="AF11" s="1139">
        <f>AE11/'MD Details'!$B$11*100</f>
        <v>0</v>
      </c>
      <c r="AG11" s="937">
        <f>SUMIF('MD Details'!$BF$16:$BF$1015,"=" &amp; $AA11,'MD Details'!$M$16:$M$1015)</f>
        <v>0</v>
      </c>
    </row>
    <row r="12" spans="1:33" ht="13.5" customHeight="1">
      <c r="B12" s="630">
        <v>5</v>
      </c>
      <c r="C12" s="631" t="str">
        <f>IF('DS Analysis'!AL48=0,"",'DS Analysis'!AL48)</f>
        <v/>
      </c>
      <c r="D12" s="632" t="str">
        <f>IF('Configs &amp; Procedures'!E48="A","AMAP",IF('Configs &amp; Procedures'!E48="M","MC",IF('DS Analysis'!AM48=0,"",'DS Analysis'!AM48)))</f>
        <v/>
      </c>
      <c r="E12" s="632" t="str">
        <f>IF('DS Analysis'!AN48=0,"",'DS Analysis'!AN48)</f>
        <v/>
      </c>
      <c r="F12" s="928" t="str">
        <f>IF('Configs &amp; Procedures'!H48="","",'Configs &amp; Procedures'!H48)</f>
        <v/>
      </c>
      <c r="G12" s="633" t="str">
        <f>IF('MD Details'!BK13="","",'MD Details'!BK13)</f>
        <v/>
      </c>
      <c r="H12" s="634" t="str">
        <f t="shared" si="0"/>
        <v/>
      </c>
      <c r="I12" s="933" t="str">
        <f>IF(AND(AC12&gt;0,D12&lt;&gt;""),SUMPRODUCT(('MD Details'!$BF$16:$BF$1015=B12)*('MD Details'!$K$16:$K$1015))/SUMPRODUCT(('MD Details'!$BF$16:$BF$1015=B12)*('MD Details'!$BF$16:$BF$1015=B12)),"")</f>
        <v/>
      </c>
      <c r="J12" s="633" t="str">
        <f>IF(E12="","",E12*(100/'Configs &amp; Procedures'!$L$22))</f>
        <v/>
      </c>
      <c r="K12" s="633" t="str">
        <f>IF(SUM('DS Analysis'!AP48:AR48)&gt;0,IF(AC12&gt;0,AG12/AC12,"NQ"),"")</f>
        <v/>
      </c>
      <c r="L12"/>
      <c r="AA12" s="630">
        <v>5</v>
      </c>
      <c r="AB12" s="937">
        <f>SUMPRODUCT((Details!C14:C1013=AA12)*(Details!C14:C1013=AA12))</f>
        <v>0</v>
      </c>
      <c r="AC12" s="633">
        <f>SUMPRODUCT(('MD Details'!$BF$16:$BF$1015=AA12)*('MD Details'!$BF$16:$BF$1015=AA12))</f>
        <v>0</v>
      </c>
      <c r="AD12" s="1139">
        <f>AC12/'MD Details'!$B$11*100</f>
        <v>0</v>
      </c>
      <c r="AE12" s="937">
        <f>AC12*'DS Analysis'!BD12</f>
        <v>0</v>
      </c>
      <c r="AF12" s="1139">
        <f>AE12/'MD Details'!$B$11*100</f>
        <v>0</v>
      </c>
      <c r="AG12" s="937">
        <f>SUMIF('MD Details'!$BF$16:$BF$1015,"=" &amp; $AA12,'MD Details'!$M$16:$M$1015)</f>
        <v>0</v>
      </c>
    </row>
    <row r="13" spans="1:33" ht="13.5" customHeight="1">
      <c r="B13" s="630">
        <v>6</v>
      </c>
      <c r="C13" s="631" t="str">
        <f>IF('DS Analysis'!AL49=0,"",'DS Analysis'!AL49)</f>
        <v/>
      </c>
      <c r="D13" s="632" t="str">
        <f>IF('Configs &amp; Procedures'!E49="A","AMAP",IF('Configs &amp; Procedures'!E49="M","MC",IF('DS Analysis'!AM49=0,"",'DS Analysis'!AM49)))</f>
        <v/>
      </c>
      <c r="E13" s="632" t="str">
        <f>IF('DS Analysis'!AN49=0,"",'DS Analysis'!AN49)</f>
        <v/>
      </c>
      <c r="F13" s="928" t="str">
        <f>IF('Configs &amp; Procedures'!H49="","",'Configs &amp; Procedures'!H49)</f>
        <v/>
      </c>
      <c r="G13" s="633" t="str">
        <f>IF('MD Details'!BL13="","",'MD Details'!BL13)</f>
        <v/>
      </c>
      <c r="H13" s="634" t="str">
        <f t="shared" si="0"/>
        <v/>
      </c>
      <c r="I13" s="933" t="str">
        <f>IF(AND(AC13&gt;0,D13&lt;&gt;""),SUMPRODUCT(('MD Details'!$BF$16:$BF$1015=B13)*('MD Details'!$K$16:$K$1015))/SUMPRODUCT(('MD Details'!$BF$16:$BF$1015=B13)*('MD Details'!$BF$16:$BF$1015=B13)),"")</f>
        <v/>
      </c>
      <c r="J13" s="633" t="str">
        <f>IF(E13="","",E13*(100/'Configs &amp; Procedures'!$L$22))</f>
        <v/>
      </c>
      <c r="K13" s="633" t="str">
        <f>IF(SUM('DS Analysis'!AP49:AR49)&gt;0,IF(AC13&gt;0,AG13/AC13,"NQ"),"")</f>
        <v/>
      </c>
      <c r="L13"/>
      <c r="AA13" s="630">
        <v>6</v>
      </c>
      <c r="AB13" s="937">
        <f>SUMPRODUCT((Details!C15:C1014=AA13)*(Details!C15:C1014=AA13))</f>
        <v>0</v>
      </c>
      <c r="AC13" s="633">
        <f>SUMPRODUCT(('MD Details'!$BF$16:$BF$1015=AA13)*('MD Details'!$BF$16:$BF$1015=AA13))</f>
        <v>0</v>
      </c>
      <c r="AD13" s="1139">
        <f>AC13/'MD Details'!$B$11*100</f>
        <v>0</v>
      </c>
      <c r="AE13" s="937">
        <f>AC13*'DS Analysis'!BD13</f>
        <v>0</v>
      </c>
      <c r="AF13" s="1139">
        <f>AE13/'MD Details'!$B$11*100</f>
        <v>0</v>
      </c>
      <c r="AG13" s="937">
        <f>SUMIF('MD Details'!$BF$16:$BF$1015,"=" &amp; $AA13,'MD Details'!$M$16:$M$1015)</f>
        <v>0</v>
      </c>
    </row>
    <row r="14" spans="1:33" ht="13.5" customHeight="1">
      <c r="B14" s="630">
        <v>7</v>
      </c>
      <c r="C14" s="631" t="str">
        <f>IF('DS Analysis'!AL50=0,"",'DS Analysis'!AL50)</f>
        <v/>
      </c>
      <c r="D14" s="632" t="str">
        <f>IF('Configs &amp; Procedures'!E50="A","AMAP",IF('Configs &amp; Procedures'!E50="M","MC",IF('DS Analysis'!AM50=0,"",'DS Analysis'!AM50)))</f>
        <v/>
      </c>
      <c r="E14" s="632" t="str">
        <f>IF('DS Analysis'!AN50=0,"",'DS Analysis'!AN50)</f>
        <v/>
      </c>
      <c r="F14" s="928" t="str">
        <f>IF('Configs &amp; Procedures'!H50="","",'Configs &amp; Procedures'!H50)</f>
        <v/>
      </c>
      <c r="G14" s="633" t="str">
        <f>IF('MD Details'!BM13="","",'MD Details'!BM13)</f>
        <v/>
      </c>
      <c r="H14" s="634" t="str">
        <f t="shared" si="0"/>
        <v/>
      </c>
      <c r="I14" s="933" t="str">
        <f>IF(AND(AC14&gt;0,D14&lt;&gt;""),SUMPRODUCT(('MD Details'!$BF$16:$BF$1015=B14)*('MD Details'!$K$16:$K$1015))/SUMPRODUCT(('MD Details'!$BF$16:$BF$1015=B14)*('MD Details'!$BF$16:$BF$1015=B14)),"")</f>
        <v/>
      </c>
      <c r="J14" s="633" t="str">
        <f>IF(E14="","",E14*(100/'Configs &amp; Procedures'!$L$22))</f>
        <v/>
      </c>
      <c r="K14" s="633" t="str">
        <f>IF(SUM('DS Analysis'!AP50:AR50)&gt;0,IF(AC14&gt;0,AG14/AC14,"NQ"),"")</f>
        <v/>
      </c>
      <c r="L14"/>
      <c r="AA14" s="630">
        <v>7</v>
      </c>
      <c r="AB14" s="937">
        <f>SUMPRODUCT((Details!C16:C1015=AA14)*(Details!C16:C1015=AA14))</f>
        <v>0</v>
      </c>
      <c r="AC14" s="633">
        <f>SUMPRODUCT(('MD Details'!$BF$16:$BF$1015=AA14)*('MD Details'!$BF$16:$BF$1015=AA14))</f>
        <v>0</v>
      </c>
      <c r="AD14" s="1139">
        <f>AC14/'MD Details'!$B$11*100</f>
        <v>0</v>
      </c>
      <c r="AE14" s="937">
        <f>AC14*'DS Analysis'!BD14</f>
        <v>0</v>
      </c>
      <c r="AF14" s="1139">
        <f>AE14/'MD Details'!$B$11*100</f>
        <v>0</v>
      </c>
      <c r="AG14" s="937">
        <f>SUMIF('MD Details'!$BF$16:$BF$1015,"=" &amp; $AA14,'MD Details'!$M$16:$M$1015)</f>
        <v>0</v>
      </c>
    </row>
    <row r="15" spans="1:33" ht="13.5" customHeight="1">
      <c r="B15" s="630">
        <v>8</v>
      </c>
      <c r="C15" s="631" t="str">
        <f>IF('DS Analysis'!AL51=0,"",'DS Analysis'!AL51)</f>
        <v/>
      </c>
      <c r="D15" s="632" t="str">
        <f>IF('Configs &amp; Procedures'!E51="A","AMAP",IF('Configs &amp; Procedures'!E51="M","MC",IF('DS Analysis'!AM51=0,"",'DS Analysis'!AM51)))</f>
        <v/>
      </c>
      <c r="E15" s="632" t="str">
        <f>IF('DS Analysis'!AN51=0,"",'DS Analysis'!AN51)</f>
        <v/>
      </c>
      <c r="F15" s="928" t="str">
        <f>IF('Configs &amp; Procedures'!H51="","",'Configs &amp; Procedures'!H51)</f>
        <v/>
      </c>
      <c r="G15" s="633" t="str">
        <f>IF('MD Details'!BN13="","",'MD Details'!BN13)</f>
        <v/>
      </c>
      <c r="H15" s="634" t="str">
        <f t="shared" si="0"/>
        <v/>
      </c>
      <c r="I15" s="933" t="str">
        <f>IF(AND(AC15&gt;0,D15&lt;&gt;""),SUMPRODUCT(('MD Details'!$BF$16:$BF$1015=B15)*('MD Details'!$K$16:$K$1015))/SUMPRODUCT(('MD Details'!$BF$16:$BF$1015=B15)*('MD Details'!$BF$16:$BF$1015=B15)),"")</f>
        <v/>
      </c>
      <c r="J15" s="633" t="str">
        <f>IF(E15="","",E15*(100/'Configs &amp; Procedures'!$L$22))</f>
        <v/>
      </c>
      <c r="K15" s="633" t="str">
        <f>IF(SUM('DS Analysis'!AP51:AR51)&gt;0,IF(AC15&gt;0,AG15/AC15,"NQ"),"")</f>
        <v/>
      </c>
      <c r="L15"/>
      <c r="AA15" s="630">
        <v>8</v>
      </c>
      <c r="AB15" s="937">
        <f>SUMPRODUCT((Details!C17:C1016=AA15)*(Details!C17:C1016=AA15))</f>
        <v>0</v>
      </c>
      <c r="AC15" s="633">
        <f>SUMPRODUCT(('MD Details'!$BF$16:$BF$1015=AA15)*('MD Details'!$BF$16:$BF$1015=AA15))</f>
        <v>0</v>
      </c>
      <c r="AD15" s="1139">
        <f>AC15/'MD Details'!$B$11*100</f>
        <v>0</v>
      </c>
      <c r="AE15" s="937">
        <f>AC15*'DS Analysis'!BD15</f>
        <v>0</v>
      </c>
      <c r="AF15" s="1139">
        <f>AE15/'MD Details'!$B$11*100</f>
        <v>0</v>
      </c>
      <c r="AG15" s="937">
        <f>SUMIF('MD Details'!$BF$16:$BF$1015,"=" &amp; $AA15,'MD Details'!$M$16:$M$1015)</f>
        <v>0</v>
      </c>
    </row>
    <row r="16" spans="1:33" ht="13.5" customHeight="1">
      <c r="B16" s="630">
        <v>9</v>
      </c>
      <c r="C16" s="631" t="str">
        <f>IF('DS Analysis'!AL52=0,"",'DS Analysis'!AL52)</f>
        <v/>
      </c>
      <c r="D16" s="632" t="str">
        <f>IF('Configs &amp; Procedures'!E52="A","AMAP",IF('Configs &amp; Procedures'!E52="M","MC",IF('DS Analysis'!AM52=0,"",'DS Analysis'!AM52)))</f>
        <v/>
      </c>
      <c r="E16" s="632" t="str">
        <f>IF('DS Analysis'!AN52=0,"",'DS Analysis'!AN52)</f>
        <v/>
      </c>
      <c r="F16" s="928" t="str">
        <f>IF('Configs &amp; Procedures'!H52="","",'Configs &amp; Procedures'!H52)</f>
        <v/>
      </c>
      <c r="G16" s="633" t="str">
        <f>IF('MD Details'!BO13="","",'MD Details'!BO13)</f>
        <v/>
      </c>
      <c r="H16" s="634" t="str">
        <f t="shared" si="0"/>
        <v/>
      </c>
      <c r="I16" s="933" t="str">
        <f>IF(AND(AC16&gt;0,D16&lt;&gt;""),SUMPRODUCT(('MD Details'!$BF$16:$BF$1015=B16)*('MD Details'!$K$16:$K$1015))/SUMPRODUCT(('MD Details'!$BF$16:$BF$1015=B16)*('MD Details'!$BF$16:$BF$1015=B16)),"")</f>
        <v/>
      </c>
      <c r="J16" s="633" t="str">
        <f>IF(E16="","",E16*(100/'Configs &amp; Procedures'!$L$22))</f>
        <v/>
      </c>
      <c r="K16" s="633" t="str">
        <f>IF(SUM('DS Analysis'!AP52:AR52)&gt;0,IF(AC16&gt;0,AG16/AC16,"NQ"),"")</f>
        <v/>
      </c>
      <c r="L16"/>
      <c r="AA16" s="630">
        <v>9</v>
      </c>
      <c r="AB16" s="937">
        <f>SUMPRODUCT((Details!C18:C1017=AA16)*(Details!C18:C1017=AA16))</f>
        <v>0</v>
      </c>
      <c r="AC16" s="633">
        <f>SUMPRODUCT(('MD Details'!$BF$16:$BF$1015=AA16)*('MD Details'!$BF$16:$BF$1015=AA16))</f>
        <v>0</v>
      </c>
      <c r="AD16" s="1139">
        <f>AC16/'MD Details'!$B$11*100</f>
        <v>0</v>
      </c>
      <c r="AE16" s="937">
        <f>AC16*'DS Analysis'!BD16</f>
        <v>0</v>
      </c>
      <c r="AF16" s="1139">
        <f>AE16/'MD Details'!$B$11*100</f>
        <v>0</v>
      </c>
      <c r="AG16" s="937">
        <f>SUMIF('MD Details'!$BF$16:$BF$1015,"=" &amp; $AA16,'MD Details'!$M$16:$M$1015)</f>
        <v>0</v>
      </c>
    </row>
    <row r="17" spans="2:33" ht="13.5" customHeight="1">
      <c r="B17" s="630">
        <v>10</v>
      </c>
      <c r="C17" s="631" t="str">
        <f>IF('DS Analysis'!AL53=0,"",'DS Analysis'!AL53)</f>
        <v/>
      </c>
      <c r="D17" s="632" t="str">
        <f>IF('Configs &amp; Procedures'!E53="A","AMAP",IF('Configs &amp; Procedures'!E53="M","MC",IF('DS Analysis'!AM53=0,"",'DS Analysis'!AM53)))</f>
        <v/>
      </c>
      <c r="E17" s="632" t="str">
        <f>IF('DS Analysis'!AN53=0,"",'DS Analysis'!AN53)</f>
        <v/>
      </c>
      <c r="F17" s="928" t="str">
        <f>IF('Configs &amp; Procedures'!H53="","",'Configs &amp; Procedures'!H53)</f>
        <v/>
      </c>
      <c r="G17" s="633" t="str">
        <f>IF('MD Details'!BP13="","",'MD Details'!BP13)</f>
        <v/>
      </c>
      <c r="H17" s="634" t="str">
        <f t="shared" si="0"/>
        <v/>
      </c>
      <c r="I17" s="933" t="str">
        <f>IF(AND(AC17&gt;0,D17&lt;&gt;""),SUMPRODUCT(('MD Details'!$BF$16:$BF$1015=B17)*('MD Details'!$K$16:$K$1015))/SUMPRODUCT(('MD Details'!$BF$16:$BF$1015=B17)*('MD Details'!$BF$16:$BF$1015=B17)),"")</f>
        <v/>
      </c>
      <c r="J17" s="633" t="str">
        <f>IF(E17="","",E17*(100/'Configs &amp; Procedures'!$L$22))</f>
        <v/>
      </c>
      <c r="K17" s="633" t="str">
        <f>IF(SUM('DS Analysis'!AP53:AR53)&gt;0,IF(AC17&gt;0,AG17/AC17,"NQ"),"")</f>
        <v/>
      </c>
      <c r="L17"/>
      <c r="AA17" s="630">
        <v>10</v>
      </c>
      <c r="AB17" s="937">
        <f>SUMPRODUCT((Details!C19:C1018=AA17)*(Details!C19:C1018=AA17))</f>
        <v>0</v>
      </c>
      <c r="AC17" s="633">
        <f>SUMPRODUCT(('MD Details'!$BF$16:$BF$1015=AA17)*('MD Details'!$BF$16:$BF$1015=AA17))</f>
        <v>0</v>
      </c>
      <c r="AD17" s="1139">
        <f>AC17/'MD Details'!$B$11*100</f>
        <v>0</v>
      </c>
      <c r="AE17" s="937">
        <f>AC17*'DS Analysis'!BD17</f>
        <v>0</v>
      </c>
      <c r="AF17" s="1139">
        <f>AE17/'MD Details'!$B$11*100</f>
        <v>0</v>
      </c>
      <c r="AG17" s="937">
        <f>SUMIF('MD Details'!$BF$16:$BF$1015,"=" &amp; $AA17,'MD Details'!$M$16:$M$1015)</f>
        <v>0</v>
      </c>
    </row>
    <row r="18" spans="2:33" ht="13.5" customHeight="1">
      <c r="B18" s="630">
        <v>11</v>
      </c>
      <c r="C18" s="631" t="str">
        <f>IF('DS Analysis'!AL54=0,"",'DS Analysis'!AL54)</f>
        <v/>
      </c>
      <c r="D18" s="632" t="str">
        <f>IF('Configs &amp; Procedures'!E54="A","AMAP",IF('Configs &amp; Procedures'!E54="M","MC",IF('DS Analysis'!AM54=0,"",'DS Analysis'!AM54)))</f>
        <v/>
      </c>
      <c r="E18" s="632" t="str">
        <f>IF('DS Analysis'!AN54=0,"",'DS Analysis'!AN54)</f>
        <v/>
      </c>
      <c r="F18" s="928" t="str">
        <f>IF('Configs &amp; Procedures'!H54="","",'Configs &amp; Procedures'!H54)</f>
        <v/>
      </c>
      <c r="G18" s="633" t="str">
        <f>IF('MD Details'!BQ13="","",'MD Details'!BQ13)</f>
        <v/>
      </c>
      <c r="H18" s="634" t="str">
        <f t="shared" si="0"/>
        <v/>
      </c>
      <c r="I18" s="933" t="str">
        <f>IF(AND(AC18&gt;0,D18&lt;&gt;""),SUMPRODUCT(('MD Details'!$BF$16:$BF$1015=B18)*('MD Details'!$K$16:$K$1015))/SUMPRODUCT(('MD Details'!$BF$16:$BF$1015=B18)*('MD Details'!$BF$16:$BF$1015=B18)),"")</f>
        <v/>
      </c>
      <c r="J18" s="633" t="str">
        <f>IF(E18="","",E18*(100/'Configs &amp; Procedures'!$L$22))</f>
        <v/>
      </c>
      <c r="K18" s="633" t="str">
        <f>IF(SUM('DS Analysis'!AP54:AR54)&gt;0,IF(AC18&gt;0,AG18/AC18,"NQ"),"")</f>
        <v/>
      </c>
      <c r="L18"/>
      <c r="AA18" s="630">
        <v>11</v>
      </c>
      <c r="AB18" s="937">
        <f>SUMPRODUCT((Details!C20:C1019=AA18)*(Details!C20:C1019=AA18))</f>
        <v>0</v>
      </c>
      <c r="AC18" s="633">
        <f>SUMPRODUCT(('MD Details'!$BF$16:$BF$1015=AA18)*('MD Details'!$BF$16:$BF$1015=AA18))</f>
        <v>0</v>
      </c>
      <c r="AD18" s="1139">
        <f>AC18/'MD Details'!$B$11*100</f>
        <v>0</v>
      </c>
      <c r="AE18" s="937">
        <f>AC18*'DS Analysis'!BD18</f>
        <v>0</v>
      </c>
      <c r="AF18" s="1139">
        <f>AE18/'MD Details'!$B$11*100</f>
        <v>0</v>
      </c>
      <c r="AG18" s="937">
        <f>SUMIF('MD Details'!$BF$16:$BF$1015,"=" &amp; $AA18,'MD Details'!$M$16:$M$1015)</f>
        <v>0</v>
      </c>
    </row>
    <row r="19" spans="2:33" ht="13.5" customHeight="1">
      <c r="B19" s="630">
        <v>12</v>
      </c>
      <c r="C19" s="631" t="str">
        <f>IF('DS Analysis'!AL55=0,"",'DS Analysis'!AL55)</f>
        <v/>
      </c>
      <c r="D19" s="632" t="str">
        <f>IF('Configs &amp; Procedures'!E55="A","AMAP",IF('Configs &amp; Procedures'!E55="M","MC",IF('DS Analysis'!AM55=0,"",'DS Analysis'!AM55)))</f>
        <v/>
      </c>
      <c r="E19" s="632" t="str">
        <f>IF('DS Analysis'!AN55=0,"",'DS Analysis'!AN55)</f>
        <v/>
      </c>
      <c r="F19" s="928" t="str">
        <f>IF('Configs &amp; Procedures'!H55="","",'Configs &amp; Procedures'!H55)</f>
        <v/>
      </c>
      <c r="G19" s="633" t="str">
        <f>IF('MD Details'!BR13="","",'MD Details'!BR13)</f>
        <v/>
      </c>
      <c r="H19" s="634" t="str">
        <f t="shared" si="0"/>
        <v/>
      </c>
      <c r="I19" s="933" t="str">
        <f>IF(AND(AC19&gt;0,D19&lt;&gt;""),SUMPRODUCT(('MD Details'!$BF$16:$BF$1015=B19)*('MD Details'!$K$16:$K$1015))/SUMPRODUCT(('MD Details'!$BF$16:$BF$1015=B19)*('MD Details'!$BF$16:$BF$1015=B19)),"")</f>
        <v/>
      </c>
      <c r="J19" s="633" t="str">
        <f>IF(E19="","",E19*(100/'Configs &amp; Procedures'!$L$22))</f>
        <v/>
      </c>
      <c r="K19" s="633" t="str">
        <f>IF(SUM('DS Analysis'!AP55:AR55)&gt;0,IF(AC19&gt;0,AG19/AC19,"NQ"),"")</f>
        <v/>
      </c>
      <c r="L19"/>
      <c r="AA19" s="630">
        <v>12</v>
      </c>
      <c r="AB19" s="937">
        <f>SUMPRODUCT((Details!C21:C1020=AA19)*(Details!C21:C1020=AA19))</f>
        <v>0</v>
      </c>
      <c r="AC19" s="633">
        <f>SUMPRODUCT(('MD Details'!$BF$16:$BF$1015=AA19)*('MD Details'!$BF$16:$BF$1015=AA19))</f>
        <v>0</v>
      </c>
      <c r="AD19" s="1139">
        <f>AC19/'MD Details'!$B$11*100</f>
        <v>0</v>
      </c>
      <c r="AE19" s="937">
        <f>AC19*'DS Analysis'!BD19</f>
        <v>0</v>
      </c>
      <c r="AF19" s="1139">
        <f>AE19/'MD Details'!$B$11*100</f>
        <v>0</v>
      </c>
      <c r="AG19" s="937">
        <f>SUMIF('MD Details'!$BF$16:$BF$1015,"=" &amp; $AA19,'MD Details'!$M$16:$M$1015)</f>
        <v>0</v>
      </c>
    </row>
    <row r="20" spans="2:33" ht="13.5" customHeight="1">
      <c r="B20" s="630">
        <v>13</v>
      </c>
      <c r="C20" s="631" t="str">
        <f>IF('DS Analysis'!AL56=0,"",'DS Analysis'!AL56)</f>
        <v/>
      </c>
      <c r="D20" s="632" t="str">
        <f>IF('Configs &amp; Procedures'!E56="A","AMAP",IF('Configs &amp; Procedures'!E56="M","MC",IF('DS Analysis'!AM56=0,"",'DS Analysis'!AM56)))</f>
        <v/>
      </c>
      <c r="E20" s="632" t="str">
        <f>IF('DS Analysis'!AN56=0,"",'DS Analysis'!AN56)</f>
        <v/>
      </c>
      <c r="F20" s="928" t="str">
        <f>IF('Configs &amp; Procedures'!H56="","",'Configs &amp; Procedures'!H56)</f>
        <v/>
      </c>
      <c r="G20" s="633" t="str">
        <f>IF('MD Details'!BS13="","",'MD Details'!BS13)</f>
        <v/>
      </c>
      <c r="H20" s="634" t="str">
        <f t="shared" si="0"/>
        <v/>
      </c>
      <c r="I20" s="933" t="str">
        <f>IF(AND(AC20&gt;0,D20&lt;&gt;""),SUMPRODUCT(('MD Details'!$BF$16:$BF$1015=B20)*('MD Details'!$K$16:$K$1015))/SUMPRODUCT(('MD Details'!$BF$16:$BF$1015=B20)*('MD Details'!$BF$16:$BF$1015=B20)),"")</f>
        <v/>
      </c>
      <c r="J20" s="633" t="str">
        <f>IF(E20="","",E20*(100/'Configs &amp; Procedures'!$L$22))</f>
        <v/>
      </c>
      <c r="K20" s="633" t="str">
        <f>IF(SUM('DS Analysis'!AP56:AR56)&gt;0,IF(AC20&gt;0,AG20/AC20,"NQ"),"")</f>
        <v/>
      </c>
      <c r="L20"/>
      <c r="AA20" s="630">
        <v>13</v>
      </c>
      <c r="AB20" s="937">
        <f>SUMPRODUCT((Details!C22:C1021=AA20)*(Details!C22:C1021=AA20))</f>
        <v>0</v>
      </c>
      <c r="AC20" s="633">
        <f>SUMPRODUCT(('MD Details'!$BF$16:$BF$1015=AA20)*('MD Details'!$BF$16:$BF$1015=AA20))</f>
        <v>0</v>
      </c>
      <c r="AD20" s="1139">
        <f>AC20/'MD Details'!$B$11*100</f>
        <v>0</v>
      </c>
      <c r="AE20" s="937">
        <f>AC20*'DS Analysis'!BD20</f>
        <v>0</v>
      </c>
      <c r="AF20" s="1139">
        <f>AE20/'MD Details'!$B$11*100</f>
        <v>0</v>
      </c>
      <c r="AG20" s="937">
        <f>SUMIF('MD Details'!$BF$16:$BF$1015,"=" &amp; $AA20,'MD Details'!$M$16:$M$1015)</f>
        <v>0</v>
      </c>
    </row>
    <row r="21" spans="2:33" ht="13.5" customHeight="1">
      <c r="B21" s="630">
        <v>14</v>
      </c>
      <c r="C21" s="631" t="str">
        <f>IF('DS Analysis'!AL57=0,"",'DS Analysis'!AL57)</f>
        <v/>
      </c>
      <c r="D21" s="632" t="str">
        <f>IF('Configs &amp; Procedures'!E57="A","AMAP",IF('Configs &amp; Procedures'!E57="M","MC",IF('DS Analysis'!AM57=0,"",'DS Analysis'!AM57)))</f>
        <v/>
      </c>
      <c r="E21" s="632" t="str">
        <f>IF('DS Analysis'!AN57=0,"",'DS Analysis'!AN57)</f>
        <v/>
      </c>
      <c r="F21" s="928" t="str">
        <f>IF('Configs &amp; Procedures'!H57="","",'Configs &amp; Procedures'!H57)</f>
        <v/>
      </c>
      <c r="G21" s="633" t="str">
        <f>IF('MD Details'!BT13="","",'MD Details'!BT13)</f>
        <v/>
      </c>
      <c r="H21" s="634" t="str">
        <f t="shared" si="0"/>
        <v/>
      </c>
      <c r="I21" s="933" t="str">
        <f>IF(AND(AC21&gt;0,D21&lt;&gt;""),SUMPRODUCT(('MD Details'!$BF$16:$BF$1015=B21)*('MD Details'!$K$16:$K$1015))/SUMPRODUCT(('MD Details'!$BF$16:$BF$1015=B21)*('MD Details'!$BF$16:$BF$1015=B21)),"")</f>
        <v/>
      </c>
      <c r="J21" s="633" t="str">
        <f>IF(E21="","",E21*(100/'Configs &amp; Procedures'!$L$22))</f>
        <v/>
      </c>
      <c r="K21" s="633" t="str">
        <f>IF(SUM('DS Analysis'!AP57:AR57)&gt;0,IF(AC21&gt;0,AG21/AC21,"NQ"),"")</f>
        <v/>
      </c>
      <c r="L21"/>
      <c r="AA21" s="630">
        <v>14</v>
      </c>
      <c r="AB21" s="937">
        <f>SUMPRODUCT((Details!C23:C1022=AA21)*(Details!C23:C1022=AA21))</f>
        <v>0</v>
      </c>
      <c r="AC21" s="633">
        <f>SUMPRODUCT(('MD Details'!$BF$16:$BF$1015=AA21)*('MD Details'!$BF$16:$BF$1015=AA21))</f>
        <v>0</v>
      </c>
      <c r="AD21" s="1139">
        <f>AC21/'MD Details'!$B$11*100</f>
        <v>0</v>
      </c>
      <c r="AE21" s="937">
        <f>AC21*'DS Analysis'!BD21</f>
        <v>0</v>
      </c>
      <c r="AF21" s="1139">
        <f>AE21/'MD Details'!$B$11*100</f>
        <v>0</v>
      </c>
      <c r="AG21" s="937">
        <f>SUMIF('MD Details'!$BF$16:$BF$1015,"=" &amp; $AA21,'MD Details'!$M$16:$M$1015)</f>
        <v>0</v>
      </c>
    </row>
    <row r="22" spans="2:33" ht="13.5" customHeight="1">
      <c r="B22" s="630">
        <v>15</v>
      </c>
      <c r="C22" s="631" t="str">
        <f>IF('DS Analysis'!AL58=0,"",'DS Analysis'!AL58)</f>
        <v/>
      </c>
      <c r="D22" s="632" t="str">
        <f>IF('Configs &amp; Procedures'!E58="A","AMAP",IF('Configs &amp; Procedures'!E58="M","MC",IF('DS Analysis'!AM58=0,"",'DS Analysis'!AM58)))</f>
        <v/>
      </c>
      <c r="E22" s="632" t="str">
        <f>IF('DS Analysis'!AN58=0,"",'DS Analysis'!AN58)</f>
        <v/>
      </c>
      <c r="F22" s="928" t="str">
        <f>IF('Configs &amp; Procedures'!H58="","",'Configs &amp; Procedures'!H58)</f>
        <v/>
      </c>
      <c r="G22" s="633" t="str">
        <f>IF('MD Details'!BU13="","",'MD Details'!BU13)</f>
        <v/>
      </c>
      <c r="H22" s="634" t="str">
        <f t="shared" si="0"/>
        <v/>
      </c>
      <c r="I22" s="933" t="str">
        <f>IF(AND(AC22&gt;0,D22&lt;&gt;""),SUMPRODUCT(('MD Details'!$BF$16:$BF$1015=B22)*('MD Details'!$K$16:$K$1015))/SUMPRODUCT(('MD Details'!$BF$16:$BF$1015=B22)*('MD Details'!$BF$16:$BF$1015=B22)),"")</f>
        <v/>
      </c>
      <c r="J22" s="633" t="str">
        <f>IF(E22="","",E22*(100/'Configs &amp; Procedures'!$L$22))</f>
        <v/>
      </c>
      <c r="K22" s="633" t="str">
        <f>IF(SUM('DS Analysis'!AP58:AR58)&gt;0,IF(AC22&gt;0,AG22/AC22,"NQ"),"")</f>
        <v/>
      </c>
      <c r="L22"/>
      <c r="AA22" s="630">
        <v>15</v>
      </c>
      <c r="AB22" s="937">
        <f>SUMPRODUCT((Details!C24:C1023=AA22)*(Details!C24:C1023=AA22))</f>
        <v>0</v>
      </c>
      <c r="AC22" s="633">
        <f>SUMPRODUCT(('MD Details'!$BF$16:$BF$1015=AA22)*('MD Details'!$BF$16:$BF$1015=AA22))</f>
        <v>0</v>
      </c>
      <c r="AD22" s="1139">
        <f>AC22/'MD Details'!$B$11*100</f>
        <v>0</v>
      </c>
      <c r="AE22" s="937">
        <f>AC22*'DS Analysis'!BD22</f>
        <v>0</v>
      </c>
      <c r="AF22" s="1139">
        <f>AE22/'MD Details'!$B$11*100</f>
        <v>0</v>
      </c>
      <c r="AG22" s="937">
        <f>SUMIF('MD Details'!$BF$16:$BF$1015,"=" &amp; $AA22,'MD Details'!$M$16:$M$1015)</f>
        <v>0</v>
      </c>
    </row>
    <row r="23" spans="2:33" ht="13.5" customHeight="1">
      <c r="B23" s="630">
        <v>16</v>
      </c>
      <c r="C23" s="1335" t="str">
        <f>IF('DS Analysis'!AL59=0,"",'DS Analysis'!AL59)</f>
        <v/>
      </c>
      <c r="D23" s="1336" t="str">
        <f>IF('Configs &amp; Procedures'!E59="A","AMAP",IF('Configs &amp; Procedures'!E59="M","MC",IF('DS Analysis'!AM59=0,"",'DS Analysis'!AM59)))</f>
        <v/>
      </c>
      <c r="E23" s="1336" t="str">
        <f>IF('DS Analysis'!AN59=0,"",'DS Analysis'!AN59)</f>
        <v/>
      </c>
      <c r="F23" s="928" t="str">
        <f>IF('Configs &amp; Procedures'!H59="","",'Configs &amp; Procedures'!H59)</f>
        <v/>
      </c>
      <c r="G23" s="633" t="str">
        <f>IF('MD Details'!BV13="","",'MD Details'!BV13)</f>
        <v/>
      </c>
      <c r="H23" s="634" t="str">
        <f t="shared" si="0"/>
        <v/>
      </c>
      <c r="I23" s="933" t="str">
        <f>IF(AND(AC23&gt;0,D23&lt;&gt;""),SUMPRODUCT(('MD Details'!$BF$16:$BF$1015=B23)*('MD Details'!$K$16:$K$1015))/SUMPRODUCT(('MD Details'!$BF$16:$BF$1015=B23)*('MD Details'!$BF$16:$BF$1015=B23)),"")</f>
        <v/>
      </c>
      <c r="J23" s="633" t="str">
        <f>IF(E23="","",E23*(100/'Configs &amp; Procedures'!$L$22))</f>
        <v/>
      </c>
      <c r="K23" s="633" t="str">
        <f>IF(SUM('DS Analysis'!AP59:AR59)&gt;0,IF(AC23&gt;0,AG23/AC23,"NQ"),"")</f>
        <v/>
      </c>
      <c r="L23"/>
      <c r="AA23" s="630">
        <v>16</v>
      </c>
      <c r="AB23" s="937">
        <f>SUMPRODUCT((Details!C25:C1024=AA23)*(Details!C25:C1024=AA23))</f>
        <v>0</v>
      </c>
      <c r="AC23" s="633">
        <f>SUMPRODUCT(('MD Details'!$BF$16:$BF$1015=AA23)*('MD Details'!$BF$16:$BF$1015=AA23))</f>
        <v>0</v>
      </c>
      <c r="AD23" s="1139">
        <f>AC23/'MD Details'!$B$11*100</f>
        <v>0</v>
      </c>
      <c r="AE23" s="937">
        <f>AC23*'DS Analysis'!BD23</f>
        <v>0</v>
      </c>
      <c r="AF23" s="1139">
        <f>AE23/'MD Details'!$B$11*100</f>
        <v>0</v>
      </c>
      <c r="AG23" s="937">
        <f>SUMIF('MD Details'!$BF$16:$BF$1015,"=" &amp; $AA23,'MD Details'!$M$16:$M$1015)</f>
        <v>0</v>
      </c>
    </row>
    <row r="24" spans="2:33" ht="13.5" customHeight="1">
      <c r="B24" s="630">
        <v>17</v>
      </c>
      <c r="C24" s="1335" t="str">
        <f>IF('DS Analysis'!AL60=0,"",'DS Analysis'!AL60)</f>
        <v/>
      </c>
      <c r="D24" s="1336" t="str">
        <f>IF('Configs &amp; Procedures'!E60="A","AMAP",IF('Configs &amp; Procedures'!E60="M","MC",IF('DS Analysis'!AM60=0,"",'DS Analysis'!AM60)))</f>
        <v/>
      </c>
      <c r="E24" s="1336" t="str">
        <f>IF('DS Analysis'!AN60=0,"",'DS Analysis'!AN60)</f>
        <v/>
      </c>
      <c r="F24" s="928" t="str">
        <f>IF('Configs &amp; Procedures'!H60="","",'Configs &amp; Procedures'!H60)</f>
        <v/>
      </c>
      <c r="G24" s="633" t="str">
        <f>IF('MD Details'!BW13="","",'MD Details'!BW13)</f>
        <v/>
      </c>
      <c r="H24" s="634" t="str">
        <f t="shared" si="0"/>
        <v/>
      </c>
      <c r="I24" s="933" t="str">
        <f>IF(AND(AC24&gt;0,D24&lt;&gt;""),SUMPRODUCT(('MD Details'!$BF$16:$BF$1015=B24)*('MD Details'!$K$16:$K$1015))/SUMPRODUCT(('MD Details'!$BF$16:$BF$1015=B24)*('MD Details'!$BF$16:$BF$1015=B24)),"")</f>
        <v/>
      </c>
      <c r="J24" s="633" t="str">
        <f>IF(E24="","",E24*(100/'Configs &amp; Procedures'!$L$22))</f>
        <v/>
      </c>
      <c r="K24" s="633" t="str">
        <f>IF(SUM('DS Analysis'!AP60:AR60)&gt;0,IF(AC24&gt;0,AG24/AC24,"NQ"),"")</f>
        <v/>
      </c>
      <c r="L24"/>
      <c r="AA24" s="630">
        <v>17</v>
      </c>
      <c r="AB24" s="937">
        <f>SUMPRODUCT((Details!C26:C1025=AA24)*(Details!C26:C1025=AA24))</f>
        <v>0</v>
      </c>
      <c r="AC24" s="633">
        <f>SUMPRODUCT(('MD Details'!$BF$16:$BF$1015=AA24)*('MD Details'!$BF$16:$BF$1015=AA24))</f>
        <v>0</v>
      </c>
      <c r="AD24" s="1139">
        <f>AC24/'MD Details'!$B$11*100</f>
        <v>0</v>
      </c>
      <c r="AE24" s="937">
        <f>AC24*'DS Analysis'!BD24</f>
        <v>0</v>
      </c>
      <c r="AF24" s="1139">
        <f>AE24/'MD Details'!$B$11*100</f>
        <v>0</v>
      </c>
      <c r="AG24" s="937">
        <f>SUMIF('MD Details'!$BF$16:$BF$1015,"=" &amp; $AA24,'MD Details'!$M$16:$M$1015)</f>
        <v>0</v>
      </c>
    </row>
    <row r="25" spans="2:33" ht="13.5" customHeight="1">
      <c r="B25" s="630">
        <v>18</v>
      </c>
      <c r="C25" s="1335" t="str">
        <f>IF('DS Analysis'!AL61=0,"",'DS Analysis'!AL61)</f>
        <v/>
      </c>
      <c r="D25" s="1336" t="str">
        <f>IF('Configs &amp; Procedures'!E61="A","AMAP",IF('Configs &amp; Procedures'!E61="M","MC",IF('DS Analysis'!AM61=0,"",'DS Analysis'!AM61)))</f>
        <v/>
      </c>
      <c r="E25" s="1336" t="str">
        <f>IF('DS Analysis'!AN61=0,"",'DS Analysis'!AN61)</f>
        <v/>
      </c>
      <c r="F25" s="928" t="str">
        <f>IF('Configs &amp; Procedures'!H61="","",'Configs &amp; Procedures'!H61)</f>
        <v/>
      </c>
      <c r="G25" s="633" t="str">
        <f>IF('MD Details'!BX13="","",'MD Details'!BX13)</f>
        <v/>
      </c>
      <c r="H25" s="634" t="str">
        <f t="shared" si="0"/>
        <v/>
      </c>
      <c r="I25" s="933" t="str">
        <f>IF(AND(AC25&gt;0,D25&lt;&gt;""),SUMPRODUCT(('MD Details'!$BF$16:$BF$1015=B25)*('MD Details'!$K$16:$K$1015))/SUMPRODUCT(('MD Details'!$BF$16:$BF$1015=B25)*('MD Details'!$BF$16:$BF$1015=B25)),"")</f>
        <v/>
      </c>
      <c r="J25" s="633" t="str">
        <f>IF(E25="","",E25*(100/'Configs &amp; Procedures'!$L$22))</f>
        <v/>
      </c>
      <c r="K25" s="633" t="str">
        <f>IF(SUM('DS Analysis'!AP61:AR61)&gt;0,IF(AC25&gt;0,AG25/AC25,"NQ"),"")</f>
        <v/>
      </c>
      <c r="L25"/>
      <c r="AA25" s="630">
        <v>18</v>
      </c>
      <c r="AB25" s="937">
        <f>SUMPRODUCT((Details!C27:C1026=AA25)*(Details!C27:C1026=AA25))</f>
        <v>0</v>
      </c>
      <c r="AC25" s="633">
        <f>SUMPRODUCT(('MD Details'!$BF$16:$BF$1015=AA25)*('MD Details'!$BF$16:$BF$1015=AA25))</f>
        <v>0</v>
      </c>
      <c r="AD25" s="1139">
        <f>AC25/'MD Details'!$B$11*100</f>
        <v>0</v>
      </c>
      <c r="AE25" s="937">
        <f>AC25*'DS Analysis'!BD25</f>
        <v>0</v>
      </c>
      <c r="AF25" s="1139">
        <f>AE25/'MD Details'!$B$11*100</f>
        <v>0</v>
      </c>
      <c r="AG25" s="937">
        <f>SUMIF('MD Details'!$BF$16:$BF$1015,"=" &amp; $AA25,'MD Details'!$M$16:$M$1015)</f>
        <v>0</v>
      </c>
    </row>
    <row r="26" spans="2:33" ht="13.5" customHeight="1">
      <c r="B26" s="630">
        <v>19</v>
      </c>
      <c r="C26" s="1335" t="str">
        <f>IF('DS Analysis'!AL62=0,"",'DS Analysis'!AL62)</f>
        <v/>
      </c>
      <c r="D26" s="1336" t="str">
        <f>IF('Configs &amp; Procedures'!E62="A","AMAP",IF('Configs &amp; Procedures'!E62="M","MC",IF('DS Analysis'!AM62=0,"",'DS Analysis'!AM62)))</f>
        <v/>
      </c>
      <c r="E26" s="1336" t="str">
        <f>IF('DS Analysis'!AN62=0,"",'DS Analysis'!AN62)</f>
        <v/>
      </c>
      <c r="F26" s="928" t="str">
        <f>IF('Configs &amp; Procedures'!H62="","",'Configs &amp; Procedures'!H62)</f>
        <v/>
      </c>
      <c r="G26" s="633" t="str">
        <f>IF('MD Details'!BY13="","",'MD Details'!BY13)</f>
        <v/>
      </c>
      <c r="H26" s="634" t="str">
        <f t="shared" si="0"/>
        <v/>
      </c>
      <c r="I26" s="933" t="str">
        <f>IF(AND(AC26&gt;0,D26&lt;&gt;""),SUMPRODUCT(('MD Details'!$BF$16:$BF$1015=B26)*('MD Details'!$K$16:$K$1015))/SUMPRODUCT(('MD Details'!$BF$16:$BF$1015=B26)*('MD Details'!$BF$16:$BF$1015=B26)),"")</f>
        <v/>
      </c>
      <c r="J26" s="633" t="str">
        <f>IF(E26="","",E26*(100/'Configs &amp; Procedures'!$L$22))</f>
        <v/>
      </c>
      <c r="K26" s="633" t="str">
        <f>IF(SUM('DS Analysis'!AP62:AR62)&gt;0,IF(AC26&gt;0,AG26/AC26,"NQ"),"")</f>
        <v/>
      </c>
      <c r="L26"/>
      <c r="AA26" s="630">
        <v>19</v>
      </c>
      <c r="AB26" s="937">
        <f>SUMPRODUCT((Details!C28:C1027=AA26)*(Details!C28:C1027=AA26))</f>
        <v>0</v>
      </c>
      <c r="AC26" s="633">
        <f>SUMPRODUCT(('MD Details'!$BF$16:$BF$1015=AA26)*('MD Details'!$BF$16:$BF$1015=AA26))</f>
        <v>0</v>
      </c>
      <c r="AD26" s="1139">
        <f>AC26/'MD Details'!$B$11*100</f>
        <v>0</v>
      </c>
      <c r="AE26" s="937">
        <f>AC26*'DS Analysis'!BD26</f>
        <v>0</v>
      </c>
      <c r="AF26" s="1139">
        <f>AE26/'MD Details'!$B$11*100</f>
        <v>0</v>
      </c>
      <c r="AG26" s="937">
        <f>SUMIF('MD Details'!$BF$16:$BF$1015,"=" &amp; $AA26,'MD Details'!$M$16:$M$1015)</f>
        <v>0</v>
      </c>
    </row>
    <row r="27" spans="2:33" ht="13.5" customHeight="1" thickBot="1">
      <c r="B27" s="241">
        <v>20</v>
      </c>
      <c r="C27" s="1337" t="str">
        <f>IF('DS Analysis'!AL63=0,"",'DS Analysis'!AL63)</f>
        <v/>
      </c>
      <c r="D27" s="1338" t="str">
        <f>IF('Configs &amp; Procedures'!E63="A","AMAP",IF('Configs &amp; Procedures'!E63="M","MC",IF('DS Analysis'!AM63=0,"",'DS Analysis'!AM63)))</f>
        <v/>
      </c>
      <c r="E27" s="1339" t="str">
        <f>IF('DS Analysis'!AN63=0,"",'DS Analysis'!AN63)</f>
        <v/>
      </c>
      <c r="F27" s="929" t="str">
        <f>IF('Configs &amp; Procedures'!H63="","",'Configs &amp; Procedures'!H63)</f>
        <v/>
      </c>
      <c r="G27" s="638" t="str">
        <f>IF('MD Details'!BZ13="","",'MD Details'!BZ13)</f>
        <v/>
      </c>
      <c r="H27" s="639" t="str">
        <f t="shared" si="0"/>
        <v/>
      </c>
      <c r="I27" s="638" t="str">
        <f>IF(AND(AC27&gt;0,D27&lt;&gt;""),SUMPRODUCT(('MD Details'!$BF$16:$BF$1015=B27)*('MD Details'!$K$16:$K$1015))/SUMPRODUCT(('MD Details'!$BF$16:$BF$1015=B27)*('MD Details'!$BF$16:$BF$1015=B27)),"")</f>
        <v/>
      </c>
      <c r="J27" s="638" t="str">
        <f>IF(E27="","",E27*(100/'Configs &amp; Procedures'!$L$22))</f>
        <v/>
      </c>
      <c r="K27" s="638" t="str">
        <f>IF(SUM('DS Analysis'!AP63:AR63)&gt;0,IF(AC27&gt;0,AG27/AC27,"NQ"),"")</f>
        <v/>
      </c>
      <c r="L27"/>
      <c r="AA27" s="241">
        <v>20</v>
      </c>
      <c r="AB27" s="638">
        <f>SUMPRODUCT((Details!C29:C1028=AA27)*(Details!C29:C1028=AA27))</f>
        <v>0</v>
      </c>
      <c r="AC27" s="638">
        <f>SUMPRODUCT(('MD Details'!$BF$16:$BF$1015=AA27)*('MD Details'!$BF$16:$BF$1015=AA27))</f>
        <v>0</v>
      </c>
      <c r="AD27" s="639">
        <f>AC27/'MD Details'!$B$11*100</f>
        <v>0</v>
      </c>
      <c r="AE27" s="1140">
        <f>AC27*'DS Analysis'!BD27</f>
        <v>0</v>
      </c>
      <c r="AF27" s="1139">
        <f>AE27/'MD Details'!$B$11*100</f>
        <v>0</v>
      </c>
      <c r="AG27" s="937">
        <f>SUMIF('MD Details'!$BF$16:$BF$1015,"=" &amp; $AA27,'MD Details'!$M$16:$M$1015)</f>
        <v>0</v>
      </c>
    </row>
    <row r="28" spans="2:33" ht="15.75" customHeight="1" thickBot="1">
      <c r="B28" s="643"/>
      <c r="C28" s="643"/>
      <c r="D28" s="643"/>
      <c r="E28" s="1523" t="s">
        <v>1675</v>
      </c>
      <c r="F28" s="1524"/>
      <c r="G28" s="1525"/>
      <c r="H28" s="1242">
        <f>IF(ISERROR(AVERAGE(H8:H27)),0,AVERAGE(H8:H27))</f>
        <v>0</v>
      </c>
      <c r="I28" s="1173">
        <f>IF(ISERROR(AVERAGE(I8:I27)),0,AVERAGE(I8:I27))</f>
        <v>680</v>
      </c>
      <c r="J28" s="944">
        <f>IF(ISERROR(AVERAGE(J8:J27)),0,AVERAGE(J8:J27))</f>
        <v>0</v>
      </c>
      <c r="K28" s="1174">
        <f>IF(ISERROR(AVERAGE(K8:K27)),0,AVERAGE(K8:K27))</f>
        <v>40.346519470214844</v>
      </c>
      <c r="L28"/>
      <c r="AB28" s="638">
        <f t="shared" ref="AB28:AG28" si="1">SUM(AB8:AB27)</f>
        <v>1000</v>
      </c>
      <c r="AC28" s="638">
        <f t="shared" si="1"/>
        <v>1</v>
      </c>
      <c r="AD28" s="638">
        <f t="shared" si="1"/>
        <v>100</v>
      </c>
      <c r="AE28" s="721">
        <f t="shared" si="1"/>
        <v>1</v>
      </c>
      <c r="AF28" s="1141">
        <f t="shared" si="1"/>
        <v>100</v>
      </c>
      <c r="AG28" s="721">
        <f t="shared" si="1"/>
        <v>40.346519470214844</v>
      </c>
    </row>
    <row r="29" spans="2:33">
      <c r="M29" s="590"/>
    </row>
    <row r="30" spans="2:33" ht="6.75" customHeight="1">
      <c r="M30" s="645"/>
    </row>
    <row r="31" spans="2:33" ht="23.25" customHeight="1">
      <c r="B31" s="1522" t="s">
        <v>1117</v>
      </c>
      <c r="C31" s="1522"/>
      <c r="D31" s="1522"/>
      <c r="E31" s="1522"/>
      <c r="F31" s="1522"/>
      <c r="G31" s="1522"/>
      <c r="H31" s="1522"/>
      <c r="I31" s="1522"/>
      <c r="J31" s="1522"/>
      <c r="K31" s="1522"/>
      <c r="L31" s="611"/>
      <c r="M31" s="646"/>
    </row>
    <row r="32" spans="2:33" ht="12.75" customHeight="1" thickBot="1">
      <c r="B32" s="877"/>
      <c r="C32" s="877"/>
      <c r="D32" s="877"/>
      <c r="E32" s="877"/>
      <c r="F32" s="877"/>
      <c r="G32" s="877"/>
      <c r="H32" s="877"/>
      <c r="I32" s="877"/>
      <c r="J32" s="877"/>
      <c r="K32" s="877"/>
      <c r="L32"/>
      <c r="M32"/>
    </row>
    <row r="33" spans="2:13" ht="13.5" customHeight="1" thickBot="1">
      <c r="B33" s="613" t="s">
        <v>943</v>
      </c>
      <c r="C33" s="1474" t="s">
        <v>1112</v>
      </c>
      <c r="D33" s="1475"/>
      <c r="E33" s="1475"/>
      <c r="F33" s="1476"/>
      <c r="G33" s="197" t="s">
        <v>1118</v>
      </c>
      <c r="H33" s="197" t="s">
        <v>1119</v>
      </c>
      <c r="I33" s="614" t="s">
        <v>1491</v>
      </c>
      <c r="J33" s="647"/>
      <c r="K33" s="615"/>
      <c r="L33"/>
      <c r="M33"/>
    </row>
    <row r="34" spans="2:13" ht="13.5" customHeight="1" thickBot="1">
      <c r="B34" s="616" t="s">
        <v>947</v>
      </c>
      <c r="C34" s="617" t="s">
        <v>948</v>
      </c>
      <c r="D34" s="845" t="s">
        <v>55</v>
      </c>
      <c r="E34" s="845" t="s">
        <v>949</v>
      </c>
      <c r="F34" s="618" t="s">
        <v>951</v>
      </c>
      <c r="G34" s="619" t="s">
        <v>1121</v>
      </c>
      <c r="H34" s="619" t="s">
        <v>1122</v>
      </c>
      <c r="I34" s="879" t="s">
        <v>1123</v>
      </c>
      <c r="J34" s="880" t="s">
        <v>1124</v>
      </c>
      <c r="K34" s="878" t="s">
        <v>949</v>
      </c>
      <c r="L34"/>
      <c r="M34"/>
    </row>
    <row r="35" spans="2:13" ht="13.5" customHeight="1">
      <c r="B35" s="111">
        <v>1</v>
      </c>
      <c r="C35" s="622" t="str">
        <f t="shared" ref="C35:F54" si="2">C8</f>
        <v/>
      </c>
      <c r="D35" s="623" t="str">
        <f t="shared" si="2"/>
        <v>AMAP</v>
      </c>
      <c r="E35" s="623" t="str">
        <f t="shared" si="2"/>
        <v/>
      </c>
      <c r="F35" s="927" t="str">
        <f t="shared" si="2"/>
        <v/>
      </c>
      <c r="G35" s="625">
        <f>IF(AD8=0,"",AD8)</f>
        <v>100</v>
      </c>
      <c r="H35" s="625">
        <f>IF(G35="","",G35*(100/($G$55+0.001)))</f>
        <v>99.999000009999889</v>
      </c>
      <c r="I35" s="938">
        <f>IF(OR(C35="",G35=""),0,TRUNC(C35/'Configs &amp; Procedures'!$K$65)*G35*'DS Analysis'!AY44+(TRUNC(C35/'Configs &amp; Procedures'!$K$65)-1)*G35*(1-'DS Analysis'!AY44))</f>
        <v>0</v>
      </c>
      <c r="J35" s="930">
        <f>IF(OR(D35="",I8=""),0,TRUNC(I8/'Configs &amp; Procedures'!$L$65*H35))</f>
        <v>339</v>
      </c>
      <c r="K35" s="939">
        <f>IF(OR(E35="",G35=""),0,E35/'Configs &amp; Procedures'!$M$65*'MD Summary'!G35)</f>
        <v>0</v>
      </c>
      <c r="L35"/>
      <c r="M35"/>
    </row>
    <row r="36" spans="2:13" ht="13.5" customHeight="1">
      <c r="B36" s="630">
        <v>2</v>
      </c>
      <c r="C36" s="631" t="str">
        <f t="shared" si="2"/>
        <v/>
      </c>
      <c r="D36" s="632" t="str">
        <f t="shared" si="2"/>
        <v/>
      </c>
      <c r="E36" s="632" t="str">
        <f t="shared" si="2"/>
        <v/>
      </c>
      <c r="F36" s="928" t="str">
        <f t="shared" si="2"/>
        <v/>
      </c>
      <c r="G36" s="634" t="str">
        <f t="shared" ref="G36:G54" si="3">IF(AD9=0,"",AD9)</f>
        <v/>
      </c>
      <c r="H36" s="634" t="str">
        <f t="shared" ref="H36:H54" si="4">IF(G36="","",G36*(100/($G$55+0.001)))</f>
        <v/>
      </c>
      <c r="I36" s="940">
        <f>IF(OR(C36="",G36=""),0,TRUNC(C36/'Configs &amp; Procedures'!$K$65)*G36*'DS Analysis'!AY45+(TRUNC(C36/'Configs &amp; Procedures'!$K$65)-1)*G36*(1-'DS Analysis'!AY45))</f>
        <v>0</v>
      </c>
      <c r="J36" s="931">
        <f>IF(OR(D36="",I9=""),0,TRUNC(I9/'Configs &amp; Procedures'!$L$65*H36))</f>
        <v>0</v>
      </c>
      <c r="K36" s="941">
        <f>IF(OR(E36="",G36=""),0,E36/'Configs &amp; Procedures'!$M$65*'MD Summary'!G36)</f>
        <v>0</v>
      </c>
      <c r="L36"/>
      <c r="M36"/>
    </row>
    <row r="37" spans="2:13" ht="13.5" customHeight="1">
      <c r="B37" s="630">
        <v>3</v>
      </c>
      <c r="C37" s="631" t="str">
        <f t="shared" si="2"/>
        <v/>
      </c>
      <c r="D37" s="632" t="str">
        <f t="shared" si="2"/>
        <v/>
      </c>
      <c r="E37" s="632" t="str">
        <f t="shared" si="2"/>
        <v/>
      </c>
      <c r="F37" s="928" t="str">
        <f t="shared" si="2"/>
        <v/>
      </c>
      <c r="G37" s="634" t="str">
        <f t="shared" si="3"/>
        <v/>
      </c>
      <c r="H37" s="634" t="str">
        <f t="shared" si="4"/>
        <v/>
      </c>
      <c r="I37" s="940">
        <f>IF(OR(C37="",G37=""),0,TRUNC(C37/'Configs &amp; Procedures'!$K$65)*G37*'DS Analysis'!AY46+(TRUNC(C37/'Configs &amp; Procedures'!$K$65)-1)*G37*(1-'DS Analysis'!AY46))</f>
        <v>0</v>
      </c>
      <c r="J37" s="931">
        <f>IF(OR(D37="",I10=""),0,TRUNC(I10/'Configs &amp; Procedures'!$L$65*H37))</f>
        <v>0</v>
      </c>
      <c r="K37" s="941">
        <f>IF(OR(E37="",G37=""),0,E37/'Configs &amp; Procedures'!$M$65*'MD Summary'!G37)</f>
        <v>0</v>
      </c>
      <c r="L37"/>
      <c r="M37"/>
    </row>
    <row r="38" spans="2:13" ht="13.5" customHeight="1">
      <c r="B38" s="630">
        <v>4</v>
      </c>
      <c r="C38" s="631" t="str">
        <f t="shared" si="2"/>
        <v/>
      </c>
      <c r="D38" s="632" t="str">
        <f t="shared" si="2"/>
        <v/>
      </c>
      <c r="E38" s="632" t="str">
        <f t="shared" si="2"/>
        <v/>
      </c>
      <c r="F38" s="928" t="str">
        <f t="shared" si="2"/>
        <v/>
      </c>
      <c r="G38" s="634" t="str">
        <f t="shared" si="3"/>
        <v/>
      </c>
      <c r="H38" s="634" t="str">
        <f t="shared" si="4"/>
        <v/>
      </c>
      <c r="I38" s="940">
        <f>IF(OR(C38="",G38=""),0,TRUNC(C38/'Configs &amp; Procedures'!$K$65)*G38*'DS Analysis'!AY47+(TRUNC(C38/'Configs &amp; Procedures'!$K$65)-1)*G38*(1-'DS Analysis'!AY47))</f>
        <v>0</v>
      </c>
      <c r="J38" s="931">
        <f>IF(OR(D38="",I11=""),0,TRUNC(I11/'Configs &amp; Procedures'!$L$65*H38))</f>
        <v>0</v>
      </c>
      <c r="K38" s="941">
        <f>IF(OR(E38="",G38=""),0,E38/'Configs &amp; Procedures'!$M$65*'MD Summary'!G38)</f>
        <v>0</v>
      </c>
      <c r="L38"/>
      <c r="M38"/>
    </row>
    <row r="39" spans="2:13" ht="13.5" customHeight="1">
      <c r="B39" s="630">
        <v>5</v>
      </c>
      <c r="C39" s="631" t="str">
        <f t="shared" si="2"/>
        <v/>
      </c>
      <c r="D39" s="632" t="str">
        <f t="shared" si="2"/>
        <v/>
      </c>
      <c r="E39" s="632" t="str">
        <f t="shared" si="2"/>
        <v/>
      </c>
      <c r="F39" s="928" t="str">
        <f t="shared" si="2"/>
        <v/>
      </c>
      <c r="G39" s="634" t="str">
        <f t="shared" si="3"/>
        <v/>
      </c>
      <c r="H39" s="634" t="str">
        <f t="shared" si="4"/>
        <v/>
      </c>
      <c r="I39" s="940">
        <f>IF(OR(C39="",G39=""),0,TRUNC(C39/'Configs &amp; Procedures'!$K$65)*G39*'DS Analysis'!AY48+(TRUNC(C39/'Configs &amp; Procedures'!$K$65)-1)*G39*(1-'DS Analysis'!AY48))</f>
        <v>0</v>
      </c>
      <c r="J39" s="931">
        <f>IF(OR(D39="",I12=""),0,TRUNC(I12/'Configs &amp; Procedures'!$L$65*H39))</f>
        <v>0</v>
      </c>
      <c r="K39" s="941">
        <f>IF(OR(E39="",G39=""),0,E39/'Configs &amp; Procedures'!$M$65*'MD Summary'!G39)</f>
        <v>0</v>
      </c>
      <c r="L39"/>
      <c r="M39"/>
    </row>
    <row r="40" spans="2:13" ht="13.5" customHeight="1">
      <c r="B40" s="630">
        <v>6</v>
      </c>
      <c r="C40" s="631" t="str">
        <f t="shared" si="2"/>
        <v/>
      </c>
      <c r="D40" s="632" t="str">
        <f t="shared" si="2"/>
        <v/>
      </c>
      <c r="E40" s="632" t="str">
        <f t="shared" si="2"/>
        <v/>
      </c>
      <c r="F40" s="928" t="str">
        <f t="shared" si="2"/>
        <v/>
      </c>
      <c r="G40" s="634" t="str">
        <f t="shared" si="3"/>
        <v/>
      </c>
      <c r="H40" s="634" t="str">
        <f t="shared" si="4"/>
        <v/>
      </c>
      <c r="I40" s="940">
        <f>IF(OR(C40="",G40=""),0,TRUNC(C40/'Configs &amp; Procedures'!$K$65)*G40*'DS Analysis'!AY49+(TRUNC(C40/'Configs &amp; Procedures'!$K$65)-1)*G40*(1-'DS Analysis'!AY49))</f>
        <v>0</v>
      </c>
      <c r="J40" s="931">
        <f>IF(OR(D40="",I13=""),0,TRUNC(I13/'Configs &amp; Procedures'!$L$65*H40))</f>
        <v>0</v>
      </c>
      <c r="K40" s="941">
        <f>IF(OR(E40="",G40=""),0,E40/'Configs &amp; Procedures'!$M$65*'MD Summary'!G40)</f>
        <v>0</v>
      </c>
      <c r="L40"/>
      <c r="M40"/>
    </row>
    <row r="41" spans="2:13" ht="13.5" customHeight="1">
      <c r="B41" s="630">
        <v>7</v>
      </c>
      <c r="C41" s="631" t="str">
        <f t="shared" si="2"/>
        <v/>
      </c>
      <c r="D41" s="632" t="str">
        <f t="shared" si="2"/>
        <v/>
      </c>
      <c r="E41" s="632" t="str">
        <f t="shared" si="2"/>
        <v/>
      </c>
      <c r="F41" s="928" t="str">
        <f t="shared" si="2"/>
        <v/>
      </c>
      <c r="G41" s="634" t="str">
        <f t="shared" si="3"/>
        <v/>
      </c>
      <c r="H41" s="634" t="str">
        <f t="shared" si="4"/>
        <v/>
      </c>
      <c r="I41" s="940">
        <f>IF(OR(C41="",G41=""),0,TRUNC(C41/'Configs &amp; Procedures'!$K$65)*G41*'DS Analysis'!AY50+(TRUNC(C41/'Configs &amp; Procedures'!$K$65)-1)*G41*(1-'DS Analysis'!AY50))</f>
        <v>0</v>
      </c>
      <c r="J41" s="931">
        <f>IF(OR(D41="",I14=""),0,TRUNC(I14/'Configs &amp; Procedures'!$L$65*H41))</f>
        <v>0</v>
      </c>
      <c r="K41" s="941">
        <f>IF(OR(E41="",G41=""),0,E41/'Configs &amp; Procedures'!$M$65*'MD Summary'!G41)</f>
        <v>0</v>
      </c>
      <c r="L41"/>
      <c r="M41"/>
    </row>
    <row r="42" spans="2:13" ht="13.5" customHeight="1">
      <c r="B42" s="630">
        <v>8</v>
      </c>
      <c r="C42" s="631" t="str">
        <f t="shared" si="2"/>
        <v/>
      </c>
      <c r="D42" s="632" t="str">
        <f t="shared" si="2"/>
        <v/>
      </c>
      <c r="E42" s="632" t="str">
        <f t="shared" si="2"/>
        <v/>
      </c>
      <c r="F42" s="928" t="str">
        <f t="shared" si="2"/>
        <v/>
      </c>
      <c r="G42" s="634" t="str">
        <f t="shared" si="3"/>
        <v/>
      </c>
      <c r="H42" s="634" t="str">
        <f t="shared" si="4"/>
        <v/>
      </c>
      <c r="I42" s="940">
        <f>IF(OR(C42="",G42=""),0,TRUNC(C42/'Configs &amp; Procedures'!$K$65)*G42*'DS Analysis'!AY51+(TRUNC(C42/'Configs &amp; Procedures'!$K$65)-1)*G42*(1-'DS Analysis'!AY51))</f>
        <v>0</v>
      </c>
      <c r="J42" s="931">
        <f>IF(OR(D42="",I15=""),0,TRUNC(I15/'Configs &amp; Procedures'!$L$65*H42))</f>
        <v>0</v>
      </c>
      <c r="K42" s="941">
        <f>IF(OR(E42="",G42=""),0,E42/'Configs &amp; Procedures'!$M$65*'MD Summary'!G42)</f>
        <v>0</v>
      </c>
      <c r="L42"/>
      <c r="M42"/>
    </row>
    <row r="43" spans="2:13" ht="13.5" customHeight="1">
      <c r="B43" s="630">
        <v>9</v>
      </c>
      <c r="C43" s="631" t="str">
        <f t="shared" si="2"/>
        <v/>
      </c>
      <c r="D43" s="632" t="str">
        <f t="shared" si="2"/>
        <v/>
      </c>
      <c r="E43" s="632" t="str">
        <f t="shared" si="2"/>
        <v/>
      </c>
      <c r="F43" s="928" t="str">
        <f t="shared" si="2"/>
        <v/>
      </c>
      <c r="G43" s="634" t="str">
        <f t="shared" si="3"/>
        <v/>
      </c>
      <c r="H43" s="634" t="str">
        <f t="shared" si="4"/>
        <v/>
      </c>
      <c r="I43" s="940">
        <f>IF(OR(C43="",G43=""),0,TRUNC(C43/'Configs &amp; Procedures'!$K$65)*G43*'DS Analysis'!AY52+(TRUNC(C43/'Configs &amp; Procedures'!$K$65)-1)*G43*(1-'DS Analysis'!AY52))</f>
        <v>0</v>
      </c>
      <c r="J43" s="931">
        <f>IF(OR(D43="",I16=""),0,TRUNC(I16/'Configs &amp; Procedures'!$L$65*H43))</f>
        <v>0</v>
      </c>
      <c r="K43" s="941">
        <f>IF(OR(E43="",G43=""),0,E43/'Configs &amp; Procedures'!$M$65*'MD Summary'!G43)</f>
        <v>0</v>
      </c>
      <c r="L43"/>
      <c r="M43"/>
    </row>
    <row r="44" spans="2:13" ht="13.5" customHeight="1">
      <c r="B44" s="630">
        <v>10</v>
      </c>
      <c r="C44" s="631" t="str">
        <f t="shared" si="2"/>
        <v/>
      </c>
      <c r="D44" s="632" t="str">
        <f t="shared" si="2"/>
        <v/>
      </c>
      <c r="E44" s="632" t="str">
        <f t="shared" si="2"/>
        <v/>
      </c>
      <c r="F44" s="928" t="str">
        <f t="shared" si="2"/>
        <v/>
      </c>
      <c r="G44" s="634" t="str">
        <f t="shared" si="3"/>
        <v/>
      </c>
      <c r="H44" s="634" t="str">
        <f t="shared" si="4"/>
        <v/>
      </c>
      <c r="I44" s="940">
        <f>IF(OR(C44="",G44=""),0,TRUNC(C44/'Configs &amp; Procedures'!$K$65)*G44*'DS Analysis'!AY53+(TRUNC(C44/'Configs &amp; Procedures'!$K$65)-1)*G44*(1-'DS Analysis'!AY53))</f>
        <v>0</v>
      </c>
      <c r="J44" s="931">
        <f>IF(OR(D44="",I17=""),0,TRUNC(I17/'Configs &amp; Procedures'!$L$65*H44))</f>
        <v>0</v>
      </c>
      <c r="K44" s="941">
        <f>IF(OR(E44="",G44=""),0,E44/'Configs &amp; Procedures'!$M$65*'MD Summary'!G44)</f>
        <v>0</v>
      </c>
      <c r="L44"/>
      <c r="M44"/>
    </row>
    <row r="45" spans="2:13" ht="13.5" customHeight="1">
      <c r="B45" s="630">
        <v>11</v>
      </c>
      <c r="C45" s="631" t="str">
        <f t="shared" si="2"/>
        <v/>
      </c>
      <c r="D45" s="632" t="str">
        <f t="shared" si="2"/>
        <v/>
      </c>
      <c r="E45" s="632" t="str">
        <f t="shared" si="2"/>
        <v/>
      </c>
      <c r="F45" s="928" t="str">
        <f t="shared" si="2"/>
        <v/>
      </c>
      <c r="G45" s="634" t="str">
        <f t="shared" si="3"/>
        <v/>
      </c>
      <c r="H45" s="634" t="str">
        <f t="shared" si="4"/>
        <v/>
      </c>
      <c r="I45" s="940">
        <f>IF(OR(C45="",G45=""),0,TRUNC(C45/'Configs &amp; Procedures'!$K$65)*G45*'DS Analysis'!AY54+(TRUNC(C45/'Configs &amp; Procedures'!$K$65)-1)*G45*(1-'DS Analysis'!AY54))</f>
        <v>0</v>
      </c>
      <c r="J45" s="931">
        <f>IF(OR(D45="",I18=""),0,TRUNC(I18/'Configs &amp; Procedures'!$L$65*H45))</f>
        <v>0</v>
      </c>
      <c r="K45" s="941">
        <f>IF(OR(E45="",G45=""),0,E45/'Configs &amp; Procedures'!$M$65*'MD Summary'!G45)</f>
        <v>0</v>
      </c>
      <c r="L45"/>
      <c r="M45"/>
    </row>
    <row r="46" spans="2:13" ht="13.5" customHeight="1">
      <c r="B46" s="630">
        <v>12</v>
      </c>
      <c r="C46" s="631" t="str">
        <f t="shared" si="2"/>
        <v/>
      </c>
      <c r="D46" s="632" t="str">
        <f t="shared" si="2"/>
        <v/>
      </c>
      <c r="E46" s="632" t="str">
        <f t="shared" si="2"/>
        <v/>
      </c>
      <c r="F46" s="928" t="str">
        <f t="shared" si="2"/>
        <v/>
      </c>
      <c r="G46" s="634" t="str">
        <f t="shared" si="3"/>
        <v/>
      </c>
      <c r="H46" s="634" t="str">
        <f t="shared" si="4"/>
        <v/>
      </c>
      <c r="I46" s="940">
        <f>IF(OR(C46="",G46=""),0,TRUNC(C46/'Configs &amp; Procedures'!$K$65)*G46*'DS Analysis'!AY55+(TRUNC(C46/'Configs &amp; Procedures'!$K$65)-1)*G46*(1-'DS Analysis'!AY55))</f>
        <v>0</v>
      </c>
      <c r="J46" s="931">
        <f>IF(OR(D46="",I19=""),0,TRUNC(I19/'Configs &amp; Procedures'!$L$65*H46))</f>
        <v>0</v>
      </c>
      <c r="K46" s="941">
        <f>IF(OR(E46="",G46=""),0,E46/'Configs &amp; Procedures'!$M$65*'MD Summary'!G46)</f>
        <v>0</v>
      </c>
      <c r="L46"/>
      <c r="M46"/>
    </row>
    <row r="47" spans="2:13" ht="13.5" customHeight="1">
      <c r="B47" s="630">
        <v>13</v>
      </c>
      <c r="C47" s="631" t="str">
        <f t="shared" si="2"/>
        <v/>
      </c>
      <c r="D47" s="632" t="str">
        <f t="shared" si="2"/>
        <v/>
      </c>
      <c r="E47" s="632" t="str">
        <f t="shared" si="2"/>
        <v/>
      </c>
      <c r="F47" s="928" t="str">
        <f t="shared" si="2"/>
        <v/>
      </c>
      <c r="G47" s="634" t="str">
        <f t="shared" si="3"/>
        <v/>
      </c>
      <c r="H47" s="634" t="str">
        <f t="shared" si="4"/>
        <v/>
      </c>
      <c r="I47" s="940">
        <f>IF(OR(C47="",G47=""),0,TRUNC(C47/'Configs &amp; Procedures'!$K$65)*G47*'DS Analysis'!AY56+(TRUNC(C47/'Configs &amp; Procedures'!$K$65)-1)*G47*(1-'DS Analysis'!AY56))</f>
        <v>0</v>
      </c>
      <c r="J47" s="931">
        <f>IF(OR(D47="",I20=""),0,TRUNC(I20/'Configs &amp; Procedures'!$L$65*H47))</f>
        <v>0</v>
      </c>
      <c r="K47" s="941">
        <f>IF(OR(E47="",G47=""),0,E47/'Configs &amp; Procedures'!$M$65*'MD Summary'!G47)</f>
        <v>0</v>
      </c>
      <c r="L47"/>
      <c r="M47"/>
    </row>
    <row r="48" spans="2:13" ht="13.5" customHeight="1">
      <c r="B48" s="630">
        <v>14</v>
      </c>
      <c r="C48" s="631" t="str">
        <f t="shared" si="2"/>
        <v/>
      </c>
      <c r="D48" s="632" t="str">
        <f t="shared" si="2"/>
        <v/>
      </c>
      <c r="E48" s="632" t="str">
        <f t="shared" si="2"/>
        <v/>
      </c>
      <c r="F48" s="928" t="str">
        <f t="shared" si="2"/>
        <v/>
      </c>
      <c r="G48" s="634" t="str">
        <f t="shared" si="3"/>
        <v/>
      </c>
      <c r="H48" s="634" t="str">
        <f t="shared" si="4"/>
        <v/>
      </c>
      <c r="I48" s="940">
        <f>IF(OR(C48="",G48=""),0,TRUNC(C48/'Configs &amp; Procedures'!$K$65)*G48*'DS Analysis'!AY57+(TRUNC(C48/'Configs &amp; Procedures'!$K$65)-1)*G48*(1-'DS Analysis'!AY57))</f>
        <v>0</v>
      </c>
      <c r="J48" s="931">
        <f>IF(OR(D48="",I21=""),0,TRUNC(I21/'Configs &amp; Procedures'!$L$65*H48))</f>
        <v>0</v>
      </c>
      <c r="K48" s="941">
        <f>IF(OR(E48="",G48=""),0,E48/'Configs &amp; Procedures'!$M$65*'MD Summary'!G48)</f>
        <v>0</v>
      </c>
      <c r="L48"/>
      <c r="M48"/>
    </row>
    <row r="49" spans="2:13" ht="13.5" customHeight="1">
      <c r="B49" s="630">
        <v>15</v>
      </c>
      <c r="C49" s="631" t="str">
        <f t="shared" si="2"/>
        <v/>
      </c>
      <c r="D49" s="632" t="str">
        <f t="shared" si="2"/>
        <v/>
      </c>
      <c r="E49" s="632" t="str">
        <f t="shared" si="2"/>
        <v/>
      </c>
      <c r="F49" s="928" t="str">
        <f t="shared" si="2"/>
        <v/>
      </c>
      <c r="G49" s="634" t="str">
        <f t="shared" si="3"/>
        <v/>
      </c>
      <c r="H49" s="634" t="str">
        <f t="shared" si="4"/>
        <v/>
      </c>
      <c r="I49" s="940">
        <f>IF(OR(C49="",G49=""),0,TRUNC(C49/'Configs &amp; Procedures'!$K$65)*G49*'DS Analysis'!AY58+(TRUNC(C49/'Configs &amp; Procedures'!$K$65)-1)*G49*(1-'DS Analysis'!AY58))</f>
        <v>0</v>
      </c>
      <c r="J49" s="931">
        <f>IF(OR(D49="",I22=""),0,TRUNC(I22/'Configs &amp; Procedures'!$L$65*H49))</f>
        <v>0</v>
      </c>
      <c r="K49" s="941">
        <f>IF(OR(E49="",G49=""),0,E49/'Configs &amp; Procedures'!$M$65*'MD Summary'!G49)</f>
        <v>0</v>
      </c>
      <c r="L49"/>
      <c r="M49"/>
    </row>
    <row r="50" spans="2:13" ht="13.5" customHeight="1">
      <c r="B50" s="630">
        <v>16</v>
      </c>
      <c r="C50" s="631" t="str">
        <f t="shared" si="2"/>
        <v/>
      </c>
      <c r="D50" s="632" t="str">
        <f t="shared" si="2"/>
        <v/>
      </c>
      <c r="E50" s="632" t="str">
        <f t="shared" si="2"/>
        <v/>
      </c>
      <c r="F50" s="928" t="str">
        <f t="shared" si="2"/>
        <v/>
      </c>
      <c r="G50" s="634" t="str">
        <f t="shared" si="3"/>
        <v/>
      </c>
      <c r="H50" s="634" t="str">
        <f t="shared" si="4"/>
        <v/>
      </c>
      <c r="I50" s="940">
        <f>IF(OR(C50="",G50=""),0,TRUNC(C50/'Configs &amp; Procedures'!$K$65)*G50*'DS Analysis'!AY59+(TRUNC(C50/'Configs &amp; Procedures'!$K$65)-1)*G50*(1-'DS Analysis'!AY59))</f>
        <v>0</v>
      </c>
      <c r="J50" s="931">
        <f>IF(OR(D50="",I23=""),0,TRUNC(I23/'Configs &amp; Procedures'!$L$65*H50))</f>
        <v>0</v>
      </c>
      <c r="K50" s="941">
        <f>IF(OR(E50="",G50=""),0,E50/'Configs &amp; Procedures'!$M$65*'MD Summary'!G50)</f>
        <v>0</v>
      </c>
      <c r="L50"/>
      <c r="M50"/>
    </row>
    <row r="51" spans="2:13" ht="13.5" customHeight="1">
      <c r="B51" s="630">
        <v>17</v>
      </c>
      <c r="C51" s="631" t="str">
        <f t="shared" si="2"/>
        <v/>
      </c>
      <c r="D51" s="632" t="str">
        <f t="shared" si="2"/>
        <v/>
      </c>
      <c r="E51" s="632" t="str">
        <f t="shared" si="2"/>
        <v/>
      </c>
      <c r="F51" s="928" t="str">
        <f t="shared" si="2"/>
        <v/>
      </c>
      <c r="G51" s="634" t="str">
        <f t="shared" si="3"/>
        <v/>
      </c>
      <c r="H51" s="634" t="str">
        <f t="shared" si="4"/>
        <v/>
      </c>
      <c r="I51" s="940">
        <f>IF(OR(C51="",G51=""),0,TRUNC(C51/'Configs &amp; Procedures'!$K$65)*G51*'DS Analysis'!AY60+(TRUNC(C51/'Configs &amp; Procedures'!$K$65)-1)*G51*(1-'DS Analysis'!AY60))</f>
        <v>0</v>
      </c>
      <c r="J51" s="931">
        <f>IF(OR(D51="",I24=""),0,TRUNC(I24/'Configs &amp; Procedures'!$L$65*H51))</f>
        <v>0</v>
      </c>
      <c r="K51" s="941">
        <f>IF(OR(E51="",G51=""),0,E51/'Configs &amp; Procedures'!$M$65*'MD Summary'!G51)</f>
        <v>0</v>
      </c>
      <c r="L51"/>
      <c r="M51"/>
    </row>
    <row r="52" spans="2:13" ht="13.5" customHeight="1">
      <c r="B52" s="630">
        <v>18</v>
      </c>
      <c r="C52" s="631" t="str">
        <f t="shared" si="2"/>
        <v/>
      </c>
      <c r="D52" s="632" t="str">
        <f t="shared" si="2"/>
        <v/>
      </c>
      <c r="E52" s="632" t="str">
        <f t="shared" si="2"/>
        <v/>
      </c>
      <c r="F52" s="928" t="str">
        <f t="shared" si="2"/>
        <v/>
      </c>
      <c r="G52" s="634" t="str">
        <f t="shared" si="3"/>
        <v/>
      </c>
      <c r="H52" s="634" t="str">
        <f t="shared" si="4"/>
        <v/>
      </c>
      <c r="I52" s="940">
        <f>IF(OR(C52="",G52=""),0,TRUNC(C52/'Configs &amp; Procedures'!$K$65)*G52*'DS Analysis'!AY61+(TRUNC(C52/'Configs &amp; Procedures'!$K$65)-1)*G52*(1-'DS Analysis'!AY61))</f>
        <v>0</v>
      </c>
      <c r="J52" s="931">
        <f>IF(OR(D52="",I25=""),0,TRUNC(I25/'Configs &amp; Procedures'!$L$65*H52))</f>
        <v>0</v>
      </c>
      <c r="K52" s="941">
        <f>IF(OR(E52="",G52=""),0,E52/'Configs &amp; Procedures'!$M$65*'MD Summary'!G52)</f>
        <v>0</v>
      </c>
      <c r="L52"/>
      <c r="M52"/>
    </row>
    <row r="53" spans="2:13" ht="13.5" customHeight="1">
      <c r="B53" s="630">
        <v>19</v>
      </c>
      <c r="C53" s="631" t="str">
        <f t="shared" si="2"/>
        <v/>
      </c>
      <c r="D53" s="632" t="str">
        <f t="shared" si="2"/>
        <v/>
      </c>
      <c r="E53" s="632" t="str">
        <f t="shared" si="2"/>
        <v/>
      </c>
      <c r="F53" s="928" t="str">
        <f t="shared" si="2"/>
        <v/>
      </c>
      <c r="G53" s="634" t="str">
        <f t="shared" si="3"/>
        <v/>
      </c>
      <c r="H53" s="634" t="str">
        <f t="shared" si="4"/>
        <v/>
      </c>
      <c r="I53" s="940">
        <f>IF(OR(C53="",G53=""),0,TRUNC(C53/'Configs &amp; Procedures'!$K$65)*G53*'DS Analysis'!AY62+(TRUNC(C53/'Configs &amp; Procedures'!$K$65)-1)*G53*(1-'DS Analysis'!AY62))</f>
        <v>0</v>
      </c>
      <c r="J53" s="931">
        <f>IF(OR(D53="",I26=""),0,TRUNC(I26/'Configs &amp; Procedures'!$L$65*H53))</f>
        <v>0</v>
      </c>
      <c r="K53" s="941">
        <f>IF(OR(E53="",G53=""),0,E53/'Configs &amp; Procedures'!$M$65*'MD Summary'!G53)</f>
        <v>0</v>
      </c>
      <c r="L53"/>
      <c r="M53"/>
    </row>
    <row r="54" spans="2:13" ht="13.5" customHeight="1" thickBot="1">
      <c r="B54" s="241">
        <v>20</v>
      </c>
      <c r="C54" s="636" t="str">
        <f t="shared" si="2"/>
        <v/>
      </c>
      <c r="D54" s="106" t="str">
        <f t="shared" si="2"/>
        <v/>
      </c>
      <c r="E54" s="637" t="str">
        <f t="shared" si="2"/>
        <v/>
      </c>
      <c r="F54" s="929" t="str">
        <f t="shared" si="2"/>
        <v/>
      </c>
      <c r="G54" s="639" t="str">
        <f t="shared" si="3"/>
        <v/>
      </c>
      <c r="H54" s="639" t="str">
        <f t="shared" si="4"/>
        <v/>
      </c>
      <c r="I54" s="942">
        <f>IF(OR(C54="",G54=""),0,TRUNC(C54/'Configs &amp; Procedures'!$K$65)*G54*'DS Analysis'!AY63+(TRUNC(C54/'Configs &amp; Procedures'!$K$65)-1)*G54*(1-'DS Analysis'!AY63))</f>
        <v>0</v>
      </c>
      <c r="J54" s="932">
        <f>IF(OR(D54="",I27=""),0,TRUNC(I27/'Configs &amp; Procedures'!$L$65*H54))</f>
        <v>0</v>
      </c>
      <c r="K54" s="943">
        <f>IF(OR(E54="",G54=""),0,E54/'Configs &amp; Procedures'!$M$65*'MD Summary'!G54)</f>
        <v>0</v>
      </c>
      <c r="L54"/>
      <c r="M54"/>
    </row>
    <row r="55" spans="2:13" ht="15.75" thickBot="1">
      <c r="C55" s="1526" t="s">
        <v>1126</v>
      </c>
      <c r="D55" s="1527"/>
      <c r="E55" s="1528"/>
      <c r="G55" s="648">
        <f>SUM(G35:G54)</f>
        <v>100</v>
      </c>
      <c r="H55" s="648">
        <f>SUM(H35:H54)</f>
        <v>99.999000009999889</v>
      </c>
      <c r="I55" s="649">
        <f>SUM(I35:I54)</f>
        <v>0</v>
      </c>
      <c r="J55" s="649">
        <f>SUM(J35:J54)</f>
        <v>339</v>
      </c>
      <c r="K55" s="650">
        <f>SUM(K35:K54)</f>
        <v>0</v>
      </c>
      <c r="L55"/>
      <c r="M55"/>
    </row>
    <row r="56" spans="2:13" ht="15">
      <c r="C56" s="1529" t="s">
        <v>1489</v>
      </c>
      <c r="D56" s="1530"/>
      <c r="E56" s="1530"/>
      <c r="F56" s="1530"/>
      <c r="G56" s="1530"/>
      <c r="H56" s="1531"/>
      <c r="I56" s="1157">
        <f>SUM(I35:I54)</f>
        <v>0</v>
      </c>
      <c r="J56" s="1158">
        <f>SUMPRODUCT(($C$35:$C$54&lt;&gt;"")*(J$35:J$54))</f>
        <v>0</v>
      </c>
      <c r="K56" s="1159">
        <f>SUMPRODUCT(($C$35:$C$54&lt;&gt;"")*(K$35:K$54))</f>
        <v>0</v>
      </c>
      <c r="L56"/>
      <c r="M56"/>
    </row>
    <row r="57" spans="2:13" ht="15.75" thickBot="1">
      <c r="C57" s="1532" t="s">
        <v>1490</v>
      </c>
      <c r="D57" s="1533"/>
      <c r="E57" s="1533"/>
      <c r="F57" s="1533"/>
      <c r="G57" s="1533"/>
      <c r="H57" s="1534"/>
      <c r="I57" s="1160" t="s">
        <v>1347</v>
      </c>
      <c r="J57" s="1161">
        <f>SUMPRODUCT(($C$35:$C$54="")*(J$35:J$54))</f>
        <v>339</v>
      </c>
      <c r="K57" s="1162">
        <f>SUMPRODUCT(($C$35:$C$54="")*(K$35:K$54))</f>
        <v>0</v>
      </c>
      <c r="L57" s="651"/>
    </row>
    <row r="58" spans="2:13" ht="15.75" thickBot="1">
      <c r="C58" s="1535" t="s">
        <v>1127</v>
      </c>
      <c r="D58" s="1536"/>
      <c r="E58" s="1536"/>
      <c r="F58" s="1536"/>
      <c r="G58" s="1537"/>
      <c r="H58" s="1167" t="s">
        <v>1485</v>
      </c>
      <c r="I58" s="652">
        <f>SUMIF('DS Analysis'!$BB$44:$BB$63,"=2",'MD Summary'!$H$35:$H$54)</f>
        <v>0</v>
      </c>
      <c r="J58" s="653" t="s">
        <v>1128</v>
      </c>
      <c r="K58" s="654" t="s">
        <v>1129</v>
      </c>
      <c r="L58" s="651"/>
      <c r="M58" s="655"/>
    </row>
    <row r="59" spans="2:13" ht="15.75" thickBot="1">
      <c r="C59" s="1519" t="s">
        <v>1130</v>
      </c>
      <c r="D59" s="1520"/>
      <c r="E59" s="1520"/>
      <c r="F59" s="1520"/>
      <c r="G59" s="1521"/>
      <c r="H59" s="1168" t="s">
        <v>1486</v>
      </c>
      <c r="I59" s="644">
        <f>SUMIF('DS Analysis'!$BB$44:$BB$63,"=3",'MD Summary'!$H$35:$H$54)</f>
        <v>0</v>
      </c>
      <c r="J59" s="656">
        <f>SUMIF($D$35:$D$54,"&gt;0",$H$35:$H$54)+SUMIF($D$35:$D$54,"=AMAP",$H$35:$H$54)+SUMIF($D$35:$D$54,"=MC",$H$35:$H$54)</f>
        <v>99.999000009999889</v>
      </c>
      <c r="K59" s="657">
        <f>SUMIF($E$35:$E$54,"&gt;0",$H$35:$H$54)</f>
        <v>0</v>
      </c>
      <c r="L59" s="651"/>
    </row>
    <row r="61" spans="2:13">
      <c r="B61" s="1138"/>
    </row>
    <row r="75" ht="15" customHeight="1"/>
  </sheetData>
  <sheetProtection sheet="1" objects="1" scenarios="1"/>
  <mergeCells count="11">
    <mergeCell ref="AC6:AD6"/>
    <mergeCell ref="C55:E55"/>
    <mergeCell ref="C56:H56"/>
    <mergeCell ref="C57:H57"/>
    <mergeCell ref="C58:G58"/>
    <mergeCell ref="C59:G59"/>
    <mergeCell ref="B4:K4"/>
    <mergeCell ref="C6:F6"/>
    <mergeCell ref="C33:F33"/>
    <mergeCell ref="B31:K31"/>
    <mergeCell ref="E28:G28"/>
  </mergeCells>
  <conditionalFormatting sqref="I35:K54">
    <cfRule type="cellIs" dxfId="4" priority="4" operator="equal">
      <formula>0</formula>
    </cfRule>
  </conditionalFormatting>
  <conditionalFormatting sqref="C23:E27 C50:E54">
    <cfRule type="expression" dxfId="3" priority="2">
      <formula>$A$3&lt;6</formula>
    </cfRule>
  </conditionalFormatting>
  <conditionalFormatting sqref="G23:K27">
    <cfRule type="expression" dxfId="2" priority="1">
      <formula>$A$3&lt;6</formula>
    </cfRule>
  </conditionalFormatting>
  <printOptions horizontalCentered="1"/>
  <pageMargins left="0.28000000000000003" right="0.56999999999999995" top="0.75" bottom="0.5" header="0.5" footer="0.25"/>
  <pageSetup scale="79" orientation="portrait" horizontalDpi="300" verticalDpi="300" r:id="rId1"/>
  <headerFooter alignWithMargins="0">
    <oddFooter>&amp;R&amp;D</oddFooter>
  </headerFooter>
  <legacyDrawing r:id="rId2"/>
</worksheet>
</file>

<file path=xl/worksheets/sheet6.xml><?xml version="1.0" encoding="utf-8"?>
<worksheet xmlns="http://schemas.openxmlformats.org/spreadsheetml/2006/main" xmlns:r="http://schemas.openxmlformats.org/officeDocument/2006/relationships">
  <sheetPr codeName="Sheet13">
    <pageSetUpPr fitToPage="1"/>
  </sheetPr>
  <dimension ref="B1:CA1015"/>
  <sheetViews>
    <sheetView showGridLines="0" zoomScale="75" workbookViewId="0">
      <pane ySplit="15" topLeftCell="A19" activePane="bottomLeft" state="frozenSplit"/>
      <selection activeCell="AM1" sqref="AM1"/>
      <selection pane="bottomLeft" activeCell="C17" sqref="C17:CA1015"/>
    </sheetView>
  </sheetViews>
  <sheetFormatPr defaultRowHeight="12.75"/>
  <cols>
    <col min="1" max="1" width="3.5703125" style="798" customWidth="1"/>
    <col min="2" max="2" width="9.140625" style="798" bestFit="1" customWidth="1"/>
    <col min="3" max="35" width="7.7109375" style="798" customWidth="1"/>
    <col min="36" max="36" width="8.5703125" style="799" bestFit="1" customWidth="1"/>
    <col min="37" max="37" width="8.28515625" style="799" customWidth="1"/>
    <col min="38" max="38" width="9" style="800" customWidth="1"/>
    <col min="39" max="39" width="8.7109375" style="800" customWidth="1"/>
    <col min="40" max="40" width="8.5703125" style="799" bestFit="1" customWidth="1"/>
    <col min="41" max="41" width="10.42578125" style="798" bestFit="1" customWidth="1"/>
    <col min="42" max="47" width="7.7109375" style="798" customWidth="1"/>
    <col min="48" max="48" width="8.85546875" style="798" customWidth="1"/>
    <col min="49" max="49" width="12.5703125" style="798" bestFit="1" customWidth="1"/>
    <col min="50" max="50" width="8.5703125" style="798" bestFit="1" customWidth="1"/>
    <col min="51" max="56" width="6.7109375" style="798" customWidth="1"/>
    <col min="57" max="57" width="8.5703125" style="798" bestFit="1" customWidth="1"/>
    <col min="58" max="58" width="4.42578125" style="798" customWidth="1"/>
    <col min="59" max="78" width="4.7109375" style="798" customWidth="1"/>
    <col min="79" max="79" width="8.5703125" style="798" customWidth="1"/>
    <col min="80" max="257" width="9.140625" style="798"/>
    <col min="258" max="258" width="3.5703125" style="798" customWidth="1"/>
    <col min="259" max="259" width="11.7109375" style="798" customWidth="1"/>
    <col min="260" max="260" width="0" style="798" hidden="1" customWidth="1"/>
    <col min="261" max="262" width="6.28515625" style="798" bestFit="1" customWidth="1"/>
    <col min="263" max="263" width="5.7109375" style="798" bestFit="1" customWidth="1"/>
    <col min="264" max="264" width="5.140625" style="798" bestFit="1" customWidth="1"/>
    <col min="265" max="265" width="5.140625" style="798" customWidth="1"/>
    <col min="266" max="266" width="6.85546875" style="798" bestFit="1" customWidth="1"/>
    <col min="267" max="267" width="5.42578125" style="798" bestFit="1" customWidth="1"/>
    <col min="268" max="268" width="5.85546875" style="798" bestFit="1" customWidth="1"/>
    <col min="269" max="269" width="6" style="798" customWidth="1"/>
    <col min="270" max="271" width="6.7109375" style="798" customWidth="1"/>
    <col min="272" max="272" width="6.42578125" style="798" bestFit="1" customWidth="1"/>
    <col min="273" max="283" width="6.42578125" style="798" customWidth="1"/>
    <col min="284" max="289" width="7.28515625" style="798" customWidth="1"/>
    <col min="290" max="290" width="8.5703125" style="798" bestFit="1" customWidth="1"/>
    <col min="291" max="291" width="8.28515625" style="798" customWidth="1"/>
    <col min="292" max="292" width="9" style="798" customWidth="1"/>
    <col min="293" max="293" width="8.7109375" style="798" customWidth="1"/>
    <col min="294" max="295" width="9.7109375" style="798" customWidth="1"/>
    <col min="296" max="296" width="8.5703125" style="798" bestFit="1" customWidth="1"/>
    <col min="297" max="297" width="10.42578125" style="798" bestFit="1" customWidth="1"/>
    <col min="298" max="298" width="6.7109375" style="798" customWidth="1"/>
    <col min="299" max="299" width="5.85546875" style="798" bestFit="1" customWidth="1"/>
    <col min="300" max="301" width="7.5703125" style="798" bestFit="1" customWidth="1"/>
    <col min="302" max="302" width="7.42578125" style="798" bestFit="1" customWidth="1"/>
    <col min="303" max="303" width="5.7109375" style="798" bestFit="1" customWidth="1"/>
    <col min="304" max="304" width="8.85546875" style="798" bestFit="1" customWidth="1"/>
    <col min="305" max="305" width="12.5703125" style="798" bestFit="1" customWidth="1"/>
    <col min="306" max="306" width="8.5703125" style="798" bestFit="1" customWidth="1"/>
    <col min="307" max="309" width="6.7109375" style="798" customWidth="1"/>
    <col min="310" max="310" width="7.5703125" style="798" bestFit="1" customWidth="1"/>
    <col min="311" max="311" width="6.7109375" style="798" customWidth="1"/>
    <col min="312" max="312" width="12" style="798" bestFit="1" customWidth="1"/>
    <col min="313" max="332" width="4.7109375" style="798" customWidth="1"/>
    <col min="333" max="513" width="9.140625" style="798"/>
    <col min="514" max="514" width="3.5703125" style="798" customWidth="1"/>
    <col min="515" max="515" width="11.7109375" style="798" customWidth="1"/>
    <col min="516" max="516" width="0" style="798" hidden="1" customWidth="1"/>
    <col min="517" max="518" width="6.28515625" style="798" bestFit="1" customWidth="1"/>
    <col min="519" max="519" width="5.7109375" style="798" bestFit="1" customWidth="1"/>
    <col min="520" max="520" width="5.140625" style="798" bestFit="1" customWidth="1"/>
    <col min="521" max="521" width="5.140625" style="798" customWidth="1"/>
    <col min="522" max="522" width="6.85546875" style="798" bestFit="1" customWidth="1"/>
    <col min="523" max="523" width="5.42578125" style="798" bestFit="1" customWidth="1"/>
    <col min="524" max="524" width="5.85546875" style="798" bestFit="1" customWidth="1"/>
    <col min="525" max="525" width="6" style="798" customWidth="1"/>
    <col min="526" max="527" width="6.7109375" style="798" customWidth="1"/>
    <col min="528" max="528" width="6.42578125" style="798" bestFit="1" customWidth="1"/>
    <col min="529" max="539" width="6.42578125" style="798" customWidth="1"/>
    <col min="540" max="545" width="7.28515625" style="798" customWidth="1"/>
    <col min="546" max="546" width="8.5703125" style="798" bestFit="1" customWidth="1"/>
    <col min="547" max="547" width="8.28515625" style="798" customWidth="1"/>
    <col min="548" max="548" width="9" style="798" customWidth="1"/>
    <col min="549" max="549" width="8.7109375" style="798" customWidth="1"/>
    <col min="550" max="551" width="9.7109375" style="798" customWidth="1"/>
    <col min="552" max="552" width="8.5703125" style="798" bestFit="1" customWidth="1"/>
    <col min="553" max="553" width="10.42578125" style="798" bestFit="1" customWidth="1"/>
    <col min="554" max="554" width="6.7109375" style="798" customWidth="1"/>
    <col min="555" max="555" width="5.85546875" style="798" bestFit="1" customWidth="1"/>
    <col min="556" max="557" width="7.5703125" style="798" bestFit="1" customWidth="1"/>
    <col min="558" max="558" width="7.42578125" style="798" bestFit="1" customWidth="1"/>
    <col min="559" max="559" width="5.7109375" style="798" bestFit="1" customWidth="1"/>
    <col min="560" max="560" width="8.85546875" style="798" bestFit="1" customWidth="1"/>
    <col min="561" max="561" width="12.5703125" style="798" bestFit="1" customWidth="1"/>
    <col min="562" max="562" width="8.5703125" style="798" bestFit="1" customWidth="1"/>
    <col min="563" max="565" width="6.7109375" style="798" customWidth="1"/>
    <col min="566" max="566" width="7.5703125" style="798" bestFit="1" customWidth="1"/>
    <col min="567" max="567" width="6.7109375" style="798" customWidth="1"/>
    <col min="568" max="568" width="12" style="798" bestFit="1" customWidth="1"/>
    <col min="569" max="588" width="4.7109375" style="798" customWidth="1"/>
    <col min="589" max="769" width="9.140625" style="798"/>
    <col min="770" max="770" width="3.5703125" style="798" customWidth="1"/>
    <col min="771" max="771" width="11.7109375" style="798" customWidth="1"/>
    <col min="772" max="772" width="0" style="798" hidden="1" customWidth="1"/>
    <col min="773" max="774" width="6.28515625" style="798" bestFit="1" customWidth="1"/>
    <col min="775" max="775" width="5.7109375" style="798" bestFit="1" customWidth="1"/>
    <col min="776" max="776" width="5.140625" style="798" bestFit="1" customWidth="1"/>
    <col min="777" max="777" width="5.140625" style="798" customWidth="1"/>
    <col min="778" max="778" width="6.85546875" style="798" bestFit="1" customWidth="1"/>
    <col min="779" max="779" width="5.42578125" style="798" bestFit="1" customWidth="1"/>
    <col min="780" max="780" width="5.85546875" style="798" bestFit="1" customWidth="1"/>
    <col min="781" max="781" width="6" style="798" customWidth="1"/>
    <col min="782" max="783" width="6.7109375" style="798" customWidth="1"/>
    <col min="784" max="784" width="6.42578125" style="798" bestFit="1" customWidth="1"/>
    <col min="785" max="795" width="6.42578125" style="798" customWidth="1"/>
    <col min="796" max="801" width="7.28515625" style="798" customWidth="1"/>
    <col min="802" max="802" width="8.5703125" style="798" bestFit="1" customWidth="1"/>
    <col min="803" max="803" width="8.28515625" style="798" customWidth="1"/>
    <col min="804" max="804" width="9" style="798" customWidth="1"/>
    <col min="805" max="805" width="8.7109375" style="798" customWidth="1"/>
    <col min="806" max="807" width="9.7109375" style="798" customWidth="1"/>
    <col min="808" max="808" width="8.5703125" style="798" bestFit="1" customWidth="1"/>
    <col min="809" max="809" width="10.42578125" style="798" bestFit="1" customWidth="1"/>
    <col min="810" max="810" width="6.7109375" style="798" customWidth="1"/>
    <col min="811" max="811" width="5.85546875" style="798" bestFit="1" customWidth="1"/>
    <col min="812" max="813" width="7.5703125" style="798" bestFit="1" customWidth="1"/>
    <col min="814" max="814" width="7.42578125" style="798" bestFit="1" customWidth="1"/>
    <col min="815" max="815" width="5.7109375" style="798" bestFit="1" customWidth="1"/>
    <col min="816" max="816" width="8.85546875" style="798" bestFit="1" customWidth="1"/>
    <col min="817" max="817" width="12.5703125" style="798" bestFit="1" customWidth="1"/>
    <col min="818" max="818" width="8.5703125" style="798" bestFit="1" customWidth="1"/>
    <col min="819" max="821" width="6.7109375" style="798" customWidth="1"/>
    <col min="822" max="822" width="7.5703125" style="798" bestFit="1" customWidth="1"/>
    <col min="823" max="823" width="6.7109375" style="798" customWidth="1"/>
    <col min="824" max="824" width="12" style="798" bestFit="1" customWidth="1"/>
    <col min="825" max="844" width="4.7109375" style="798" customWidth="1"/>
    <col min="845" max="1025" width="9.140625" style="798"/>
    <col min="1026" max="1026" width="3.5703125" style="798" customWidth="1"/>
    <col min="1027" max="1027" width="11.7109375" style="798" customWidth="1"/>
    <col min="1028" max="1028" width="0" style="798" hidden="1" customWidth="1"/>
    <col min="1029" max="1030" width="6.28515625" style="798" bestFit="1" customWidth="1"/>
    <col min="1031" max="1031" width="5.7109375" style="798" bestFit="1" customWidth="1"/>
    <col min="1032" max="1032" width="5.140625" style="798" bestFit="1" customWidth="1"/>
    <col min="1033" max="1033" width="5.140625" style="798" customWidth="1"/>
    <col min="1034" max="1034" width="6.85546875" style="798" bestFit="1" customWidth="1"/>
    <col min="1035" max="1035" width="5.42578125" style="798" bestFit="1" customWidth="1"/>
    <col min="1036" max="1036" width="5.85546875" style="798" bestFit="1" customWidth="1"/>
    <col min="1037" max="1037" width="6" style="798" customWidth="1"/>
    <col min="1038" max="1039" width="6.7109375" style="798" customWidth="1"/>
    <col min="1040" max="1040" width="6.42578125" style="798" bestFit="1" customWidth="1"/>
    <col min="1041" max="1051" width="6.42578125" style="798" customWidth="1"/>
    <col min="1052" max="1057" width="7.28515625" style="798" customWidth="1"/>
    <col min="1058" max="1058" width="8.5703125" style="798" bestFit="1" customWidth="1"/>
    <col min="1059" max="1059" width="8.28515625" style="798" customWidth="1"/>
    <col min="1060" max="1060" width="9" style="798" customWidth="1"/>
    <col min="1061" max="1061" width="8.7109375" style="798" customWidth="1"/>
    <col min="1062" max="1063" width="9.7109375" style="798" customWidth="1"/>
    <col min="1064" max="1064" width="8.5703125" style="798" bestFit="1" customWidth="1"/>
    <col min="1065" max="1065" width="10.42578125" style="798" bestFit="1" customWidth="1"/>
    <col min="1066" max="1066" width="6.7109375" style="798" customWidth="1"/>
    <col min="1067" max="1067" width="5.85546875" style="798" bestFit="1" customWidth="1"/>
    <col min="1068" max="1069" width="7.5703125" style="798" bestFit="1" customWidth="1"/>
    <col min="1070" max="1070" width="7.42578125" style="798" bestFit="1" customWidth="1"/>
    <col min="1071" max="1071" width="5.7109375" style="798" bestFit="1" customWidth="1"/>
    <col min="1072" max="1072" width="8.85546875" style="798" bestFit="1" customWidth="1"/>
    <col min="1073" max="1073" width="12.5703125" style="798" bestFit="1" customWidth="1"/>
    <col min="1074" max="1074" width="8.5703125" style="798" bestFit="1" customWidth="1"/>
    <col min="1075" max="1077" width="6.7109375" style="798" customWidth="1"/>
    <col min="1078" max="1078" width="7.5703125" style="798" bestFit="1" customWidth="1"/>
    <col min="1079" max="1079" width="6.7109375" style="798" customWidth="1"/>
    <col min="1080" max="1080" width="12" style="798" bestFit="1" customWidth="1"/>
    <col min="1081" max="1100" width="4.7109375" style="798" customWidth="1"/>
    <col min="1101" max="1281" width="9.140625" style="798"/>
    <col min="1282" max="1282" width="3.5703125" style="798" customWidth="1"/>
    <col min="1283" max="1283" width="11.7109375" style="798" customWidth="1"/>
    <col min="1284" max="1284" width="0" style="798" hidden="1" customWidth="1"/>
    <col min="1285" max="1286" width="6.28515625" style="798" bestFit="1" customWidth="1"/>
    <col min="1287" max="1287" width="5.7109375" style="798" bestFit="1" customWidth="1"/>
    <col min="1288" max="1288" width="5.140625" style="798" bestFit="1" customWidth="1"/>
    <col min="1289" max="1289" width="5.140625" style="798" customWidth="1"/>
    <col min="1290" max="1290" width="6.85546875" style="798" bestFit="1" customWidth="1"/>
    <col min="1291" max="1291" width="5.42578125" style="798" bestFit="1" customWidth="1"/>
    <col min="1292" max="1292" width="5.85546875" style="798" bestFit="1" customWidth="1"/>
    <col min="1293" max="1293" width="6" style="798" customWidth="1"/>
    <col min="1294" max="1295" width="6.7109375" style="798" customWidth="1"/>
    <col min="1296" max="1296" width="6.42578125" style="798" bestFit="1" customWidth="1"/>
    <col min="1297" max="1307" width="6.42578125" style="798" customWidth="1"/>
    <col min="1308" max="1313" width="7.28515625" style="798" customWidth="1"/>
    <col min="1314" max="1314" width="8.5703125" style="798" bestFit="1" customWidth="1"/>
    <col min="1315" max="1315" width="8.28515625" style="798" customWidth="1"/>
    <col min="1316" max="1316" width="9" style="798" customWidth="1"/>
    <col min="1317" max="1317" width="8.7109375" style="798" customWidth="1"/>
    <col min="1318" max="1319" width="9.7109375" style="798" customWidth="1"/>
    <col min="1320" max="1320" width="8.5703125" style="798" bestFit="1" customWidth="1"/>
    <col min="1321" max="1321" width="10.42578125" style="798" bestFit="1" customWidth="1"/>
    <col min="1322" max="1322" width="6.7109375" style="798" customWidth="1"/>
    <col min="1323" max="1323" width="5.85546875" style="798" bestFit="1" customWidth="1"/>
    <col min="1324" max="1325" width="7.5703125" style="798" bestFit="1" customWidth="1"/>
    <col min="1326" max="1326" width="7.42578125" style="798" bestFit="1" customWidth="1"/>
    <col min="1327" max="1327" width="5.7109375" style="798" bestFit="1" customWidth="1"/>
    <col min="1328" max="1328" width="8.85546875" style="798" bestFit="1" customWidth="1"/>
    <col min="1329" max="1329" width="12.5703125" style="798" bestFit="1" customWidth="1"/>
    <col min="1330" max="1330" width="8.5703125" style="798" bestFit="1" customWidth="1"/>
    <col min="1331" max="1333" width="6.7109375" style="798" customWidth="1"/>
    <col min="1334" max="1334" width="7.5703125" style="798" bestFit="1" customWidth="1"/>
    <col min="1335" max="1335" width="6.7109375" style="798" customWidth="1"/>
    <col min="1336" max="1336" width="12" style="798" bestFit="1" customWidth="1"/>
    <col min="1337" max="1356" width="4.7109375" style="798" customWidth="1"/>
    <col min="1357" max="1537" width="9.140625" style="798"/>
    <col min="1538" max="1538" width="3.5703125" style="798" customWidth="1"/>
    <col min="1539" max="1539" width="11.7109375" style="798" customWidth="1"/>
    <col min="1540" max="1540" width="0" style="798" hidden="1" customWidth="1"/>
    <col min="1541" max="1542" width="6.28515625" style="798" bestFit="1" customWidth="1"/>
    <col min="1543" max="1543" width="5.7109375" style="798" bestFit="1" customWidth="1"/>
    <col min="1544" max="1544" width="5.140625" style="798" bestFit="1" customWidth="1"/>
    <col min="1545" max="1545" width="5.140625" style="798" customWidth="1"/>
    <col min="1546" max="1546" width="6.85546875" style="798" bestFit="1" customWidth="1"/>
    <col min="1547" max="1547" width="5.42578125" style="798" bestFit="1" customWidth="1"/>
    <col min="1548" max="1548" width="5.85546875" style="798" bestFit="1" customWidth="1"/>
    <col min="1549" max="1549" width="6" style="798" customWidth="1"/>
    <col min="1550" max="1551" width="6.7109375" style="798" customWidth="1"/>
    <col min="1552" max="1552" width="6.42578125" style="798" bestFit="1" customWidth="1"/>
    <col min="1553" max="1563" width="6.42578125" style="798" customWidth="1"/>
    <col min="1564" max="1569" width="7.28515625" style="798" customWidth="1"/>
    <col min="1570" max="1570" width="8.5703125" style="798" bestFit="1" customWidth="1"/>
    <col min="1571" max="1571" width="8.28515625" style="798" customWidth="1"/>
    <col min="1572" max="1572" width="9" style="798" customWidth="1"/>
    <col min="1573" max="1573" width="8.7109375" style="798" customWidth="1"/>
    <col min="1574" max="1575" width="9.7109375" style="798" customWidth="1"/>
    <col min="1576" max="1576" width="8.5703125" style="798" bestFit="1" customWidth="1"/>
    <col min="1577" max="1577" width="10.42578125" style="798" bestFit="1" customWidth="1"/>
    <col min="1578" max="1578" width="6.7109375" style="798" customWidth="1"/>
    <col min="1579" max="1579" width="5.85546875" style="798" bestFit="1" customWidth="1"/>
    <col min="1580" max="1581" width="7.5703125" style="798" bestFit="1" customWidth="1"/>
    <col min="1582" max="1582" width="7.42578125" style="798" bestFit="1" customWidth="1"/>
    <col min="1583" max="1583" width="5.7109375" style="798" bestFit="1" customWidth="1"/>
    <col min="1584" max="1584" width="8.85546875" style="798" bestFit="1" customWidth="1"/>
    <col min="1585" max="1585" width="12.5703125" style="798" bestFit="1" customWidth="1"/>
    <col min="1586" max="1586" width="8.5703125" style="798" bestFit="1" customWidth="1"/>
    <col min="1587" max="1589" width="6.7109375" style="798" customWidth="1"/>
    <col min="1590" max="1590" width="7.5703125" style="798" bestFit="1" customWidth="1"/>
    <col min="1591" max="1591" width="6.7109375" style="798" customWidth="1"/>
    <col min="1592" max="1592" width="12" style="798" bestFit="1" customWidth="1"/>
    <col min="1593" max="1612" width="4.7109375" style="798" customWidth="1"/>
    <col min="1613" max="1793" width="9.140625" style="798"/>
    <col min="1794" max="1794" width="3.5703125" style="798" customWidth="1"/>
    <col min="1795" max="1795" width="11.7109375" style="798" customWidth="1"/>
    <col min="1796" max="1796" width="0" style="798" hidden="1" customWidth="1"/>
    <col min="1797" max="1798" width="6.28515625" style="798" bestFit="1" customWidth="1"/>
    <col min="1799" max="1799" width="5.7109375" style="798" bestFit="1" customWidth="1"/>
    <col min="1800" max="1800" width="5.140625" style="798" bestFit="1" customWidth="1"/>
    <col min="1801" max="1801" width="5.140625" style="798" customWidth="1"/>
    <col min="1802" max="1802" width="6.85546875" style="798" bestFit="1" customWidth="1"/>
    <col min="1803" max="1803" width="5.42578125" style="798" bestFit="1" customWidth="1"/>
    <col min="1804" max="1804" width="5.85546875" style="798" bestFit="1" customWidth="1"/>
    <col min="1805" max="1805" width="6" style="798" customWidth="1"/>
    <col min="1806" max="1807" width="6.7109375" style="798" customWidth="1"/>
    <col min="1808" max="1808" width="6.42578125" style="798" bestFit="1" customWidth="1"/>
    <col min="1809" max="1819" width="6.42578125" style="798" customWidth="1"/>
    <col min="1820" max="1825" width="7.28515625" style="798" customWidth="1"/>
    <col min="1826" max="1826" width="8.5703125" style="798" bestFit="1" customWidth="1"/>
    <col min="1827" max="1827" width="8.28515625" style="798" customWidth="1"/>
    <col min="1828" max="1828" width="9" style="798" customWidth="1"/>
    <col min="1829" max="1829" width="8.7109375" style="798" customWidth="1"/>
    <col min="1830" max="1831" width="9.7109375" style="798" customWidth="1"/>
    <col min="1832" max="1832" width="8.5703125" style="798" bestFit="1" customWidth="1"/>
    <col min="1833" max="1833" width="10.42578125" style="798" bestFit="1" customWidth="1"/>
    <col min="1834" max="1834" width="6.7109375" style="798" customWidth="1"/>
    <col min="1835" max="1835" width="5.85546875" style="798" bestFit="1" customWidth="1"/>
    <col min="1836" max="1837" width="7.5703125" style="798" bestFit="1" customWidth="1"/>
    <col min="1838" max="1838" width="7.42578125" style="798" bestFit="1" customWidth="1"/>
    <col min="1839" max="1839" width="5.7109375" style="798" bestFit="1" customWidth="1"/>
    <col min="1840" max="1840" width="8.85546875" style="798" bestFit="1" customWidth="1"/>
    <col min="1841" max="1841" width="12.5703125" style="798" bestFit="1" customWidth="1"/>
    <col min="1842" max="1842" width="8.5703125" style="798" bestFit="1" customWidth="1"/>
    <col min="1843" max="1845" width="6.7109375" style="798" customWidth="1"/>
    <col min="1846" max="1846" width="7.5703125" style="798" bestFit="1" customWidth="1"/>
    <col min="1847" max="1847" width="6.7109375" style="798" customWidth="1"/>
    <col min="1848" max="1848" width="12" style="798" bestFit="1" customWidth="1"/>
    <col min="1849" max="1868" width="4.7109375" style="798" customWidth="1"/>
    <col min="1869" max="2049" width="9.140625" style="798"/>
    <col min="2050" max="2050" width="3.5703125" style="798" customWidth="1"/>
    <col min="2051" max="2051" width="11.7109375" style="798" customWidth="1"/>
    <col min="2052" max="2052" width="0" style="798" hidden="1" customWidth="1"/>
    <col min="2053" max="2054" width="6.28515625" style="798" bestFit="1" customWidth="1"/>
    <col min="2055" max="2055" width="5.7109375" style="798" bestFit="1" customWidth="1"/>
    <col min="2056" max="2056" width="5.140625" style="798" bestFit="1" customWidth="1"/>
    <col min="2057" max="2057" width="5.140625" style="798" customWidth="1"/>
    <col min="2058" max="2058" width="6.85546875" style="798" bestFit="1" customWidth="1"/>
    <col min="2059" max="2059" width="5.42578125" style="798" bestFit="1" customWidth="1"/>
    <col min="2060" max="2060" width="5.85546875" style="798" bestFit="1" customWidth="1"/>
    <col min="2061" max="2061" width="6" style="798" customWidth="1"/>
    <col min="2062" max="2063" width="6.7109375" style="798" customWidth="1"/>
    <col min="2064" max="2064" width="6.42578125" style="798" bestFit="1" customWidth="1"/>
    <col min="2065" max="2075" width="6.42578125" style="798" customWidth="1"/>
    <col min="2076" max="2081" width="7.28515625" style="798" customWidth="1"/>
    <col min="2082" max="2082" width="8.5703125" style="798" bestFit="1" customWidth="1"/>
    <col min="2083" max="2083" width="8.28515625" style="798" customWidth="1"/>
    <col min="2084" max="2084" width="9" style="798" customWidth="1"/>
    <col min="2085" max="2085" width="8.7109375" style="798" customWidth="1"/>
    <col min="2086" max="2087" width="9.7109375" style="798" customWidth="1"/>
    <col min="2088" max="2088" width="8.5703125" style="798" bestFit="1" customWidth="1"/>
    <col min="2089" max="2089" width="10.42578125" style="798" bestFit="1" customWidth="1"/>
    <col min="2090" max="2090" width="6.7109375" style="798" customWidth="1"/>
    <col min="2091" max="2091" width="5.85546875" style="798" bestFit="1" customWidth="1"/>
    <col min="2092" max="2093" width="7.5703125" style="798" bestFit="1" customWidth="1"/>
    <col min="2094" max="2094" width="7.42578125" style="798" bestFit="1" customWidth="1"/>
    <col min="2095" max="2095" width="5.7109375" style="798" bestFit="1" customWidth="1"/>
    <col min="2096" max="2096" width="8.85546875" style="798" bestFit="1" customWidth="1"/>
    <col min="2097" max="2097" width="12.5703125" style="798" bestFit="1" customWidth="1"/>
    <col min="2098" max="2098" width="8.5703125" style="798" bestFit="1" customWidth="1"/>
    <col min="2099" max="2101" width="6.7109375" style="798" customWidth="1"/>
    <col min="2102" max="2102" width="7.5703125" style="798" bestFit="1" customWidth="1"/>
    <col min="2103" max="2103" width="6.7109375" style="798" customWidth="1"/>
    <col min="2104" max="2104" width="12" style="798" bestFit="1" customWidth="1"/>
    <col min="2105" max="2124" width="4.7109375" style="798" customWidth="1"/>
    <col min="2125" max="2305" width="9.140625" style="798"/>
    <col min="2306" max="2306" width="3.5703125" style="798" customWidth="1"/>
    <col min="2307" max="2307" width="11.7109375" style="798" customWidth="1"/>
    <col min="2308" max="2308" width="0" style="798" hidden="1" customWidth="1"/>
    <col min="2309" max="2310" width="6.28515625" style="798" bestFit="1" customWidth="1"/>
    <col min="2311" max="2311" width="5.7109375" style="798" bestFit="1" customWidth="1"/>
    <col min="2312" max="2312" width="5.140625" style="798" bestFit="1" customWidth="1"/>
    <col min="2313" max="2313" width="5.140625" style="798" customWidth="1"/>
    <col min="2314" max="2314" width="6.85546875" style="798" bestFit="1" customWidth="1"/>
    <col min="2315" max="2315" width="5.42578125" style="798" bestFit="1" customWidth="1"/>
    <col min="2316" max="2316" width="5.85546875" style="798" bestFit="1" customWidth="1"/>
    <col min="2317" max="2317" width="6" style="798" customWidth="1"/>
    <col min="2318" max="2319" width="6.7109375" style="798" customWidth="1"/>
    <col min="2320" max="2320" width="6.42578125" style="798" bestFit="1" customWidth="1"/>
    <col min="2321" max="2331" width="6.42578125" style="798" customWidth="1"/>
    <col min="2332" max="2337" width="7.28515625" style="798" customWidth="1"/>
    <col min="2338" max="2338" width="8.5703125" style="798" bestFit="1" customWidth="1"/>
    <col min="2339" max="2339" width="8.28515625" style="798" customWidth="1"/>
    <col min="2340" max="2340" width="9" style="798" customWidth="1"/>
    <col min="2341" max="2341" width="8.7109375" style="798" customWidth="1"/>
    <col min="2342" max="2343" width="9.7109375" style="798" customWidth="1"/>
    <col min="2344" max="2344" width="8.5703125" style="798" bestFit="1" customWidth="1"/>
    <col min="2345" max="2345" width="10.42578125" style="798" bestFit="1" customWidth="1"/>
    <col min="2346" max="2346" width="6.7109375" style="798" customWidth="1"/>
    <col min="2347" max="2347" width="5.85546875" style="798" bestFit="1" customWidth="1"/>
    <col min="2348" max="2349" width="7.5703125" style="798" bestFit="1" customWidth="1"/>
    <col min="2350" max="2350" width="7.42578125" style="798" bestFit="1" customWidth="1"/>
    <col min="2351" max="2351" width="5.7109375" style="798" bestFit="1" customWidth="1"/>
    <col min="2352" max="2352" width="8.85546875" style="798" bestFit="1" customWidth="1"/>
    <col min="2353" max="2353" width="12.5703125" style="798" bestFit="1" customWidth="1"/>
    <col min="2354" max="2354" width="8.5703125" style="798" bestFit="1" customWidth="1"/>
    <col min="2355" max="2357" width="6.7109375" style="798" customWidth="1"/>
    <col min="2358" max="2358" width="7.5703125" style="798" bestFit="1" customWidth="1"/>
    <col min="2359" max="2359" width="6.7109375" style="798" customWidth="1"/>
    <col min="2360" max="2360" width="12" style="798" bestFit="1" customWidth="1"/>
    <col min="2361" max="2380" width="4.7109375" style="798" customWidth="1"/>
    <col min="2381" max="2561" width="9.140625" style="798"/>
    <col min="2562" max="2562" width="3.5703125" style="798" customWidth="1"/>
    <col min="2563" max="2563" width="11.7109375" style="798" customWidth="1"/>
    <col min="2564" max="2564" width="0" style="798" hidden="1" customWidth="1"/>
    <col min="2565" max="2566" width="6.28515625" style="798" bestFit="1" customWidth="1"/>
    <col min="2567" max="2567" width="5.7109375" style="798" bestFit="1" customWidth="1"/>
    <col min="2568" max="2568" width="5.140625" style="798" bestFit="1" customWidth="1"/>
    <col min="2569" max="2569" width="5.140625" style="798" customWidth="1"/>
    <col min="2570" max="2570" width="6.85546875" style="798" bestFit="1" customWidth="1"/>
    <col min="2571" max="2571" width="5.42578125" style="798" bestFit="1" customWidth="1"/>
    <col min="2572" max="2572" width="5.85546875" style="798" bestFit="1" customWidth="1"/>
    <col min="2573" max="2573" width="6" style="798" customWidth="1"/>
    <col min="2574" max="2575" width="6.7109375" style="798" customWidth="1"/>
    <col min="2576" max="2576" width="6.42578125" style="798" bestFit="1" customWidth="1"/>
    <col min="2577" max="2587" width="6.42578125" style="798" customWidth="1"/>
    <col min="2588" max="2593" width="7.28515625" style="798" customWidth="1"/>
    <col min="2594" max="2594" width="8.5703125" style="798" bestFit="1" customWidth="1"/>
    <col min="2595" max="2595" width="8.28515625" style="798" customWidth="1"/>
    <col min="2596" max="2596" width="9" style="798" customWidth="1"/>
    <col min="2597" max="2597" width="8.7109375" style="798" customWidth="1"/>
    <col min="2598" max="2599" width="9.7109375" style="798" customWidth="1"/>
    <col min="2600" max="2600" width="8.5703125" style="798" bestFit="1" customWidth="1"/>
    <col min="2601" max="2601" width="10.42578125" style="798" bestFit="1" customWidth="1"/>
    <col min="2602" max="2602" width="6.7109375" style="798" customWidth="1"/>
    <col min="2603" max="2603" width="5.85546875" style="798" bestFit="1" customWidth="1"/>
    <col min="2604" max="2605" width="7.5703125" style="798" bestFit="1" customWidth="1"/>
    <col min="2606" max="2606" width="7.42578125" style="798" bestFit="1" customWidth="1"/>
    <col min="2607" max="2607" width="5.7109375" style="798" bestFit="1" customWidth="1"/>
    <col min="2608" max="2608" width="8.85546875" style="798" bestFit="1" customWidth="1"/>
    <col min="2609" max="2609" width="12.5703125" style="798" bestFit="1" customWidth="1"/>
    <col min="2610" max="2610" width="8.5703125" style="798" bestFit="1" customWidth="1"/>
    <col min="2611" max="2613" width="6.7109375" style="798" customWidth="1"/>
    <col min="2614" max="2614" width="7.5703125" style="798" bestFit="1" customWidth="1"/>
    <col min="2615" max="2615" width="6.7109375" style="798" customWidth="1"/>
    <col min="2616" max="2616" width="12" style="798" bestFit="1" customWidth="1"/>
    <col min="2617" max="2636" width="4.7109375" style="798" customWidth="1"/>
    <col min="2637" max="2817" width="9.140625" style="798"/>
    <col min="2818" max="2818" width="3.5703125" style="798" customWidth="1"/>
    <col min="2819" max="2819" width="11.7109375" style="798" customWidth="1"/>
    <col min="2820" max="2820" width="0" style="798" hidden="1" customWidth="1"/>
    <col min="2821" max="2822" width="6.28515625" style="798" bestFit="1" customWidth="1"/>
    <col min="2823" max="2823" width="5.7109375" style="798" bestFit="1" customWidth="1"/>
    <col min="2824" max="2824" width="5.140625" style="798" bestFit="1" customWidth="1"/>
    <col min="2825" max="2825" width="5.140625" style="798" customWidth="1"/>
    <col min="2826" max="2826" width="6.85546875" style="798" bestFit="1" customWidth="1"/>
    <col min="2827" max="2827" width="5.42578125" style="798" bestFit="1" customWidth="1"/>
    <col min="2828" max="2828" width="5.85546875" style="798" bestFit="1" customWidth="1"/>
    <col min="2829" max="2829" width="6" style="798" customWidth="1"/>
    <col min="2830" max="2831" width="6.7109375" style="798" customWidth="1"/>
    <col min="2832" max="2832" width="6.42578125" style="798" bestFit="1" customWidth="1"/>
    <col min="2833" max="2843" width="6.42578125" style="798" customWidth="1"/>
    <col min="2844" max="2849" width="7.28515625" style="798" customWidth="1"/>
    <col min="2850" max="2850" width="8.5703125" style="798" bestFit="1" customWidth="1"/>
    <col min="2851" max="2851" width="8.28515625" style="798" customWidth="1"/>
    <col min="2852" max="2852" width="9" style="798" customWidth="1"/>
    <col min="2853" max="2853" width="8.7109375" style="798" customWidth="1"/>
    <col min="2854" max="2855" width="9.7109375" style="798" customWidth="1"/>
    <col min="2856" max="2856" width="8.5703125" style="798" bestFit="1" customWidth="1"/>
    <col min="2857" max="2857" width="10.42578125" style="798" bestFit="1" customWidth="1"/>
    <col min="2858" max="2858" width="6.7109375" style="798" customWidth="1"/>
    <col min="2859" max="2859" width="5.85546875" style="798" bestFit="1" customWidth="1"/>
    <col min="2860" max="2861" width="7.5703125" style="798" bestFit="1" customWidth="1"/>
    <col min="2862" max="2862" width="7.42578125" style="798" bestFit="1" customWidth="1"/>
    <col min="2863" max="2863" width="5.7109375" style="798" bestFit="1" customWidth="1"/>
    <col min="2864" max="2864" width="8.85546875" style="798" bestFit="1" customWidth="1"/>
    <col min="2865" max="2865" width="12.5703125" style="798" bestFit="1" customWidth="1"/>
    <col min="2866" max="2866" width="8.5703125" style="798" bestFit="1" customWidth="1"/>
    <col min="2867" max="2869" width="6.7109375" style="798" customWidth="1"/>
    <col min="2870" max="2870" width="7.5703125" style="798" bestFit="1" customWidth="1"/>
    <col min="2871" max="2871" width="6.7109375" style="798" customWidth="1"/>
    <col min="2872" max="2872" width="12" style="798" bestFit="1" customWidth="1"/>
    <col min="2873" max="2892" width="4.7109375" style="798" customWidth="1"/>
    <col min="2893" max="3073" width="9.140625" style="798"/>
    <col min="3074" max="3074" width="3.5703125" style="798" customWidth="1"/>
    <col min="3075" max="3075" width="11.7109375" style="798" customWidth="1"/>
    <col min="3076" max="3076" width="0" style="798" hidden="1" customWidth="1"/>
    <col min="3077" max="3078" width="6.28515625" style="798" bestFit="1" customWidth="1"/>
    <col min="3079" max="3079" width="5.7109375" style="798" bestFit="1" customWidth="1"/>
    <col min="3080" max="3080" width="5.140625" style="798" bestFit="1" customWidth="1"/>
    <col min="3081" max="3081" width="5.140625" style="798" customWidth="1"/>
    <col min="3082" max="3082" width="6.85546875" style="798" bestFit="1" customWidth="1"/>
    <col min="3083" max="3083" width="5.42578125" style="798" bestFit="1" customWidth="1"/>
    <col min="3084" max="3084" width="5.85546875" style="798" bestFit="1" customWidth="1"/>
    <col min="3085" max="3085" width="6" style="798" customWidth="1"/>
    <col min="3086" max="3087" width="6.7109375" style="798" customWidth="1"/>
    <col min="3088" max="3088" width="6.42578125" style="798" bestFit="1" customWidth="1"/>
    <col min="3089" max="3099" width="6.42578125" style="798" customWidth="1"/>
    <col min="3100" max="3105" width="7.28515625" style="798" customWidth="1"/>
    <col min="3106" max="3106" width="8.5703125" style="798" bestFit="1" customWidth="1"/>
    <col min="3107" max="3107" width="8.28515625" style="798" customWidth="1"/>
    <col min="3108" max="3108" width="9" style="798" customWidth="1"/>
    <col min="3109" max="3109" width="8.7109375" style="798" customWidth="1"/>
    <col min="3110" max="3111" width="9.7109375" style="798" customWidth="1"/>
    <col min="3112" max="3112" width="8.5703125" style="798" bestFit="1" customWidth="1"/>
    <col min="3113" max="3113" width="10.42578125" style="798" bestFit="1" customWidth="1"/>
    <col min="3114" max="3114" width="6.7109375" style="798" customWidth="1"/>
    <col min="3115" max="3115" width="5.85546875" style="798" bestFit="1" customWidth="1"/>
    <col min="3116" max="3117" width="7.5703125" style="798" bestFit="1" customWidth="1"/>
    <col min="3118" max="3118" width="7.42578125" style="798" bestFit="1" customWidth="1"/>
    <col min="3119" max="3119" width="5.7109375" style="798" bestFit="1" customWidth="1"/>
    <col min="3120" max="3120" width="8.85546875" style="798" bestFit="1" customWidth="1"/>
    <col min="3121" max="3121" width="12.5703125" style="798" bestFit="1" customWidth="1"/>
    <col min="3122" max="3122" width="8.5703125" style="798" bestFit="1" customWidth="1"/>
    <col min="3123" max="3125" width="6.7109375" style="798" customWidth="1"/>
    <col min="3126" max="3126" width="7.5703125" style="798" bestFit="1" customWidth="1"/>
    <col min="3127" max="3127" width="6.7109375" style="798" customWidth="1"/>
    <col min="3128" max="3128" width="12" style="798" bestFit="1" customWidth="1"/>
    <col min="3129" max="3148" width="4.7109375" style="798" customWidth="1"/>
    <col min="3149" max="3329" width="9.140625" style="798"/>
    <col min="3330" max="3330" width="3.5703125" style="798" customWidth="1"/>
    <col min="3331" max="3331" width="11.7109375" style="798" customWidth="1"/>
    <col min="3332" max="3332" width="0" style="798" hidden="1" customWidth="1"/>
    <col min="3333" max="3334" width="6.28515625" style="798" bestFit="1" customWidth="1"/>
    <col min="3335" max="3335" width="5.7109375" style="798" bestFit="1" customWidth="1"/>
    <col min="3336" max="3336" width="5.140625" style="798" bestFit="1" customWidth="1"/>
    <col min="3337" max="3337" width="5.140625" style="798" customWidth="1"/>
    <col min="3338" max="3338" width="6.85546875" style="798" bestFit="1" customWidth="1"/>
    <col min="3339" max="3339" width="5.42578125" style="798" bestFit="1" customWidth="1"/>
    <col min="3340" max="3340" width="5.85546875" style="798" bestFit="1" customWidth="1"/>
    <col min="3341" max="3341" width="6" style="798" customWidth="1"/>
    <col min="3342" max="3343" width="6.7109375" style="798" customWidth="1"/>
    <col min="3344" max="3344" width="6.42578125" style="798" bestFit="1" customWidth="1"/>
    <col min="3345" max="3355" width="6.42578125" style="798" customWidth="1"/>
    <col min="3356" max="3361" width="7.28515625" style="798" customWidth="1"/>
    <col min="3362" max="3362" width="8.5703125" style="798" bestFit="1" customWidth="1"/>
    <col min="3363" max="3363" width="8.28515625" style="798" customWidth="1"/>
    <col min="3364" max="3364" width="9" style="798" customWidth="1"/>
    <col min="3365" max="3365" width="8.7109375" style="798" customWidth="1"/>
    <col min="3366" max="3367" width="9.7109375" style="798" customWidth="1"/>
    <col min="3368" max="3368" width="8.5703125" style="798" bestFit="1" customWidth="1"/>
    <col min="3369" max="3369" width="10.42578125" style="798" bestFit="1" customWidth="1"/>
    <col min="3370" max="3370" width="6.7109375" style="798" customWidth="1"/>
    <col min="3371" max="3371" width="5.85546875" style="798" bestFit="1" customWidth="1"/>
    <col min="3372" max="3373" width="7.5703125" style="798" bestFit="1" customWidth="1"/>
    <col min="3374" max="3374" width="7.42578125" style="798" bestFit="1" customWidth="1"/>
    <col min="3375" max="3375" width="5.7109375" style="798" bestFit="1" customWidth="1"/>
    <col min="3376" max="3376" width="8.85546875" style="798" bestFit="1" customWidth="1"/>
    <col min="3377" max="3377" width="12.5703125" style="798" bestFit="1" customWidth="1"/>
    <col min="3378" max="3378" width="8.5703125" style="798" bestFit="1" customWidth="1"/>
    <col min="3379" max="3381" width="6.7109375" style="798" customWidth="1"/>
    <col min="3382" max="3382" width="7.5703125" style="798" bestFit="1" customWidth="1"/>
    <col min="3383" max="3383" width="6.7109375" style="798" customWidth="1"/>
    <col min="3384" max="3384" width="12" style="798" bestFit="1" customWidth="1"/>
    <col min="3385" max="3404" width="4.7109375" style="798" customWidth="1"/>
    <col min="3405" max="3585" width="9.140625" style="798"/>
    <col min="3586" max="3586" width="3.5703125" style="798" customWidth="1"/>
    <col min="3587" max="3587" width="11.7109375" style="798" customWidth="1"/>
    <col min="3588" max="3588" width="0" style="798" hidden="1" customWidth="1"/>
    <col min="3589" max="3590" width="6.28515625" style="798" bestFit="1" customWidth="1"/>
    <col min="3591" max="3591" width="5.7109375" style="798" bestFit="1" customWidth="1"/>
    <col min="3592" max="3592" width="5.140625" style="798" bestFit="1" customWidth="1"/>
    <col min="3593" max="3593" width="5.140625" style="798" customWidth="1"/>
    <col min="3594" max="3594" width="6.85546875" style="798" bestFit="1" customWidth="1"/>
    <col min="3595" max="3595" width="5.42578125" style="798" bestFit="1" customWidth="1"/>
    <col min="3596" max="3596" width="5.85546875" style="798" bestFit="1" customWidth="1"/>
    <col min="3597" max="3597" width="6" style="798" customWidth="1"/>
    <col min="3598" max="3599" width="6.7109375" style="798" customWidth="1"/>
    <col min="3600" max="3600" width="6.42578125" style="798" bestFit="1" customWidth="1"/>
    <col min="3601" max="3611" width="6.42578125" style="798" customWidth="1"/>
    <col min="3612" max="3617" width="7.28515625" style="798" customWidth="1"/>
    <col min="3618" max="3618" width="8.5703125" style="798" bestFit="1" customWidth="1"/>
    <col min="3619" max="3619" width="8.28515625" style="798" customWidth="1"/>
    <col min="3620" max="3620" width="9" style="798" customWidth="1"/>
    <col min="3621" max="3621" width="8.7109375" style="798" customWidth="1"/>
    <col min="3622" max="3623" width="9.7109375" style="798" customWidth="1"/>
    <col min="3624" max="3624" width="8.5703125" style="798" bestFit="1" customWidth="1"/>
    <col min="3625" max="3625" width="10.42578125" style="798" bestFit="1" customWidth="1"/>
    <col min="3626" max="3626" width="6.7109375" style="798" customWidth="1"/>
    <col min="3627" max="3627" width="5.85546875" style="798" bestFit="1" customWidth="1"/>
    <col min="3628" max="3629" width="7.5703125" style="798" bestFit="1" customWidth="1"/>
    <col min="3630" max="3630" width="7.42578125" style="798" bestFit="1" customWidth="1"/>
    <col min="3631" max="3631" width="5.7109375" style="798" bestFit="1" customWidth="1"/>
    <col min="3632" max="3632" width="8.85546875" style="798" bestFit="1" customWidth="1"/>
    <col min="3633" max="3633" width="12.5703125" style="798" bestFit="1" customWidth="1"/>
    <col min="3634" max="3634" width="8.5703125" style="798" bestFit="1" customWidth="1"/>
    <col min="3635" max="3637" width="6.7109375" style="798" customWidth="1"/>
    <col min="3638" max="3638" width="7.5703125" style="798" bestFit="1" customWidth="1"/>
    <col min="3639" max="3639" width="6.7109375" style="798" customWidth="1"/>
    <col min="3640" max="3640" width="12" style="798" bestFit="1" customWidth="1"/>
    <col min="3641" max="3660" width="4.7109375" style="798" customWidth="1"/>
    <col min="3661" max="3841" width="9.140625" style="798"/>
    <col min="3842" max="3842" width="3.5703125" style="798" customWidth="1"/>
    <col min="3843" max="3843" width="11.7109375" style="798" customWidth="1"/>
    <col min="3844" max="3844" width="0" style="798" hidden="1" customWidth="1"/>
    <col min="3845" max="3846" width="6.28515625" style="798" bestFit="1" customWidth="1"/>
    <col min="3847" max="3847" width="5.7109375" style="798" bestFit="1" customWidth="1"/>
    <col min="3848" max="3848" width="5.140625" style="798" bestFit="1" customWidth="1"/>
    <col min="3849" max="3849" width="5.140625" style="798" customWidth="1"/>
    <col min="3850" max="3850" width="6.85546875" style="798" bestFit="1" customWidth="1"/>
    <col min="3851" max="3851" width="5.42578125" style="798" bestFit="1" customWidth="1"/>
    <col min="3852" max="3852" width="5.85546875" style="798" bestFit="1" customWidth="1"/>
    <col min="3853" max="3853" width="6" style="798" customWidth="1"/>
    <col min="3854" max="3855" width="6.7109375" style="798" customWidth="1"/>
    <col min="3856" max="3856" width="6.42578125" style="798" bestFit="1" customWidth="1"/>
    <col min="3857" max="3867" width="6.42578125" style="798" customWidth="1"/>
    <col min="3868" max="3873" width="7.28515625" style="798" customWidth="1"/>
    <col min="3874" max="3874" width="8.5703125" style="798" bestFit="1" customWidth="1"/>
    <col min="3875" max="3875" width="8.28515625" style="798" customWidth="1"/>
    <col min="3876" max="3876" width="9" style="798" customWidth="1"/>
    <col min="3877" max="3877" width="8.7109375" style="798" customWidth="1"/>
    <col min="3878" max="3879" width="9.7109375" style="798" customWidth="1"/>
    <col min="3880" max="3880" width="8.5703125" style="798" bestFit="1" customWidth="1"/>
    <col min="3881" max="3881" width="10.42578125" style="798" bestFit="1" customWidth="1"/>
    <col min="3882" max="3882" width="6.7109375" style="798" customWidth="1"/>
    <col min="3883" max="3883" width="5.85546875" style="798" bestFit="1" customWidth="1"/>
    <col min="3884" max="3885" width="7.5703125" style="798" bestFit="1" customWidth="1"/>
    <col min="3886" max="3886" width="7.42578125" style="798" bestFit="1" customWidth="1"/>
    <col min="3887" max="3887" width="5.7109375" style="798" bestFit="1" customWidth="1"/>
    <col min="3888" max="3888" width="8.85546875" style="798" bestFit="1" customWidth="1"/>
    <col min="3889" max="3889" width="12.5703125" style="798" bestFit="1" customWidth="1"/>
    <col min="3890" max="3890" width="8.5703125" style="798" bestFit="1" customWidth="1"/>
    <col min="3891" max="3893" width="6.7109375" style="798" customWidth="1"/>
    <col min="3894" max="3894" width="7.5703125" style="798" bestFit="1" customWidth="1"/>
    <col min="3895" max="3895" width="6.7109375" style="798" customWidth="1"/>
    <col min="3896" max="3896" width="12" style="798" bestFit="1" customWidth="1"/>
    <col min="3897" max="3916" width="4.7109375" style="798" customWidth="1"/>
    <col min="3917" max="4097" width="9.140625" style="798"/>
    <col min="4098" max="4098" width="3.5703125" style="798" customWidth="1"/>
    <col min="4099" max="4099" width="11.7109375" style="798" customWidth="1"/>
    <col min="4100" max="4100" width="0" style="798" hidden="1" customWidth="1"/>
    <col min="4101" max="4102" width="6.28515625" style="798" bestFit="1" customWidth="1"/>
    <col min="4103" max="4103" width="5.7109375" style="798" bestFit="1" customWidth="1"/>
    <col min="4104" max="4104" width="5.140625" style="798" bestFit="1" customWidth="1"/>
    <col min="4105" max="4105" width="5.140625" style="798" customWidth="1"/>
    <col min="4106" max="4106" width="6.85546875" style="798" bestFit="1" customWidth="1"/>
    <col min="4107" max="4107" width="5.42578125" style="798" bestFit="1" customWidth="1"/>
    <col min="4108" max="4108" width="5.85546875" style="798" bestFit="1" customWidth="1"/>
    <col min="4109" max="4109" width="6" style="798" customWidth="1"/>
    <col min="4110" max="4111" width="6.7109375" style="798" customWidth="1"/>
    <col min="4112" max="4112" width="6.42578125" style="798" bestFit="1" customWidth="1"/>
    <col min="4113" max="4123" width="6.42578125" style="798" customWidth="1"/>
    <col min="4124" max="4129" width="7.28515625" style="798" customWidth="1"/>
    <col min="4130" max="4130" width="8.5703125" style="798" bestFit="1" customWidth="1"/>
    <col min="4131" max="4131" width="8.28515625" style="798" customWidth="1"/>
    <col min="4132" max="4132" width="9" style="798" customWidth="1"/>
    <col min="4133" max="4133" width="8.7109375" style="798" customWidth="1"/>
    <col min="4134" max="4135" width="9.7109375" style="798" customWidth="1"/>
    <col min="4136" max="4136" width="8.5703125" style="798" bestFit="1" customWidth="1"/>
    <col min="4137" max="4137" width="10.42578125" style="798" bestFit="1" customWidth="1"/>
    <col min="4138" max="4138" width="6.7109375" style="798" customWidth="1"/>
    <col min="4139" max="4139" width="5.85546875" style="798" bestFit="1" customWidth="1"/>
    <col min="4140" max="4141" width="7.5703125" style="798" bestFit="1" customWidth="1"/>
    <col min="4142" max="4142" width="7.42578125" style="798" bestFit="1" customWidth="1"/>
    <col min="4143" max="4143" width="5.7109375" style="798" bestFit="1" customWidth="1"/>
    <col min="4144" max="4144" width="8.85546875" style="798" bestFit="1" customWidth="1"/>
    <col min="4145" max="4145" width="12.5703125" style="798" bestFit="1" customWidth="1"/>
    <col min="4146" max="4146" width="8.5703125" style="798" bestFit="1" customWidth="1"/>
    <col min="4147" max="4149" width="6.7109375" style="798" customWidth="1"/>
    <col min="4150" max="4150" width="7.5703125" style="798" bestFit="1" customWidth="1"/>
    <col min="4151" max="4151" width="6.7109375" style="798" customWidth="1"/>
    <col min="4152" max="4152" width="12" style="798" bestFit="1" customWidth="1"/>
    <col min="4153" max="4172" width="4.7109375" style="798" customWidth="1"/>
    <col min="4173" max="4353" width="9.140625" style="798"/>
    <col min="4354" max="4354" width="3.5703125" style="798" customWidth="1"/>
    <col min="4355" max="4355" width="11.7109375" style="798" customWidth="1"/>
    <col min="4356" max="4356" width="0" style="798" hidden="1" customWidth="1"/>
    <col min="4357" max="4358" width="6.28515625" style="798" bestFit="1" customWidth="1"/>
    <col min="4359" max="4359" width="5.7109375" style="798" bestFit="1" customWidth="1"/>
    <col min="4360" max="4360" width="5.140625" style="798" bestFit="1" customWidth="1"/>
    <col min="4361" max="4361" width="5.140625" style="798" customWidth="1"/>
    <col min="4362" max="4362" width="6.85546875" style="798" bestFit="1" customWidth="1"/>
    <col min="4363" max="4363" width="5.42578125" style="798" bestFit="1" customWidth="1"/>
    <col min="4364" max="4364" width="5.85546875" style="798" bestFit="1" customWidth="1"/>
    <col min="4365" max="4365" width="6" style="798" customWidth="1"/>
    <col min="4366" max="4367" width="6.7109375" style="798" customWidth="1"/>
    <col min="4368" max="4368" width="6.42578125" style="798" bestFit="1" customWidth="1"/>
    <col min="4369" max="4379" width="6.42578125" style="798" customWidth="1"/>
    <col min="4380" max="4385" width="7.28515625" style="798" customWidth="1"/>
    <col min="4386" max="4386" width="8.5703125" style="798" bestFit="1" customWidth="1"/>
    <col min="4387" max="4387" width="8.28515625" style="798" customWidth="1"/>
    <col min="4388" max="4388" width="9" style="798" customWidth="1"/>
    <col min="4389" max="4389" width="8.7109375" style="798" customWidth="1"/>
    <col min="4390" max="4391" width="9.7109375" style="798" customWidth="1"/>
    <col min="4392" max="4392" width="8.5703125" style="798" bestFit="1" customWidth="1"/>
    <col min="4393" max="4393" width="10.42578125" style="798" bestFit="1" customWidth="1"/>
    <col min="4394" max="4394" width="6.7109375" style="798" customWidth="1"/>
    <col min="4395" max="4395" width="5.85546875" style="798" bestFit="1" customWidth="1"/>
    <col min="4396" max="4397" width="7.5703125" style="798" bestFit="1" customWidth="1"/>
    <col min="4398" max="4398" width="7.42578125" style="798" bestFit="1" customWidth="1"/>
    <col min="4399" max="4399" width="5.7109375" style="798" bestFit="1" customWidth="1"/>
    <col min="4400" max="4400" width="8.85546875" style="798" bestFit="1" customWidth="1"/>
    <col min="4401" max="4401" width="12.5703125" style="798" bestFit="1" customWidth="1"/>
    <col min="4402" max="4402" width="8.5703125" style="798" bestFit="1" customWidth="1"/>
    <col min="4403" max="4405" width="6.7109375" style="798" customWidth="1"/>
    <col min="4406" max="4406" width="7.5703125" style="798" bestFit="1" customWidth="1"/>
    <col min="4407" max="4407" width="6.7109375" style="798" customWidth="1"/>
    <col min="4408" max="4408" width="12" style="798" bestFit="1" customWidth="1"/>
    <col min="4409" max="4428" width="4.7109375" style="798" customWidth="1"/>
    <col min="4429" max="4609" width="9.140625" style="798"/>
    <col min="4610" max="4610" width="3.5703125" style="798" customWidth="1"/>
    <col min="4611" max="4611" width="11.7109375" style="798" customWidth="1"/>
    <col min="4612" max="4612" width="0" style="798" hidden="1" customWidth="1"/>
    <col min="4613" max="4614" width="6.28515625" style="798" bestFit="1" customWidth="1"/>
    <col min="4615" max="4615" width="5.7109375" style="798" bestFit="1" customWidth="1"/>
    <col min="4616" max="4616" width="5.140625" style="798" bestFit="1" customWidth="1"/>
    <col min="4617" max="4617" width="5.140625" style="798" customWidth="1"/>
    <col min="4618" max="4618" width="6.85546875" style="798" bestFit="1" customWidth="1"/>
    <col min="4619" max="4619" width="5.42578125" style="798" bestFit="1" customWidth="1"/>
    <col min="4620" max="4620" width="5.85546875" style="798" bestFit="1" customWidth="1"/>
    <col min="4621" max="4621" width="6" style="798" customWidth="1"/>
    <col min="4622" max="4623" width="6.7109375" style="798" customWidth="1"/>
    <col min="4624" max="4624" width="6.42578125" style="798" bestFit="1" customWidth="1"/>
    <col min="4625" max="4635" width="6.42578125" style="798" customWidth="1"/>
    <col min="4636" max="4641" width="7.28515625" style="798" customWidth="1"/>
    <col min="4642" max="4642" width="8.5703125" style="798" bestFit="1" customWidth="1"/>
    <col min="4643" max="4643" width="8.28515625" style="798" customWidth="1"/>
    <col min="4644" max="4644" width="9" style="798" customWidth="1"/>
    <col min="4645" max="4645" width="8.7109375" style="798" customWidth="1"/>
    <col min="4646" max="4647" width="9.7109375" style="798" customWidth="1"/>
    <col min="4648" max="4648" width="8.5703125" style="798" bestFit="1" customWidth="1"/>
    <col min="4649" max="4649" width="10.42578125" style="798" bestFit="1" customWidth="1"/>
    <col min="4650" max="4650" width="6.7109375" style="798" customWidth="1"/>
    <col min="4651" max="4651" width="5.85546875" style="798" bestFit="1" customWidth="1"/>
    <col min="4652" max="4653" width="7.5703125" style="798" bestFit="1" customWidth="1"/>
    <col min="4654" max="4654" width="7.42578125" style="798" bestFit="1" customWidth="1"/>
    <col min="4655" max="4655" width="5.7109375" style="798" bestFit="1" customWidth="1"/>
    <col min="4656" max="4656" width="8.85546875" style="798" bestFit="1" customWidth="1"/>
    <col min="4657" max="4657" width="12.5703125" style="798" bestFit="1" customWidth="1"/>
    <col min="4658" max="4658" width="8.5703125" style="798" bestFit="1" customWidth="1"/>
    <col min="4659" max="4661" width="6.7109375" style="798" customWidth="1"/>
    <col min="4662" max="4662" width="7.5703125" style="798" bestFit="1" customWidth="1"/>
    <col min="4663" max="4663" width="6.7109375" style="798" customWidth="1"/>
    <col min="4664" max="4664" width="12" style="798" bestFit="1" customWidth="1"/>
    <col min="4665" max="4684" width="4.7109375" style="798" customWidth="1"/>
    <col min="4685" max="4865" width="9.140625" style="798"/>
    <col min="4866" max="4866" width="3.5703125" style="798" customWidth="1"/>
    <col min="4867" max="4867" width="11.7109375" style="798" customWidth="1"/>
    <col min="4868" max="4868" width="0" style="798" hidden="1" customWidth="1"/>
    <col min="4869" max="4870" width="6.28515625" style="798" bestFit="1" customWidth="1"/>
    <col min="4871" max="4871" width="5.7109375" style="798" bestFit="1" customWidth="1"/>
    <col min="4872" max="4872" width="5.140625" style="798" bestFit="1" customWidth="1"/>
    <col min="4873" max="4873" width="5.140625" style="798" customWidth="1"/>
    <col min="4874" max="4874" width="6.85546875" style="798" bestFit="1" customWidth="1"/>
    <col min="4875" max="4875" width="5.42578125" style="798" bestFit="1" customWidth="1"/>
    <col min="4876" max="4876" width="5.85546875" style="798" bestFit="1" customWidth="1"/>
    <col min="4877" max="4877" width="6" style="798" customWidth="1"/>
    <col min="4878" max="4879" width="6.7109375" style="798" customWidth="1"/>
    <col min="4880" max="4880" width="6.42578125" style="798" bestFit="1" customWidth="1"/>
    <col min="4881" max="4891" width="6.42578125" style="798" customWidth="1"/>
    <col min="4892" max="4897" width="7.28515625" style="798" customWidth="1"/>
    <col min="4898" max="4898" width="8.5703125" style="798" bestFit="1" customWidth="1"/>
    <col min="4899" max="4899" width="8.28515625" style="798" customWidth="1"/>
    <col min="4900" max="4900" width="9" style="798" customWidth="1"/>
    <col min="4901" max="4901" width="8.7109375" style="798" customWidth="1"/>
    <col min="4902" max="4903" width="9.7109375" style="798" customWidth="1"/>
    <col min="4904" max="4904" width="8.5703125" style="798" bestFit="1" customWidth="1"/>
    <col min="4905" max="4905" width="10.42578125" style="798" bestFit="1" customWidth="1"/>
    <col min="4906" max="4906" width="6.7109375" style="798" customWidth="1"/>
    <col min="4907" max="4907" width="5.85546875" style="798" bestFit="1" customWidth="1"/>
    <col min="4908" max="4909" width="7.5703125" style="798" bestFit="1" customWidth="1"/>
    <col min="4910" max="4910" width="7.42578125" style="798" bestFit="1" customWidth="1"/>
    <col min="4911" max="4911" width="5.7109375" style="798" bestFit="1" customWidth="1"/>
    <col min="4912" max="4912" width="8.85546875" style="798" bestFit="1" customWidth="1"/>
    <col min="4913" max="4913" width="12.5703125" style="798" bestFit="1" customWidth="1"/>
    <col min="4914" max="4914" width="8.5703125" style="798" bestFit="1" customWidth="1"/>
    <col min="4915" max="4917" width="6.7109375" style="798" customWidth="1"/>
    <col min="4918" max="4918" width="7.5703125" style="798" bestFit="1" customWidth="1"/>
    <col min="4919" max="4919" width="6.7109375" style="798" customWidth="1"/>
    <col min="4920" max="4920" width="12" style="798" bestFit="1" customWidth="1"/>
    <col min="4921" max="4940" width="4.7109375" style="798" customWidth="1"/>
    <col min="4941" max="5121" width="9.140625" style="798"/>
    <col min="5122" max="5122" width="3.5703125" style="798" customWidth="1"/>
    <col min="5123" max="5123" width="11.7109375" style="798" customWidth="1"/>
    <col min="5124" max="5124" width="0" style="798" hidden="1" customWidth="1"/>
    <col min="5125" max="5126" width="6.28515625" style="798" bestFit="1" customWidth="1"/>
    <col min="5127" max="5127" width="5.7109375" style="798" bestFit="1" customWidth="1"/>
    <col min="5128" max="5128" width="5.140625" style="798" bestFit="1" customWidth="1"/>
    <col min="5129" max="5129" width="5.140625" style="798" customWidth="1"/>
    <col min="5130" max="5130" width="6.85546875" style="798" bestFit="1" customWidth="1"/>
    <col min="5131" max="5131" width="5.42578125" style="798" bestFit="1" customWidth="1"/>
    <col min="5132" max="5132" width="5.85546875" style="798" bestFit="1" customWidth="1"/>
    <col min="5133" max="5133" width="6" style="798" customWidth="1"/>
    <col min="5134" max="5135" width="6.7109375" style="798" customWidth="1"/>
    <col min="5136" max="5136" width="6.42578125" style="798" bestFit="1" customWidth="1"/>
    <col min="5137" max="5147" width="6.42578125" style="798" customWidth="1"/>
    <col min="5148" max="5153" width="7.28515625" style="798" customWidth="1"/>
    <col min="5154" max="5154" width="8.5703125" style="798" bestFit="1" customWidth="1"/>
    <col min="5155" max="5155" width="8.28515625" style="798" customWidth="1"/>
    <col min="5156" max="5156" width="9" style="798" customWidth="1"/>
    <col min="5157" max="5157" width="8.7109375" style="798" customWidth="1"/>
    <col min="5158" max="5159" width="9.7109375" style="798" customWidth="1"/>
    <col min="5160" max="5160" width="8.5703125" style="798" bestFit="1" customWidth="1"/>
    <col min="5161" max="5161" width="10.42578125" style="798" bestFit="1" customWidth="1"/>
    <col min="5162" max="5162" width="6.7109375" style="798" customWidth="1"/>
    <col min="5163" max="5163" width="5.85546875" style="798" bestFit="1" customWidth="1"/>
    <col min="5164" max="5165" width="7.5703125" style="798" bestFit="1" customWidth="1"/>
    <col min="5166" max="5166" width="7.42578125" style="798" bestFit="1" customWidth="1"/>
    <col min="5167" max="5167" width="5.7109375" style="798" bestFit="1" customWidth="1"/>
    <col min="5168" max="5168" width="8.85546875" style="798" bestFit="1" customWidth="1"/>
    <col min="5169" max="5169" width="12.5703125" style="798" bestFit="1" customWidth="1"/>
    <col min="5170" max="5170" width="8.5703125" style="798" bestFit="1" customWidth="1"/>
    <col min="5171" max="5173" width="6.7109375" style="798" customWidth="1"/>
    <col min="5174" max="5174" width="7.5703125" style="798" bestFit="1" customWidth="1"/>
    <col min="5175" max="5175" width="6.7109375" style="798" customWidth="1"/>
    <col min="5176" max="5176" width="12" style="798" bestFit="1" customWidth="1"/>
    <col min="5177" max="5196" width="4.7109375" style="798" customWidth="1"/>
    <col min="5197" max="5377" width="9.140625" style="798"/>
    <col min="5378" max="5378" width="3.5703125" style="798" customWidth="1"/>
    <col min="5379" max="5379" width="11.7109375" style="798" customWidth="1"/>
    <col min="5380" max="5380" width="0" style="798" hidden="1" customWidth="1"/>
    <col min="5381" max="5382" width="6.28515625" style="798" bestFit="1" customWidth="1"/>
    <col min="5383" max="5383" width="5.7109375" style="798" bestFit="1" customWidth="1"/>
    <col min="5384" max="5384" width="5.140625" style="798" bestFit="1" customWidth="1"/>
    <col min="5385" max="5385" width="5.140625" style="798" customWidth="1"/>
    <col min="5386" max="5386" width="6.85546875" style="798" bestFit="1" customWidth="1"/>
    <col min="5387" max="5387" width="5.42578125" style="798" bestFit="1" customWidth="1"/>
    <col min="5388" max="5388" width="5.85546875" style="798" bestFit="1" customWidth="1"/>
    <col min="5389" max="5389" width="6" style="798" customWidth="1"/>
    <col min="5390" max="5391" width="6.7109375" style="798" customWidth="1"/>
    <col min="5392" max="5392" width="6.42578125" style="798" bestFit="1" customWidth="1"/>
    <col min="5393" max="5403" width="6.42578125" style="798" customWidth="1"/>
    <col min="5404" max="5409" width="7.28515625" style="798" customWidth="1"/>
    <col min="5410" max="5410" width="8.5703125" style="798" bestFit="1" customWidth="1"/>
    <col min="5411" max="5411" width="8.28515625" style="798" customWidth="1"/>
    <col min="5412" max="5412" width="9" style="798" customWidth="1"/>
    <col min="5413" max="5413" width="8.7109375" style="798" customWidth="1"/>
    <col min="5414" max="5415" width="9.7109375" style="798" customWidth="1"/>
    <col min="5416" max="5416" width="8.5703125" style="798" bestFit="1" customWidth="1"/>
    <col min="5417" max="5417" width="10.42578125" style="798" bestFit="1" customWidth="1"/>
    <col min="5418" max="5418" width="6.7109375" style="798" customWidth="1"/>
    <col min="5419" max="5419" width="5.85546875" style="798" bestFit="1" customWidth="1"/>
    <col min="5420" max="5421" width="7.5703125" style="798" bestFit="1" customWidth="1"/>
    <col min="5422" max="5422" width="7.42578125" style="798" bestFit="1" customWidth="1"/>
    <col min="5423" max="5423" width="5.7109375" style="798" bestFit="1" customWidth="1"/>
    <col min="5424" max="5424" width="8.85546875" style="798" bestFit="1" customWidth="1"/>
    <col min="5425" max="5425" width="12.5703125" style="798" bestFit="1" customWidth="1"/>
    <col min="5426" max="5426" width="8.5703125" style="798" bestFit="1" customWidth="1"/>
    <col min="5427" max="5429" width="6.7109375" style="798" customWidth="1"/>
    <col min="5430" max="5430" width="7.5703125" style="798" bestFit="1" customWidth="1"/>
    <col min="5431" max="5431" width="6.7109375" style="798" customWidth="1"/>
    <col min="5432" max="5432" width="12" style="798" bestFit="1" customWidth="1"/>
    <col min="5433" max="5452" width="4.7109375" style="798" customWidth="1"/>
    <col min="5453" max="5633" width="9.140625" style="798"/>
    <col min="5634" max="5634" width="3.5703125" style="798" customWidth="1"/>
    <col min="5635" max="5635" width="11.7109375" style="798" customWidth="1"/>
    <col min="5636" max="5636" width="0" style="798" hidden="1" customWidth="1"/>
    <col min="5637" max="5638" width="6.28515625" style="798" bestFit="1" customWidth="1"/>
    <col min="5639" max="5639" width="5.7109375" style="798" bestFit="1" customWidth="1"/>
    <col min="5640" max="5640" width="5.140625" style="798" bestFit="1" customWidth="1"/>
    <col min="5641" max="5641" width="5.140625" style="798" customWidth="1"/>
    <col min="5642" max="5642" width="6.85546875" style="798" bestFit="1" customWidth="1"/>
    <col min="5643" max="5643" width="5.42578125" style="798" bestFit="1" customWidth="1"/>
    <col min="5644" max="5644" width="5.85546875" style="798" bestFit="1" customWidth="1"/>
    <col min="5645" max="5645" width="6" style="798" customWidth="1"/>
    <col min="5646" max="5647" width="6.7109375" style="798" customWidth="1"/>
    <col min="5648" max="5648" width="6.42578125" style="798" bestFit="1" customWidth="1"/>
    <col min="5649" max="5659" width="6.42578125" style="798" customWidth="1"/>
    <col min="5660" max="5665" width="7.28515625" style="798" customWidth="1"/>
    <col min="5666" max="5666" width="8.5703125" style="798" bestFit="1" customWidth="1"/>
    <col min="5667" max="5667" width="8.28515625" style="798" customWidth="1"/>
    <col min="5668" max="5668" width="9" style="798" customWidth="1"/>
    <col min="5669" max="5669" width="8.7109375" style="798" customWidth="1"/>
    <col min="5670" max="5671" width="9.7109375" style="798" customWidth="1"/>
    <col min="5672" max="5672" width="8.5703125" style="798" bestFit="1" customWidth="1"/>
    <col min="5673" max="5673" width="10.42578125" style="798" bestFit="1" customWidth="1"/>
    <col min="5674" max="5674" width="6.7109375" style="798" customWidth="1"/>
    <col min="5675" max="5675" width="5.85546875" style="798" bestFit="1" customWidth="1"/>
    <col min="5676" max="5677" width="7.5703125" style="798" bestFit="1" customWidth="1"/>
    <col min="5678" max="5678" width="7.42578125" style="798" bestFit="1" customWidth="1"/>
    <col min="5679" max="5679" width="5.7109375" style="798" bestFit="1" customWidth="1"/>
    <col min="5680" max="5680" width="8.85546875" style="798" bestFit="1" customWidth="1"/>
    <col min="5681" max="5681" width="12.5703125" style="798" bestFit="1" customWidth="1"/>
    <col min="5682" max="5682" width="8.5703125" style="798" bestFit="1" customWidth="1"/>
    <col min="5683" max="5685" width="6.7109375" style="798" customWidth="1"/>
    <col min="5686" max="5686" width="7.5703125" style="798" bestFit="1" customWidth="1"/>
    <col min="5687" max="5687" width="6.7109375" style="798" customWidth="1"/>
    <col min="5688" max="5688" width="12" style="798" bestFit="1" customWidth="1"/>
    <col min="5689" max="5708" width="4.7109375" style="798" customWidth="1"/>
    <col min="5709" max="5889" width="9.140625" style="798"/>
    <col min="5890" max="5890" width="3.5703125" style="798" customWidth="1"/>
    <col min="5891" max="5891" width="11.7109375" style="798" customWidth="1"/>
    <col min="5892" max="5892" width="0" style="798" hidden="1" customWidth="1"/>
    <col min="5893" max="5894" width="6.28515625" style="798" bestFit="1" customWidth="1"/>
    <col min="5895" max="5895" width="5.7109375" style="798" bestFit="1" customWidth="1"/>
    <col min="5896" max="5896" width="5.140625" style="798" bestFit="1" customWidth="1"/>
    <col min="5897" max="5897" width="5.140625" style="798" customWidth="1"/>
    <col min="5898" max="5898" width="6.85546875" style="798" bestFit="1" customWidth="1"/>
    <col min="5899" max="5899" width="5.42578125" style="798" bestFit="1" customWidth="1"/>
    <col min="5900" max="5900" width="5.85546875" style="798" bestFit="1" customWidth="1"/>
    <col min="5901" max="5901" width="6" style="798" customWidth="1"/>
    <col min="5902" max="5903" width="6.7109375" style="798" customWidth="1"/>
    <col min="5904" max="5904" width="6.42578125" style="798" bestFit="1" customWidth="1"/>
    <col min="5905" max="5915" width="6.42578125" style="798" customWidth="1"/>
    <col min="5916" max="5921" width="7.28515625" style="798" customWidth="1"/>
    <col min="5922" max="5922" width="8.5703125" style="798" bestFit="1" customWidth="1"/>
    <col min="5923" max="5923" width="8.28515625" style="798" customWidth="1"/>
    <col min="5924" max="5924" width="9" style="798" customWidth="1"/>
    <col min="5925" max="5925" width="8.7109375" style="798" customWidth="1"/>
    <col min="5926" max="5927" width="9.7109375" style="798" customWidth="1"/>
    <col min="5928" max="5928" width="8.5703125" style="798" bestFit="1" customWidth="1"/>
    <col min="5929" max="5929" width="10.42578125" style="798" bestFit="1" customWidth="1"/>
    <col min="5930" max="5930" width="6.7109375" style="798" customWidth="1"/>
    <col min="5931" max="5931" width="5.85546875" style="798" bestFit="1" customWidth="1"/>
    <col min="5932" max="5933" width="7.5703125" style="798" bestFit="1" customWidth="1"/>
    <col min="5934" max="5934" width="7.42578125" style="798" bestFit="1" customWidth="1"/>
    <col min="5935" max="5935" width="5.7109375" style="798" bestFit="1" customWidth="1"/>
    <col min="5936" max="5936" width="8.85546875" style="798" bestFit="1" customWidth="1"/>
    <col min="5937" max="5937" width="12.5703125" style="798" bestFit="1" customWidth="1"/>
    <col min="5938" max="5938" width="8.5703125" style="798" bestFit="1" customWidth="1"/>
    <col min="5939" max="5941" width="6.7109375" style="798" customWidth="1"/>
    <col min="5942" max="5942" width="7.5703125" style="798" bestFit="1" customWidth="1"/>
    <col min="5943" max="5943" width="6.7109375" style="798" customWidth="1"/>
    <col min="5944" max="5944" width="12" style="798" bestFit="1" customWidth="1"/>
    <col min="5945" max="5964" width="4.7109375" style="798" customWidth="1"/>
    <col min="5965" max="6145" width="9.140625" style="798"/>
    <col min="6146" max="6146" width="3.5703125" style="798" customWidth="1"/>
    <col min="6147" max="6147" width="11.7109375" style="798" customWidth="1"/>
    <col min="6148" max="6148" width="0" style="798" hidden="1" customWidth="1"/>
    <col min="6149" max="6150" width="6.28515625" style="798" bestFit="1" customWidth="1"/>
    <col min="6151" max="6151" width="5.7109375" style="798" bestFit="1" customWidth="1"/>
    <col min="6152" max="6152" width="5.140625" style="798" bestFit="1" customWidth="1"/>
    <col min="6153" max="6153" width="5.140625" style="798" customWidth="1"/>
    <col min="6154" max="6154" width="6.85546875" style="798" bestFit="1" customWidth="1"/>
    <col min="6155" max="6155" width="5.42578125" style="798" bestFit="1" customWidth="1"/>
    <col min="6156" max="6156" width="5.85546875" style="798" bestFit="1" customWidth="1"/>
    <col min="6157" max="6157" width="6" style="798" customWidth="1"/>
    <col min="6158" max="6159" width="6.7109375" style="798" customWidth="1"/>
    <col min="6160" max="6160" width="6.42578125" style="798" bestFit="1" customWidth="1"/>
    <col min="6161" max="6171" width="6.42578125" style="798" customWidth="1"/>
    <col min="6172" max="6177" width="7.28515625" style="798" customWidth="1"/>
    <col min="6178" max="6178" width="8.5703125" style="798" bestFit="1" customWidth="1"/>
    <col min="6179" max="6179" width="8.28515625" style="798" customWidth="1"/>
    <col min="6180" max="6180" width="9" style="798" customWidth="1"/>
    <col min="6181" max="6181" width="8.7109375" style="798" customWidth="1"/>
    <col min="6182" max="6183" width="9.7109375" style="798" customWidth="1"/>
    <col min="6184" max="6184" width="8.5703125" style="798" bestFit="1" customWidth="1"/>
    <col min="6185" max="6185" width="10.42578125" style="798" bestFit="1" customWidth="1"/>
    <col min="6186" max="6186" width="6.7109375" style="798" customWidth="1"/>
    <col min="6187" max="6187" width="5.85546875" style="798" bestFit="1" customWidth="1"/>
    <col min="6188" max="6189" width="7.5703125" style="798" bestFit="1" customWidth="1"/>
    <col min="6190" max="6190" width="7.42578125" style="798" bestFit="1" customWidth="1"/>
    <col min="6191" max="6191" width="5.7109375" style="798" bestFit="1" customWidth="1"/>
    <col min="6192" max="6192" width="8.85546875" style="798" bestFit="1" customWidth="1"/>
    <col min="6193" max="6193" width="12.5703125" style="798" bestFit="1" customWidth="1"/>
    <col min="6194" max="6194" width="8.5703125" style="798" bestFit="1" customWidth="1"/>
    <col min="6195" max="6197" width="6.7109375" style="798" customWidth="1"/>
    <col min="6198" max="6198" width="7.5703125" style="798" bestFit="1" customWidth="1"/>
    <col min="6199" max="6199" width="6.7109375" style="798" customWidth="1"/>
    <col min="6200" max="6200" width="12" style="798" bestFit="1" customWidth="1"/>
    <col min="6201" max="6220" width="4.7109375" style="798" customWidth="1"/>
    <col min="6221" max="6401" width="9.140625" style="798"/>
    <col min="6402" max="6402" width="3.5703125" style="798" customWidth="1"/>
    <col min="6403" max="6403" width="11.7109375" style="798" customWidth="1"/>
    <col min="6404" max="6404" width="0" style="798" hidden="1" customWidth="1"/>
    <col min="6405" max="6406" width="6.28515625" style="798" bestFit="1" customWidth="1"/>
    <col min="6407" max="6407" width="5.7109375" style="798" bestFit="1" customWidth="1"/>
    <col min="6408" max="6408" width="5.140625" style="798" bestFit="1" customWidth="1"/>
    <col min="6409" max="6409" width="5.140625" style="798" customWidth="1"/>
    <col min="6410" max="6410" width="6.85546875" style="798" bestFit="1" customWidth="1"/>
    <col min="6411" max="6411" width="5.42578125" style="798" bestFit="1" customWidth="1"/>
    <col min="6412" max="6412" width="5.85546875" style="798" bestFit="1" customWidth="1"/>
    <col min="6413" max="6413" width="6" style="798" customWidth="1"/>
    <col min="6414" max="6415" width="6.7109375" style="798" customWidth="1"/>
    <col min="6416" max="6416" width="6.42578125" style="798" bestFit="1" customWidth="1"/>
    <col min="6417" max="6427" width="6.42578125" style="798" customWidth="1"/>
    <col min="6428" max="6433" width="7.28515625" style="798" customWidth="1"/>
    <col min="6434" max="6434" width="8.5703125" style="798" bestFit="1" customWidth="1"/>
    <col min="6435" max="6435" width="8.28515625" style="798" customWidth="1"/>
    <col min="6436" max="6436" width="9" style="798" customWidth="1"/>
    <col min="6437" max="6437" width="8.7109375" style="798" customWidth="1"/>
    <col min="6438" max="6439" width="9.7109375" style="798" customWidth="1"/>
    <col min="6440" max="6440" width="8.5703125" style="798" bestFit="1" customWidth="1"/>
    <col min="6441" max="6441" width="10.42578125" style="798" bestFit="1" customWidth="1"/>
    <col min="6442" max="6442" width="6.7109375" style="798" customWidth="1"/>
    <col min="6443" max="6443" width="5.85546875" style="798" bestFit="1" customWidth="1"/>
    <col min="6444" max="6445" width="7.5703125" style="798" bestFit="1" customWidth="1"/>
    <col min="6446" max="6446" width="7.42578125" style="798" bestFit="1" customWidth="1"/>
    <col min="6447" max="6447" width="5.7109375" style="798" bestFit="1" customWidth="1"/>
    <col min="6448" max="6448" width="8.85546875" style="798" bestFit="1" customWidth="1"/>
    <col min="6449" max="6449" width="12.5703125" style="798" bestFit="1" customWidth="1"/>
    <col min="6450" max="6450" width="8.5703125" style="798" bestFit="1" customWidth="1"/>
    <col min="6451" max="6453" width="6.7109375" style="798" customWidth="1"/>
    <col min="6454" max="6454" width="7.5703125" style="798" bestFit="1" customWidth="1"/>
    <col min="6455" max="6455" width="6.7109375" style="798" customWidth="1"/>
    <col min="6456" max="6456" width="12" style="798" bestFit="1" customWidth="1"/>
    <col min="6457" max="6476" width="4.7109375" style="798" customWidth="1"/>
    <col min="6477" max="6657" width="9.140625" style="798"/>
    <col min="6658" max="6658" width="3.5703125" style="798" customWidth="1"/>
    <col min="6659" max="6659" width="11.7109375" style="798" customWidth="1"/>
    <col min="6660" max="6660" width="0" style="798" hidden="1" customWidth="1"/>
    <col min="6661" max="6662" width="6.28515625" style="798" bestFit="1" customWidth="1"/>
    <col min="6663" max="6663" width="5.7109375" style="798" bestFit="1" customWidth="1"/>
    <col min="6664" max="6664" width="5.140625" style="798" bestFit="1" customWidth="1"/>
    <col min="6665" max="6665" width="5.140625" style="798" customWidth="1"/>
    <col min="6666" max="6666" width="6.85546875" style="798" bestFit="1" customWidth="1"/>
    <col min="6667" max="6667" width="5.42578125" style="798" bestFit="1" customWidth="1"/>
    <col min="6668" max="6668" width="5.85546875" style="798" bestFit="1" customWidth="1"/>
    <col min="6669" max="6669" width="6" style="798" customWidth="1"/>
    <col min="6670" max="6671" width="6.7109375" style="798" customWidth="1"/>
    <col min="6672" max="6672" width="6.42578125" style="798" bestFit="1" customWidth="1"/>
    <col min="6673" max="6683" width="6.42578125" style="798" customWidth="1"/>
    <col min="6684" max="6689" width="7.28515625" style="798" customWidth="1"/>
    <col min="6690" max="6690" width="8.5703125" style="798" bestFit="1" customWidth="1"/>
    <col min="6691" max="6691" width="8.28515625" style="798" customWidth="1"/>
    <col min="6692" max="6692" width="9" style="798" customWidth="1"/>
    <col min="6693" max="6693" width="8.7109375" style="798" customWidth="1"/>
    <col min="6694" max="6695" width="9.7109375" style="798" customWidth="1"/>
    <col min="6696" max="6696" width="8.5703125" style="798" bestFit="1" customWidth="1"/>
    <col min="6697" max="6697" width="10.42578125" style="798" bestFit="1" customWidth="1"/>
    <col min="6698" max="6698" width="6.7109375" style="798" customWidth="1"/>
    <col min="6699" max="6699" width="5.85546875" style="798" bestFit="1" customWidth="1"/>
    <col min="6700" max="6701" width="7.5703125" style="798" bestFit="1" customWidth="1"/>
    <col min="6702" max="6702" width="7.42578125" style="798" bestFit="1" customWidth="1"/>
    <col min="6703" max="6703" width="5.7109375" style="798" bestFit="1" customWidth="1"/>
    <col min="6704" max="6704" width="8.85546875" style="798" bestFit="1" customWidth="1"/>
    <col min="6705" max="6705" width="12.5703125" style="798" bestFit="1" customWidth="1"/>
    <col min="6706" max="6706" width="8.5703125" style="798" bestFit="1" customWidth="1"/>
    <col min="6707" max="6709" width="6.7109375" style="798" customWidth="1"/>
    <col min="6710" max="6710" width="7.5703125" style="798" bestFit="1" customWidth="1"/>
    <col min="6711" max="6711" width="6.7109375" style="798" customWidth="1"/>
    <col min="6712" max="6712" width="12" style="798" bestFit="1" customWidth="1"/>
    <col min="6713" max="6732" width="4.7109375" style="798" customWidth="1"/>
    <col min="6733" max="6913" width="9.140625" style="798"/>
    <col min="6914" max="6914" width="3.5703125" style="798" customWidth="1"/>
    <col min="6915" max="6915" width="11.7109375" style="798" customWidth="1"/>
    <col min="6916" max="6916" width="0" style="798" hidden="1" customWidth="1"/>
    <col min="6917" max="6918" width="6.28515625" style="798" bestFit="1" customWidth="1"/>
    <col min="6919" max="6919" width="5.7109375" style="798" bestFit="1" customWidth="1"/>
    <col min="6920" max="6920" width="5.140625" style="798" bestFit="1" customWidth="1"/>
    <col min="6921" max="6921" width="5.140625" style="798" customWidth="1"/>
    <col min="6922" max="6922" width="6.85546875" style="798" bestFit="1" customWidth="1"/>
    <col min="6923" max="6923" width="5.42578125" style="798" bestFit="1" customWidth="1"/>
    <col min="6924" max="6924" width="5.85546875" style="798" bestFit="1" customWidth="1"/>
    <col min="6925" max="6925" width="6" style="798" customWidth="1"/>
    <col min="6926" max="6927" width="6.7109375" style="798" customWidth="1"/>
    <col min="6928" max="6928" width="6.42578125" style="798" bestFit="1" customWidth="1"/>
    <col min="6929" max="6939" width="6.42578125" style="798" customWidth="1"/>
    <col min="6940" max="6945" width="7.28515625" style="798" customWidth="1"/>
    <col min="6946" max="6946" width="8.5703125" style="798" bestFit="1" customWidth="1"/>
    <col min="6947" max="6947" width="8.28515625" style="798" customWidth="1"/>
    <col min="6948" max="6948" width="9" style="798" customWidth="1"/>
    <col min="6949" max="6949" width="8.7109375" style="798" customWidth="1"/>
    <col min="6950" max="6951" width="9.7109375" style="798" customWidth="1"/>
    <col min="6952" max="6952" width="8.5703125" style="798" bestFit="1" customWidth="1"/>
    <col min="6953" max="6953" width="10.42578125" style="798" bestFit="1" customWidth="1"/>
    <col min="6954" max="6954" width="6.7109375" style="798" customWidth="1"/>
    <col min="6955" max="6955" width="5.85546875" style="798" bestFit="1" customWidth="1"/>
    <col min="6956" max="6957" width="7.5703125" style="798" bestFit="1" customWidth="1"/>
    <col min="6958" max="6958" width="7.42578125" style="798" bestFit="1" customWidth="1"/>
    <col min="6959" max="6959" width="5.7109375" style="798" bestFit="1" customWidth="1"/>
    <col min="6960" max="6960" width="8.85546875" style="798" bestFit="1" customWidth="1"/>
    <col min="6961" max="6961" width="12.5703125" style="798" bestFit="1" customWidth="1"/>
    <col min="6962" max="6962" width="8.5703125" style="798" bestFit="1" customWidth="1"/>
    <col min="6963" max="6965" width="6.7109375" style="798" customWidth="1"/>
    <col min="6966" max="6966" width="7.5703125" style="798" bestFit="1" customWidth="1"/>
    <col min="6967" max="6967" width="6.7109375" style="798" customWidth="1"/>
    <col min="6968" max="6968" width="12" style="798" bestFit="1" customWidth="1"/>
    <col min="6969" max="6988" width="4.7109375" style="798" customWidth="1"/>
    <col min="6989" max="7169" width="9.140625" style="798"/>
    <col min="7170" max="7170" width="3.5703125" style="798" customWidth="1"/>
    <col min="7171" max="7171" width="11.7109375" style="798" customWidth="1"/>
    <col min="7172" max="7172" width="0" style="798" hidden="1" customWidth="1"/>
    <col min="7173" max="7174" width="6.28515625" style="798" bestFit="1" customWidth="1"/>
    <col min="7175" max="7175" width="5.7109375" style="798" bestFit="1" customWidth="1"/>
    <col min="7176" max="7176" width="5.140625" style="798" bestFit="1" customWidth="1"/>
    <col min="7177" max="7177" width="5.140625" style="798" customWidth="1"/>
    <col min="7178" max="7178" width="6.85546875" style="798" bestFit="1" customWidth="1"/>
    <col min="7179" max="7179" width="5.42578125" style="798" bestFit="1" customWidth="1"/>
    <col min="7180" max="7180" width="5.85546875" style="798" bestFit="1" customWidth="1"/>
    <col min="7181" max="7181" width="6" style="798" customWidth="1"/>
    <col min="7182" max="7183" width="6.7109375" style="798" customWidth="1"/>
    <col min="7184" max="7184" width="6.42578125" style="798" bestFit="1" customWidth="1"/>
    <col min="7185" max="7195" width="6.42578125" style="798" customWidth="1"/>
    <col min="7196" max="7201" width="7.28515625" style="798" customWidth="1"/>
    <col min="7202" max="7202" width="8.5703125" style="798" bestFit="1" customWidth="1"/>
    <col min="7203" max="7203" width="8.28515625" style="798" customWidth="1"/>
    <col min="7204" max="7204" width="9" style="798" customWidth="1"/>
    <col min="7205" max="7205" width="8.7109375" style="798" customWidth="1"/>
    <col min="7206" max="7207" width="9.7109375" style="798" customWidth="1"/>
    <col min="7208" max="7208" width="8.5703125" style="798" bestFit="1" customWidth="1"/>
    <col min="7209" max="7209" width="10.42578125" style="798" bestFit="1" customWidth="1"/>
    <col min="7210" max="7210" width="6.7109375" style="798" customWidth="1"/>
    <col min="7211" max="7211" width="5.85546875" style="798" bestFit="1" customWidth="1"/>
    <col min="7212" max="7213" width="7.5703125" style="798" bestFit="1" customWidth="1"/>
    <col min="7214" max="7214" width="7.42578125" style="798" bestFit="1" customWidth="1"/>
    <col min="7215" max="7215" width="5.7109375" style="798" bestFit="1" customWidth="1"/>
    <col min="7216" max="7216" width="8.85546875" style="798" bestFit="1" customWidth="1"/>
    <col min="7217" max="7217" width="12.5703125" style="798" bestFit="1" customWidth="1"/>
    <col min="7218" max="7218" width="8.5703125" style="798" bestFit="1" customWidth="1"/>
    <col min="7219" max="7221" width="6.7109375" style="798" customWidth="1"/>
    <col min="7222" max="7222" width="7.5703125" style="798" bestFit="1" customWidth="1"/>
    <col min="7223" max="7223" width="6.7109375" style="798" customWidth="1"/>
    <col min="7224" max="7224" width="12" style="798" bestFit="1" customWidth="1"/>
    <col min="7225" max="7244" width="4.7109375" style="798" customWidth="1"/>
    <col min="7245" max="7425" width="9.140625" style="798"/>
    <col min="7426" max="7426" width="3.5703125" style="798" customWidth="1"/>
    <col min="7427" max="7427" width="11.7109375" style="798" customWidth="1"/>
    <col min="7428" max="7428" width="0" style="798" hidden="1" customWidth="1"/>
    <col min="7429" max="7430" width="6.28515625" style="798" bestFit="1" customWidth="1"/>
    <col min="7431" max="7431" width="5.7109375" style="798" bestFit="1" customWidth="1"/>
    <col min="7432" max="7432" width="5.140625" style="798" bestFit="1" customWidth="1"/>
    <col min="7433" max="7433" width="5.140625" style="798" customWidth="1"/>
    <col min="7434" max="7434" width="6.85546875" style="798" bestFit="1" customWidth="1"/>
    <col min="7435" max="7435" width="5.42578125" style="798" bestFit="1" customWidth="1"/>
    <col min="7436" max="7436" width="5.85546875" style="798" bestFit="1" customWidth="1"/>
    <col min="7437" max="7437" width="6" style="798" customWidth="1"/>
    <col min="7438" max="7439" width="6.7109375" style="798" customWidth="1"/>
    <col min="7440" max="7440" width="6.42578125" style="798" bestFit="1" customWidth="1"/>
    <col min="7441" max="7451" width="6.42578125" style="798" customWidth="1"/>
    <col min="7452" max="7457" width="7.28515625" style="798" customWidth="1"/>
    <col min="7458" max="7458" width="8.5703125" style="798" bestFit="1" customWidth="1"/>
    <col min="7459" max="7459" width="8.28515625" style="798" customWidth="1"/>
    <col min="7460" max="7460" width="9" style="798" customWidth="1"/>
    <col min="7461" max="7461" width="8.7109375" style="798" customWidth="1"/>
    <col min="7462" max="7463" width="9.7109375" style="798" customWidth="1"/>
    <col min="7464" max="7464" width="8.5703125" style="798" bestFit="1" customWidth="1"/>
    <col min="7465" max="7465" width="10.42578125" style="798" bestFit="1" customWidth="1"/>
    <col min="7466" max="7466" width="6.7109375" style="798" customWidth="1"/>
    <col min="7467" max="7467" width="5.85546875" style="798" bestFit="1" customWidth="1"/>
    <col min="7468" max="7469" width="7.5703125" style="798" bestFit="1" customWidth="1"/>
    <col min="7470" max="7470" width="7.42578125" style="798" bestFit="1" customWidth="1"/>
    <col min="7471" max="7471" width="5.7109375" style="798" bestFit="1" customWidth="1"/>
    <col min="7472" max="7472" width="8.85546875" style="798" bestFit="1" customWidth="1"/>
    <col min="7473" max="7473" width="12.5703125" style="798" bestFit="1" customWidth="1"/>
    <col min="7474" max="7474" width="8.5703125" style="798" bestFit="1" customWidth="1"/>
    <col min="7475" max="7477" width="6.7109375" style="798" customWidth="1"/>
    <col min="7478" max="7478" width="7.5703125" style="798" bestFit="1" customWidth="1"/>
    <col min="7479" max="7479" width="6.7109375" style="798" customWidth="1"/>
    <col min="7480" max="7480" width="12" style="798" bestFit="1" customWidth="1"/>
    <col min="7481" max="7500" width="4.7109375" style="798" customWidth="1"/>
    <col min="7501" max="7681" width="9.140625" style="798"/>
    <col min="7682" max="7682" width="3.5703125" style="798" customWidth="1"/>
    <col min="7683" max="7683" width="11.7109375" style="798" customWidth="1"/>
    <col min="7684" max="7684" width="0" style="798" hidden="1" customWidth="1"/>
    <col min="7685" max="7686" width="6.28515625" style="798" bestFit="1" customWidth="1"/>
    <col min="7687" max="7687" width="5.7109375" style="798" bestFit="1" customWidth="1"/>
    <col min="7688" max="7688" width="5.140625" style="798" bestFit="1" customWidth="1"/>
    <col min="7689" max="7689" width="5.140625" style="798" customWidth="1"/>
    <col min="7690" max="7690" width="6.85546875" style="798" bestFit="1" customWidth="1"/>
    <col min="7691" max="7691" width="5.42578125" style="798" bestFit="1" customWidth="1"/>
    <col min="7692" max="7692" width="5.85546875" style="798" bestFit="1" customWidth="1"/>
    <col min="7693" max="7693" width="6" style="798" customWidth="1"/>
    <col min="7694" max="7695" width="6.7109375" style="798" customWidth="1"/>
    <col min="7696" max="7696" width="6.42578125" style="798" bestFit="1" customWidth="1"/>
    <col min="7697" max="7707" width="6.42578125" style="798" customWidth="1"/>
    <col min="7708" max="7713" width="7.28515625" style="798" customWidth="1"/>
    <col min="7714" max="7714" width="8.5703125" style="798" bestFit="1" customWidth="1"/>
    <col min="7715" max="7715" width="8.28515625" style="798" customWidth="1"/>
    <col min="7716" max="7716" width="9" style="798" customWidth="1"/>
    <col min="7717" max="7717" width="8.7109375" style="798" customWidth="1"/>
    <col min="7718" max="7719" width="9.7109375" style="798" customWidth="1"/>
    <col min="7720" max="7720" width="8.5703125" style="798" bestFit="1" customWidth="1"/>
    <col min="7721" max="7721" width="10.42578125" style="798" bestFit="1" customWidth="1"/>
    <col min="7722" max="7722" width="6.7109375" style="798" customWidth="1"/>
    <col min="7723" max="7723" width="5.85546875" style="798" bestFit="1" customWidth="1"/>
    <col min="7724" max="7725" width="7.5703125" style="798" bestFit="1" customWidth="1"/>
    <col min="7726" max="7726" width="7.42578125" style="798" bestFit="1" customWidth="1"/>
    <col min="7727" max="7727" width="5.7109375" style="798" bestFit="1" customWidth="1"/>
    <col min="7728" max="7728" width="8.85546875" style="798" bestFit="1" customWidth="1"/>
    <col min="7729" max="7729" width="12.5703125" style="798" bestFit="1" customWidth="1"/>
    <col min="7730" max="7730" width="8.5703125" style="798" bestFit="1" customWidth="1"/>
    <col min="7731" max="7733" width="6.7109375" style="798" customWidth="1"/>
    <col min="7734" max="7734" width="7.5703125" style="798" bestFit="1" customWidth="1"/>
    <col min="7735" max="7735" width="6.7109375" style="798" customWidth="1"/>
    <col min="7736" max="7736" width="12" style="798" bestFit="1" customWidth="1"/>
    <col min="7737" max="7756" width="4.7109375" style="798" customWidth="1"/>
    <col min="7757" max="7937" width="9.140625" style="798"/>
    <col min="7938" max="7938" width="3.5703125" style="798" customWidth="1"/>
    <col min="7939" max="7939" width="11.7109375" style="798" customWidth="1"/>
    <col min="7940" max="7940" width="0" style="798" hidden="1" customWidth="1"/>
    <col min="7941" max="7942" width="6.28515625" style="798" bestFit="1" customWidth="1"/>
    <col min="7943" max="7943" width="5.7109375" style="798" bestFit="1" customWidth="1"/>
    <col min="7944" max="7944" width="5.140625" style="798" bestFit="1" customWidth="1"/>
    <col min="7945" max="7945" width="5.140625" style="798" customWidth="1"/>
    <col min="7946" max="7946" width="6.85546875" style="798" bestFit="1" customWidth="1"/>
    <col min="7947" max="7947" width="5.42578125" style="798" bestFit="1" customWidth="1"/>
    <col min="7948" max="7948" width="5.85546875" style="798" bestFit="1" customWidth="1"/>
    <col min="7949" max="7949" width="6" style="798" customWidth="1"/>
    <col min="7950" max="7951" width="6.7109375" style="798" customWidth="1"/>
    <col min="7952" max="7952" width="6.42578125" style="798" bestFit="1" customWidth="1"/>
    <col min="7953" max="7963" width="6.42578125" style="798" customWidth="1"/>
    <col min="7964" max="7969" width="7.28515625" style="798" customWidth="1"/>
    <col min="7970" max="7970" width="8.5703125" style="798" bestFit="1" customWidth="1"/>
    <col min="7971" max="7971" width="8.28515625" style="798" customWidth="1"/>
    <col min="7972" max="7972" width="9" style="798" customWidth="1"/>
    <col min="7973" max="7973" width="8.7109375" style="798" customWidth="1"/>
    <col min="7974" max="7975" width="9.7109375" style="798" customWidth="1"/>
    <col min="7976" max="7976" width="8.5703125" style="798" bestFit="1" customWidth="1"/>
    <col min="7977" max="7977" width="10.42578125" style="798" bestFit="1" customWidth="1"/>
    <col min="7978" max="7978" width="6.7109375" style="798" customWidth="1"/>
    <col min="7979" max="7979" width="5.85546875" style="798" bestFit="1" customWidth="1"/>
    <col min="7980" max="7981" width="7.5703125" style="798" bestFit="1" customWidth="1"/>
    <col min="7982" max="7982" width="7.42578125" style="798" bestFit="1" customWidth="1"/>
    <col min="7983" max="7983" width="5.7109375" style="798" bestFit="1" customWidth="1"/>
    <col min="7984" max="7984" width="8.85546875" style="798" bestFit="1" customWidth="1"/>
    <col min="7985" max="7985" width="12.5703125" style="798" bestFit="1" customWidth="1"/>
    <col min="7986" max="7986" width="8.5703125" style="798" bestFit="1" customWidth="1"/>
    <col min="7987" max="7989" width="6.7109375" style="798" customWidth="1"/>
    <col min="7990" max="7990" width="7.5703125" style="798" bestFit="1" customWidth="1"/>
    <col min="7991" max="7991" width="6.7109375" style="798" customWidth="1"/>
    <col min="7992" max="7992" width="12" style="798" bestFit="1" customWidth="1"/>
    <col min="7993" max="8012" width="4.7109375" style="798" customWidth="1"/>
    <col min="8013" max="8193" width="9.140625" style="798"/>
    <col min="8194" max="8194" width="3.5703125" style="798" customWidth="1"/>
    <col min="8195" max="8195" width="11.7109375" style="798" customWidth="1"/>
    <col min="8196" max="8196" width="0" style="798" hidden="1" customWidth="1"/>
    <col min="8197" max="8198" width="6.28515625" style="798" bestFit="1" customWidth="1"/>
    <col min="8199" max="8199" width="5.7109375" style="798" bestFit="1" customWidth="1"/>
    <col min="8200" max="8200" width="5.140625" style="798" bestFit="1" customWidth="1"/>
    <col min="8201" max="8201" width="5.140625" style="798" customWidth="1"/>
    <col min="8202" max="8202" width="6.85546875" style="798" bestFit="1" customWidth="1"/>
    <col min="8203" max="8203" width="5.42578125" style="798" bestFit="1" customWidth="1"/>
    <col min="8204" max="8204" width="5.85546875" style="798" bestFit="1" customWidth="1"/>
    <col min="8205" max="8205" width="6" style="798" customWidth="1"/>
    <col min="8206" max="8207" width="6.7109375" style="798" customWidth="1"/>
    <col min="8208" max="8208" width="6.42578125" style="798" bestFit="1" customWidth="1"/>
    <col min="8209" max="8219" width="6.42578125" style="798" customWidth="1"/>
    <col min="8220" max="8225" width="7.28515625" style="798" customWidth="1"/>
    <col min="8226" max="8226" width="8.5703125" style="798" bestFit="1" customWidth="1"/>
    <col min="8227" max="8227" width="8.28515625" style="798" customWidth="1"/>
    <col min="8228" max="8228" width="9" style="798" customWidth="1"/>
    <col min="8229" max="8229" width="8.7109375" style="798" customWidth="1"/>
    <col min="8230" max="8231" width="9.7109375" style="798" customWidth="1"/>
    <col min="8232" max="8232" width="8.5703125" style="798" bestFit="1" customWidth="1"/>
    <col min="8233" max="8233" width="10.42578125" style="798" bestFit="1" customWidth="1"/>
    <col min="8234" max="8234" width="6.7109375" style="798" customWidth="1"/>
    <col min="8235" max="8235" width="5.85546875" style="798" bestFit="1" customWidth="1"/>
    <col min="8236" max="8237" width="7.5703125" style="798" bestFit="1" customWidth="1"/>
    <col min="8238" max="8238" width="7.42578125" style="798" bestFit="1" customWidth="1"/>
    <col min="8239" max="8239" width="5.7109375" style="798" bestFit="1" customWidth="1"/>
    <col min="8240" max="8240" width="8.85546875" style="798" bestFit="1" customWidth="1"/>
    <col min="8241" max="8241" width="12.5703125" style="798" bestFit="1" customWidth="1"/>
    <col min="8242" max="8242" width="8.5703125" style="798" bestFit="1" customWidth="1"/>
    <col min="8243" max="8245" width="6.7109375" style="798" customWidth="1"/>
    <col min="8246" max="8246" width="7.5703125" style="798" bestFit="1" customWidth="1"/>
    <col min="8247" max="8247" width="6.7109375" style="798" customWidth="1"/>
    <col min="8248" max="8248" width="12" style="798" bestFit="1" customWidth="1"/>
    <col min="8249" max="8268" width="4.7109375" style="798" customWidth="1"/>
    <col min="8269" max="8449" width="9.140625" style="798"/>
    <col min="8450" max="8450" width="3.5703125" style="798" customWidth="1"/>
    <col min="8451" max="8451" width="11.7109375" style="798" customWidth="1"/>
    <col min="8452" max="8452" width="0" style="798" hidden="1" customWidth="1"/>
    <col min="8453" max="8454" width="6.28515625" style="798" bestFit="1" customWidth="1"/>
    <col min="8455" max="8455" width="5.7109375" style="798" bestFit="1" customWidth="1"/>
    <col min="8456" max="8456" width="5.140625" style="798" bestFit="1" customWidth="1"/>
    <col min="8457" max="8457" width="5.140625" style="798" customWidth="1"/>
    <col min="8458" max="8458" width="6.85546875" style="798" bestFit="1" customWidth="1"/>
    <col min="8459" max="8459" width="5.42578125" style="798" bestFit="1" customWidth="1"/>
    <col min="8460" max="8460" width="5.85546875" style="798" bestFit="1" customWidth="1"/>
    <col min="8461" max="8461" width="6" style="798" customWidth="1"/>
    <col min="8462" max="8463" width="6.7109375" style="798" customWidth="1"/>
    <col min="8464" max="8464" width="6.42578125" style="798" bestFit="1" customWidth="1"/>
    <col min="8465" max="8475" width="6.42578125" style="798" customWidth="1"/>
    <col min="8476" max="8481" width="7.28515625" style="798" customWidth="1"/>
    <col min="8482" max="8482" width="8.5703125" style="798" bestFit="1" customWidth="1"/>
    <col min="8483" max="8483" width="8.28515625" style="798" customWidth="1"/>
    <col min="8484" max="8484" width="9" style="798" customWidth="1"/>
    <col min="8485" max="8485" width="8.7109375" style="798" customWidth="1"/>
    <col min="8486" max="8487" width="9.7109375" style="798" customWidth="1"/>
    <col min="8488" max="8488" width="8.5703125" style="798" bestFit="1" customWidth="1"/>
    <col min="8489" max="8489" width="10.42578125" style="798" bestFit="1" customWidth="1"/>
    <col min="8490" max="8490" width="6.7109375" style="798" customWidth="1"/>
    <col min="8491" max="8491" width="5.85546875" style="798" bestFit="1" customWidth="1"/>
    <col min="8492" max="8493" width="7.5703125" style="798" bestFit="1" customWidth="1"/>
    <col min="8494" max="8494" width="7.42578125" style="798" bestFit="1" customWidth="1"/>
    <col min="8495" max="8495" width="5.7109375" style="798" bestFit="1" customWidth="1"/>
    <col min="8496" max="8496" width="8.85546875" style="798" bestFit="1" customWidth="1"/>
    <col min="8497" max="8497" width="12.5703125" style="798" bestFit="1" customWidth="1"/>
    <col min="8498" max="8498" width="8.5703125" style="798" bestFit="1" customWidth="1"/>
    <col min="8499" max="8501" width="6.7109375" style="798" customWidth="1"/>
    <col min="8502" max="8502" width="7.5703125" style="798" bestFit="1" customWidth="1"/>
    <col min="8503" max="8503" width="6.7109375" style="798" customWidth="1"/>
    <col min="8504" max="8504" width="12" style="798" bestFit="1" customWidth="1"/>
    <col min="8505" max="8524" width="4.7109375" style="798" customWidth="1"/>
    <col min="8525" max="8705" width="9.140625" style="798"/>
    <col min="8706" max="8706" width="3.5703125" style="798" customWidth="1"/>
    <col min="8707" max="8707" width="11.7109375" style="798" customWidth="1"/>
    <col min="8708" max="8708" width="0" style="798" hidden="1" customWidth="1"/>
    <col min="8709" max="8710" width="6.28515625" style="798" bestFit="1" customWidth="1"/>
    <col min="8711" max="8711" width="5.7109375" style="798" bestFit="1" customWidth="1"/>
    <col min="8712" max="8712" width="5.140625" style="798" bestFit="1" customWidth="1"/>
    <col min="8713" max="8713" width="5.140625" style="798" customWidth="1"/>
    <col min="8714" max="8714" width="6.85546875" style="798" bestFit="1" customWidth="1"/>
    <col min="8715" max="8715" width="5.42578125" style="798" bestFit="1" customWidth="1"/>
    <col min="8716" max="8716" width="5.85546875" style="798" bestFit="1" customWidth="1"/>
    <col min="8717" max="8717" width="6" style="798" customWidth="1"/>
    <col min="8718" max="8719" width="6.7109375" style="798" customWidth="1"/>
    <col min="8720" max="8720" width="6.42578125" style="798" bestFit="1" customWidth="1"/>
    <col min="8721" max="8731" width="6.42578125" style="798" customWidth="1"/>
    <col min="8732" max="8737" width="7.28515625" style="798" customWidth="1"/>
    <col min="8738" max="8738" width="8.5703125" style="798" bestFit="1" customWidth="1"/>
    <col min="8739" max="8739" width="8.28515625" style="798" customWidth="1"/>
    <col min="8740" max="8740" width="9" style="798" customWidth="1"/>
    <col min="8741" max="8741" width="8.7109375" style="798" customWidth="1"/>
    <col min="8742" max="8743" width="9.7109375" style="798" customWidth="1"/>
    <col min="8744" max="8744" width="8.5703125" style="798" bestFit="1" customWidth="1"/>
    <col min="8745" max="8745" width="10.42578125" style="798" bestFit="1" customWidth="1"/>
    <col min="8746" max="8746" width="6.7109375" style="798" customWidth="1"/>
    <col min="8747" max="8747" width="5.85546875" style="798" bestFit="1" customWidth="1"/>
    <col min="8748" max="8749" width="7.5703125" style="798" bestFit="1" customWidth="1"/>
    <col min="8750" max="8750" width="7.42578125" style="798" bestFit="1" customWidth="1"/>
    <col min="8751" max="8751" width="5.7109375" style="798" bestFit="1" customWidth="1"/>
    <col min="8752" max="8752" width="8.85546875" style="798" bestFit="1" customWidth="1"/>
    <col min="8753" max="8753" width="12.5703125" style="798" bestFit="1" customWidth="1"/>
    <col min="8754" max="8754" width="8.5703125" style="798" bestFit="1" customWidth="1"/>
    <col min="8755" max="8757" width="6.7109375" style="798" customWidth="1"/>
    <col min="8758" max="8758" width="7.5703125" style="798" bestFit="1" customWidth="1"/>
    <col min="8759" max="8759" width="6.7109375" style="798" customWidth="1"/>
    <col min="8760" max="8760" width="12" style="798" bestFit="1" customWidth="1"/>
    <col min="8761" max="8780" width="4.7109375" style="798" customWidth="1"/>
    <col min="8781" max="8961" width="9.140625" style="798"/>
    <col min="8962" max="8962" width="3.5703125" style="798" customWidth="1"/>
    <col min="8963" max="8963" width="11.7109375" style="798" customWidth="1"/>
    <col min="8964" max="8964" width="0" style="798" hidden="1" customWidth="1"/>
    <col min="8965" max="8966" width="6.28515625" style="798" bestFit="1" customWidth="1"/>
    <col min="8967" max="8967" width="5.7109375" style="798" bestFit="1" customWidth="1"/>
    <col min="8968" max="8968" width="5.140625" style="798" bestFit="1" customWidth="1"/>
    <col min="8969" max="8969" width="5.140625" style="798" customWidth="1"/>
    <col min="8970" max="8970" width="6.85546875" style="798" bestFit="1" customWidth="1"/>
    <col min="8971" max="8971" width="5.42578125" style="798" bestFit="1" customWidth="1"/>
    <col min="8972" max="8972" width="5.85546875" style="798" bestFit="1" customWidth="1"/>
    <col min="8973" max="8973" width="6" style="798" customWidth="1"/>
    <col min="8974" max="8975" width="6.7109375" style="798" customWidth="1"/>
    <col min="8976" max="8976" width="6.42578125" style="798" bestFit="1" customWidth="1"/>
    <col min="8977" max="8987" width="6.42578125" style="798" customWidth="1"/>
    <col min="8988" max="8993" width="7.28515625" style="798" customWidth="1"/>
    <col min="8994" max="8994" width="8.5703125" style="798" bestFit="1" customWidth="1"/>
    <col min="8995" max="8995" width="8.28515625" style="798" customWidth="1"/>
    <col min="8996" max="8996" width="9" style="798" customWidth="1"/>
    <col min="8997" max="8997" width="8.7109375" style="798" customWidth="1"/>
    <col min="8998" max="8999" width="9.7109375" style="798" customWidth="1"/>
    <col min="9000" max="9000" width="8.5703125" style="798" bestFit="1" customWidth="1"/>
    <col min="9001" max="9001" width="10.42578125" style="798" bestFit="1" customWidth="1"/>
    <col min="9002" max="9002" width="6.7109375" style="798" customWidth="1"/>
    <col min="9003" max="9003" width="5.85546875" style="798" bestFit="1" customWidth="1"/>
    <col min="9004" max="9005" width="7.5703125" style="798" bestFit="1" customWidth="1"/>
    <col min="9006" max="9006" width="7.42578125" style="798" bestFit="1" customWidth="1"/>
    <col min="9007" max="9007" width="5.7109375" style="798" bestFit="1" customWidth="1"/>
    <col min="9008" max="9008" width="8.85546875" style="798" bestFit="1" customWidth="1"/>
    <col min="9009" max="9009" width="12.5703125" style="798" bestFit="1" customWidth="1"/>
    <col min="9010" max="9010" width="8.5703125" style="798" bestFit="1" customWidth="1"/>
    <col min="9011" max="9013" width="6.7109375" style="798" customWidth="1"/>
    <col min="9014" max="9014" width="7.5703125" style="798" bestFit="1" customWidth="1"/>
    <col min="9015" max="9015" width="6.7109375" style="798" customWidth="1"/>
    <col min="9016" max="9016" width="12" style="798" bestFit="1" customWidth="1"/>
    <col min="9017" max="9036" width="4.7109375" style="798" customWidth="1"/>
    <col min="9037" max="9217" width="9.140625" style="798"/>
    <col min="9218" max="9218" width="3.5703125" style="798" customWidth="1"/>
    <col min="9219" max="9219" width="11.7109375" style="798" customWidth="1"/>
    <col min="9220" max="9220" width="0" style="798" hidden="1" customWidth="1"/>
    <col min="9221" max="9222" width="6.28515625" style="798" bestFit="1" customWidth="1"/>
    <col min="9223" max="9223" width="5.7109375" style="798" bestFit="1" customWidth="1"/>
    <col min="9224" max="9224" width="5.140625" style="798" bestFit="1" customWidth="1"/>
    <col min="9225" max="9225" width="5.140625" style="798" customWidth="1"/>
    <col min="9226" max="9226" width="6.85546875" style="798" bestFit="1" customWidth="1"/>
    <col min="9227" max="9227" width="5.42578125" style="798" bestFit="1" customWidth="1"/>
    <col min="9228" max="9228" width="5.85546875" style="798" bestFit="1" customWidth="1"/>
    <col min="9229" max="9229" width="6" style="798" customWidth="1"/>
    <col min="9230" max="9231" width="6.7109375" style="798" customWidth="1"/>
    <col min="9232" max="9232" width="6.42578125" style="798" bestFit="1" customWidth="1"/>
    <col min="9233" max="9243" width="6.42578125" style="798" customWidth="1"/>
    <col min="9244" max="9249" width="7.28515625" style="798" customWidth="1"/>
    <col min="9250" max="9250" width="8.5703125" style="798" bestFit="1" customWidth="1"/>
    <col min="9251" max="9251" width="8.28515625" style="798" customWidth="1"/>
    <col min="9252" max="9252" width="9" style="798" customWidth="1"/>
    <col min="9253" max="9253" width="8.7109375" style="798" customWidth="1"/>
    <col min="9254" max="9255" width="9.7109375" style="798" customWidth="1"/>
    <col min="9256" max="9256" width="8.5703125" style="798" bestFit="1" customWidth="1"/>
    <col min="9257" max="9257" width="10.42578125" style="798" bestFit="1" customWidth="1"/>
    <col min="9258" max="9258" width="6.7109375" style="798" customWidth="1"/>
    <col min="9259" max="9259" width="5.85546875" style="798" bestFit="1" customWidth="1"/>
    <col min="9260" max="9261" width="7.5703125" style="798" bestFit="1" customWidth="1"/>
    <col min="9262" max="9262" width="7.42578125" style="798" bestFit="1" customWidth="1"/>
    <col min="9263" max="9263" width="5.7109375" style="798" bestFit="1" customWidth="1"/>
    <col min="9264" max="9264" width="8.85546875" style="798" bestFit="1" customWidth="1"/>
    <col min="9265" max="9265" width="12.5703125" style="798" bestFit="1" customWidth="1"/>
    <col min="9266" max="9266" width="8.5703125" style="798" bestFit="1" customWidth="1"/>
    <col min="9267" max="9269" width="6.7109375" style="798" customWidth="1"/>
    <col min="9270" max="9270" width="7.5703125" style="798" bestFit="1" customWidth="1"/>
    <col min="9271" max="9271" width="6.7109375" style="798" customWidth="1"/>
    <col min="9272" max="9272" width="12" style="798" bestFit="1" customWidth="1"/>
    <col min="9273" max="9292" width="4.7109375" style="798" customWidth="1"/>
    <col min="9293" max="9473" width="9.140625" style="798"/>
    <col min="9474" max="9474" width="3.5703125" style="798" customWidth="1"/>
    <col min="9475" max="9475" width="11.7109375" style="798" customWidth="1"/>
    <col min="9476" max="9476" width="0" style="798" hidden="1" customWidth="1"/>
    <col min="9477" max="9478" width="6.28515625" style="798" bestFit="1" customWidth="1"/>
    <col min="9479" max="9479" width="5.7109375" style="798" bestFit="1" customWidth="1"/>
    <col min="9480" max="9480" width="5.140625" style="798" bestFit="1" customWidth="1"/>
    <col min="9481" max="9481" width="5.140625" style="798" customWidth="1"/>
    <col min="9482" max="9482" width="6.85546875" style="798" bestFit="1" customWidth="1"/>
    <col min="9483" max="9483" width="5.42578125" style="798" bestFit="1" customWidth="1"/>
    <col min="9484" max="9484" width="5.85546875" style="798" bestFit="1" customWidth="1"/>
    <col min="9485" max="9485" width="6" style="798" customWidth="1"/>
    <col min="9486" max="9487" width="6.7109375" style="798" customWidth="1"/>
    <col min="9488" max="9488" width="6.42578125" style="798" bestFit="1" customWidth="1"/>
    <col min="9489" max="9499" width="6.42578125" style="798" customWidth="1"/>
    <col min="9500" max="9505" width="7.28515625" style="798" customWidth="1"/>
    <col min="9506" max="9506" width="8.5703125" style="798" bestFit="1" customWidth="1"/>
    <col min="9507" max="9507" width="8.28515625" style="798" customWidth="1"/>
    <col min="9508" max="9508" width="9" style="798" customWidth="1"/>
    <col min="9509" max="9509" width="8.7109375" style="798" customWidth="1"/>
    <col min="9510" max="9511" width="9.7109375" style="798" customWidth="1"/>
    <col min="9512" max="9512" width="8.5703125" style="798" bestFit="1" customWidth="1"/>
    <col min="9513" max="9513" width="10.42578125" style="798" bestFit="1" customWidth="1"/>
    <col min="9514" max="9514" width="6.7109375" style="798" customWidth="1"/>
    <col min="9515" max="9515" width="5.85546875" style="798" bestFit="1" customWidth="1"/>
    <col min="9516" max="9517" width="7.5703125" style="798" bestFit="1" customWidth="1"/>
    <col min="9518" max="9518" width="7.42578125" style="798" bestFit="1" customWidth="1"/>
    <col min="9519" max="9519" width="5.7109375" style="798" bestFit="1" customWidth="1"/>
    <col min="9520" max="9520" width="8.85546875" style="798" bestFit="1" customWidth="1"/>
    <col min="9521" max="9521" width="12.5703125" style="798" bestFit="1" customWidth="1"/>
    <col min="9522" max="9522" width="8.5703125" style="798" bestFit="1" customWidth="1"/>
    <col min="9523" max="9525" width="6.7109375" style="798" customWidth="1"/>
    <col min="9526" max="9526" width="7.5703125" style="798" bestFit="1" customWidth="1"/>
    <col min="9527" max="9527" width="6.7109375" style="798" customWidth="1"/>
    <col min="9528" max="9528" width="12" style="798" bestFit="1" customWidth="1"/>
    <col min="9529" max="9548" width="4.7109375" style="798" customWidth="1"/>
    <col min="9549" max="9729" width="9.140625" style="798"/>
    <col min="9730" max="9730" width="3.5703125" style="798" customWidth="1"/>
    <col min="9731" max="9731" width="11.7109375" style="798" customWidth="1"/>
    <col min="9732" max="9732" width="0" style="798" hidden="1" customWidth="1"/>
    <col min="9733" max="9734" width="6.28515625" style="798" bestFit="1" customWidth="1"/>
    <col min="9735" max="9735" width="5.7109375" style="798" bestFit="1" customWidth="1"/>
    <col min="9736" max="9736" width="5.140625" style="798" bestFit="1" customWidth="1"/>
    <col min="9737" max="9737" width="5.140625" style="798" customWidth="1"/>
    <col min="9738" max="9738" width="6.85546875" style="798" bestFit="1" customWidth="1"/>
    <col min="9739" max="9739" width="5.42578125" style="798" bestFit="1" customWidth="1"/>
    <col min="9740" max="9740" width="5.85546875" style="798" bestFit="1" customWidth="1"/>
    <col min="9741" max="9741" width="6" style="798" customWidth="1"/>
    <col min="9742" max="9743" width="6.7109375" style="798" customWidth="1"/>
    <col min="9744" max="9744" width="6.42578125" style="798" bestFit="1" customWidth="1"/>
    <col min="9745" max="9755" width="6.42578125" style="798" customWidth="1"/>
    <col min="9756" max="9761" width="7.28515625" style="798" customWidth="1"/>
    <col min="9762" max="9762" width="8.5703125" style="798" bestFit="1" customWidth="1"/>
    <col min="9763" max="9763" width="8.28515625" style="798" customWidth="1"/>
    <col min="9764" max="9764" width="9" style="798" customWidth="1"/>
    <col min="9765" max="9765" width="8.7109375" style="798" customWidth="1"/>
    <col min="9766" max="9767" width="9.7109375" style="798" customWidth="1"/>
    <col min="9768" max="9768" width="8.5703125" style="798" bestFit="1" customWidth="1"/>
    <col min="9769" max="9769" width="10.42578125" style="798" bestFit="1" customWidth="1"/>
    <col min="9770" max="9770" width="6.7109375" style="798" customWidth="1"/>
    <col min="9771" max="9771" width="5.85546875" style="798" bestFit="1" customWidth="1"/>
    <col min="9772" max="9773" width="7.5703125" style="798" bestFit="1" customWidth="1"/>
    <col min="9774" max="9774" width="7.42578125" style="798" bestFit="1" customWidth="1"/>
    <col min="9775" max="9775" width="5.7109375" style="798" bestFit="1" customWidth="1"/>
    <col min="9776" max="9776" width="8.85546875" style="798" bestFit="1" customWidth="1"/>
    <col min="9777" max="9777" width="12.5703125" style="798" bestFit="1" customWidth="1"/>
    <col min="9778" max="9778" width="8.5703125" style="798" bestFit="1" customWidth="1"/>
    <col min="9779" max="9781" width="6.7109375" style="798" customWidth="1"/>
    <col min="9782" max="9782" width="7.5703125" style="798" bestFit="1" customWidth="1"/>
    <col min="9783" max="9783" width="6.7109375" style="798" customWidth="1"/>
    <col min="9784" max="9784" width="12" style="798" bestFit="1" customWidth="1"/>
    <col min="9785" max="9804" width="4.7109375" style="798" customWidth="1"/>
    <col min="9805" max="9985" width="9.140625" style="798"/>
    <col min="9986" max="9986" width="3.5703125" style="798" customWidth="1"/>
    <col min="9987" max="9987" width="11.7109375" style="798" customWidth="1"/>
    <col min="9988" max="9988" width="0" style="798" hidden="1" customWidth="1"/>
    <col min="9989" max="9990" width="6.28515625" style="798" bestFit="1" customWidth="1"/>
    <col min="9991" max="9991" width="5.7109375" style="798" bestFit="1" customWidth="1"/>
    <col min="9992" max="9992" width="5.140625" style="798" bestFit="1" customWidth="1"/>
    <col min="9993" max="9993" width="5.140625" style="798" customWidth="1"/>
    <col min="9994" max="9994" width="6.85546875" style="798" bestFit="1" customWidth="1"/>
    <col min="9995" max="9995" width="5.42578125" style="798" bestFit="1" customWidth="1"/>
    <col min="9996" max="9996" width="5.85546875" style="798" bestFit="1" customWidth="1"/>
    <col min="9997" max="9997" width="6" style="798" customWidth="1"/>
    <col min="9998" max="9999" width="6.7109375" style="798" customWidth="1"/>
    <col min="10000" max="10000" width="6.42578125" style="798" bestFit="1" customWidth="1"/>
    <col min="10001" max="10011" width="6.42578125" style="798" customWidth="1"/>
    <col min="10012" max="10017" width="7.28515625" style="798" customWidth="1"/>
    <col min="10018" max="10018" width="8.5703125" style="798" bestFit="1" customWidth="1"/>
    <col min="10019" max="10019" width="8.28515625" style="798" customWidth="1"/>
    <col min="10020" max="10020" width="9" style="798" customWidth="1"/>
    <col min="10021" max="10021" width="8.7109375" style="798" customWidth="1"/>
    <col min="10022" max="10023" width="9.7109375" style="798" customWidth="1"/>
    <col min="10024" max="10024" width="8.5703125" style="798" bestFit="1" customWidth="1"/>
    <col min="10025" max="10025" width="10.42578125" style="798" bestFit="1" customWidth="1"/>
    <col min="10026" max="10026" width="6.7109375" style="798" customWidth="1"/>
    <col min="10027" max="10027" width="5.85546875" style="798" bestFit="1" customWidth="1"/>
    <col min="10028" max="10029" width="7.5703125" style="798" bestFit="1" customWidth="1"/>
    <col min="10030" max="10030" width="7.42578125" style="798" bestFit="1" customWidth="1"/>
    <col min="10031" max="10031" width="5.7109375" style="798" bestFit="1" customWidth="1"/>
    <col min="10032" max="10032" width="8.85546875" style="798" bestFit="1" customWidth="1"/>
    <col min="10033" max="10033" width="12.5703125" style="798" bestFit="1" customWidth="1"/>
    <col min="10034" max="10034" width="8.5703125" style="798" bestFit="1" customWidth="1"/>
    <col min="10035" max="10037" width="6.7109375" style="798" customWidth="1"/>
    <col min="10038" max="10038" width="7.5703125" style="798" bestFit="1" customWidth="1"/>
    <col min="10039" max="10039" width="6.7109375" style="798" customWidth="1"/>
    <col min="10040" max="10040" width="12" style="798" bestFit="1" customWidth="1"/>
    <col min="10041" max="10060" width="4.7109375" style="798" customWidth="1"/>
    <col min="10061" max="10241" width="9.140625" style="798"/>
    <col min="10242" max="10242" width="3.5703125" style="798" customWidth="1"/>
    <col min="10243" max="10243" width="11.7109375" style="798" customWidth="1"/>
    <col min="10244" max="10244" width="0" style="798" hidden="1" customWidth="1"/>
    <col min="10245" max="10246" width="6.28515625" style="798" bestFit="1" customWidth="1"/>
    <col min="10247" max="10247" width="5.7109375" style="798" bestFit="1" customWidth="1"/>
    <col min="10248" max="10248" width="5.140625" style="798" bestFit="1" customWidth="1"/>
    <col min="10249" max="10249" width="5.140625" style="798" customWidth="1"/>
    <col min="10250" max="10250" width="6.85546875" style="798" bestFit="1" customWidth="1"/>
    <col min="10251" max="10251" width="5.42578125" style="798" bestFit="1" customWidth="1"/>
    <col min="10252" max="10252" width="5.85546875" style="798" bestFit="1" customWidth="1"/>
    <col min="10253" max="10253" width="6" style="798" customWidth="1"/>
    <col min="10254" max="10255" width="6.7109375" style="798" customWidth="1"/>
    <col min="10256" max="10256" width="6.42578125" style="798" bestFit="1" customWidth="1"/>
    <col min="10257" max="10267" width="6.42578125" style="798" customWidth="1"/>
    <col min="10268" max="10273" width="7.28515625" style="798" customWidth="1"/>
    <col min="10274" max="10274" width="8.5703125" style="798" bestFit="1" customWidth="1"/>
    <col min="10275" max="10275" width="8.28515625" style="798" customWidth="1"/>
    <col min="10276" max="10276" width="9" style="798" customWidth="1"/>
    <col min="10277" max="10277" width="8.7109375" style="798" customWidth="1"/>
    <col min="10278" max="10279" width="9.7109375" style="798" customWidth="1"/>
    <col min="10280" max="10280" width="8.5703125" style="798" bestFit="1" customWidth="1"/>
    <col min="10281" max="10281" width="10.42578125" style="798" bestFit="1" customWidth="1"/>
    <col min="10282" max="10282" width="6.7109375" style="798" customWidth="1"/>
    <col min="10283" max="10283" width="5.85546875" style="798" bestFit="1" customWidth="1"/>
    <col min="10284" max="10285" width="7.5703125" style="798" bestFit="1" customWidth="1"/>
    <col min="10286" max="10286" width="7.42578125" style="798" bestFit="1" customWidth="1"/>
    <col min="10287" max="10287" width="5.7109375" style="798" bestFit="1" customWidth="1"/>
    <col min="10288" max="10288" width="8.85546875" style="798" bestFit="1" customWidth="1"/>
    <col min="10289" max="10289" width="12.5703125" style="798" bestFit="1" customWidth="1"/>
    <col min="10290" max="10290" width="8.5703125" style="798" bestFit="1" customWidth="1"/>
    <col min="10291" max="10293" width="6.7109375" style="798" customWidth="1"/>
    <col min="10294" max="10294" width="7.5703125" style="798" bestFit="1" customWidth="1"/>
    <col min="10295" max="10295" width="6.7109375" style="798" customWidth="1"/>
    <col min="10296" max="10296" width="12" style="798" bestFit="1" customWidth="1"/>
    <col min="10297" max="10316" width="4.7109375" style="798" customWidth="1"/>
    <col min="10317" max="10497" width="9.140625" style="798"/>
    <col min="10498" max="10498" width="3.5703125" style="798" customWidth="1"/>
    <col min="10499" max="10499" width="11.7109375" style="798" customWidth="1"/>
    <col min="10500" max="10500" width="0" style="798" hidden="1" customWidth="1"/>
    <col min="10501" max="10502" width="6.28515625" style="798" bestFit="1" customWidth="1"/>
    <col min="10503" max="10503" width="5.7109375" style="798" bestFit="1" customWidth="1"/>
    <col min="10504" max="10504" width="5.140625" style="798" bestFit="1" customWidth="1"/>
    <col min="10505" max="10505" width="5.140625" style="798" customWidth="1"/>
    <col min="10506" max="10506" width="6.85546875" style="798" bestFit="1" customWidth="1"/>
    <col min="10507" max="10507" width="5.42578125" style="798" bestFit="1" customWidth="1"/>
    <col min="10508" max="10508" width="5.85546875" style="798" bestFit="1" customWidth="1"/>
    <col min="10509" max="10509" width="6" style="798" customWidth="1"/>
    <col min="10510" max="10511" width="6.7109375" style="798" customWidth="1"/>
    <col min="10512" max="10512" width="6.42578125" style="798" bestFit="1" customWidth="1"/>
    <col min="10513" max="10523" width="6.42578125" style="798" customWidth="1"/>
    <col min="10524" max="10529" width="7.28515625" style="798" customWidth="1"/>
    <col min="10530" max="10530" width="8.5703125" style="798" bestFit="1" customWidth="1"/>
    <col min="10531" max="10531" width="8.28515625" style="798" customWidth="1"/>
    <col min="10532" max="10532" width="9" style="798" customWidth="1"/>
    <col min="10533" max="10533" width="8.7109375" style="798" customWidth="1"/>
    <col min="10534" max="10535" width="9.7109375" style="798" customWidth="1"/>
    <col min="10536" max="10536" width="8.5703125" style="798" bestFit="1" customWidth="1"/>
    <col min="10537" max="10537" width="10.42578125" style="798" bestFit="1" customWidth="1"/>
    <col min="10538" max="10538" width="6.7109375" style="798" customWidth="1"/>
    <col min="10539" max="10539" width="5.85546875" style="798" bestFit="1" customWidth="1"/>
    <col min="10540" max="10541" width="7.5703125" style="798" bestFit="1" customWidth="1"/>
    <col min="10542" max="10542" width="7.42578125" style="798" bestFit="1" customWidth="1"/>
    <col min="10543" max="10543" width="5.7109375" style="798" bestFit="1" customWidth="1"/>
    <col min="10544" max="10544" width="8.85546875" style="798" bestFit="1" customWidth="1"/>
    <col min="10545" max="10545" width="12.5703125" style="798" bestFit="1" customWidth="1"/>
    <col min="10546" max="10546" width="8.5703125" style="798" bestFit="1" customWidth="1"/>
    <col min="10547" max="10549" width="6.7109375" style="798" customWidth="1"/>
    <col min="10550" max="10550" width="7.5703125" style="798" bestFit="1" customWidth="1"/>
    <col min="10551" max="10551" width="6.7109375" style="798" customWidth="1"/>
    <col min="10552" max="10552" width="12" style="798" bestFit="1" customWidth="1"/>
    <col min="10553" max="10572" width="4.7109375" style="798" customWidth="1"/>
    <col min="10573" max="10753" width="9.140625" style="798"/>
    <col min="10754" max="10754" width="3.5703125" style="798" customWidth="1"/>
    <col min="10755" max="10755" width="11.7109375" style="798" customWidth="1"/>
    <col min="10756" max="10756" width="0" style="798" hidden="1" customWidth="1"/>
    <col min="10757" max="10758" width="6.28515625" style="798" bestFit="1" customWidth="1"/>
    <col min="10759" max="10759" width="5.7109375" style="798" bestFit="1" customWidth="1"/>
    <col min="10760" max="10760" width="5.140625" style="798" bestFit="1" customWidth="1"/>
    <col min="10761" max="10761" width="5.140625" style="798" customWidth="1"/>
    <col min="10762" max="10762" width="6.85546875" style="798" bestFit="1" customWidth="1"/>
    <col min="10763" max="10763" width="5.42578125" style="798" bestFit="1" customWidth="1"/>
    <col min="10764" max="10764" width="5.85546875" style="798" bestFit="1" customWidth="1"/>
    <col min="10765" max="10765" width="6" style="798" customWidth="1"/>
    <col min="10766" max="10767" width="6.7109375" style="798" customWidth="1"/>
    <col min="10768" max="10768" width="6.42578125" style="798" bestFit="1" customWidth="1"/>
    <col min="10769" max="10779" width="6.42578125" style="798" customWidth="1"/>
    <col min="10780" max="10785" width="7.28515625" style="798" customWidth="1"/>
    <col min="10786" max="10786" width="8.5703125" style="798" bestFit="1" customWidth="1"/>
    <col min="10787" max="10787" width="8.28515625" style="798" customWidth="1"/>
    <col min="10788" max="10788" width="9" style="798" customWidth="1"/>
    <col min="10789" max="10789" width="8.7109375" style="798" customWidth="1"/>
    <col min="10790" max="10791" width="9.7109375" style="798" customWidth="1"/>
    <col min="10792" max="10792" width="8.5703125" style="798" bestFit="1" customWidth="1"/>
    <col min="10793" max="10793" width="10.42578125" style="798" bestFit="1" customWidth="1"/>
    <col min="10794" max="10794" width="6.7109375" style="798" customWidth="1"/>
    <col min="10795" max="10795" width="5.85546875" style="798" bestFit="1" customWidth="1"/>
    <col min="10796" max="10797" width="7.5703125" style="798" bestFit="1" customWidth="1"/>
    <col min="10798" max="10798" width="7.42578125" style="798" bestFit="1" customWidth="1"/>
    <col min="10799" max="10799" width="5.7109375" style="798" bestFit="1" customWidth="1"/>
    <col min="10800" max="10800" width="8.85546875" style="798" bestFit="1" customWidth="1"/>
    <col min="10801" max="10801" width="12.5703125" style="798" bestFit="1" customWidth="1"/>
    <col min="10802" max="10802" width="8.5703125" style="798" bestFit="1" customWidth="1"/>
    <col min="10803" max="10805" width="6.7109375" style="798" customWidth="1"/>
    <col min="10806" max="10806" width="7.5703125" style="798" bestFit="1" customWidth="1"/>
    <col min="10807" max="10807" width="6.7109375" style="798" customWidth="1"/>
    <col min="10808" max="10808" width="12" style="798" bestFit="1" customWidth="1"/>
    <col min="10809" max="10828" width="4.7109375" style="798" customWidth="1"/>
    <col min="10829" max="11009" width="9.140625" style="798"/>
    <col min="11010" max="11010" width="3.5703125" style="798" customWidth="1"/>
    <col min="11011" max="11011" width="11.7109375" style="798" customWidth="1"/>
    <col min="11012" max="11012" width="0" style="798" hidden="1" customWidth="1"/>
    <col min="11013" max="11014" width="6.28515625" style="798" bestFit="1" customWidth="1"/>
    <col min="11015" max="11015" width="5.7109375" style="798" bestFit="1" customWidth="1"/>
    <col min="11016" max="11016" width="5.140625" style="798" bestFit="1" customWidth="1"/>
    <col min="11017" max="11017" width="5.140625" style="798" customWidth="1"/>
    <col min="11018" max="11018" width="6.85546875" style="798" bestFit="1" customWidth="1"/>
    <col min="11019" max="11019" width="5.42578125" style="798" bestFit="1" customWidth="1"/>
    <col min="11020" max="11020" width="5.85546875" style="798" bestFit="1" customWidth="1"/>
    <col min="11021" max="11021" width="6" style="798" customWidth="1"/>
    <col min="11022" max="11023" width="6.7109375" style="798" customWidth="1"/>
    <col min="11024" max="11024" width="6.42578125" style="798" bestFit="1" customWidth="1"/>
    <col min="11025" max="11035" width="6.42578125" style="798" customWidth="1"/>
    <col min="11036" max="11041" width="7.28515625" style="798" customWidth="1"/>
    <col min="11042" max="11042" width="8.5703125" style="798" bestFit="1" customWidth="1"/>
    <col min="11043" max="11043" width="8.28515625" style="798" customWidth="1"/>
    <col min="11044" max="11044" width="9" style="798" customWidth="1"/>
    <col min="11045" max="11045" width="8.7109375" style="798" customWidth="1"/>
    <col min="11046" max="11047" width="9.7109375" style="798" customWidth="1"/>
    <col min="11048" max="11048" width="8.5703125" style="798" bestFit="1" customWidth="1"/>
    <col min="11049" max="11049" width="10.42578125" style="798" bestFit="1" customWidth="1"/>
    <col min="11050" max="11050" width="6.7109375" style="798" customWidth="1"/>
    <col min="11051" max="11051" width="5.85546875" style="798" bestFit="1" customWidth="1"/>
    <col min="11052" max="11053" width="7.5703125" style="798" bestFit="1" customWidth="1"/>
    <col min="11054" max="11054" width="7.42578125" style="798" bestFit="1" customWidth="1"/>
    <col min="11055" max="11055" width="5.7109375" style="798" bestFit="1" customWidth="1"/>
    <col min="11056" max="11056" width="8.85546875" style="798" bestFit="1" customWidth="1"/>
    <col min="11057" max="11057" width="12.5703125" style="798" bestFit="1" customWidth="1"/>
    <col min="11058" max="11058" width="8.5703125" style="798" bestFit="1" customWidth="1"/>
    <col min="11059" max="11061" width="6.7109375" style="798" customWidth="1"/>
    <col min="11062" max="11062" width="7.5703125" style="798" bestFit="1" customWidth="1"/>
    <col min="11063" max="11063" width="6.7109375" style="798" customWidth="1"/>
    <col min="11064" max="11064" width="12" style="798" bestFit="1" customWidth="1"/>
    <col min="11065" max="11084" width="4.7109375" style="798" customWidth="1"/>
    <col min="11085" max="11265" width="9.140625" style="798"/>
    <col min="11266" max="11266" width="3.5703125" style="798" customWidth="1"/>
    <col min="11267" max="11267" width="11.7109375" style="798" customWidth="1"/>
    <col min="11268" max="11268" width="0" style="798" hidden="1" customWidth="1"/>
    <col min="11269" max="11270" width="6.28515625" style="798" bestFit="1" customWidth="1"/>
    <col min="11271" max="11271" width="5.7109375" style="798" bestFit="1" customWidth="1"/>
    <col min="11272" max="11272" width="5.140625" style="798" bestFit="1" customWidth="1"/>
    <col min="11273" max="11273" width="5.140625" style="798" customWidth="1"/>
    <col min="11274" max="11274" width="6.85546875" style="798" bestFit="1" customWidth="1"/>
    <col min="11275" max="11275" width="5.42578125" style="798" bestFit="1" customWidth="1"/>
    <col min="11276" max="11276" width="5.85546875" style="798" bestFit="1" customWidth="1"/>
    <col min="11277" max="11277" width="6" style="798" customWidth="1"/>
    <col min="11278" max="11279" width="6.7109375" style="798" customWidth="1"/>
    <col min="11280" max="11280" width="6.42578125" style="798" bestFit="1" customWidth="1"/>
    <col min="11281" max="11291" width="6.42578125" style="798" customWidth="1"/>
    <col min="11292" max="11297" width="7.28515625" style="798" customWidth="1"/>
    <col min="11298" max="11298" width="8.5703125" style="798" bestFit="1" customWidth="1"/>
    <col min="11299" max="11299" width="8.28515625" style="798" customWidth="1"/>
    <col min="11300" max="11300" width="9" style="798" customWidth="1"/>
    <col min="11301" max="11301" width="8.7109375" style="798" customWidth="1"/>
    <col min="11302" max="11303" width="9.7109375" style="798" customWidth="1"/>
    <col min="11304" max="11304" width="8.5703125" style="798" bestFit="1" customWidth="1"/>
    <col min="11305" max="11305" width="10.42578125" style="798" bestFit="1" customWidth="1"/>
    <col min="11306" max="11306" width="6.7109375" style="798" customWidth="1"/>
    <col min="11307" max="11307" width="5.85546875" style="798" bestFit="1" customWidth="1"/>
    <col min="11308" max="11309" width="7.5703125" style="798" bestFit="1" customWidth="1"/>
    <col min="11310" max="11310" width="7.42578125" style="798" bestFit="1" customWidth="1"/>
    <col min="11311" max="11311" width="5.7109375" style="798" bestFit="1" customWidth="1"/>
    <col min="11312" max="11312" width="8.85546875" style="798" bestFit="1" customWidth="1"/>
    <col min="11313" max="11313" width="12.5703125" style="798" bestFit="1" customWidth="1"/>
    <col min="11314" max="11314" width="8.5703125" style="798" bestFit="1" customWidth="1"/>
    <col min="11315" max="11317" width="6.7109375" style="798" customWidth="1"/>
    <col min="11318" max="11318" width="7.5703125" style="798" bestFit="1" customWidth="1"/>
    <col min="11319" max="11319" width="6.7109375" style="798" customWidth="1"/>
    <col min="11320" max="11320" width="12" style="798" bestFit="1" customWidth="1"/>
    <col min="11321" max="11340" width="4.7109375" style="798" customWidth="1"/>
    <col min="11341" max="11521" width="9.140625" style="798"/>
    <col min="11522" max="11522" width="3.5703125" style="798" customWidth="1"/>
    <col min="11523" max="11523" width="11.7109375" style="798" customWidth="1"/>
    <col min="11524" max="11524" width="0" style="798" hidden="1" customWidth="1"/>
    <col min="11525" max="11526" width="6.28515625" style="798" bestFit="1" customWidth="1"/>
    <col min="11527" max="11527" width="5.7109375" style="798" bestFit="1" customWidth="1"/>
    <col min="11528" max="11528" width="5.140625" style="798" bestFit="1" customWidth="1"/>
    <col min="11529" max="11529" width="5.140625" style="798" customWidth="1"/>
    <col min="11530" max="11530" width="6.85546875" style="798" bestFit="1" customWidth="1"/>
    <col min="11531" max="11531" width="5.42578125" style="798" bestFit="1" customWidth="1"/>
    <col min="11532" max="11532" width="5.85546875" style="798" bestFit="1" customWidth="1"/>
    <col min="11533" max="11533" width="6" style="798" customWidth="1"/>
    <col min="11534" max="11535" width="6.7109375" style="798" customWidth="1"/>
    <col min="11536" max="11536" width="6.42578125" style="798" bestFit="1" customWidth="1"/>
    <col min="11537" max="11547" width="6.42578125" style="798" customWidth="1"/>
    <col min="11548" max="11553" width="7.28515625" style="798" customWidth="1"/>
    <col min="11554" max="11554" width="8.5703125" style="798" bestFit="1" customWidth="1"/>
    <col min="11555" max="11555" width="8.28515625" style="798" customWidth="1"/>
    <col min="11556" max="11556" width="9" style="798" customWidth="1"/>
    <col min="11557" max="11557" width="8.7109375" style="798" customWidth="1"/>
    <col min="11558" max="11559" width="9.7109375" style="798" customWidth="1"/>
    <col min="11560" max="11560" width="8.5703125" style="798" bestFit="1" customWidth="1"/>
    <col min="11561" max="11561" width="10.42578125" style="798" bestFit="1" customWidth="1"/>
    <col min="11562" max="11562" width="6.7109375" style="798" customWidth="1"/>
    <col min="11563" max="11563" width="5.85546875" style="798" bestFit="1" customWidth="1"/>
    <col min="11564" max="11565" width="7.5703125" style="798" bestFit="1" customWidth="1"/>
    <col min="11566" max="11566" width="7.42578125" style="798" bestFit="1" customWidth="1"/>
    <col min="11567" max="11567" width="5.7109375" style="798" bestFit="1" customWidth="1"/>
    <col min="11568" max="11568" width="8.85546875" style="798" bestFit="1" customWidth="1"/>
    <col min="11569" max="11569" width="12.5703125" style="798" bestFit="1" customWidth="1"/>
    <col min="11570" max="11570" width="8.5703125" style="798" bestFit="1" customWidth="1"/>
    <col min="11571" max="11573" width="6.7109375" style="798" customWidth="1"/>
    <col min="11574" max="11574" width="7.5703125" style="798" bestFit="1" customWidth="1"/>
    <col min="11575" max="11575" width="6.7109375" style="798" customWidth="1"/>
    <col min="11576" max="11576" width="12" style="798" bestFit="1" customWidth="1"/>
    <col min="11577" max="11596" width="4.7109375" style="798" customWidth="1"/>
    <col min="11597" max="11777" width="9.140625" style="798"/>
    <col min="11778" max="11778" width="3.5703125" style="798" customWidth="1"/>
    <col min="11779" max="11779" width="11.7109375" style="798" customWidth="1"/>
    <col min="11780" max="11780" width="0" style="798" hidden="1" customWidth="1"/>
    <col min="11781" max="11782" width="6.28515625" style="798" bestFit="1" customWidth="1"/>
    <col min="11783" max="11783" width="5.7109375" style="798" bestFit="1" customWidth="1"/>
    <col min="11784" max="11784" width="5.140625" style="798" bestFit="1" customWidth="1"/>
    <col min="11785" max="11785" width="5.140625" style="798" customWidth="1"/>
    <col min="11786" max="11786" width="6.85546875" style="798" bestFit="1" customWidth="1"/>
    <col min="11787" max="11787" width="5.42578125" style="798" bestFit="1" customWidth="1"/>
    <col min="11788" max="11788" width="5.85546875" style="798" bestFit="1" customWidth="1"/>
    <col min="11789" max="11789" width="6" style="798" customWidth="1"/>
    <col min="11790" max="11791" width="6.7109375" style="798" customWidth="1"/>
    <col min="11792" max="11792" width="6.42578125" style="798" bestFit="1" customWidth="1"/>
    <col min="11793" max="11803" width="6.42578125" style="798" customWidth="1"/>
    <col min="11804" max="11809" width="7.28515625" style="798" customWidth="1"/>
    <col min="11810" max="11810" width="8.5703125" style="798" bestFit="1" customWidth="1"/>
    <col min="11811" max="11811" width="8.28515625" style="798" customWidth="1"/>
    <col min="11812" max="11812" width="9" style="798" customWidth="1"/>
    <col min="11813" max="11813" width="8.7109375" style="798" customWidth="1"/>
    <col min="11814" max="11815" width="9.7109375" style="798" customWidth="1"/>
    <col min="11816" max="11816" width="8.5703125" style="798" bestFit="1" customWidth="1"/>
    <col min="11817" max="11817" width="10.42578125" style="798" bestFit="1" customWidth="1"/>
    <col min="11818" max="11818" width="6.7109375" style="798" customWidth="1"/>
    <col min="11819" max="11819" width="5.85546875" style="798" bestFit="1" customWidth="1"/>
    <col min="11820" max="11821" width="7.5703125" style="798" bestFit="1" customWidth="1"/>
    <col min="11822" max="11822" width="7.42578125" style="798" bestFit="1" customWidth="1"/>
    <col min="11823" max="11823" width="5.7109375" style="798" bestFit="1" customWidth="1"/>
    <col min="11824" max="11824" width="8.85546875" style="798" bestFit="1" customWidth="1"/>
    <col min="11825" max="11825" width="12.5703125" style="798" bestFit="1" customWidth="1"/>
    <col min="11826" max="11826" width="8.5703125" style="798" bestFit="1" customWidth="1"/>
    <col min="11827" max="11829" width="6.7109375" style="798" customWidth="1"/>
    <col min="11830" max="11830" width="7.5703125" style="798" bestFit="1" customWidth="1"/>
    <col min="11831" max="11831" width="6.7109375" style="798" customWidth="1"/>
    <col min="11832" max="11832" width="12" style="798" bestFit="1" customWidth="1"/>
    <col min="11833" max="11852" width="4.7109375" style="798" customWidth="1"/>
    <col min="11853" max="12033" width="9.140625" style="798"/>
    <col min="12034" max="12034" width="3.5703125" style="798" customWidth="1"/>
    <col min="12035" max="12035" width="11.7109375" style="798" customWidth="1"/>
    <col min="12036" max="12036" width="0" style="798" hidden="1" customWidth="1"/>
    <col min="12037" max="12038" width="6.28515625" style="798" bestFit="1" customWidth="1"/>
    <col min="12039" max="12039" width="5.7109375" style="798" bestFit="1" customWidth="1"/>
    <col min="12040" max="12040" width="5.140625" style="798" bestFit="1" customWidth="1"/>
    <col min="12041" max="12041" width="5.140625" style="798" customWidth="1"/>
    <col min="12042" max="12042" width="6.85546875" style="798" bestFit="1" customWidth="1"/>
    <col min="12043" max="12043" width="5.42578125" style="798" bestFit="1" customWidth="1"/>
    <col min="12044" max="12044" width="5.85546875" style="798" bestFit="1" customWidth="1"/>
    <col min="12045" max="12045" width="6" style="798" customWidth="1"/>
    <col min="12046" max="12047" width="6.7109375" style="798" customWidth="1"/>
    <col min="12048" max="12048" width="6.42578125" style="798" bestFit="1" customWidth="1"/>
    <col min="12049" max="12059" width="6.42578125" style="798" customWidth="1"/>
    <col min="12060" max="12065" width="7.28515625" style="798" customWidth="1"/>
    <col min="12066" max="12066" width="8.5703125" style="798" bestFit="1" customWidth="1"/>
    <col min="12067" max="12067" width="8.28515625" style="798" customWidth="1"/>
    <col min="12068" max="12068" width="9" style="798" customWidth="1"/>
    <col min="12069" max="12069" width="8.7109375" style="798" customWidth="1"/>
    <col min="12070" max="12071" width="9.7109375" style="798" customWidth="1"/>
    <col min="12072" max="12072" width="8.5703125" style="798" bestFit="1" customWidth="1"/>
    <col min="12073" max="12073" width="10.42578125" style="798" bestFit="1" customWidth="1"/>
    <col min="12074" max="12074" width="6.7109375" style="798" customWidth="1"/>
    <col min="12075" max="12075" width="5.85546875" style="798" bestFit="1" customWidth="1"/>
    <col min="12076" max="12077" width="7.5703125" style="798" bestFit="1" customWidth="1"/>
    <col min="12078" max="12078" width="7.42578125" style="798" bestFit="1" customWidth="1"/>
    <col min="12079" max="12079" width="5.7109375" style="798" bestFit="1" customWidth="1"/>
    <col min="12080" max="12080" width="8.85546875" style="798" bestFit="1" customWidth="1"/>
    <col min="12081" max="12081" width="12.5703125" style="798" bestFit="1" customWidth="1"/>
    <col min="12082" max="12082" width="8.5703125" style="798" bestFit="1" customWidth="1"/>
    <col min="12083" max="12085" width="6.7109375" style="798" customWidth="1"/>
    <col min="12086" max="12086" width="7.5703125" style="798" bestFit="1" customWidth="1"/>
    <col min="12087" max="12087" width="6.7109375" style="798" customWidth="1"/>
    <col min="12088" max="12088" width="12" style="798" bestFit="1" customWidth="1"/>
    <col min="12089" max="12108" width="4.7109375" style="798" customWidth="1"/>
    <col min="12109" max="12289" width="9.140625" style="798"/>
    <col min="12290" max="12290" width="3.5703125" style="798" customWidth="1"/>
    <col min="12291" max="12291" width="11.7109375" style="798" customWidth="1"/>
    <col min="12292" max="12292" width="0" style="798" hidden="1" customWidth="1"/>
    <col min="12293" max="12294" width="6.28515625" style="798" bestFit="1" customWidth="1"/>
    <col min="12295" max="12295" width="5.7109375" style="798" bestFit="1" customWidth="1"/>
    <col min="12296" max="12296" width="5.140625" style="798" bestFit="1" customWidth="1"/>
    <col min="12297" max="12297" width="5.140625" style="798" customWidth="1"/>
    <col min="12298" max="12298" width="6.85546875" style="798" bestFit="1" customWidth="1"/>
    <col min="12299" max="12299" width="5.42578125" style="798" bestFit="1" customWidth="1"/>
    <col min="12300" max="12300" width="5.85546875" style="798" bestFit="1" customWidth="1"/>
    <col min="12301" max="12301" width="6" style="798" customWidth="1"/>
    <col min="12302" max="12303" width="6.7109375" style="798" customWidth="1"/>
    <col min="12304" max="12304" width="6.42578125" style="798" bestFit="1" customWidth="1"/>
    <col min="12305" max="12315" width="6.42578125" style="798" customWidth="1"/>
    <col min="12316" max="12321" width="7.28515625" style="798" customWidth="1"/>
    <col min="12322" max="12322" width="8.5703125" style="798" bestFit="1" customWidth="1"/>
    <col min="12323" max="12323" width="8.28515625" style="798" customWidth="1"/>
    <col min="12324" max="12324" width="9" style="798" customWidth="1"/>
    <col min="12325" max="12325" width="8.7109375" style="798" customWidth="1"/>
    <col min="12326" max="12327" width="9.7109375" style="798" customWidth="1"/>
    <col min="12328" max="12328" width="8.5703125" style="798" bestFit="1" customWidth="1"/>
    <col min="12329" max="12329" width="10.42578125" style="798" bestFit="1" customWidth="1"/>
    <col min="12330" max="12330" width="6.7109375" style="798" customWidth="1"/>
    <col min="12331" max="12331" width="5.85546875" style="798" bestFit="1" customWidth="1"/>
    <col min="12332" max="12333" width="7.5703125" style="798" bestFit="1" customWidth="1"/>
    <col min="12334" max="12334" width="7.42578125" style="798" bestFit="1" customWidth="1"/>
    <col min="12335" max="12335" width="5.7109375" style="798" bestFit="1" customWidth="1"/>
    <col min="12336" max="12336" width="8.85546875" style="798" bestFit="1" customWidth="1"/>
    <col min="12337" max="12337" width="12.5703125" style="798" bestFit="1" customWidth="1"/>
    <col min="12338" max="12338" width="8.5703125" style="798" bestFit="1" customWidth="1"/>
    <col min="12339" max="12341" width="6.7109375" style="798" customWidth="1"/>
    <col min="12342" max="12342" width="7.5703125" style="798" bestFit="1" customWidth="1"/>
    <col min="12343" max="12343" width="6.7109375" style="798" customWidth="1"/>
    <col min="12344" max="12344" width="12" style="798" bestFit="1" customWidth="1"/>
    <col min="12345" max="12364" width="4.7109375" style="798" customWidth="1"/>
    <col min="12365" max="12545" width="9.140625" style="798"/>
    <col min="12546" max="12546" width="3.5703125" style="798" customWidth="1"/>
    <col min="12547" max="12547" width="11.7109375" style="798" customWidth="1"/>
    <col min="12548" max="12548" width="0" style="798" hidden="1" customWidth="1"/>
    <col min="12549" max="12550" width="6.28515625" style="798" bestFit="1" customWidth="1"/>
    <col min="12551" max="12551" width="5.7109375" style="798" bestFit="1" customWidth="1"/>
    <col min="12552" max="12552" width="5.140625" style="798" bestFit="1" customWidth="1"/>
    <col min="12553" max="12553" width="5.140625" style="798" customWidth="1"/>
    <col min="12554" max="12554" width="6.85546875" style="798" bestFit="1" customWidth="1"/>
    <col min="12555" max="12555" width="5.42578125" style="798" bestFit="1" customWidth="1"/>
    <col min="12556" max="12556" width="5.85546875" style="798" bestFit="1" customWidth="1"/>
    <col min="12557" max="12557" width="6" style="798" customWidth="1"/>
    <col min="12558" max="12559" width="6.7109375" style="798" customWidth="1"/>
    <col min="12560" max="12560" width="6.42578125" style="798" bestFit="1" customWidth="1"/>
    <col min="12561" max="12571" width="6.42578125" style="798" customWidth="1"/>
    <col min="12572" max="12577" width="7.28515625" style="798" customWidth="1"/>
    <col min="12578" max="12578" width="8.5703125" style="798" bestFit="1" customWidth="1"/>
    <col min="12579" max="12579" width="8.28515625" style="798" customWidth="1"/>
    <col min="12580" max="12580" width="9" style="798" customWidth="1"/>
    <col min="12581" max="12581" width="8.7109375" style="798" customWidth="1"/>
    <col min="12582" max="12583" width="9.7109375" style="798" customWidth="1"/>
    <col min="12584" max="12584" width="8.5703125" style="798" bestFit="1" customWidth="1"/>
    <col min="12585" max="12585" width="10.42578125" style="798" bestFit="1" customWidth="1"/>
    <col min="12586" max="12586" width="6.7109375" style="798" customWidth="1"/>
    <col min="12587" max="12587" width="5.85546875" style="798" bestFit="1" customWidth="1"/>
    <col min="12588" max="12589" width="7.5703125" style="798" bestFit="1" customWidth="1"/>
    <col min="12590" max="12590" width="7.42578125" style="798" bestFit="1" customWidth="1"/>
    <col min="12591" max="12591" width="5.7109375" style="798" bestFit="1" customWidth="1"/>
    <col min="12592" max="12592" width="8.85546875" style="798" bestFit="1" customWidth="1"/>
    <col min="12593" max="12593" width="12.5703125" style="798" bestFit="1" customWidth="1"/>
    <col min="12594" max="12594" width="8.5703125" style="798" bestFit="1" customWidth="1"/>
    <col min="12595" max="12597" width="6.7109375" style="798" customWidth="1"/>
    <col min="12598" max="12598" width="7.5703125" style="798" bestFit="1" customWidth="1"/>
    <col min="12599" max="12599" width="6.7109375" style="798" customWidth="1"/>
    <col min="12600" max="12600" width="12" style="798" bestFit="1" customWidth="1"/>
    <col min="12601" max="12620" width="4.7109375" style="798" customWidth="1"/>
    <col min="12621" max="12801" width="9.140625" style="798"/>
    <col min="12802" max="12802" width="3.5703125" style="798" customWidth="1"/>
    <col min="12803" max="12803" width="11.7109375" style="798" customWidth="1"/>
    <col min="12804" max="12804" width="0" style="798" hidden="1" customWidth="1"/>
    <col min="12805" max="12806" width="6.28515625" style="798" bestFit="1" customWidth="1"/>
    <col min="12807" max="12807" width="5.7109375" style="798" bestFit="1" customWidth="1"/>
    <col min="12808" max="12808" width="5.140625" style="798" bestFit="1" customWidth="1"/>
    <col min="12809" max="12809" width="5.140625" style="798" customWidth="1"/>
    <col min="12810" max="12810" width="6.85546875" style="798" bestFit="1" customWidth="1"/>
    <col min="12811" max="12811" width="5.42578125" style="798" bestFit="1" customWidth="1"/>
    <col min="12812" max="12812" width="5.85546875" style="798" bestFit="1" customWidth="1"/>
    <col min="12813" max="12813" width="6" style="798" customWidth="1"/>
    <col min="12814" max="12815" width="6.7109375" style="798" customWidth="1"/>
    <col min="12816" max="12816" width="6.42578125" style="798" bestFit="1" customWidth="1"/>
    <col min="12817" max="12827" width="6.42578125" style="798" customWidth="1"/>
    <col min="12828" max="12833" width="7.28515625" style="798" customWidth="1"/>
    <col min="12834" max="12834" width="8.5703125" style="798" bestFit="1" customWidth="1"/>
    <col min="12835" max="12835" width="8.28515625" style="798" customWidth="1"/>
    <col min="12836" max="12836" width="9" style="798" customWidth="1"/>
    <col min="12837" max="12837" width="8.7109375" style="798" customWidth="1"/>
    <col min="12838" max="12839" width="9.7109375" style="798" customWidth="1"/>
    <col min="12840" max="12840" width="8.5703125" style="798" bestFit="1" customWidth="1"/>
    <col min="12841" max="12841" width="10.42578125" style="798" bestFit="1" customWidth="1"/>
    <col min="12842" max="12842" width="6.7109375" style="798" customWidth="1"/>
    <col min="12843" max="12843" width="5.85546875" style="798" bestFit="1" customWidth="1"/>
    <col min="12844" max="12845" width="7.5703125" style="798" bestFit="1" customWidth="1"/>
    <col min="12846" max="12846" width="7.42578125" style="798" bestFit="1" customWidth="1"/>
    <col min="12847" max="12847" width="5.7109375" style="798" bestFit="1" customWidth="1"/>
    <col min="12848" max="12848" width="8.85546875" style="798" bestFit="1" customWidth="1"/>
    <col min="12849" max="12849" width="12.5703125" style="798" bestFit="1" customWidth="1"/>
    <col min="12850" max="12850" width="8.5703125" style="798" bestFit="1" customWidth="1"/>
    <col min="12851" max="12853" width="6.7109375" style="798" customWidth="1"/>
    <col min="12854" max="12854" width="7.5703125" style="798" bestFit="1" customWidth="1"/>
    <col min="12855" max="12855" width="6.7109375" style="798" customWidth="1"/>
    <col min="12856" max="12856" width="12" style="798" bestFit="1" customWidth="1"/>
    <col min="12857" max="12876" width="4.7109375" style="798" customWidth="1"/>
    <col min="12877" max="13057" width="9.140625" style="798"/>
    <col min="13058" max="13058" width="3.5703125" style="798" customWidth="1"/>
    <col min="13059" max="13059" width="11.7109375" style="798" customWidth="1"/>
    <col min="13060" max="13060" width="0" style="798" hidden="1" customWidth="1"/>
    <col min="13061" max="13062" width="6.28515625" style="798" bestFit="1" customWidth="1"/>
    <col min="13063" max="13063" width="5.7109375" style="798" bestFit="1" customWidth="1"/>
    <col min="13064" max="13064" width="5.140625" style="798" bestFit="1" customWidth="1"/>
    <col min="13065" max="13065" width="5.140625" style="798" customWidth="1"/>
    <col min="13066" max="13066" width="6.85546875" style="798" bestFit="1" customWidth="1"/>
    <col min="13067" max="13067" width="5.42578125" style="798" bestFit="1" customWidth="1"/>
    <col min="13068" max="13068" width="5.85546875" style="798" bestFit="1" customWidth="1"/>
    <col min="13069" max="13069" width="6" style="798" customWidth="1"/>
    <col min="13070" max="13071" width="6.7109375" style="798" customWidth="1"/>
    <col min="13072" max="13072" width="6.42578125" style="798" bestFit="1" customWidth="1"/>
    <col min="13073" max="13083" width="6.42578125" style="798" customWidth="1"/>
    <col min="13084" max="13089" width="7.28515625" style="798" customWidth="1"/>
    <col min="13090" max="13090" width="8.5703125" style="798" bestFit="1" customWidth="1"/>
    <col min="13091" max="13091" width="8.28515625" style="798" customWidth="1"/>
    <col min="13092" max="13092" width="9" style="798" customWidth="1"/>
    <col min="13093" max="13093" width="8.7109375" style="798" customWidth="1"/>
    <col min="13094" max="13095" width="9.7109375" style="798" customWidth="1"/>
    <col min="13096" max="13096" width="8.5703125" style="798" bestFit="1" customWidth="1"/>
    <col min="13097" max="13097" width="10.42578125" style="798" bestFit="1" customWidth="1"/>
    <col min="13098" max="13098" width="6.7109375" style="798" customWidth="1"/>
    <col min="13099" max="13099" width="5.85546875" style="798" bestFit="1" customWidth="1"/>
    <col min="13100" max="13101" width="7.5703125" style="798" bestFit="1" customWidth="1"/>
    <col min="13102" max="13102" width="7.42578125" style="798" bestFit="1" customWidth="1"/>
    <col min="13103" max="13103" width="5.7109375" style="798" bestFit="1" customWidth="1"/>
    <col min="13104" max="13104" width="8.85546875" style="798" bestFit="1" customWidth="1"/>
    <col min="13105" max="13105" width="12.5703125" style="798" bestFit="1" customWidth="1"/>
    <col min="13106" max="13106" width="8.5703125" style="798" bestFit="1" customWidth="1"/>
    <col min="13107" max="13109" width="6.7109375" style="798" customWidth="1"/>
    <col min="13110" max="13110" width="7.5703125" style="798" bestFit="1" customWidth="1"/>
    <col min="13111" max="13111" width="6.7109375" style="798" customWidth="1"/>
    <col min="13112" max="13112" width="12" style="798" bestFit="1" customWidth="1"/>
    <col min="13113" max="13132" width="4.7109375" style="798" customWidth="1"/>
    <col min="13133" max="13313" width="9.140625" style="798"/>
    <col min="13314" max="13314" width="3.5703125" style="798" customWidth="1"/>
    <col min="13315" max="13315" width="11.7109375" style="798" customWidth="1"/>
    <col min="13316" max="13316" width="0" style="798" hidden="1" customWidth="1"/>
    <col min="13317" max="13318" width="6.28515625" style="798" bestFit="1" customWidth="1"/>
    <col min="13319" max="13319" width="5.7109375" style="798" bestFit="1" customWidth="1"/>
    <col min="13320" max="13320" width="5.140625" style="798" bestFit="1" customWidth="1"/>
    <col min="13321" max="13321" width="5.140625" style="798" customWidth="1"/>
    <col min="13322" max="13322" width="6.85546875" style="798" bestFit="1" customWidth="1"/>
    <col min="13323" max="13323" width="5.42578125" style="798" bestFit="1" customWidth="1"/>
    <col min="13324" max="13324" width="5.85546875" style="798" bestFit="1" customWidth="1"/>
    <col min="13325" max="13325" width="6" style="798" customWidth="1"/>
    <col min="13326" max="13327" width="6.7109375" style="798" customWidth="1"/>
    <col min="13328" max="13328" width="6.42578125" style="798" bestFit="1" customWidth="1"/>
    <col min="13329" max="13339" width="6.42578125" style="798" customWidth="1"/>
    <col min="13340" max="13345" width="7.28515625" style="798" customWidth="1"/>
    <col min="13346" max="13346" width="8.5703125" style="798" bestFit="1" customWidth="1"/>
    <col min="13347" max="13347" width="8.28515625" style="798" customWidth="1"/>
    <col min="13348" max="13348" width="9" style="798" customWidth="1"/>
    <col min="13349" max="13349" width="8.7109375" style="798" customWidth="1"/>
    <col min="13350" max="13351" width="9.7109375" style="798" customWidth="1"/>
    <col min="13352" max="13352" width="8.5703125" style="798" bestFit="1" customWidth="1"/>
    <col min="13353" max="13353" width="10.42578125" style="798" bestFit="1" customWidth="1"/>
    <col min="13354" max="13354" width="6.7109375" style="798" customWidth="1"/>
    <col min="13355" max="13355" width="5.85546875" style="798" bestFit="1" customWidth="1"/>
    <col min="13356" max="13357" width="7.5703125" style="798" bestFit="1" customWidth="1"/>
    <col min="13358" max="13358" width="7.42578125" style="798" bestFit="1" customWidth="1"/>
    <col min="13359" max="13359" width="5.7109375" style="798" bestFit="1" customWidth="1"/>
    <col min="13360" max="13360" width="8.85546875" style="798" bestFit="1" customWidth="1"/>
    <col min="13361" max="13361" width="12.5703125" style="798" bestFit="1" customWidth="1"/>
    <col min="13362" max="13362" width="8.5703125" style="798" bestFit="1" customWidth="1"/>
    <col min="13363" max="13365" width="6.7109375" style="798" customWidth="1"/>
    <col min="13366" max="13366" width="7.5703125" style="798" bestFit="1" customWidth="1"/>
    <col min="13367" max="13367" width="6.7109375" style="798" customWidth="1"/>
    <col min="13368" max="13368" width="12" style="798" bestFit="1" customWidth="1"/>
    <col min="13369" max="13388" width="4.7109375" style="798" customWidth="1"/>
    <col min="13389" max="13569" width="9.140625" style="798"/>
    <col min="13570" max="13570" width="3.5703125" style="798" customWidth="1"/>
    <col min="13571" max="13571" width="11.7109375" style="798" customWidth="1"/>
    <col min="13572" max="13572" width="0" style="798" hidden="1" customWidth="1"/>
    <col min="13573" max="13574" width="6.28515625" style="798" bestFit="1" customWidth="1"/>
    <col min="13575" max="13575" width="5.7109375" style="798" bestFit="1" customWidth="1"/>
    <col min="13576" max="13576" width="5.140625" style="798" bestFit="1" customWidth="1"/>
    <col min="13577" max="13577" width="5.140625" style="798" customWidth="1"/>
    <col min="13578" max="13578" width="6.85546875" style="798" bestFit="1" customWidth="1"/>
    <col min="13579" max="13579" width="5.42578125" style="798" bestFit="1" customWidth="1"/>
    <col min="13580" max="13580" width="5.85546875" style="798" bestFit="1" customWidth="1"/>
    <col min="13581" max="13581" width="6" style="798" customWidth="1"/>
    <col min="13582" max="13583" width="6.7109375" style="798" customWidth="1"/>
    <col min="13584" max="13584" width="6.42578125" style="798" bestFit="1" customWidth="1"/>
    <col min="13585" max="13595" width="6.42578125" style="798" customWidth="1"/>
    <col min="13596" max="13601" width="7.28515625" style="798" customWidth="1"/>
    <col min="13602" max="13602" width="8.5703125" style="798" bestFit="1" customWidth="1"/>
    <col min="13603" max="13603" width="8.28515625" style="798" customWidth="1"/>
    <col min="13604" max="13604" width="9" style="798" customWidth="1"/>
    <col min="13605" max="13605" width="8.7109375" style="798" customWidth="1"/>
    <col min="13606" max="13607" width="9.7109375" style="798" customWidth="1"/>
    <col min="13608" max="13608" width="8.5703125" style="798" bestFit="1" customWidth="1"/>
    <col min="13609" max="13609" width="10.42578125" style="798" bestFit="1" customWidth="1"/>
    <col min="13610" max="13610" width="6.7109375" style="798" customWidth="1"/>
    <col min="13611" max="13611" width="5.85546875" style="798" bestFit="1" customWidth="1"/>
    <col min="13612" max="13613" width="7.5703125" style="798" bestFit="1" customWidth="1"/>
    <col min="13614" max="13614" width="7.42578125" style="798" bestFit="1" customWidth="1"/>
    <col min="13615" max="13615" width="5.7109375" style="798" bestFit="1" customWidth="1"/>
    <col min="13616" max="13616" width="8.85546875" style="798" bestFit="1" customWidth="1"/>
    <col min="13617" max="13617" width="12.5703125" style="798" bestFit="1" customWidth="1"/>
    <col min="13618" max="13618" width="8.5703125" style="798" bestFit="1" customWidth="1"/>
    <col min="13619" max="13621" width="6.7109375" style="798" customWidth="1"/>
    <col min="13622" max="13622" width="7.5703125" style="798" bestFit="1" customWidth="1"/>
    <col min="13623" max="13623" width="6.7109375" style="798" customWidth="1"/>
    <col min="13624" max="13624" width="12" style="798" bestFit="1" customWidth="1"/>
    <col min="13625" max="13644" width="4.7109375" style="798" customWidth="1"/>
    <col min="13645" max="13825" width="9.140625" style="798"/>
    <col min="13826" max="13826" width="3.5703125" style="798" customWidth="1"/>
    <col min="13827" max="13827" width="11.7109375" style="798" customWidth="1"/>
    <col min="13828" max="13828" width="0" style="798" hidden="1" customWidth="1"/>
    <col min="13829" max="13830" width="6.28515625" style="798" bestFit="1" customWidth="1"/>
    <col min="13831" max="13831" width="5.7109375" style="798" bestFit="1" customWidth="1"/>
    <col min="13832" max="13832" width="5.140625" style="798" bestFit="1" customWidth="1"/>
    <col min="13833" max="13833" width="5.140625" style="798" customWidth="1"/>
    <col min="13834" max="13834" width="6.85546875" style="798" bestFit="1" customWidth="1"/>
    <col min="13835" max="13835" width="5.42578125" style="798" bestFit="1" customWidth="1"/>
    <col min="13836" max="13836" width="5.85546875" style="798" bestFit="1" customWidth="1"/>
    <col min="13837" max="13837" width="6" style="798" customWidth="1"/>
    <col min="13838" max="13839" width="6.7109375" style="798" customWidth="1"/>
    <col min="13840" max="13840" width="6.42578125" style="798" bestFit="1" customWidth="1"/>
    <col min="13841" max="13851" width="6.42578125" style="798" customWidth="1"/>
    <col min="13852" max="13857" width="7.28515625" style="798" customWidth="1"/>
    <col min="13858" max="13858" width="8.5703125" style="798" bestFit="1" customWidth="1"/>
    <col min="13859" max="13859" width="8.28515625" style="798" customWidth="1"/>
    <col min="13860" max="13860" width="9" style="798" customWidth="1"/>
    <col min="13861" max="13861" width="8.7109375" style="798" customWidth="1"/>
    <col min="13862" max="13863" width="9.7109375" style="798" customWidth="1"/>
    <col min="13864" max="13864" width="8.5703125" style="798" bestFit="1" customWidth="1"/>
    <col min="13865" max="13865" width="10.42578125" style="798" bestFit="1" customWidth="1"/>
    <col min="13866" max="13866" width="6.7109375" style="798" customWidth="1"/>
    <col min="13867" max="13867" width="5.85546875" style="798" bestFit="1" customWidth="1"/>
    <col min="13868" max="13869" width="7.5703125" style="798" bestFit="1" customWidth="1"/>
    <col min="13870" max="13870" width="7.42578125" style="798" bestFit="1" customWidth="1"/>
    <col min="13871" max="13871" width="5.7109375" style="798" bestFit="1" customWidth="1"/>
    <col min="13872" max="13872" width="8.85546875" style="798" bestFit="1" customWidth="1"/>
    <col min="13873" max="13873" width="12.5703125" style="798" bestFit="1" customWidth="1"/>
    <col min="13874" max="13874" width="8.5703125" style="798" bestFit="1" customWidth="1"/>
    <col min="13875" max="13877" width="6.7109375" style="798" customWidth="1"/>
    <col min="13878" max="13878" width="7.5703125" style="798" bestFit="1" customWidth="1"/>
    <col min="13879" max="13879" width="6.7109375" style="798" customWidth="1"/>
    <col min="13880" max="13880" width="12" style="798" bestFit="1" customWidth="1"/>
    <col min="13881" max="13900" width="4.7109375" style="798" customWidth="1"/>
    <col min="13901" max="14081" width="9.140625" style="798"/>
    <col min="14082" max="14082" width="3.5703125" style="798" customWidth="1"/>
    <col min="14083" max="14083" width="11.7109375" style="798" customWidth="1"/>
    <col min="14084" max="14084" width="0" style="798" hidden="1" customWidth="1"/>
    <col min="14085" max="14086" width="6.28515625" style="798" bestFit="1" customWidth="1"/>
    <col min="14087" max="14087" width="5.7109375" style="798" bestFit="1" customWidth="1"/>
    <col min="14088" max="14088" width="5.140625" style="798" bestFit="1" customWidth="1"/>
    <col min="14089" max="14089" width="5.140625" style="798" customWidth="1"/>
    <col min="14090" max="14090" width="6.85546875" style="798" bestFit="1" customWidth="1"/>
    <col min="14091" max="14091" width="5.42578125" style="798" bestFit="1" customWidth="1"/>
    <col min="14092" max="14092" width="5.85546875" style="798" bestFit="1" customWidth="1"/>
    <col min="14093" max="14093" width="6" style="798" customWidth="1"/>
    <col min="14094" max="14095" width="6.7109375" style="798" customWidth="1"/>
    <col min="14096" max="14096" width="6.42578125" style="798" bestFit="1" customWidth="1"/>
    <col min="14097" max="14107" width="6.42578125" style="798" customWidth="1"/>
    <col min="14108" max="14113" width="7.28515625" style="798" customWidth="1"/>
    <col min="14114" max="14114" width="8.5703125" style="798" bestFit="1" customWidth="1"/>
    <col min="14115" max="14115" width="8.28515625" style="798" customWidth="1"/>
    <col min="14116" max="14116" width="9" style="798" customWidth="1"/>
    <col min="14117" max="14117" width="8.7109375" style="798" customWidth="1"/>
    <col min="14118" max="14119" width="9.7109375" style="798" customWidth="1"/>
    <col min="14120" max="14120" width="8.5703125" style="798" bestFit="1" customWidth="1"/>
    <col min="14121" max="14121" width="10.42578125" style="798" bestFit="1" customWidth="1"/>
    <col min="14122" max="14122" width="6.7109375" style="798" customWidth="1"/>
    <col min="14123" max="14123" width="5.85546875" style="798" bestFit="1" customWidth="1"/>
    <col min="14124" max="14125" width="7.5703125" style="798" bestFit="1" customWidth="1"/>
    <col min="14126" max="14126" width="7.42578125" style="798" bestFit="1" customWidth="1"/>
    <col min="14127" max="14127" width="5.7109375" style="798" bestFit="1" customWidth="1"/>
    <col min="14128" max="14128" width="8.85546875" style="798" bestFit="1" customWidth="1"/>
    <col min="14129" max="14129" width="12.5703125" style="798" bestFit="1" customWidth="1"/>
    <col min="14130" max="14130" width="8.5703125" style="798" bestFit="1" customWidth="1"/>
    <col min="14131" max="14133" width="6.7109375" style="798" customWidth="1"/>
    <col min="14134" max="14134" width="7.5703125" style="798" bestFit="1" customWidth="1"/>
    <col min="14135" max="14135" width="6.7109375" style="798" customWidth="1"/>
    <col min="14136" max="14136" width="12" style="798" bestFit="1" customWidth="1"/>
    <col min="14137" max="14156" width="4.7109375" style="798" customWidth="1"/>
    <col min="14157" max="14337" width="9.140625" style="798"/>
    <col min="14338" max="14338" width="3.5703125" style="798" customWidth="1"/>
    <col min="14339" max="14339" width="11.7109375" style="798" customWidth="1"/>
    <col min="14340" max="14340" width="0" style="798" hidden="1" customWidth="1"/>
    <col min="14341" max="14342" width="6.28515625" style="798" bestFit="1" customWidth="1"/>
    <col min="14343" max="14343" width="5.7109375" style="798" bestFit="1" customWidth="1"/>
    <col min="14344" max="14344" width="5.140625" style="798" bestFit="1" customWidth="1"/>
    <col min="14345" max="14345" width="5.140625" style="798" customWidth="1"/>
    <col min="14346" max="14346" width="6.85546875" style="798" bestFit="1" customWidth="1"/>
    <col min="14347" max="14347" width="5.42578125" style="798" bestFit="1" customWidth="1"/>
    <col min="14348" max="14348" width="5.85546875" style="798" bestFit="1" customWidth="1"/>
    <col min="14349" max="14349" width="6" style="798" customWidth="1"/>
    <col min="14350" max="14351" width="6.7109375" style="798" customWidth="1"/>
    <col min="14352" max="14352" width="6.42578125" style="798" bestFit="1" customWidth="1"/>
    <col min="14353" max="14363" width="6.42578125" style="798" customWidth="1"/>
    <col min="14364" max="14369" width="7.28515625" style="798" customWidth="1"/>
    <col min="14370" max="14370" width="8.5703125" style="798" bestFit="1" customWidth="1"/>
    <col min="14371" max="14371" width="8.28515625" style="798" customWidth="1"/>
    <col min="14372" max="14372" width="9" style="798" customWidth="1"/>
    <col min="14373" max="14373" width="8.7109375" style="798" customWidth="1"/>
    <col min="14374" max="14375" width="9.7109375" style="798" customWidth="1"/>
    <col min="14376" max="14376" width="8.5703125" style="798" bestFit="1" customWidth="1"/>
    <col min="14377" max="14377" width="10.42578125" style="798" bestFit="1" customWidth="1"/>
    <col min="14378" max="14378" width="6.7109375" style="798" customWidth="1"/>
    <col min="14379" max="14379" width="5.85546875" style="798" bestFit="1" customWidth="1"/>
    <col min="14380" max="14381" width="7.5703125" style="798" bestFit="1" customWidth="1"/>
    <col min="14382" max="14382" width="7.42578125" style="798" bestFit="1" customWidth="1"/>
    <col min="14383" max="14383" width="5.7109375" style="798" bestFit="1" customWidth="1"/>
    <col min="14384" max="14384" width="8.85546875" style="798" bestFit="1" customWidth="1"/>
    <col min="14385" max="14385" width="12.5703125" style="798" bestFit="1" customWidth="1"/>
    <col min="14386" max="14386" width="8.5703125" style="798" bestFit="1" customWidth="1"/>
    <col min="14387" max="14389" width="6.7109375" style="798" customWidth="1"/>
    <col min="14390" max="14390" width="7.5703125" style="798" bestFit="1" customWidth="1"/>
    <col min="14391" max="14391" width="6.7109375" style="798" customWidth="1"/>
    <col min="14392" max="14392" width="12" style="798" bestFit="1" customWidth="1"/>
    <col min="14393" max="14412" width="4.7109375" style="798" customWidth="1"/>
    <col min="14413" max="14593" width="9.140625" style="798"/>
    <col min="14594" max="14594" width="3.5703125" style="798" customWidth="1"/>
    <col min="14595" max="14595" width="11.7109375" style="798" customWidth="1"/>
    <col min="14596" max="14596" width="0" style="798" hidden="1" customWidth="1"/>
    <col min="14597" max="14598" width="6.28515625" style="798" bestFit="1" customWidth="1"/>
    <col min="14599" max="14599" width="5.7109375" style="798" bestFit="1" customWidth="1"/>
    <col min="14600" max="14600" width="5.140625" style="798" bestFit="1" customWidth="1"/>
    <col min="14601" max="14601" width="5.140625" style="798" customWidth="1"/>
    <col min="14602" max="14602" width="6.85546875" style="798" bestFit="1" customWidth="1"/>
    <col min="14603" max="14603" width="5.42578125" style="798" bestFit="1" customWidth="1"/>
    <col min="14604" max="14604" width="5.85546875" style="798" bestFit="1" customWidth="1"/>
    <col min="14605" max="14605" width="6" style="798" customWidth="1"/>
    <col min="14606" max="14607" width="6.7109375" style="798" customWidth="1"/>
    <col min="14608" max="14608" width="6.42578125" style="798" bestFit="1" customWidth="1"/>
    <col min="14609" max="14619" width="6.42578125" style="798" customWidth="1"/>
    <col min="14620" max="14625" width="7.28515625" style="798" customWidth="1"/>
    <col min="14626" max="14626" width="8.5703125" style="798" bestFit="1" customWidth="1"/>
    <col min="14627" max="14627" width="8.28515625" style="798" customWidth="1"/>
    <col min="14628" max="14628" width="9" style="798" customWidth="1"/>
    <col min="14629" max="14629" width="8.7109375" style="798" customWidth="1"/>
    <col min="14630" max="14631" width="9.7109375" style="798" customWidth="1"/>
    <col min="14632" max="14632" width="8.5703125" style="798" bestFit="1" customWidth="1"/>
    <col min="14633" max="14633" width="10.42578125" style="798" bestFit="1" customWidth="1"/>
    <col min="14634" max="14634" width="6.7109375" style="798" customWidth="1"/>
    <col min="14635" max="14635" width="5.85546875" style="798" bestFit="1" customWidth="1"/>
    <col min="14636" max="14637" width="7.5703125" style="798" bestFit="1" customWidth="1"/>
    <col min="14638" max="14638" width="7.42578125" style="798" bestFit="1" customWidth="1"/>
    <col min="14639" max="14639" width="5.7109375" style="798" bestFit="1" customWidth="1"/>
    <col min="14640" max="14640" width="8.85546875" style="798" bestFit="1" customWidth="1"/>
    <col min="14641" max="14641" width="12.5703125" style="798" bestFit="1" customWidth="1"/>
    <col min="14642" max="14642" width="8.5703125" style="798" bestFit="1" customWidth="1"/>
    <col min="14643" max="14645" width="6.7109375" style="798" customWidth="1"/>
    <col min="14646" max="14646" width="7.5703125" style="798" bestFit="1" customWidth="1"/>
    <col min="14647" max="14647" width="6.7109375" style="798" customWidth="1"/>
    <col min="14648" max="14648" width="12" style="798" bestFit="1" customWidth="1"/>
    <col min="14649" max="14668" width="4.7109375" style="798" customWidth="1"/>
    <col min="14669" max="14849" width="9.140625" style="798"/>
    <col min="14850" max="14850" width="3.5703125" style="798" customWidth="1"/>
    <col min="14851" max="14851" width="11.7109375" style="798" customWidth="1"/>
    <col min="14852" max="14852" width="0" style="798" hidden="1" customWidth="1"/>
    <col min="14853" max="14854" width="6.28515625" style="798" bestFit="1" customWidth="1"/>
    <col min="14855" max="14855" width="5.7109375" style="798" bestFit="1" customWidth="1"/>
    <col min="14856" max="14856" width="5.140625" style="798" bestFit="1" customWidth="1"/>
    <col min="14857" max="14857" width="5.140625" style="798" customWidth="1"/>
    <col min="14858" max="14858" width="6.85546875" style="798" bestFit="1" customWidth="1"/>
    <col min="14859" max="14859" width="5.42578125" style="798" bestFit="1" customWidth="1"/>
    <col min="14860" max="14860" width="5.85546875" style="798" bestFit="1" customWidth="1"/>
    <col min="14861" max="14861" width="6" style="798" customWidth="1"/>
    <col min="14862" max="14863" width="6.7109375" style="798" customWidth="1"/>
    <col min="14864" max="14864" width="6.42578125" style="798" bestFit="1" customWidth="1"/>
    <col min="14865" max="14875" width="6.42578125" style="798" customWidth="1"/>
    <col min="14876" max="14881" width="7.28515625" style="798" customWidth="1"/>
    <col min="14882" max="14882" width="8.5703125" style="798" bestFit="1" customWidth="1"/>
    <col min="14883" max="14883" width="8.28515625" style="798" customWidth="1"/>
    <col min="14884" max="14884" width="9" style="798" customWidth="1"/>
    <col min="14885" max="14885" width="8.7109375" style="798" customWidth="1"/>
    <col min="14886" max="14887" width="9.7109375" style="798" customWidth="1"/>
    <col min="14888" max="14888" width="8.5703125" style="798" bestFit="1" customWidth="1"/>
    <col min="14889" max="14889" width="10.42578125" style="798" bestFit="1" customWidth="1"/>
    <col min="14890" max="14890" width="6.7109375" style="798" customWidth="1"/>
    <col min="14891" max="14891" width="5.85546875" style="798" bestFit="1" customWidth="1"/>
    <col min="14892" max="14893" width="7.5703125" style="798" bestFit="1" customWidth="1"/>
    <col min="14894" max="14894" width="7.42578125" style="798" bestFit="1" customWidth="1"/>
    <col min="14895" max="14895" width="5.7109375" style="798" bestFit="1" customWidth="1"/>
    <col min="14896" max="14896" width="8.85546875" style="798" bestFit="1" customWidth="1"/>
    <col min="14897" max="14897" width="12.5703125" style="798" bestFit="1" customWidth="1"/>
    <col min="14898" max="14898" width="8.5703125" style="798" bestFit="1" customWidth="1"/>
    <col min="14899" max="14901" width="6.7109375" style="798" customWidth="1"/>
    <col min="14902" max="14902" width="7.5703125" style="798" bestFit="1" customWidth="1"/>
    <col min="14903" max="14903" width="6.7109375" style="798" customWidth="1"/>
    <col min="14904" max="14904" width="12" style="798" bestFit="1" customWidth="1"/>
    <col min="14905" max="14924" width="4.7109375" style="798" customWidth="1"/>
    <col min="14925" max="15105" width="9.140625" style="798"/>
    <col min="15106" max="15106" width="3.5703125" style="798" customWidth="1"/>
    <col min="15107" max="15107" width="11.7109375" style="798" customWidth="1"/>
    <col min="15108" max="15108" width="0" style="798" hidden="1" customWidth="1"/>
    <col min="15109" max="15110" width="6.28515625" style="798" bestFit="1" customWidth="1"/>
    <col min="15111" max="15111" width="5.7109375" style="798" bestFit="1" customWidth="1"/>
    <col min="15112" max="15112" width="5.140625" style="798" bestFit="1" customWidth="1"/>
    <col min="15113" max="15113" width="5.140625" style="798" customWidth="1"/>
    <col min="15114" max="15114" width="6.85546875" style="798" bestFit="1" customWidth="1"/>
    <col min="15115" max="15115" width="5.42578125" style="798" bestFit="1" customWidth="1"/>
    <col min="15116" max="15116" width="5.85546875" style="798" bestFit="1" customWidth="1"/>
    <col min="15117" max="15117" width="6" style="798" customWidth="1"/>
    <col min="15118" max="15119" width="6.7109375" style="798" customWidth="1"/>
    <col min="15120" max="15120" width="6.42578125" style="798" bestFit="1" customWidth="1"/>
    <col min="15121" max="15131" width="6.42578125" style="798" customWidth="1"/>
    <col min="15132" max="15137" width="7.28515625" style="798" customWidth="1"/>
    <col min="15138" max="15138" width="8.5703125" style="798" bestFit="1" customWidth="1"/>
    <col min="15139" max="15139" width="8.28515625" style="798" customWidth="1"/>
    <col min="15140" max="15140" width="9" style="798" customWidth="1"/>
    <col min="15141" max="15141" width="8.7109375" style="798" customWidth="1"/>
    <col min="15142" max="15143" width="9.7109375" style="798" customWidth="1"/>
    <col min="15144" max="15144" width="8.5703125" style="798" bestFit="1" customWidth="1"/>
    <col min="15145" max="15145" width="10.42578125" style="798" bestFit="1" customWidth="1"/>
    <col min="15146" max="15146" width="6.7109375" style="798" customWidth="1"/>
    <col min="15147" max="15147" width="5.85546875" style="798" bestFit="1" customWidth="1"/>
    <col min="15148" max="15149" width="7.5703125" style="798" bestFit="1" customWidth="1"/>
    <col min="15150" max="15150" width="7.42578125" style="798" bestFit="1" customWidth="1"/>
    <col min="15151" max="15151" width="5.7109375" style="798" bestFit="1" customWidth="1"/>
    <col min="15152" max="15152" width="8.85546875" style="798" bestFit="1" customWidth="1"/>
    <col min="15153" max="15153" width="12.5703125" style="798" bestFit="1" customWidth="1"/>
    <col min="15154" max="15154" width="8.5703125" style="798" bestFit="1" customWidth="1"/>
    <col min="15155" max="15157" width="6.7109375" style="798" customWidth="1"/>
    <col min="15158" max="15158" width="7.5703125" style="798" bestFit="1" customWidth="1"/>
    <col min="15159" max="15159" width="6.7109375" style="798" customWidth="1"/>
    <col min="15160" max="15160" width="12" style="798" bestFit="1" customWidth="1"/>
    <col min="15161" max="15180" width="4.7109375" style="798" customWidth="1"/>
    <col min="15181" max="15361" width="9.140625" style="798"/>
    <col min="15362" max="15362" width="3.5703125" style="798" customWidth="1"/>
    <col min="15363" max="15363" width="11.7109375" style="798" customWidth="1"/>
    <col min="15364" max="15364" width="0" style="798" hidden="1" customWidth="1"/>
    <col min="15365" max="15366" width="6.28515625" style="798" bestFit="1" customWidth="1"/>
    <col min="15367" max="15367" width="5.7109375" style="798" bestFit="1" customWidth="1"/>
    <col min="15368" max="15368" width="5.140625" style="798" bestFit="1" customWidth="1"/>
    <col min="15369" max="15369" width="5.140625" style="798" customWidth="1"/>
    <col min="15370" max="15370" width="6.85546875" style="798" bestFit="1" customWidth="1"/>
    <col min="15371" max="15371" width="5.42578125" style="798" bestFit="1" customWidth="1"/>
    <col min="15372" max="15372" width="5.85546875" style="798" bestFit="1" customWidth="1"/>
    <col min="15373" max="15373" width="6" style="798" customWidth="1"/>
    <col min="15374" max="15375" width="6.7109375" style="798" customWidth="1"/>
    <col min="15376" max="15376" width="6.42578125" style="798" bestFit="1" customWidth="1"/>
    <col min="15377" max="15387" width="6.42578125" style="798" customWidth="1"/>
    <col min="15388" max="15393" width="7.28515625" style="798" customWidth="1"/>
    <col min="15394" max="15394" width="8.5703125" style="798" bestFit="1" customWidth="1"/>
    <col min="15395" max="15395" width="8.28515625" style="798" customWidth="1"/>
    <col min="15396" max="15396" width="9" style="798" customWidth="1"/>
    <col min="15397" max="15397" width="8.7109375" style="798" customWidth="1"/>
    <col min="15398" max="15399" width="9.7109375" style="798" customWidth="1"/>
    <col min="15400" max="15400" width="8.5703125" style="798" bestFit="1" customWidth="1"/>
    <col min="15401" max="15401" width="10.42578125" style="798" bestFit="1" customWidth="1"/>
    <col min="15402" max="15402" width="6.7109375" style="798" customWidth="1"/>
    <col min="15403" max="15403" width="5.85546875" style="798" bestFit="1" customWidth="1"/>
    <col min="15404" max="15405" width="7.5703125" style="798" bestFit="1" customWidth="1"/>
    <col min="15406" max="15406" width="7.42578125" style="798" bestFit="1" customWidth="1"/>
    <col min="15407" max="15407" width="5.7109375" style="798" bestFit="1" customWidth="1"/>
    <col min="15408" max="15408" width="8.85546875" style="798" bestFit="1" customWidth="1"/>
    <col min="15409" max="15409" width="12.5703125" style="798" bestFit="1" customWidth="1"/>
    <col min="15410" max="15410" width="8.5703125" style="798" bestFit="1" customWidth="1"/>
    <col min="15411" max="15413" width="6.7109375" style="798" customWidth="1"/>
    <col min="15414" max="15414" width="7.5703125" style="798" bestFit="1" customWidth="1"/>
    <col min="15415" max="15415" width="6.7109375" style="798" customWidth="1"/>
    <col min="15416" max="15416" width="12" style="798" bestFit="1" customWidth="1"/>
    <col min="15417" max="15436" width="4.7109375" style="798" customWidth="1"/>
    <col min="15437" max="15617" width="9.140625" style="798"/>
    <col min="15618" max="15618" width="3.5703125" style="798" customWidth="1"/>
    <col min="15619" max="15619" width="11.7109375" style="798" customWidth="1"/>
    <col min="15620" max="15620" width="0" style="798" hidden="1" customWidth="1"/>
    <col min="15621" max="15622" width="6.28515625" style="798" bestFit="1" customWidth="1"/>
    <col min="15623" max="15623" width="5.7109375" style="798" bestFit="1" customWidth="1"/>
    <col min="15624" max="15624" width="5.140625" style="798" bestFit="1" customWidth="1"/>
    <col min="15625" max="15625" width="5.140625" style="798" customWidth="1"/>
    <col min="15626" max="15626" width="6.85546875" style="798" bestFit="1" customWidth="1"/>
    <col min="15627" max="15627" width="5.42578125" style="798" bestFit="1" customWidth="1"/>
    <col min="15628" max="15628" width="5.85546875" style="798" bestFit="1" customWidth="1"/>
    <col min="15629" max="15629" width="6" style="798" customWidth="1"/>
    <col min="15630" max="15631" width="6.7109375" style="798" customWidth="1"/>
    <col min="15632" max="15632" width="6.42578125" style="798" bestFit="1" customWidth="1"/>
    <col min="15633" max="15643" width="6.42578125" style="798" customWidth="1"/>
    <col min="15644" max="15649" width="7.28515625" style="798" customWidth="1"/>
    <col min="15650" max="15650" width="8.5703125" style="798" bestFit="1" customWidth="1"/>
    <col min="15651" max="15651" width="8.28515625" style="798" customWidth="1"/>
    <col min="15652" max="15652" width="9" style="798" customWidth="1"/>
    <col min="15653" max="15653" width="8.7109375" style="798" customWidth="1"/>
    <col min="15654" max="15655" width="9.7109375" style="798" customWidth="1"/>
    <col min="15656" max="15656" width="8.5703125" style="798" bestFit="1" customWidth="1"/>
    <col min="15657" max="15657" width="10.42578125" style="798" bestFit="1" customWidth="1"/>
    <col min="15658" max="15658" width="6.7109375" style="798" customWidth="1"/>
    <col min="15659" max="15659" width="5.85546875" style="798" bestFit="1" customWidth="1"/>
    <col min="15660" max="15661" width="7.5703125" style="798" bestFit="1" customWidth="1"/>
    <col min="15662" max="15662" width="7.42578125" style="798" bestFit="1" customWidth="1"/>
    <col min="15663" max="15663" width="5.7109375" style="798" bestFit="1" customWidth="1"/>
    <col min="15664" max="15664" width="8.85546875" style="798" bestFit="1" customWidth="1"/>
    <col min="15665" max="15665" width="12.5703125" style="798" bestFit="1" customWidth="1"/>
    <col min="15666" max="15666" width="8.5703125" style="798" bestFit="1" customWidth="1"/>
    <col min="15667" max="15669" width="6.7109375" style="798" customWidth="1"/>
    <col min="15670" max="15670" width="7.5703125" style="798" bestFit="1" customWidth="1"/>
    <col min="15671" max="15671" width="6.7109375" style="798" customWidth="1"/>
    <col min="15672" max="15672" width="12" style="798" bestFit="1" customWidth="1"/>
    <col min="15673" max="15692" width="4.7109375" style="798" customWidth="1"/>
    <col min="15693" max="15873" width="9.140625" style="798"/>
    <col min="15874" max="15874" width="3.5703125" style="798" customWidth="1"/>
    <col min="15875" max="15875" width="11.7109375" style="798" customWidth="1"/>
    <col min="15876" max="15876" width="0" style="798" hidden="1" customWidth="1"/>
    <col min="15877" max="15878" width="6.28515625" style="798" bestFit="1" customWidth="1"/>
    <col min="15879" max="15879" width="5.7109375" style="798" bestFit="1" customWidth="1"/>
    <col min="15880" max="15880" width="5.140625" style="798" bestFit="1" customWidth="1"/>
    <col min="15881" max="15881" width="5.140625" style="798" customWidth="1"/>
    <col min="15882" max="15882" width="6.85546875" style="798" bestFit="1" customWidth="1"/>
    <col min="15883" max="15883" width="5.42578125" style="798" bestFit="1" customWidth="1"/>
    <col min="15884" max="15884" width="5.85546875" style="798" bestFit="1" customWidth="1"/>
    <col min="15885" max="15885" width="6" style="798" customWidth="1"/>
    <col min="15886" max="15887" width="6.7109375" style="798" customWidth="1"/>
    <col min="15888" max="15888" width="6.42578125" style="798" bestFit="1" customWidth="1"/>
    <col min="15889" max="15899" width="6.42578125" style="798" customWidth="1"/>
    <col min="15900" max="15905" width="7.28515625" style="798" customWidth="1"/>
    <col min="15906" max="15906" width="8.5703125" style="798" bestFit="1" customWidth="1"/>
    <col min="15907" max="15907" width="8.28515625" style="798" customWidth="1"/>
    <col min="15908" max="15908" width="9" style="798" customWidth="1"/>
    <col min="15909" max="15909" width="8.7109375" style="798" customWidth="1"/>
    <col min="15910" max="15911" width="9.7109375" style="798" customWidth="1"/>
    <col min="15912" max="15912" width="8.5703125" style="798" bestFit="1" customWidth="1"/>
    <col min="15913" max="15913" width="10.42578125" style="798" bestFit="1" customWidth="1"/>
    <col min="15914" max="15914" width="6.7109375" style="798" customWidth="1"/>
    <col min="15915" max="15915" width="5.85546875" style="798" bestFit="1" customWidth="1"/>
    <col min="15916" max="15917" width="7.5703125" style="798" bestFit="1" customWidth="1"/>
    <col min="15918" max="15918" width="7.42578125" style="798" bestFit="1" customWidth="1"/>
    <col min="15919" max="15919" width="5.7109375" style="798" bestFit="1" customWidth="1"/>
    <col min="15920" max="15920" width="8.85546875" style="798" bestFit="1" customWidth="1"/>
    <col min="15921" max="15921" width="12.5703125" style="798" bestFit="1" customWidth="1"/>
    <col min="15922" max="15922" width="8.5703125" style="798" bestFit="1" customWidth="1"/>
    <col min="15923" max="15925" width="6.7109375" style="798" customWidth="1"/>
    <col min="15926" max="15926" width="7.5703125" style="798" bestFit="1" customWidth="1"/>
    <col min="15927" max="15927" width="6.7109375" style="798" customWidth="1"/>
    <col min="15928" max="15928" width="12" style="798" bestFit="1" customWidth="1"/>
    <col min="15929" max="15948" width="4.7109375" style="798" customWidth="1"/>
    <col min="15949" max="16129" width="9.140625" style="798"/>
    <col min="16130" max="16130" width="3.5703125" style="798" customWidth="1"/>
    <col min="16131" max="16131" width="11.7109375" style="798" customWidth="1"/>
    <col min="16132" max="16132" width="0" style="798" hidden="1" customWidth="1"/>
    <col min="16133" max="16134" width="6.28515625" style="798" bestFit="1" customWidth="1"/>
    <col min="16135" max="16135" width="5.7109375" style="798" bestFit="1" customWidth="1"/>
    <col min="16136" max="16136" width="5.140625" style="798" bestFit="1" customWidth="1"/>
    <col min="16137" max="16137" width="5.140625" style="798" customWidth="1"/>
    <col min="16138" max="16138" width="6.85546875" style="798" bestFit="1" customWidth="1"/>
    <col min="16139" max="16139" width="5.42578125" style="798" bestFit="1" customWidth="1"/>
    <col min="16140" max="16140" width="5.85546875" style="798" bestFit="1" customWidth="1"/>
    <col min="16141" max="16141" width="6" style="798" customWidth="1"/>
    <col min="16142" max="16143" width="6.7109375" style="798" customWidth="1"/>
    <col min="16144" max="16144" width="6.42578125" style="798" bestFit="1" customWidth="1"/>
    <col min="16145" max="16155" width="6.42578125" style="798" customWidth="1"/>
    <col min="16156" max="16161" width="7.28515625" style="798" customWidth="1"/>
    <col min="16162" max="16162" width="8.5703125" style="798" bestFit="1" customWidth="1"/>
    <col min="16163" max="16163" width="8.28515625" style="798" customWidth="1"/>
    <col min="16164" max="16164" width="9" style="798" customWidth="1"/>
    <col min="16165" max="16165" width="8.7109375" style="798" customWidth="1"/>
    <col min="16166" max="16167" width="9.7109375" style="798" customWidth="1"/>
    <col min="16168" max="16168" width="8.5703125" style="798" bestFit="1" customWidth="1"/>
    <col min="16169" max="16169" width="10.42578125" style="798" bestFit="1" customWidth="1"/>
    <col min="16170" max="16170" width="6.7109375" style="798" customWidth="1"/>
    <col min="16171" max="16171" width="5.85546875" style="798" bestFit="1" customWidth="1"/>
    <col min="16172" max="16173" width="7.5703125" style="798" bestFit="1" customWidth="1"/>
    <col min="16174" max="16174" width="7.42578125" style="798" bestFit="1" customWidth="1"/>
    <col min="16175" max="16175" width="5.7109375" style="798" bestFit="1" customWidth="1"/>
    <col min="16176" max="16176" width="8.85546875" style="798" bestFit="1" customWidth="1"/>
    <col min="16177" max="16177" width="12.5703125" style="798" bestFit="1" customWidth="1"/>
    <col min="16178" max="16178" width="8.5703125" style="798" bestFit="1" customWidth="1"/>
    <col min="16179" max="16181" width="6.7109375" style="798" customWidth="1"/>
    <col min="16182" max="16182" width="7.5703125" style="798" bestFit="1" customWidth="1"/>
    <col min="16183" max="16183" width="6.7109375" style="798" customWidth="1"/>
    <col min="16184" max="16184" width="12" style="798" bestFit="1" customWidth="1"/>
    <col min="16185" max="16204" width="4.7109375" style="798" customWidth="1"/>
    <col min="16205" max="16384" width="9.140625" style="798"/>
  </cols>
  <sheetData>
    <row r="1" spans="2:79" ht="13.5" thickBot="1"/>
    <row r="2" spans="2:79" ht="16.5" thickBot="1">
      <c r="B2" s="1547" t="s">
        <v>1196</v>
      </c>
      <c r="C2" s="1548"/>
      <c r="D2" s="1548"/>
      <c r="E2" s="1548"/>
      <c r="F2" s="1548"/>
      <c r="G2" s="1548"/>
      <c r="H2" s="1548"/>
      <c r="I2" s="1548"/>
      <c r="J2" s="1549"/>
      <c r="K2" s="801"/>
      <c r="L2" s="801"/>
      <c r="M2" s="801"/>
      <c r="BC2" s="1538" t="s">
        <v>1180</v>
      </c>
      <c r="BD2" s="1540"/>
      <c r="BE2" s="838">
        <f>100*B13/B11</f>
        <v>100</v>
      </c>
      <c r="BF2" s="1538" t="s">
        <v>1172</v>
      </c>
      <c r="BG2" s="1539"/>
      <c r="BH2" s="1539"/>
      <c r="BI2" s="1539"/>
      <c r="BJ2" s="1539"/>
      <c r="BK2" s="1539"/>
      <c r="BL2" s="1539"/>
      <c r="BM2" s="1539"/>
      <c r="BN2" s="1539"/>
      <c r="BO2" s="1539"/>
      <c r="BP2" s="1539"/>
      <c r="BQ2" s="1539"/>
      <c r="BR2" s="1539"/>
      <c r="BS2" s="1539"/>
      <c r="BT2" s="1539"/>
      <c r="BU2" s="1539"/>
      <c r="BV2" s="1539"/>
      <c r="BW2" s="1539"/>
      <c r="BX2" s="1539"/>
      <c r="BY2" s="1539"/>
      <c r="BZ2" s="1540"/>
    </row>
    <row r="3" spans="2:79" ht="15.75">
      <c r="B3" s="1550" t="s">
        <v>1195</v>
      </c>
      <c r="C3" s="1551"/>
      <c r="D3" s="1551"/>
      <c r="E3" s="1551"/>
      <c r="F3" s="1551"/>
      <c r="G3" s="1551"/>
      <c r="H3" s="1551"/>
      <c r="I3" s="1551"/>
      <c r="J3" s="1552"/>
      <c r="M3" s="801"/>
      <c r="N3" s="801"/>
      <c r="O3" s="801"/>
      <c r="P3" s="801"/>
      <c r="Q3" s="801"/>
      <c r="R3" s="801"/>
      <c r="S3" s="801"/>
      <c r="T3" s="801"/>
      <c r="U3" s="801"/>
      <c r="BC3" s="1202" t="s">
        <v>1175</v>
      </c>
      <c r="BD3" s="1203"/>
      <c r="BE3" s="1204"/>
      <c r="BF3" s="791"/>
      <c r="BG3" s="791">
        <f t="shared" ref="BG3:BZ3" si="0">IF(BG16="","",100*COUNTIF(BG16:BG1015,"=1")/$B$11)</f>
        <v>0</v>
      </c>
      <c r="BH3" s="735" t="str">
        <f t="shared" si="0"/>
        <v/>
      </c>
      <c r="BI3" s="735" t="str">
        <f t="shared" si="0"/>
        <v/>
      </c>
      <c r="BJ3" s="735" t="str">
        <f t="shared" si="0"/>
        <v/>
      </c>
      <c r="BK3" s="735" t="str">
        <f t="shared" si="0"/>
        <v/>
      </c>
      <c r="BL3" s="735" t="str">
        <f t="shared" si="0"/>
        <v/>
      </c>
      <c r="BM3" s="735" t="str">
        <f t="shared" si="0"/>
        <v/>
      </c>
      <c r="BN3" s="735" t="str">
        <f t="shared" si="0"/>
        <v/>
      </c>
      <c r="BO3" s="735" t="str">
        <f t="shared" si="0"/>
        <v/>
      </c>
      <c r="BP3" s="735" t="str">
        <f t="shared" si="0"/>
        <v/>
      </c>
      <c r="BQ3" s="735" t="str">
        <f t="shared" si="0"/>
        <v/>
      </c>
      <c r="BR3" s="735" t="str">
        <f t="shared" si="0"/>
        <v/>
      </c>
      <c r="BS3" s="735" t="str">
        <f t="shared" si="0"/>
        <v/>
      </c>
      <c r="BT3" s="735" t="str">
        <f t="shared" si="0"/>
        <v/>
      </c>
      <c r="BU3" s="735" t="str">
        <f t="shared" si="0"/>
        <v/>
      </c>
      <c r="BV3" s="735" t="str">
        <f t="shared" si="0"/>
        <v/>
      </c>
      <c r="BW3" s="735" t="str">
        <f t="shared" si="0"/>
        <v/>
      </c>
      <c r="BX3" s="735" t="str">
        <f t="shared" si="0"/>
        <v/>
      </c>
      <c r="BY3" s="735" t="str">
        <f t="shared" si="0"/>
        <v/>
      </c>
      <c r="BZ3" s="736" t="str">
        <f t="shared" si="0"/>
        <v/>
      </c>
    </row>
    <row r="4" spans="2:79" ht="16.5" thickBot="1">
      <c r="B4" s="1553" t="str">
        <f>Details!B3</f>
        <v>ACCEL VERSION 6.3</v>
      </c>
      <c r="C4" s="1554"/>
      <c r="D4" s="1554"/>
      <c r="E4" s="1554"/>
      <c r="F4" s="1554"/>
      <c r="G4" s="1554"/>
      <c r="H4" s="1554"/>
      <c r="I4" s="1554"/>
      <c r="J4" s="1555"/>
      <c r="M4" s="801"/>
      <c r="N4" s="801"/>
      <c r="O4" s="801"/>
      <c r="P4" s="801"/>
      <c r="Q4" s="801"/>
      <c r="R4" s="801"/>
      <c r="S4" s="801"/>
      <c r="T4" s="801"/>
      <c r="U4" s="801"/>
      <c r="BC4" s="1205" t="s">
        <v>1174</v>
      </c>
      <c r="BD4" s="1206"/>
      <c r="BE4" s="1207"/>
      <c r="BF4" s="792"/>
      <c r="BG4" s="792">
        <f t="shared" ref="BG4:BZ4" si="1">IF(BG16="","",100*COUNTIF(BG16:BG1015,"=2")/$B$11)</f>
        <v>0</v>
      </c>
      <c r="BH4" s="737" t="str">
        <f t="shared" si="1"/>
        <v/>
      </c>
      <c r="BI4" s="737" t="str">
        <f t="shared" si="1"/>
        <v/>
      </c>
      <c r="BJ4" s="737" t="str">
        <f t="shared" si="1"/>
        <v/>
      </c>
      <c r="BK4" s="737" t="str">
        <f t="shared" si="1"/>
        <v/>
      </c>
      <c r="BL4" s="737" t="str">
        <f t="shared" si="1"/>
        <v/>
      </c>
      <c r="BM4" s="737" t="str">
        <f t="shared" si="1"/>
        <v/>
      </c>
      <c r="BN4" s="737" t="str">
        <f t="shared" si="1"/>
        <v/>
      </c>
      <c r="BO4" s="737" t="str">
        <f t="shared" si="1"/>
        <v/>
      </c>
      <c r="BP4" s="737" t="str">
        <f t="shared" si="1"/>
        <v/>
      </c>
      <c r="BQ4" s="737" t="str">
        <f t="shared" si="1"/>
        <v/>
      </c>
      <c r="BR4" s="737" t="str">
        <f t="shared" si="1"/>
        <v/>
      </c>
      <c r="BS4" s="737" t="str">
        <f t="shared" si="1"/>
        <v/>
      </c>
      <c r="BT4" s="737" t="str">
        <f t="shared" si="1"/>
        <v/>
      </c>
      <c r="BU4" s="737" t="str">
        <f t="shared" si="1"/>
        <v/>
      </c>
      <c r="BV4" s="737" t="str">
        <f t="shared" si="1"/>
        <v/>
      </c>
      <c r="BW4" s="737" t="str">
        <f t="shared" si="1"/>
        <v/>
      </c>
      <c r="BX4" s="737" t="str">
        <f t="shared" si="1"/>
        <v/>
      </c>
      <c r="BY4" s="737" t="str">
        <f t="shared" si="1"/>
        <v/>
      </c>
      <c r="BZ4" s="738" t="str">
        <f t="shared" si="1"/>
        <v/>
      </c>
    </row>
    <row r="5" spans="2:79" ht="13.5" customHeight="1">
      <c r="M5" s="801"/>
      <c r="N5" s="801"/>
      <c r="O5" s="801"/>
      <c r="P5" s="801"/>
      <c r="Q5" s="801"/>
      <c r="R5" s="801"/>
      <c r="S5" s="801"/>
      <c r="T5" s="801"/>
      <c r="U5" s="801"/>
      <c r="BC5" s="1205" t="s">
        <v>1055</v>
      </c>
      <c r="BD5" s="1206"/>
      <c r="BE5" s="1207"/>
      <c r="BF5" s="795"/>
      <c r="BG5" s="795">
        <f t="shared" ref="BG5:BZ5" si="2">IF(BG16="","",100*COUNTIF(BG16:BG1015,"=3")/$B$11)</f>
        <v>0</v>
      </c>
      <c r="BH5" s="796" t="str">
        <f t="shared" si="2"/>
        <v/>
      </c>
      <c r="BI5" s="796" t="str">
        <f t="shared" si="2"/>
        <v/>
      </c>
      <c r="BJ5" s="796" t="str">
        <f t="shared" si="2"/>
        <v/>
      </c>
      <c r="BK5" s="796" t="str">
        <f t="shared" si="2"/>
        <v/>
      </c>
      <c r="BL5" s="796" t="str">
        <f t="shared" si="2"/>
        <v/>
      </c>
      <c r="BM5" s="796" t="str">
        <f t="shared" si="2"/>
        <v/>
      </c>
      <c r="BN5" s="796" t="str">
        <f t="shared" si="2"/>
        <v/>
      </c>
      <c r="BO5" s="796" t="str">
        <f t="shared" si="2"/>
        <v/>
      </c>
      <c r="BP5" s="796" t="str">
        <f t="shared" si="2"/>
        <v/>
      </c>
      <c r="BQ5" s="796" t="str">
        <f t="shared" si="2"/>
        <v/>
      </c>
      <c r="BR5" s="796" t="str">
        <f t="shared" si="2"/>
        <v/>
      </c>
      <c r="BS5" s="796" t="str">
        <f t="shared" si="2"/>
        <v/>
      </c>
      <c r="BT5" s="796" t="str">
        <f t="shared" si="2"/>
        <v/>
      </c>
      <c r="BU5" s="796" t="str">
        <f t="shared" si="2"/>
        <v/>
      </c>
      <c r="BV5" s="796" t="str">
        <f t="shared" si="2"/>
        <v/>
      </c>
      <c r="BW5" s="796" t="str">
        <f t="shared" si="2"/>
        <v/>
      </c>
      <c r="BX5" s="796" t="str">
        <f t="shared" si="2"/>
        <v/>
      </c>
      <c r="BY5" s="796" t="str">
        <f t="shared" si="2"/>
        <v/>
      </c>
      <c r="BZ5" s="797" t="str">
        <f t="shared" si="2"/>
        <v/>
      </c>
    </row>
    <row r="6" spans="2:79" ht="13.5" customHeight="1" thickBot="1">
      <c r="M6" s="801"/>
      <c r="N6" s="801"/>
      <c r="O6" s="801"/>
      <c r="P6" s="801"/>
      <c r="Q6" s="801"/>
      <c r="R6" s="801"/>
      <c r="S6" s="801"/>
      <c r="T6" s="801"/>
      <c r="U6" s="801"/>
      <c r="BC6" s="1208" t="s">
        <v>1176</v>
      </c>
      <c r="BD6" s="1209"/>
      <c r="BE6" s="1210"/>
      <c r="BF6" s="793"/>
      <c r="BG6" s="793">
        <f t="shared" ref="BG6:BZ6" si="3">IF(BG16="","",100*COUNTIF(BG16:BG1015,"=4")/$B$11)</f>
        <v>0</v>
      </c>
      <c r="BH6" s="739" t="str">
        <f t="shared" si="3"/>
        <v/>
      </c>
      <c r="BI6" s="739" t="str">
        <f t="shared" si="3"/>
        <v/>
      </c>
      <c r="BJ6" s="739" t="str">
        <f t="shared" si="3"/>
        <v/>
      </c>
      <c r="BK6" s="739" t="str">
        <f t="shared" si="3"/>
        <v/>
      </c>
      <c r="BL6" s="739" t="str">
        <f t="shared" si="3"/>
        <v/>
      </c>
      <c r="BM6" s="739" t="str">
        <f t="shared" si="3"/>
        <v/>
      </c>
      <c r="BN6" s="739" t="str">
        <f t="shared" si="3"/>
        <v/>
      </c>
      <c r="BO6" s="739" t="str">
        <f t="shared" si="3"/>
        <v/>
      </c>
      <c r="BP6" s="739" t="str">
        <f t="shared" si="3"/>
        <v/>
      </c>
      <c r="BQ6" s="739" t="str">
        <f t="shared" si="3"/>
        <v/>
      </c>
      <c r="BR6" s="739" t="str">
        <f t="shared" si="3"/>
        <v/>
      </c>
      <c r="BS6" s="739" t="str">
        <f t="shared" si="3"/>
        <v/>
      </c>
      <c r="BT6" s="739" t="str">
        <f t="shared" si="3"/>
        <v/>
      </c>
      <c r="BU6" s="739" t="str">
        <f t="shared" si="3"/>
        <v/>
      </c>
      <c r="BV6" s="739" t="str">
        <f t="shared" si="3"/>
        <v/>
      </c>
      <c r="BW6" s="739" t="str">
        <f t="shared" si="3"/>
        <v/>
      </c>
      <c r="BX6" s="739" t="str">
        <f t="shared" si="3"/>
        <v/>
      </c>
      <c r="BY6" s="739" t="str">
        <f t="shared" si="3"/>
        <v/>
      </c>
      <c r="BZ6" s="740" t="str">
        <f t="shared" si="3"/>
        <v/>
      </c>
    </row>
    <row r="7" spans="2:79" ht="13.5" customHeight="1">
      <c r="M7" s="801"/>
      <c r="N7" s="801"/>
      <c r="O7" s="801"/>
      <c r="P7" s="801"/>
      <c r="Q7" s="801"/>
      <c r="R7" s="801"/>
      <c r="S7" s="801"/>
      <c r="T7" s="801"/>
      <c r="U7" s="801"/>
      <c r="BC7" s="1202" t="s">
        <v>1177</v>
      </c>
      <c r="BD7" s="1203"/>
      <c r="BE7" s="1204"/>
      <c r="BF7" s="794"/>
      <c r="BG7" s="794">
        <f t="shared" ref="BG7:BZ7" si="4">IF(BG16="","",100*COUNTIF(BG16:BG1015,"=5")/$B$11)</f>
        <v>0</v>
      </c>
      <c r="BH7" s="789" t="str">
        <f t="shared" si="4"/>
        <v/>
      </c>
      <c r="BI7" s="789" t="str">
        <f t="shared" si="4"/>
        <v/>
      </c>
      <c r="BJ7" s="789" t="str">
        <f t="shared" si="4"/>
        <v/>
      </c>
      <c r="BK7" s="789" t="str">
        <f t="shared" si="4"/>
        <v/>
      </c>
      <c r="BL7" s="789" t="str">
        <f t="shared" si="4"/>
        <v/>
      </c>
      <c r="BM7" s="789" t="str">
        <f t="shared" si="4"/>
        <v/>
      </c>
      <c r="BN7" s="789" t="str">
        <f t="shared" si="4"/>
        <v/>
      </c>
      <c r="BO7" s="789" t="str">
        <f t="shared" si="4"/>
        <v/>
      </c>
      <c r="BP7" s="789" t="str">
        <f t="shared" si="4"/>
        <v/>
      </c>
      <c r="BQ7" s="789" t="str">
        <f t="shared" si="4"/>
        <v/>
      </c>
      <c r="BR7" s="789" t="str">
        <f t="shared" si="4"/>
        <v/>
      </c>
      <c r="BS7" s="789" t="str">
        <f t="shared" si="4"/>
        <v/>
      </c>
      <c r="BT7" s="789" t="str">
        <f t="shared" si="4"/>
        <v/>
      </c>
      <c r="BU7" s="789" t="str">
        <f t="shared" si="4"/>
        <v/>
      </c>
      <c r="BV7" s="789" t="str">
        <f t="shared" si="4"/>
        <v/>
      </c>
      <c r="BW7" s="789" t="str">
        <f t="shared" si="4"/>
        <v/>
      </c>
      <c r="BX7" s="789" t="str">
        <f t="shared" si="4"/>
        <v/>
      </c>
      <c r="BY7" s="789" t="str">
        <f t="shared" si="4"/>
        <v/>
      </c>
      <c r="BZ7" s="790" t="str">
        <f t="shared" si="4"/>
        <v/>
      </c>
    </row>
    <row r="8" spans="2:79" ht="13.5" customHeight="1">
      <c r="M8" s="801"/>
      <c r="N8" s="801"/>
      <c r="O8" s="801"/>
      <c r="P8" s="801"/>
      <c r="Q8" s="801"/>
      <c r="R8" s="801"/>
      <c r="S8" s="801"/>
      <c r="T8" s="801"/>
      <c r="U8" s="801"/>
      <c r="BC8" s="1541" t="s">
        <v>1178</v>
      </c>
      <c r="BD8" s="1542"/>
      <c r="BE8" s="1543"/>
      <c r="BF8" s="792"/>
      <c r="BG8" s="792">
        <f t="shared" ref="BG8:BZ8" si="5">IF(BG16="","",100*COUNTIF(BG16:BG1015,"=6")/$B$11)</f>
        <v>0</v>
      </c>
      <c r="BH8" s="737" t="str">
        <f t="shared" si="5"/>
        <v/>
      </c>
      <c r="BI8" s="737" t="str">
        <f t="shared" si="5"/>
        <v/>
      </c>
      <c r="BJ8" s="737" t="str">
        <f t="shared" si="5"/>
        <v/>
      </c>
      <c r="BK8" s="737" t="str">
        <f t="shared" si="5"/>
        <v/>
      </c>
      <c r="BL8" s="737" t="str">
        <f t="shared" si="5"/>
        <v/>
      </c>
      <c r="BM8" s="737" t="str">
        <f t="shared" si="5"/>
        <v/>
      </c>
      <c r="BN8" s="737" t="str">
        <f t="shared" si="5"/>
        <v/>
      </c>
      <c r="BO8" s="737" t="str">
        <f t="shared" si="5"/>
        <v/>
      </c>
      <c r="BP8" s="737" t="str">
        <f t="shared" si="5"/>
        <v/>
      </c>
      <c r="BQ8" s="737" t="str">
        <f t="shared" si="5"/>
        <v/>
      </c>
      <c r="BR8" s="737" t="str">
        <f t="shared" si="5"/>
        <v/>
      </c>
      <c r="BS8" s="737" t="str">
        <f t="shared" si="5"/>
        <v/>
      </c>
      <c r="BT8" s="737" t="str">
        <f t="shared" si="5"/>
        <v/>
      </c>
      <c r="BU8" s="737" t="str">
        <f t="shared" si="5"/>
        <v/>
      </c>
      <c r="BV8" s="737" t="str">
        <f t="shared" si="5"/>
        <v/>
      </c>
      <c r="BW8" s="737" t="str">
        <f t="shared" si="5"/>
        <v/>
      </c>
      <c r="BX8" s="737" t="str">
        <f t="shared" si="5"/>
        <v/>
      </c>
      <c r="BY8" s="737" t="str">
        <f t="shared" si="5"/>
        <v/>
      </c>
      <c r="BZ8" s="738" t="str">
        <f t="shared" si="5"/>
        <v/>
      </c>
    </row>
    <row r="9" spans="2:79" ht="13.5" customHeight="1" thickBot="1">
      <c r="BC9" s="1541" t="s">
        <v>1173</v>
      </c>
      <c r="BD9" s="1542"/>
      <c r="BE9" s="1543"/>
      <c r="BF9" s="792"/>
      <c r="BG9" s="792">
        <f t="shared" ref="BG9:BZ9" si="6">IF(BG16="","",100*COUNTIF(BG16:BG1015,"=7")/$B$11)</f>
        <v>0</v>
      </c>
      <c r="BH9" s="737" t="str">
        <f t="shared" si="6"/>
        <v/>
      </c>
      <c r="BI9" s="737" t="str">
        <f t="shared" si="6"/>
        <v/>
      </c>
      <c r="BJ9" s="737" t="str">
        <f t="shared" si="6"/>
        <v/>
      </c>
      <c r="BK9" s="737" t="str">
        <f t="shared" si="6"/>
        <v/>
      </c>
      <c r="BL9" s="737" t="str">
        <f t="shared" si="6"/>
        <v/>
      </c>
      <c r="BM9" s="737" t="str">
        <f t="shared" si="6"/>
        <v/>
      </c>
      <c r="BN9" s="737" t="str">
        <f t="shared" si="6"/>
        <v/>
      </c>
      <c r="BO9" s="737" t="str">
        <f t="shared" si="6"/>
        <v/>
      </c>
      <c r="BP9" s="737" t="str">
        <f t="shared" si="6"/>
        <v/>
      </c>
      <c r="BQ9" s="737" t="str">
        <f t="shared" si="6"/>
        <v/>
      </c>
      <c r="BR9" s="737" t="str">
        <f t="shared" si="6"/>
        <v/>
      </c>
      <c r="BS9" s="737" t="str">
        <f t="shared" si="6"/>
        <v/>
      </c>
      <c r="BT9" s="737" t="str">
        <f t="shared" si="6"/>
        <v/>
      </c>
      <c r="BU9" s="737" t="str">
        <f t="shared" si="6"/>
        <v/>
      </c>
      <c r="BV9" s="737" t="str">
        <f t="shared" si="6"/>
        <v/>
      </c>
      <c r="BW9" s="737" t="str">
        <f t="shared" si="6"/>
        <v/>
      </c>
      <c r="BX9" s="737" t="str">
        <f t="shared" si="6"/>
        <v/>
      </c>
      <c r="BY9" s="737" t="str">
        <f t="shared" si="6"/>
        <v/>
      </c>
      <c r="BZ9" s="738" t="str">
        <f t="shared" si="6"/>
        <v/>
      </c>
    </row>
    <row r="10" spans="2:79" ht="13.5" customHeight="1" thickBot="1">
      <c r="B10" s="507" t="s">
        <v>1181</v>
      </c>
      <c r="C10" s="508">
        <f t="shared" ref="C10:H10" si="7">MAX(C16:C1015)</f>
        <v>4341.3767886030382</v>
      </c>
      <c r="D10" s="509">
        <f t="shared" si="7"/>
        <v>267.50485350374407</v>
      </c>
      <c r="E10" s="509">
        <f t="shared" si="7"/>
        <v>42.352092010448558</v>
      </c>
      <c r="F10" s="510">
        <f t="shared" si="7"/>
        <v>176.92845292710274</v>
      </c>
      <c r="G10" s="510">
        <f t="shared" si="7"/>
        <v>57.688606312250407</v>
      </c>
      <c r="H10" s="511">
        <f t="shared" si="7"/>
        <v>1.4075175992557951</v>
      </c>
      <c r="I10" s="511">
        <f t="shared" ref="I10:L10" si="8">MAX(I16:I1015)</f>
        <v>0</v>
      </c>
      <c r="J10" s="1303" t="s">
        <v>891</v>
      </c>
      <c r="K10" s="512">
        <f t="shared" si="8"/>
        <v>680</v>
      </c>
      <c r="L10" s="513">
        <f t="shared" si="8"/>
        <v>0</v>
      </c>
      <c r="M10" s="512">
        <f t="shared" ref="M10:R10" si="9">IF(MAX(M16:M1015)=0,"",MAX(M16:M1015))</f>
        <v>40.346519470214844</v>
      </c>
      <c r="N10" s="513" t="str">
        <f t="shared" si="9"/>
        <v/>
      </c>
      <c r="O10" s="514" t="str">
        <f t="shared" si="9"/>
        <v/>
      </c>
      <c r="P10" s="772" t="str">
        <f t="shared" si="9"/>
        <v/>
      </c>
      <c r="Q10" s="419" t="str">
        <f t="shared" si="9"/>
        <v/>
      </c>
      <c r="R10" s="514" t="str">
        <f t="shared" si="9"/>
        <v/>
      </c>
      <c r="S10" s="772" t="str">
        <f t="shared" ref="S10:AC10" si="10">IF(MAX(S16:S1015)=0,"",MAX(S16:S1015))</f>
        <v/>
      </c>
      <c r="T10" s="419" t="str">
        <f t="shared" si="10"/>
        <v/>
      </c>
      <c r="U10" s="514" t="str">
        <f t="shared" si="10"/>
        <v/>
      </c>
      <c r="V10" s="772" t="str">
        <f t="shared" si="10"/>
        <v/>
      </c>
      <c r="W10" s="419" t="str">
        <f t="shared" si="10"/>
        <v/>
      </c>
      <c r="X10" s="514" t="str">
        <f t="shared" si="10"/>
        <v/>
      </c>
      <c r="Y10" s="772" t="str">
        <f t="shared" si="10"/>
        <v/>
      </c>
      <c r="Z10" s="419" t="str">
        <f t="shared" si="10"/>
        <v/>
      </c>
      <c r="AA10" s="514" t="str">
        <f t="shared" si="10"/>
        <v/>
      </c>
      <c r="AB10" s="772" t="str">
        <f t="shared" si="10"/>
        <v/>
      </c>
      <c r="AC10" s="419" t="str">
        <f t="shared" si="10"/>
        <v/>
      </c>
      <c r="AD10" s="515" t="str">
        <f>IF(MAX(AD16:AD1015)=0,"",MAX(AD16:AD1015))</f>
        <v/>
      </c>
      <c r="AE10" s="773" t="str">
        <f>IF(MAX(AE16:AE1015)=0,"",MAX(AE16:AE1015))</f>
        <v/>
      </c>
      <c r="AF10" s="508" t="str">
        <f t="shared" ref="AF10:AK10" si="11">IF(MAX(AF16:AF1015)=0,"",MAX(AF16:AF1015))</f>
        <v/>
      </c>
      <c r="AG10" s="774" t="str">
        <f t="shared" si="11"/>
        <v/>
      </c>
      <c r="AH10" s="508" t="str">
        <f t="shared" si="11"/>
        <v/>
      </c>
      <c r="AI10" s="774" t="str">
        <f t="shared" si="11"/>
        <v/>
      </c>
      <c r="AJ10" s="515" t="str">
        <f t="shared" si="11"/>
        <v/>
      </c>
      <c r="AK10" s="513" t="str">
        <f t="shared" si="11"/>
        <v/>
      </c>
      <c r="AL10" s="537" t="str">
        <f t="shared" ref="AL10:AV10" si="12">IF(MAX(AL16:AL1015)=0,"",MAX(AL16:AL1015))</f>
        <v/>
      </c>
      <c r="AM10" s="519" t="str">
        <f t="shared" si="12"/>
        <v/>
      </c>
      <c r="AN10" s="508" t="str">
        <f t="shared" si="12"/>
        <v/>
      </c>
      <c r="AO10" s="516">
        <f t="shared" si="12"/>
        <v>2083.64013671875</v>
      </c>
      <c r="AP10" s="513">
        <f t="shared" si="12"/>
        <v>169.45095825195312</v>
      </c>
      <c r="AQ10" s="508" t="str">
        <f t="shared" si="12"/>
        <v/>
      </c>
      <c r="AR10" s="515" t="str">
        <f t="shared" si="12"/>
        <v/>
      </c>
      <c r="AS10" s="776">
        <f t="shared" si="12"/>
        <v>0.41581128787676552</v>
      </c>
      <c r="AT10" s="517" t="str">
        <f t="shared" si="12"/>
        <v/>
      </c>
      <c r="AU10" s="518" t="str">
        <f t="shared" si="12"/>
        <v/>
      </c>
      <c r="AV10" s="519" t="str">
        <f t="shared" si="12"/>
        <v/>
      </c>
      <c r="BC10" s="1541" t="s">
        <v>1544</v>
      </c>
      <c r="BD10" s="1542"/>
      <c r="BE10" s="1543"/>
      <c r="BF10" s="792"/>
      <c r="BG10" s="792" t="str">
        <f t="shared" ref="BG10:BZ10" si="13">IF(BG17="","",100*COUNTIF(BG17:BG1016,"=8")/$B$11)</f>
        <v/>
      </c>
      <c r="BH10" s="737" t="str">
        <f t="shared" si="13"/>
        <v/>
      </c>
      <c r="BI10" s="737" t="str">
        <f t="shared" si="13"/>
        <v/>
      </c>
      <c r="BJ10" s="737" t="str">
        <f t="shared" si="13"/>
        <v/>
      </c>
      <c r="BK10" s="737" t="str">
        <f t="shared" si="13"/>
        <v/>
      </c>
      <c r="BL10" s="737" t="str">
        <f t="shared" si="13"/>
        <v/>
      </c>
      <c r="BM10" s="737" t="str">
        <f t="shared" si="13"/>
        <v/>
      </c>
      <c r="BN10" s="737" t="str">
        <f t="shared" si="13"/>
        <v/>
      </c>
      <c r="BO10" s="737" t="str">
        <f t="shared" si="13"/>
        <v/>
      </c>
      <c r="BP10" s="737" t="str">
        <f t="shared" si="13"/>
        <v/>
      </c>
      <c r="BQ10" s="737" t="str">
        <f t="shared" si="13"/>
        <v/>
      </c>
      <c r="BR10" s="737" t="str">
        <f t="shared" si="13"/>
        <v/>
      </c>
      <c r="BS10" s="737" t="str">
        <f t="shared" si="13"/>
        <v/>
      </c>
      <c r="BT10" s="737" t="str">
        <f t="shared" si="13"/>
        <v/>
      </c>
      <c r="BU10" s="737" t="str">
        <f t="shared" si="13"/>
        <v/>
      </c>
      <c r="BV10" s="737" t="str">
        <f t="shared" si="13"/>
        <v/>
      </c>
      <c r="BW10" s="737" t="str">
        <f t="shared" si="13"/>
        <v/>
      </c>
      <c r="BX10" s="737" t="str">
        <f t="shared" si="13"/>
        <v/>
      </c>
      <c r="BY10" s="737" t="str">
        <f t="shared" si="13"/>
        <v/>
      </c>
      <c r="BZ10" s="738" t="str">
        <f t="shared" si="13"/>
        <v/>
      </c>
    </row>
    <row r="11" spans="2:79" ht="13.5" customHeight="1" thickBot="1">
      <c r="B11" s="520">
        <f>COUNT(C16:C1015)</f>
        <v>1</v>
      </c>
      <c r="C11" s="521">
        <f t="shared" ref="C11:H11" si="14">MIN(C16:C1015)</f>
        <v>4341.3767886030382</v>
      </c>
      <c r="D11" s="522">
        <f t="shared" si="14"/>
        <v>267.50485350374407</v>
      </c>
      <c r="E11" s="522">
        <f t="shared" si="14"/>
        <v>42.352092010448558</v>
      </c>
      <c r="F11" s="523">
        <f t="shared" si="14"/>
        <v>176.92845292710274</v>
      </c>
      <c r="G11" s="523">
        <f t="shared" si="14"/>
        <v>57.688606312250407</v>
      </c>
      <c r="H11" s="524">
        <f t="shared" si="14"/>
        <v>1.4075175992557951</v>
      </c>
      <c r="I11" s="524">
        <f t="shared" ref="I11:L11" si="15">MIN(I16:I1015)</f>
        <v>0</v>
      </c>
      <c r="J11" s="1302" t="s">
        <v>890</v>
      </c>
      <c r="K11" s="525">
        <f t="shared" si="15"/>
        <v>680</v>
      </c>
      <c r="L11" s="523">
        <f t="shared" si="15"/>
        <v>0</v>
      </c>
      <c r="M11" s="525">
        <f t="shared" ref="M11:R11" si="16">IF(MIN(M16:M1015)=0,"",MIN(M16:M1015))</f>
        <v>40.346519470214844</v>
      </c>
      <c r="N11" s="523" t="str">
        <f t="shared" si="16"/>
        <v/>
      </c>
      <c r="O11" s="526" t="str">
        <f t="shared" si="16"/>
        <v/>
      </c>
      <c r="P11" s="538" t="str">
        <f t="shared" si="16"/>
        <v/>
      </c>
      <c r="Q11" s="391" t="str">
        <f t="shared" si="16"/>
        <v/>
      </c>
      <c r="R11" s="526" t="str">
        <f t="shared" si="16"/>
        <v/>
      </c>
      <c r="S11" s="538" t="str">
        <f t="shared" ref="S11:AC11" si="17">IF(MIN(S16:S1015)=0,"",MIN(S16:S1015))</f>
        <v/>
      </c>
      <c r="T11" s="391" t="str">
        <f t="shared" si="17"/>
        <v/>
      </c>
      <c r="U11" s="526" t="str">
        <f t="shared" si="17"/>
        <v/>
      </c>
      <c r="V11" s="538" t="str">
        <f t="shared" si="17"/>
        <v/>
      </c>
      <c r="W11" s="391" t="str">
        <f t="shared" si="17"/>
        <v/>
      </c>
      <c r="X11" s="526" t="str">
        <f t="shared" si="17"/>
        <v/>
      </c>
      <c r="Y11" s="538" t="str">
        <f t="shared" si="17"/>
        <v/>
      </c>
      <c r="Z11" s="391" t="str">
        <f t="shared" si="17"/>
        <v/>
      </c>
      <c r="AA11" s="526" t="str">
        <f t="shared" si="17"/>
        <v/>
      </c>
      <c r="AB11" s="538" t="str">
        <f t="shared" si="17"/>
        <v/>
      </c>
      <c r="AC11" s="391" t="str">
        <f t="shared" si="17"/>
        <v/>
      </c>
      <c r="AD11" s="529" t="str">
        <f>IF(MIN(AD16:AD1015)=0,"",MIN(AD16:AD1015))</f>
        <v/>
      </c>
      <c r="AE11" s="540" t="str">
        <f>IF(MIN(AE16:AE1015)=0,"",MIN(AE16:AE1015))</f>
        <v/>
      </c>
      <c r="AF11" s="526" t="str">
        <f t="shared" ref="AF11:AK11" si="18">IF(MIN(AF16:AF1015)=0,"",MIN(AF16:AF1015))</f>
        <v/>
      </c>
      <c r="AG11" s="391" t="str">
        <f t="shared" si="18"/>
        <v/>
      </c>
      <c r="AH11" s="526" t="str">
        <f t="shared" si="18"/>
        <v/>
      </c>
      <c r="AI11" s="391" t="str">
        <f t="shared" si="18"/>
        <v/>
      </c>
      <c r="AJ11" s="529" t="str">
        <f t="shared" si="18"/>
        <v/>
      </c>
      <c r="AK11" s="528" t="str">
        <f t="shared" si="18"/>
        <v/>
      </c>
      <c r="AL11" s="775" t="str">
        <f t="shared" ref="AL11:AV11" si="19">IF(MIN(AL16:AL1015)=0,"",MIN(AL16:AL1015))</f>
        <v/>
      </c>
      <c r="AM11" s="542" t="str">
        <f t="shared" si="19"/>
        <v/>
      </c>
      <c r="AN11" s="521" t="str">
        <f t="shared" si="19"/>
        <v/>
      </c>
      <c r="AO11" s="532">
        <f t="shared" si="19"/>
        <v>2083.64013671875</v>
      </c>
      <c r="AP11" s="523">
        <f t="shared" si="19"/>
        <v>169.45095825195312</v>
      </c>
      <c r="AQ11" s="521" t="str">
        <f t="shared" si="19"/>
        <v/>
      </c>
      <c r="AR11" s="533" t="str">
        <f t="shared" si="19"/>
        <v/>
      </c>
      <c r="AS11" s="777">
        <f t="shared" si="19"/>
        <v>0.41581128787676552</v>
      </c>
      <c r="AT11" s="534" t="str">
        <f>IF(AT10="","",MIN(AT16:AT1015))</f>
        <v/>
      </c>
      <c r="AU11" s="535" t="str">
        <f t="shared" si="19"/>
        <v/>
      </c>
      <c r="AV11" s="531" t="str">
        <f t="shared" si="19"/>
        <v/>
      </c>
      <c r="BC11" s="1544" t="s">
        <v>1545</v>
      </c>
      <c r="BD11" s="1545"/>
      <c r="BE11" s="1546"/>
      <c r="BF11" s="793"/>
      <c r="BG11" s="793" t="str">
        <f t="shared" ref="BG11:BZ11" si="20">IF(BG18="","",100*COUNTIF(BG18:BG1017,"=9")/$B$11)</f>
        <v/>
      </c>
      <c r="BH11" s="739" t="str">
        <f t="shared" si="20"/>
        <v/>
      </c>
      <c r="BI11" s="739" t="str">
        <f t="shared" si="20"/>
        <v/>
      </c>
      <c r="BJ11" s="739" t="str">
        <f t="shared" si="20"/>
        <v/>
      </c>
      <c r="BK11" s="739" t="str">
        <f t="shared" si="20"/>
        <v/>
      </c>
      <c r="BL11" s="739" t="str">
        <f t="shared" si="20"/>
        <v/>
      </c>
      <c r="BM11" s="739" t="str">
        <f t="shared" si="20"/>
        <v/>
      </c>
      <c r="BN11" s="739" t="str">
        <f t="shared" si="20"/>
        <v/>
      </c>
      <c r="BO11" s="739" t="str">
        <f t="shared" si="20"/>
        <v/>
      </c>
      <c r="BP11" s="739" t="str">
        <f t="shared" si="20"/>
        <v/>
      </c>
      <c r="BQ11" s="739" t="str">
        <f t="shared" si="20"/>
        <v/>
      </c>
      <c r="BR11" s="739" t="str">
        <f t="shared" si="20"/>
        <v/>
      </c>
      <c r="BS11" s="739" t="str">
        <f t="shared" si="20"/>
        <v/>
      </c>
      <c r="BT11" s="739" t="str">
        <f>IF(BT18="","",100*COUNTIF(BT18:BT1017,"=9")/$B$11)</f>
        <v/>
      </c>
      <c r="BU11" s="739" t="str">
        <f t="shared" si="20"/>
        <v/>
      </c>
      <c r="BV11" s="739" t="str">
        <f t="shared" si="20"/>
        <v/>
      </c>
      <c r="BW11" s="739" t="str">
        <f t="shared" si="20"/>
        <v/>
      </c>
      <c r="BX11" s="739" t="str">
        <f t="shared" si="20"/>
        <v/>
      </c>
      <c r="BY11" s="739" t="str">
        <f t="shared" si="20"/>
        <v/>
      </c>
      <c r="BZ11" s="740" t="str">
        <f t="shared" si="20"/>
        <v/>
      </c>
    </row>
    <row r="12" spans="2:79" ht="15.75" customHeight="1" thickBot="1">
      <c r="B12" s="507" t="s">
        <v>1160</v>
      </c>
      <c r="C12" s="508">
        <f>AVERAGE(C16:C1015)</f>
        <v>4341.3767886030382</v>
      </c>
      <c r="D12" s="536">
        <f>AVERAGE(D16:D1015)</f>
        <v>267.50485350374407</v>
      </c>
      <c r="E12" s="536">
        <f>AVERAGE(E16:E1015)</f>
        <v>42.352092010448558</v>
      </c>
      <c r="F12" s="513">
        <f>AVERAGE(F16:F1015)</f>
        <v>176.92845292710274</v>
      </c>
      <c r="G12" s="513">
        <f>AVERAGE(G16:G1015)</f>
        <v>57.688606312250407</v>
      </c>
      <c r="H12" s="774">
        <f>IF(H10&lt;1,"",AVERAGE(H16:H1015))</f>
        <v>1.4075175992557951</v>
      </c>
      <c r="I12" s="774" t="str">
        <f>IF(I10&lt;1,"",AVERAGE(I16:I1015))</f>
        <v/>
      </c>
      <c r="J12" s="1303" t="s">
        <v>970</v>
      </c>
      <c r="K12" s="512">
        <f t="shared" ref="K12:L12" si="21">IF(K10&lt;1,"",AVERAGE(K16:K1015))</f>
        <v>680</v>
      </c>
      <c r="L12" s="513" t="str">
        <f t="shared" si="21"/>
        <v/>
      </c>
      <c r="M12" s="512">
        <f t="shared" ref="M12:R12" si="22">IF(M10="","",AVERAGE(M16:M1015))</f>
        <v>40.346519470214844</v>
      </c>
      <c r="N12" s="513" t="str">
        <f t="shared" si="22"/>
        <v/>
      </c>
      <c r="O12" s="514" t="str">
        <f t="shared" si="22"/>
        <v/>
      </c>
      <c r="P12" s="772" t="str">
        <f t="shared" si="22"/>
        <v/>
      </c>
      <c r="Q12" s="419" t="str">
        <f t="shared" si="22"/>
        <v/>
      </c>
      <c r="R12" s="514" t="str">
        <f t="shared" si="22"/>
        <v/>
      </c>
      <c r="S12" s="772" t="str">
        <f t="shared" ref="S12:AC12" si="23">IF(S10="","",AVERAGE(S16:S1015))</f>
        <v/>
      </c>
      <c r="T12" s="419" t="str">
        <f t="shared" si="23"/>
        <v/>
      </c>
      <c r="U12" s="514" t="str">
        <f t="shared" si="23"/>
        <v/>
      </c>
      <c r="V12" s="772" t="str">
        <f t="shared" si="23"/>
        <v/>
      </c>
      <c r="W12" s="419" t="str">
        <f t="shared" si="23"/>
        <v/>
      </c>
      <c r="X12" s="514" t="str">
        <f t="shared" si="23"/>
        <v/>
      </c>
      <c r="Y12" s="772" t="str">
        <f t="shared" si="23"/>
        <v/>
      </c>
      <c r="Z12" s="419" t="str">
        <f t="shared" si="23"/>
        <v/>
      </c>
      <c r="AA12" s="514" t="str">
        <f t="shared" si="23"/>
        <v/>
      </c>
      <c r="AB12" s="772" t="str">
        <f t="shared" si="23"/>
        <v/>
      </c>
      <c r="AC12" s="419" t="str">
        <f t="shared" si="23"/>
        <v/>
      </c>
      <c r="AD12" s="515" t="str">
        <f>IF(AD10="","",AVERAGE(AD16:AD1015))</f>
        <v/>
      </c>
      <c r="AE12" s="773" t="str">
        <f>IF(AE10="","",AVERAGE(AE16:AE1015))</f>
        <v/>
      </c>
      <c r="AF12" s="508" t="str">
        <f t="shared" ref="AF12:AK12" si="24">IF(AF10="","",AVERAGE(AF16:AF1015))</f>
        <v/>
      </c>
      <c r="AG12" s="774" t="str">
        <f t="shared" si="24"/>
        <v/>
      </c>
      <c r="AH12" s="508" t="str">
        <f t="shared" si="24"/>
        <v/>
      </c>
      <c r="AI12" s="774" t="str">
        <f t="shared" si="24"/>
        <v/>
      </c>
      <c r="AJ12" s="515" t="str">
        <f t="shared" si="24"/>
        <v/>
      </c>
      <c r="AK12" s="513" t="str">
        <f t="shared" si="24"/>
        <v/>
      </c>
      <c r="AL12" s="537" t="str">
        <f t="shared" ref="AL12:AV12" si="25">IF(AL10="","",AVERAGE(AL16:AL1015))</f>
        <v/>
      </c>
      <c r="AM12" s="519" t="str">
        <f t="shared" si="25"/>
        <v/>
      </c>
      <c r="AN12" s="508" t="str">
        <f t="shared" si="25"/>
        <v/>
      </c>
      <c r="AO12" s="516">
        <f t="shared" si="25"/>
        <v>2083.64013671875</v>
      </c>
      <c r="AP12" s="513">
        <f t="shared" si="25"/>
        <v>169.45095825195312</v>
      </c>
      <c r="AQ12" s="508" t="str">
        <f t="shared" si="25"/>
        <v/>
      </c>
      <c r="AR12" s="515" t="str">
        <f t="shared" si="25"/>
        <v/>
      </c>
      <c r="AS12" s="776">
        <f t="shared" si="25"/>
        <v>0.41581128787676552</v>
      </c>
      <c r="AT12" s="517" t="str">
        <f t="shared" si="25"/>
        <v/>
      </c>
      <c r="AU12" s="518" t="str">
        <f t="shared" si="25"/>
        <v/>
      </c>
      <c r="AV12" s="519" t="str">
        <f t="shared" si="25"/>
        <v/>
      </c>
      <c r="AW12" s="1556" t="s">
        <v>1166</v>
      </c>
      <c r="AX12" s="1557"/>
      <c r="AY12" s="1557"/>
      <c r="AZ12" s="1557"/>
      <c r="BA12" s="1557"/>
      <c r="BB12" s="1557"/>
      <c r="BC12" s="1557"/>
      <c r="BD12" s="1557"/>
      <c r="BE12" s="1558"/>
      <c r="BF12" s="1134"/>
      <c r="BG12" s="1559" t="s">
        <v>1171</v>
      </c>
      <c r="BH12" s="1560"/>
      <c r="BI12" s="1560"/>
      <c r="BJ12" s="1560"/>
      <c r="BK12" s="1560"/>
      <c r="BL12" s="1560"/>
      <c r="BM12" s="1560"/>
      <c r="BN12" s="1560"/>
      <c r="BO12" s="1560"/>
      <c r="BP12" s="1560"/>
      <c r="BQ12" s="1560"/>
      <c r="BR12" s="1560"/>
      <c r="BS12" s="1560"/>
      <c r="BT12" s="1560"/>
      <c r="BU12" s="1560"/>
      <c r="BV12" s="1560"/>
      <c r="BW12" s="1560"/>
      <c r="BX12" s="1560"/>
      <c r="BY12" s="1560"/>
      <c r="BZ12" s="1561"/>
      <c r="CA12" s="788" t="s">
        <v>0</v>
      </c>
    </row>
    <row r="13" spans="2:79" ht="15.75" customHeight="1" thickBot="1">
      <c r="B13" s="520">
        <f>COUNTIF(M16:M1015, "&gt;0")</f>
        <v>1</v>
      </c>
      <c r="C13" s="526" t="e">
        <f>STDEV(C16:C1015)</f>
        <v>#DIV/0!</v>
      </c>
      <c r="D13" s="527" t="e">
        <f>STDEV(D16:D1015)</f>
        <v>#DIV/0!</v>
      </c>
      <c r="E13" s="538" t="e">
        <f>STDEV(E16:E1015)</f>
        <v>#DIV/0!</v>
      </c>
      <c r="F13" s="528" t="e">
        <f>STDEV(F16:F1015)</f>
        <v>#DIV/0!</v>
      </c>
      <c r="G13" s="528" t="e">
        <f>STDEV(G16:G1015)</f>
        <v>#DIV/0!</v>
      </c>
      <c r="H13" s="391" t="s">
        <v>1169</v>
      </c>
      <c r="I13" s="1289" t="str">
        <f>IF(OR(I10="",COUNT(I16:I1015)&lt;2),"",STDEV(I16:I1015))</f>
        <v/>
      </c>
      <c r="J13" s="1302" t="s">
        <v>968</v>
      </c>
      <c r="K13" s="539" t="str">
        <f t="shared" ref="K13:L13" si="26">IF(OR(K10="",COUNT(K16:K1015)&lt;2),"",STDEV(K16:K1015))</f>
        <v/>
      </c>
      <c r="L13" s="528" t="str">
        <f t="shared" si="26"/>
        <v/>
      </c>
      <c r="M13" s="539" t="str">
        <f>IF(OR(M10="",COUNT(M16:M1015)&lt;2),"",STDEV(M16:M1015))</f>
        <v/>
      </c>
      <c r="N13" s="528" t="str">
        <f t="shared" ref="N13:AV13" si="27">IF(OR(N10="",COUNT(N16:N1015)&lt;2),"",STDEV(N16:N1015))</f>
        <v/>
      </c>
      <c r="O13" s="530" t="str">
        <f t="shared" si="27"/>
        <v/>
      </c>
      <c r="P13" s="538" t="str">
        <f t="shared" si="27"/>
        <v/>
      </c>
      <c r="Q13" s="391" t="str">
        <f t="shared" si="27"/>
        <v/>
      </c>
      <c r="R13" s="530" t="str">
        <f t="shared" si="27"/>
        <v/>
      </c>
      <c r="S13" s="538" t="str">
        <f t="shared" si="27"/>
        <v/>
      </c>
      <c r="T13" s="391" t="str">
        <f t="shared" si="27"/>
        <v/>
      </c>
      <c r="U13" s="530" t="str">
        <f t="shared" si="27"/>
        <v/>
      </c>
      <c r="V13" s="538" t="str">
        <f t="shared" si="27"/>
        <v/>
      </c>
      <c r="W13" s="391" t="str">
        <f t="shared" si="27"/>
        <v/>
      </c>
      <c r="X13" s="530" t="str">
        <f t="shared" si="27"/>
        <v/>
      </c>
      <c r="Y13" s="538" t="str">
        <f t="shared" si="27"/>
        <v/>
      </c>
      <c r="Z13" s="391" t="str">
        <f t="shared" si="27"/>
        <v/>
      </c>
      <c r="AA13" s="530" t="str">
        <f t="shared" si="27"/>
        <v/>
      </c>
      <c r="AB13" s="538" t="str">
        <f t="shared" si="27"/>
        <v/>
      </c>
      <c r="AC13" s="391" t="str">
        <f t="shared" si="27"/>
        <v/>
      </c>
      <c r="AD13" s="541" t="str">
        <f t="shared" si="27"/>
        <v/>
      </c>
      <c r="AE13" s="540" t="str">
        <f t="shared" si="27"/>
        <v/>
      </c>
      <c r="AF13" s="530" t="str">
        <f t="shared" si="27"/>
        <v/>
      </c>
      <c r="AG13" s="391" t="str">
        <f t="shared" si="27"/>
        <v/>
      </c>
      <c r="AH13" s="530" t="str">
        <f t="shared" si="27"/>
        <v/>
      </c>
      <c r="AI13" s="391" t="str">
        <f t="shared" si="27"/>
        <v/>
      </c>
      <c r="AJ13" s="541" t="str">
        <f t="shared" si="27"/>
        <v/>
      </c>
      <c r="AK13" s="540" t="str">
        <f t="shared" si="27"/>
        <v/>
      </c>
      <c r="AL13" s="775" t="str">
        <f t="shared" si="27"/>
        <v/>
      </c>
      <c r="AM13" s="542" t="str">
        <f t="shared" si="27"/>
        <v/>
      </c>
      <c r="AN13" s="526" t="str">
        <f t="shared" si="27"/>
        <v/>
      </c>
      <c r="AO13" s="543" t="str">
        <f t="shared" si="27"/>
        <v/>
      </c>
      <c r="AP13" s="528" t="str">
        <f t="shared" si="27"/>
        <v/>
      </c>
      <c r="AQ13" s="526" t="str">
        <f t="shared" si="27"/>
        <v/>
      </c>
      <c r="AR13" s="529" t="str">
        <f t="shared" si="27"/>
        <v/>
      </c>
      <c r="AS13" s="778" t="str">
        <f t="shared" si="27"/>
        <v/>
      </c>
      <c r="AT13" s="779" t="str">
        <f t="shared" si="27"/>
        <v/>
      </c>
      <c r="AU13" s="780" t="str">
        <f t="shared" si="27"/>
        <v/>
      </c>
      <c r="AV13" s="542" t="str">
        <f t="shared" si="27"/>
        <v/>
      </c>
      <c r="AW13" s="544">
        <f t="shared" ref="AW13:BD13" si="28">100*COUNT(AW16:AW1015)/$B$13</f>
        <v>0</v>
      </c>
      <c r="AX13" s="545">
        <f t="shared" si="28"/>
        <v>0</v>
      </c>
      <c r="AY13" s="545">
        <f t="shared" si="28"/>
        <v>0</v>
      </c>
      <c r="AZ13" s="546">
        <f t="shared" si="28"/>
        <v>0</v>
      </c>
      <c r="BA13" s="546">
        <f t="shared" si="28"/>
        <v>0</v>
      </c>
      <c r="BB13" s="546">
        <f t="shared" si="28"/>
        <v>0</v>
      </c>
      <c r="BC13" s="547">
        <f t="shared" si="28"/>
        <v>0</v>
      </c>
      <c r="BD13" s="837">
        <f t="shared" si="28"/>
        <v>0</v>
      </c>
      <c r="BE13" s="341">
        <f>TRUNC(100*COUNTIF(BE16:BE1015,"&gt;0")/$B$13)</f>
        <v>0</v>
      </c>
      <c r="BF13" s="346"/>
      <c r="BG13" s="731">
        <f>IF(COUNT(BG16:BG1015)=0,"",100*(1-COUNTIF(BG16:BG1015,"&gt;0")/$B$11))</f>
        <v>100</v>
      </c>
      <c r="BH13" s="732" t="str">
        <f t="shared" ref="BH13:BZ13" si="29">IF(COUNT(BH16:BH1015)=0,"",100*(1-COUNTIF(BH16:BH1015,"&gt;0")/$B$11))</f>
        <v/>
      </c>
      <c r="BI13" s="733" t="str">
        <f t="shared" si="29"/>
        <v/>
      </c>
      <c r="BJ13" s="732" t="str">
        <f t="shared" si="29"/>
        <v/>
      </c>
      <c r="BK13" s="733" t="str">
        <f t="shared" si="29"/>
        <v/>
      </c>
      <c r="BL13" s="732" t="str">
        <f t="shared" si="29"/>
        <v/>
      </c>
      <c r="BM13" s="733" t="str">
        <f t="shared" si="29"/>
        <v/>
      </c>
      <c r="BN13" s="732" t="str">
        <f t="shared" si="29"/>
        <v/>
      </c>
      <c r="BO13" s="733" t="str">
        <f t="shared" si="29"/>
        <v/>
      </c>
      <c r="BP13" s="732" t="str">
        <f t="shared" si="29"/>
        <v/>
      </c>
      <c r="BQ13" s="733" t="str">
        <f t="shared" si="29"/>
        <v/>
      </c>
      <c r="BR13" s="732" t="str">
        <f t="shared" si="29"/>
        <v/>
      </c>
      <c r="BS13" s="733" t="str">
        <f t="shared" si="29"/>
        <v/>
      </c>
      <c r="BT13" s="732" t="str">
        <f t="shared" si="29"/>
        <v/>
      </c>
      <c r="BU13" s="733" t="str">
        <f t="shared" si="29"/>
        <v/>
      </c>
      <c r="BV13" s="732" t="str">
        <f t="shared" si="29"/>
        <v/>
      </c>
      <c r="BW13" s="733" t="str">
        <f t="shared" si="29"/>
        <v/>
      </c>
      <c r="BX13" s="732" t="str">
        <f t="shared" si="29"/>
        <v/>
      </c>
      <c r="BY13" s="733" t="str">
        <f t="shared" si="29"/>
        <v/>
      </c>
      <c r="BZ13" s="734" t="str">
        <f t="shared" si="29"/>
        <v/>
      </c>
      <c r="CA13" s="802">
        <f>100*SUM(CA16:CA1015)/B11</f>
        <v>0</v>
      </c>
    </row>
    <row r="14" spans="2:79" ht="13.5" thickBot="1">
      <c r="B14" s="507" t="s">
        <v>1164</v>
      </c>
      <c r="C14" s="1559" t="s">
        <v>7</v>
      </c>
      <c r="D14" s="1560"/>
      <c r="E14" s="1560"/>
      <c r="F14" s="1560"/>
      <c r="G14" s="1560"/>
      <c r="H14" s="1561"/>
      <c r="I14" s="1564" t="s">
        <v>8</v>
      </c>
      <c r="J14" s="1565"/>
      <c r="K14" s="1565"/>
      <c r="L14" s="1561"/>
      <c r="M14" s="1559" t="s">
        <v>9</v>
      </c>
      <c r="N14" s="1561"/>
      <c r="O14" s="1564" t="s">
        <v>1165</v>
      </c>
      <c r="P14" s="1565"/>
      <c r="Q14" s="1566"/>
      <c r="R14" s="1564" t="s">
        <v>1058</v>
      </c>
      <c r="S14" s="1565"/>
      <c r="T14" s="1566"/>
      <c r="U14" s="1564" t="s">
        <v>1059</v>
      </c>
      <c r="V14" s="1565"/>
      <c r="W14" s="1566"/>
      <c r="X14" s="1564" t="s">
        <v>1060</v>
      </c>
      <c r="Y14" s="1565"/>
      <c r="Z14" s="1566"/>
      <c r="AA14" s="1564" t="s">
        <v>1061</v>
      </c>
      <c r="AB14" s="1565"/>
      <c r="AC14" s="1566"/>
      <c r="AD14" s="1559" t="s">
        <v>1062</v>
      </c>
      <c r="AE14" s="1561"/>
      <c r="AF14" s="1559" t="s">
        <v>1063</v>
      </c>
      <c r="AG14" s="1561"/>
      <c r="AH14" s="1559" t="s">
        <v>1064</v>
      </c>
      <c r="AI14" s="1561"/>
      <c r="AJ14" s="1556" t="s">
        <v>10</v>
      </c>
      <c r="AK14" s="1558"/>
      <c r="AL14" s="1562" t="s">
        <v>11</v>
      </c>
      <c r="AM14" s="1563"/>
      <c r="AN14" s="1559" t="s">
        <v>1065</v>
      </c>
      <c r="AO14" s="1560"/>
      <c r="AP14" s="1560"/>
      <c r="AQ14" s="1559" t="s">
        <v>13</v>
      </c>
      <c r="AR14" s="1560"/>
      <c r="AS14" s="1561"/>
      <c r="AT14" s="1560" t="s">
        <v>14</v>
      </c>
      <c r="AU14" s="1560"/>
      <c r="AV14" s="1561"/>
      <c r="AW14" s="1559" t="s">
        <v>1163</v>
      </c>
      <c r="AX14" s="1560"/>
      <c r="AY14" s="1560"/>
      <c r="AZ14" s="1560"/>
      <c r="BA14" s="1560"/>
      <c r="BB14" s="1560"/>
      <c r="BC14" s="1560"/>
      <c r="BD14" s="1561"/>
      <c r="BE14" s="548" t="s">
        <v>1179</v>
      </c>
      <c r="BF14" s="1135" t="s">
        <v>1474</v>
      </c>
      <c r="BG14" s="1559" t="s">
        <v>1182</v>
      </c>
      <c r="BH14" s="1560"/>
      <c r="BI14" s="1560"/>
      <c r="BJ14" s="1560"/>
      <c r="BK14" s="1560"/>
      <c r="BL14" s="1560"/>
      <c r="BM14" s="1560"/>
      <c r="BN14" s="1560"/>
      <c r="BO14" s="1560"/>
      <c r="BP14" s="1560"/>
      <c r="BQ14" s="1560"/>
      <c r="BR14" s="1560"/>
      <c r="BS14" s="1560"/>
      <c r="BT14" s="1560"/>
      <c r="BU14" s="1560"/>
      <c r="BV14" s="1560"/>
      <c r="BW14" s="1560"/>
      <c r="BX14" s="1560"/>
      <c r="BY14" s="1560"/>
      <c r="BZ14" s="1561"/>
      <c r="CA14" s="788" t="s">
        <v>1015</v>
      </c>
    </row>
    <row r="15" spans="2:79" ht="13.5" customHeight="1" thickBot="1">
      <c r="B15" s="549" t="s">
        <v>35</v>
      </c>
      <c r="C15" s="550" t="s">
        <v>15</v>
      </c>
      <c r="D15" s="551" t="s">
        <v>16</v>
      </c>
      <c r="E15" s="551" t="s">
        <v>17</v>
      </c>
      <c r="F15" s="552" t="s">
        <v>18</v>
      </c>
      <c r="G15" s="552" t="s">
        <v>36</v>
      </c>
      <c r="H15" s="553" t="s">
        <v>1015</v>
      </c>
      <c r="I15" s="550" t="s">
        <v>19</v>
      </c>
      <c r="J15" s="554" t="s">
        <v>1067</v>
      </c>
      <c r="K15" s="551" t="s">
        <v>1068</v>
      </c>
      <c r="L15" s="553" t="s">
        <v>21</v>
      </c>
      <c r="M15" s="550" t="s">
        <v>1069</v>
      </c>
      <c r="N15" s="553" t="s">
        <v>1070</v>
      </c>
      <c r="O15" s="555" t="s">
        <v>1071</v>
      </c>
      <c r="P15" s="556" t="s">
        <v>1072</v>
      </c>
      <c r="Q15" s="831" t="s">
        <v>1073</v>
      </c>
      <c r="R15" s="555" t="s">
        <v>1071</v>
      </c>
      <c r="S15" s="556" t="s">
        <v>1072</v>
      </c>
      <c r="T15" s="831" t="s">
        <v>1073</v>
      </c>
      <c r="U15" s="555" t="s">
        <v>1071</v>
      </c>
      <c r="V15" s="556" t="s">
        <v>1072</v>
      </c>
      <c r="W15" s="831" t="s">
        <v>1073</v>
      </c>
      <c r="X15" s="555" t="s">
        <v>1071</v>
      </c>
      <c r="Y15" s="556" t="s">
        <v>1072</v>
      </c>
      <c r="Z15" s="831" t="s">
        <v>1073</v>
      </c>
      <c r="AA15" s="555" t="s">
        <v>1071</v>
      </c>
      <c r="AB15" s="556" t="s">
        <v>1072</v>
      </c>
      <c r="AC15" s="831" t="s">
        <v>1073</v>
      </c>
      <c r="AD15" s="555" t="s">
        <v>1071</v>
      </c>
      <c r="AE15" s="831" t="s">
        <v>1072</v>
      </c>
      <c r="AF15" s="555" t="s">
        <v>1071</v>
      </c>
      <c r="AG15" s="831" t="s">
        <v>1072</v>
      </c>
      <c r="AH15" s="555" t="s">
        <v>1071</v>
      </c>
      <c r="AI15" s="831" t="s">
        <v>1072</v>
      </c>
      <c r="AJ15" s="557" t="s">
        <v>24</v>
      </c>
      <c r="AK15" s="558" t="s">
        <v>25</v>
      </c>
      <c r="AL15" s="559" t="s">
        <v>24</v>
      </c>
      <c r="AM15" s="560" t="s">
        <v>25</v>
      </c>
      <c r="AN15" s="561" t="s">
        <v>26</v>
      </c>
      <c r="AO15" s="554" t="s">
        <v>1074</v>
      </c>
      <c r="AP15" s="552" t="s">
        <v>27</v>
      </c>
      <c r="AQ15" s="555" t="s">
        <v>29</v>
      </c>
      <c r="AR15" s="562" t="s">
        <v>30</v>
      </c>
      <c r="AS15" s="563" t="s">
        <v>31</v>
      </c>
      <c r="AT15" s="554" t="s">
        <v>1075</v>
      </c>
      <c r="AU15" s="552" t="s">
        <v>1076</v>
      </c>
      <c r="AV15" s="563" t="s">
        <v>1077</v>
      </c>
      <c r="AW15" s="832" t="s">
        <v>1078</v>
      </c>
      <c r="AX15" s="833" t="s">
        <v>24</v>
      </c>
      <c r="AY15" s="833" t="s">
        <v>32</v>
      </c>
      <c r="AZ15" s="833" t="s">
        <v>33</v>
      </c>
      <c r="BA15" s="833" t="s">
        <v>34</v>
      </c>
      <c r="BB15" s="833" t="s">
        <v>1079</v>
      </c>
      <c r="BC15" s="834" t="s">
        <v>1080</v>
      </c>
      <c r="BD15" s="563" t="s">
        <v>893</v>
      </c>
      <c r="BE15" s="565" t="s">
        <v>37</v>
      </c>
      <c r="BF15" s="1136" t="s">
        <v>1475</v>
      </c>
      <c r="BG15" s="555">
        <v>1</v>
      </c>
      <c r="BH15" s="564">
        <v>2</v>
      </c>
      <c r="BI15" s="562">
        <v>3</v>
      </c>
      <c r="BJ15" s="564">
        <v>4</v>
      </c>
      <c r="BK15" s="562">
        <v>5</v>
      </c>
      <c r="BL15" s="564">
        <v>6</v>
      </c>
      <c r="BM15" s="562">
        <v>7</v>
      </c>
      <c r="BN15" s="564">
        <v>8</v>
      </c>
      <c r="BO15" s="562">
        <v>9</v>
      </c>
      <c r="BP15" s="564">
        <v>10</v>
      </c>
      <c r="BQ15" s="562">
        <v>11</v>
      </c>
      <c r="BR15" s="564">
        <v>12</v>
      </c>
      <c r="BS15" s="562">
        <v>13</v>
      </c>
      <c r="BT15" s="564">
        <v>14</v>
      </c>
      <c r="BU15" s="562">
        <v>15</v>
      </c>
      <c r="BV15" s="564">
        <v>16</v>
      </c>
      <c r="BW15" s="562">
        <v>17</v>
      </c>
      <c r="BX15" s="564">
        <v>18</v>
      </c>
      <c r="BY15" s="562">
        <v>19</v>
      </c>
      <c r="BZ15" s="563">
        <v>20</v>
      </c>
      <c r="CA15" s="565" t="s">
        <v>1170</v>
      </c>
    </row>
    <row r="16" spans="2:79">
      <c r="B16" s="566">
        <v>1</v>
      </c>
      <c r="C16" s="761">
        <f>IF(Details!D10="","",Details!D10)</f>
        <v>4341.3767886030382</v>
      </c>
      <c r="D16" s="417">
        <f>IF(Details!E10="","",Details!E10)</f>
        <v>267.50485350374407</v>
      </c>
      <c r="E16" s="417">
        <f>IF(Details!F10="","",100*Details!F10)</f>
        <v>42.352092010448558</v>
      </c>
      <c r="F16" s="415">
        <f>IF(Details!G10="","",Details!G10)</f>
        <v>176.92845292710274</v>
      </c>
      <c r="G16" s="415">
        <f>IF(Details!H10="","",Details!H10)</f>
        <v>57.688606312250407</v>
      </c>
      <c r="H16" s="414">
        <f>IF('DS Analysis'!$AP$36=1,IF('DS Analysis'!S9="","",'DS Analysis'!S9),IF('DS Analysis'!AG9="","",'DS Analysis'!AG9))</f>
        <v>1.4075175992557951</v>
      </c>
      <c r="I16" s="763" t="str">
        <f>IF(OR(Details!I10="",$CA16=1),"",Details!I10)</f>
        <v/>
      </c>
      <c r="J16" s="761" t="str">
        <f>IF(OR(Details!J10="",$CA16=1),"",Details!J10)</f>
        <v/>
      </c>
      <c r="K16" s="417">
        <f>IF(OR(Details!K10="",$CA16=1),0,Details!K10)</f>
        <v>680</v>
      </c>
      <c r="L16" s="414" t="str">
        <f>IF(OR(Details!L10="",$CA16=1),"",Details!L10)</f>
        <v/>
      </c>
      <c r="M16" s="418">
        <f>IF(OR(Details!M10="",$CA16=1),"",Details!M10)</f>
        <v>40.346519470214844</v>
      </c>
      <c r="N16" s="414" t="str">
        <f>IF(OR(Details!N10="",$CA16=1),"",Details!N10)</f>
        <v/>
      </c>
      <c r="O16" s="418" t="str">
        <f>IF(OR(Details!AN10="",CA16=1),"",Details!AN10)</f>
        <v/>
      </c>
      <c r="P16" s="764" t="str">
        <f>IF(OR(Details!AV10="",CA16=1),"",Details!AV10)</f>
        <v/>
      </c>
      <c r="Q16" s="767" t="str">
        <f>IF(OR(Details!BD10="",CA16=1),"",Details!BD10)</f>
        <v/>
      </c>
      <c r="R16" s="418" t="str">
        <f>IF(OR(Details!AO10="",CA16=1),"",Details!AO10)</f>
        <v/>
      </c>
      <c r="S16" s="764" t="str">
        <f>IF(OR(Details!AW10="",CA16=1),"",Details!AW10)</f>
        <v/>
      </c>
      <c r="T16" s="767" t="str">
        <f>IF(OR(Details!BE10="",CA16=1),"",Details!BE10)</f>
        <v/>
      </c>
      <c r="U16" s="418" t="str">
        <f>IF(OR(Details!AP10="",CA16=1),"",Details!AP10)</f>
        <v/>
      </c>
      <c r="V16" s="764" t="str">
        <f>IF(OR(Details!AX10="",CA16=1),"",Details!AX10)</f>
        <v/>
      </c>
      <c r="W16" s="767" t="str">
        <f>IF(OR(Details!BF10="",CA16=1),"",Details!BF10)</f>
        <v/>
      </c>
      <c r="X16" s="418" t="str">
        <f>IF(OR(Details!AQ10="",CA16=1),"",Details!AQ10)</f>
        <v/>
      </c>
      <c r="Y16" s="764" t="str">
        <f>IF(OR(Details!AY10="",CA16=1),"",Details!AY10)</f>
        <v/>
      </c>
      <c r="Z16" s="767" t="str">
        <f>IF(OR(Details!BG10="",CA16=1),"",Details!BG10)</f>
        <v/>
      </c>
      <c r="AA16" s="418" t="str">
        <f>IF(OR(Details!AR10="",CA16=1),"",Details!AR10)</f>
        <v/>
      </c>
      <c r="AB16" s="764" t="str">
        <f>IF(OR(Details!AZ10="",CA16=1),"",Details!AZ10)</f>
        <v/>
      </c>
      <c r="AC16" s="767" t="str">
        <f>IF(OR(Details!BH10="",CA16=1),"",Details!BH10)</f>
        <v/>
      </c>
      <c r="AD16" s="418" t="str">
        <f>IF(OR(Details!AS10="",CA16=1),"",Details!AS10)</f>
        <v/>
      </c>
      <c r="AE16" s="764" t="str">
        <f>IF(OR(Details!BA10="",CA16=1),"",Details!BA10)</f>
        <v/>
      </c>
      <c r="AF16" s="418" t="str">
        <f>IF(OR(Details!AT10="",CA16=1),"",Details!AT10)</f>
        <v/>
      </c>
      <c r="AG16" s="764" t="str">
        <f>IF(OR(Details!BB10="",CA16=1),"",Details!BB10)</f>
        <v/>
      </c>
      <c r="AH16" s="418" t="str">
        <f>IF(OR(Details!AU10="",CA16=1),"",Details!AU10)</f>
        <v/>
      </c>
      <c r="AI16" s="764" t="str">
        <f>IF(OR(Details!BC10="",CA16=1),"",Details!BC10)</f>
        <v/>
      </c>
      <c r="AJ16" s="418" t="str">
        <f>IF(OR(Details!R10="",$CA16=1),"",Details!R10)</f>
        <v/>
      </c>
      <c r="AK16" s="768" t="str">
        <f>IF(OR(Details!S10="",$CA16=1),"",Details!S10)</f>
        <v/>
      </c>
      <c r="AL16" s="765" t="str">
        <f>IF(OR(Details!T10="",$CA16=1),"",Details!T10)</f>
        <v/>
      </c>
      <c r="AM16" s="769" t="str">
        <f>IF(OR(Details!U10="",$CA16=1),"",Details!U10)</f>
        <v/>
      </c>
      <c r="AN16" s="418" t="str">
        <f>IF(OR(Details!V10="",$CA16=1),"",Details!V10)</f>
        <v/>
      </c>
      <c r="AO16" s="761">
        <f>IF(OR(Details!W10="",$CA16=1),"",Details!W10)</f>
        <v>2083.64013671875</v>
      </c>
      <c r="AP16" s="415">
        <f>IF(OR(Details!X10="",$CA16=1),"",Details!X10)</f>
        <v>169.45095825195312</v>
      </c>
      <c r="AQ16" s="418" t="str">
        <f>IF(OR(Details!Y10="",$CA16=1),"",Details!Y10)</f>
        <v/>
      </c>
      <c r="AR16" s="761" t="str">
        <f>IF(OR(Details!Z10="",$CA16=1),"",Details!Z10)</f>
        <v/>
      </c>
      <c r="AS16" s="762">
        <f>IF(OR(Details!AA10="",$CA16=1),"",Details!AA10)</f>
        <v>0.41581128787676552</v>
      </c>
      <c r="AT16" s="765" t="str">
        <f>IF(OR(Details!AK10="",$CA16=1),"",Details!AK10)</f>
        <v/>
      </c>
      <c r="AU16" s="766" t="str">
        <f>IF(OR(Details!AL10="",$CA16=1),"",Details!AL10)</f>
        <v/>
      </c>
      <c r="AV16" s="762" t="str">
        <f>IF(OR(Details!AM10="",$CA16=1),"",Details!AM10)</f>
        <v/>
      </c>
      <c r="AW16" s="418" t="str">
        <f>IF(OR(Details!AB10="",$CA16=1),"",Details!AB10)</f>
        <v/>
      </c>
      <c r="AX16" s="770" t="str">
        <f>IF(OR(Details!AC10="",$CA16=1),"",Details!AC10)</f>
        <v/>
      </c>
      <c r="AY16" s="770" t="str">
        <f>IF(OR(Details!AD10="",$CA16=1),"",Details!AD10)</f>
        <v/>
      </c>
      <c r="AZ16" s="770" t="str">
        <f>IF(OR(Details!AE10="",$CA16=1),"",Details!AE10)</f>
        <v/>
      </c>
      <c r="BA16" s="770" t="str">
        <f>IF(OR(Details!AF10="",$CA16=1),"",Details!AF10)</f>
        <v/>
      </c>
      <c r="BB16" s="770" t="str">
        <f>IF(OR(Details!AG10="",$CA16=1),"",Details!AG10)</f>
        <v/>
      </c>
      <c r="BC16" s="768" t="str">
        <f>IF(OR(Details!AH10="",$CA16=1),"",Details!AH10)</f>
        <v/>
      </c>
      <c r="BD16" s="835" t="str">
        <f>IF(OR(Details!AI10="",$CA16=1),"",Details!AI10)</f>
        <v/>
      </c>
      <c r="BE16" s="771" t="str">
        <f>IF(OR(Details!AJ10="",$CA16=1),"",Details!AJ10)</f>
        <v/>
      </c>
      <c r="BF16" s="1137">
        <f>IF(CA16=1,0,Details!C10)</f>
        <v>1</v>
      </c>
      <c r="BG16" s="784">
        <f>IF(OR(Details!BK10="",Details!BK10=12),"",IF(Details!BK10=13,1,IF(Details!BK10=7,2,IF(Details!BK10=2,3,IF(Details!BK10=1,4,IF(Details!BK10=30,5,IF(Details!BK10=28,7,IF(AND($CA16=1,'Configs &amp; Procedures'!$F$44&gt;0),6,IF(Details!BK10=15,8,IF(Details!BK10=0,0,9))))))))))</f>
        <v>0</v>
      </c>
      <c r="BH16" s="567" t="str">
        <f>IF(OR(Details!BL10="",Details!BL10=12),"",IF(Details!BL10=13,1,IF(Details!BL10=7,2,IF(Details!BL10=2,3,IF(Details!BL10=1,4,IF(Details!BL10=30,5,IF(Details!BL10=28,7,IF(AND($CA16=1,'Configs &amp; Procedures'!$F$44&gt;0),6,IF(Details!BL10=15,8,IF(Details!BL10=0,0,9))))))))))</f>
        <v/>
      </c>
      <c r="BI16" s="567" t="str">
        <f>IF(OR(Details!BM10="",Details!BM10=12),"",IF(Details!BM10=13,1,IF(Details!BM10=7,2,IF(Details!BM10=2,3,IF(Details!BM10=1,4,IF(Details!BM10=30,5,IF(Details!BM10=28,7,IF(AND($CA16=1,'Configs &amp; Procedures'!$F$44&gt;0),6,IF(Details!BM10=15,8,IF(Details!BM10=0,0,9))))))))))</f>
        <v/>
      </c>
      <c r="BJ16" s="567" t="str">
        <f>IF(OR(Details!BN10="",Details!BN10=12),"",IF(Details!BN10=13,1,IF(Details!BN10=7,2,IF(Details!BN10=2,3,IF(Details!BN10=1,4,IF(Details!BN10=30,5,IF(Details!BN10=28,7,IF(AND($CA16=1,'Configs &amp; Procedures'!$F$44&gt;0),6,IF(Details!BN10=15,8,IF(Details!BN10=0,0,9))))))))))</f>
        <v/>
      </c>
      <c r="BK16" s="567" t="str">
        <f>IF(OR(Details!BO10="",Details!BO10=12),"",IF(Details!BO10=13,1,IF(Details!BO10=7,2,IF(Details!BO10=2,3,IF(Details!BO10=1,4,IF(Details!BO10=30,5,IF(Details!BO10=28,7,IF(AND($CA16=1,'Configs &amp; Procedures'!$F$44&gt;0),6,IF(Details!BO10=15,8,IF(Details!BO10=0,0,9))))))))))</f>
        <v/>
      </c>
      <c r="BL16" s="567" t="str">
        <f>IF(OR(Details!BP10="",Details!BP10=12),"",IF(Details!BP10=13,1,IF(Details!BP10=7,2,IF(Details!BP10=2,3,IF(Details!BP10=1,4,IF(Details!BP10=30,5,IF(Details!BP10=28,7,IF(AND($CA16=1,'Configs &amp; Procedures'!$F$44&gt;0),6,IF(Details!BP10=15,8,IF(Details!BP10=0,0,9))))))))))</f>
        <v/>
      </c>
      <c r="BM16" s="567" t="str">
        <f>IF(OR(Details!BQ10="",Details!BQ10=12),"",IF(Details!BQ10=13,1,IF(Details!BQ10=7,2,IF(Details!BQ10=2,3,IF(Details!BQ10=1,4,IF(Details!BQ10=30,5,IF(Details!BQ10=28,7,IF(AND($CA16=1,'Configs &amp; Procedures'!$F$44&gt;0),6,IF(Details!BQ10=15,8,IF(Details!BQ10=0,0,9))))))))))</f>
        <v/>
      </c>
      <c r="BN16" s="567" t="str">
        <f>IF(OR(Details!BR10="",Details!BR10=12),"",IF(Details!BR10=13,1,IF(Details!BR10=7,2,IF(Details!BR10=2,3,IF(Details!BR10=1,4,IF(Details!BR10=30,5,IF(Details!BR10=28,7,IF(AND($CA16=1,'Configs &amp; Procedures'!$F$44&gt;0),6,IF(Details!BR10=15,8,IF(Details!BR10=0,0,9))))))))))</f>
        <v/>
      </c>
      <c r="BO16" s="567" t="str">
        <f>IF(OR(Details!BS10="",Details!BS10=12),"",IF(Details!BS10=13,1,IF(Details!BS10=7,2,IF(Details!BS10=2,3,IF(Details!BS10=1,4,IF(Details!BS10=30,5,IF(Details!BS10=28,7,IF(AND($CA16=1,'Configs &amp; Procedures'!$F$44&gt;0),6,IF(Details!BS10=15,8,IF(Details!BS10=0,0,9))))))))))</f>
        <v/>
      </c>
      <c r="BP16" s="567" t="str">
        <f>IF(OR(Details!BT10="",Details!BT10=12),"",IF(Details!BT10=13,1,IF(Details!BT10=7,2,IF(Details!BT10=2,3,IF(Details!BT10=1,4,IF(Details!BT10=30,5,IF(Details!BT10=28,7,IF(AND($CA16=1,'Configs &amp; Procedures'!$F$44&gt;0),6,IF(Details!BT10=15,8,IF(Details!BT10=0,0,9))))))))))</f>
        <v/>
      </c>
      <c r="BQ16" s="567" t="str">
        <f>IF(OR(Details!BU10="",Details!BU10=12),"",IF(Details!BU10=13,1,IF(Details!BU10=7,2,IF(Details!BU10=2,3,IF(Details!BU10=1,4,IF(Details!BU10=30,5,IF(Details!BU10=28,7,IF(AND($CA16=1,'Configs &amp; Procedures'!$F$44&gt;0),6,IF(Details!BU10=15,8,IF(Details!BU10=0,0,9))))))))))</f>
        <v/>
      </c>
      <c r="BR16" s="567" t="str">
        <f>IF(OR(Details!BV10="",Details!BV10=12),"",IF(Details!BV10=13,1,IF(Details!BV10=7,2,IF(Details!BV10=2,3,IF(Details!BV10=1,4,IF(Details!BV10=30,5,IF(Details!BV10=28,7,IF(AND($CA16=1,'Configs &amp; Procedures'!$F$44&gt;0),6,IF(Details!BV10=15,8,IF(Details!BV10=0,0,9))))))))))</f>
        <v/>
      </c>
      <c r="BS16" s="567" t="str">
        <f>IF(OR(Details!BW10="",Details!BW10=12),"",IF(Details!BW10=13,1,IF(Details!BW10=7,2,IF(Details!BW10=2,3,IF(Details!BW10=1,4,IF(Details!BW10=30,5,IF(Details!BW10=28,7,IF(AND($CA16=1,'Configs &amp; Procedures'!$F$44&gt;0),6,IF(Details!BW10=15,8,IF(Details!BW10=0,0,9))))))))))</f>
        <v/>
      </c>
      <c r="BT16" s="567" t="str">
        <f>IF(OR(Details!BX10="",Details!BX10=12),"",IF(Details!BX10=13,1,IF(Details!BX10=7,2,IF(Details!BX10=2,3,IF(Details!BX10=1,4,IF(Details!BX10=30,5,IF(Details!BX10=28,7,IF(AND($CA16=1,'Configs &amp; Procedures'!$F$44&gt;0),6,IF(Details!BX10=15,8,IF(Details!BX10=0,0,9))))))))))</f>
        <v/>
      </c>
      <c r="BU16" s="567" t="str">
        <f>IF(OR(Details!BY10="",Details!BY10=12),"",IF(Details!BY10=13,1,IF(Details!BY10=7,2,IF(Details!BY10=2,3,IF(Details!BY10=1,4,IF(Details!BY10=30,5,IF(Details!BY10=28,7,IF(AND($CA16=1,'Configs &amp; Procedures'!$F$44&gt;0),6,IF(Details!BY10=15,8,IF(Details!BY10=0,0,9))))))))))</f>
        <v/>
      </c>
      <c r="BV16" s="567" t="str">
        <f>IF(OR(Details!BZ10="",Details!BZ10=12),"",IF(Details!BZ10=13,1,IF(Details!BZ10=7,2,IF(Details!BZ10=2,3,IF(Details!BZ10=1,4,IF(Details!BZ10=30,5,IF(Details!BZ10=28,7,IF(AND($CA16=1,'Configs &amp; Procedures'!$F$44&gt;0),6,IF(Details!BZ10=15,8,IF(Details!BZ10=0,0,9))))))))))</f>
        <v/>
      </c>
      <c r="BW16" s="567" t="str">
        <f>IF(OR(Details!CA10="",Details!CA10=12),"",IF(Details!CA10=13,1,IF(Details!CA10=7,2,IF(Details!CA10=2,3,IF(Details!CA10=1,4,IF(Details!CA10=30,5,IF(Details!CA10=28,7,IF(AND($CA16=1,'Configs &amp; Procedures'!$F$44&gt;0),6,IF(Details!CA10=15,8,IF(Details!CA10=0,0,9))))))))))</f>
        <v/>
      </c>
      <c r="BX16" s="567" t="str">
        <f>IF(OR(Details!CB10="",Details!CB10=12),"",IF(Details!CB10=13,1,IF(Details!CB10=7,2,IF(Details!CB10=2,3,IF(Details!CB10=1,4,IF(Details!CB10=30,5,IF(Details!CB10=28,7,IF(AND($CA16=1,'Configs &amp; Procedures'!$F$44&gt;0),6,IF(Details!CB10=15,8,IF(Details!CB10=0,0,9))))))))))</f>
        <v/>
      </c>
      <c r="BY16" s="567" t="str">
        <f>IF(OR(Details!CC10="",Details!CC10=12),"",IF(Details!CC10=13,1,IF(Details!CC10=7,2,IF(Details!CC10=2,3,IF(Details!CC10=1,4,IF(Details!CC10=30,5,IF(Details!CC10=28,7,IF(AND($CA16=1,'Configs &amp; Procedures'!$F$44&gt;0),6,IF(Details!CC10=15,8,IF(Details!CC10=0,0,9))))))))))</f>
        <v/>
      </c>
      <c r="BZ16" s="568" t="str">
        <f>IF(OR(Details!CD10="",Details!CD10=12),"",IF(Details!CD10=13,1,IF(Details!CD10=7,2,IF(Details!CD10=2,3,IF(Details!CD10=1,4,IF(Details!CD10=30,5,IF(Details!CD10=28,7,IF(AND($CA16=1,'Configs &amp; Procedures'!$F$44&gt;0),6,IF(Details!CD10=15,8,IF(Details!CD10=0,0,9))))))))))</f>
        <v/>
      </c>
      <c r="CA16" s="787">
        <f>IF(OR(H16="",H16&lt;'Configs &amp; Procedures'!$L$29),0,IF(H16&gt;'Configs &amp; Procedures'!$L$30,1,IF(E16&gt;'Configs &amp; Procedures'!$L$31,0,1)))</f>
        <v>0</v>
      </c>
    </row>
    <row r="17" spans="2:79">
      <c r="B17" s="572">
        <v>2</v>
      </c>
      <c r="C17" s="308"/>
      <c r="D17" s="307"/>
      <c r="E17" s="307"/>
      <c r="F17" s="305"/>
      <c r="G17" s="305"/>
      <c r="H17" s="292"/>
      <c r="I17" s="574"/>
      <c r="J17" s="573"/>
      <c r="K17" s="307"/>
      <c r="L17" s="292"/>
      <c r="M17" s="308"/>
      <c r="N17" s="292"/>
      <c r="O17" s="308"/>
      <c r="P17" s="575"/>
      <c r="Q17" s="576"/>
      <c r="R17" s="308"/>
      <c r="S17" s="575"/>
      <c r="T17" s="576"/>
      <c r="U17" s="308"/>
      <c r="V17" s="575"/>
      <c r="W17" s="576"/>
      <c r="X17" s="308"/>
      <c r="Y17" s="575"/>
      <c r="Z17" s="576"/>
      <c r="AA17" s="308"/>
      <c r="AB17" s="575"/>
      <c r="AC17" s="576"/>
      <c r="AD17" s="308"/>
      <c r="AE17" s="575"/>
      <c r="AF17" s="308"/>
      <c r="AG17" s="575"/>
      <c r="AH17" s="308"/>
      <c r="AI17" s="575"/>
      <c r="AJ17" s="308"/>
      <c r="AK17" s="305"/>
      <c r="AL17" s="577"/>
      <c r="AM17" s="306"/>
      <c r="AN17" s="308"/>
      <c r="AO17" s="573"/>
      <c r="AP17" s="305"/>
      <c r="AQ17" s="308"/>
      <c r="AR17" s="573"/>
      <c r="AS17" s="578"/>
      <c r="AT17" s="577"/>
      <c r="AU17" s="579"/>
      <c r="AV17" s="578"/>
      <c r="AW17" s="308"/>
      <c r="AX17" s="307"/>
      <c r="AY17" s="307"/>
      <c r="AZ17" s="307"/>
      <c r="BA17" s="307"/>
      <c r="BB17" s="307"/>
      <c r="BC17" s="305"/>
      <c r="BD17" s="292"/>
      <c r="BE17" s="297"/>
      <c r="BF17" s="297"/>
      <c r="BG17" s="569"/>
      <c r="BH17" s="570"/>
      <c r="BI17" s="570"/>
      <c r="BJ17" s="570"/>
      <c r="BK17" s="570"/>
      <c r="BL17" s="570"/>
      <c r="BM17" s="570"/>
      <c r="BN17" s="570"/>
      <c r="BO17" s="570"/>
      <c r="BP17" s="570"/>
      <c r="BQ17" s="570"/>
      <c r="BR17" s="570"/>
      <c r="BS17" s="570"/>
      <c r="BT17" s="570"/>
      <c r="BU17" s="570"/>
      <c r="BV17" s="570"/>
      <c r="BW17" s="570"/>
      <c r="BX17" s="570"/>
      <c r="BY17" s="570"/>
      <c r="BZ17" s="571"/>
      <c r="CA17" s="571"/>
    </row>
    <row r="18" spans="2:79">
      <c r="B18" s="566">
        <v>3</v>
      </c>
      <c r="C18" s="308"/>
      <c r="D18" s="307"/>
      <c r="E18" s="307"/>
      <c r="F18" s="305"/>
      <c r="G18" s="305"/>
      <c r="H18" s="292"/>
      <c r="I18" s="574"/>
      <c r="J18" s="573"/>
      <c r="K18" s="307"/>
      <c r="L18" s="292"/>
      <c r="M18" s="308"/>
      <c r="N18" s="292"/>
      <c r="O18" s="308"/>
      <c r="P18" s="575"/>
      <c r="Q18" s="576"/>
      <c r="R18" s="308"/>
      <c r="S18" s="575"/>
      <c r="T18" s="576"/>
      <c r="U18" s="308"/>
      <c r="V18" s="575"/>
      <c r="W18" s="576"/>
      <c r="X18" s="308"/>
      <c r="Y18" s="575"/>
      <c r="Z18" s="576"/>
      <c r="AA18" s="308"/>
      <c r="AB18" s="575"/>
      <c r="AC18" s="576"/>
      <c r="AD18" s="308"/>
      <c r="AE18" s="575"/>
      <c r="AF18" s="308"/>
      <c r="AG18" s="575"/>
      <c r="AH18" s="308"/>
      <c r="AI18" s="575"/>
      <c r="AJ18" s="308"/>
      <c r="AK18" s="305"/>
      <c r="AL18" s="577"/>
      <c r="AM18" s="306"/>
      <c r="AN18" s="308"/>
      <c r="AO18" s="573"/>
      <c r="AP18" s="305"/>
      <c r="AQ18" s="308"/>
      <c r="AR18" s="573"/>
      <c r="AS18" s="578"/>
      <c r="AT18" s="577"/>
      <c r="AU18" s="579"/>
      <c r="AV18" s="578"/>
      <c r="AW18" s="308"/>
      <c r="AX18" s="307"/>
      <c r="AY18" s="307"/>
      <c r="AZ18" s="307"/>
      <c r="BA18" s="307"/>
      <c r="BB18" s="307"/>
      <c r="BC18" s="305"/>
      <c r="BD18" s="292"/>
      <c r="BE18" s="297"/>
      <c r="BF18" s="297"/>
      <c r="BG18" s="569"/>
      <c r="BH18" s="570"/>
      <c r="BI18" s="570"/>
      <c r="BJ18" s="570"/>
      <c r="BK18" s="570"/>
      <c r="BL18" s="570"/>
      <c r="BM18" s="570"/>
      <c r="BN18" s="570"/>
      <c r="BO18" s="570"/>
      <c r="BP18" s="570"/>
      <c r="BQ18" s="570"/>
      <c r="BR18" s="570"/>
      <c r="BS18" s="570"/>
      <c r="BT18" s="570"/>
      <c r="BU18" s="570"/>
      <c r="BV18" s="570"/>
      <c r="BW18" s="570"/>
      <c r="BX18" s="570"/>
      <c r="BY18" s="570"/>
      <c r="BZ18" s="571"/>
      <c r="CA18" s="571"/>
    </row>
    <row r="19" spans="2:79">
      <c r="B19" s="572">
        <v>4</v>
      </c>
      <c r="C19" s="308"/>
      <c r="D19" s="307"/>
      <c r="E19" s="307"/>
      <c r="F19" s="305"/>
      <c r="G19" s="305"/>
      <c r="H19" s="292"/>
      <c r="I19" s="574"/>
      <c r="J19" s="573"/>
      <c r="K19" s="307"/>
      <c r="L19" s="292"/>
      <c r="M19" s="308"/>
      <c r="N19" s="292"/>
      <c r="O19" s="308"/>
      <c r="P19" s="575"/>
      <c r="Q19" s="576"/>
      <c r="R19" s="308"/>
      <c r="S19" s="575"/>
      <c r="T19" s="576"/>
      <c r="U19" s="308"/>
      <c r="V19" s="575"/>
      <c r="W19" s="576"/>
      <c r="X19" s="308"/>
      <c r="Y19" s="575"/>
      <c r="Z19" s="576"/>
      <c r="AA19" s="308"/>
      <c r="AB19" s="575"/>
      <c r="AC19" s="576"/>
      <c r="AD19" s="308"/>
      <c r="AE19" s="575"/>
      <c r="AF19" s="308"/>
      <c r="AG19" s="575"/>
      <c r="AH19" s="308"/>
      <c r="AI19" s="575"/>
      <c r="AJ19" s="308"/>
      <c r="AK19" s="305"/>
      <c r="AL19" s="577"/>
      <c r="AM19" s="306"/>
      <c r="AN19" s="308"/>
      <c r="AO19" s="573"/>
      <c r="AP19" s="305"/>
      <c r="AQ19" s="308"/>
      <c r="AR19" s="573"/>
      <c r="AS19" s="578"/>
      <c r="AT19" s="577"/>
      <c r="AU19" s="579"/>
      <c r="AV19" s="578"/>
      <c r="AW19" s="308"/>
      <c r="AX19" s="307"/>
      <c r="AY19" s="307"/>
      <c r="AZ19" s="307"/>
      <c r="BA19" s="307"/>
      <c r="BB19" s="307"/>
      <c r="BC19" s="305"/>
      <c r="BD19" s="292"/>
      <c r="BE19" s="297"/>
      <c r="BF19" s="297"/>
      <c r="BG19" s="569"/>
      <c r="BH19" s="570"/>
      <c r="BI19" s="570"/>
      <c r="BJ19" s="570"/>
      <c r="BK19" s="570"/>
      <c r="BL19" s="570"/>
      <c r="BM19" s="570"/>
      <c r="BN19" s="570"/>
      <c r="BO19" s="570"/>
      <c r="BP19" s="570"/>
      <c r="BQ19" s="570"/>
      <c r="BR19" s="570"/>
      <c r="BS19" s="570"/>
      <c r="BT19" s="570"/>
      <c r="BU19" s="570"/>
      <c r="BV19" s="570"/>
      <c r="BW19" s="570"/>
      <c r="BX19" s="570"/>
      <c r="BY19" s="570"/>
      <c r="BZ19" s="571"/>
      <c r="CA19" s="571"/>
    </row>
    <row r="20" spans="2:79">
      <c r="B20" s="566">
        <v>5</v>
      </c>
      <c r="C20" s="308"/>
      <c r="D20" s="307"/>
      <c r="E20" s="307"/>
      <c r="F20" s="305"/>
      <c r="G20" s="305"/>
      <c r="H20" s="292"/>
      <c r="I20" s="574"/>
      <c r="J20" s="573"/>
      <c r="K20" s="307"/>
      <c r="L20" s="292"/>
      <c r="M20" s="308"/>
      <c r="N20" s="292"/>
      <c r="O20" s="308"/>
      <c r="P20" s="575"/>
      <c r="Q20" s="576"/>
      <c r="R20" s="308"/>
      <c r="S20" s="575"/>
      <c r="T20" s="576"/>
      <c r="U20" s="308"/>
      <c r="V20" s="575"/>
      <c r="W20" s="576"/>
      <c r="X20" s="308"/>
      <c r="Y20" s="575"/>
      <c r="Z20" s="576"/>
      <c r="AA20" s="308"/>
      <c r="AB20" s="575"/>
      <c r="AC20" s="576"/>
      <c r="AD20" s="308"/>
      <c r="AE20" s="575"/>
      <c r="AF20" s="308"/>
      <c r="AG20" s="575"/>
      <c r="AH20" s="308"/>
      <c r="AI20" s="575"/>
      <c r="AJ20" s="308"/>
      <c r="AK20" s="305"/>
      <c r="AL20" s="577"/>
      <c r="AM20" s="306"/>
      <c r="AN20" s="308"/>
      <c r="AO20" s="573"/>
      <c r="AP20" s="305"/>
      <c r="AQ20" s="308"/>
      <c r="AR20" s="573"/>
      <c r="AS20" s="578"/>
      <c r="AT20" s="577"/>
      <c r="AU20" s="579"/>
      <c r="AV20" s="578"/>
      <c r="AW20" s="308"/>
      <c r="AX20" s="307"/>
      <c r="AY20" s="307"/>
      <c r="AZ20" s="307"/>
      <c r="BA20" s="307"/>
      <c r="BB20" s="307"/>
      <c r="BC20" s="305"/>
      <c r="BD20" s="292"/>
      <c r="BE20" s="297"/>
      <c r="BF20" s="297"/>
      <c r="BG20" s="569"/>
      <c r="BH20" s="570"/>
      <c r="BI20" s="570"/>
      <c r="BJ20" s="570"/>
      <c r="BK20" s="570"/>
      <c r="BL20" s="570"/>
      <c r="BM20" s="570"/>
      <c r="BN20" s="570"/>
      <c r="BO20" s="570"/>
      <c r="BP20" s="570"/>
      <c r="BQ20" s="570"/>
      <c r="BR20" s="570"/>
      <c r="BS20" s="570"/>
      <c r="BT20" s="570"/>
      <c r="BU20" s="570"/>
      <c r="BV20" s="570"/>
      <c r="BW20" s="570"/>
      <c r="BX20" s="570"/>
      <c r="BY20" s="570"/>
      <c r="BZ20" s="571"/>
      <c r="CA20" s="571"/>
    </row>
    <row r="21" spans="2:79">
      <c r="B21" s="572">
        <v>6</v>
      </c>
      <c r="C21" s="308"/>
      <c r="D21" s="307"/>
      <c r="E21" s="307"/>
      <c r="F21" s="305"/>
      <c r="G21" s="305"/>
      <c r="H21" s="292"/>
      <c r="I21" s="574"/>
      <c r="J21" s="573"/>
      <c r="K21" s="307"/>
      <c r="L21" s="292"/>
      <c r="M21" s="308"/>
      <c r="N21" s="292"/>
      <c r="O21" s="308"/>
      <c r="P21" s="575"/>
      <c r="Q21" s="576"/>
      <c r="R21" s="308"/>
      <c r="S21" s="575"/>
      <c r="T21" s="576"/>
      <c r="U21" s="308"/>
      <c r="V21" s="575"/>
      <c r="W21" s="576"/>
      <c r="X21" s="308"/>
      <c r="Y21" s="575"/>
      <c r="Z21" s="576"/>
      <c r="AA21" s="308"/>
      <c r="AB21" s="575"/>
      <c r="AC21" s="576"/>
      <c r="AD21" s="308"/>
      <c r="AE21" s="575"/>
      <c r="AF21" s="308"/>
      <c r="AG21" s="575"/>
      <c r="AH21" s="308"/>
      <c r="AI21" s="575"/>
      <c r="AJ21" s="308"/>
      <c r="AK21" s="305"/>
      <c r="AL21" s="577"/>
      <c r="AM21" s="306"/>
      <c r="AN21" s="308"/>
      <c r="AO21" s="573"/>
      <c r="AP21" s="305"/>
      <c r="AQ21" s="308"/>
      <c r="AR21" s="573"/>
      <c r="AS21" s="578"/>
      <c r="AT21" s="577"/>
      <c r="AU21" s="579"/>
      <c r="AV21" s="578"/>
      <c r="AW21" s="308"/>
      <c r="AX21" s="307"/>
      <c r="AY21" s="307"/>
      <c r="AZ21" s="307"/>
      <c r="BA21" s="307"/>
      <c r="BB21" s="307"/>
      <c r="BC21" s="305"/>
      <c r="BD21" s="292"/>
      <c r="BE21" s="297"/>
      <c r="BF21" s="297"/>
      <c r="BG21" s="569"/>
      <c r="BH21" s="570"/>
      <c r="BI21" s="570"/>
      <c r="BJ21" s="570"/>
      <c r="BK21" s="570"/>
      <c r="BL21" s="570"/>
      <c r="BM21" s="570"/>
      <c r="BN21" s="570"/>
      <c r="BO21" s="570"/>
      <c r="BP21" s="570"/>
      <c r="BQ21" s="570"/>
      <c r="BR21" s="570"/>
      <c r="BS21" s="570"/>
      <c r="BT21" s="570"/>
      <c r="BU21" s="570"/>
      <c r="BV21" s="570"/>
      <c r="BW21" s="570"/>
      <c r="BX21" s="570"/>
      <c r="BY21" s="570"/>
      <c r="BZ21" s="571"/>
      <c r="CA21" s="571"/>
    </row>
    <row r="22" spans="2:79">
      <c r="B22" s="566">
        <v>7</v>
      </c>
      <c r="C22" s="308"/>
      <c r="D22" s="307"/>
      <c r="E22" s="307"/>
      <c r="F22" s="305"/>
      <c r="G22" s="305"/>
      <c r="H22" s="292"/>
      <c r="I22" s="574"/>
      <c r="J22" s="573"/>
      <c r="K22" s="307"/>
      <c r="L22" s="292"/>
      <c r="M22" s="308"/>
      <c r="N22" s="292"/>
      <c r="O22" s="308"/>
      <c r="P22" s="575"/>
      <c r="Q22" s="576"/>
      <c r="R22" s="308"/>
      <c r="S22" s="575"/>
      <c r="T22" s="576"/>
      <c r="U22" s="308"/>
      <c r="V22" s="575"/>
      <c r="W22" s="576"/>
      <c r="X22" s="308"/>
      <c r="Y22" s="575"/>
      <c r="Z22" s="576"/>
      <c r="AA22" s="308"/>
      <c r="AB22" s="575"/>
      <c r="AC22" s="576"/>
      <c r="AD22" s="308"/>
      <c r="AE22" s="575"/>
      <c r="AF22" s="308"/>
      <c r="AG22" s="575"/>
      <c r="AH22" s="308"/>
      <c r="AI22" s="575"/>
      <c r="AJ22" s="308"/>
      <c r="AK22" s="305"/>
      <c r="AL22" s="577"/>
      <c r="AM22" s="306"/>
      <c r="AN22" s="308"/>
      <c r="AO22" s="573"/>
      <c r="AP22" s="305"/>
      <c r="AQ22" s="308"/>
      <c r="AR22" s="573"/>
      <c r="AS22" s="578"/>
      <c r="AT22" s="577"/>
      <c r="AU22" s="579"/>
      <c r="AV22" s="578"/>
      <c r="AW22" s="308"/>
      <c r="AX22" s="307"/>
      <c r="AY22" s="307"/>
      <c r="AZ22" s="307"/>
      <c r="BA22" s="307"/>
      <c r="BB22" s="307"/>
      <c r="BC22" s="305"/>
      <c r="BD22" s="292"/>
      <c r="BE22" s="297"/>
      <c r="BF22" s="297"/>
      <c r="BG22" s="569"/>
      <c r="BH22" s="570"/>
      <c r="BI22" s="570"/>
      <c r="BJ22" s="570"/>
      <c r="BK22" s="570"/>
      <c r="BL22" s="570"/>
      <c r="BM22" s="570"/>
      <c r="BN22" s="570"/>
      <c r="BO22" s="570"/>
      <c r="BP22" s="570"/>
      <c r="BQ22" s="570"/>
      <c r="BR22" s="570"/>
      <c r="BS22" s="570"/>
      <c r="BT22" s="570"/>
      <c r="BU22" s="570"/>
      <c r="BV22" s="570"/>
      <c r="BW22" s="570"/>
      <c r="BX22" s="570"/>
      <c r="BY22" s="570"/>
      <c r="BZ22" s="571"/>
      <c r="CA22" s="571"/>
    </row>
    <row r="23" spans="2:79">
      <c r="B23" s="572">
        <v>8</v>
      </c>
      <c r="C23" s="308"/>
      <c r="D23" s="307"/>
      <c r="E23" s="307"/>
      <c r="F23" s="305"/>
      <c r="G23" s="305"/>
      <c r="H23" s="292"/>
      <c r="I23" s="574"/>
      <c r="J23" s="573"/>
      <c r="K23" s="307"/>
      <c r="L23" s="292"/>
      <c r="M23" s="308"/>
      <c r="N23" s="292"/>
      <c r="O23" s="308"/>
      <c r="P23" s="575"/>
      <c r="Q23" s="576"/>
      <c r="R23" s="308"/>
      <c r="S23" s="575"/>
      <c r="T23" s="576"/>
      <c r="U23" s="308"/>
      <c r="V23" s="575"/>
      <c r="W23" s="576"/>
      <c r="X23" s="308"/>
      <c r="Y23" s="575"/>
      <c r="Z23" s="576"/>
      <c r="AA23" s="308"/>
      <c r="AB23" s="575"/>
      <c r="AC23" s="576"/>
      <c r="AD23" s="308"/>
      <c r="AE23" s="575"/>
      <c r="AF23" s="308"/>
      <c r="AG23" s="575"/>
      <c r="AH23" s="308"/>
      <c r="AI23" s="575"/>
      <c r="AJ23" s="308"/>
      <c r="AK23" s="305"/>
      <c r="AL23" s="577"/>
      <c r="AM23" s="306"/>
      <c r="AN23" s="308"/>
      <c r="AO23" s="573"/>
      <c r="AP23" s="305"/>
      <c r="AQ23" s="308"/>
      <c r="AR23" s="573"/>
      <c r="AS23" s="578"/>
      <c r="AT23" s="577"/>
      <c r="AU23" s="579"/>
      <c r="AV23" s="578"/>
      <c r="AW23" s="308"/>
      <c r="AX23" s="307"/>
      <c r="AY23" s="307"/>
      <c r="AZ23" s="307"/>
      <c r="BA23" s="307"/>
      <c r="BB23" s="307"/>
      <c r="BC23" s="305"/>
      <c r="BD23" s="292"/>
      <c r="BE23" s="297"/>
      <c r="BF23" s="297"/>
      <c r="BG23" s="569"/>
      <c r="BH23" s="570"/>
      <c r="BI23" s="570"/>
      <c r="BJ23" s="570"/>
      <c r="BK23" s="570"/>
      <c r="BL23" s="570"/>
      <c r="BM23" s="570"/>
      <c r="BN23" s="570"/>
      <c r="BO23" s="570"/>
      <c r="BP23" s="570"/>
      <c r="BQ23" s="570"/>
      <c r="BR23" s="570"/>
      <c r="BS23" s="570"/>
      <c r="BT23" s="570"/>
      <c r="BU23" s="570"/>
      <c r="BV23" s="570"/>
      <c r="BW23" s="570"/>
      <c r="BX23" s="570"/>
      <c r="BY23" s="570"/>
      <c r="BZ23" s="571"/>
      <c r="CA23" s="571"/>
    </row>
    <row r="24" spans="2:79">
      <c r="B24" s="566">
        <v>9</v>
      </c>
      <c r="C24" s="308"/>
      <c r="D24" s="307"/>
      <c r="E24" s="307"/>
      <c r="F24" s="305"/>
      <c r="G24" s="305"/>
      <c r="H24" s="292"/>
      <c r="I24" s="574"/>
      <c r="J24" s="573"/>
      <c r="K24" s="307"/>
      <c r="L24" s="292"/>
      <c r="M24" s="308"/>
      <c r="N24" s="292"/>
      <c r="O24" s="308"/>
      <c r="P24" s="575"/>
      <c r="Q24" s="576"/>
      <c r="R24" s="308"/>
      <c r="S24" s="575"/>
      <c r="T24" s="576"/>
      <c r="U24" s="308"/>
      <c r="V24" s="575"/>
      <c r="W24" s="576"/>
      <c r="X24" s="308"/>
      <c r="Y24" s="575"/>
      <c r="Z24" s="576"/>
      <c r="AA24" s="308"/>
      <c r="AB24" s="575"/>
      <c r="AC24" s="576"/>
      <c r="AD24" s="308"/>
      <c r="AE24" s="575"/>
      <c r="AF24" s="308"/>
      <c r="AG24" s="575"/>
      <c r="AH24" s="308"/>
      <c r="AI24" s="575"/>
      <c r="AJ24" s="308"/>
      <c r="AK24" s="305"/>
      <c r="AL24" s="577"/>
      <c r="AM24" s="306"/>
      <c r="AN24" s="308"/>
      <c r="AO24" s="573"/>
      <c r="AP24" s="305"/>
      <c r="AQ24" s="308"/>
      <c r="AR24" s="573"/>
      <c r="AS24" s="578"/>
      <c r="AT24" s="577"/>
      <c r="AU24" s="579"/>
      <c r="AV24" s="578"/>
      <c r="AW24" s="308"/>
      <c r="AX24" s="307"/>
      <c r="AY24" s="307"/>
      <c r="AZ24" s="307"/>
      <c r="BA24" s="307"/>
      <c r="BB24" s="307"/>
      <c r="BC24" s="305"/>
      <c r="BD24" s="292"/>
      <c r="BE24" s="297"/>
      <c r="BF24" s="297"/>
      <c r="BG24" s="569"/>
      <c r="BH24" s="570"/>
      <c r="BI24" s="570"/>
      <c r="BJ24" s="570"/>
      <c r="BK24" s="570"/>
      <c r="BL24" s="570"/>
      <c r="BM24" s="570"/>
      <c r="BN24" s="570"/>
      <c r="BO24" s="570"/>
      <c r="BP24" s="570"/>
      <c r="BQ24" s="570"/>
      <c r="BR24" s="570"/>
      <c r="BS24" s="570"/>
      <c r="BT24" s="570"/>
      <c r="BU24" s="570"/>
      <c r="BV24" s="570"/>
      <c r="BW24" s="570"/>
      <c r="BX24" s="570"/>
      <c r="BY24" s="570"/>
      <c r="BZ24" s="571"/>
      <c r="CA24" s="571"/>
    </row>
    <row r="25" spans="2:79">
      <c r="B25" s="572">
        <v>10</v>
      </c>
      <c r="C25" s="308"/>
      <c r="D25" s="307"/>
      <c r="E25" s="307"/>
      <c r="F25" s="305"/>
      <c r="G25" s="305"/>
      <c r="H25" s="292"/>
      <c r="I25" s="574"/>
      <c r="J25" s="573"/>
      <c r="K25" s="307"/>
      <c r="L25" s="292"/>
      <c r="M25" s="308"/>
      <c r="N25" s="292"/>
      <c r="O25" s="308"/>
      <c r="P25" s="575"/>
      <c r="Q25" s="576"/>
      <c r="R25" s="308"/>
      <c r="S25" s="575"/>
      <c r="T25" s="576"/>
      <c r="U25" s="308"/>
      <c r="V25" s="575"/>
      <c r="W25" s="576"/>
      <c r="X25" s="308"/>
      <c r="Y25" s="575"/>
      <c r="Z25" s="576"/>
      <c r="AA25" s="308"/>
      <c r="AB25" s="575"/>
      <c r="AC25" s="576"/>
      <c r="AD25" s="308"/>
      <c r="AE25" s="575"/>
      <c r="AF25" s="308"/>
      <c r="AG25" s="575"/>
      <c r="AH25" s="308"/>
      <c r="AI25" s="575"/>
      <c r="AJ25" s="308"/>
      <c r="AK25" s="305"/>
      <c r="AL25" s="577"/>
      <c r="AM25" s="306"/>
      <c r="AN25" s="308"/>
      <c r="AO25" s="573"/>
      <c r="AP25" s="305"/>
      <c r="AQ25" s="308"/>
      <c r="AR25" s="573"/>
      <c r="AS25" s="578"/>
      <c r="AT25" s="577"/>
      <c r="AU25" s="579"/>
      <c r="AV25" s="578"/>
      <c r="AW25" s="308"/>
      <c r="AX25" s="307"/>
      <c r="AY25" s="307"/>
      <c r="AZ25" s="307"/>
      <c r="BA25" s="307"/>
      <c r="BB25" s="307"/>
      <c r="BC25" s="305"/>
      <c r="BD25" s="292"/>
      <c r="BE25" s="297"/>
      <c r="BF25" s="297"/>
      <c r="BG25" s="569"/>
      <c r="BH25" s="570"/>
      <c r="BI25" s="570"/>
      <c r="BJ25" s="570"/>
      <c r="BK25" s="570"/>
      <c r="BL25" s="570"/>
      <c r="BM25" s="570"/>
      <c r="BN25" s="570"/>
      <c r="BO25" s="570"/>
      <c r="BP25" s="570"/>
      <c r="BQ25" s="570"/>
      <c r="BR25" s="570"/>
      <c r="BS25" s="570"/>
      <c r="BT25" s="570"/>
      <c r="BU25" s="570"/>
      <c r="BV25" s="570"/>
      <c r="BW25" s="570"/>
      <c r="BX25" s="570"/>
      <c r="BY25" s="570"/>
      <c r="BZ25" s="571"/>
      <c r="CA25" s="571"/>
    </row>
    <row r="26" spans="2:79">
      <c r="B26" s="566">
        <v>11</v>
      </c>
      <c r="C26" s="308"/>
      <c r="D26" s="307"/>
      <c r="E26" s="307"/>
      <c r="F26" s="305"/>
      <c r="G26" s="305"/>
      <c r="H26" s="292"/>
      <c r="I26" s="574"/>
      <c r="J26" s="573"/>
      <c r="K26" s="307"/>
      <c r="L26" s="292"/>
      <c r="M26" s="308"/>
      <c r="N26" s="292"/>
      <c r="O26" s="308"/>
      <c r="P26" s="575"/>
      <c r="Q26" s="576"/>
      <c r="R26" s="308"/>
      <c r="S26" s="575"/>
      <c r="T26" s="576"/>
      <c r="U26" s="308"/>
      <c r="V26" s="575"/>
      <c r="W26" s="576"/>
      <c r="X26" s="308"/>
      <c r="Y26" s="575"/>
      <c r="Z26" s="576"/>
      <c r="AA26" s="308"/>
      <c r="AB26" s="575"/>
      <c r="AC26" s="576"/>
      <c r="AD26" s="308"/>
      <c r="AE26" s="575"/>
      <c r="AF26" s="308"/>
      <c r="AG26" s="575"/>
      <c r="AH26" s="308"/>
      <c r="AI26" s="575"/>
      <c r="AJ26" s="308"/>
      <c r="AK26" s="305"/>
      <c r="AL26" s="577"/>
      <c r="AM26" s="306"/>
      <c r="AN26" s="308"/>
      <c r="AO26" s="573"/>
      <c r="AP26" s="305"/>
      <c r="AQ26" s="308"/>
      <c r="AR26" s="573"/>
      <c r="AS26" s="578"/>
      <c r="AT26" s="577"/>
      <c r="AU26" s="579"/>
      <c r="AV26" s="578"/>
      <c r="AW26" s="308"/>
      <c r="AX26" s="307"/>
      <c r="AY26" s="307"/>
      <c r="AZ26" s="307"/>
      <c r="BA26" s="307"/>
      <c r="BB26" s="307"/>
      <c r="BC26" s="305"/>
      <c r="BD26" s="292"/>
      <c r="BE26" s="297"/>
      <c r="BF26" s="297"/>
      <c r="BG26" s="569"/>
      <c r="BH26" s="570"/>
      <c r="BI26" s="570"/>
      <c r="BJ26" s="570"/>
      <c r="BK26" s="570"/>
      <c r="BL26" s="570"/>
      <c r="BM26" s="570"/>
      <c r="BN26" s="570"/>
      <c r="BO26" s="570"/>
      <c r="BP26" s="570"/>
      <c r="BQ26" s="570"/>
      <c r="BR26" s="570"/>
      <c r="BS26" s="570"/>
      <c r="BT26" s="570"/>
      <c r="BU26" s="570"/>
      <c r="BV26" s="570"/>
      <c r="BW26" s="570"/>
      <c r="BX26" s="570"/>
      <c r="BY26" s="570"/>
      <c r="BZ26" s="571"/>
      <c r="CA26" s="571"/>
    </row>
    <row r="27" spans="2:79">
      <c r="B27" s="572">
        <v>12</v>
      </c>
      <c r="C27" s="308"/>
      <c r="D27" s="307"/>
      <c r="E27" s="307"/>
      <c r="F27" s="305"/>
      <c r="G27" s="305"/>
      <c r="H27" s="292"/>
      <c r="I27" s="574"/>
      <c r="J27" s="573"/>
      <c r="K27" s="307"/>
      <c r="L27" s="292"/>
      <c r="M27" s="308"/>
      <c r="N27" s="292"/>
      <c r="O27" s="308"/>
      <c r="P27" s="575"/>
      <c r="Q27" s="576"/>
      <c r="R27" s="308"/>
      <c r="S27" s="575"/>
      <c r="T27" s="576"/>
      <c r="U27" s="308"/>
      <c r="V27" s="575"/>
      <c r="W27" s="576"/>
      <c r="X27" s="308"/>
      <c r="Y27" s="575"/>
      <c r="Z27" s="576"/>
      <c r="AA27" s="308"/>
      <c r="AB27" s="575"/>
      <c r="AC27" s="576"/>
      <c r="AD27" s="308"/>
      <c r="AE27" s="575"/>
      <c r="AF27" s="308"/>
      <c r="AG27" s="575"/>
      <c r="AH27" s="308"/>
      <c r="AI27" s="575"/>
      <c r="AJ27" s="308"/>
      <c r="AK27" s="305"/>
      <c r="AL27" s="577"/>
      <c r="AM27" s="306"/>
      <c r="AN27" s="308"/>
      <c r="AO27" s="573"/>
      <c r="AP27" s="305"/>
      <c r="AQ27" s="308"/>
      <c r="AR27" s="573"/>
      <c r="AS27" s="578"/>
      <c r="AT27" s="577"/>
      <c r="AU27" s="579"/>
      <c r="AV27" s="578"/>
      <c r="AW27" s="308"/>
      <c r="AX27" s="307"/>
      <c r="AY27" s="307"/>
      <c r="AZ27" s="307"/>
      <c r="BA27" s="307"/>
      <c r="BB27" s="307"/>
      <c r="BC27" s="305"/>
      <c r="BD27" s="292"/>
      <c r="BE27" s="297"/>
      <c r="BF27" s="297"/>
      <c r="BG27" s="569"/>
      <c r="BH27" s="570"/>
      <c r="BI27" s="570"/>
      <c r="BJ27" s="570"/>
      <c r="BK27" s="570"/>
      <c r="BL27" s="570"/>
      <c r="BM27" s="570"/>
      <c r="BN27" s="570"/>
      <c r="BO27" s="570"/>
      <c r="BP27" s="570"/>
      <c r="BQ27" s="570"/>
      <c r="BR27" s="570"/>
      <c r="BS27" s="570"/>
      <c r="BT27" s="570"/>
      <c r="BU27" s="570"/>
      <c r="BV27" s="570"/>
      <c r="BW27" s="570"/>
      <c r="BX27" s="570"/>
      <c r="BY27" s="570"/>
      <c r="BZ27" s="571"/>
      <c r="CA27" s="571"/>
    </row>
    <row r="28" spans="2:79">
      <c r="B28" s="566">
        <v>13</v>
      </c>
      <c r="C28" s="308"/>
      <c r="D28" s="307"/>
      <c r="E28" s="307"/>
      <c r="F28" s="305"/>
      <c r="G28" s="305"/>
      <c r="H28" s="292"/>
      <c r="I28" s="574"/>
      <c r="J28" s="573"/>
      <c r="K28" s="307"/>
      <c r="L28" s="292"/>
      <c r="M28" s="308"/>
      <c r="N28" s="292"/>
      <c r="O28" s="308"/>
      <c r="P28" s="575"/>
      <c r="Q28" s="576"/>
      <c r="R28" s="308"/>
      <c r="S28" s="575"/>
      <c r="T28" s="576"/>
      <c r="U28" s="308"/>
      <c r="V28" s="575"/>
      <c r="W28" s="576"/>
      <c r="X28" s="308"/>
      <c r="Y28" s="575"/>
      <c r="Z28" s="576"/>
      <c r="AA28" s="308"/>
      <c r="AB28" s="575"/>
      <c r="AC28" s="576"/>
      <c r="AD28" s="308"/>
      <c r="AE28" s="575"/>
      <c r="AF28" s="308"/>
      <c r="AG28" s="575"/>
      <c r="AH28" s="308"/>
      <c r="AI28" s="575"/>
      <c r="AJ28" s="308"/>
      <c r="AK28" s="305"/>
      <c r="AL28" s="577"/>
      <c r="AM28" s="306"/>
      <c r="AN28" s="308"/>
      <c r="AO28" s="573"/>
      <c r="AP28" s="305"/>
      <c r="AQ28" s="308"/>
      <c r="AR28" s="573"/>
      <c r="AS28" s="578"/>
      <c r="AT28" s="577"/>
      <c r="AU28" s="579"/>
      <c r="AV28" s="578"/>
      <c r="AW28" s="308"/>
      <c r="AX28" s="307"/>
      <c r="AY28" s="307"/>
      <c r="AZ28" s="307"/>
      <c r="BA28" s="307"/>
      <c r="BB28" s="307"/>
      <c r="BC28" s="305"/>
      <c r="BD28" s="292"/>
      <c r="BE28" s="297"/>
      <c r="BF28" s="297"/>
      <c r="BG28" s="569"/>
      <c r="BH28" s="570"/>
      <c r="BI28" s="570"/>
      <c r="BJ28" s="570"/>
      <c r="BK28" s="570"/>
      <c r="BL28" s="570"/>
      <c r="BM28" s="570"/>
      <c r="BN28" s="570"/>
      <c r="BO28" s="570"/>
      <c r="BP28" s="570"/>
      <c r="BQ28" s="570"/>
      <c r="BR28" s="570"/>
      <c r="BS28" s="570"/>
      <c r="BT28" s="570"/>
      <c r="BU28" s="570"/>
      <c r="BV28" s="570"/>
      <c r="BW28" s="570"/>
      <c r="BX28" s="570"/>
      <c r="BY28" s="570"/>
      <c r="BZ28" s="571"/>
      <c r="CA28" s="571"/>
    </row>
    <row r="29" spans="2:79">
      <c r="B29" s="572">
        <v>14</v>
      </c>
      <c r="C29" s="308"/>
      <c r="D29" s="307"/>
      <c r="E29" s="307"/>
      <c r="F29" s="305"/>
      <c r="G29" s="305"/>
      <c r="H29" s="292"/>
      <c r="I29" s="574"/>
      <c r="J29" s="573"/>
      <c r="K29" s="307"/>
      <c r="L29" s="292"/>
      <c r="M29" s="308"/>
      <c r="N29" s="292"/>
      <c r="O29" s="308"/>
      <c r="P29" s="575"/>
      <c r="Q29" s="576"/>
      <c r="R29" s="308"/>
      <c r="S29" s="575"/>
      <c r="T29" s="576"/>
      <c r="U29" s="308"/>
      <c r="V29" s="575"/>
      <c r="W29" s="576"/>
      <c r="X29" s="308"/>
      <c r="Y29" s="575"/>
      <c r="Z29" s="576"/>
      <c r="AA29" s="308"/>
      <c r="AB29" s="575"/>
      <c r="AC29" s="576"/>
      <c r="AD29" s="308"/>
      <c r="AE29" s="575"/>
      <c r="AF29" s="308"/>
      <c r="AG29" s="575"/>
      <c r="AH29" s="308"/>
      <c r="AI29" s="575"/>
      <c r="AJ29" s="308"/>
      <c r="AK29" s="305"/>
      <c r="AL29" s="577"/>
      <c r="AM29" s="306"/>
      <c r="AN29" s="308"/>
      <c r="AO29" s="573"/>
      <c r="AP29" s="305"/>
      <c r="AQ29" s="308"/>
      <c r="AR29" s="573"/>
      <c r="AS29" s="578"/>
      <c r="AT29" s="577"/>
      <c r="AU29" s="579"/>
      <c r="AV29" s="578"/>
      <c r="AW29" s="308"/>
      <c r="AX29" s="307"/>
      <c r="AY29" s="307"/>
      <c r="AZ29" s="307"/>
      <c r="BA29" s="307"/>
      <c r="BB29" s="307"/>
      <c r="BC29" s="305"/>
      <c r="BD29" s="292"/>
      <c r="BE29" s="297"/>
      <c r="BF29" s="297"/>
      <c r="BG29" s="569"/>
      <c r="BH29" s="570"/>
      <c r="BI29" s="570"/>
      <c r="BJ29" s="570"/>
      <c r="BK29" s="570"/>
      <c r="BL29" s="570"/>
      <c r="BM29" s="570"/>
      <c r="BN29" s="570"/>
      <c r="BO29" s="570"/>
      <c r="BP29" s="570"/>
      <c r="BQ29" s="570"/>
      <c r="BR29" s="570"/>
      <c r="BS29" s="570"/>
      <c r="BT29" s="570"/>
      <c r="BU29" s="570"/>
      <c r="BV29" s="570"/>
      <c r="BW29" s="570"/>
      <c r="BX29" s="570"/>
      <c r="BY29" s="570"/>
      <c r="BZ29" s="571"/>
      <c r="CA29" s="571"/>
    </row>
    <row r="30" spans="2:79">
      <c r="B30" s="566">
        <v>15</v>
      </c>
      <c r="C30" s="308"/>
      <c r="D30" s="307"/>
      <c r="E30" s="307"/>
      <c r="F30" s="305"/>
      <c r="G30" s="305"/>
      <c r="H30" s="292"/>
      <c r="I30" s="574"/>
      <c r="J30" s="573"/>
      <c r="K30" s="307"/>
      <c r="L30" s="292"/>
      <c r="M30" s="308"/>
      <c r="N30" s="292"/>
      <c r="O30" s="308"/>
      <c r="P30" s="575"/>
      <c r="Q30" s="576"/>
      <c r="R30" s="308"/>
      <c r="S30" s="575"/>
      <c r="T30" s="576"/>
      <c r="U30" s="308"/>
      <c r="V30" s="575"/>
      <c r="W30" s="576"/>
      <c r="X30" s="308"/>
      <c r="Y30" s="575"/>
      <c r="Z30" s="576"/>
      <c r="AA30" s="308"/>
      <c r="AB30" s="575"/>
      <c r="AC30" s="576"/>
      <c r="AD30" s="308"/>
      <c r="AE30" s="575"/>
      <c r="AF30" s="308"/>
      <c r="AG30" s="575"/>
      <c r="AH30" s="308"/>
      <c r="AI30" s="575"/>
      <c r="AJ30" s="308"/>
      <c r="AK30" s="305"/>
      <c r="AL30" s="577"/>
      <c r="AM30" s="306"/>
      <c r="AN30" s="308"/>
      <c r="AO30" s="573"/>
      <c r="AP30" s="305"/>
      <c r="AQ30" s="308"/>
      <c r="AR30" s="573"/>
      <c r="AS30" s="578"/>
      <c r="AT30" s="577"/>
      <c r="AU30" s="579"/>
      <c r="AV30" s="578"/>
      <c r="AW30" s="308"/>
      <c r="AX30" s="307"/>
      <c r="AY30" s="307"/>
      <c r="AZ30" s="307"/>
      <c r="BA30" s="307"/>
      <c r="BB30" s="307"/>
      <c r="BC30" s="305"/>
      <c r="BD30" s="292"/>
      <c r="BE30" s="297"/>
      <c r="BF30" s="297"/>
      <c r="BG30" s="569"/>
      <c r="BH30" s="570"/>
      <c r="BI30" s="570"/>
      <c r="BJ30" s="570"/>
      <c r="BK30" s="570"/>
      <c r="BL30" s="570"/>
      <c r="BM30" s="570"/>
      <c r="BN30" s="570"/>
      <c r="BO30" s="570"/>
      <c r="BP30" s="570"/>
      <c r="BQ30" s="570"/>
      <c r="BR30" s="570"/>
      <c r="BS30" s="570"/>
      <c r="BT30" s="570"/>
      <c r="BU30" s="570"/>
      <c r="BV30" s="570"/>
      <c r="BW30" s="570"/>
      <c r="BX30" s="570"/>
      <c r="BY30" s="570"/>
      <c r="BZ30" s="571"/>
      <c r="CA30" s="571"/>
    </row>
    <row r="31" spans="2:79">
      <c r="B31" s="572">
        <v>16</v>
      </c>
      <c r="C31" s="308"/>
      <c r="D31" s="307"/>
      <c r="E31" s="307"/>
      <c r="F31" s="305"/>
      <c r="G31" s="305"/>
      <c r="H31" s="292"/>
      <c r="I31" s="574"/>
      <c r="J31" s="573"/>
      <c r="K31" s="307"/>
      <c r="L31" s="292"/>
      <c r="M31" s="308"/>
      <c r="N31" s="292"/>
      <c r="O31" s="308"/>
      <c r="P31" s="575"/>
      <c r="Q31" s="576"/>
      <c r="R31" s="308"/>
      <c r="S31" s="575"/>
      <c r="T31" s="576"/>
      <c r="U31" s="308"/>
      <c r="V31" s="575"/>
      <c r="W31" s="576"/>
      <c r="X31" s="308"/>
      <c r="Y31" s="575"/>
      <c r="Z31" s="576"/>
      <c r="AA31" s="308"/>
      <c r="AB31" s="575"/>
      <c r="AC31" s="576"/>
      <c r="AD31" s="308"/>
      <c r="AE31" s="575"/>
      <c r="AF31" s="308"/>
      <c r="AG31" s="575"/>
      <c r="AH31" s="308"/>
      <c r="AI31" s="575"/>
      <c r="AJ31" s="308"/>
      <c r="AK31" s="305"/>
      <c r="AL31" s="577"/>
      <c r="AM31" s="306"/>
      <c r="AN31" s="308"/>
      <c r="AO31" s="573"/>
      <c r="AP31" s="305"/>
      <c r="AQ31" s="308"/>
      <c r="AR31" s="573"/>
      <c r="AS31" s="578"/>
      <c r="AT31" s="577"/>
      <c r="AU31" s="579"/>
      <c r="AV31" s="578"/>
      <c r="AW31" s="308"/>
      <c r="AX31" s="307"/>
      <c r="AY31" s="307"/>
      <c r="AZ31" s="307"/>
      <c r="BA31" s="307"/>
      <c r="BB31" s="307"/>
      <c r="BC31" s="305"/>
      <c r="BD31" s="292"/>
      <c r="BE31" s="297"/>
      <c r="BF31" s="297"/>
      <c r="BG31" s="569"/>
      <c r="BH31" s="570"/>
      <c r="BI31" s="570"/>
      <c r="BJ31" s="570"/>
      <c r="BK31" s="570"/>
      <c r="BL31" s="570"/>
      <c r="BM31" s="570"/>
      <c r="BN31" s="570"/>
      <c r="BO31" s="570"/>
      <c r="BP31" s="570"/>
      <c r="BQ31" s="570"/>
      <c r="BR31" s="570"/>
      <c r="BS31" s="570"/>
      <c r="BT31" s="570"/>
      <c r="BU31" s="570"/>
      <c r="BV31" s="570"/>
      <c r="BW31" s="570"/>
      <c r="BX31" s="570"/>
      <c r="BY31" s="570"/>
      <c r="BZ31" s="571"/>
      <c r="CA31" s="571"/>
    </row>
    <row r="32" spans="2:79">
      <c r="B32" s="566">
        <v>17</v>
      </c>
      <c r="C32" s="308"/>
      <c r="D32" s="307"/>
      <c r="E32" s="307"/>
      <c r="F32" s="305"/>
      <c r="G32" s="305"/>
      <c r="H32" s="292"/>
      <c r="I32" s="574"/>
      <c r="J32" s="573"/>
      <c r="K32" s="307"/>
      <c r="L32" s="292"/>
      <c r="M32" s="308"/>
      <c r="N32" s="292"/>
      <c r="O32" s="308"/>
      <c r="P32" s="575"/>
      <c r="Q32" s="576"/>
      <c r="R32" s="308"/>
      <c r="S32" s="575"/>
      <c r="T32" s="576"/>
      <c r="U32" s="308"/>
      <c r="V32" s="575"/>
      <c r="W32" s="576"/>
      <c r="X32" s="308"/>
      <c r="Y32" s="575"/>
      <c r="Z32" s="576"/>
      <c r="AA32" s="308"/>
      <c r="AB32" s="575"/>
      <c r="AC32" s="576"/>
      <c r="AD32" s="308"/>
      <c r="AE32" s="575"/>
      <c r="AF32" s="308"/>
      <c r="AG32" s="575"/>
      <c r="AH32" s="308"/>
      <c r="AI32" s="575"/>
      <c r="AJ32" s="308"/>
      <c r="AK32" s="305"/>
      <c r="AL32" s="577"/>
      <c r="AM32" s="306"/>
      <c r="AN32" s="308"/>
      <c r="AO32" s="573"/>
      <c r="AP32" s="305"/>
      <c r="AQ32" s="308"/>
      <c r="AR32" s="573"/>
      <c r="AS32" s="578"/>
      <c r="AT32" s="577"/>
      <c r="AU32" s="579"/>
      <c r="AV32" s="578"/>
      <c r="AW32" s="308"/>
      <c r="AX32" s="307"/>
      <c r="AY32" s="307"/>
      <c r="AZ32" s="307"/>
      <c r="BA32" s="307"/>
      <c r="BB32" s="307"/>
      <c r="BC32" s="305"/>
      <c r="BD32" s="292"/>
      <c r="BE32" s="297"/>
      <c r="BF32" s="297"/>
      <c r="BG32" s="569"/>
      <c r="BH32" s="570"/>
      <c r="BI32" s="570"/>
      <c r="BJ32" s="570"/>
      <c r="BK32" s="570"/>
      <c r="BL32" s="570"/>
      <c r="BM32" s="570"/>
      <c r="BN32" s="570"/>
      <c r="BO32" s="570"/>
      <c r="BP32" s="570"/>
      <c r="BQ32" s="570"/>
      <c r="BR32" s="570"/>
      <c r="BS32" s="570"/>
      <c r="BT32" s="570"/>
      <c r="BU32" s="570"/>
      <c r="BV32" s="570"/>
      <c r="BW32" s="570"/>
      <c r="BX32" s="570"/>
      <c r="BY32" s="570"/>
      <c r="BZ32" s="571"/>
      <c r="CA32" s="571"/>
    </row>
    <row r="33" spans="2:79">
      <c r="B33" s="572">
        <v>18</v>
      </c>
      <c r="C33" s="308"/>
      <c r="D33" s="307"/>
      <c r="E33" s="307"/>
      <c r="F33" s="305"/>
      <c r="G33" s="305"/>
      <c r="H33" s="292"/>
      <c r="I33" s="574"/>
      <c r="J33" s="573"/>
      <c r="K33" s="307"/>
      <c r="L33" s="292"/>
      <c r="M33" s="308"/>
      <c r="N33" s="292"/>
      <c r="O33" s="308"/>
      <c r="P33" s="575"/>
      <c r="Q33" s="576"/>
      <c r="R33" s="308"/>
      <c r="S33" s="575"/>
      <c r="T33" s="576"/>
      <c r="U33" s="308"/>
      <c r="V33" s="575"/>
      <c r="W33" s="576"/>
      <c r="X33" s="308"/>
      <c r="Y33" s="575"/>
      <c r="Z33" s="576"/>
      <c r="AA33" s="308"/>
      <c r="AB33" s="575"/>
      <c r="AC33" s="576"/>
      <c r="AD33" s="308"/>
      <c r="AE33" s="575"/>
      <c r="AF33" s="308"/>
      <c r="AG33" s="575"/>
      <c r="AH33" s="308"/>
      <c r="AI33" s="575"/>
      <c r="AJ33" s="308"/>
      <c r="AK33" s="305"/>
      <c r="AL33" s="577"/>
      <c r="AM33" s="306"/>
      <c r="AN33" s="308"/>
      <c r="AO33" s="573"/>
      <c r="AP33" s="305"/>
      <c r="AQ33" s="308"/>
      <c r="AR33" s="573"/>
      <c r="AS33" s="578"/>
      <c r="AT33" s="577"/>
      <c r="AU33" s="579"/>
      <c r="AV33" s="578"/>
      <c r="AW33" s="308"/>
      <c r="AX33" s="307"/>
      <c r="AY33" s="307"/>
      <c r="AZ33" s="307"/>
      <c r="BA33" s="307"/>
      <c r="BB33" s="307"/>
      <c r="BC33" s="305"/>
      <c r="BD33" s="292"/>
      <c r="BE33" s="297"/>
      <c r="BF33" s="297"/>
      <c r="BG33" s="569"/>
      <c r="BH33" s="570"/>
      <c r="BI33" s="570"/>
      <c r="BJ33" s="570"/>
      <c r="BK33" s="570"/>
      <c r="BL33" s="570"/>
      <c r="BM33" s="570"/>
      <c r="BN33" s="570"/>
      <c r="BO33" s="570"/>
      <c r="BP33" s="570"/>
      <c r="BQ33" s="570"/>
      <c r="BR33" s="570"/>
      <c r="BS33" s="570"/>
      <c r="BT33" s="570"/>
      <c r="BU33" s="570"/>
      <c r="BV33" s="570"/>
      <c r="BW33" s="570"/>
      <c r="BX33" s="570"/>
      <c r="BY33" s="570"/>
      <c r="BZ33" s="571"/>
      <c r="CA33" s="571"/>
    </row>
    <row r="34" spans="2:79">
      <c r="B34" s="566">
        <v>19</v>
      </c>
      <c r="C34" s="308"/>
      <c r="D34" s="307"/>
      <c r="E34" s="307"/>
      <c r="F34" s="305"/>
      <c r="G34" s="305"/>
      <c r="H34" s="292"/>
      <c r="I34" s="574"/>
      <c r="J34" s="573"/>
      <c r="K34" s="307"/>
      <c r="L34" s="292"/>
      <c r="M34" s="308"/>
      <c r="N34" s="292"/>
      <c r="O34" s="308"/>
      <c r="P34" s="575"/>
      <c r="Q34" s="576"/>
      <c r="R34" s="308"/>
      <c r="S34" s="575"/>
      <c r="T34" s="576"/>
      <c r="U34" s="308"/>
      <c r="V34" s="575"/>
      <c r="W34" s="576"/>
      <c r="X34" s="308"/>
      <c r="Y34" s="575"/>
      <c r="Z34" s="576"/>
      <c r="AA34" s="308"/>
      <c r="AB34" s="575"/>
      <c r="AC34" s="576"/>
      <c r="AD34" s="308"/>
      <c r="AE34" s="575"/>
      <c r="AF34" s="308"/>
      <c r="AG34" s="575"/>
      <c r="AH34" s="308"/>
      <c r="AI34" s="575"/>
      <c r="AJ34" s="308"/>
      <c r="AK34" s="305"/>
      <c r="AL34" s="577"/>
      <c r="AM34" s="306"/>
      <c r="AN34" s="308"/>
      <c r="AO34" s="573"/>
      <c r="AP34" s="305"/>
      <c r="AQ34" s="308"/>
      <c r="AR34" s="573"/>
      <c r="AS34" s="578"/>
      <c r="AT34" s="577"/>
      <c r="AU34" s="579"/>
      <c r="AV34" s="578"/>
      <c r="AW34" s="308"/>
      <c r="AX34" s="307"/>
      <c r="AY34" s="307"/>
      <c r="AZ34" s="307"/>
      <c r="BA34" s="307"/>
      <c r="BB34" s="307"/>
      <c r="BC34" s="305"/>
      <c r="BD34" s="292"/>
      <c r="BE34" s="297"/>
      <c r="BF34" s="297"/>
      <c r="BG34" s="569"/>
      <c r="BH34" s="570"/>
      <c r="BI34" s="570"/>
      <c r="BJ34" s="570"/>
      <c r="BK34" s="570"/>
      <c r="BL34" s="570"/>
      <c r="BM34" s="570"/>
      <c r="BN34" s="570"/>
      <c r="BO34" s="570"/>
      <c r="BP34" s="570"/>
      <c r="BQ34" s="570"/>
      <c r="BR34" s="570"/>
      <c r="BS34" s="570"/>
      <c r="BT34" s="570"/>
      <c r="BU34" s="570"/>
      <c r="BV34" s="570"/>
      <c r="BW34" s="570"/>
      <c r="BX34" s="570"/>
      <c r="BY34" s="570"/>
      <c r="BZ34" s="571"/>
      <c r="CA34" s="571"/>
    </row>
    <row r="35" spans="2:79">
      <c r="B35" s="572">
        <v>20</v>
      </c>
      <c r="C35" s="308"/>
      <c r="D35" s="307"/>
      <c r="E35" s="307"/>
      <c r="F35" s="305"/>
      <c r="G35" s="305"/>
      <c r="H35" s="292"/>
      <c r="I35" s="574"/>
      <c r="J35" s="573"/>
      <c r="K35" s="307"/>
      <c r="L35" s="292"/>
      <c r="M35" s="308"/>
      <c r="N35" s="292"/>
      <c r="O35" s="308"/>
      <c r="P35" s="575"/>
      <c r="Q35" s="576"/>
      <c r="R35" s="308"/>
      <c r="S35" s="575"/>
      <c r="T35" s="576"/>
      <c r="U35" s="308"/>
      <c r="V35" s="575"/>
      <c r="W35" s="576"/>
      <c r="X35" s="308"/>
      <c r="Y35" s="575"/>
      <c r="Z35" s="576"/>
      <c r="AA35" s="308"/>
      <c r="AB35" s="575"/>
      <c r="AC35" s="576"/>
      <c r="AD35" s="308"/>
      <c r="AE35" s="575"/>
      <c r="AF35" s="308"/>
      <c r="AG35" s="575"/>
      <c r="AH35" s="308"/>
      <c r="AI35" s="575"/>
      <c r="AJ35" s="308"/>
      <c r="AK35" s="305"/>
      <c r="AL35" s="577"/>
      <c r="AM35" s="306"/>
      <c r="AN35" s="308"/>
      <c r="AO35" s="573"/>
      <c r="AP35" s="305"/>
      <c r="AQ35" s="308"/>
      <c r="AR35" s="573"/>
      <c r="AS35" s="578"/>
      <c r="AT35" s="577"/>
      <c r="AU35" s="579"/>
      <c r="AV35" s="578"/>
      <c r="AW35" s="308"/>
      <c r="AX35" s="307"/>
      <c r="AY35" s="307"/>
      <c r="AZ35" s="307"/>
      <c r="BA35" s="307"/>
      <c r="BB35" s="307"/>
      <c r="BC35" s="305"/>
      <c r="BD35" s="292"/>
      <c r="BE35" s="297"/>
      <c r="BF35" s="297"/>
      <c r="BG35" s="569"/>
      <c r="BH35" s="570"/>
      <c r="BI35" s="570"/>
      <c r="BJ35" s="570"/>
      <c r="BK35" s="570"/>
      <c r="BL35" s="570"/>
      <c r="BM35" s="570"/>
      <c r="BN35" s="570"/>
      <c r="BO35" s="570"/>
      <c r="BP35" s="570"/>
      <c r="BQ35" s="570"/>
      <c r="BR35" s="570"/>
      <c r="BS35" s="570"/>
      <c r="BT35" s="570"/>
      <c r="BU35" s="570"/>
      <c r="BV35" s="570"/>
      <c r="BW35" s="570"/>
      <c r="BX35" s="570"/>
      <c r="BY35" s="570"/>
      <c r="BZ35" s="571"/>
      <c r="CA35" s="571"/>
    </row>
    <row r="36" spans="2:79">
      <c r="B36" s="566">
        <v>21</v>
      </c>
      <c r="C36" s="308"/>
      <c r="D36" s="307"/>
      <c r="E36" s="307"/>
      <c r="F36" s="305"/>
      <c r="G36" s="305"/>
      <c r="H36" s="292"/>
      <c r="I36" s="574"/>
      <c r="J36" s="573"/>
      <c r="K36" s="307"/>
      <c r="L36" s="292"/>
      <c r="M36" s="308"/>
      <c r="N36" s="292"/>
      <c r="O36" s="308"/>
      <c r="P36" s="575"/>
      <c r="Q36" s="576"/>
      <c r="R36" s="308"/>
      <c r="S36" s="575"/>
      <c r="T36" s="576"/>
      <c r="U36" s="308"/>
      <c r="V36" s="575"/>
      <c r="W36" s="576"/>
      <c r="X36" s="308"/>
      <c r="Y36" s="575"/>
      <c r="Z36" s="576"/>
      <c r="AA36" s="308"/>
      <c r="AB36" s="575"/>
      <c r="AC36" s="576"/>
      <c r="AD36" s="308"/>
      <c r="AE36" s="575"/>
      <c r="AF36" s="308"/>
      <c r="AG36" s="575"/>
      <c r="AH36" s="308"/>
      <c r="AI36" s="575"/>
      <c r="AJ36" s="308"/>
      <c r="AK36" s="305"/>
      <c r="AL36" s="577"/>
      <c r="AM36" s="306"/>
      <c r="AN36" s="308"/>
      <c r="AO36" s="573"/>
      <c r="AP36" s="305"/>
      <c r="AQ36" s="308"/>
      <c r="AR36" s="573"/>
      <c r="AS36" s="578"/>
      <c r="AT36" s="577"/>
      <c r="AU36" s="579"/>
      <c r="AV36" s="578"/>
      <c r="AW36" s="308"/>
      <c r="AX36" s="307"/>
      <c r="AY36" s="307"/>
      <c r="AZ36" s="307"/>
      <c r="BA36" s="307"/>
      <c r="BB36" s="307"/>
      <c r="BC36" s="305"/>
      <c r="BD36" s="292"/>
      <c r="BE36" s="297"/>
      <c r="BF36" s="297"/>
      <c r="BG36" s="569"/>
      <c r="BH36" s="570"/>
      <c r="BI36" s="570"/>
      <c r="BJ36" s="570"/>
      <c r="BK36" s="570"/>
      <c r="BL36" s="570"/>
      <c r="BM36" s="570"/>
      <c r="BN36" s="570"/>
      <c r="BO36" s="570"/>
      <c r="BP36" s="570"/>
      <c r="BQ36" s="570"/>
      <c r="BR36" s="570"/>
      <c r="BS36" s="570"/>
      <c r="BT36" s="570"/>
      <c r="BU36" s="570"/>
      <c r="BV36" s="570"/>
      <c r="BW36" s="570"/>
      <c r="BX36" s="570"/>
      <c r="BY36" s="570"/>
      <c r="BZ36" s="571"/>
      <c r="CA36" s="571"/>
    </row>
    <row r="37" spans="2:79">
      <c r="B37" s="572">
        <v>22</v>
      </c>
      <c r="C37" s="308"/>
      <c r="D37" s="307"/>
      <c r="E37" s="307"/>
      <c r="F37" s="305"/>
      <c r="G37" s="305"/>
      <c r="H37" s="292"/>
      <c r="I37" s="574"/>
      <c r="J37" s="573"/>
      <c r="K37" s="307"/>
      <c r="L37" s="292"/>
      <c r="M37" s="308"/>
      <c r="N37" s="292"/>
      <c r="O37" s="308"/>
      <c r="P37" s="575"/>
      <c r="Q37" s="576"/>
      <c r="R37" s="308"/>
      <c r="S37" s="575"/>
      <c r="T37" s="576"/>
      <c r="U37" s="308"/>
      <c r="V37" s="575"/>
      <c r="W37" s="576"/>
      <c r="X37" s="308"/>
      <c r="Y37" s="575"/>
      <c r="Z37" s="576"/>
      <c r="AA37" s="308"/>
      <c r="AB37" s="575"/>
      <c r="AC37" s="576"/>
      <c r="AD37" s="308"/>
      <c r="AE37" s="575"/>
      <c r="AF37" s="308"/>
      <c r="AG37" s="575"/>
      <c r="AH37" s="308"/>
      <c r="AI37" s="575"/>
      <c r="AJ37" s="308"/>
      <c r="AK37" s="305"/>
      <c r="AL37" s="577"/>
      <c r="AM37" s="306"/>
      <c r="AN37" s="308"/>
      <c r="AO37" s="573"/>
      <c r="AP37" s="305"/>
      <c r="AQ37" s="308"/>
      <c r="AR37" s="573"/>
      <c r="AS37" s="578"/>
      <c r="AT37" s="577"/>
      <c r="AU37" s="579"/>
      <c r="AV37" s="578"/>
      <c r="AW37" s="308"/>
      <c r="AX37" s="307"/>
      <c r="AY37" s="307"/>
      <c r="AZ37" s="307"/>
      <c r="BA37" s="307"/>
      <c r="BB37" s="307"/>
      <c r="BC37" s="305"/>
      <c r="BD37" s="292"/>
      <c r="BE37" s="297"/>
      <c r="BF37" s="297"/>
      <c r="BG37" s="569"/>
      <c r="BH37" s="570"/>
      <c r="BI37" s="570"/>
      <c r="BJ37" s="570"/>
      <c r="BK37" s="570"/>
      <c r="BL37" s="570"/>
      <c r="BM37" s="570"/>
      <c r="BN37" s="570"/>
      <c r="BO37" s="570"/>
      <c r="BP37" s="570"/>
      <c r="BQ37" s="570"/>
      <c r="BR37" s="570"/>
      <c r="BS37" s="570"/>
      <c r="BT37" s="570"/>
      <c r="BU37" s="570"/>
      <c r="BV37" s="570"/>
      <c r="BW37" s="570"/>
      <c r="BX37" s="570"/>
      <c r="BY37" s="570"/>
      <c r="BZ37" s="571"/>
      <c r="CA37" s="571"/>
    </row>
    <row r="38" spans="2:79">
      <c r="B38" s="566">
        <v>23</v>
      </c>
      <c r="C38" s="308"/>
      <c r="D38" s="307"/>
      <c r="E38" s="307"/>
      <c r="F38" s="305"/>
      <c r="G38" s="305"/>
      <c r="H38" s="292"/>
      <c r="I38" s="574"/>
      <c r="J38" s="573"/>
      <c r="K38" s="307"/>
      <c r="L38" s="292"/>
      <c r="M38" s="308"/>
      <c r="N38" s="292"/>
      <c r="O38" s="308"/>
      <c r="P38" s="575"/>
      <c r="Q38" s="576"/>
      <c r="R38" s="308"/>
      <c r="S38" s="575"/>
      <c r="T38" s="576"/>
      <c r="U38" s="308"/>
      <c r="V38" s="575"/>
      <c r="W38" s="576"/>
      <c r="X38" s="308"/>
      <c r="Y38" s="575"/>
      <c r="Z38" s="576"/>
      <c r="AA38" s="308"/>
      <c r="AB38" s="575"/>
      <c r="AC38" s="576"/>
      <c r="AD38" s="308"/>
      <c r="AE38" s="575"/>
      <c r="AF38" s="308"/>
      <c r="AG38" s="575"/>
      <c r="AH38" s="308"/>
      <c r="AI38" s="575"/>
      <c r="AJ38" s="308"/>
      <c r="AK38" s="305"/>
      <c r="AL38" s="577"/>
      <c r="AM38" s="306"/>
      <c r="AN38" s="308"/>
      <c r="AO38" s="573"/>
      <c r="AP38" s="305"/>
      <c r="AQ38" s="308"/>
      <c r="AR38" s="573"/>
      <c r="AS38" s="578"/>
      <c r="AT38" s="577"/>
      <c r="AU38" s="579"/>
      <c r="AV38" s="578"/>
      <c r="AW38" s="308"/>
      <c r="AX38" s="307"/>
      <c r="AY38" s="307"/>
      <c r="AZ38" s="307"/>
      <c r="BA38" s="307"/>
      <c r="BB38" s="307"/>
      <c r="BC38" s="305"/>
      <c r="BD38" s="292"/>
      <c r="BE38" s="297"/>
      <c r="BF38" s="297"/>
      <c r="BG38" s="569"/>
      <c r="BH38" s="570"/>
      <c r="BI38" s="570"/>
      <c r="BJ38" s="570"/>
      <c r="BK38" s="570"/>
      <c r="BL38" s="570"/>
      <c r="BM38" s="570"/>
      <c r="BN38" s="570"/>
      <c r="BO38" s="570"/>
      <c r="BP38" s="570"/>
      <c r="BQ38" s="570"/>
      <c r="BR38" s="570"/>
      <c r="BS38" s="570"/>
      <c r="BT38" s="570"/>
      <c r="BU38" s="570"/>
      <c r="BV38" s="570"/>
      <c r="BW38" s="570"/>
      <c r="BX38" s="570"/>
      <c r="BY38" s="570"/>
      <c r="BZ38" s="571"/>
      <c r="CA38" s="571"/>
    </row>
    <row r="39" spans="2:79">
      <c r="B39" s="572">
        <v>24</v>
      </c>
      <c r="C39" s="308"/>
      <c r="D39" s="307"/>
      <c r="E39" s="307"/>
      <c r="F39" s="305"/>
      <c r="G39" s="305"/>
      <c r="H39" s="292"/>
      <c r="I39" s="574"/>
      <c r="J39" s="573"/>
      <c r="K39" s="307"/>
      <c r="L39" s="292"/>
      <c r="M39" s="308"/>
      <c r="N39" s="292"/>
      <c r="O39" s="308"/>
      <c r="P39" s="575"/>
      <c r="Q39" s="576"/>
      <c r="R39" s="308"/>
      <c r="S39" s="575"/>
      <c r="T39" s="576"/>
      <c r="U39" s="308"/>
      <c r="V39" s="575"/>
      <c r="W39" s="576"/>
      <c r="X39" s="308"/>
      <c r="Y39" s="575"/>
      <c r="Z39" s="576"/>
      <c r="AA39" s="308"/>
      <c r="AB39" s="575"/>
      <c r="AC39" s="576"/>
      <c r="AD39" s="308"/>
      <c r="AE39" s="575"/>
      <c r="AF39" s="308"/>
      <c r="AG39" s="575"/>
      <c r="AH39" s="308"/>
      <c r="AI39" s="575"/>
      <c r="AJ39" s="308"/>
      <c r="AK39" s="305"/>
      <c r="AL39" s="577"/>
      <c r="AM39" s="306"/>
      <c r="AN39" s="308"/>
      <c r="AO39" s="573"/>
      <c r="AP39" s="305"/>
      <c r="AQ39" s="308"/>
      <c r="AR39" s="573"/>
      <c r="AS39" s="578"/>
      <c r="AT39" s="577"/>
      <c r="AU39" s="579"/>
      <c r="AV39" s="578"/>
      <c r="AW39" s="308"/>
      <c r="AX39" s="307"/>
      <c r="AY39" s="307"/>
      <c r="AZ39" s="307"/>
      <c r="BA39" s="307"/>
      <c r="BB39" s="307"/>
      <c r="BC39" s="305"/>
      <c r="BD39" s="292"/>
      <c r="BE39" s="297"/>
      <c r="BF39" s="297"/>
      <c r="BG39" s="569"/>
      <c r="BH39" s="570"/>
      <c r="BI39" s="570"/>
      <c r="BJ39" s="570"/>
      <c r="BK39" s="570"/>
      <c r="BL39" s="570"/>
      <c r="BM39" s="570"/>
      <c r="BN39" s="570"/>
      <c r="BO39" s="570"/>
      <c r="BP39" s="570"/>
      <c r="BQ39" s="570"/>
      <c r="BR39" s="570"/>
      <c r="BS39" s="570"/>
      <c r="BT39" s="570"/>
      <c r="BU39" s="570"/>
      <c r="BV39" s="570"/>
      <c r="BW39" s="570"/>
      <c r="BX39" s="570"/>
      <c r="BY39" s="570"/>
      <c r="BZ39" s="571"/>
      <c r="CA39" s="571"/>
    </row>
    <row r="40" spans="2:79">
      <c r="B40" s="566">
        <v>25</v>
      </c>
      <c r="C40" s="308"/>
      <c r="D40" s="307"/>
      <c r="E40" s="307"/>
      <c r="F40" s="305"/>
      <c r="G40" s="305"/>
      <c r="H40" s="292"/>
      <c r="I40" s="574"/>
      <c r="J40" s="573"/>
      <c r="K40" s="307"/>
      <c r="L40" s="292"/>
      <c r="M40" s="308"/>
      <c r="N40" s="292"/>
      <c r="O40" s="308"/>
      <c r="P40" s="575"/>
      <c r="Q40" s="576"/>
      <c r="R40" s="308"/>
      <c r="S40" s="575"/>
      <c r="T40" s="576"/>
      <c r="U40" s="308"/>
      <c r="V40" s="575"/>
      <c r="W40" s="576"/>
      <c r="X40" s="308"/>
      <c r="Y40" s="575"/>
      <c r="Z40" s="576"/>
      <c r="AA40" s="308"/>
      <c r="AB40" s="575"/>
      <c r="AC40" s="576"/>
      <c r="AD40" s="308"/>
      <c r="AE40" s="575"/>
      <c r="AF40" s="308"/>
      <c r="AG40" s="575"/>
      <c r="AH40" s="308"/>
      <c r="AI40" s="575"/>
      <c r="AJ40" s="308"/>
      <c r="AK40" s="305"/>
      <c r="AL40" s="577"/>
      <c r="AM40" s="306"/>
      <c r="AN40" s="308"/>
      <c r="AO40" s="573"/>
      <c r="AP40" s="305"/>
      <c r="AQ40" s="308"/>
      <c r="AR40" s="573"/>
      <c r="AS40" s="578"/>
      <c r="AT40" s="577"/>
      <c r="AU40" s="579"/>
      <c r="AV40" s="578"/>
      <c r="AW40" s="308"/>
      <c r="AX40" s="307"/>
      <c r="AY40" s="307"/>
      <c r="AZ40" s="307"/>
      <c r="BA40" s="307"/>
      <c r="BB40" s="307"/>
      <c r="BC40" s="305"/>
      <c r="BD40" s="292"/>
      <c r="BE40" s="297"/>
      <c r="BF40" s="297"/>
      <c r="BG40" s="569"/>
      <c r="BH40" s="570"/>
      <c r="BI40" s="570"/>
      <c r="BJ40" s="570"/>
      <c r="BK40" s="570"/>
      <c r="BL40" s="570"/>
      <c r="BM40" s="570"/>
      <c r="BN40" s="570"/>
      <c r="BO40" s="570"/>
      <c r="BP40" s="570"/>
      <c r="BQ40" s="570"/>
      <c r="BR40" s="570"/>
      <c r="BS40" s="570"/>
      <c r="BT40" s="570"/>
      <c r="BU40" s="570"/>
      <c r="BV40" s="570"/>
      <c r="BW40" s="570"/>
      <c r="BX40" s="570"/>
      <c r="BY40" s="570"/>
      <c r="BZ40" s="571"/>
      <c r="CA40" s="571"/>
    </row>
    <row r="41" spans="2:79">
      <c r="B41" s="572">
        <v>26</v>
      </c>
      <c r="C41" s="308"/>
      <c r="D41" s="307"/>
      <c r="E41" s="307"/>
      <c r="F41" s="305"/>
      <c r="G41" s="305"/>
      <c r="H41" s="292"/>
      <c r="I41" s="574"/>
      <c r="J41" s="573"/>
      <c r="K41" s="307"/>
      <c r="L41" s="292"/>
      <c r="M41" s="308"/>
      <c r="N41" s="292"/>
      <c r="O41" s="308"/>
      <c r="P41" s="575"/>
      <c r="Q41" s="576"/>
      <c r="R41" s="308"/>
      <c r="S41" s="575"/>
      <c r="T41" s="576"/>
      <c r="U41" s="308"/>
      <c r="V41" s="575"/>
      <c r="W41" s="576"/>
      <c r="X41" s="308"/>
      <c r="Y41" s="575"/>
      <c r="Z41" s="576"/>
      <c r="AA41" s="308"/>
      <c r="AB41" s="575"/>
      <c r="AC41" s="576"/>
      <c r="AD41" s="308"/>
      <c r="AE41" s="575"/>
      <c r="AF41" s="308"/>
      <c r="AG41" s="575"/>
      <c r="AH41" s="308"/>
      <c r="AI41" s="575"/>
      <c r="AJ41" s="308"/>
      <c r="AK41" s="305"/>
      <c r="AL41" s="577"/>
      <c r="AM41" s="306"/>
      <c r="AN41" s="308"/>
      <c r="AO41" s="573"/>
      <c r="AP41" s="305"/>
      <c r="AQ41" s="308"/>
      <c r="AR41" s="573"/>
      <c r="AS41" s="578"/>
      <c r="AT41" s="577"/>
      <c r="AU41" s="579"/>
      <c r="AV41" s="578"/>
      <c r="AW41" s="308"/>
      <c r="AX41" s="307"/>
      <c r="AY41" s="307"/>
      <c r="AZ41" s="307"/>
      <c r="BA41" s="307"/>
      <c r="BB41" s="307"/>
      <c r="BC41" s="305"/>
      <c r="BD41" s="292"/>
      <c r="BE41" s="297"/>
      <c r="BF41" s="297"/>
      <c r="BG41" s="569"/>
      <c r="BH41" s="570"/>
      <c r="BI41" s="570"/>
      <c r="BJ41" s="570"/>
      <c r="BK41" s="570"/>
      <c r="BL41" s="570"/>
      <c r="BM41" s="570"/>
      <c r="BN41" s="570"/>
      <c r="BO41" s="570"/>
      <c r="BP41" s="570"/>
      <c r="BQ41" s="570"/>
      <c r="BR41" s="570"/>
      <c r="BS41" s="570"/>
      <c r="BT41" s="570"/>
      <c r="BU41" s="570"/>
      <c r="BV41" s="570"/>
      <c r="BW41" s="570"/>
      <c r="BX41" s="570"/>
      <c r="BY41" s="570"/>
      <c r="BZ41" s="571"/>
      <c r="CA41" s="571"/>
    </row>
    <row r="42" spans="2:79">
      <c r="B42" s="566">
        <v>27</v>
      </c>
      <c r="C42" s="308"/>
      <c r="D42" s="307"/>
      <c r="E42" s="307"/>
      <c r="F42" s="305"/>
      <c r="G42" s="305"/>
      <c r="H42" s="292"/>
      <c r="I42" s="574"/>
      <c r="J42" s="573"/>
      <c r="K42" s="307"/>
      <c r="L42" s="292"/>
      <c r="M42" s="308"/>
      <c r="N42" s="292"/>
      <c r="O42" s="308"/>
      <c r="P42" s="575"/>
      <c r="Q42" s="576"/>
      <c r="R42" s="308"/>
      <c r="S42" s="575"/>
      <c r="T42" s="576"/>
      <c r="U42" s="308"/>
      <c r="V42" s="575"/>
      <c r="W42" s="576"/>
      <c r="X42" s="308"/>
      <c r="Y42" s="575"/>
      <c r="Z42" s="576"/>
      <c r="AA42" s="308"/>
      <c r="AB42" s="575"/>
      <c r="AC42" s="576"/>
      <c r="AD42" s="308"/>
      <c r="AE42" s="575"/>
      <c r="AF42" s="308"/>
      <c r="AG42" s="575"/>
      <c r="AH42" s="308"/>
      <c r="AI42" s="575"/>
      <c r="AJ42" s="308"/>
      <c r="AK42" s="305"/>
      <c r="AL42" s="577"/>
      <c r="AM42" s="306"/>
      <c r="AN42" s="308"/>
      <c r="AO42" s="573"/>
      <c r="AP42" s="305"/>
      <c r="AQ42" s="308"/>
      <c r="AR42" s="573"/>
      <c r="AS42" s="578"/>
      <c r="AT42" s="577"/>
      <c r="AU42" s="579"/>
      <c r="AV42" s="578"/>
      <c r="AW42" s="308"/>
      <c r="AX42" s="307"/>
      <c r="AY42" s="307"/>
      <c r="AZ42" s="307"/>
      <c r="BA42" s="307"/>
      <c r="BB42" s="307"/>
      <c r="BC42" s="305"/>
      <c r="BD42" s="292"/>
      <c r="BE42" s="297"/>
      <c r="BF42" s="297"/>
      <c r="BG42" s="569"/>
      <c r="BH42" s="570"/>
      <c r="BI42" s="570"/>
      <c r="BJ42" s="570"/>
      <c r="BK42" s="570"/>
      <c r="BL42" s="570"/>
      <c r="BM42" s="570"/>
      <c r="BN42" s="570"/>
      <c r="BO42" s="570"/>
      <c r="BP42" s="570"/>
      <c r="BQ42" s="570"/>
      <c r="BR42" s="570"/>
      <c r="BS42" s="570"/>
      <c r="BT42" s="570"/>
      <c r="BU42" s="570"/>
      <c r="BV42" s="570"/>
      <c r="BW42" s="570"/>
      <c r="BX42" s="570"/>
      <c r="BY42" s="570"/>
      <c r="BZ42" s="571"/>
      <c r="CA42" s="571"/>
    </row>
    <row r="43" spans="2:79">
      <c r="B43" s="572">
        <v>28</v>
      </c>
      <c r="C43" s="308"/>
      <c r="D43" s="307"/>
      <c r="E43" s="307"/>
      <c r="F43" s="305"/>
      <c r="G43" s="305"/>
      <c r="H43" s="292"/>
      <c r="I43" s="574"/>
      <c r="J43" s="573"/>
      <c r="K43" s="307"/>
      <c r="L43" s="292"/>
      <c r="M43" s="308"/>
      <c r="N43" s="292"/>
      <c r="O43" s="308"/>
      <c r="P43" s="575"/>
      <c r="Q43" s="576"/>
      <c r="R43" s="308"/>
      <c r="S43" s="575"/>
      <c r="T43" s="576"/>
      <c r="U43" s="308"/>
      <c r="V43" s="575"/>
      <c r="W43" s="576"/>
      <c r="X43" s="308"/>
      <c r="Y43" s="575"/>
      <c r="Z43" s="576"/>
      <c r="AA43" s="308"/>
      <c r="AB43" s="575"/>
      <c r="AC43" s="576"/>
      <c r="AD43" s="308"/>
      <c r="AE43" s="575"/>
      <c r="AF43" s="308"/>
      <c r="AG43" s="575"/>
      <c r="AH43" s="308"/>
      <c r="AI43" s="575"/>
      <c r="AJ43" s="308"/>
      <c r="AK43" s="305"/>
      <c r="AL43" s="577"/>
      <c r="AM43" s="306"/>
      <c r="AN43" s="308"/>
      <c r="AO43" s="573"/>
      <c r="AP43" s="305"/>
      <c r="AQ43" s="308"/>
      <c r="AR43" s="573"/>
      <c r="AS43" s="578"/>
      <c r="AT43" s="577"/>
      <c r="AU43" s="579"/>
      <c r="AV43" s="578"/>
      <c r="AW43" s="308"/>
      <c r="AX43" s="307"/>
      <c r="AY43" s="307"/>
      <c r="AZ43" s="307"/>
      <c r="BA43" s="307"/>
      <c r="BB43" s="307"/>
      <c r="BC43" s="305"/>
      <c r="BD43" s="292"/>
      <c r="BE43" s="297"/>
      <c r="BF43" s="297"/>
      <c r="BG43" s="569"/>
      <c r="BH43" s="570"/>
      <c r="BI43" s="570"/>
      <c r="BJ43" s="570"/>
      <c r="BK43" s="570"/>
      <c r="BL43" s="570"/>
      <c r="BM43" s="570"/>
      <c r="BN43" s="570"/>
      <c r="BO43" s="570"/>
      <c r="BP43" s="570"/>
      <c r="BQ43" s="570"/>
      <c r="BR43" s="570"/>
      <c r="BS43" s="570"/>
      <c r="BT43" s="570"/>
      <c r="BU43" s="570"/>
      <c r="BV43" s="570"/>
      <c r="BW43" s="570"/>
      <c r="BX43" s="570"/>
      <c r="BY43" s="570"/>
      <c r="BZ43" s="571"/>
      <c r="CA43" s="571"/>
    </row>
    <row r="44" spans="2:79">
      <c r="B44" s="566">
        <v>29</v>
      </c>
      <c r="C44" s="308"/>
      <c r="D44" s="307"/>
      <c r="E44" s="307"/>
      <c r="F44" s="305"/>
      <c r="G44" s="305"/>
      <c r="H44" s="292"/>
      <c r="I44" s="574"/>
      <c r="J44" s="573"/>
      <c r="K44" s="307"/>
      <c r="L44" s="292"/>
      <c r="M44" s="308"/>
      <c r="N44" s="292"/>
      <c r="O44" s="308"/>
      <c r="P44" s="575"/>
      <c r="Q44" s="576"/>
      <c r="R44" s="308"/>
      <c r="S44" s="575"/>
      <c r="T44" s="576"/>
      <c r="U44" s="308"/>
      <c r="V44" s="575"/>
      <c r="W44" s="576"/>
      <c r="X44" s="308"/>
      <c r="Y44" s="575"/>
      <c r="Z44" s="576"/>
      <c r="AA44" s="308"/>
      <c r="AB44" s="575"/>
      <c r="AC44" s="576"/>
      <c r="AD44" s="308"/>
      <c r="AE44" s="575"/>
      <c r="AF44" s="308"/>
      <c r="AG44" s="575"/>
      <c r="AH44" s="308"/>
      <c r="AI44" s="575"/>
      <c r="AJ44" s="308"/>
      <c r="AK44" s="305"/>
      <c r="AL44" s="577"/>
      <c r="AM44" s="306"/>
      <c r="AN44" s="308"/>
      <c r="AO44" s="573"/>
      <c r="AP44" s="305"/>
      <c r="AQ44" s="308"/>
      <c r="AR44" s="573"/>
      <c r="AS44" s="578"/>
      <c r="AT44" s="577"/>
      <c r="AU44" s="579"/>
      <c r="AV44" s="578"/>
      <c r="AW44" s="308"/>
      <c r="AX44" s="307"/>
      <c r="AY44" s="307"/>
      <c r="AZ44" s="307"/>
      <c r="BA44" s="307"/>
      <c r="BB44" s="307"/>
      <c r="BC44" s="305"/>
      <c r="BD44" s="292"/>
      <c r="BE44" s="297"/>
      <c r="BF44" s="297"/>
      <c r="BG44" s="569"/>
      <c r="BH44" s="570"/>
      <c r="BI44" s="570"/>
      <c r="BJ44" s="570"/>
      <c r="BK44" s="570"/>
      <c r="BL44" s="570"/>
      <c r="BM44" s="570"/>
      <c r="BN44" s="570"/>
      <c r="BO44" s="570"/>
      <c r="BP44" s="570"/>
      <c r="BQ44" s="570"/>
      <c r="BR44" s="570"/>
      <c r="BS44" s="570"/>
      <c r="BT44" s="570"/>
      <c r="BU44" s="570"/>
      <c r="BV44" s="570"/>
      <c r="BW44" s="570"/>
      <c r="BX44" s="570"/>
      <c r="BY44" s="570"/>
      <c r="BZ44" s="571"/>
      <c r="CA44" s="571"/>
    </row>
    <row r="45" spans="2:79">
      <c r="B45" s="572">
        <v>30</v>
      </c>
      <c r="C45" s="308"/>
      <c r="D45" s="307"/>
      <c r="E45" s="307"/>
      <c r="F45" s="305"/>
      <c r="G45" s="305"/>
      <c r="H45" s="292"/>
      <c r="I45" s="574"/>
      <c r="J45" s="573"/>
      <c r="K45" s="307"/>
      <c r="L45" s="292"/>
      <c r="M45" s="308"/>
      <c r="N45" s="292"/>
      <c r="O45" s="308"/>
      <c r="P45" s="575"/>
      <c r="Q45" s="576"/>
      <c r="R45" s="308"/>
      <c r="S45" s="575"/>
      <c r="T45" s="576"/>
      <c r="U45" s="308"/>
      <c r="V45" s="575"/>
      <c r="W45" s="576"/>
      <c r="X45" s="308"/>
      <c r="Y45" s="575"/>
      <c r="Z45" s="576"/>
      <c r="AA45" s="308"/>
      <c r="AB45" s="575"/>
      <c r="AC45" s="576"/>
      <c r="AD45" s="308"/>
      <c r="AE45" s="575"/>
      <c r="AF45" s="308"/>
      <c r="AG45" s="575"/>
      <c r="AH45" s="308"/>
      <c r="AI45" s="575"/>
      <c r="AJ45" s="308"/>
      <c r="AK45" s="305"/>
      <c r="AL45" s="577"/>
      <c r="AM45" s="306"/>
      <c r="AN45" s="308"/>
      <c r="AO45" s="573"/>
      <c r="AP45" s="305"/>
      <c r="AQ45" s="308"/>
      <c r="AR45" s="573"/>
      <c r="AS45" s="578"/>
      <c r="AT45" s="577"/>
      <c r="AU45" s="579"/>
      <c r="AV45" s="578"/>
      <c r="AW45" s="308"/>
      <c r="AX45" s="307"/>
      <c r="AY45" s="307"/>
      <c r="AZ45" s="307"/>
      <c r="BA45" s="307"/>
      <c r="BB45" s="307"/>
      <c r="BC45" s="305"/>
      <c r="BD45" s="292"/>
      <c r="BE45" s="297"/>
      <c r="BF45" s="297"/>
      <c r="BG45" s="569"/>
      <c r="BH45" s="570"/>
      <c r="BI45" s="570"/>
      <c r="BJ45" s="570"/>
      <c r="BK45" s="570"/>
      <c r="BL45" s="570"/>
      <c r="BM45" s="570"/>
      <c r="BN45" s="570"/>
      <c r="BO45" s="570"/>
      <c r="BP45" s="570"/>
      <c r="BQ45" s="570"/>
      <c r="BR45" s="570"/>
      <c r="BS45" s="570"/>
      <c r="BT45" s="570"/>
      <c r="BU45" s="570"/>
      <c r="BV45" s="570"/>
      <c r="BW45" s="570"/>
      <c r="BX45" s="570"/>
      <c r="BY45" s="570"/>
      <c r="BZ45" s="571"/>
      <c r="CA45" s="571"/>
    </row>
    <row r="46" spans="2:79">
      <c r="B46" s="566">
        <v>31</v>
      </c>
      <c r="C46" s="308"/>
      <c r="D46" s="307"/>
      <c r="E46" s="307"/>
      <c r="F46" s="305"/>
      <c r="G46" s="305"/>
      <c r="H46" s="292"/>
      <c r="I46" s="574"/>
      <c r="J46" s="573"/>
      <c r="K46" s="307"/>
      <c r="L46" s="292"/>
      <c r="M46" s="308"/>
      <c r="N46" s="292"/>
      <c r="O46" s="308"/>
      <c r="P46" s="575"/>
      <c r="Q46" s="576"/>
      <c r="R46" s="308"/>
      <c r="S46" s="575"/>
      <c r="T46" s="576"/>
      <c r="U46" s="308"/>
      <c r="V46" s="575"/>
      <c r="W46" s="576"/>
      <c r="X46" s="308"/>
      <c r="Y46" s="575"/>
      <c r="Z46" s="576"/>
      <c r="AA46" s="308"/>
      <c r="AB46" s="575"/>
      <c r="AC46" s="576"/>
      <c r="AD46" s="308"/>
      <c r="AE46" s="575"/>
      <c r="AF46" s="308"/>
      <c r="AG46" s="575"/>
      <c r="AH46" s="308"/>
      <c r="AI46" s="575"/>
      <c r="AJ46" s="308"/>
      <c r="AK46" s="305"/>
      <c r="AL46" s="577"/>
      <c r="AM46" s="306"/>
      <c r="AN46" s="308"/>
      <c r="AO46" s="573"/>
      <c r="AP46" s="305"/>
      <c r="AQ46" s="308"/>
      <c r="AR46" s="573"/>
      <c r="AS46" s="578"/>
      <c r="AT46" s="577"/>
      <c r="AU46" s="579"/>
      <c r="AV46" s="578"/>
      <c r="AW46" s="308"/>
      <c r="AX46" s="307"/>
      <c r="AY46" s="307"/>
      <c r="AZ46" s="307"/>
      <c r="BA46" s="307"/>
      <c r="BB46" s="307"/>
      <c r="BC46" s="305"/>
      <c r="BD46" s="292"/>
      <c r="BE46" s="297"/>
      <c r="BF46" s="297"/>
      <c r="BG46" s="569"/>
      <c r="BH46" s="570"/>
      <c r="BI46" s="570"/>
      <c r="BJ46" s="570"/>
      <c r="BK46" s="570"/>
      <c r="BL46" s="570"/>
      <c r="BM46" s="570"/>
      <c r="BN46" s="570"/>
      <c r="BO46" s="570"/>
      <c r="BP46" s="570"/>
      <c r="BQ46" s="570"/>
      <c r="BR46" s="570"/>
      <c r="BS46" s="570"/>
      <c r="BT46" s="570"/>
      <c r="BU46" s="570"/>
      <c r="BV46" s="570"/>
      <c r="BW46" s="570"/>
      <c r="BX46" s="570"/>
      <c r="BY46" s="570"/>
      <c r="BZ46" s="571"/>
      <c r="CA46" s="571"/>
    </row>
    <row r="47" spans="2:79">
      <c r="B47" s="572">
        <v>32</v>
      </c>
      <c r="C47" s="308"/>
      <c r="D47" s="307"/>
      <c r="E47" s="307"/>
      <c r="F47" s="305"/>
      <c r="G47" s="305"/>
      <c r="H47" s="292"/>
      <c r="I47" s="574"/>
      <c r="J47" s="573"/>
      <c r="K47" s="307"/>
      <c r="L47" s="292"/>
      <c r="M47" s="308"/>
      <c r="N47" s="292"/>
      <c r="O47" s="308"/>
      <c r="P47" s="575"/>
      <c r="Q47" s="576"/>
      <c r="R47" s="308"/>
      <c r="S47" s="575"/>
      <c r="T47" s="576"/>
      <c r="U47" s="308"/>
      <c r="V47" s="575"/>
      <c r="W47" s="576"/>
      <c r="X47" s="308"/>
      <c r="Y47" s="575"/>
      <c r="Z47" s="576"/>
      <c r="AA47" s="308"/>
      <c r="AB47" s="575"/>
      <c r="AC47" s="576"/>
      <c r="AD47" s="308"/>
      <c r="AE47" s="575"/>
      <c r="AF47" s="308"/>
      <c r="AG47" s="575"/>
      <c r="AH47" s="308"/>
      <c r="AI47" s="575"/>
      <c r="AJ47" s="308"/>
      <c r="AK47" s="305"/>
      <c r="AL47" s="577"/>
      <c r="AM47" s="306"/>
      <c r="AN47" s="308"/>
      <c r="AO47" s="573"/>
      <c r="AP47" s="305"/>
      <c r="AQ47" s="308"/>
      <c r="AR47" s="573"/>
      <c r="AS47" s="578"/>
      <c r="AT47" s="577"/>
      <c r="AU47" s="579"/>
      <c r="AV47" s="578"/>
      <c r="AW47" s="308"/>
      <c r="AX47" s="307"/>
      <c r="AY47" s="307"/>
      <c r="AZ47" s="307"/>
      <c r="BA47" s="307"/>
      <c r="BB47" s="307"/>
      <c r="BC47" s="305"/>
      <c r="BD47" s="292"/>
      <c r="BE47" s="297"/>
      <c r="BF47" s="297"/>
      <c r="BG47" s="569"/>
      <c r="BH47" s="570"/>
      <c r="BI47" s="570"/>
      <c r="BJ47" s="570"/>
      <c r="BK47" s="570"/>
      <c r="BL47" s="570"/>
      <c r="BM47" s="570"/>
      <c r="BN47" s="570"/>
      <c r="BO47" s="570"/>
      <c r="BP47" s="570"/>
      <c r="BQ47" s="570"/>
      <c r="BR47" s="570"/>
      <c r="BS47" s="570"/>
      <c r="BT47" s="570"/>
      <c r="BU47" s="570"/>
      <c r="BV47" s="570"/>
      <c r="BW47" s="570"/>
      <c r="BX47" s="570"/>
      <c r="BY47" s="570"/>
      <c r="BZ47" s="571"/>
      <c r="CA47" s="571"/>
    </row>
    <row r="48" spans="2:79">
      <c r="B48" s="566">
        <v>33</v>
      </c>
      <c r="C48" s="308"/>
      <c r="D48" s="307"/>
      <c r="E48" s="307"/>
      <c r="F48" s="305"/>
      <c r="G48" s="305"/>
      <c r="H48" s="292"/>
      <c r="I48" s="574"/>
      <c r="J48" s="573"/>
      <c r="K48" s="307"/>
      <c r="L48" s="292"/>
      <c r="M48" s="308"/>
      <c r="N48" s="292"/>
      <c r="O48" s="308"/>
      <c r="P48" s="575"/>
      <c r="Q48" s="576"/>
      <c r="R48" s="308"/>
      <c r="S48" s="575"/>
      <c r="T48" s="576"/>
      <c r="U48" s="308"/>
      <c r="V48" s="575"/>
      <c r="W48" s="576"/>
      <c r="X48" s="308"/>
      <c r="Y48" s="575"/>
      <c r="Z48" s="576"/>
      <c r="AA48" s="308"/>
      <c r="AB48" s="575"/>
      <c r="AC48" s="576"/>
      <c r="AD48" s="308"/>
      <c r="AE48" s="575"/>
      <c r="AF48" s="308"/>
      <c r="AG48" s="575"/>
      <c r="AH48" s="308"/>
      <c r="AI48" s="575"/>
      <c r="AJ48" s="308"/>
      <c r="AK48" s="305"/>
      <c r="AL48" s="577"/>
      <c r="AM48" s="306"/>
      <c r="AN48" s="308"/>
      <c r="AO48" s="573"/>
      <c r="AP48" s="305"/>
      <c r="AQ48" s="308"/>
      <c r="AR48" s="573"/>
      <c r="AS48" s="578"/>
      <c r="AT48" s="577"/>
      <c r="AU48" s="579"/>
      <c r="AV48" s="578"/>
      <c r="AW48" s="308"/>
      <c r="AX48" s="307"/>
      <c r="AY48" s="307"/>
      <c r="AZ48" s="307"/>
      <c r="BA48" s="307"/>
      <c r="BB48" s="307"/>
      <c r="BC48" s="305"/>
      <c r="BD48" s="292"/>
      <c r="BE48" s="297"/>
      <c r="BF48" s="297"/>
      <c r="BG48" s="569"/>
      <c r="BH48" s="570"/>
      <c r="BI48" s="570"/>
      <c r="BJ48" s="570"/>
      <c r="BK48" s="570"/>
      <c r="BL48" s="570"/>
      <c r="BM48" s="570"/>
      <c r="BN48" s="570"/>
      <c r="BO48" s="570"/>
      <c r="BP48" s="570"/>
      <c r="BQ48" s="570"/>
      <c r="BR48" s="570"/>
      <c r="BS48" s="570"/>
      <c r="BT48" s="570"/>
      <c r="BU48" s="570"/>
      <c r="BV48" s="570"/>
      <c r="BW48" s="570"/>
      <c r="BX48" s="570"/>
      <c r="BY48" s="570"/>
      <c r="BZ48" s="571"/>
      <c r="CA48" s="571"/>
    </row>
    <row r="49" spans="2:79">
      <c r="B49" s="572">
        <v>34</v>
      </c>
      <c r="C49" s="308"/>
      <c r="D49" s="307"/>
      <c r="E49" s="307"/>
      <c r="F49" s="305"/>
      <c r="G49" s="305"/>
      <c r="H49" s="292"/>
      <c r="I49" s="574"/>
      <c r="J49" s="573"/>
      <c r="K49" s="307"/>
      <c r="L49" s="292"/>
      <c r="M49" s="308"/>
      <c r="N49" s="292"/>
      <c r="O49" s="308"/>
      <c r="P49" s="575"/>
      <c r="Q49" s="576"/>
      <c r="R49" s="308"/>
      <c r="S49" s="575"/>
      <c r="T49" s="576"/>
      <c r="U49" s="308"/>
      <c r="V49" s="575"/>
      <c r="W49" s="576"/>
      <c r="X49" s="308"/>
      <c r="Y49" s="575"/>
      <c r="Z49" s="576"/>
      <c r="AA49" s="308"/>
      <c r="AB49" s="575"/>
      <c r="AC49" s="576"/>
      <c r="AD49" s="308"/>
      <c r="AE49" s="575"/>
      <c r="AF49" s="308"/>
      <c r="AG49" s="575"/>
      <c r="AH49" s="308"/>
      <c r="AI49" s="575"/>
      <c r="AJ49" s="308"/>
      <c r="AK49" s="305"/>
      <c r="AL49" s="577"/>
      <c r="AM49" s="306"/>
      <c r="AN49" s="308"/>
      <c r="AO49" s="573"/>
      <c r="AP49" s="305"/>
      <c r="AQ49" s="308"/>
      <c r="AR49" s="573"/>
      <c r="AS49" s="578"/>
      <c r="AT49" s="577"/>
      <c r="AU49" s="579"/>
      <c r="AV49" s="578"/>
      <c r="AW49" s="308"/>
      <c r="AX49" s="307"/>
      <c r="AY49" s="307"/>
      <c r="AZ49" s="307"/>
      <c r="BA49" s="307"/>
      <c r="BB49" s="307"/>
      <c r="BC49" s="305"/>
      <c r="BD49" s="292"/>
      <c r="BE49" s="297"/>
      <c r="BF49" s="297"/>
      <c r="BG49" s="569"/>
      <c r="BH49" s="570"/>
      <c r="BI49" s="570"/>
      <c r="BJ49" s="570"/>
      <c r="BK49" s="570"/>
      <c r="BL49" s="570"/>
      <c r="BM49" s="570"/>
      <c r="BN49" s="570"/>
      <c r="BO49" s="570"/>
      <c r="BP49" s="570"/>
      <c r="BQ49" s="570"/>
      <c r="BR49" s="570"/>
      <c r="BS49" s="570"/>
      <c r="BT49" s="570"/>
      <c r="BU49" s="570"/>
      <c r="BV49" s="570"/>
      <c r="BW49" s="570"/>
      <c r="BX49" s="570"/>
      <c r="BY49" s="570"/>
      <c r="BZ49" s="571"/>
      <c r="CA49" s="571"/>
    </row>
    <row r="50" spans="2:79">
      <c r="B50" s="566">
        <v>35</v>
      </c>
      <c r="C50" s="308"/>
      <c r="D50" s="307"/>
      <c r="E50" s="307"/>
      <c r="F50" s="305"/>
      <c r="G50" s="305"/>
      <c r="H50" s="292"/>
      <c r="I50" s="574"/>
      <c r="J50" s="573"/>
      <c r="K50" s="307"/>
      <c r="L50" s="292"/>
      <c r="M50" s="308"/>
      <c r="N50" s="292"/>
      <c r="O50" s="308"/>
      <c r="P50" s="575"/>
      <c r="Q50" s="576"/>
      <c r="R50" s="308"/>
      <c r="S50" s="575"/>
      <c r="T50" s="576"/>
      <c r="U50" s="308"/>
      <c r="V50" s="575"/>
      <c r="W50" s="576"/>
      <c r="X50" s="308"/>
      <c r="Y50" s="575"/>
      <c r="Z50" s="576"/>
      <c r="AA50" s="308"/>
      <c r="AB50" s="575"/>
      <c r="AC50" s="576"/>
      <c r="AD50" s="308"/>
      <c r="AE50" s="575"/>
      <c r="AF50" s="308"/>
      <c r="AG50" s="575"/>
      <c r="AH50" s="308"/>
      <c r="AI50" s="575"/>
      <c r="AJ50" s="308"/>
      <c r="AK50" s="305"/>
      <c r="AL50" s="577"/>
      <c r="AM50" s="306"/>
      <c r="AN50" s="308"/>
      <c r="AO50" s="573"/>
      <c r="AP50" s="305"/>
      <c r="AQ50" s="308"/>
      <c r="AR50" s="573"/>
      <c r="AS50" s="578"/>
      <c r="AT50" s="577"/>
      <c r="AU50" s="579"/>
      <c r="AV50" s="578"/>
      <c r="AW50" s="308"/>
      <c r="AX50" s="307"/>
      <c r="AY50" s="307"/>
      <c r="AZ50" s="307"/>
      <c r="BA50" s="307"/>
      <c r="BB50" s="307"/>
      <c r="BC50" s="305"/>
      <c r="BD50" s="292"/>
      <c r="BE50" s="297"/>
      <c r="BF50" s="297"/>
      <c r="BG50" s="569"/>
      <c r="BH50" s="570"/>
      <c r="BI50" s="570"/>
      <c r="BJ50" s="570"/>
      <c r="BK50" s="570"/>
      <c r="BL50" s="570"/>
      <c r="BM50" s="570"/>
      <c r="BN50" s="570"/>
      <c r="BO50" s="570"/>
      <c r="BP50" s="570"/>
      <c r="BQ50" s="570"/>
      <c r="BR50" s="570"/>
      <c r="BS50" s="570"/>
      <c r="BT50" s="570"/>
      <c r="BU50" s="570"/>
      <c r="BV50" s="570"/>
      <c r="BW50" s="570"/>
      <c r="BX50" s="570"/>
      <c r="BY50" s="570"/>
      <c r="BZ50" s="571"/>
      <c r="CA50" s="571"/>
    </row>
    <row r="51" spans="2:79">
      <c r="B51" s="572">
        <v>36</v>
      </c>
      <c r="C51" s="308"/>
      <c r="D51" s="307"/>
      <c r="E51" s="307"/>
      <c r="F51" s="305"/>
      <c r="G51" s="305"/>
      <c r="H51" s="292"/>
      <c r="I51" s="574"/>
      <c r="J51" s="573"/>
      <c r="K51" s="307"/>
      <c r="L51" s="292"/>
      <c r="M51" s="308"/>
      <c r="N51" s="292"/>
      <c r="O51" s="308"/>
      <c r="P51" s="575"/>
      <c r="Q51" s="576"/>
      <c r="R51" s="308"/>
      <c r="S51" s="575"/>
      <c r="T51" s="576"/>
      <c r="U51" s="308"/>
      <c r="V51" s="575"/>
      <c r="W51" s="576"/>
      <c r="X51" s="308"/>
      <c r="Y51" s="575"/>
      <c r="Z51" s="576"/>
      <c r="AA51" s="308"/>
      <c r="AB51" s="575"/>
      <c r="AC51" s="576"/>
      <c r="AD51" s="308"/>
      <c r="AE51" s="575"/>
      <c r="AF51" s="308"/>
      <c r="AG51" s="575"/>
      <c r="AH51" s="308"/>
      <c r="AI51" s="575"/>
      <c r="AJ51" s="308"/>
      <c r="AK51" s="305"/>
      <c r="AL51" s="577"/>
      <c r="AM51" s="306"/>
      <c r="AN51" s="308"/>
      <c r="AO51" s="573"/>
      <c r="AP51" s="305"/>
      <c r="AQ51" s="308"/>
      <c r="AR51" s="573"/>
      <c r="AS51" s="578"/>
      <c r="AT51" s="577"/>
      <c r="AU51" s="579"/>
      <c r="AV51" s="578"/>
      <c r="AW51" s="308"/>
      <c r="AX51" s="307"/>
      <c r="AY51" s="307"/>
      <c r="AZ51" s="307"/>
      <c r="BA51" s="307"/>
      <c r="BB51" s="307"/>
      <c r="BC51" s="305"/>
      <c r="BD51" s="292"/>
      <c r="BE51" s="297"/>
      <c r="BF51" s="297"/>
      <c r="BG51" s="569"/>
      <c r="BH51" s="570"/>
      <c r="BI51" s="570"/>
      <c r="BJ51" s="570"/>
      <c r="BK51" s="570"/>
      <c r="BL51" s="570"/>
      <c r="BM51" s="570"/>
      <c r="BN51" s="570"/>
      <c r="BO51" s="570"/>
      <c r="BP51" s="570"/>
      <c r="BQ51" s="570"/>
      <c r="BR51" s="570"/>
      <c r="BS51" s="570"/>
      <c r="BT51" s="570"/>
      <c r="BU51" s="570"/>
      <c r="BV51" s="570"/>
      <c r="BW51" s="570"/>
      <c r="BX51" s="570"/>
      <c r="BY51" s="570"/>
      <c r="BZ51" s="571"/>
      <c r="CA51" s="571"/>
    </row>
    <row r="52" spans="2:79">
      <c r="B52" s="566">
        <v>37</v>
      </c>
      <c r="C52" s="308"/>
      <c r="D52" s="307"/>
      <c r="E52" s="307"/>
      <c r="F52" s="305"/>
      <c r="G52" s="305"/>
      <c r="H52" s="292"/>
      <c r="I52" s="574"/>
      <c r="J52" s="573"/>
      <c r="K52" s="307"/>
      <c r="L52" s="292"/>
      <c r="M52" s="308"/>
      <c r="N52" s="292"/>
      <c r="O52" s="308"/>
      <c r="P52" s="575"/>
      <c r="Q52" s="576"/>
      <c r="R52" s="308"/>
      <c r="S52" s="575"/>
      <c r="T52" s="576"/>
      <c r="U52" s="308"/>
      <c r="V52" s="575"/>
      <c r="W52" s="576"/>
      <c r="X52" s="308"/>
      <c r="Y52" s="575"/>
      <c r="Z52" s="576"/>
      <c r="AA52" s="308"/>
      <c r="AB52" s="575"/>
      <c r="AC52" s="576"/>
      <c r="AD52" s="308"/>
      <c r="AE52" s="575"/>
      <c r="AF52" s="308"/>
      <c r="AG52" s="575"/>
      <c r="AH52" s="308"/>
      <c r="AI52" s="575"/>
      <c r="AJ52" s="308"/>
      <c r="AK52" s="305"/>
      <c r="AL52" s="577"/>
      <c r="AM52" s="306"/>
      <c r="AN52" s="308"/>
      <c r="AO52" s="573"/>
      <c r="AP52" s="305"/>
      <c r="AQ52" s="308"/>
      <c r="AR52" s="573"/>
      <c r="AS52" s="578"/>
      <c r="AT52" s="577"/>
      <c r="AU52" s="579"/>
      <c r="AV52" s="578"/>
      <c r="AW52" s="308"/>
      <c r="AX52" s="307"/>
      <c r="AY52" s="307"/>
      <c r="AZ52" s="307"/>
      <c r="BA52" s="307"/>
      <c r="BB52" s="307"/>
      <c r="BC52" s="305"/>
      <c r="BD52" s="292"/>
      <c r="BE52" s="297"/>
      <c r="BF52" s="297"/>
      <c r="BG52" s="569"/>
      <c r="BH52" s="570"/>
      <c r="BI52" s="570"/>
      <c r="BJ52" s="570"/>
      <c r="BK52" s="570"/>
      <c r="BL52" s="570"/>
      <c r="BM52" s="570"/>
      <c r="BN52" s="570"/>
      <c r="BO52" s="570"/>
      <c r="BP52" s="570"/>
      <c r="BQ52" s="570"/>
      <c r="BR52" s="570"/>
      <c r="BS52" s="570"/>
      <c r="BT52" s="570"/>
      <c r="BU52" s="570"/>
      <c r="BV52" s="570"/>
      <c r="BW52" s="570"/>
      <c r="BX52" s="570"/>
      <c r="BY52" s="570"/>
      <c r="BZ52" s="571"/>
      <c r="CA52" s="571"/>
    </row>
    <row r="53" spans="2:79">
      <c r="B53" s="572">
        <v>38</v>
      </c>
      <c r="C53" s="308"/>
      <c r="D53" s="307"/>
      <c r="E53" s="307"/>
      <c r="F53" s="305"/>
      <c r="G53" s="305"/>
      <c r="H53" s="292"/>
      <c r="I53" s="574"/>
      <c r="J53" s="573"/>
      <c r="K53" s="307"/>
      <c r="L53" s="292"/>
      <c r="M53" s="308"/>
      <c r="N53" s="292"/>
      <c r="O53" s="308"/>
      <c r="P53" s="575"/>
      <c r="Q53" s="576"/>
      <c r="R53" s="308"/>
      <c r="S53" s="575"/>
      <c r="T53" s="576"/>
      <c r="U53" s="308"/>
      <c r="V53" s="575"/>
      <c r="W53" s="576"/>
      <c r="X53" s="308"/>
      <c r="Y53" s="575"/>
      <c r="Z53" s="576"/>
      <c r="AA53" s="308"/>
      <c r="AB53" s="575"/>
      <c r="AC53" s="576"/>
      <c r="AD53" s="308"/>
      <c r="AE53" s="575"/>
      <c r="AF53" s="308"/>
      <c r="AG53" s="575"/>
      <c r="AH53" s="308"/>
      <c r="AI53" s="575"/>
      <c r="AJ53" s="308"/>
      <c r="AK53" s="305"/>
      <c r="AL53" s="577"/>
      <c r="AM53" s="306"/>
      <c r="AN53" s="308"/>
      <c r="AO53" s="573"/>
      <c r="AP53" s="305"/>
      <c r="AQ53" s="308"/>
      <c r="AR53" s="573"/>
      <c r="AS53" s="578"/>
      <c r="AT53" s="577"/>
      <c r="AU53" s="579"/>
      <c r="AV53" s="578"/>
      <c r="AW53" s="308"/>
      <c r="AX53" s="307"/>
      <c r="AY53" s="307"/>
      <c r="AZ53" s="307"/>
      <c r="BA53" s="307"/>
      <c r="BB53" s="307"/>
      <c r="BC53" s="305"/>
      <c r="BD53" s="292"/>
      <c r="BE53" s="297"/>
      <c r="BF53" s="297"/>
      <c r="BG53" s="569"/>
      <c r="BH53" s="570"/>
      <c r="BI53" s="570"/>
      <c r="BJ53" s="570"/>
      <c r="BK53" s="570"/>
      <c r="BL53" s="570"/>
      <c r="BM53" s="570"/>
      <c r="BN53" s="570"/>
      <c r="BO53" s="570"/>
      <c r="BP53" s="570"/>
      <c r="BQ53" s="570"/>
      <c r="BR53" s="570"/>
      <c r="BS53" s="570"/>
      <c r="BT53" s="570"/>
      <c r="BU53" s="570"/>
      <c r="BV53" s="570"/>
      <c r="BW53" s="570"/>
      <c r="BX53" s="570"/>
      <c r="BY53" s="570"/>
      <c r="BZ53" s="571"/>
      <c r="CA53" s="571"/>
    </row>
    <row r="54" spans="2:79">
      <c r="B54" s="566">
        <v>39</v>
      </c>
      <c r="C54" s="308"/>
      <c r="D54" s="307"/>
      <c r="E54" s="307"/>
      <c r="F54" s="305"/>
      <c r="G54" s="305"/>
      <c r="H54" s="292"/>
      <c r="I54" s="574"/>
      <c r="J54" s="573"/>
      <c r="K54" s="307"/>
      <c r="L54" s="292"/>
      <c r="M54" s="308"/>
      <c r="N54" s="292"/>
      <c r="O54" s="308"/>
      <c r="P54" s="575"/>
      <c r="Q54" s="576"/>
      <c r="R54" s="308"/>
      <c r="S54" s="575"/>
      <c r="T54" s="576"/>
      <c r="U54" s="308"/>
      <c r="V54" s="575"/>
      <c r="W54" s="576"/>
      <c r="X54" s="308"/>
      <c r="Y54" s="575"/>
      <c r="Z54" s="576"/>
      <c r="AA54" s="308"/>
      <c r="AB54" s="575"/>
      <c r="AC54" s="576"/>
      <c r="AD54" s="308"/>
      <c r="AE54" s="575"/>
      <c r="AF54" s="308"/>
      <c r="AG54" s="575"/>
      <c r="AH54" s="308"/>
      <c r="AI54" s="575"/>
      <c r="AJ54" s="308"/>
      <c r="AK54" s="305"/>
      <c r="AL54" s="577"/>
      <c r="AM54" s="306"/>
      <c r="AN54" s="308"/>
      <c r="AO54" s="573"/>
      <c r="AP54" s="305"/>
      <c r="AQ54" s="308"/>
      <c r="AR54" s="573"/>
      <c r="AS54" s="578"/>
      <c r="AT54" s="577"/>
      <c r="AU54" s="579"/>
      <c r="AV54" s="578"/>
      <c r="AW54" s="308"/>
      <c r="AX54" s="307"/>
      <c r="AY54" s="307"/>
      <c r="AZ54" s="307"/>
      <c r="BA54" s="307"/>
      <c r="BB54" s="307"/>
      <c r="BC54" s="305"/>
      <c r="BD54" s="292"/>
      <c r="BE54" s="297"/>
      <c r="BF54" s="297"/>
      <c r="BG54" s="569"/>
      <c r="BH54" s="570"/>
      <c r="BI54" s="570"/>
      <c r="BJ54" s="570"/>
      <c r="BK54" s="570"/>
      <c r="BL54" s="570"/>
      <c r="BM54" s="570"/>
      <c r="BN54" s="570"/>
      <c r="BO54" s="570"/>
      <c r="BP54" s="570"/>
      <c r="BQ54" s="570"/>
      <c r="BR54" s="570"/>
      <c r="BS54" s="570"/>
      <c r="BT54" s="570"/>
      <c r="BU54" s="570"/>
      <c r="BV54" s="570"/>
      <c r="BW54" s="570"/>
      <c r="BX54" s="570"/>
      <c r="BY54" s="570"/>
      <c r="BZ54" s="571"/>
      <c r="CA54" s="571"/>
    </row>
    <row r="55" spans="2:79">
      <c r="B55" s="572">
        <v>40</v>
      </c>
      <c r="C55" s="308"/>
      <c r="D55" s="307"/>
      <c r="E55" s="307"/>
      <c r="F55" s="305"/>
      <c r="G55" s="305"/>
      <c r="H55" s="292"/>
      <c r="I55" s="574"/>
      <c r="J55" s="573"/>
      <c r="K55" s="307"/>
      <c r="L55" s="292"/>
      <c r="M55" s="308"/>
      <c r="N55" s="292"/>
      <c r="O55" s="308"/>
      <c r="P55" s="575"/>
      <c r="Q55" s="576"/>
      <c r="R55" s="308"/>
      <c r="S55" s="575"/>
      <c r="T55" s="576"/>
      <c r="U55" s="308"/>
      <c r="V55" s="575"/>
      <c r="W55" s="576"/>
      <c r="X55" s="308"/>
      <c r="Y55" s="575"/>
      <c r="Z55" s="576"/>
      <c r="AA55" s="308"/>
      <c r="AB55" s="575"/>
      <c r="AC55" s="576"/>
      <c r="AD55" s="308"/>
      <c r="AE55" s="575"/>
      <c r="AF55" s="308"/>
      <c r="AG55" s="575"/>
      <c r="AH55" s="308"/>
      <c r="AI55" s="575"/>
      <c r="AJ55" s="308"/>
      <c r="AK55" s="305"/>
      <c r="AL55" s="577"/>
      <c r="AM55" s="306"/>
      <c r="AN55" s="308"/>
      <c r="AO55" s="573"/>
      <c r="AP55" s="305"/>
      <c r="AQ55" s="308"/>
      <c r="AR55" s="573"/>
      <c r="AS55" s="578"/>
      <c r="AT55" s="577"/>
      <c r="AU55" s="579"/>
      <c r="AV55" s="578"/>
      <c r="AW55" s="308"/>
      <c r="AX55" s="307"/>
      <c r="AY55" s="307"/>
      <c r="AZ55" s="307"/>
      <c r="BA55" s="307"/>
      <c r="BB55" s="307"/>
      <c r="BC55" s="305"/>
      <c r="BD55" s="292"/>
      <c r="BE55" s="297"/>
      <c r="BF55" s="297"/>
      <c r="BG55" s="569"/>
      <c r="BH55" s="570"/>
      <c r="BI55" s="570"/>
      <c r="BJ55" s="570"/>
      <c r="BK55" s="570"/>
      <c r="BL55" s="570"/>
      <c r="BM55" s="570"/>
      <c r="BN55" s="570"/>
      <c r="BO55" s="570"/>
      <c r="BP55" s="570"/>
      <c r="BQ55" s="570"/>
      <c r="BR55" s="570"/>
      <c r="BS55" s="570"/>
      <c r="BT55" s="570"/>
      <c r="BU55" s="570"/>
      <c r="BV55" s="570"/>
      <c r="BW55" s="570"/>
      <c r="BX55" s="570"/>
      <c r="BY55" s="570"/>
      <c r="BZ55" s="571"/>
      <c r="CA55" s="571"/>
    </row>
    <row r="56" spans="2:79">
      <c r="B56" s="566">
        <v>41</v>
      </c>
      <c r="C56" s="308"/>
      <c r="D56" s="307"/>
      <c r="E56" s="307"/>
      <c r="F56" s="305"/>
      <c r="G56" s="305"/>
      <c r="H56" s="292"/>
      <c r="I56" s="574"/>
      <c r="J56" s="573"/>
      <c r="K56" s="307"/>
      <c r="L56" s="292"/>
      <c r="M56" s="308"/>
      <c r="N56" s="292"/>
      <c r="O56" s="308"/>
      <c r="P56" s="575"/>
      <c r="Q56" s="576"/>
      <c r="R56" s="308"/>
      <c r="S56" s="575"/>
      <c r="T56" s="576"/>
      <c r="U56" s="308"/>
      <c r="V56" s="575"/>
      <c r="W56" s="576"/>
      <c r="X56" s="308"/>
      <c r="Y56" s="575"/>
      <c r="Z56" s="576"/>
      <c r="AA56" s="308"/>
      <c r="AB56" s="575"/>
      <c r="AC56" s="576"/>
      <c r="AD56" s="308"/>
      <c r="AE56" s="575"/>
      <c r="AF56" s="308"/>
      <c r="AG56" s="575"/>
      <c r="AH56" s="308"/>
      <c r="AI56" s="575"/>
      <c r="AJ56" s="308"/>
      <c r="AK56" s="305"/>
      <c r="AL56" s="577"/>
      <c r="AM56" s="306"/>
      <c r="AN56" s="308"/>
      <c r="AO56" s="573"/>
      <c r="AP56" s="305"/>
      <c r="AQ56" s="308"/>
      <c r="AR56" s="573"/>
      <c r="AS56" s="578"/>
      <c r="AT56" s="577"/>
      <c r="AU56" s="579"/>
      <c r="AV56" s="578"/>
      <c r="AW56" s="308"/>
      <c r="AX56" s="307"/>
      <c r="AY56" s="307"/>
      <c r="AZ56" s="307"/>
      <c r="BA56" s="307"/>
      <c r="BB56" s="307"/>
      <c r="BC56" s="305"/>
      <c r="BD56" s="292"/>
      <c r="BE56" s="297"/>
      <c r="BF56" s="297"/>
      <c r="BG56" s="569"/>
      <c r="BH56" s="570"/>
      <c r="BI56" s="570"/>
      <c r="BJ56" s="570"/>
      <c r="BK56" s="570"/>
      <c r="BL56" s="570"/>
      <c r="BM56" s="570"/>
      <c r="BN56" s="570"/>
      <c r="BO56" s="570"/>
      <c r="BP56" s="570"/>
      <c r="BQ56" s="570"/>
      <c r="BR56" s="570"/>
      <c r="BS56" s="570"/>
      <c r="BT56" s="570"/>
      <c r="BU56" s="570"/>
      <c r="BV56" s="570"/>
      <c r="BW56" s="570"/>
      <c r="BX56" s="570"/>
      <c r="BY56" s="570"/>
      <c r="BZ56" s="571"/>
      <c r="CA56" s="571"/>
    </row>
    <row r="57" spans="2:79">
      <c r="B57" s="572">
        <v>42</v>
      </c>
      <c r="C57" s="308"/>
      <c r="D57" s="307"/>
      <c r="E57" s="307"/>
      <c r="F57" s="305"/>
      <c r="G57" s="305"/>
      <c r="H57" s="292"/>
      <c r="I57" s="574"/>
      <c r="J57" s="573"/>
      <c r="K57" s="307"/>
      <c r="L57" s="292"/>
      <c r="M57" s="308"/>
      <c r="N57" s="292"/>
      <c r="O57" s="308"/>
      <c r="P57" s="575"/>
      <c r="Q57" s="576"/>
      <c r="R57" s="308"/>
      <c r="S57" s="575"/>
      <c r="T57" s="576"/>
      <c r="U57" s="308"/>
      <c r="V57" s="575"/>
      <c r="W57" s="576"/>
      <c r="X57" s="308"/>
      <c r="Y57" s="575"/>
      <c r="Z57" s="576"/>
      <c r="AA57" s="308"/>
      <c r="AB57" s="575"/>
      <c r="AC57" s="576"/>
      <c r="AD57" s="308"/>
      <c r="AE57" s="575"/>
      <c r="AF57" s="308"/>
      <c r="AG57" s="575"/>
      <c r="AH57" s="308"/>
      <c r="AI57" s="575"/>
      <c r="AJ57" s="308"/>
      <c r="AK57" s="305"/>
      <c r="AL57" s="577"/>
      <c r="AM57" s="306"/>
      <c r="AN57" s="308"/>
      <c r="AO57" s="573"/>
      <c r="AP57" s="305"/>
      <c r="AQ57" s="308"/>
      <c r="AR57" s="573"/>
      <c r="AS57" s="578"/>
      <c r="AT57" s="577"/>
      <c r="AU57" s="579"/>
      <c r="AV57" s="578"/>
      <c r="AW57" s="308"/>
      <c r="AX57" s="307"/>
      <c r="AY57" s="307"/>
      <c r="AZ57" s="307"/>
      <c r="BA57" s="307"/>
      <c r="BB57" s="307"/>
      <c r="BC57" s="305"/>
      <c r="BD57" s="292"/>
      <c r="BE57" s="297"/>
      <c r="BF57" s="297"/>
      <c r="BG57" s="569"/>
      <c r="BH57" s="570"/>
      <c r="BI57" s="570"/>
      <c r="BJ57" s="570"/>
      <c r="BK57" s="570"/>
      <c r="BL57" s="570"/>
      <c r="BM57" s="570"/>
      <c r="BN57" s="570"/>
      <c r="BO57" s="570"/>
      <c r="BP57" s="570"/>
      <c r="BQ57" s="570"/>
      <c r="BR57" s="570"/>
      <c r="BS57" s="570"/>
      <c r="BT57" s="570"/>
      <c r="BU57" s="570"/>
      <c r="BV57" s="570"/>
      <c r="BW57" s="570"/>
      <c r="BX57" s="570"/>
      <c r="BY57" s="570"/>
      <c r="BZ57" s="571"/>
      <c r="CA57" s="571"/>
    </row>
    <row r="58" spans="2:79">
      <c r="B58" s="566">
        <v>43</v>
      </c>
      <c r="C58" s="308"/>
      <c r="D58" s="307"/>
      <c r="E58" s="307"/>
      <c r="F58" s="305"/>
      <c r="G58" s="305"/>
      <c r="H58" s="292"/>
      <c r="I58" s="574"/>
      <c r="J58" s="573"/>
      <c r="K58" s="307"/>
      <c r="L58" s="292"/>
      <c r="M58" s="308"/>
      <c r="N58" s="292"/>
      <c r="O58" s="308"/>
      <c r="P58" s="575"/>
      <c r="Q58" s="576"/>
      <c r="R58" s="308"/>
      <c r="S58" s="575"/>
      <c r="T58" s="576"/>
      <c r="U58" s="308"/>
      <c r="V58" s="575"/>
      <c r="W58" s="576"/>
      <c r="X58" s="308"/>
      <c r="Y58" s="575"/>
      <c r="Z58" s="576"/>
      <c r="AA58" s="308"/>
      <c r="AB58" s="575"/>
      <c r="AC58" s="576"/>
      <c r="AD58" s="308"/>
      <c r="AE58" s="575"/>
      <c r="AF58" s="308"/>
      <c r="AG58" s="575"/>
      <c r="AH58" s="308"/>
      <c r="AI58" s="575"/>
      <c r="AJ58" s="308"/>
      <c r="AK58" s="305"/>
      <c r="AL58" s="577"/>
      <c r="AM58" s="306"/>
      <c r="AN58" s="308"/>
      <c r="AO58" s="573"/>
      <c r="AP58" s="305"/>
      <c r="AQ58" s="308"/>
      <c r="AR58" s="573"/>
      <c r="AS58" s="578"/>
      <c r="AT58" s="577"/>
      <c r="AU58" s="579"/>
      <c r="AV58" s="578"/>
      <c r="AW58" s="308"/>
      <c r="AX58" s="307"/>
      <c r="AY58" s="307"/>
      <c r="AZ58" s="307"/>
      <c r="BA58" s="307"/>
      <c r="BB58" s="307"/>
      <c r="BC58" s="305"/>
      <c r="BD58" s="292"/>
      <c r="BE58" s="297"/>
      <c r="BF58" s="297"/>
      <c r="BG58" s="569"/>
      <c r="BH58" s="570"/>
      <c r="BI58" s="570"/>
      <c r="BJ58" s="570"/>
      <c r="BK58" s="570"/>
      <c r="BL58" s="570"/>
      <c r="BM58" s="570"/>
      <c r="BN58" s="570"/>
      <c r="BO58" s="570"/>
      <c r="BP58" s="570"/>
      <c r="BQ58" s="570"/>
      <c r="BR58" s="570"/>
      <c r="BS58" s="570"/>
      <c r="BT58" s="570"/>
      <c r="BU58" s="570"/>
      <c r="BV58" s="570"/>
      <c r="BW58" s="570"/>
      <c r="BX58" s="570"/>
      <c r="BY58" s="570"/>
      <c r="BZ58" s="571"/>
      <c r="CA58" s="571"/>
    </row>
    <row r="59" spans="2:79">
      <c r="B59" s="572">
        <v>44</v>
      </c>
      <c r="C59" s="308"/>
      <c r="D59" s="307"/>
      <c r="E59" s="307"/>
      <c r="F59" s="305"/>
      <c r="G59" s="305"/>
      <c r="H59" s="292"/>
      <c r="I59" s="574"/>
      <c r="J59" s="573"/>
      <c r="K59" s="307"/>
      <c r="L59" s="292"/>
      <c r="M59" s="308"/>
      <c r="N59" s="292"/>
      <c r="O59" s="308"/>
      <c r="P59" s="575"/>
      <c r="Q59" s="576"/>
      <c r="R59" s="308"/>
      <c r="S59" s="575"/>
      <c r="T59" s="576"/>
      <c r="U59" s="308"/>
      <c r="V59" s="575"/>
      <c r="W59" s="576"/>
      <c r="X59" s="308"/>
      <c r="Y59" s="575"/>
      <c r="Z59" s="576"/>
      <c r="AA59" s="308"/>
      <c r="AB59" s="575"/>
      <c r="AC59" s="576"/>
      <c r="AD59" s="308"/>
      <c r="AE59" s="575"/>
      <c r="AF59" s="308"/>
      <c r="AG59" s="575"/>
      <c r="AH59" s="308"/>
      <c r="AI59" s="575"/>
      <c r="AJ59" s="308"/>
      <c r="AK59" s="305"/>
      <c r="AL59" s="577"/>
      <c r="AM59" s="306"/>
      <c r="AN59" s="308"/>
      <c r="AO59" s="573"/>
      <c r="AP59" s="305"/>
      <c r="AQ59" s="308"/>
      <c r="AR59" s="573"/>
      <c r="AS59" s="578"/>
      <c r="AT59" s="577"/>
      <c r="AU59" s="579"/>
      <c r="AV59" s="578"/>
      <c r="AW59" s="308"/>
      <c r="AX59" s="307"/>
      <c r="AY59" s="307"/>
      <c r="AZ59" s="307"/>
      <c r="BA59" s="307"/>
      <c r="BB59" s="307"/>
      <c r="BC59" s="305"/>
      <c r="BD59" s="292"/>
      <c r="BE59" s="297"/>
      <c r="BF59" s="297"/>
      <c r="BG59" s="569"/>
      <c r="BH59" s="570"/>
      <c r="BI59" s="570"/>
      <c r="BJ59" s="570"/>
      <c r="BK59" s="570"/>
      <c r="BL59" s="570"/>
      <c r="BM59" s="570"/>
      <c r="BN59" s="570"/>
      <c r="BO59" s="570"/>
      <c r="BP59" s="570"/>
      <c r="BQ59" s="570"/>
      <c r="BR59" s="570"/>
      <c r="BS59" s="570"/>
      <c r="BT59" s="570"/>
      <c r="BU59" s="570"/>
      <c r="BV59" s="570"/>
      <c r="BW59" s="570"/>
      <c r="BX59" s="570"/>
      <c r="BY59" s="570"/>
      <c r="BZ59" s="571"/>
      <c r="CA59" s="571"/>
    </row>
    <row r="60" spans="2:79">
      <c r="B60" s="566">
        <v>45</v>
      </c>
      <c r="C60" s="308"/>
      <c r="D60" s="307"/>
      <c r="E60" s="307"/>
      <c r="F60" s="305"/>
      <c r="G60" s="305"/>
      <c r="H60" s="292"/>
      <c r="I60" s="574"/>
      <c r="J60" s="573"/>
      <c r="K60" s="307"/>
      <c r="L60" s="292"/>
      <c r="M60" s="308"/>
      <c r="N60" s="292"/>
      <c r="O60" s="308"/>
      <c r="P60" s="575"/>
      <c r="Q60" s="576"/>
      <c r="R60" s="308"/>
      <c r="S60" s="575"/>
      <c r="T60" s="576"/>
      <c r="U60" s="308"/>
      <c r="V60" s="575"/>
      <c r="W60" s="576"/>
      <c r="X60" s="308"/>
      <c r="Y60" s="575"/>
      <c r="Z60" s="576"/>
      <c r="AA60" s="308"/>
      <c r="AB60" s="575"/>
      <c r="AC60" s="576"/>
      <c r="AD60" s="308"/>
      <c r="AE60" s="575"/>
      <c r="AF60" s="308"/>
      <c r="AG60" s="575"/>
      <c r="AH60" s="308"/>
      <c r="AI60" s="575"/>
      <c r="AJ60" s="308"/>
      <c r="AK60" s="305"/>
      <c r="AL60" s="577"/>
      <c r="AM60" s="306"/>
      <c r="AN60" s="308"/>
      <c r="AO60" s="573"/>
      <c r="AP60" s="305"/>
      <c r="AQ60" s="308"/>
      <c r="AR60" s="573"/>
      <c r="AS60" s="578"/>
      <c r="AT60" s="577"/>
      <c r="AU60" s="579"/>
      <c r="AV60" s="578"/>
      <c r="AW60" s="308"/>
      <c r="AX60" s="307"/>
      <c r="AY60" s="307"/>
      <c r="AZ60" s="307"/>
      <c r="BA60" s="307"/>
      <c r="BB60" s="307"/>
      <c r="BC60" s="305"/>
      <c r="BD60" s="292"/>
      <c r="BE60" s="297"/>
      <c r="BF60" s="297"/>
      <c r="BG60" s="569"/>
      <c r="BH60" s="570"/>
      <c r="BI60" s="570"/>
      <c r="BJ60" s="570"/>
      <c r="BK60" s="570"/>
      <c r="BL60" s="570"/>
      <c r="BM60" s="570"/>
      <c r="BN60" s="570"/>
      <c r="BO60" s="570"/>
      <c r="BP60" s="570"/>
      <c r="BQ60" s="570"/>
      <c r="BR60" s="570"/>
      <c r="BS60" s="570"/>
      <c r="BT60" s="570"/>
      <c r="BU60" s="570"/>
      <c r="BV60" s="570"/>
      <c r="BW60" s="570"/>
      <c r="BX60" s="570"/>
      <c r="BY60" s="570"/>
      <c r="BZ60" s="571"/>
      <c r="CA60" s="571"/>
    </row>
    <row r="61" spans="2:79">
      <c r="B61" s="572">
        <v>46</v>
      </c>
      <c r="C61" s="308"/>
      <c r="D61" s="307"/>
      <c r="E61" s="307"/>
      <c r="F61" s="305"/>
      <c r="G61" s="305"/>
      <c r="H61" s="292"/>
      <c r="I61" s="574"/>
      <c r="J61" s="573"/>
      <c r="K61" s="307"/>
      <c r="L61" s="292"/>
      <c r="M61" s="308"/>
      <c r="N61" s="292"/>
      <c r="O61" s="308"/>
      <c r="P61" s="575"/>
      <c r="Q61" s="576"/>
      <c r="R61" s="308"/>
      <c r="S61" s="575"/>
      <c r="T61" s="576"/>
      <c r="U61" s="308"/>
      <c r="V61" s="575"/>
      <c r="W61" s="576"/>
      <c r="X61" s="308"/>
      <c r="Y61" s="575"/>
      <c r="Z61" s="576"/>
      <c r="AA61" s="308"/>
      <c r="AB61" s="575"/>
      <c r="AC61" s="576"/>
      <c r="AD61" s="308"/>
      <c r="AE61" s="575"/>
      <c r="AF61" s="308"/>
      <c r="AG61" s="575"/>
      <c r="AH61" s="308"/>
      <c r="AI61" s="575"/>
      <c r="AJ61" s="308"/>
      <c r="AK61" s="305"/>
      <c r="AL61" s="577"/>
      <c r="AM61" s="306"/>
      <c r="AN61" s="308"/>
      <c r="AO61" s="573"/>
      <c r="AP61" s="305"/>
      <c r="AQ61" s="308"/>
      <c r="AR61" s="573"/>
      <c r="AS61" s="578"/>
      <c r="AT61" s="577"/>
      <c r="AU61" s="579"/>
      <c r="AV61" s="578"/>
      <c r="AW61" s="308"/>
      <c r="AX61" s="307"/>
      <c r="AY61" s="307"/>
      <c r="AZ61" s="307"/>
      <c r="BA61" s="307"/>
      <c r="BB61" s="307"/>
      <c r="BC61" s="305"/>
      <c r="BD61" s="292"/>
      <c r="BE61" s="297"/>
      <c r="BF61" s="297"/>
      <c r="BG61" s="569"/>
      <c r="BH61" s="570"/>
      <c r="BI61" s="570"/>
      <c r="BJ61" s="570"/>
      <c r="BK61" s="570"/>
      <c r="BL61" s="570"/>
      <c r="BM61" s="570"/>
      <c r="BN61" s="570"/>
      <c r="BO61" s="570"/>
      <c r="BP61" s="570"/>
      <c r="BQ61" s="570"/>
      <c r="BR61" s="570"/>
      <c r="BS61" s="570"/>
      <c r="BT61" s="570"/>
      <c r="BU61" s="570"/>
      <c r="BV61" s="570"/>
      <c r="BW61" s="570"/>
      <c r="BX61" s="570"/>
      <c r="BY61" s="570"/>
      <c r="BZ61" s="571"/>
      <c r="CA61" s="571"/>
    </row>
    <row r="62" spans="2:79">
      <c r="B62" s="566">
        <v>47</v>
      </c>
      <c r="C62" s="308"/>
      <c r="D62" s="307"/>
      <c r="E62" s="307"/>
      <c r="F62" s="305"/>
      <c r="G62" s="305"/>
      <c r="H62" s="292"/>
      <c r="I62" s="574"/>
      <c r="J62" s="573"/>
      <c r="K62" s="307"/>
      <c r="L62" s="292"/>
      <c r="M62" s="308"/>
      <c r="N62" s="292"/>
      <c r="O62" s="308"/>
      <c r="P62" s="575"/>
      <c r="Q62" s="576"/>
      <c r="R62" s="308"/>
      <c r="S62" s="575"/>
      <c r="T62" s="576"/>
      <c r="U62" s="308"/>
      <c r="V62" s="575"/>
      <c r="W62" s="576"/>
      <c r="X62" s="308"/>
      <c r="Y62" s="575"/>
      <c r="Z62" s="576"/>
      <c r="AA62" s="308"/>
      <c r="AB62" s="575"/>
      <c r="AC62" s="576"/>
      <c r="AD62" s="308"/>
      <c r="AE62" s="575"/>
      <c r="AF62" s="308"/>
      <c r="AG62" s="575"/>
      <c r="AH62" s="308"/>
      <c r="AI62" s="575"/>
      <c r="AJ62" s="308"/>
      <c r="AK62" s="305"/>
      <c r="AL62" s="577"/>
      <c r="AM62" s="306"/>
      <c r="AN62" s="308"/>
      <c r="AO62" s="573"/>
      <c r="AP62" s="305"/>
      <c r="AQ62" s="308"/>
      <c r="AR62" s="573"/>
      <c r="AS62" s="578"/>
      <c r="AT62" s="577"/>
      <c r="AU62" s="579"/>
      <c r="AV62" s="578"/>
      <c r="AW62" s="308"/>
      <c r="AX62" s="307"/>
      <c r="AY62" s="307"/>
      <c r="AZ62" s="307"/>
      <c r="BA62" s="307"/>
      <c r="BB62" s="307"/>
      <c r="BC62" s="305"/>
      <c r="BD62" s="292"/>
      <c r="BE62" s="297"/>
      <c r="BF62" s="297"/>
      <c r="BG62" s="569"/>
      <c r="BH62" s="570"/>
      <c r="BI62" s="570"/>
      <c r="BJ62" s="570"/>
      <c r="BK62" s="570"/>
      <c r="BL62" s="570"/>
      <c r="BM62" s="570"/>
      <c r="BN62" s="570"/>
      <c r="BO62" s="570"/>
      <c r="BP62" s="570"/>
      <c r="BQ62" s="570"/>
      <c r="BR62" s="570"/>
      <c r="BS62" s="570"/>
      <c r="BT62" s="570"/>
      <c r="BU62" s="570"/>
      <c r="BV62" s="570"/>
      <c r="BW62" s="570"/>
      <c r="BX62" s="570"/>
      <c r="BY62" s="570"/>
      <c r="BZ62" s="571"/>
      <c r="CA62" s="571"/>
    </row>
    <row r="63" spans="2:79">
      <c r="B63" s="572">
        <v>48</v>
      </c>
      <c r="C63" s="308"/>
      <c r="D63" s="307"/>
      <c r="E63" s="307"/>
      <c r="F63" s="305"/>
      <c r="G63" s="305"/>
      <c r="H63" s="292"/>
      <c r="I63" s="574"/>
      <c r="J63" s="573"/>
      <c r="K63" s="307"/>
      <c r="L63" s="292"/>
      <c r="M63" s="308"/>
      <c r="N63" s="292"/>
      <c r="O63" s="308"/>
      <c r="P63" s="575"/>
      <c r="Q63" s="576"/>
      <c r="R63" s="308"/>
      <c r="S63" s="575"/>
      <c r="T63" s="576"/>
      <c r="U63" s="308"/>
      <c r="V63" s="575"/>
      <c r="W63" s="576"/>
      <c r="X63" s="308"/>
      <c r="Y63" s="575"/>
      <c r="Z63" s="576"/>
      <c r="AA63" s="308"/>
      <c r="AB63" s="575"/>
      <c r="AC63" s="576"/>
      <c r="AD63" s="308"/>
      <c r="AE63" s="575"/>
      <c r="AF63" s="308"/>
      <c r="AG63" s="575"/>
      <c r="AH63" s="308"/>
      <c r="AI63" s="575"/>
      <c r="AJ63" s="308"/>
      <c r="AK63" s="305"/>
      <c r="AL63" s="577"/>
      <c r="AM63" s="306"/>
      <c r="AN63" s="308"/>
      <c r="AO63" s="573"/>
      <c r="AP63" s="305"/>
      <c r="AQ63" s="308"/>
      <c r="AR63" s="573"/>
      <c r="AS63" s="578"/>
      <c r="AT63" s="577"/>
      <c r="AU63" s="579"/>
      <c r="AV63" s="578"/>
      <c r="AW63" s="308"/>
      <c r="AX63" s="307"/>
      <c r="AY63" s="307"/>
      <c r="AZ63" s="307"/>
      <c r="BA63" s="307"/>
      <c r="BB63" s="307"/>
      <c r="BC63" s="305"/>
      <c r="BD63" s="292"/>
      <c r="BE63" s="297"/>
      <c r="BF63" s="297"/>
      <c r="BG63" s="569"/>
      <c r="BH63" s="570"/>
      <c r="BI63" s="570"/>
      <c r="BJ63" s="570"/>
      <c r="BK63" s="570"/>
      <c r="BL63" s="570"/>
      <c r="BM63" s="570"/>
      <c r="BN63" s="570"/>
      <c r="BO63" s="570"/>
      <c r="BP63" s="570"/>
      <c r="BQ63" s="570"/>
      <c r="BR63" s="570"/>
      <c r="BS63" s="570"/>
      <c r="BT63" s="570"/>
      <c r="BU63" s="570"/>
      <c r="BV63" s="570"/>
      <c r="BW63" s="570"/>
      <c r="BX63" s="570"/>
      <c r="BY63" s="570"/>
      <c r="BZ63" s="571"/>
      <c r="CA63" s="571"/>
    </row>
    <row r="64" spans="2:79">
      <c r="B64" s="566">
        <v>49</v>
      </c>
      <c r="C64" s="308"/>
      <c r="D64" s="307"/>
      <c r="E64" s="307"/>
      <c r="F64" s="305"/>
      <c r="G64" s="305"/>
      <c r="H64" s="292"/>
      <c r="I64" s="574"/>
      <c r="J64" s="573"/>
      <c r="K64" s="307"/>
      <c r="L64" s="292"/>
      <c r="M64" s="308"/>
      <c r="N64" s="292"/>
      <c r="O64" s="308"/>
      <c r="P64" s="575"/>
      <c r="Q64" s="576"/>
      <c r="R64" s="308"/>
      <c r="S64" s="575"/>
      <c r="T64" s="576"/>
      <c r="U64" s="308"/>
      <c r="V64" s="575"/>
      <c r="W64" s="576"/>
      <c r="X64" s="308"/>
      <c r="Y64" s="575"/>
      <c r="Z64" s="576"/>
      <c r="AA64" s="308"/>
      <c r="AB64" s="575"/>
      <c r="AC64" s="576"/>
      <c r="AD64" s="308"/>
      <c r="AE64" s="575"/>
      <c r="AF64" s="308"/>
      <c r="AG64" s="575"/>
      <c r="AH64" s="308"/>
      <c r="AI64" s="575"/>
      <c r="AJ64" s="308"/>
      <c r="AK64" s="305"/>
      <c r="AL64" s="577"/>
      <c r="AM64" s="306"/>
      <c r="AN64" s="308"/>
      <c r="AO64" s="573"/>
      <c r="AP64" s="305"/>
      <c r="AQ64" s="308"/>
      <c r="AR64" s="573"/>
      <c r="AS64" s="578"/>
      <c r="AT64" s="577"/>
      <c r="AU64" s="579"/>
      <c r="AV64" s="578"/>
      <c r="AW64" s="308"/>
      <c r="AX64" s="307"/>
      <c r="AY64" s="307"/>
      <c r="AZ64" s="307"/>
      <c r="BA64" s="307"/>
      <c r="BB64" s="307"/>
      <c r="BC64" s="305"/>
      <c r="BD64" s="292"/>
      <c r="BE64" s="297"/>
      <c r="BF64" s="297"/>
      <c r="BG64" s="569"/>
      <c r="BH64" s="570"/>
      <c r="BI64" s="570"/>
      <c r="BJ64" s="570"/>
      <c r="BK64" s="570"/>
      <c r="BL64" s="570"/>
      <c r="BM64" s="570"/>
      <c r="BN64" s="570"/>
      <c r="BO64" s="570"/>
      <c r="BP64" s="570"/>
      <c r="BQ64" s="570"/>
      <c r="BR64" s="570"/>
      <c r="BS64" s="570"/>
      <c r="BT64" s="570"/>
      <c r="BU64" s="570"/>
      <c r="BV64" s="570"/>
      <c r="BW64" s="570"/>
      <c r="BX64" s="570"/>
      <c r="BY64" s="570"/>
      <c r="BZ64" s="571"/>
      <c r="CA64" s="571"/>
    </row>
    <row r="65" spans="2:79">
      <c r="B65" s="572">
        <v>50</v>
      </c>
      <c r="C65" s="308"/>
      <c r="D65" s="307"/>
      <c r="E65" s="307"/>
      <c r="F65" s="305"/>
      <c r="G65" s="305"/>
      <c r="H65" s="292"/>
      <c r="I65" s="574"/>
      <c r="J65" s="573"/>
      <c r="K65" s="307"/>
      <c r="L65" s="292"/>
      <c r="M65" s="308"/>
      <c r="N65" s="292"/>
      <c r="O65" s="308"/>
      <c r="P65" s="575"/>
      <c r="Q65" s="576"/>
      <c r="R65" s="308"/>
      <c r="S65" s="575"/>
      <c r="T65" s="576"/>
      <c r="U65" s="308"/>
      <c r="V65" s="575"/>
      <c r="W65" s="576"/>
      <c r="X65" s="308"/>
      <c r="Y65" s="575"/>
      <c r="Z65" s="576"/>
      <c r="AA65" s="308"/>
      <c r="AB65" s="575"/>
      <c r="AC65" s="576"/>
      <c r="AD65" s="308"/>
      <c r="AE65" s="575"/>
      <c r="AF65" s="308"/>
      <c r="AG65" s="575"/>
      <c r="AH65" s="308"/>
      <c r="AI65" s="575"/>
      <c r="AJ65" s="308"/>
      <c r="AK65" s="305"/>
      <c r="AL65" s="577"/>
      <c r="AM65" s="306"/>
      <c r="AN65" s="308"/>
      <c r="AO65" s="573"/>
      <c r="AP65" s="305"/>
      <c r="AQ65" s="308"/>
      <c r="AR65" s="573"/>
      <c r="AS65" s="578"/>
      <c r="AT65" s="577"/>
      <c r="AU65" s="579"/>
      <c r="AV65" s="578"/>
      <c r="AW65" s="308"/>
      <c r="AX65" s="307"/>
      <c r="AY65" s="307"/>
      <c r="AZ65" s="307"/>
      <c r="BA65" s="307"/>
      <c r="BB65" s="307"/>
      <c r="BC65" s="305"/>
      <c r="BD65" s="292"/>
      <c r="BE65" s="297"/>
      <c r="BF65" s="297"/>
      <c r="BG65" s="569"/>
      <c r="BH65" s="570"/>
      <c r="BI65" s="570"/>
      <c r="BJ65" s="570"/>
      <c r="BK65" s="570"/>
      <c r="BL65" s="570"/>
      <c r="BM65" s="570"/>
      <c r="BN65" s="570"/>
      <c r="BO65" s="570"/>
      <c r="BP65" s="570"/>
      <c r="BQ65" s="570"/>
      <c r="BR65" s="570"/>
      <c r="BS65" s="570"/>
      <c r="BT65" s="570"/>
      <c r="BU65" s="570"/>
      <c r="BV65" s="570"/>
      <c r="BW65" s="570"/>
      <c r="BX65" s="570"/>
      <c r="BY65" s="570"/>
      <c r="BZ65" s="571"/>
      <c r="CA65" s="571"/>
    </row>
    <row r="66" spans="2:79">
      <c r="B66" s="566">
        <v>51</v>
      </c>
      <c r="C66" s="308"/>
      <c r="D66" s="307"/>
      <c r="E66" s="307"/>
      <c r="F66" s="305"/>
      <c r="G66" s="305"/>
      <c r="H66" s="292"/>
      <c r="I66" s="574"/>
      <c r="J66" s="573"/>
      <c r="K66" s="307"/>
      <c r="L66" s="292"/>
      <c r="M66" s="308"/>
      <c r="N66" s="292"/>
      <c r="O66" s="308"/>
      <c r="P66" s="575"/>
      <c r="Q66" s="576"/>
      <c r="R66" s="308"/>
      <c r="S66" s="575"/>
      <c r="T66" s="576"/>
      <c r="U66" s="308"/>
      <c r="V66" s="575"/>
      <c r="W66" s="576"/>
      <c r="X66" s="308"/>
      <c r="Y66" s="575"/>
      <c r="Z66" s="576"/>
      <c r="AA66" s="308"/>
      <c r="AB66" s="575"/>
      <c r="AC66" s="576"/>
      <c r="AD66" s="308"/>
      <c r="AE66" s="575"/>
      <c r="AF66" s="308"/>
      <c r="AG66" s="575"/>
      <c r="AH66" s="308"/>
      <c r="AI66" s="575"/>
      <c r="AJ66" s="308"/>
      <c r="AK66" s="305"/>
      <c r="AL66" s="577"/>
      <c r="AM66" s="306"/>
      <c r="AN66" s="308"/>
      <c r="AO66" s="573"/>
      <c r="AP66" s="305"/>
      <c r="AQ66" s="308"/>
      <c r="AR66" s="573"/>
      <c r="AS66" s="578"/>
      <c r="AT66" s="577"/>
      <c r="AU66" s="579"/>
      <c r="AV66" s="578"/>
      <c r="AW66" s="308"/>
      <c r="AX66" s="307"/>
      <c r="AY66" s="307"/>
      <c r="AZ66" s="307"/>
      <c r="BA66" s="307"/>
      <c r="BB66" s="307"/>
      <c r="BC66" s="305"/>
      <c r="BD66" s="292"/>
      <c r="BE66" s="297"/>
      <c r="BF66" s="297"/>
      <c r="BG66" s="569"/>
      <c r="BH66" s="570"/>
      <c r="BI66" s="570"/>
      <c r="BJ66" s="570"/>
      <c r="BK66" s="570"/>
      <c r="BL66" s="570"/>
      <c r="BM66" s="570"/>
      <c r="BN66" s="570"/>
      <c r="BO66" s="570"/>
      <c r="BP66" s="570"/>
      <c r="BQ66" s="570"/>
      <c r="BR66" s="570"/>
      <c r="BS66" s="570"/>
      <c r="BT66" s="570"/>
      <c r="BU66" s="570"/>
      <c r="BV66" s="570"/>
      <c r="BW66" s="570"/>
      <c r="BX66" s="570"/>
      <c r="BY66" s="570"/>
      <c r="BZ66" s="571"/>
      <c r="CA66" s="571"/>
    </row>
    <row r="67" spans="2:79">
      <c r="B67" s="572">
        <v>52</v>
      </c>
      <c r="C67" s="308"/>
      <c r="D67" s="307"/>
      <c r="E67" s="307"/>
      <c r="F67" s="305"/>
      <c r="G67" s="305"/>
      <c r="H67" s="292"/>
      <c r="I67" s="574"/>
      <c r="J67" s="573"/>
      <c r="K67" s="307"/>
      <c r="L67" s="292"/>
      <c r="M67" s="308"/>
      <c r="N67" s="292"/>
      <c r="O67" s="308"/>
      <c r="P67" s="575"/>
      <c r="Q67" s="576"/>
      <c r="R67" s="308"/>
      <c r="S67" s="575"/>
      <c r="T67" s="576"/>
      <c r="U67" s="308"/>
      <c r="V67" s="575"/>
      <c r="W67" s="576"/>
      <c r="X67" s="308"/>
      <c r="Y67" s="575"/>
      <c r="Z67" s="576"/>
      <c r="AA67" s="308"/>
      <c r="AB67" s="575"/>
      <c r="AC67" s="576"/>
      <c r="AD67" s="308"/>
      <c r="AE67" s="575"/>
      <c r="AF67" s="308"/>
      <c r="AG67" s="575"/>
      <c r="AH67" s="308"/>
      <c r="AI67" s="575"/>
      <c r="AJ67" s="308"/>
      <c r="AK67" s="305"/>
      <c r="AL67" s="577"/>
      <c r="AM67" s="306"/>
      <c r="AN67" s="308"/>
      <c r="AO67" s="573"/>
      <c r="AP67" s="305"/>
      <c r="AQ67" s="308"/>
      <c r="AR67" s="573"/>
      <c r="AS67" s="578"/>
      <c r="AT67" s="577"/>
      <c r="AU67" s="579"/>
      <c r="AV67" s="578"/>
      <c r="AW67" s="308"/>
      <c r="AX67" s="307"/>
      <c r="AY67" s="307"/>
      <c r="AZ67" s="307"/>
      <c r="BA67" s="307"/>
      <c r="BB67" s="307"/>
      <c r="BC67" s="305"/>
      <c r="BD67" s="292"/>
      <c r="BE67" s="297"/>
      <c r="BF67" s="297"/>
      <c r="BG67" s="569"/>
      <c r="BH67" s="570"/>
      <c r="BI67" s="570"/>
      <c r="BJ67" s="570"/>
      <c r="BK67" s="570"/>
      <c r="BL67" s="570"/>
      <c r="BM67" s="570"/>
      <c r="BN67" s="570"/>
      <c r="BO67" s="570"/>
      <c r="BP67" s="570"/>
      <c r="BQ67" s="570"/>
      <c r="BR67" s="570"/>
      <c r="BS67" s="570"/>
      <c r="BT67" s="570"/>
      <c r="BU67" s="570"/>
      <c r="BV67" s="570"/>
      <c r="BW67" s="570"/>
      <c r="BX67" s="570"/>
      <c r="BY67" s="570"/>
      <c r="BZ67" s="571"/>
      <c r="CA67" s="571"/>
    </row>
    <row r="68" spans="2:79">
      <c r="B68" s="566">
        <v>53</v>
      </c>
      <c r="C68" s="308"/>
      <c r="D68" s="307"/>
      <c r="E68" s="307"/>
      <c r="F68" s="305"/>
      <c r="G68" s="305"/>
      <c r="H68" s="292"/>
      <c r="I68" s="574"/>
      <c r="J68" s="573"/>
      <c r="K68" s="307"/>
      <c r="L68" s="292"/>
      <c r="M68" s="308"/>
      <c r="N68" s="292"/>
      <c r="O68" s="308"/>
      <c r="P68" s="575"/>
      <c r="Q68" s="576"/>
      <c r="R68" s="308"/>
      <c r="S68" s="575"/>
      <c r="T68" s="576"/>
      <c r="U68" s="308"/>
      <c r="V68" s="575"/>
      <c r="W68" s="576"/>
      <c r="X68" s="308"/>
      <c r="Y68" s="575"/>
      <c r="Z68" s="576"/>
      <c r="AA68" s="308"/>
      <c r="AB68" s="575"/>
      <c r="AC68" s="576"/>
      <c r="AD68" s="308"/>
      <c r="AE68" s="575"/>
      <c r="AF68" s="308"/>
      <c r="AG68" s="575"/>
      <c r="AH68" s="308"/>
      <c r="AI68" s="575"/>
      <c r="AJ68" s="308"/>
      <c r="AK68" s="305"/>
      <c r="AL68" s="577"/>
      <c r="AM68" s="306"/>
      <c r="AN68" s="308"/>
      <c r="AO68" s="573"/>
      <c r="AP68" s="305"/>
      <c r="AQ68" s="308"/>
      <c r="AR68" s="573"/>
      <c r="AS68" s="578"/>
      <c r="AT68" s="577"/>
      <c r="AU68" s="579"/>
      <c r="AV68" s="578"/>
      <c r="AW68" s="308"/>
      <c r="AX68" s="307"/>
      <c r="AY68" s="307"/>
      <c r="AZ68" s="307"/>
      <c r="BA68" s="307"/>
      <c r="BB68" s="307"/>
      <c r="BC68" s="305"/>
      <c r="BD68" s="292"/>
      <c r="BE68" s="297"/>
      <c r="BF68" s="297"/>
      <c r="BG68" s="569"/>
      <c r="BH68" s="570"/>
      <c r="BI68" s="570"/>
      <c r="BJ68" s="570"/>
      <c r="BK68" s="570"/>
      <c r="BL68" s="570"/>
      <c r="BM68" s="570"/>
      <c r="BN68" s="570"/>
      <c r="BO68" s="570"/>
      <c r="BP68" s="570"/>
      <c r="BQ68" s="570"/>
      <c r="BR68" s="570"/>
      <c r="BS68" s="570"/>
      <c r="BT68" s="570"/>
      <c r="BU68" s="570"/>
      <c r="BV68" s="570"/>
      <c r="BW68" s="570"/>
      <c r="BX68" s="570"/>
      <c r="BY68" s="570"/>
      <c r="BZ68" s="571"/>
      <c r="CA68" s="571"/>
    </row>
    <row r="69" spans="2:79">
      <c r="B69" s="572">
        <v>54</v>
      </c>
      <c r="C69" s="308"/>
      <c r="D69" s="307"/>
      <c r="E69" s="307"/>
      <c r="F69" s="305"/>
      <c r="G69" s="305"/>
      <c r="H69" s="292"/>
      <c r="I69" s="574"/>
      <c r="J69" s="573"/>
      <c r="K69" s="307"/>
      <c r="L69" s="292"/>
      <c r="M69" s="308"/>
      <c r="N69" s="292"/>
      <c r="O69" s="308"/>
      <c r="P69" s="575"/>
      <c r="Q69" s="576"/>
      <c r="R69" s="308"/>
      <c r="S69" s="575"/>
      <c r="T69" s="576"/>
      <c r="U69" s="308"/>
      <c r="V69" s="575"/>
      <c r="W69" s="576"/>
      <c r="X69" s="308"/>
      <c r="Y69" s="575"/>
      <c r="Z69" s="576"/>
      <c r="AA69" s="308"/>
      <c r="AB69" s="575"/>
      <c r="AC69" s="576"/>
      <c r="AD69" s="308"/>
      <c r="AE69" s="575"/>
      <c r="AF69" s="308"/>
      <c r="AG69" s="575"/>
      <c r="AH69" s="308"/>
      <c r="AI69" s="575"/>
      <c r="AJ69" s="308"/>
      <c r="AK69" s="305"/>
      <c r="AL69" s="577"/>
      <c r="AM69" s="306"/>
      <c r="AN69" s="308"/>
      <c r="AO69" s="573"/>
      <c r="AP69" s="305"/>
      <c r="AQ69" s="308"/>
      <c r="AR69" s="573"/>
      <c r="AS69" s="578"/>
      <c r="AT69" s="577"/>
      <c r="AU69" s="579"/>
      <c r="AV69" s="578"/>
      <c r="AW69" s="308"/>
      <c r="AX69" s="307"/>
      <c r="AY69" s="307"/>
      <c r="AZ69" s="307"/>
      <c r="BA69" s="307"/>
      <c r="BB69" s="307"/>
      <c r="BC69" s="305"/>
      <c r="BD69" s="292"/>
      <c r="BE69" s="297"/>
      <c r="BF69" s="297"/>
      <c r="BG69" s="569"/>
      <c r="BH69" s="570"/>
      <c r="BI69" s="570"/>
      <c r="BJ69" s="570"/>
      <c r="BK69" s="570"/>
      <c r="BL69" s="570"/>
      <c r="BM69" s="570"/>
      <c r="BN69" s="570"/>
      <c r="BO69" s="570"/>
      <c r="BP69" s="570"/>
      <c r="BQ69" s="570"/>
      <c r="BR69" s="570"/>
      <c r="BS69" s="570"/>
      <c r="BT69" s="570"/>
      <c r="BU69" s="570"/>
      <c r="BV69" s="570"/>
      <c r="BW69" s="570"/>
      <c r="BX69" s="570"/>
      <c r="BY69" s="570"/>
      <c r="BZ69" s="571"/>
      <c r="CA69" s="571"/>
    </row>
    <row r="70" spans="2:79">
      <c r="B70" s="566">
        <v>55</v>
      </c>
      <c r="C70" s="308"/>
      <c r="D70" s="307"/>
      <c r="E70" s="307"/>
      <c r="F70" s="305"/>
      <c r="G70" s="305"/>
      <c r="H70" s="292"/>
      <c r="I70" s="574"/>
      <c r="J70" s="573"/>
      <c r="K70" s="307"/>
      <c r="L70" s="292"/>
      <c r="M70" s="308"/>
      <c r="N70" s="292"/>
      <c r="O70" s="308"/>
      <c r="P70" s="575"/>
      <c r="Q70" s="576"/>
      <c r="R70" s="308"/>
      <c r="S70" s="575"/>
      <c r="T70" s="576"/>
      <c r="U70" s="308"/>
      <c r="V70" s="575"/>
      <c r="W70" s="576"/>
      <c r="X70" s="308"/>
      <c r="Y70" s="575"/>
      <c r="Z70" s="576"/>
      <c r="AA70" s="308"/>
      <c r="AB70" s="575"/>
      <c r="AC70" s="576"/>
      <c r="AD70" s="308"/>
      <c r="AE70" s="575"/>
      <c r="AF70" s="308"/>
      <c r="AG70" s="575"/>
      <c r="AH70" s="308"/>
      <c r="AI70" s="575"/>
      <c r="AJ70" s="308"/>
      <c r="AK70" s="305"/>
      <c r="AL70" s="577"/>
      <c r="AM70" s="306"/>
      <c r="AN70" s="308"/>
      <c r="AO70" s="573"/>
      <c r="AP70" s="305"/>
      <c r="AQ70" s="308"/>
      <c r="AR70" s="573"/>
      <c r="AS70" s="578"/>
      <c r="AT70" s="577"/>
      <c r="AU70" s="579"/>
      <c r="AV70" s="578"/>
      <c r="AW70" s="308"/>
      <c r="AX70" s="307"/>
      <c r="AY70" s="307"/>
      <c r="AZ70" s="307"/>
      <c r="BA70" s="307"/>
      <c r="BB70" s="307"/>
      <c r="BC70" s="305"/>
      <c r="BD70" s="292"/>
      <c r="BE70" s="297"/>
      <c r="BF70" s="297"/>
      <c r="BG70" s="569"/>
      <c r="BH70" s="570"/>
      <c r="BI70" s="570"/>
      <c r="BJ70" s="570"/>
      <c r="BK70" s="570"/>
      <c r="BL70" s="570"/>
      <c r="BM70" s="570"/>
      <c r="BN70" s="570"/>
      <c r="BO70" s="570"/>
      <c r="BP70" s="570"/>
      <c r="BQ70" s="570"/>
      <c r="BR70" s="570"/>
      <c r="BS70" s="570"/>
      <c r="BT70" s="570"/>
      <c r="BU70" s="570"/>
      <c r="BV70" s="570"/>
      <c r="BW70" s="570"/>
      <c r="BX70" s="570"/>
      <c r="BY70" s="570"/>
      <c r="BZ70" s="571"/>
      <c r="CA70" s="571"/>
    </row>
    <row r="71" spans="2:79">
      <c r="B71" s="572">
        <v>56</v>
      </c>
      <c r="C71" s="308"/>
      <c r="D71" s="307"/>
      <c r="E71" s="307"/>
      <c r="F71" s="305"/>
      <c r="G71" s="305"/>
      <c r="H71" s="292"/>
      <c r="I71" s="574"/>
      <c r="J71" s="573"/>
      <c r="K71" s="307"/>
      <c r="L71" s="292"/>
      <c r="M71" s="308"/>
      <c r="N71" s="292"/>
      <c r="O71" s="308"/>
      <c r="P71" s="575"/>
      <c r="Q71" s="576"/>
      <c r="R71" s="308"/>
      <c r="S71" s="575"/>
      <c r="T71" s="576"/>
      <c r="U71" s="308"/>
      <c r="V71" s="575"/>
      <c r="W71" s="576"/>
      <c r="X71" s="308"/>
      <c r="Y71" s="575"/>
      <c r="Z71" s="576"/>
      <c r="AA71" s="308"/>
      <c r="AB71" s="575"/>
      <c r="AC71" s="576"/>
      <c r="AD71" s="308"/>
      <c r="AE71" s="575"/>
      <c r="AF71" s="308"/>
      <c r="AG71" s="575"/>
      <c r="AH71" s="308"/>
      <c r="AI71" s="575"/>
      <c r="AJ71" s="308"/>
      <c r="AK71" s="305"/>
      <c r="AL71" s="577"/>
      <c r="AM71" s="306"/>
      <c r="AN71" s="308"/>
      <c r="AO71" s="573"/>
      <c r="AP71" s="305"/>
      <c r="AQ71" s="308"/>
      <c r="AR71" s="573"/>
      <c r="AS71" s="578"/>
      <c r="AT71" s="577"/>
      <c r="AU71" s="579"/>
      <c r="AV71" s="578"/>
      <c r="AW71" s="308"/>
      <c r="AX71" s="307"/>
      <c r="AY71" s="307"/>
      <c r="AZ71" s="307"/>
      <c r="BA71" s="307"/>
      <c r="BB71" s="307"/>
      <c r="BC71" s="305"/>
      <c r="BD71" s="292"/>
      <c r="BE71" s="297"/>
      <c r="BF71" s="297"/>
      <c r="BG71" s="569"/>
      <c r="BH71" s="570"/>
      <c r="BI71" s="570"/>
      <c r="BJ71" s="570"/>
      <c r="BK71" s="570"/>
      <c r="BL71" s="570"/>
      <c r="BM71" s="570"/>
      <c r="BN71" s="570"/>
      <c r="BO71" s="570"/>
      <c r="BP71" s="570"/>
      <c r="BQ71" s="570"/>
      <c r="BR71" s="570"/>
      <c r="BS71" s="570"/>
      <c r="BT71" s="570"/>
      <c r="BU71" s="570"/>
      <c r="BV71" s="570"/>
      <c r="BW71" s="570"/>
      <c r="BX71" s="570"/>
      <c r="BY71" s="570"/>
      <c r="BZ71" s="571"/>
      <c r="CA71" s="571"/>
    </row>
    <row r="72" spans="2:79">
      <c r="B72" s="566">
        <v>57</v>
      </c>
      <c r="C72" s="308"/>
      <c r="D72" s="307"/>
      <c r="E72" s="307"/>
      <c r="F72" s="305"/>
      <c r="G72" s="305"/>
      <c r="H72" s="292"/>
      <c r="I72" s="574"/>
      <c r="J72" s="573"/>
      <c r="K72" s="307"/>
      <c r="L72" s="292"/>
      <c r="M72" s="308"/>
      <c r="N72" s="292"/>
      <c r="O72" s="308"/>
      <c r="P72" s="575"/>
      <c r="Q72" s="576"/>
      <c r="R72" s="308"/>
      <c r="S72" s="575"/>
      <c r="T72" s="576"/>
      <c r="U72" s="308"/>
      <c r="V72" s="575"/>
      <c r="W72" s="576"/>
      <c r="X72" s="308"/>
      <c r="Y72" s="575"/>
      <c r="Z72" s="576"/>
      <c r="AA72" s="308"/>
      <c r="AB72" s="575"/>
      <c r="AC72" s="576"/>
      <c r="AD72" s="308"/>
      <c r="AE72" s="575"/>
      <c r="AF72" s="308"/>
      <c r="AG72" s="575"/>
      <c r="AH72" s="308"/>
      <c r="AI72" s="575"/>
      <c r="AJ72" s="308"/>
      <c r="AK72" s="305"/>
      <c r="AL72" s="577"/>
      <c r="AM72" s="306"/>
      <c r="AN72" s="308"/>
      <c r="AO72" s="573"/>
      <c r="AP72" s="305"/>
      <c r="AQ72" s="308"/>
      <c r="AR72" s="573"/>
      <c r="AS72" s="578"/>
      <c r="AT72" s="577"/>
      <c r="AU72" s="579"/>
      <c r="AV72" s="578"/>
      <c r="AW72" s="308"/>
      <c r="AX72" s="307"/>
      <c r="AY72" s="307"/>
      <c r="AZ72" s="307"/>
      <c r="BA72" s="307"/>
      <c r="BB72" s="307"/>
      <c r="BC72" s="305"/>
      <c r="BD72" s="292"/>
      <c r="BE72" s="297"/>
      <c r="BF72" s="297"/>
      <c r="BG72" s="569"/>
      <c r="BH72" s="570"/>
      <c r="BI72" s="570"/>
      <c r="BJ72" s="570"/>
      <c r="BK72" s="570"/>
      <c r="BL72" s="570"/>
      <c r="BM72" s="570"/>
      <c r="BN72" s="570"/>
      <c r="BO72" s="570"/>
      <c r="BP72" s="570"/>
      <c r="BQ72" s="570"/>
      <c r="BR72" s="570"/>
      <c r="BS72" s="570"/>
      <c r="BT72" s="570"/>
      <c r="BU72" s="570"/>
      <c r="BV72" s="570"/>
      <c r="BW72" s="570"/>
      <c r="BX72" s="570"/>
      <c r="BY72" s="570"/>
      <c r="BZ72" s="571"/>
      <c r="CA72" s="571"/>
    </row>
    <row r="73" spans="2:79">
      <c r="B73" s="572">
        <v>58</v>
      </c>
      <c r="C73" s="308"/>
      <c r="D73" s="307"/>
      <c r="E73" s="307"/>
      <c r="F73" s="305"/>
      <c r="G73" s="305"/>
      <c r="H73" s="292"/>
      <c r="I73" s="574"/>
      <c r="J73" s="573"/>
      <c r="K73" s="307"/>
      <c r="L73" s="292"/>
      <c r="M73" s="308"/>
      <c r="N73" s="292"/>
      <c r="O73" s="308"/>
      <c r="P73" s="575"/>
      <c r="Q73" s="576"/>
      <c r="R73" s="308"/>
      <c r="S73" s="575"/>
      <c r="T73" s="576"/>
      <c r="U73" s="308"/>
      <c r="V73" s="575"/>
      <c r="W73" s="576"/>
      <c r="X73" s="308"/>
      <c r="Y73" s="575"/>
      <c r="Z73" s="576"/>
      <c r="AA73" s="308"/>
      <c r="AB73" s="575"/>
      <c r="AC73" s="576"/>
      <c r="AD73" s="308"/>
      <c r="AE73" s="575"/>
      <c r="AF73" s="308"/>
      <c r="AG73" s="575"/>
      <c r="AH73" s="308"/>
      <c r="AI73" s="575"/>
      <c r="AJ73" s="308"/>
      <c r="AK73" s="305"/>
      <c r="AL73" s="577"/>
      <c r="AM73" s="306"/>
      <c r="AN73" s="308"/>
      <c r="AO73" s="573"/>
      <c r="AP73" s="305"/>
      <c r="AQ73" s="308"/>
      <c r="AR73" s="573"/>
      <c r="AS73" s="578"/>
      <c r="AT73" s="577"/>
      <c r="AU73" s="579"/>
      <c r="AV73" s="578"/>
      <c r="AW73" s="308"/>
      <c r="AX73" s="307"/>
      <c r="AY73" s="307"/>
      <c r="AZ73" s="307"/>
      <c r="BA73" s="307"/>
      <c r="BB73" s="307"/>
      <c r="BC73" s="305"/>
      <c r="BD73" s="292"/>
      <c r="BE73" s="297"/>
      <c r="BF73" s="297"/>
      <c r="BG73" s="569"/>
      <c r="BH73" s="570"/>
      <c r="BI73" s="570"/>
      <c r="BJ73" s="570"/>
      <c r="BK73" s="570"/>
      <c r="BL73" s="570"/>
      <c r="BM73" s="570"/>
      <c r="BN73" s="570"/>
      <c r="BO73" s="570"/>
      <c r="BP73" s="570"/>
      <c r="BQ73" s="570"/>
      <c r="BR73" s="570"/>
      <c r="BS73" s="570"/>
      <c r="BT73" s="570"/>
      <c r="BU73" s="570"/>
      <c r="BV73" s="570"/>
      <c r="BW73" s="570"/>
      <c r="BX73" s="570"/>
      <c r="BY73" s="570"/>
      <c r="BZ73" s="571"/>
      <c r="CA73" s="571"/>
    </row>
    <row r="74" spans="2:79">
      <c r="B74" s="566">
        <v>59</v>
      </c>
      <c r="C74" s="308"/>
      <c r="D74" s="307"/>
      <c r="E74" s="307"/>
      <c r="F74" s="305"/>
      <c r="G74" s="305"/>
      <c r="H74" s="292"/>
      <c r="I74" s="574"/>
      <c r="J74" s="573"/>
      <c r="K74" s="307"/>
      <c r="L74" s="292"/>
      <c r="M74" s="308"/>
      <c r="N74" s="292"/>
      <c r="O74" s="308"/>
      <c r="P74" s="575"/>
      <c r="Q74" s="576"/>
      <c r="R74" s="308"/>
      <c r="S74" s="575"/>
      <c r="T74" s="576"/>
      <c r="U74" s="308"/>
      <c r="V74" s="575"/>
      <c r="W74" s="576"/>
      <c r="X74" s="308"/>
      <c r="Y74" s="575"/>
      <c r="Z74" s="576"/>
      <c r="AA74" s="308"/>
      <c r="AB74" s="575"/>
      <c r="AC74" s="576"/>
      <c r="AD74" s="308"/>
      <c r="AE74" s="575"/>
      <c r="AF74" s="308"/>
      <c r="AG74" s="575"/>
      <c r="AH74" s="308"/>
      <c r="AI74" s="575"/>
      <c r="AJ74" s="308"/>
      <c r="AK74" s="305"/>
      <c r="AL74" s="577"/>
      <c r="AM74" s="306"/>
      <c r="AN74" s="308"/>
      <c r="AO74" s="573"/>
      <c r="AP74" s="305"/>
      <c r="AQ74" s="308"/>
      <c r="AR74" s="573"/>
      <c r="AS74" s="578"/>
      <c r="AT74" s="577"/>
      <c r="AU74" s="579"/>
      <c r="AV74" s="578"/>
      <c r="AW74" s="308"/>
      <c r="AX74" s="307"/>
      <c r="AY74" s="307"/>
      <c r="AZ74" s="307"/>
      <c r="BA74" s="307"/>
      <c r="BB74" s="307"/>
      <c r="BC74" s="305"/>
      <c r="BD74" s="292"/>
      <c r="BE74" s="297"/>
      <c r="BF74" s="297"/>
      <c r="BG74" s="569"/>
      <c r="BH74" s="570"/>
      <c r="BI74" s="570"/>
      <c r="BJ74" s="570"/>
      <c r="BK74" s="570"/>
      <c r="BL74" s="570"/>
      <c r="BM74" s="570"/>
      <c r="BN74" s="570"/>
      <c r="BO74" s="570"/>
      <c r="BP74" s="570"/>
      <c r="BQ74" s="570"/>
      <c r="BR74" s="570"/>
      <c r="BS74" s="570"/>
      <c r="BT74" s="570"/>
      <c r="BU74" s="570"/>
      <c r="BV74" s="570"/>
      <c r="BW74" s="570"/>
      <c r="BX74" s="570"/>
      <c r="BY74" s="570"/>
      <c r="BZ74" s="571"/>
      <c r="CA74" s="571"/>
    </row>
    <row r="75" spans="2:79">
      <c r="B75" s="572">
        <v>60</v>
      </c>
      <c r="C75" s="308"/>
      <c r="D75" s="307"/>
      <c r="E75" s="307"/>
      <c r="F75" s="305"/>
      <c r="G75" s="305"/>
      <c r="H75" s="292"/>
      <c r="I75" s="574"/>
      <c r="J75" s="573"/>
      <c r="K75" s="307"/>
      <c r="L75" s="292"/>
      <c r="M75" s="308"/>
      <c r="N75" s="292"/>
      <c r="O75" s="308"/>
      <c r="P75" s="575"/>
      <c r="Q75" s="576"/>
      <c r="R75" s="308"/>
      <c r="S75" s="575"/>
      <c r="T75" s="576"/>
      <c r="U75" s="308"/>
      <c r="V75" s="575"/>
      <c r="W75" s="576"/>
      <c r="X75" s="308"/>
      <c r="Y75" s="575"/>
      <c r="Z75" s="576"/>
      <c r="AA75" s="308"/>
      <c r="AB75" s="575"/>
      <c r="AC75" s="576"/>
      <c r="AD75" s="308"/>
      <c r="AE75" s="575"/>
      <c r="AF75" s="308"/>
      <c r="AG75" s="575"/>
      <c r="AH75" s="308"/>
      <c r="AI75" s="575"/>
      <c r="AJ75" s="308"/>
      <c r="AK75" s="305"/>
      <c r="AL75" s="577"/>
      <c r="AM75" s="306"/>
      <c r="AN75" s="308"/>
      <c r="AO75" s="573"/>
      <c r="AP75" s="305"/>
      <c r="AQ75" s="308"/>
      <c r="AR75" s="573"/>
      <c r="AS75" s="578"/>
      <c r="AT75" s="577"/>
      <c r="AU75" s="579"/>
      <c r="AV75" s="578"/>
      <c r="AW75" s="308"/>
      <c r="AX75" s="307"/>
      <c r="AY75" s="307"/>
      <c r="AZ75" s="307"/>
      <c r="BA75" s="307"/>
      <c r="BB75" s="307"/>
      <c r="BC75" s="305"/>
      <c r="BD75" s="292"/>
      <c r="BE75" s="297"/>
      <c r="BF75" s="297"/>
      <c r="BG75" s="569"/>
      <c r="BH75" s="570"/>
      <c r="BI75" s="570"/>
      <c r="BJ75" s="570"/>
      <c r="BK75" s="570"/>
      <c r="BL75" s="570"/>
      <c r="BM75" s="570"/>
      <c r="BN75" s="570"/>
      <c r="BO75" s="570"/>
      <c r="BP75" s="570"/>
      <c r="BQ75" s="570"/>
      <c r="BR75" s="570"/>
      <c r="BS75" s="570"/>
      <c r="BT75" s="570"/>
      <c r="BU75" s="570"/>
      <c r="BV75" s="570"/>
      <c r="BW75" s="570"/>
      <c r="BX75" s="570"/>
      <c r="BY75" s="570"/>
      <c r="BZ75" s="571"/>
      <c r="CA75" s="571"/>
    </row>
    <row r="76" spans="2:79">
      <c r="B76" s="566">
        <v>61</v>
      </c>
      <c r="C76" s="308"/>
      <c r="D76" s="307"/>
      <c r="E76" s="307"/>
      <c r="F76" s="305"/>
      <c r="G76" s="305"/>
      <c r="H76" s="292"/>
      <c r="I76" s="574"/>
      <c r="J76" s="573"/>
      <c r="K76" s="307"/>
      <c r="L76" s="292"/>
      <c r="M76" s="308"/>
      <c r="N76" s="292"/>
      <c r="O76" s="308"/>
      <c r="P76" s="575"/>
      <c r="Q76" s="576"/>
      <c r="R76" s="308"/>
      <c r="S76" s="575"/>
      <c r="T76" s="576"/>
      <c r="U76" s="308"/>
      <c r="V76" s="575"/>
      <c r="W76" s="576"/>
      <c r="X76" s="308"/>
      <c r="Y76" s="575"/>
      <c r="Z76" s="576"/>
      <c r="AA76" s="308"/>
      <c r="AB76" s="575"/>
      <c r="AC76" s="576"/>
      <c r="AD76" s="308"/>
      <c r="AE76" s="575"/>
      <c r="AF76" s="308"/>
      <c r="AG76" s="575"/>
      <c r="AH76" s="308"/>
      <c r="AI76" s="575"/>
      <c r="AJ76" s="308"/>
      <c r="AK76" s="305"/>
      <c r="AL76" s="577"/>
      <c r="AM76" s="306"/>
      <c r="AN76" s="308"/>
      <c r="AO76" s="573"/>
      <c r="AP76" s="305"/>
      <c r="AQ76" s="308"/>
      <c r="AR76" s="573"/>
      <c r="AS76" s="578"/>
      <c r="AT76" s="577"/>
      <c r="AU76" s="579"/>
      <c r="AV76" s="578"/>
      <c r="AW76" s="308"/>
      <c r="AX76" s="307"/>
      <c r="AY76" s="307"/>
      <c r="AZ76" s="307"/>
      <c r="BA76" s="307"/>
      <c r="BB76" s="307"/>
      <c r="BC76" s="305"/>
      <c r="BD76" s="292"/>
      <c r="BE76" s="297"/>
      <c r="BF76" s="297"/>
      <c r="BG76" s="569"/>
      <c r="BH76" s="570"/>
      <c r="BI76" s="570"/>
      <c r="BJ76" s="570"/>
      <c r="BK76" s="570"/>
      <c r="BL76" s="570"/>
      <c r="BM76" s="570"/>
      <c r="BN76" s="570"/>
      <c r="BO76" s="570"/>
      <c r="BP76" s="570"/>
      <c r="BQ76" s="570"/>
      <c r="BR76" s="570"/>
      <c r="BS76" s="570"/>
      <c r="BT76" s="570"/>
      <c r="BU76" s="570"/>
      <c r="BV76" s="570"/>
      <c r="BW76" s="570"/>
      <c r="BX76" s="570"/>
      <c r="BY76" s="570"/>
      <c r="BZ76" s="571"/>
      <c r="CA76" s="571"/>
    </row>
    <row r="77" spans="2:79">
      <c r="B77" s="572">
        <v>62</v>
      </c>
      <c r="C77" s="308"/>
      <c r="D77" s="307"/>
      <c r="E77" s="307"/>
      <c r="F77" s="305"/>
      <c r="G77" s="305"/>
      <c r="H77" s="292"/>
      <c r="I77" s="574"/>
      <c r="J77" s="573"/>
      <c r="K77" s="307"/>
      <c r="L77" s="292"/>
      <c r="M77" s="308"/>
      <c r="N77" s="292"/>
      <c r="O77" s="308"/>
      <c r="P77" s="575"/>
      <c r="Q77" s="576"/>
      <c r="R77" s="308"/>
      <c r="S77" s="575"/>
      <c r="T77" s="576"/>
      <c r="U77" s="308"/>
      <c r="V77" s="575"/>
      <c r="W77" s="576"/>
      <c r="X77" s="308"/>
      <c r="Y77" s="575"/>
      <c r="Z77" s="576"/>
      <c r="AA77" s="308"/>
      <c r="AB77" s="575"/>
      <c r="AC77" s="576"/>
      <c r="AD77" s="308"/>
      <c r="AE77" s="575"/>
      <c r="AF77" s="308"/>
      <c r="AG77" s="575"/>
      <c r="AH77" s="308"/>
      <c r="AI77" s="575"/>
      <c r="AJ77" s="308"/>
      <c r="AK77" s="305"/>
      <c r="AL77" s="577"/>
      <c r="AM77" s="306"/>
      <c r="AN77" s="308"/>
      <c r="AO77" s="573"/>
      <c r="AP77" s="305"/>
      <c r="AQ77" s="308"/>
      <c r="AR77" s="573"/>
      <c r="AS77" s="578"/>
      <c r="AT77" s="577"/>
      <c r="AU77" s="579"/>
      <c r="AV77" s="578"/>
      <c r="AW77" s="308"/>
      <c r="AX77" s="307"/>
      <c r="AY77" s="307"/>
      <c r="AZ77" s="307"/>
      <c r="BA77" s="307"/>
      <c r="BB77" s="307"/>
      <c r="BC77" s="305"/>
      <c r="BD77" s="292"/>
      <c r="BE77" s="297"/>
      <c r="BF77" s="297"/>
      <c r="BG77" s="569"/>
      <c r="BH77" s="570"/>
      <c r="BI77" s="570"/>
      <c r="BJ77" s="570"/>
      <c r="BK77" s="570"/>
      <c r="BL77" s="570"/>
      <c r="BM77" s="570"/>
      <c r="BN77" s="570"/>
      <c r="BO77" s="570"/>
      <c r="BP77" s="570"/>
      <c r="BQ77" s="570"/>
      <c r="BR77" s="570"/>
      <c r="BS77" s="570"/>
      <c r="BT77" s="570"/>
      <c r="BU77" s="570"/>
      <c r="BV77" s="570"/>
      <c r="BW77" s="570"/>
      <c r="BX77" s="570"/>
      <c r="BY77" s="570"/>
      <c r="BZ77" s="571"/>
      <c r="CA77" s="571"/>
    </row>
    <row r="78" spans="2:79">
      <c r="B78" s="566">
        <v>63</v>
      </c>
      <c r="C78" s="308"/>
      <c r="D78" s="307"/>
      <c r="E78" s="307"/>
      <c r="F78" s="305"/>
      <c r="G78" s="305"/>
      <c r="H78" s="292"/>
      <c r="I78" s="574"/>
      <c r="J78" s="573"/>
      <c r="K78" s="307"/>
      <c r="L78" s="292"/>
      <c r="M78" s="308"/>
      <c r="N78" s="292"/>
      <c r="O78" s="308"/>
      <c r="P78" s="575"/>
      <c r="Q78" s="576"/>
      <c r="R78" s="308"/>
      <c r="S78" s="575"/>
      <c r="T78" s="576"/>
      <c r="U78" s="308"/>
      <c r="V78" s="575"/>
      <c r="W78" s="576"/>
      <c r="X78" s="308"/>
      <c r="Y78" s="575"/>
      <c r="Z78" s="576"/>
      <c r="AA78" s="308"/>
      <c r="AB78" s="575"/>
      <c r="AC78" s="576"/>
      <c r="AD78" s="308"/>
      <c r="AE78" s="575"/>
      <c r="AF78" s="308"/>
      <c r="AG78" s="575"/>
      <c r="AH78" s="308"/>
      <c r="AI78" s="575"/>
      <c r="AJ78" s="308"/>
      <c r="AK78" s="305"/>
      <c r="AL78" s="577"/>
      <c r="AM78" s="306"/>
      <c r="AN78" s="308"/>
      <c r="AO78" s="573"/>
      <c r="AP78" s="305"/>
      <c r="AQ78" s="308"/>
      <c r="AR78" s="573"/>
      <c r="AS78" s="578"/>
      <c r="AT78" s="577"/>
      <c r="AU78" s="579"/>
      <c r="AV78" s="578"/>
      <c r="AW78" s="308"/>
      <c r="AX78" s="307"/>
      <c r="AY78" s="307"/>
      <c r="AZ78" s="307"/>
      <c r="BA78" s="307"/>
      <c r="BB78" s="307"/>
      <c r="BC78" s="305"/>
      <c r="BD78" s="292"/>
      <c r="BE78" s="297"/>
      <c r="BF78" s="297"/>
      <c r="BG78" s="569"/>
      <c r="BH78" s="570"/>
      <c r="BI78" s="570"/>
      <c r="BJ78" s="570"/>
      <c r="BK78" s="570"/>
      <c r="BL78" s="570"/>
      <c r="BM78" s="570"/>
      <c r="BN78" s="570"/>
      <c r="BO78" s="570"/>
      <c r="BP78" s="570"/>
      <c r="BQ78" s="570"/>
      <c r="BR78" s="570"/>
      <c r="BS78" s="570"/>
      <c r="BT78" s="570"/>
      <c r="BU78" s="570"/>
      <c r="BV78" s="570"/>
      <c r="BW78" s="570"/>
      <c r="BX78" s="570"/>
      <c r="BY78" s="570"/>
      <c r="BZ78" s="571"/>
      <c r="CA78" s="571"/>
    </row>
    <row r="79" spans="2:79">
      <c r="B79" s="572">
        <v>64</v>
      </c>
      <c r="C79" s="308"/>
      <c r="D79" s="307"/>
      <c r="E79" s="307"/>
      <c r="F79" s="305"/>
      <c r="G79" s="305"/>
      <c r="H79" s="292"/>
      <c r="I79" s="574"/>
      <c r="J79" s="573"/>
      <c r="K79" s="307"/>
      <c r="L79" s="292"/>
      <c r="M79" s="308"/>
      <c r="N79" s="292"/>
      <c r="O79" s="308"/>
      <c r="P79" s="575"/>
      <c r="Q79" s="576"/>
      <c r="R79" s="308"/>
      <c r="S79" s="575"/>
      <c r="T79" s="576"/>
      <c r="U79" s="308"/>
      <c r="V79" s="575"/>
      <c r="W79" s="576"/>
      <c r="X79" s="308"/>
      <c r="Y79" s="575"/>
      <c r="Z79" s="576"/>
      <c r="AA79" s="308"/>
      <c r="AB79" s="575"/>
      <c r="AC79" s="576"/>
      <c r="AD79" s="308"/>
      <c r="AE79" s="575"/>
      <c r="AF79" s="308"/>
      <c r="AG79" s="575"/>
      <c r="AH79" s="308"/>
      <c r="AI79" s="575"/>
      <c r="AJ79" s="308"/>
      <c r="AK79" s="305"/>
      <c r="AL79" s="577"/>
      <c r="AM79" s="306"/>
      <c r="AN79" s="308"/>
      <c r="AO79" s="573"/>
      <c r="AP79" s="305"/>
      <c r="AQ79" s="308"/>
      <c r="AR79" s="573"/>
      <c r="AS79" s="578"/>
      <c r="AT79" s="577"/>
      <c r="AU79" s="579"/>
      <c r="AV79" s="578"/>
      <c r="AW79" s="308"/>
      <c r="AX79" s="307"/>
      <c r="AY79" s="307"/>
      <c r="AZ79" s="307"/>
      <c r="BA79" s="307"/>
      <c r="BB79" s="307"/>
      <c r="BC79" s="305"/>
      <c r="BD79" s="292"/>
      <c r="BE79" s="297"/>
      <c r="BF79" s="297"/>
      <c r="BG79" s="569"/>
      <c r="BH79" s="570"/>
      <c r="BI79" s="570"/>
      <c r="BJ79" s="570"/>
      <c r="BK79" s="570"/>
      <c r="BL79" s="570"/>
      <c r="BM79" s="570"/>
      <c r="BN79" s="570"/>
      <c r="BO79" s="570"/>
      <c r="BP79" s="570"/>
      <c r="BQ79" s="570"/>
      <c r="BR79" s="570"/>
      <c r="BS79" s="570"/>
      <c r="BT79" s="570"/>
      <c r="BU79" s="570"/>
      <c r="BV79" s="570"/>
      <c r="BW79" s="570"/>
      <c r="BX79" s="570"/>
      <c r="BY79" s="570"/>
      <c r="BZ79" s="571"/>
      <c r="CA79" s="571"/>
    </row>
    <row r="80" spans="2:79">
      <c r="B80" s="566">
        <v>65</v>
      </c>
      <c r="C80" s="308"/>
      <c r="D80" s="307"/>
      <c r="E80" s="307"/>
      <c r="F80" s="305"/>
      <c r="G80" s="305"/>
      <c r="H80" s="292"/>
      <c r="I80" s="574"/>
      <c r="J80" s="573"/>
      <c r="K80" s="307"/>
      <c r="L80" s="292"/>
      <c r="M80" s="308"/>
      <c r="N80" s="292"/>
      <c r="O80" s="308"/>
      <c r="P80" s="575"/>
      <c r="Q80" s="576"/>
      <c r="R80" s="308"/>
      <c r="S80" s="575"/>
      <c r="T80" s="576"/>
      <c r="U80" s="308"/>
      <c r="V80" s="575"/>
      <c r="W80" s="576"/>
      <c r="X80" s="308"/>
      <c r="Y80" s="575"/>
      <c r="Z80" s="576"/>
      <c r="AA80" s="308"/>
      <c r="AB80" s="575"/>
      <c r="AC80" s="576"/>
      <c r="AD80" s="308"/>
      <c r="AE80" s="575"/>
      <c r="AF80" s="308"/>
      <c r="AG80" s="575"/>
      <c r="AH80" s="308"/>
      <c r="AI80" s="575"/>
      <c r="AJ80" s="308"/>
      <c r="AK80" s="305"/>
      <c r="AL80" s="577"/>
      <c r="AM80" s="306"/>
      <c r="AN80" s="308"/>
      <c r="AO80" s="573"/>
      <c r="AP80" s="305"/>
      <c r="AQ80" s="308"/>
      <c r="AR80" s="573"/>
      <c r="AS80" s="578"/>
      <c r="AT80" s="577"/>
      <c r="AU80" s="579"/>
      <c r="AV80" s="578"/>
      <c r="AW80" s="308"/>
      <c r="AX80" s="307"/>
      <c r="AY80" s="307"/>
      <c r="AZ80" s="307"/>
      <c r="BA80" s="307"/>
      <c r="BB80" s="307"/>
      <c r="BC80" s="305"/>
      <c r="BD80" s="292"/>
      <c r="BE80" s="297"/>
      <c r="BF80" s="297"/>
      <c r="BG80" s="569"/>
      <c r="BH80" s="570"/>
      <c r="BI80" s="570"/>
      <c r="BJ80" s="570"/>
      <c r="BK80" s="570"/>
      <c r="BL80" s="570"/>
      <c r="BM80" s="570"/>
      <c r="BN80" s="570"/>
      <c r="BO80" s="570"/>
      <c r="BP80" s="570"/>
      <c r="BQ80" s="570"/>
      <c r="BR80" s="570"/>
      <c r="BS80" s="570"/>
      <c r="BT80" s="570"/>
      <c r="BU80" s="570"/>
      <c r="BV80" s="570"/>
      <c r="BW80" s="570"/>
      <c r="BX80" s="570"/>
      <c r="BY80" s="570"/>
      <c r="BZ80" s="571"/>
      <c r="CA80" s="571"/>
    </row>
    <row r="81" spans="2:79">
      <c r="B81" s="572">
        <v>66</v>
      </c>
      <c r="C81" s="308"/>
      <c r="D81" s="307"/>
      <c r="E81" s="307"/>
      <c r="F81" s="305"/>
      <c r="G81" s="305"/>
      <c r="H81" s="292"/>
      <c r="I81" s="574"/>
      <c r="J81" s="573"/>
      <c r="K81" s="307"/>
      <c r="L81" s="292"/>
      <c r="M81" s="308"/>
      <c r="N81" s="292"/>
      <c r="O81" s="308"/>
      <c r="P81" s="575"/>
      <c r="Q81" s="576"/>
      <c r="R81" s="308"/>
      <c r="S81" s="575"/>
      <c r="T81" s="576"/>
      <c r="U81" s="308"/>
      <c r="V81" s="575"/>
      <c r="W81" s="576"/>
      <c r="X81" s="308"/>
      <c r="Y81" s="575"/>
      <c r="Z81" s="576"/>
      <c r="AA81" s="308"/>
      <c r="AB81" s="575"/>
      <c r="AC81" s="576"/>
      <c r="AD81" s="308"/>
      <c r="AE81" s="575"/>
      <c r="AF81" s="308"/>
      <c r="AG81" s="575"/>
      <c r="AH81" s="308"/>
      <c r="AI81" s="575"/>
      <c r="AJ81" s="308"/>
      <c r="AK81" s="305"/>
      <c r="AL81" s="577"/>
      <c r="AM81" s="306"/>
      <c r="AN81" s="308"/>
      <c r="AO81" s="573"/>
      <c r="AP81" s="305"/>
      <c r="AQ81" s="308"/>
      <c r="AR81" s="573"/>
      <c r="AS81" s="578"/>
      <c r="AT81" s="577"/>
      <c r="AU81" s="579"/>
      <c r="AV81" s="578"/>
      <c r="AW81" s="308"/>
      <c r="AX81" s="307"/>
      <c r="AY81" s="307"/>
      <c r="AZ81" s="307"/>
      <c r="BA81" s="307"/>
      <c r="BB81" s="307"/>
      <c r="BC81" s="305"/>
      <c r="BD81" s="292"/>
      <c r="BE81" s="297"/>
      <c r="BF81" s="297"/>
      <c r="BG81" s="569"/>
      <c r="BH81" s="570"/>
      <c r="BI81" s="570"/>
      <c r="BJ81" s="570"/>
      <c r="BK81" s="570"/>
      <c r="BL81" s="570"/>
      <c r="BM81" s="570"/>
      <c r="BN81" s="570"/>
      <c r="BO81" s="570"/>
      <c r="BP81" s="570"/>
      <c r="BQ81" s="570"/>
      <c r="BR81" s="570"/>
      <c r="BS81" s="570"/>
      <c r="BT81" s="570"/>
      <c r="BU81" s="570"/>
      <c r="BV81" s="570"/>
      <c r="BW81" s="570"/>
      <c r="BX81" s="570"/>
      <c r="BY81" s="570"/>
      <c r="BZ81" s="571"/>
      <c r="CA81" s="571"/>
    </row>
    <row r="82" spans="2:79">
      <c r="B82" s="566">
        <v>67</v>
      </c>
      <c r="C82" s="308"/>
      <c r="D82" s="307"/>
      <c r="E82" s="307"/>
      <c r="F82" s="305"/>
      <c r="G82" s="305"/>
      <c r="H82" s="292"/>
      <c r="I82" s="574"/>
      <c r="J82" s="573"/>
      <c r="K82" s="307"/>
      <c r="L82" s="292"/>
      <c r="M82" s="308"/>
      <c r="N82" s="292"/>
      <c r="O82" s="308"/>
      <c r="P82" s="575"/>
      <c r="Q82" s="576"/>
      <c r="R82" s="308"/>
      <c r="S82" s="575"/>
      <c r="T82" s="576"/>
      <c r="U82" s="308"/>
      <c r="V82" s="575"/>
      <c r="W82" s="576"/>
      <c r="X82" s="308"/>
      <c r="Y82" s="575"/>
      <c r="Z82" s="576"/>
      <c r="AA82" s="308"/>
      <c r="AB82" s="575"/>
      <c r="AC82" s="576"/>
      <c r="AD82" s="308"/>
      <c r="AE82" s="575"/>
      <c r="AF82" s="308"/>
      <c r="AG82" s="575"/>
      <c r="AH82" s="308"/>
      <c r="AI82" s="575"/>
      <c r="AJ82" s="308"/>
      <c r="AK82" s="305"/>
      <c r="AL82" s="577"/>
      <c r="AM82" s="306"/>
      <c r="AN82" s="308"/>
      <c r="AO82" s="573"/>
      <c r="AP82" s="305"/>
      <c r="AQ82" s="308"/>
      <c r="AR82" s="573"/>
      <c r="AS82" s="578"/>
      <c r="AT82" s="577"/>
      <c r="AU82" s="579"/>
      <c r="AV82" s="578"/>
      <c r="AW82" s="308"/>
      <c r="AX82" s="307"/>
      <c r="AY82" s="307"/>
      <c r="AZ82" s="307"/>
      <c r="BA82" s="307"/>
      <c r="BB82" s="307"/>
      <c r="BC82" s="305"/>
      <c r="BD82" s="292"/>
      <c r="BE82" s="297"/>
      <c r="BF82" s="297"/>
      <c r="BG82" s="569"/>
      <c r="BH82" s="570"/>
      <c r="BI82" s="570"/>
      <c r="BJ82" s="570"/>
      <c r="BK82" s="570"/>
      <c r="BL82" s="570"/>
      <c r="BM82" s="570"/>
      <c r="BN82" s="570"/>
      <c r="BO82" s="570"/>
      <c r="BP82" s="570"/>
      <c r="BQ82" s="570"/>
      <c r="BR82" s="570"/>
      <c r="BS82" s="570"/>
      <c r="BT82" s="570"/>
      <c r="BU82" s="570"/>
      <c r="BV82" s="570"/>
      <c r="BW82" s="570"/>
      <c r="BX82" s="570"/>
      <c r="BY82" s="570"/>
      <c r="BZ82" s="571"/>
      <c r="CA82" s="571"/>
    </row>
    <row r="83" spans="2:79">
      <c r="B83" s="572">
        <v>68</v>
      </c>
      <c r="C83" s="308"/>
      <c r="D83" s="307"/>
      <c r="E83" s="307"/>
      <c r="F83" s="305"/>
      <c r="G83" s="305"/>
      <c r="H83" s="292"/>
      <c r="I83" s="574"/>
      <c r="J83" s="573"/>
      <c r="K83" s="307"/>
      <c r="L83" s="292"/>
      <c r="M83" s="308"/>
      <c r="N83" s="292"/>
      <c r="O83" s="308"/>
      <c r="P83" s="575"/>
      <c r="Q83" s="576"/>
      <c r="R83" s="308"/>
      <c r="S83" s="575"/>
      <c r="T83" s="576"/>
      <c r="U83" s="308"/>
      <c r="V83" s="575"/>
      <c r="W83" s="576"/>
      <c r="X83" s="308"/>
      <c r="Y83" s="575"/>
      <c r="Z83" s="576"/>
      <c r="AA83" s="308"/>
      <c r="AB83" s="575"/>
      <c r="AC83" s="576"/>
      <c r="AD83" s="308"/>
      <c r="AE83" s="575"/>
      <c r="AF83" s="308"/>
      <c r="AG83" s="575"/>
      <c r="AH83" s="308"/>
      <c r="AI83" s="575"/>
      <c r="AJ83" s="308"/>
      <c r="AK83" s="305"/>
      <c r="AL83" s="577"/>
      <c r="AM83" s="306"/>
      <c r="AN83" s="308"/>
      <c r="AO83" s="573"/>
      <c r="AP83" s="305"/>
      <c r="AQ83" s="308"/>
      <c r="AR83" s="573"/>
      <c r="AS83" s="578"/>
      <c r="AT83" s="577"/>
      <c r="AU83" s="579"/>
      <c r="AV83" s="578"/>
      <c r="AW83" s="308"/>
      <c r="AX83" s="307"/>
      <c r="AY83" s="307"/>
      <c r="AZ83" s="307"/>
      <c r="BA83" s="307"/>
      <c r="BB83" s="307"/>
      <c r="BC83" s="305"/>
      <c r="BD83" s="292"/>
      <c r="BE83" s="297"/>
      <c r="BF83" s="297"/>
      <c r="BG83" s="569"/>
      <c r="BH83" s="570"/>
      <c r="BI83" s="570"/>
      <c r="BJ83" s="570"/>
      <c r="BK83" s="570"/>
      <c r="BL83" s="570"/>
      <c r="BM83" s="570"/>
      <c r="BN83" s="570"/>
      <c r="BO83" s="570"/>
      <c r="BP83" s="570"/>
      <c r="BQ83" s="570"/>
      <c r="BR83" s="570"/>
      <c r="BS83" s="570"/>
      <c r="BT83" s="570"/>
      <c r="BU83" s="570"/>
      <c r="BV83" s="570"/>
      <c r="BW83" s="570"/>
      <c r="BX83" s="570"/>
      <c r="BY83" s="570"/>
      <c r="BZ83" s="571"/>
      <c r="CA83" s="571"/>
    </row>
    <row r="84" spans="2:79">
      <c r="B84" s="566">
        <v>69</v>
      </c>
      <c r="C84" s="308"/>
      <c r="D84" s="307"/>
      <c r="E84" s="307"/>
      <c r="F84" s="305"/>
      <c r="G84" s="305"/>
      <c r="H84" s="292"/>
      <c r="I84" s="574"/>
      <c r="J84" s="573"/>
      <c r="K84" s="307"/>
      <c r="L84" s="292"/>
      <c r="M84" s="308"/>
      <c r="N84" s="292"/>
      <c r="O84" s="308"/>
      <c r="P84" s="575"/>
      <c r="Q84" s="576"/>
      <c r="R84" s="308"/>
      <c r="S84" s="575"/>
      <c r="T84" s="576"/>
      <c r="U84" s="308"/>
      <c r="V84" s="575"/>
      <c r="W84" s="576"/>
      <c r="X84" s="308"/>
      <c r="Y84" s="575"/>
      <c r="Z84" s="576"/>
      <c r="AA84" s="308"/>
      <c r="AB84" s="575"/>
      <c r="AC84" s="576"/>
      <c r="AD84" s="308"/>
      <c r="AE84" s="575"/>
      <c r="AF84" s="308"/>
      <c r="AG84" s="575"/>
      <c r="AH84" s="308"/>
      <c r="AI84" s="575"/>
      <c r="AJ84" s="308"/>
      <c r="AK84" s="305"/>
      <c r="AL84" s="577"/>
      <c r="AM84" s="306"/>
      <c r="AN84" s="308"/>
      <c r="AO84" s="573"/>
      <c r="AP84" s="305"/>
      <c r="AQ84" s="308"/>
      <c r="AR84" s="573"/>
      <c r="AS84" s="578"/>
      <c r="AT84" s="577"/>
      <c r="AU84" s="579"/>
      <c r="AV84" s="578"/>
      <c r="AW84" s="308"/>
      <c r="AX84" s="307"/>
      <c r="AY84" s="307"/>
      <c r="AZ84" s="307"/>
      <c r="BA84" s="307"/>
      <c r="BB84" s="307"/>
      <c r="BC84" s="305"/>
      <c r="BD84" s="292"/>
      <c r="BE84" s="297"/>
      <c r="BF84" s="297"/>
      <c r="BG84" s="569"/>
      <c r="BH84" s="570"/>
      <c r="BI84" s="570"/>
      <c r="BJ84" s="570"/>
      <c r="BK84" s="570"/>
      <c r="BL84" s="570"/>
      <c r="BM84" s="570"/>
      <c r="BN84" s="570"/>
      <c r="BO84" s="570"/>
      <c r="BP84" s="570"/>
      <c r="BQ84" s="570"/>
      <c r="BR84" s="570"/>
      <c r="BS84" s="570"/>
      <c r="BT84" s="570"/>
      <c r="BU84" s="570"/>
      <c r="BV84" s="570"/>
      <c r="BW84" s="570"/>
      <c r="BX84" s="570"/>
      <c r="BY84" s="570"/>
      <c r="BZ84" s="571"/>
      <c r="CA84" s="571"/>
    </row>
    <row r="85" spans="2:79">
      <c r="B85" s="572">
        <v>70</v>
      </c>
      <c r="C85" s="308"/>
      <c r="D85" s="307"/>
      <c r="E85" s="307"/>
      <c r="F85" s="305"/>
      <c r="G85" s="305"/>
      <c r="H85" s="292"/>
      <c r="I85" s="574"/>
      <c r="J85" s="573"/>
      <c r="K85" s="307"/>
      <c r="L85" s="292"/>
      <c r="M85" s="308"/>
      <c r="N85" s="292"/>
      <c r="O85" s="308"/>
      <c r="P85" s="575"/>
      <c r="Q85" s="576"/>
      <c r="R85" s="308"/>
      <c r="S85" s="575"/>
      <c r="T85" s="576"/>
      <c r="U85" s="308"/>
      <c r="V85" s="575"/>
      <c r="W85" s="576"/>
      <c r="X85" s="308"/>
      <c r="Y85" s="575"/>
      <c r="Z85" s="576"/>
      <c r="AA85" s="308"/>
      <c r="AB85" s="575"/>
      <c r="AC85" s="576"/>
      <c r="AD85" s="308"/>
      <c r="AE85" s="575"/>
      <c r="AF85" s="308"/>
      <c r="AG85" s="575"/>
      <c r="AH85" s="308"/>
      <c r="AI85" s="575"/>
      <c r="AJ85" s="308"/>
      <c r="AK85" s="305"/>
      <c r="AL85" s="577"/>
      <c r="AM85" s="306"/>
      <c r="AN85" s="308"/>
      <c r="AO85" s="573"/>
      <c r="AP85" s="305"/>
      <c r="AQ85" s="308"/>
      <c r="AR85" s="573"/>
      <c r="AS85" s="578"/>
      <c r="AT85" s="577"/>
      <c r="AU85" s="579"/>
      <c r="AV85" s="578"/>
      <c r="AW85" s="308"/>
      <c r="AX85" s="307"/>
      <c r="AY85" s="307"/>
      <c r="AZ85" s="307"/>
      <c r="BA85" s="307"/>
      <c r="BB85" s="307"/>
      <c r="BC85" s="305"/>
      <c r="BD85" s="292"/>
      <c r="BE85" s="297"/>
      <c r="BF85" s="297"/>
      <c r="BG85" s="569"/>
      <c r="BH85" s="570"/>
      <c r="BI85" s="570"/>
      <c r="BJ85" s="570"/>
      <c r="BK85" s="570"/>
      <c r="BL85" s="570"/>
      <c r="BM85" s="570"/>
      <c r="BN85" s="570"/>
      <c r="BO85" s="570"/>
      <c r="BP85" s="570"/>
      <c r="BQ85" s="570"/>
      <c r="BR85" s="570"/>
      <c r="BS85" s="570"/>
      <c r="BT85" s="570"/>
      <c r="BU85" s="570"/>
      <c r="BV85" s="570"/>
      <c r="BW85" s="570"/>
      <c r="BX85" s="570"/>
      <c r="BY85" s="570"/>
      <c r="BZ85" s="571"/>
      <c r="CA85" s="571"/>
    </row>
    <row r="86" spans="2:79">
      <c r="B86" s="566">
        <v>71</v>
      </c>
      <c r="C86" s="308"/>
      <c r="D86" s="307"/>
      <c r="E86" s="307"/>
      <c r="F86" s="305"/>
      <c r="G86" s="305"/>
      <c r="H86" s="292"/>
      <c r="I86" s="574"/>
      <c r="J86" s="573"/>
      <c r="K86" s="307"/>
      <c r="L86" s="292"/>
      <c r="M86" s="308"/>
      <c r="N86" s="292"/>
      <c r="O86" s="308"/>
      <c r="P86" s="575"/>
      <c r="Q86" s="576"/>
      <c r="R86" s="308"/>
      <c r="S86" s="575"/>
      <c r="T86" s="576"/>
      <c r="U86" s="308"/>
      <c r="V86" s="575"/>
      <c r="W86" s="576"/>
      <c r="X86" s="308"/>
      <c r="Y86" s="575"/>
      <c r="Z86" s="576"/>
      <c r="AA86" s="308"/>
      <c r="AB86" s="575"/>
      <c r="AC86" s="576"/>
      <c r="AD86" s="308"/>
      <c r="AE86" s="575"/>
      <c r="AF86" s="308"/>
      <c r="AG86" s="575"/>
      <c r="AH86" s="308"/>
      <c r="AI86" s="575"/>
      <c r="AJ86" s="308"/>
      <c r="AK86" s="305"/>
      <c r="AL86" s="577"/>
      <c r="AM86" s="306"/>
      <c r="AN86" s="308"/>
      <c r="AO86" s="573"/>
      <c r="AP86" s="305"/>
      <c r="AQ86" s="308"/>
      <c r="AR86" s="573"/>
      <c r="AS86" s="578"/>
      <c r="AT86" s="577"/>
      <c r="AU86" s="579"/>
      <c r="AV86" s="578"/>
      <c r="AW86" s="308"/>
      <c r="AX86" s="307"/>
      <c r="AY86" s="307"/>
      <c r="AZ86" s="307"/>
      <c r="BA86" s="307"/>
      <c r="BB86" s="307"/>
      <c r="BC86" s="305"/>
      <c r="BD86" s="292"/>
      <c r="BE86" s="297"/>
      <c r="BF86" s="297"/>
      <c r="BG86" s="569"/>
      <c r="BH86" s="570"/>
      <c r="BI86" s="570"/>
      <c r="BJ86" s="570"/>
      <c r="BK86" s="570"/>
      <c r="BL86" s="570"/>
      <c r="BM86" s="570"/>
      <c r="BN86" s="570"/>
      <c r="BO86" s="570"/>
      <c r="BP86" s="570"/>
      <c r="BQ86" s="570"/>
      <c r="BR86" s="570"/>
      <c r="BS86" s="570"/>
      <c r="BT86" s="570"/>
      <c r="BU86" s="570"/>
      <c r="BV86" s="570"/>
      <c r="BW86" s="570"/>
      <c r="BX86" s="570"/>
      <c r="BY86" s="570"/>
      <c r="BZ86" s="571"/>
      <c r="CA86" s="571"/>
    </row>
    <row r="87" spans="2:79">
      <c r="B87" s="572">
        <v>72</v>
      </c>
      <c r="C87" s="308"/>
      <c r="D87" s="307"/>
      <c r="E87" s="307"/>
      <c r="F87" s="305"/>
      <c r="G87" s="305"/>
      <c r="H87" s="292"/>
      <c r="I87" s="574"/>
      <c r="J87" s="573"/>
      <c r="K87" s="307"/>
      <c r="L87" s="292"/>
      <c r="M87" s="308"/>
      <c r="N87" s="292"/>
      <c r="O87" s="308"/>
      <c r="P87" s="575"/>
      <c r="Q87" s="576"/>
      <c r="R87" s="308"/>
      <c r="S87" s="575"/>
      <c r="T87" s="576"/>
      <c r="U87" s="308"/>
      <c r="V87" s="575"/>
      <c r="W87" s="576"/>
      <c r="X87" s="308"/>
      <c r="Y87" s="575"/>
      <c r="Z87" s="576"/>
      <c r="AA87" s="308"/>
      <c r="AB87" s="575"/>
      <c r="AC87" s="576"/>
      <c r="AD87" s="308"/>
      <c r="AE87" s="575"/>
      <c r="AF87" s="308"/>
      <c r="AG87" s="575"/>
      <c r="AH87" s="308"/>
      <c r="AI87" s="575"/>
      <c r="AJ87" s="308"/>
      <c r="AK87" s="305"/>
      <c r="AL87" s="577"/>
      <c r="AM87" s="306"/>
      <c r="AN87" s="308"/>
      <c r="AO87" s="573"/>
      <c r="AP87" s="305"/>
      <c r="AQ87" s="308"/>
      <c r="AR87" s="573"/>
      <c r="AS87" s="578"/>
      <c r="AT87" s="577"/>
      <c r="AU87" s="579"/>
      <c r="AV87" s="578"/>
      <c r="AW87" s="308"/>
      <c r="AX87" s="307"/>
      <c r="AY87" s="307"/>
      <c r="AZ87" s="307"/>
      <c r="BA87" s="307"/>
      <c r="BB87" s="307"/>
      <c r="BC87" s="305"/>
      <c r="BD87" s="292"/>
      <c r="BE87" s="297"/>
      <c r="BF87" s="297"/>
      <c r="BG87" s="569"/>
      <c r="BH87" s="570"/>
      <c r="BI87" s="570"/>
      <c r="BJ87" s="570"/>
      <c r="BK87" s="570"/>
      <c r="BL87" s="570"/>
      <c r="BM87" s="570"/>
      <c r="BN87" s="570"/>
      <c r="BO87" s="570"/>
      <c r="BP87" s="570"/>
      <c r="BQ87" s="570"/>
      <c r="BR87" s="570"/>
      <c r="BS87" s="570"/>
      <c r="BT87" s="570"/>
      <c r="BU87" s="570"/>
      <c r="BV87" s="570"/>
      <c r="BW87" s="570"/>
      <c r="BX87" s="570"/>
      <c r="BY87" s="570"/>
      <c r="BZ87" s="571"/>
      <c r="CA87" s="571"/>
    </row>
    <row r="88" spans="2:79">
      <c r="B88" s="566">
        <v>73</v>
      </c>
      <c r="C88" s="308"/>
      <c r="D88" s="307"/>
      <c r="E88" s="307"/>
      <c r="F88" s="305"/>
      <c r="G88" s="305"/>
      <c r="H88" s="292"/>
      <c r="I88" s="574"/>
      <c r="J88" s="573"/>
      <c r="K88" s="307"/>
      <c r="L88" s="292"/>
      <c r="M88" s="308"/>
      <c r="N88" s="292"/>
      <c r="O88" s="308"/>
      <c r="P88" s="575"/>
      <c r="Q88" s="576"/>
      <c r="R88" s="308"/>
      <c r="S88" s="575"/>
      <c r="T88" s="576"/>
      <c r="U88" s="308"/>
      <c r="V88" s="575"/>
      <c r="W88" s="576"/>
      <c r="X88" s="308"/>
      <c r="Y88" s="575"/>
      <c r="Z88" s="576"/>
      <c r="AA88" s="308"/>
      <c r="AB88" s="575"/>
      <c r="AC88" s="576"/>
      <c r="AD88" s="308"/>
      <c r="AE88" s="575"/>
      <c r="AF88" s="308"/>
      <c r="AG88" s="575"/>
      <c r="AH88" s="308"/>
      <c r="AI88" s="575"/>
      <c r="AJ88" s="308"/>
      <c r="AK88" s="305"/>
      <c r="AL88" s="577"/>
      <c r="AM88" s="306"/>
      <c r="AN88" s="308"/>
      <c r="AO88" s="573"/>
      <c r="AP88" s="305"/>
      <c r="AQ88" s="308"/>
      <c r="AR88" s="573"/>
      <c r="AS88" s="578"/>
      <c r="AT88" s="577"/>
      <c r="AU88" s="579"/>
      <c r="AV88" s="578"/>
      <c r="AW88" s="308"/>
      <c r="AX88" s="307"/>
      <c r="AY88" s="307"/>
      <c r="AZ88" s="307"/>
      <c r="BA88" s="307"/>
      <c r="BB88" s="307"/>
      <c r="BC88" s="305"/>
      <c r="BD88" s="292"/>
      <c r="BE88" s="297"/>
      <c r="BF88" s="297"/>
      <c r="BG88" s="569"/>
      <c r="BH88" s="570"/>
      <c r="BI88" s="570"/>
      <c r="BJ88" s="570"/>
      <c r="BK88" s="570"/>
      <c r="BL88" s="570"/>
      <c r="BM88" s="570"/>
      <c r="BN88" s="570"/>
      <c r="BO88" s="570"/>
      <c r="BP88" s="570"/>
      <c r="BQ88" s="570"/>
      <c r="BR88" s="570"/>
      <c r="BS88" s="570"/>
      <c r="BT88" s="570"/>
      <c r="BU88" s="570"/>
      <c r="BV88" s="570"/>
      <c r="BW88" s="570"/>
      <c r="BX88" s="570"/>
      <c r="BY88" s="570"/>
      <c r="BZ88" s="571"/>
      <c r="CA88" s="571"/>
    </row>
    <row r="89" spans="2:79">
      <c r="B89" s="572">
        <v>74</v>
      </c>
      <c r="C89" s="308"/>
      <c r="D89" s="307"/>
      <c r="E89" s="307"/>
      <c r="F89" s="305"/>
      <c r="G89" s="305"/>
      <c r="H89" s="292"/>
      <c r="I89" s="574"/>
      <c r="J89" s="573"/>
      <c r="K89" s="307"/>
      <c r="L89" s="292"/>
      <c r="M89" s="308"/>
      <c r="N89" s="292"/>
      <c r="O89" s="308"/>
      <c r="P89" s="575"/>
      <c r="Q89" s="576"/>
      <c r="R89" s="308"/>
      <c r="S89" s="575"/>
      <c r="T89" s="576"/>
      <c r="U89" s="308"/>
      <c r="V89" s="575"/>
      <c r="W89" s="576"/>
      <c r="X89" s="308"/>
      <c r="Y89" s="575"/>
      <c r="Z89" s="576"/>
      <c r="AA89" s="308"/>
      <c r="AB89" s="575"/>
      <c r="AC89" s="576"/>
      <c r="AD89" s="308"/>
      <c r="AE89" s="575"/>
      <c r="AF89" s="308"/>
      <c r="AG89" s="575"/>
      <c r="AH89" s="308"/>
      <c r="AI89" s="575"/>
      <c r="AJ89" s="308"/>
      <c r="AK89" s="305"/>
      <c r="AL89" s="577"/>
      <c r="AM89" s="306"/>
      <c r="AN89" s="308"/>
      <c r="AO89" s="573"/>
      <c r="AP89" s="305"/>
      <c r="AQ89" s="308"/>
      <c r="AR89" s="573"/>
      <c r="AS89" s="578"/>
      <c r="AT89" s="577"/>
      <c r="AU89" s="579"/>
      <c r="AV89" s="578"/>
      <c r="AW89" s="308"/>
      <c r="AX89" s="307"/>
      <c r="AY89" s="307"/>
      <c r="AZ89" s="307"/>
      <c r="BA89" s="307"/>
      <c r="BB89" s="307"/>
      <c r="BC89" s="305"/>
      <c r="BD89" s="292"/>
      <c r="BE89" s="297"/>
      <c r="BF89" s="297"/>
      <c r="BG89" s="569"/>
      <c r="BH89" s="570"/>
      <c r="BI89" s="570"/>
      <c r="BJ89" s="570"/>
      <c r="BK89" s="570"/>
      <c r="BL89" s="570"/>
      <c r="BM89" s="570"/>
      <c r="BN89" s="570"/>
      <c r="BO89" s="570"/>
      <c r="BP89" s="570"/>
      <c r="BQ89" s="570"/>
      <c r="BR89" s="570"/>
      <c r="BS89" s="570"/>
      <c r="BT89" s="570"/>
      <c r="BU89" s="570"/>
      <c r="BV89" s="570"/>
      <c r="BW89" s="570"/>
      <c r="BX89" s="570"/>
      <c r="BY89" s="570"/>
      <c r="BZ89" s="571"/>
      <c r="CA89" s="571"/>
    </row>
    <row r="90" spans="2:79">
      <c r="B90" s="566">
        <v>75</v>
      </c>
      <c r="C90" s="308"/>
      <c r="D90" s="307"/>
      <c r="E90" s="307"/>
      <c r="F90" s="305"/>
      <c r="G90" s="305"/>
      <c r="H90" s="292"/>
      <c r="I90" s="574"/>
      <c r="J90" s="573"/>
      <c r="K90" s="307"/>
      <c r="L90" s="292"/>
      <c r="M90" s="308"/>
      <c r="N90" s="292"/>
      <c r="O90" s="308"/>
      <c r="P90" s="575"/>
      <c r="Q90" s="576"/>
      <c r="R90" s="308"/>
      <c r="S90" s="575"/>
      <c r="T90" s="576"/>
      <c r="U90" s="308"/>
      <c r="V90" s="575"/>
      <c r="W90" s="576"/>
      <c r="X90" s="308"/>
      <c r="Y90" s="575"/>
      <c r="Z90" s="576"/>
      <c r="AA90" s="308"/>
      <c r="AB90" s="575"/>
      <c r="AC90" s="576"/>
      <c r="AD90" s="308"/>
      <c r="AE90" s="575"/>
      <c r="AF90" s="308"/>
      <c r="AG90" s="575"/>
      <c r="AH90" s="308"/>
      <c r="AI90" s="575"/>
      <c r="AJ90" s="308"/>
      <c r="AK90" s="305"/>
      <c r="AL90" s="577"/>
      <c r="AM90" s="306"/>
      <c r="AN90" s="308"/>
      <c r="AO90" s="573"/>
      <c r="AP90" s="305"/>
      <c r="AQ90" s="308"/>
      <c r="AR90" s="573"/>
      <c r="AS90" s="578"/>
      <c r="AT90" s="577"/>
      <c r="AU90" s="579"/>
      <c r="AV90" s="578"/>
      <c r="AW90" s="308"/>
      <c r="AX90" s="307"/>
      <c r="AY90" s="307"/>
      <c r="AZ90" s="307"/>
      <c r="BA90" s="307"/>
      <c r="BB90" s="307"/>
      <c r="BC90" s="305"/>
      <c r="BD90" s="292"/>
      <c r="BE90" s="297"/>
      <c r="BF90" s="297"/>
      <c r="BG90" s="569"/>
      <c r="BH90" s="570"/>
      <c r="BI90" s="570"/>
      <c r="BJ90" s="570"/>
      <c r="BK90" s="570"/>
      <c r="BL90" s="570"/>
      <c r="BM90" s="570"/>
      <c r="BN90" s="570"/>
      <c r="BO90" s="570"/>
      <c r="BP90" s="570"/>
      <c r="BQ90" s="570"/>
      <c r="BR90" s="570"/>
      <c r="BS90" s="570"/>
      <c r="BT90" s="570"/>
      <c r="BU90" s="570"/>
      <c r="BV90" s="570"/>
      <c r="BW90" s="570"/>
      <c r="BX90" s="570"/>
      <c r="BY90" s="570"/>
      <c r="BZ90" s="571"/>
      <c r="CA90" s="571"/>
    </row>
    <row r="91" spans="2:79">
      <c r="B91" s="572">
        <v>76</v>
      </c>
      <c r="C91" s="308"/>
      <c r="D91" s="307"/>
      <c r="E91" s="307"/>
      <c r="F91" s="305"/>
      <c r="G91" s="305"/>
      <c r="H91" s="292"/>
      <c r="I91" s="574"/>
      <c r="J91" s="573"/>
      <c r="K91" s="307"/>
      <c r="L91" s="292"/>
      <c r="M91" s="308"/>
      <c r="N91" s="292"/>
      <c r="O91" s="308"/>
      <c r="P91" s="575"/>
      <c r="Q91" s="576"/>
      <c r="R91" s="308"/>
      <c r="S91" s="575"/>
      <c r="T91" s="576"/>
      <c r="U91" s="308"/>
      <c r="V91" s="575"/>
      <c r="W91" s="576"/>
      <c r="X91" s="308"/>
      <c r="Y91" s="575"/>
      <c r="Z91" s="576"/>
      <c r="AA91" s="308"/>
      <c r="AB91" s="575"/>
      <c r="AC91" s="576"/>
      <c r="AD91" s="308"/>
      <c r="AE91" s="575"/>
      <c r="AF91" s="308"/>
      <c r="AG91" s="575"/>
      <c r="AH91" s="308"/>
      <c r="AI91" s="575"/>
      <c r="AJ91" s="308"/>
      <c r="AK91" s="305"/>
      <c r="AL91" s="577"/>
      <c r="AM91" s="306"/>
      <c r="AN91" s="308"/>
      <c r="AO91" s="573"/>
      <c r="AP91" s="305"/>
      <c r="AQ91" s="308"/>
      <c r="AR91" s="573"/>
      <c r="AS91" s="578"/>
      <c r="AT91" s="577"/>
      <c r="AU91" s="579"/>
      <c r="AV91" s="578"/>
      <c r="AW91" s="308"/>
      <c r="AX91" s="307"/>
      <c r="AY91" s="307"/>
      <c r="AZ91" s="307"/>
      <c r="BA91" s="307"/>
      <c r="BB91" s="307"/>
      <c r="BC91" s="305"/>
      <c r="BD91" s="292"/>
      <c r="BE91" s="297"/>
      <c r="BF91" s="297"/>
      <c r="BG91" s="569"/>
      <c r="BH91" s="570"/>
      <c r="BI91" s="570"/>
      <c r="BJ91" s="570"/>
      <c r="BK91" s="570"/>
      <c r="BL91" s="570"/>
      <c r="BM91" s="570"/>
      <c r="BN91" s="570"/>
      <c r="BO91" s="570"/>
      <c r="BP91" s="570"/>
      <c r="BQ91" s="570"/>
      <c r="BR91" s="570"/>
      <c r="BS91" s="570"/>
      <c r="BT91" s="570"/>
      <c r="BU91" s="570"/>
      <c r="BV91" s="570"/>
      <c r="BW91" s="570"/>
      <c r="BX91" s="570"/>
      <c r="BY91" s="570"/>
      <c r="BZ91" s="571"/>
      <c r="CA91" s="571"/>
    </row>
    <row r="92" spans="2:79">
      <c r="B92" s="566">
        <v>77</v>
      </c>
      <c r="C92" s="308"/>
      <c r="D92" s="307"/>
      <c r="E92" s="307"/>
      <c r="F92" s="305"/>
      <c r="G92" s="305"/>
      <c r="H92" s="292"/>
      <c r="I92" s="574"/>
      <c r="J92" s="573"/>
      <c r="K92" s="307"/>
      <c r="L92" s="292"/>
      <c r="M92" s="308"/>
      <c r="N92" s="292"/>
      <c r="O92" s="308"/>
      <c r="P92" s="575"/>
      <c r="Q92" s="576"/>
      <c r="R92" s="308"/>
      <c r="S92" s="575"/>
      <c r="T92" s="576"/>
      <c r="U92" s="308"/>
      <c r="V92" s="575"/>
      <c r="W92" s="576"/>
      <c r="X92" s="308"/>
      <c r="Y92" s="575"/>
      <c r="Z92" s="576"/>
      <c r="AA92" s="308"/>
      <c r="AB92" s="575"/>
      <c r="AC92" s="576"/>
      <c r="AD92" s="308"/>
      <c r="AE92" s="575"/>
      <c r="AF92" s="308"/>
      <c r="AG92" s="575"/>
      <c r="AH92" s="308"/>
      <c r="AI92" s="575"/>
      <c r="AJ92" s="308"/>
      <c r="AK92" s="305"/>
      <c r="AL92" s="577"/>
      <c r="AM92" s="306"/>
      <c r="AN92" s="308"/>
      <c r="AO92" s="573"/>
      <c r="AP92" s="305"/>
      <c r="AQ92" s="308"/>
      <c r="AR92" s="573"/>
      <c r="AS92" s="578"/>
      <c r="AT92" s="577"/>
      <c r="AU92" s="579"/>
      <c r="AV92" s="578"/>
      <c r="AW92" s="308"/>
      <c r="AX92" s="307"/>
      <c r="AY92" s="307"/>
      <c r="AZ92" s="307"/>
      <c r="BA92" s="307"/>
      <c r="BB92" s="307"/>
      <c r="BC92" s="305"/>
      <c r="BD92" s="292"/>
      <c r="BE92" s="297"/>
      <c r="BF92" s="297"/>
      <c r="BG92" s="569"/>
      <c r="BH92" s="570"/>
      <c r="BI92" s="570"/>
      <c r="BJ92" s="570"/>
      <c r="BK92" s="570"/>
      <c r="BL92" s="570"/>
      <c r="BM92" s="570"/>
      <c r="BN92" s="570"/>
      <c r="BO92" s="570"/>
      <c r="BP92" s="570"/>
      <c r="BQ92" s="570"/>
      <c r="BR92" s="570"/>
      <c r="BS92" s="570"/>
      <c r="BT92" s="570"/>
      <c r="BU92" s="570"/>
      <c r="BV92" s="570"/>
      <c r="BW92" s="570"/>
      <c r="BX92" s="570"/>
      <c r="BY92" s="570"/>
      <c r="BZ92" s="571"/>
      <c r="CA92" s="571"/>
    </row>
    <row r="93" spans="2:79">
      <c r="B93" s="572">
        <v>78</v>
      </c>
      <c r="C93" s="308"/>
      <c r="D93" s="307"/>
      <c r="E93" s="307"/>
      <c r="F93" s="305"/>
      <c r="G93" s="305"/>
      <c r="H93" s="292"/>
      <c r="I93" s="574"/>
      <c r="J93" s="573"/>
      <c r="K93" s="307"/>
      <c r="L93" s="292"/>
      <c r="M93" s="308"/>
      <c r="N93" s="292"/>
      <c r="O93" s="308"/>
      <c r="P93" s="575"/>
      <c r="Q93" s="576"/>
      <c r="R93" s="308"/>
      <c r="S93" s="575"/>
      <c r="T93" s="576"/>
      <c r="U93" s="308"/>
      <c r="V93" s="575"/>
      <c r="W93" s="576"/>
      <c r="X93" s="308"/>
      <c r="Y93" s="575"/>
      <c r="Z93" s="576"/>
      <c r="AA93" s="308"/>
      <c r="AB93" s="575"/>
      <c r="AC93" s="576"/>
      <c r="AD93" s="308"/>
      <c r="AE93" s="575"/>
      <c r="AF93" s="308"/>
      <c r="AG93" s="575"/>
      <c r="AH93" s="308"/>
      <c r="AI93" s="575"/>
      <c r="AJ93" s="308"/>
      <c r="AK93" s="305"/>
      <c r="AL93" s="577"/>
      <c r="AM93" s="306"/>
      <c r="AN93" s="308"/>
      <c r="AO93" s="573"/>
      <c r="AP93" s="305"/>
      <c r="AQ93" s="308"/>
      <c r="AR93" s="573"/>
      <c r="AS93" s="578"/>
      <c r="AT93" s="577"/>
      <c r="AU93" s="579"/>
      <c r="AV93" s="578"/>
      <c r="AW93" s="308"/>
      <c r="AX93" s="307"/>
      <c r="AY93" s="307"/>
      <c r="AZ93" s="307"/>
      <c r="BA93" s="307"/>
      <c r="BB93" s="307"/>
      <c r="BC93" s="305"/>
      <c r="BD93" s="292"/>
      <c r="BE93" s="297"/>
      <c r="BF93" s="297"/>
      <c r="BG93" s="569"/>
      <c r="BH93" s="570"/>
      <c r="BI93" s="570"/>
      <c r="BJ93" s="570"/>
      <c r="BK93" s="570"/>
      <c r="BL93" s="570"/>
      <c r="BM93" s="570"/>
      <c r="BN93" s="570"/>
      <c r="BO93" s="570"/>
      <c r="BP93" s="570"/>
      <c r="BQ93" s="570"/>
      <c r="BR93" s="570"/>
      <c r="BS93" s="570"/>
      <c r="BT93" s="570"/>
      <c r="BU93" s="570"/>
      <c r="BV93" s="570"/>
      <c r="BW93" s="570"/>
      <c r="BX93" s="570"/>
      <c r="BY93" s="570"/>
      <c r="BZ93" s="571"/>
      <c r="CA93" s="571"/>
    </row>
    <row r="94" spans="2:79">
      <c r="B94" s="566">
        <v>79</v>
      </c>
      <c r="C94" s="308"/>
      <c r="D94" s="307"/>
      <c r="E94" s="307"/>
      <c r="F94" s="305"/>
      <c r="G94" s="305"/>
      <c r="H94" s="292"/>
      <c r="I94" s="574"/>
      <c r="J94" s="573"/>
      <c r="K94" s="307"/>
      <c r="L94" s="292"/>
      <c r="M94" s="308"/>
      <c r="N94" s="292"/>
      <c r="O94" s="308"/>
      <c r="P94" s="575"/>
      <c r="Q94" s="576"/>
      <c r="R94" s="308"/>
      <c r="S94" s="575"/>
      <c r="T94" s="576"/>
      <c r="U94" s="308"/>
      <c r="V94" s="575"/>
      <c r="W94" s="576"/>
      <c r="X94" s="308"/>
      <c r="Y94" s="575"/>
      <c r="Z94" s="576"/>
      <c r="AA94" s="308"/>
      <c r="AB94" s="575"/>
      <c r="AC94" s="576"/>
      <c r="AD94" s="308"/>
      <c r="AE94" s="575"/>
      <c r="AF94" s="308"/>
      <c r="AG94" s="575"/>
      <c r="AH94" s="308"/>
      <c r="AI94" s="575"/>
      <c r="AJ94" s="308"/>
      <c r="AK94" s="305"/>
      <c r="AL94" s="577"/>
      <c r="AM94" s="306"/>
      <c r="AN94" s="308"/>
      <c r="AO94" s="573"/>
      <c r="AP94" s="305"/>
      <c r="AQ94" s="308"/>
      <c r="AR94" s="573"/>
      <c r="AS94" s="578"/>
      <c r="AT94" s="577"/>
      <c r="AU94" s="579"/>
      <c r="AV94" s="578"/>
      <c r="AW94" s="308"/>
      <c r="AX94" s="307"/>
      <c r="AY94" s="307"/>
      <c r="AZ94" s="307"/>
      <c r="BA94" s="307"/>
      <c r="BB94" s="307"/>
      <c r="BC94" s="305"/>
      <c r="BD94" s="292"/>
      <c r="BE94" s="297"/>
      <c r="BF94" s="297"/>
      <c r="BG94" s="569"/>
      <c r="BH94" s="570"/>
      <c r="BI94" s="570"/>
      <c r="BJ94" s="570"/>
      <c r="BK94" s="570"/>
      <c r="BL94" s="570"/>
      <c r="BM94" s="570"/>
      <c r="BN94" s="570"/>
      <c r="BO94" s="570"/>
      <c r="BP94" s="570"/>
      <c r="BQ94" s="570"/>
      <c r="BR94" s="570"/>
      <c r="BS94" s="570"/>
      <c r="BT94" s="570"/>
      <c r="BU94" s="570"/>
      <c r="BV94" s="570"/>
      <c r="BW94" s="570"/>
      <c r="BX94" s="570"/>
      <c r="BY94" s="570"/>
      <c r="BZ94" s="571"/>
      <c r="CA94" s="571"/>
    </row>
    <row r="95" spans="2:79">
      <c r="B95" s="572">
        <v>80</v>
      </c>
      <c r="C95" s="308"/>
      <c r="D95" s="307"/>
      <c r="E95" s="307"/>
      <c r="F95" s="305"/>
      <c r="G95" s="305"/>
      <c r="H95" s="292"/>
      <c r="I95" s="574"/>
      <c r="J95" s="573"/>
      <c r="K95" s="307"/>
      <c r="L95" s="292"/>
      <c r="M95" s="308"/>
      <c r="N95" s="292"/>
      <c r="O95" s="308"/>
      <c r="P95" s="575"/>
      <c r="Q95" s="576"/>
      <c r="R95" s="308"/>
      <c r="S95" s="575"/>
      <c r="T95" s="576"/>
      <c r="U95" s="308"/>
      <c r="V95" s="575"/>
      <c r="W95" s="576"/>
      <c r="X95" s="308"/>
      <c r="Y95" s="575"/>
      <c r="Z95" s="576"/>
      <c r="AA95" s="308"/>
      <c r="AB95" s="575"/>
      <c r="AC95" s="576"/>
      <c r="AD95" s="308"/>
      <c r="AE95" s="575"/>
      <c r="AF95" s="308"/>
      <c r="AG95" s="575"/>
      <c r="AH95" s="308"/>
      <c r="AI95" s="575"/>
      <c r="AJ95" s="308"/>
      <c r="AK95" s="305"/>
      <c r="AL95" s="577"/>
      <c r="AM95" s="306"/>
      <c r="AN95" s="308"/>
      <c r="AO95" s="573"/>
      <c r="AP95" s="305"/>
      <c r="AQ95" s="308"/>
      <c r="AR95" s="573"/>
      <c r="AS95" s="578"/>
      <c r="AT95" s="577"/>
      <c r="AU95" s="579"/>
      <c r="AV95" s="578"/>
      <c r="AW95" s="308"/>
      <c r="AX95" s="307"/>
      <c r="AY95" s="307"/>
      <c r="AZ95" s="307"/>
      <c r="BA95" s="307"/>
      <c r="BB95" s="307"/>
      <c r="BC95" s="305"/>
      <c r="BD95" s="292"/>
      <c r="BE95" s="297"/>
      <c r="BF95" s="297"/>
      <c r="BG95" s="569"/>
      <c r="BH95" s="570"/>
      <c r="BI95" s="570"/>
      <c r="BJ95" s="570"/>
      <c r="BK95" s="570"/>
      <c r="BL95" s="570"/>
      <c r="BM95" s="570"/>
      <c r="BN95" s="570"/>
      <c r="BO95" s="570"/>
      <c r="BP95" s="570"/>
      <c r="BQ95" s="570"/>
      <c r="BR95" s="570"/>
      <c r="BS95" s="570"/>
      <c r="BT95" s="570"/>
      <c r="BU95" s="570"/>
      <c r="BV95" s="570"/>
      <c r="BW95" s="570"/>
      <c r="BX95" s="570"/>
      <c r="BY95" s="570"/>
      <c r="BZ95" s="571"/>
      <c r="CA95" s="571"/>
    </row>
    <row r="96" spans="2:79">
      <c r="B96" s="566">
        <v>81</v>
      </c>
      <c r="C96" s="308"/>
      <c r="D96" s="307"/>
      <c r="E96" s="307"/>
      <c r="F96" s="305"/>
      <c r="G96" s="305"/>
      <c r="H96" s="292"/>
      <c r="I96" s="574"/>
      <c r="J96" s="573"/>
      <c r="K96" s="307"/>
      <c r="L96" s="292"/>
      <c r="M96" s="308"/>
      <c r="N96" s="292"/>
      <c r="O96" s="308"/>
      <c r="P96" s="575"/>
      <c r="Q96" s="576"/>
      <c r="R96" s="308"/>
      <c r="S96" s="575"/>
      <c r="T96" s="576"/>
      <c r="U96" s="308"/>
      <c r="V96" s="575"/>
      <c r="W96" s="576"/>
      <c r="X96" s="308"/>
      <c r="Y96" s="575"/>
      <c r="Z96" s="576"/>
      <c r="AA96" s="308"/>
      <c r="AB96" s="575"/>
      <c r="AC96" s="576"/>
      <c r="AD96" s="308"/>
      <c r="AE96" s="575"/>
      <c r="AF96" s="308"/>
      <c r="AG96" s="575"/>
      <c r="AH96" s="308"/>
      <c r="AI96" s="575"/>
      <c r="AJ96" s="308"/>
      <c r="AK96" s="305"/>
      <c r="AL96" s="577"/>
      <c r="AM96" s="306"/>
      <c r="AN96" s="308"/>
      <c r="AO96" s="573"/>
      <c r="AP96" s="305"/>
      <c r="AQ96" s="308"/>
      <c r="AR96" s="573"/>
      <c r="AS96" s="578"/>
      <c r="AT96" s="577"/>
      <c r="AU96" s="579"/>
      <c r="AV96" s="578"/>
      <c r="AW96" s="308"/>
      <c r="AX96" s="307"/>
      <c r="AY96" s="307"/>
      <c r="AZ96" s="307"/>
      <c r="BA96" s="307"/>
      <c r="BB96" s="307"/>
      <c r="BC96" s="305"/>
      <c r="BD96" s="292"/>
      <c r="BE96" s="297"/>
      <c r="BF96" s="297"/>
      <c r="BG96" s="569"/>
      <c r="BH96" s="570"/>
      <c r="BI96" s="570"/>
      <c r="BJ96" s="570"/>
      <c r="BK96" s="570"/>
      <c r="BL96" s="570"/>
      <c r="BM96" s="570"/>
      <c r="BN96" s="570"/>
      <c r="BO96" s="570"/>
      <c r="BP96" s="570"/>
      <c r="BQ96" s="570"/>
      <c r="BR96" s="570"/>
      <c r="BS96" s="570"/>
      <c r="BT96" s="570"/>
      <c r="BU96" s="570"/>
      <c r="BV96" s="570"/>
      <c r="BW96" s="570"/>
      <c r="BX96" s="570"/>
      <c r="BY96" s="570"/>
      <c r="BZ96" s="571"/>
      <c r="CA96" s="571"/>
    </row>
    <row r="97" spans="2:79">
      <c r="B97" s="572">
        <v>82</v>
      </c>
      <c r="C97" s="308"/>
      <c r="D97" s="307"/>
      <c r="E97" s="307"/>
      <c r="F97" s="305"/>
      <c r="G97" s="305"/>
      <c r="H97" s="292"/>
      <c r="I97" s="574"/>
      <c r="J97" s="573"/>
      <c r="K97" s="307"/>
      <c r="L97" s="292"/>
      <c r="M97" s="308"/>
      <c r="N97" s="292"/>
      <c r="O97" s="308"/>
      <c r="P97" s="575"/>
      <c r="Q97" s="576"/>
      <c r="R97" s="308"/>
      <c r="S97" s="575"/>
      <c r="T97" s="576"/>
      <c r="U97" s="308"/>
      <c r="V97" s="575"/>
      <c r="W97" s="576"/>
      <c r="X97" s="308"/>
      <c r="Y97" s="575"/>
      <c r="Z97" s="576"/>
      <c r="AA97" s="308"/>
      <c r="AB97" s="575"/>
      <c r="AC97" s="576"/>
      <c r="AD97" s="308"/>
      <c r="AE97" s="575"/>
      <c r="AF97" s="308"/>
      <c r="AG97" s="575"/>
      <c r="AH97" s="308"/>
      <c r="AI97" s="575"/>
      <c r="AJ97" s="308"/>
      <c r="AK97" s="305"/>
      <c r="AL97" s="577"/>
      <c r="AM97" s="306"/>
      <c r="AN97" s="308"/>
      <c r="AO97" s="573"/>
      <c r="AP97" s="305"/>
      <c r="AQ97" s="308"/>
      <c r="AR97" s="573"/>
      <c r="AS97" s="578"/>
      <c r="AT97" s="577"/>
      <c r="AU97" s="579"/>
      <c r="AV97" s="578"/>
      <c r="AW97" s="308"/>
      <c r="AX97" s="307"/>
      <c r="AY97" s="307"/>
      <c r="AZ97" s="307"/>
      <c r="BA97" s="307"/>
      <c r="BB97" s="307"/>
      <c r="BC97" s="305"/>
      <c r="BD97" s="292"/>
      <c r="BE97" s="297"/>
      <c r="BF97" s="297"/>
      <c r="BG97" s="569"/>
      <c r="BH97" s="570"/>
      <c r="BI97" s="570"/>
      <c r="BJ97" s="570"/>
      <c r="BK97" s="570"/>
      <c r="BL97" s="570"/>
      <c r="BM97" s="570"/>
      <c r="BN97" s="570"/>
      <c r="BO97" s="570"/>
      <c r="BP97" s="570"/>
      <c r="BQ97" s="570"/>
      <c r="BR97" s="570"/>
      <c r="BS97" s="570"/>
      <c r="BT97" s="570"/>
      <c r="BU97" s="570"/>
      <c r="BV97" s="570"/>
      <c r="BW97" s="570"/>
      <c r="BX97" s="570"/>
      <c r="BY97" s="570"/>
      <c r="BZ97" s="571"/>
      <c r="CA97" s="571"/>
    </row>
    <row r="98" spans="2:79">
      <c r="B98" s="566">
        <v>83</v>
      </c>
      <c r="C98" s="308"/>
      <c r="D98" s="307"/>
      <c r="E98" s="307"/>
      <c r="F98" s="305"/>
      <c r="G98" s="305"/>
      <c r="H98" s="292"/>
      <c r="I98" s="574"/>
      <c r="J98" s="573"/>
      <c r="K98" s="307"/>
      <c r="L98" s="292"/>
      <c r="M98" s="308"/>
      <c r="N98" s="292"/>
      <c r="O98" s="308"/>
      <c r="P98" s="575"/>
      <c r="Q98" s="576"/>
      <c r="R98" s="308"/>
      <c r="S98" s="575"/>
      <c r="T98" s="576"/>
      <c r="U98" s="308"/>
      <c r="V98" s="575"/>
      <c r="W98" s="576"/>
      <c r="X98" s="308"/>
      <c r="Y98" s="575"/>
      <c r="Z98" s="576"/>
      <c r="AA98" s="308"/>
      <c r="AB98" s="575"/>
      <c r="AC98" s="576"/>
      <c r="AD98" s="308"/>
      <c r="AE98" s="575"/>
      <c r="AF98" s="308"/>
      <c r="AG98" s="575"/>
      <c r="AH98" s="308"/>
      <c r="AI98" s="575"/>
      <c r="AJ98" s="308"/>
      <c r="AK98" s="305"/>
      <c r="AL98" s="577"/>
      <c r="AM98" s="306"/>
      <c r="AN98" s="308"/>
      <c r="AO98" s="573"/>
      <c r="AP98" s="305"/>
      <c r="AQ98" s="308"/>
      <c r="AR98" s="573"/>
      <c r="AS98" s="578"/>
      <c r="AT98" s="577"/>
      <c r="AU98" s="579"/>
      <c r="AV98" s="578"/>
      <c r="AW98" s="308"/>
      <c r="AX98" s="307"/>
      <c r="AY98" s="307"/>
      <c r="AZ98" s="307"/>
      <c r="BA98" s="307"/>
      <c r="BB98" s="307"/>
      <c r="BC98" s="305"/>
      <c r="BD98" s="292"/>
      <c r="BE98" s="297"/>
      <c r="BF98" s="297"/>
      <c r="BG98" s="569"/>
      <c r="BH98" s="570"/>
      <c r="BI98" s="570"/>
      <c r="BJ98" s="570"/>
      <c r="BK98" s="570"/>
      <c r="BL98" s="570"/>
      <c r="BM98" s="570"/>
      <c r="BN98" s="570"/>
      <c r="BO98" s="570"/>
      <c r="BP98" s="570"/>
      <c r="BQ98" s="570"/>
      <c r="BR98" s="570"/>
      <c r="BS98" s="570"/>
      <c r="BT98" s="570"/>
      <c r="BU98" s="570"/>
      <c r="BV98" s="570"/>
      <c r="BW98" s="570"/>
      <c r="BX98" s="570"/>
      <c r="BY98" s="570"/>
      <c r="BZ98" s="571"/>
      <c r="CA98" s="571"/>
    </row>
    <row r="99" spans="2:79">
      <c r="B99" s="572">
        <v>84</v>
      </c>
      <c r="C99" s="308"/>
      <c r="D99" s="307"/>
      <c r="E99" s="307"/>
      <c r="F99" s="305"/>
      <c r="G99" s="305"/>
      <c r="H99" s="292"/>
      <c r="I99" s="574"/>
      <c r="J99" s="573"/>
      <c r="K99" s="307"/>
      <c r="L99" s="292"/>
      <c r="M99" s="308"/>
      <c r="N99" s="292"/>
      <c r="O99" s="308"/>
      <c r="P99" s="575"/>
      <c r="Q99" s="576"/>
      <c r="R99" s="308"/>
      <c r="S99" s="575"/>
      <c r="T99" s="576"/>
      <c r="U99" s="308"/>
      <c r="V99" s="575"/>
      <c r="W99" s="576"/>
      <c r="X99" s="308"/>
      <c r="Y99" s="575"/>
      <c r="Z99" s="576"/>
      <c r="AA99" s="308"/>
      <c r="AB99" s="575"/>
      <c r="AC99" s="576"/>
      <c r="AD99" s="308"/>
      <c r="AE99" s="575"/>
      <c r="AF99" s="308"/>
      <c r="AG99" s="575"/>
      <c r="AH99" s="308"/>
      <c r="AI99" s="575"/>
      <c r="AJ99" s="308"/>
      <c r="AK99" s="305"/>
      <c r="AL99" s="577"/>
      <c r="AM99" s="306"/>
      <c r="AN99" s="308"/>
      <c r="AO99" s="573"/>
      <c r="AP99" s="305"/>
      <c r="AQ99" s="308"/>
      <c r="AR99" s="573"/>
      <c r="AS99" s="578"/>
      <c r="AT99" s="577"/>
      <c r="AU99" s="579"/>
      <c r="AV99" s="578"/>
      <c r="AW99" s="308"/>
      <c r="AX99" s="307"/>
      <c r="AY99" s="307"/>
      <c r="AZ99" s="307"/>
      <c r="BA99" s="307"/>
      <c r="BB99" s="307"/>
      <c r="BC99" s="305"/>
      <c r="BD99" s="292"/>
      <c r="BE99" s="297"/>
      <c r="BF99" s="297"/>
      <c r="BG99" s="569"/>
      <c r="BH99" s="570"/>
      <c r="BI99" s="570"/>
      <c r="BJ99" s="570"/>
      <c r="BK99" s="570"/>
      <c r="BL99" s="570"/>
      <c r="BM99" s="570"/>
      <c r="BN99" s="570"/>
      <c r="BO99" s="570"/>
      <c r="BP99" s="570"/>
      <c r="BQ99" s="570"/>
      <c r="BR99" s="570"/>
      <c r="BS99" s="570"/>
      <c r="BT99" s="570"/>
      <c r="BU99" s="570"/>
      <c r="BV99" s="570"/>
      <c r="BW99" s="570"/>
      <c r="BX99" s="570"/>
      <c r="BY99" s="570"/>
      <c r="BZ99" s="571"/>
      <c r="CA99" s="571"/>
    </row>
    <row r="100" spans="2:79">
      <c r="B100" s="566">
        <v>85</v>
      </c>
      <c r="C100" s="308"/>
      <c r="D100" s="307"/>
      <c r="E100" s="307"/>
      <c r="F100" s="305"/>
      <c r="G100" s="305"/>
      <c r="H100" s="292"/>
      <c r="I100" s="574"/>
      <c r="J100" s="573"/>
      <c r="K100" s="307"/>
      <c r="L100" s="292"/>
      <c r="M100" s="308"/>
      <c r="N100" s="292"/>
      <c r="O100" s="308"/>
      <c r="P100" s="575"/>
      <c r="Q100" s="576"/>
      <c r="R100" s="308"/>
      <c r="S100" s="575"/>
      <c r="T100" s="576"/>
      <c r="U100" s="308"/>
      <c r="V100" s="575"/>
      <c r="W100" s="576"/>
      <c r="X100" s="308"/>
      <c r="Y100" s="575"/>
      <c r="Z100" s="576"/>
      <c r="AA100" s="308"/>
      <c r="AB100" s="575"/>
      <c r="AC100" s="576"/>
      <c r="AD100" s="308"/>
      <c r="AE100" s="575"/>
      <c r="AF100" s="308"/>
      <c r="AG100" s="575"/>
      <c r="AH100" s="308"/>
      <c r="AI100" s="575"/>
      <c r="AJ100" s="308"/>
      <c r="AK100" s="305"/>
      <c r="AL100" s="577"/>
      <c r="AM100" s="306"/>
      <c r="AN100" s="308"/>
      <c r="AO100" s="573"/>
      <c r="AP100" s="305"/>
      <c r="AQ100" s="308"/>
      <c r="AR100" s="573"/>
      <c r="AS100" s="578"/>
      <c r="AT100" s="577"/>
      <c r="AU100" s="579"/>
      <c r="AV100" s="578"/>
      <c r="AW100" s="308"/>
      <c r="AX100" s="307"/>
      <c r="AY100" s="307"/>
      <c r="AZ100" s="307"/>
      <c r="BA100" s="307"/>
      <c r="BB100" s="307"/>
      <c r="BC100" s="305"/>
      <c r="BD100" s="292"/>
      <c r="BE100" s="297"/>
      <c r="BF100" s="297"/>
      <c r="BG100" s="569"/>
      <c r="BH100" s="570"/>
      <c r="BI100" s="570"/>
      <c r="BJ100" s="570"/>
      <c r="BK100" s="570"/>
      <c r="BL100" s="570"/>
      <c r="BM100" s="570"/>
      <c r="BN100" s="570"/>
      <c r="BO100" s="570"/>
      <c r="BP100" s="570"/>
      <c r="BQ100" s="570"/>
      <c r="BR100" s="570"/>
      <c r="BS100" s="570"/>
      <c r="BT100" s="570"/>
      <c r="BU100" s="570"/>
      <c r="BV100" s="570"/>
      <c r="BW100" s="570"/>
      <c r="BX100" s="570"/>
      <c r="BY100" s="570"/>
      <c r="BZ100" s="571"/>
      <c r="CA100" s="571"/>
    </row>
    <row r="101" spans="2:79">
      <c r="B101" s="572">
        <v>86</v>
      </c>
      <c r="C101" s="308"/>
      <c r="D101" s="307"/>
      <c r="E101" s="307"/>
      <c r="F101" s="305"/>
      <c r="G101" s="305"/>
      <c r="H101" s="292"/>
      <c r="I101" s="574"/>
      <c r="J101" s="573"/>
      <c r="K101" s="307"/>
      <c r="L101" s="292"/>
      <c r="M101" s="308"/>
      <c r="N101" s="292"/>
      <c r="O101" s="308"/>
      <c r="P101" s="575"/>
      <c r="Q101" s="576"/>
      <c r="R101" s="308"/>
      <c r="S101" s="575"/>
      <c r="T101" s="576"/>
      <c r="U101" s="308"/>
      <c r="V101" s="575"/>
      <c r="W101" s="576"/>
      <c r="X101" s="308"/>
      <c r="Y101" s="575"/>
      <c r="Z101" s="576"/>
      <c r="AA101" s="308"/>
      <c r="AB101" s="575"/>
      <c r="AC101" s="576"/>
      <c r="AD101" s="308"/>
      <c r="AE101" s="575"/>
      <c r="AF101" s="308"/>
      <c r="AG101" s="575"/>
      <c r="AH101" s="308"/>
      <c r="AI101" s="575"/>
      <c r="AJ101" s="308"/>
      <c r="AK101" s="305"/>
      <c r="AL101" s="577"/>
      <c r="AM101" s="306"/>
      <c r="AN101" s="308"/>
      <c r="AO101" s="573"/>
      <c r="AP101" s="305"/>
      <c r="AQ101" s="308"/>
      <c r="AR101" s="573"/>
      <c r="AS101" s="578"/>
      <c r="AT101" s="577"/>
      <c r="AU101" s="579"/>
      <c r="AV101" s="578"/>
      <c r="AW101" s="308"/>
      <c r="AX101" s="307"/>
      <c r="AY101" s="307"/>
      <c r="AZ101" s="307"/>
      <c r="BA101" s="307"/>
      <c r="BB101" s="307"/>
      <c r="BC101" s="305"/>
      <c r="BD101" s="292"/>
      <c r="BE101" s="297"/>
      <c r="BF101" s="297"/>
      <c r="BG101" s="569"/>
      <c r="BH101" s="570"/>
      <c r="BI101" s="570"/>
      <c r="BJ101" s="570"/>
      <c r="BK101" s="570"/>
      <c r="BL101" s="570"/>
      <c r="BM101" s="570"/>
      <c r="BN101" s="570"/>
      <c r="BO101" s="570"/>
      <c r="BP101" s="570"/>
      <c r="BQ101" s="570"/>
      <c r="BR101" s="570"/>
      <c r="BS101" s="570"/>
      <c r="BT101" s="570"/>
      <c r="BU101" s="570"/>
      <c r="BV101" s="570"/>
      <c r="BW101" s="570"/>
      <c r="BX101" s="570"/>
      <c r="BY101" s="570"/>
      <c r="BZ101" s="571"/>
      <c r="CA101" s="571"/>
    </row>
    <row r="102" spans="2:79">
      <c r="B102" s="566">
        <v>87</v>
      </c>
      <c r="C102" s="308"/>
      <c r="D102" s="307"/>
      <c r="E102" s="307"/>
      <c r="F102" s="305"/>
      <c r="G102" s="305"/>
      <c r="H102" s="292"/>
      <c r="I102" s="574"/>
      <c r="J102" s="573"/>
      <c r="K102" s="307"/>
      <c r="L102" s="292"/>
      <c r="M102" s="308"/>
      <c r="N102" s="292"/>
      <c r="O102" s="308"/>
      <c r="P102" s="575"/>
      <c r="Q102" s="576"/>
      <c r="R102" s="308"/>
      <c r="S102" s="575"/>
      <c r="T102" s="576"/>
      <c r="U102" s="308"/>
      <c r="V102" s="575"/>
      <c r="W102" s="576"/>
      <c r="X102" s="308"/>
      <c r="Y102" s="575"/>
      <c r="Z102" s="576"/>
      <c r="AA102" s="308"/>
      <c r="AB102" s="575"/>
      <c r="AC102" s="576"/>
      <c r="AD102" s="308"/>
      <c r="AE102" s="575"/>
      <c r="AF102" s="308"/>
      <c r="AG102" s="575"/>
      <c r="AH102" s="308"/>
      <c r="AI102" s="575"/>
      <c r="AJ102" s="308"/>
      <c r="AK102" s="305"/>
      <c r="AL102" s="577"/>
      <c r="AM102" s="306"/>
      <c r="AN102" s="308"/>
      <c r="AO102" s="573"/>
      <c r="AP102" s="305"/>
      <c r="AQ102" s="308"/>
      <c r="AR102" s="573"/>
      <c r="AS102" s="578"/>
      <c r="AT102" s="577"/>
      <c r="AU102" s="579"/>
      <c r="AV102" s="578"/>
      <c r="AW102" s="308"/>
      <c r="AX102" s="307"/>
      <c r="AY102" s="307"/>
      <c r="AZ102" s="307"/>
      <c r="BA102" s="307"/>
      <c r="BB102" s="307"/>
      <c r="BC102" s="305"/>
      <c r="BD102" s="292"/>
      <c r="BE102" s="297"/>
      <c r="BF102" s="297"/>
      <c r="BG102" s="569"/>
      <c r="BH102" s="570"/>
      <c r="BI102" s="570"/>
      <c r="BJ102" s="570"/>
      <c r="BK102" s="570"/>
      <c r="BL102" s="570"/>
      <c r="BM102" s="570"/>
      <c r="BN102" s="570"/>
      <c r="BO102" s="570"/>
      <c r="BP102" s="570"/>
      <c r="BQ102" s="570"/>
      <c r="BR102" s="570"/>
      <c r="BS102" s="570"/>
      <c r="BT102" s="570"/>
      <c r="BU102" s="570"/>
      <c r="BV102" s="570"/>
      <c r="BW102" s="570"/>
      <c r="BX102" s="570"/>
      <c r="BY102" s="570"/>
      <c r="BZ102" s="571"/>
      <c r="CA102" s="571"/>
    </row>
    <row r="103" spans="2:79">
      <c r="B103" s="572">
        <v>88</v>
      </c>
      <c r="C103" s="308"/>
      <c r="D103" s="307"/>
      <c r="E103" s="307"/>
      <c r="F103" s="305"/>
      <c r="G103" s="305"/>
      <c r="H103" s="292"/>
      <c r="I103" s="574"/>
      <c r="J103" s="573"/>
      <c r="K103" s="307"/>
      <c r="L103" s="292"/>
      <c r="M103" s="308"/>
      <c r="N103" s="292"/>
      <c r="O103" s="308"/>
      <c r="P103" s="575"/>
      <c r="Q103" s="576"/>
      <c r="R103" s="308"/>
      <c r="S103" s="575"/>
      <c r="T103" s="576"/>
      <c r="U103" s="308"/>
      <c r="V103" s="575"/>
      <c r="W103" s="576"/>
      <c r="X103" s="308"/>
      <c r="Y103" s="575"/>
      <c r="Z103" s="576"/>
      <c r="AA103" s="308"/>
      <c r="AB103" s="575"/>
      <c r="AC103" s="576"/>
      <c r="AD103" s="308"/>
      <c r="AE103" s="575"/>
      <c r="AF103" s="308"/>
      <c r="AG103" s="575"/>
      <c r="AH103" s="308"/>
      <c r="AI103" s="575"/>
      <c r="AJ103" s="308"/>
      <c r="AK103" s="305"/>
      <c r="AL103" s="577"/>
      <c r="AM103" s="306"/>
      <c r="AN103" s="308"/>
      <c r="AO103" s="573"/>
      <c r="AP103" s="305"/>
      <c r="AQ103" s="308"/>
      <c r="AR103" s="573"/>
      <c r="AS103" s="578"/>
      <c r="AT103" s="577"/>
      <c r="AU103" s="579"/>
      <c r="AV103" s="578"/>
      <c r="AW103" s="308"/>
      <c r="AX103" s="307"/>
      <c r="AY103" s="307"/>
      <c r="AZ103" s="307"/>
      <c r="BA103" s="307"/>
      <c r="BB103" s="307"/>
      <c r="BC103" s="305"/>
      <c r="BD103" s="292"/>
      <c r="BE103" s="297"/>
      <c r="BF103" s="297"/>
      <c r="BG103" s="569"/>
      <c r="BH103" s="570"/>
      <c r="BI103" s="570"/>
      <c r="BJ103" s="570"/>
      <c r="BK103" s="570"/>
      <c r="BL103" s="570"/>
      <c r="BM103" s="570"/>
      <c r="BN103" s="570"/>
      <c r="BO103" s="570"/>
      <c r="BP103" s="570"/>
      <c r="BQ103" s="570"/>
      <c r="BR103" s="570"/>
      <c r="BS103" s="570"/>
      <c r="BT103" s="570"/>
      <c r="BU103" s="570"/>
      <c r="BV103" s="570"/>
      <c r="BW103" s="570"/>
      <c r="BX103" s="570"/>
      <c r="BY103" s="570"/>
      <c r="BZ103" s="571"/>
      <c r="CA103" s="571"/>
    </row>
    <row r="104" spans="2:79">
      <c r="B104" s="566">
        <v>89</v>
      </c>
      <c r="C104" s="308"/>
      <c r="D104" s="307"/>
      <c r="E104" s="307"/>
      <c r="F104" s="305"/>
      <c r="G104" s="305"/>
      <c r="H104" s="292"/>
      <c r="I104" s="574"/>
      <c r="J104" s="573"/>
      <c r="K104" s="307"/>
      <c r="L104" s="292"/>
      <c r="M104" s="308"/>
      <c r="N104" s="292"/>
      <c r="O104" s="308"/>
      <c r="P104" s="575"/>
      <c r="Q104" s="576"/>
      <c r="R104" s="308"/>
      <c r="S104" s="575"/>
      <c r="T104" s="576"/>
      <c r="U104" s="308"/>
      <c r="V104" s="575"/>
      <c r="W104" s="576"/>
      <c r="X104" s="308"/>
      <c r="Y104" s="575"/>
      <c r="Z104" s="576"/>
      <c r="AA104" s="308"/>
      <c r="AB104" s="575"/>
      <c r="AC104" s="576"/>
      <c r="AD104" s="308"/>
      <c r="AE104" s="575"/>
      <c r="AF104" s="308"/>
      <c r="AG104" s="575"/>
      <c r="AH104" s="308"/>
      <c r="AI104" s="575"/>
      <c r="AJ104" s="308"/>
      <c r="AK104" s="305"/>
      <c r="AL104" s="577"/>
      <c r="AM104" s="306"/>
      <c r="AN104" s="308"/>
      <c r="AO104" s="573"/>
      <c r="AP104" s="305"/>
      <c r="AQ104" s="308"/>
      <c r="AR104" s="573"/>
      <c r="AS104" s="578"/>
      <c r="AT104" s="577"/>
      <c r="AU104" s="579"/>
      <c r="AV104" s="578"/>
      <c r="AW104" s="308"/>
      <c r="AX104" s="307"/>
      <c r="AY104" s="307"/>
      <c r="AZ104" s="307"/>
      <c r="BA104" s="307"/>
      <c r="BB104" s="307"/>
      <c r="BC104" s="305"/>
      <c r="BD104" s="292"/>
      <c r="BE104" s="297"/>
      <c r="BF104" s="297"/>
      <c r="BG104" s="569"/>
      <c r="BH104" s="570"/>
      <c r="BI104" s="570"/>
      <c r="BJ104" s="570"/>
      <c r="BK104" s="570"/>
      <c r="BL104" s="570"/>
      <c r="BM104" s="570"/>
      <c r="BN104" s="570"/>
      <c r="BO104" s="570"/>
      <c r="BP104" s="570"/>
      <c r="BQ104" s="570"/>
      <c r="BR104" s="570"/>
      <c r="BS104" s="570"/>
      <c r="BT104" s="570"/>
      <c r="BU104" s="570"/>
      <c r="BV104" s="570"/>
      <c r="BW104" s="570"/>
      <c r="BX104" s="570"/>
      <c r="BY104" s="570"/>
      <c r="BZ104" s="571"/>
      <c r="CA104" s="571"/>
    </row>
    <row r="105" spans="2:79">
      <c r="B105" s="572">
        <v>90</v>
      </c>
      <c r="C105" s="308"/>
      <c r="D105" s="307"/>
      <c r="E105" s="307"/>
      <c r="F105" s="305"/>
      <c r="G105" s="305"/>
      <c r="H105" s="292"/>
      <c r="I105" s="574"/>
      <c r="J105" s="573"/>
      <c r="K105" s="307"/>
      <c r="L105" s="292"/>
      <c r="M105" s="308"/>
      <c r="N105" s="292"/>
      <c r="O105" s="308"/>
      <c r="P105" s="575"/>
      <c r="Q105" s="576"/>
      <c r="R105" s="308"/>
      <c r="S105" s="575"/>
      <c r="T105" s="576"/>
      <c r="U105" s="308"/>
      <c r="V105" s="575"/>
      <c r="W105" s="576"/>
      <c r="X105" s="308"/>
      <c r="Y105" s="575"/>
      <c r="Z105" s="576"/>
      <c r="AA105" s="308"/>
      <c r="AB105" s="575"/>
      <c r="AC105" s="576"/>
      <c r="AD105" s="308"/>
      <c r="AE105" s="575"/>
      <c r="AF105" s="308"/>
      <c r="AG105" s="575"/>
      <c r="AH105" s="308"/>
      <c r="AI105" s="575"/>
      <c r="AJ105" s="308"/>
      <c r="AK105" s="305"/>
      <c r="AL105" s="577"/>
      <c r="AM105" s="306"/>
      <c r="AN105" s="308"/>
      <c r="AO105" s="573"/>
      <c r="AP105" s="305"/>
      <c r="AQ105" s="308"/>
      <c r="AR105" s="573"/>
      <c r="AS105" s="578"/>
      <c r="AT105" s="577"/>
      <c r="AU105" s="579"/>
      <c r="AV105" s="578"/>
      <c r="AW105" s="308"/>
      <c r="AX105" s="307"/>
      <c r="AY105" s="307"/>
      <c r="AZ105" s="307"/>
      <c r="BA105" s="307"/>
      <c r="BB105" s="307"/>
      <c r="BC105" s="305"/>
      <c r="BD105" s="292"/>
      <c r="BE105" s="297"/>
      <c r="BF105" s="297"/>
      <c r="BG105" s="569"/>
      <c r="BH105" s="570"/>
      <c r="BI105" s="570"/>
      <c r="BJ105" s="570"/>
      <c r="BK105" s="570"/>
      <c r="BL105" s="570"/>
      <c r="BM105" s="570"/>
      <c r="BN105" s="570"/>
      <c r="BO105" s="570"/>
      <c r="BP105" s="570"/>
      <c r="BQ105" s="570"/>
      <c r="BR105" s="570"/>
      <c r="BS105" s="570"/>
      <c r="BT105" s="570"/>
      <c r="BU105" s="570"/>
      <c r="BV105" s="570"/>
      <c r="BW105" s="570"/>
      <c r="BX105" s="570"/>
      <c r="BY105" s="570"/>
      <c r="BZ105" s="571"/>
      <c r="CA105" s="571"/>
    </row>
    <row r="106" spans="2:79">
      <c r="B106" s="566">
        <v>91</v>
      </c>
      <c r="C106" s="308"/>
      <c r="D106" s="307"/>
      <c r="E106" s="307"/>
      <c r="F106" s="305"/>
      <c r="G106" s="305"/>
      <c r="H106" s="292"/>
      <c r="I106" s="574"/>
      <c r="J106" s="573"/>
      <c r="K106" s="307"/>
      <c r="L106" s="292"/>
      <c r="M106" s="308"/>
      <c r="N106" s="292"/>
      <c r="O106" s="308"/>
      <c r="P106" s="575"/>
      <c r="Q106" s="576"/>
      <c r="R106" s="308"/>
      <c r="S106" s="575"/>
      <c r="T106" s="576"/>
      <c r="U106" s="308"/>
      <c r="V106" s="575"/>
      <c r="W106" s="576"/>
      <c r="X106" s="308"/>
      <c r="Y106" s="575"/>
      <c r="Z106" s="576"/>
      <c r="AA106" s="308"/>
      <c r="AB106" s="575"/>
      <c r="AC106" s="576"/>
      <c r="AD106" s="308"/>
      <c r="AE106" s="575"/>
      <c r="AF106" s="308"/>
      <c r="AG106" s="575"/>
      <c r="AH106" s="308"/>
      <c r="AI106" s="575"/>
      <c r="AJ106" s="308"/>
      <c r="AK106" s="305"/>
      <c r="AL106" s="577"/>
      <c r="AM106" s="306"/>
      <c r="AN106" s="308"/>
      <c r="AO106" s="573"/>
      <c r="AP106" s="305"/>
      <c r="AQ106" s="308"/>
      <c r="AR106" s="573"/>
      <c r="AS106" s="578"/>
      <c r="AT106" s="577"/>
      <c r="AU106" s="579"/>
      <c r="AV106" s="578"/>
      <c r="AW106" s="308"/>
      <c r="AX106" s="307"/>
      <c r="AY106" s="307"/>
      <c r="AZ106" s="307"/>
      <c r="BA106" s="307"/>
      <c r="BB106" s="307"/>
      <c r="BC106" s="305"/>
      <c r="BD106" s="292"/>
      <c r="BE106" s="297"/>
      <c r="BF106" s="297"/>
      <c r="BG106" s="569"/>
      <c r="BH106" s="570"/>
      <c r="BI106" s="570"/>
      <c r="BJ106" s="570"/>
      <c r="BK106" s="570"/>
      <c r="BL106" s="570"/>
      <c r="BM106" s="570"/>
      <c r="BN106" s="570"/>
      <c r="BO106" s="570"/>
      <c r="BP106" s="570"/>
      <c r="BQ106" s="570"/>
      <c r="BR106" s="570"/>
      <c r="BS106" s="570"/>
      <c r="BT106" s="570"/>
      <c r="BU106" s="570"/>
      <c r="BV106" s="570"/>
      <c r="BW106" s="570"/>
      <c r="BX106" s="570"/>
      <c r="BY106" s="570"/>
      <c r="BZ106" s="571"/>
      <c r="CA106" s="571"/>
    </row>
    <row r="107" spans="2:79">
      <c r="B107" s="572">
        <v>92</v>
      </c>
      <c r="C107" s="308"/>
      <c r="D107" s="307"/>
      <c r="E107" s="307"/>
      <c r="F107" s="305"/>
      <c r="G107" s="305"/>
      <c r="H107" s="292"/>
      <c r="I107" s="574"/>
      <c r="J107" s="573"/>
      <c r="K107" s="307"/>
      <c r="L107" s="292"/>
      <c r="M107" s="308"/>
      <c r="N107" s="292"/>
      <c r="O107" s="308"/>
      <c r="P107" s="575"/>
      <c r="Q107" s="576"/>
      <c r="R107" s="308"/>
      <c r="S107" s="575"/>
      <c r="T107" s="576"/>
      <c r="U107" s="308"/>
      <c r="V107" s="575"/>
      <c r="W107" s="576"/>
      <c r="X107" s="308"/>
      <c r="Y107" s="575"/>
      <c r="Z107" s="576"/>
      <c r="AA107" s="308"/>
      <c r="AB107" s="575"/>
      <c r="AC107" s="576"/>
      <c r="AD107" s="308"/>
      <c r="AE107" s="575"/>
      <c r="AF107" s="308"/>
      <c r="AG107" s="575"/>
      <c r="AH107" s="308"/>
      <c r="AI107" s="575"/>
      <c r="AJ107" s="308"/>
      <c r="AK107" s="305"/>
      <c r="AL107" s="577"/>
      <c r="AM107" s="306"/>
      <c r="AN107" s="308"/>
      <c r="AO107" s="573"/>
      <c r="AP107" s="305"/>
      <c r="AQ107" s="308"/>
      <c r="AR107" s="573"/>
      <c r="AS107" s="578"/>
      <c r="AT107" s="577"/>
      <c r="AU107" s="579"/>
      <c r="AV107" s="578"/>
      <c r="AW107" s="308"/>
      <c r="AX107" s="307"/>
      <c r="AY107" s="307"/>
      <c r="AZ107" s="307"/>
      <c r="BA107" s="307"/>
      <c r="BB107" s="307"/>
      <c r="BC107" s="305"/>
      <c r="BD107" s="292"/>
      <c r="BE107" s="297"/>
      <c r="BF107" s="297"/>
      <c r="BG107" s="569"/>
      <c r="BH107" s="570"/>
      <c r="BI107" s="570"/>
      <c r="BJ107" s="570"/>
      <c r="BK107" s="570"/>
      <c r="BL107" s="570"/>
      <c r="BM107" s="570"/>
      <c r="BN107" s="570"/>
      <c r="BO107" s="570"/>
      <c r="BP107" s="570"/>
      <c r="BQ107" s="570"/>
      <c r="BR107" s="570"/>
      <c r="BS107" s="570"/>
      <c r="BT107" s="570"/>
      <c r="BU107" s="570"/>
      <c r="BV107" s="570"/>
      <c r="BW107" s="570"/>
      <c r="BX107" s="570"/>
      <c r="BY107" s="570"/>
      <c r="BZ107" s="571"/>
      <c r="CA107" s="571"/>
    </row>
    <row r="108" spans="2:79">
      <c r="B108" s="566">
        <v>93</v>
      </c>
      <c r="C108" s="308"/>
      <c r="D108" s="307"/>
      <c r="E108" s="307"/>
      <c r="F108" s="305"/>
      <c r="G108" s="305"/>
      <c r="H108" s="292"/>
      <c r="I108" s="574"/>
      <c r="J108" s="573"/>
      <c r="K108" s="307"/>
      <c r="L108" s="292"/>
      <c r="M108" s="308"/>
      <c r="N108" s="292"/>
      <c r="O108" s="308"/>
      <c r="P108" s="575"/>
      <c r="Q108" s="576"/>
      <c r="R108" s="308"/>
      <c r="S108" s="575"/>
      <c r="T108" s="576"/>
      <c r="U108" s="308"/>
      <c r="V108" s="575"/>
      <c r="W108" s="576"/>
      <c r="X108" s="308"/>
      <c r="Y108" s="575"/>
      <c r="Z108" s="576"/>
      <c r="AA108" s="308"/>
      <c r="AB108" s="575"/>
      <c r="AC108" s="576"/>
      <c r="AD108" s="308"/>
      <c r="AE108" s="575"/>
      <c r="AF108" s="308"/>
      <c r="AG108" s="575"/>
      <c r="AH108" s="308"/>
      <c r="AI108" s="575"/>
      <c r="AJ108" s="308"/>
      <c r="AK108" s="305"/>
      <c r="AL108" s="577"/>
      <c r="AM108" s="306"/>
      <c r="AN108" s="308"/>
      <c r="AO108" s="573"/>
      <c r="AP108" s="305"/>
      <c r="AQ108" s="308"/>
      <c r="AR108" s="573"/>
      <c r="AS108" s="578"/>
      <c r="AT108" s="577"/>
      <c r="AU108" s="579"/>
      <c r="AV108" s="578"/>
      <c r="AW108" s="308"/>
      <c r="AX108" s="307"/>
      <c r="AY108" s="307"/>
      <c r="AZ108" s="307"/>
      <c r="BA108" s="307"/>
      <c r="BB108" s="307"/>
      <c r="BC108" s="305"/>
      <c r="BD108" s="292"/>
      <c r="BE108" s="297"/>
      <c r="BF108" s="297"/>
      <c r="BG108" s="569"/>
      <c r="BH108" s="570"/>
      <c r="BI108" s="570"/>
      <c r="BJ108" s="570"/>
      <c r="BK108" s="570"/>
      <c r="BL108" s="570"/>
      <c r="BM108" s="570"/>
      <c r="BN108" s="570"/>
      <c r="BO108" s="570"/>
      <c r="BP108" s="570"/>
      <c r="BQ108" s="570"/>
      <c r="BR108" s="570"/>
      <c r="BS108" s="570"/>
      <c r="BT108" s="570"/>
      <c r="BU108" s="570"/>
      <c r="BV108" s="570"/>
      <c r="BW108" s="570"/>
      <c r="BX108" s="570"/>
      <c r="BY108" s="570"/>
      <c r="BZ108" s="571"/>
      <c r="CA108" s="571"/>
    </row>
    <row r="109" spans="2:79">
      <c r="B109" s="572">
        <v>94</v>
      </c>
      <c r="C109" s="308"/>
      <c r="D109" s="307"/>
      <c r="E109" s="307"/>
      <c r="F109" s="305"/>
      <c r="G109" s="305"/>
      <c r="H109" s="292"/>
      <c r="I109" s="574"/>
      <c r="J109" s="573"/>
      <c r="K109" s="307"/>
      <c r="L109" s="292"/>
      <c r="M109" s="308"/>
      <c r="N109" s="292"/>
      <c r="O109" s="308"/>
      <c r="P109" s="575"/>
      <c r="Q109" s="576"/>
      <c r="R109" s="308"/>
      <c r="S109" s="575"/>
      <c r="T109" s="576"/>
      <c r="U109" s="308"/>
      <c r="V109" s="575"/>
      <c r="W109" s="576"/>
      <c r="X109" s="308"/>
      <c r="Y109" s="575"/>
      <c r="Z109" s="576"/>
      <c r="AA109" s="308"/>
      <c r="AB109" s="575"/>
      <c r="AC109" s="576"/>
      <c r="AD109" s="308"/>
      <c r="AE109" s="575"/>
      <c r="AF109" s="308"/>
      <c r="AG109" s="575"/>
      <c r="AH109" s="308"/>
      <c r="AI109" s="575"/>
      <c r="AJ109" s="308"/>
      <c r="AK109" s="305"/>
      <c r="AL109" s="577"/>
      <c r="AM109" s="306"/>
      <c r="AN109" s="308"/>
      <c r="AO109" s="573"/>
      <c r="AP109" s="305"/>
      <c r="AQ109" s="308"/>
      <c r="AR109" s="573"/>
      <c r="AS109" s="578"/>
      <c r="AT109" s="577"/>
      <c r="AU109" s="579"/>
      <c r="AV109" s="578"/>
      <c r="AW109" s="308"/>
      <c r="AX109" s="307"/>
      <c r="AY109" s="307"/>
      <c r="AZ109" s="307"/>
      <c r="BA109" s="307"/>
      <c r="BB109" s="307"/>
      <c r="BC109" s="305"/>
      <c r="BD109" s="292"/>
      <c r="BE109" s="297"/>
      <c r="BF109" s="297"/>
      <c r="BG109" s="569"/>
      <c r="BH109" s="570"/>
      <c r="BI109" s="570"/>
      <c r="BJ109" s="570"/>
      <c r="BK109" s="570"/>
      <c r="BL109" s="570"/>
      <c r="BM109" s="570"/>
      <c r="BN109" s="570"/>
      <c r="BO109" s="570"/>
      <c r="BP109" s="570"/>
      <c r="BQ109" s="570"/>
      <c r="BR109" s="570"/>
      <c r="BS109" s="570"/>
      <c r="BT109" s="570"/>
      <c r="BU109" s="570"/>
      <c r="BV109" s="570"/>
      <c r="BW109" s="570"/>
      <c r="BX109" s="570"/>
      <c r="BY109" s="570"/>
      <c r="BZ109" s="571"/>
      <c r="CA109" s="571"/>
    </row>
    <row r="110" spans="2:79">
      <c r="B110" s="566">
        <v>95</v>
      </c>
      <c r="C110" s="308"/>
      <c r="D110" s="307"/>
      <c r="E110" s="307"/>
      <c r="F110" s="305"/>
      <c r="G110" s="305"/>
      <c r="H110" s="292"/>
      <c r="I110" s="574"/>
      <c r="J110" s="573"/>
      <c r="K110" s="307"/>
      <c r="L110" s="292"/>
      <c r="M110" s="308"/>
      <c r="N110" s="292"/>
      <c r="O110" s="308"/>
      <c r="P110" s="575"/>
      <c r="Q110" s="576"/>
      <c r="R110" s="308"/>
      <c r="S110" s="575"/>
      <c r="T110" s="576"/>
      <c r="U110" s="308"/>
      <c r="V110" s="575"/>
      <c r="W110" s="576"/>
      <c r="X110" s="308"/>
      <c r="Y110" s="575"/>
      <c r="Z110" s="576"/>
      <c r="AA110" s="308"/>
      <c r="AB110" s="575"/>
      <c r="AC110" s="576"/>
      <c r="AD110" s="308"/>
      <c r="AE110" s="575"/>
      <c r="AF110" s="308"/>
      <c r="AG110" s="575"/>
      <c r="AH110" s="308"/>
      <c r="AI110" s="575"/>
      <c r="AJ110" s="308"/>
      <c r="AK110" s="305"/>
      <c r="AL110" s="577"/>
      <c r="AM110" s="306"/>
      <c r="AN110" s="308"/>
      <c r="AO110" s="573"/>
      <c r="AP110" s="305"/>
      <c r="AQ110" s="308"/>
      <c r="AR110" s="573"/>
      <c r="AS110" s="578"/>
      <c r="AT110" s="577"/>
      <c r="AU110" s="579"/>
      <c r="AV110" s="578"/>
      <c r="AW110" s="308"/>
      <c r="AX110" s="307"/>
      <c r="AY110" s="307"/>
      <c r="AZ110" s="307"/>
      <c r="BA110" s="307"/>
      <c r="BB110" s="307"/>
      <c r="BC110" s="305"/>
      <c r="BD110" s="292"/>
      <c r="BE110" s="297"/>
      <c r="BF110" s="297"/>
      <c r="BG110" s="569"/>
      <c r="BH110" s="570"/>
      <c r="BI110" s="570"/>
      <c r="BJ110" s="570"/>
      <c r="BK110" s="570"/>
      <c r="BL110" s="570"/>
      <c r="BM110" s="570"/>
      <c r="BN110" s="570"/>
      <c r="BO110" s="570"/>
      <c r="BP110" s="570"/>
      <c r="BQ110" s="570"/>
      <c r="BR110" s="570"/>
      <c r="BS110" s="570"/>
      <c r="BT110" s="570"/>
      <c r="BU110" s="570"/>
      <c r="BV110" s="570"/>
      <c r="BW110" s="570"/>
      <c r="BX110" s="570"/>
      <c r="BY110" s="570"/>
      <c r="BZ110" s="571"/>
      <c r="CA110" s="571"/>
    </row>
    <row r="111" spans="2:79">
      <c r="B111" s="572">
        <v>96</v>
      </c>
      <c r="C111" s="308"/>
      <c r="D111" s="307"/>
      <c r="E111" s="307"/>
      <c r="F111" s="305"/>
      <c r="G111" s="305"/>
      <c r="H111" s="292"/>
      <c r="I111" s="574"/>
      <c r="J111" s="573"/>
      <c r="K111" s="307"/>
      <c r="L111" s="292"/>
      <c r="M111" s="308"/>
      <c r="N111" s="292"/>
      <c r="O111" s="308"/>
      <c r="P111" s="575"/>
      <c r="Q111" s="576"/>
      <c r="R111" s="308"/>
      <c r="S111" s="575"/>
      <c r="T111" s="576"/>
      <c r="U111" s="308"/>
      <c r="V111" s="575"/>
      <c r="W111" s="576"/>
      <c r="X111" s="308"/>
      <c r="Y111" s="575"/>
      <c r="Z111" s="576"/>
      <c r="AA111" s="308"/>
      <c r="AB111" s="575"/>
      <c r="AC111" s="576"/>
      <c r="AD111" s="308"/>
      <c r="AE111" s="575"/>
      <c r="AF111" s="308"/>
      <c r="AG111" s="575"/>
      <c r="AH111" s="308"/>
      <c r="AI111" s="575"/>
      <c r="AJ111" s="308"/>
      <c r="AK111" s="305"/>
      <c r="AL111" s="577"/>
      <c r="AM111" s="306"/>
      <c r="AN111" s="308"/>
      <c r="AO111" s="573"/>
      <c r="AP111" s="305"/>
      <c r="AQ111" s="308"/>
      <c r="AR111" s="573"/>
      <c r="AS111" s="578"/>
      <c r="AT111" s="577"/>
      <c r="AU111" s="579"/>
      <c r="AV111" s="578"/>
      <c r="AW111" s="308"/>
      <c r="AX111" s="307"/>
      <c r="AY111" s="307"/>
      <c r="AZ111" s="307"/>
      <c r="BA111" s="307"/>
      <c r="BB111" s="307"/>
      <c r="BC111" s="305"/>
      <c r="BD111" s="292"/>
      <c r="BE111" s="297"/>
      <c r="BF111" s="297"/>
      <c r="BG111" s="569"/>
      <c r="BH111" s="570"/>
      <c r="BI111" s="570"/>
      <c r="BJ111" s="570"/>
      <c r="BK111" s="570"/>
      <c r="BL111" s="570"/>
      <c r="BM111" s="570"/>
      <c r="BN111" s="570"/>
      <c r="BO111" s="570"/>
      <c r="BP111" s="570"/>
      <c r="BQ111" s="570"/>
      <c r="BR111" s="570"/>
      <c r="BS111" s="570"/>
      <c r="BT111" s="570"/>
      <c r="BU111" s="570"/>
      <c r="BV111" s="570"/>
      <c r="BW111" s="570"/>
      <c r="BX111" s="570"/>
      <c r="BY111" s="570"/>
      <c r="BZ111" s="571"/>
      <c r="CA111" s="571"/>
    </row>
    <row r="112" spans="2:79">
      <c r="B112" s="566">
        <v>97</v>
      </c>
      <c r="C112" s="308"/>
      <c r="D112" s="307"/>
      <c r="E112" s="307"/>
      <c r="F112" s="305"/>
      <c r="G112" s="305"/>
      <c r="H112" s="292"/>
      <c r="I112" s="574"/>
      <c r="J112" s="573"/>
      <c r="K112" s="307"/>
      <c r="L112" s="292"/>
      <c r="M112" s="308"/>
      <c r="N112" s="292"/>
      <c r="O112" s="308"/>
      <c r="P112" s="575"/>
      <c r="Q112" s="576"/>
      <c r="R112" s="308"/>
      <c r="S112" s="575"/>
      <c r="T112" s="576"/>
      <c r="U112" s="308"/>
      <c r="V112" s="575"/>
      <c r="W112" s="576"/>
      <c r="X112" s="308"/>
      <c r="Y112" s="575"/>
      <c r="Z112" s="576"/>
      <c r="AA112" s="308"/>
      <c r="AB112" s="575"/>
      <c r="AC112" s="576"/>
      <c r="AD112" s="308"/>
      <c r="AE112" s="575"/>
      <c r="AF112" s="308"/>
      <c r="AG112" s="575"/>
      <c r="AH112" s="308"/>
      <c r="AI112" s="575"/>
      <c r="AJ112" s="308"/>
      <c r="AK112" s="305"/>
      <c r="AL112" s="577"/>
      <c r="AM112" s="306"/>
      <c r="AN112" s="308"/>
      <c r="AO112" s="573"/>
      <c r="AP112" s="305"/>
      <c r="AQ112" s="308"/>
      <c r="AR112" s="573"/>
      <c r="AS112" s="578"/>
      <c r="AT112" s="577"/>
      <c r="AU112" s="579"/>
      <c r="AV112" s="578"/>
      <c r="AW112" s="308"/>
      <c r="AX112" s="307"/>
      <c r="AY112" s="307"/>
      <c r="AZ112" s="307"/>
      <c r="BA112" s="307"/>
      <c r="BB112" s="307"/>
      <c r="BC112" s="305"/>
      <c r="BD112" s="292"/>
      <c r="BE112" s="297"/>
      <c r="BF112" s="297"/>
      <c r="BG112" s="569"/>
      <c r="BH112" s="570"/>
      <c r="BI112" s="570"/>
      <c r="BJ112" s="570"/>
      <c r="BK112" s="570"/>
      <c r="BL112" s="570"/>
      <c r="BM112" s="570"/>
      <c r="BN112" s="570"/>
      <c r="BO112" s="570"/>
      <c r="BP112" s="570"/>
      <c r="BQ112" s="570"/>
      <c r="BR112" s="570"/>
      <c r="BS112" s="570"/>
      <c r="BT112" s="570"/>
      <c r="BU112" s="570"/>
      <c r="BV112" s="570"/>
      <c r="BW112" s="570"/>
      <c r="BX112" s="570"/>
      <c r="BY112" s="570"/>
      <c r="BZ112" s="571"/>
      <c r="CA112" s="571"/>
    </row>
    <row r="113" spans="2:79">
      <c r="B113" s="572">
        <v>98</v>
      </c>
      <c r="C113" s="308"/>
      <c r="D113" s="307"/>
      <c r="E113" s="307"/>
      <c r="F113" s="305"/>
      <c r="G113" s="305"/>
      <c r="H113" s="292"/>
      <c r="I113" s="574"/>
      <c r="J113" s="573"/>
      <c r="K113" s="307"/>
      <c r="L113" s="292"/>
      <c r="M113" s="308"/>
      <c r="N113" s="292"/>
      <c r="O113" s="308"/>
      <c r="P113" s="575"/>
      <c r="Q113" s="576"/>
      <c r="R113" s="308"/>
      <c r="S113" s="575"/>
      <c r="T113" s="576"/>
      <c r="U113" s="308"/>
      <c r="V113" s="575"/>
      <c r="W113" s="576"/>
      <c r="X113" s="308"/>
      <c r="Y113" s="575"/>
      <c r="Z113" s="576"/>
      <c r="AA113" s="308"/>
      <c r="AB113" s="575"/>
      <c r="AC113" s="576"/>
      <c r="AD113" s="308"/>
      <c r="AE113" s="575"/>
      <c r="AF113" s="308"/>
      <c r="AG113" s="575"/>
      <c r="AH113" s="308"/>
      <c r="AI113" s="575"/>
      <c r="AJ113" s="308"/>
      <c r="AK113" s="305"/>
      <c r="AL113" s="577"/>
      <c r="AM113" s="306"/>
      <c r="AN113" s="308"/>
      <c r="AO113" s="573"/>
      <c r="AP113" s="305"/>
      <c r="AQ113" s="308"/>
      <c r="AR113" s="573"/>
      <c r="AS113" s="578"/>
      <c r="AT113" s="577"/>
      <c r="AU113" s="579"/>
      <c r="AV113" s="578"/>
      <c r="AW113" s="308"/>
      <c r="AX113" s="307"/>
      <c r="AY113" s="307"/>
      <c r="AZ113" s="307"/>
      <c r="BA113" s="307"/>
      <c r="BB113" s="307"/>
      <c r="BC113" s="305"/>
      <c r="BD113" s="292"/>
      <c r="BE113" s="297"/>
      <c r="BF113" s="297"/>
      <c r="BG113" s="569"/>
      <c r="BH113" s="570"/>
      <c r="BI113" s="570"/>
      <c r="BJ113" s="570"/>
      <c r="BK113" s="570"/>
      <c r="BL113" s="570"/>
      <c r="BM113" s="570"/>
      <c r="BN113" s="570"/>
      <c r="BO113" s="570"/>
      <c r="BP113" s="570"/>
      <c r="BQ113" s="570"/>
      <c r="BR113" s="570"/>
      <c r="BS113" s="570"/>
      <c r="BT113" s="570"/>
      <c r="BU113" s="570"/>
      <c r="BV113" s="570"/>
      <c r="BW113" s="570"/>
      <c r="BX113" s="570"/>
      <c r="BY113" s="570"/>
      <c r="BZ113" s="571"/>
      <c r="CA113" s="571"/>
    </row>
    <row r="114" spans="2:79">
      <c r="B114" s="566">
        <v>99</v>
      </c>
      <c r="C114" s="308"/>
      <c r="D114" s="307"/>
      <c r="E114" s="307"/>
      <c r="F114" s="305"/>
      <c r="G114" s="305"/>
      <c r="H114" s="292"/>
      <c r="I114" s="574"/>
      <c r="J114" s="573"/>
      <c r="K114" s="307"/>
      <c r="L114" s="292"/>
      <c r="M114" s="308"/>
      <c r="N114" s="292"/>
      <c r="O114" s="308"/>
      <c r="P114" s="575"/>
      <c r="Q114" s="576"/>
      <c r="R114" s="308"/>
      <c r="S114" s="575"/>
      <c r="T114" s="576"/>
      <c r="U114" s="308"/>
      <c r="V114" s="575"/>
      <c r="W114" s="576"/>
      <c r="X114" s="308"/>
      <c r="Y114" s="575"/>
      <c r="Z114" s="576"/>
      <c r="AA114" s="308"/>
      <c r="AB114" s="575"/>
      <c r="AC114" s="576"/>
      <c r="AD114" s="308"/>
      <c r="AE114" s="575"/>
      <c r="AF114" s="308"/>
      <c r="AG114" s="575"/>
      <c r="AH114" s="308"/>
      <c r="AI114" s="575"/>
      <c r="AJ114" s="308"/>
      <c r="AK114" s="305"/>
      <c r="AL114" s="577"/>
      <c r="AM114" s="306"/>
      <c r="AN114" s="308"/>
      <c r="AO114" s="573"/>
      <c r="AP114" s="305"/>
      <c r="AQ114" s="308"/>
      <c r="AR114" s="573"/>
      <c r="AS114" s="578"/>
      <c r="AT114" s="577"/>
      <c r="AU114" s="579"/>
      <c r="AV114" s="578"/>
      <c r="AW114" s="308"/>
      <c r="AX114" s="307"/>
      <c r="AY114" s="307"/>
      <c r="AZ114" s="307"/>
      <c r="BA114" s="307"/>
      <c r="BB114" s="307"/>
      <c r="BC114" s="305"/>
      <c r="BD114" s="292"/>
      <c r="BE114" s="297"/>
      <c r="BF114" s="297"/>
      <c r="BG114" s="569"/>
      <c r="BH114" s="570"/>
      <c r="BI114" s="570"/>
      <c r="BJ114" s="570"/>
      <c r="BK114" s="570"/>
      <c r="BL114" s="570"/>
      <c r="BM114" s="570"/>
      <c r="BN114" s="570"/>
      <c r="BO114" s="570"/>
      <c r="BP114" s="570"/>
      <c r="BQ114" s="570"/>
      <c r="BR114" s="570"/>
      <c r="BS114" s="570"/>
      <c r="BT114" s="570"/>
      <c r="BU114" s="570"/>
      <c r="BV114" s="570"/>
      <c r="BW114" s="570"/>
      <c r="BX114" s="570"/>
      <c r="BY114" s="570"/>
      <c r="BZ114" s="571"/>
      <c r="CA114" s="571"/>
    </row>
    <row r="115" spans="2:79">
      <c r="B115" s="572">
        <v>100</v>
      </c>
      <c r="C115" s="308"/>
      <c r="D115" s="307"/>
      <c r="E115" s="307"/>
      <c r="F115" s="305"/>
      <c r="G115" s="305"/>
      <c r="H115" s="292"/>
      <c r="I115" s="574"/>
      <c r="J115" s="573"/>
      <c r="K115" s="307"/>
      <c r="L115" s="292"/>
      <c r="M115" s="308"/>
      <c r="N115" s="292"/>
      <c r="O115" s="308"/>
      <c r="P115" s="575"/>
      <c r="Q115" s="576"/>
      <c r="R115" s="308"/>
      <c r="S115" s="575"/>
      <c r="T115" s="576"/>
      <c r="U115" s="308"/>
      <c r="V115" s="575"/>
      <c r="W115" s="576"/>
      <c r="X115" s="308"/>
      <c r="Y115" s="575"/>
      <c r="Z115" s="576"/>
      <c r="AA115" s="308"/>
      <c r="AB115" s="575"/>
      <c r="AC115" s="576"/>
      <c r="AD115" s="308"/>
      <c r="AE115" s="575"/>
      <c r="AF115" s="308"/>
      <c r="AG115" s="575"/>
      <c r="AH115" s="308"/>
      <c r="AI115" s="575"/>
      <c r="AJ115" s="308"/>
      <c r="AK115" s="305"/>
      <c r="AL115" s="577"/>
      <c r="AM115" s="306"/>
      <c r="AN115" s="308"/>
      <c r="AO115" s="573"/>
      <c r="AP115" s="305"/>
      <c r="AQ115" s="308"/>
      <c r="AR115" s="573"/>
      <c r="AS115" s="578"/>
      <c r="AT115" s="577"/>
      <c r="AU115" s="579"/>
      <c r="AV115" s="578"/>
      <c r="AW115" s="308"/>
      <c r="AX115" s="307"/>
      <c r="AY115" s="307"/>
      <c r="AZ115" s="307"/>
      <c r="BA115" s="307"/>
      <c r="BB115" s="307"/>
      <c r="BC115" s="305"/>
      <c r="BD115" s="292"/>
      <c r="BE115" s="297"/>
      <c r="BF115" s="297"/>
      <c r="BG115" s="569"/>
      <c r="BH115" s="570"/>
      <c r="BI115" s="570"/>
      <c r="BJ115" s="570"/>
      <c r="BK115" s="570"/>
      <c r="BL115" s="570"/>
      <c r="BM115" s="570"/>
      <c r="BN115" s="570"/>
      <c r="BO115" s="570"/>
      <c r="BP115" s="570"/>
      <c r="BQ115" s="570"/>
      <c r="BR115" s="570"/>
      <c r="BS115" s="570"/>
      <c r="BT115" s="570"/>
      <c r="BU115" s="570"/>
      <c r="BV115" s="570"/>
      <c r="BW115" s="570"/>
      <c r="BX115" s="570"/>
      <c r="BY115" s="570"/>
      <c r="BZ115" s="571"/>
      <c r="CA115" s="571"/>
    </row>
    <row r="116" spans="2:79">
      <c r="B116" s="566">
        <v>101</v>
      </c>
      <c r="C116" s="308"/>
      <c r="D116" s="307"/>
      <c r="E116" s="307"/>
      <c r="F116" s="305"/>
      <c r="G116" s="305"/>
      <c r="H116" s="292"/>
      <c r="I116" s="574"/>
      <c r="J116" s="573"/>
      <c r="K116" s="307"/>
      <c r="L116" s="292"/>
      <c r="M116" s="308"/>
      <c r="N116" s="292"/>
      <c r="O116" s="308"/>
      <c r="P116" s="575"/>
      <c r="Q116" s="576"/>
      <c r="R116" s="308"/>
      <c r="S116" s="575"/>
      <c r="T116" s="576"/>
      <c r="U116" s="308"/>
      <c r="V116" s="575"/>
      <c r="W116" s="576"/>
      <c r="X116" s="308"/>
      <c r="Y116" s="575"/>
      <c r="Z116" s="576"/>
      <c r="AA116" s="308"/>
      <c r="AB116" s="575"/>
      <c r="AC116" s="576"/>
      <c r="AD116" s="308"/>
      <c r="AE116" s="575"/>
      <c r="AF116" s="308"/>
      <c r="AG116" s="575"/>
      <c r="AH116" s="308"/>
      <c r="AI116" s="575"/>
      <c r="AJ116" s="308"/>
      <c r="AK116" s="305"/>
      <c r="AL116" s="577"/>
      <c r="AM116" s="306"/>
      <c r="AN116" s="308"/>
      <c r="AO116" s="573"/>
      <c r="AP116" s="305"/>
      <c r="AQ116" s="308"/>
      <c r="AR116" s="573"/>
      <c r="AS116" s="578"/>
      <c r="AT116" s="577"/>
      <c r="AU116" s="579"/>
      <c r="AV116" s="578"/>
      <c r="AW116" s="308"/>
      <c r="AX116" s="307"/>
      <c r="AY116" s="307"/>
      <c r="AZ116" s="307"/>
      <c r="BA116" s="307"/>
      <c r="BB116" s="307"/>
      <c r="BC116" s="305"/>
      <c r="BD116" s="292"/>
      <c r="BE116" s="297"/>
      <c r="BF116" s="297"/>
      <c r="BG116" s="569"/>
      <c r="BH116" s="570"/>
      <c r="BI116" s="570"/>
      <c r="BJ116" s="570"/>
      <c r="BK116" s="570"/>
      <c r="BL116" s="570"/>
      <c r="BM116" s="570"/>
      <c r="BN116" s="570"/>
      <c r="BO116" s="570"/>
      <c r="BP116" s="570"/>
      <c r="BQ116" s="570"/>
      <c r="BR116" s="570"/>
      <c r="BS116" s="570"/>
      <c r="BT116" s="570"/>
      <c r="BU116" s="570"/>
      <c r="BV116" s="570"/>
      <c r="BW116" s="570"/>
      <c r="BX116" s="570"/>
      <c r="BY116" s="570"/>
      <c r="BZ116" s="571"/>
      <c r="CA116" s="571"/>
    </row>
    <row r="117" spans="2:79">
      <c r="B117" s="572">
        <v>102</v>
      </c>
      <c r="C117" s="308"/>
      <c r="D117" s="307"/>
      <c r="E117" s="307"/>
      <c r="F117" s="305"/>
      <c r="G117" s="305"/>
      <c r="H117" s="292"/>
      <c r="I117" s="574"/>
      <c r="J117" s="573"/>
      <c r="K117" s="307"/>
      <c r="L117" s="292"/>
      <c r="M117" s="308"/>
      <c r="N117" s="292"/>
      <c r="O117" s="308"/>
      <c r="P117" s="575"/>
      <c r="Q117" s="576"/>
      <c r="R117" s="308"/>
      <c r="S117" s="575"/>
      <c r="T117" s="576"/>
      <c r="U117" s="308"/>
      <c r="V117" s="575"/>
      <c r="W117" s="576"/>
      <c r="X117" s="308"/>
      <c r="Y117" s="575"/>
      <c r="Z117" s="576"/>
      <c r="AA117" s="308"/>
      <c r="AB117" s="575"/>
      <c r="AC117" s="576"/>
      <c r="AD117" s="308"/>
      <c r="AE117" s="575"/>
      <c r="AF117" s="308"/>
      <c r="AG117" s="575"/>
      <c r="AH117" s="308"/>
      <c r="AI117" s="575"/>
      <c r="AJ117" s="308"/>
      <c r="AK117" s="305"/>
      <c r="AL117" s="577"/>
      <c r="AM117" s="306"/>
      <c r="AN117" s="308"/>
      <c r="AO117" s="573"/>
      <c r="AP117" s="305"/>
      <c r="AQ117" s="308"/>
      <c r="AR117" s="573"/>
      <c r="AS117" s="578"/>
      <c r="AT117" s="577"/>
      <c r="AU117" s="579"/>
      <c r="AV117" s="578"/>
      <c r="AW117" s="308"/>
      <c r="AX117" s="307"/>
      <c r="AY117" s="307"/>
      <c r="AZ117" s="307"/>
      <c r="BA117" s="307"/>
      <c r="BB117" s="307"/>
      <c r="BC117" s="305"/>
      <c r="BD117" s="292"/>
      <c r="BE117" s="297"/>
      <c r="BF117" s="297"/>
      <c r="BG117" s="569"/>
      <c r="BH117" s="570"/>
      <c r="BI117" s="570"/>
      <c r="BJ117" s="570"/>
      <c r="BK117" s="570"/>
      <c r="BL117" s="570"/>
      <c r="BM117" s="570"/>
      <c r="BN117" s="570"/>
      <c r="BO117" s="570"/>
      <c r="BP117" s="570"/>
      <c r="BQ117" s="570"/>
      <c r="BR117" s="570"/>
      <c r="BS117" s="570"/>
      <c r="BT117" s="570"/>
      <c r="BU117" s="570"/>
      <c r="BV117" s="570"/>
      <c r="BW117" s="570"/>
      <c r="BX117" s="570"/>
      <c r="BY117" s="570"/>
      <c r="BZ117" s="571"/>
      <c r="CA117" s="571"/>
    </row>
    <row r="118" spans="2:79">
      <c r="B118" s="566">
        <v>103</v>
      </c>
      <c r="C118" s="308"/>
      <c r="D118" s="307"/>
      <c r="E118" s="307"/>
      <c r="F118" s="305"/>
      <c r="G118" s="305"/>
      <c r="H118" s="292"/>
      <c r="I118" s="574"/>
      <c r="J118" s="573"/>
      <c r="K118" s="307"/>
      <c r="L118" s="292"/>
      <c r="M118" s="308"/>
      <c r="N118" s="292"/>
      <c r="O118" s="308"/>
      <c r="P118" s="575"/>
      <c r="Q118" s="576"/>
      <c r="R118" s="308"/>
      <c r="S118" s="575"/>
      <c r="T118" s="576"/>
      <c r="U118" s="308"/>
      <c r="V118" s="575"/>
      <c r="W118" s="576"/>
      <c r="X118" s="308"/>
      <c r="Y118" s="575"/>
      <c r="Z118" s="576"/>
      <c r="AA118" s="308"/>
      <c r="AB118" s="575"/>
      <c r="AC118" s="576"/>
      <c r="AD118" s="308"/>
      <c r="AE118" s="575"/>
      <c r="AF118" s="308"/>
      <c r="AG118" s="575"/>
      <c r="AH118" s="308"/>
      <c r="AI118" s="575"/>
      <c r="AJ118" s="308"/>
      <c r="AK118" s="305"/>
      <c r="AL118" s="577"/>
      <c r="AM118" s="306"/>
      <c r="AN118" s="308"/>
      <c r="AO118" s="573"/>
      <c r="AP118" s="305"/>
      <c r="AQ118" s="308"/>
      <c r="AR118" s="573"/>
      <c r="AS118" s="578"/>
      <c r="AT118" s="577"/>
      <c r="AU118" s="579"/>
      <c r="AV118" s="578"/>
      <c r="AW118" s="308"/>
      <c r="AX118" s="307"/>
      <c r="AY118" s="307"/>
      <c r="AZ118" s="307"/>
      <c r="BA118" s="307"/>
      <c r="BB118" s="307"/>
      <c r="BC118" s="305"/>
      <c r="BD118" s="292"/>
      <c r="BE118" s="297"/>
      <c r="BF118" s="297"/>
      <c r="BG118" s="569"/>
      <c r="BH118" s="570"/>
      <c r="BI118" s="570"/>
      <c r="BJ118" s="570"/>
      <c r="BK118" s="570"/>
      <c r="BL118" s="570"/>
      <c r="BM118" s="570"/>
      <c r="BN118" s="570"/>
      <c r="BO118" s="570"/>
      <c r="BP118" s="570"/>
      <c r="BQ118" s="570"/>
      <c r="BR118" s="570"/>
      <c r="BS118" s="570"/>
      <c r="BT118" s="570"/>
      <c r="BU118" s="570"/>
      <c r="BV118" s="570"/>
      <c r="BW118" s="570"/>
      <c r="BX118" s="570"/>
      <c r="BY118" s="570"/>
      <c r="BZ118" s="571"/>
      <c r="CA118" s="571"/>
    </row>
    <row r="119" spans="2:79">
      <c r="B119" s="572">
        <v>104</v>
      </c>
      <c r="C119" s="308"/>
      <c r="D119" s="307"/>
      <c r="E119" s="307"/>
      <c r="F119" s="305"/>
      <c r="G119" s="305"/>
      <c r="H119" s="292"/>
      <c r="I119" s="574"/>
      <c r="J119" s="573"/>
      <c r="K119" s="307"/>
      <c r="L119" s="292"/>
      <c r="M119" s="308"/>
      <c r="N119" s="292"/>
      <c r="O119" s="308"/>
      <c r="P119" s="575"/>
      <c r="Q119" s="576"/>
      <c r="R119" s="308"/>
      <c r="S119" s="575"/>
      <c r="T119" s="576"/>
      <c r="U119" s="308"/>
      <c r="V119" s="575"/>
      <c r="W119" s="576"/>
      <c r="X119" s="308"/>
      <c r="Y119" s="575"/>
      <c r="Z119" s="576"/>
      <c r="AA119" s="308"/>
      <c r="AB119" s="575"/>
      <c r="AC119" s="576"/>
      <c r="AD119" s="308"/>
      <c r="AE119" s="575"/>
      <c r="AF119" s="308"/>
      <c r="AG119" s="575"/>
      <c r="AH119" s="308"/>
      <c r="AI119" s="575"/>
      <c r="AJ119" s="308"/>
      <c r="AK119" s="305"/>
      <c r="AL119" s="577"/>
      <c r="AM119" s="306"/>
      <c r="AN119" s="308"/>
      <c r="AO119" s="573"/>
      <c r="AP119" s="305"/>
      <c r="AQ119" s="308"/>
      <c r="AR119" s="573"/>
      <c r="AS119" s="578"/>
      <c r="AT119" s="577"/>
      <c r="AU119" s="579"/>
      <c r="AV119" s="578"/>
      <c r="AW119" s="308"/>
      <c r="AX119" s="307"/>
      <c r="AY119" s="307"/>
      <c r="AZ119" s="307"/>
      <c r="BA119" s="307"/>
      <c r="BB119" s="307"/>
      <c r="BC119" s="305"/>
      <c r="BD119" s="292"/>
      <c r="BE119" s="297"/>
      <c r="BF119" s="297"/>
      <c r="BG119" s="569"/>
      <c r="BH119" s="570"/>
      <c r="BI119" s="570"/>
      <c r="BJ119" s="570"/>
      <c r="BK119" s="570"/>
      <c r="BL119" s="570"/>
      <c r="BM119" s="570"/>
      <c r="BN119" s="570"/>
      <c r="BO119" s="570"/>
      <c r="BP119" s="570"/>
      <c r="BQ119" s="570"/>
      <c r="BR119" s="570"/>
      <c r="BS119" s="570"/>
      <c r="BT119" s="570"/>
      <c r="BU119" s="570"/>
      <c r="BV119" s="570"/>
      <c r="BW119" s="570"/>
      <c r="BX119" s="570"/>
      <c r="BY119" s="570"/>
      <c r="BZ119" s="571"/>
      <c r="CA119" s="571"/>
    </row>
    <row r="120" spans="2:79">
      <c r="B120" s="566">
        <v>105</v>
      </c>
      <c r="C120" s="308"/>
      <c r="D120" s="307"/>
      <c r="E120" s="307"/>
      <c r="F120" s="305"/>
      <c r="G120" s="305"/>
      <c r="H120" s="292"/>
      <c r="I120" s="574"/>
      <c r="J120" s="573"/>
      <c r="K120" s="307"/>
      <c r="L120" s="292"/>
      <c r="M120" s="308"/>
      <c r="N120" s="292"/>
      <c r="O120" s="308"/>
      <c r="P120" s="575"/>
      <c r="Q120" s="576"/>
      <c r="R120" s="308"/>
      <c r="S120" s="575"/>
      <c r="T120" s="576"/>
      <c r="U120" s="308"/>
      <c r="V120" s="575"/>
      <c r="W120" s="576"/>
      <c r="X120" s="308"/>
      <c r="Y120" s="575"/>
      <c r="Z120" s="576"/>
      <c r="AA120" s="308"/>
      <c r="AB120" s="575"/>
      <c r="AC120" s="576"/>
      <c r="AD120" s="308"/>
      <c r="AE120" s="575"/>
      <c r="AF120" s="308"/>
      <c r="AG120" s="575"/>
      <c r="AH120" s="308"/>
      <c r="AI120" s="575"/>
      <c r="AJ120" s="308"/>
      <c r="AK120" s="305"/>
      <c r="AL120" s="577"/>
      <c r="AM120" s="306"/>
      <c r="AN120" s="308"/>
      <c r="AO120" s="573"/>
      <c r="AP120" s="305"/>
      <c r="AQ120" s="308"/>
      <c r="AR120" s="573"/>
      <c r="AS120" s="578"/>
      <c r="AT120" s="577"/>
      <c r="AU120" s="579"/>
      <c r="AV120" s="578"/>
      <c r="AW120" s="308"/>
      <c r="AX120" s="307"/>
      <c r="AY120" s="307"/>
      <c r="AZ120" s="307"/>
      <c r="BA120" s="307"/>
      <c r="BB120" s="307"/>
      <c r="BC120" s="305"/>
      <c r="BD120" s="292"/>
      <c r="BE120" s="297"/>
      <c r="BF120" s="297"/>
      <c r="BG120" s="569"/>
      <c r="BH120" s="570"/>
      <c r="BI120" s="570"/>
      <c r="BJ120" s="570"/>
      <c r="BK120" s="570"/>
      <c r="BL120" s="570"/>
      <c r="BM120" s="570"/>
      <c r="BN120" s="570"/>
      <c r="BO120" s="570"/>
      <c r="BP120" s="570"/>
      <c r="BQ120" s="570"/>
      <c r="BR120" s="570"/>
      <c r="BS120" s="570"/>
      <c r="BT120" s="570"/>
      <c r="BU120" s="570"/>
      <c r="BV120" s="570"/>
      <c r="BW120" s="570"/>
      <c r="BX120" s="570"/>
      <c r="BY120" s="570"/>
      <c r="BZ120" s="571"/>
      <c r="CA120" s="571"/>
    </row>
    <row r="121" spans="2:79">
      <c r="B121" s="572">
        <v>106</v>
      </c>
      <c r="C121" s="308"/>
      <c r="D121" s="307"/>
      <c r="E121" s="307"/>
      <c r="F121" s="305"/>
      <c r="G121" s="305"/>
      <c r="H121" s="292"/>
      <c r="I121" s="574"/>
      <c r="J121" s="573"/>
      <c r="K121" s="307"/>
      <c r="L121" s="292"/>
      <c r="M121" s="308"/>
      <c r="N121" s="292"/>
      <c r="O121" s="308"/>
      <c r="P121" s="575"/>
      <c r="Q121" s="576"/>
      <c r="R121" s="308"/>
      <c r="S121" s="575"/>
      <c r="T121" s="576"/>
      <c r="U121" s="308"/>
      <c r="V121" s="575"/>
      <c r="W121" s="576"/>
      <c r="X121" s="308"/>
      <c r="Y121" s="575"/>
      <c r="Z121" s="576"/>
      <c r="AA121" s="308"/>
      <c r="AB121" s="575"/>
      <c r="AC121" s="576"/>
      <c r="AD121" s="308"/>
      <c r="AE121" s="575"/>
      <c r="AF121" s="308"/>
      <c r="AG121" s="575"/>
      <c r="AH121" s="308"/>
      <c r="AI121" s="575"/>
      <c r="AJ121" s="308"/>
      <c r="AK121" s="305"/>
      <c r="AL121" s="577"/>
      <c r="AM121" s="306"/>
      <c r="AN121" s="308"/>
      <c r="AO121" s="573"/>
      <c r="AP121" s="305"/>
      <c r="AQ121" s="308"/>
      <c r="AR121" s="573"/>
      <c r="AS121" s="578"/>
      <c r="AT121" s="577"/>
      <c r="AU121" s="579"/>
      <c r="AV121" s="578"/>
      <c r="AW121" s="308"/>
      <c r="AX121" s="307"/>
      <c r="AY121" s="307"/>
      <c r="AZ121" s="307"/>
      <c r="BA121" s="307"/>
      <c r="BB121" s="307"/>
      <c r="BC121" s="305"/>
      <c r="BD121" s="292"/>
      <c r="BE121" s="297"/>
      <c r="BF121" s="297"/>
      <c r="BG121" s="569"/>
      <c r="BH121" s="570"/>
      <c r="BI121" s="570"/>
      <c r="BJ121" s="570"/>
      <c r="BK121" s="570"/>
      <c r="BL121" s="570"/>
      <c r="BM121" s="570"/>
      <c r="BN121" s="570"/>
      <c r="BO121" s="570"/>
      <c r="BP121" s="570"/>
      <c r="BQ121" s="570"/>
      <c r="BR121" s="570"/>
      <c r="BS121" s="570"/>
      <c r="BT121" s="570"/>
      <c r="BU121" s="570"/>
      <c r="BV121" s="570"/>
      <c r="BW121" s="570"/>
      <c r="BX121" s="570"/>
      <c r="BY121" s="570"/>
      <c r="BZ121" s="571"/>
      <c r="CA121" s="571"/>
    </row>
    <row r="122" spans="2:79">
      <c r="B122" s="566">
        <v>107</v>
      </c>
      <c r="C122" s="308"/>
      <c r="D122" s="307"/>
      <c r="E122" s="307"/>
      <c r="F122" s="305"/>
      <c r="G122" s="305"/>
      <c r="H122" s="292"/>
      <c r="I122" s="574"/>
      <c r="J122" s="573"/>
      <c r="K122" s="307"/>
      <c r="L122" s="292"/>
      <c r="M122" s="308"/>
      <c r="N122" s="292"/>
      <c r="O122" s="308"/>
      <c r="P122" s="575"/>
      <c r="Q122" s="576"/>
      <c r="R122" s="308"/>
      <c r="S122" s="575"/>
      <c r="T122" s="576"/>
      <c r="U122" s="308"/>
      <c r="V122" s="575"/>
      <c r="W122" s="576"/>
      <c r="X122" s="308"/>
      <c r="Y122" s="575"/>
      <c r="Z122" s="576"/>
      <c r="AA122" s="308"/>
      <c r="AB122" s="575"/>
      <c r="AC122" s="576"/>
      <c r="AD122" s="308"/>
      <c r="AE122" s="575"/>
      <c r="AF122" s="308"/>
      <c r="AG122" s="575"/>
      <c r="AH122" s="308"/>
      <c r="AI122" s="575"/>
      <c r="AJ122" s="308"/>
      <c r="AK122" s="305"/>
      <c r="AL122" s="577"/>
      <c r="AM122" s="306"/>
      <c r="AN122" s="308"/>
      <c r="AO122" s="573"/>
      <c r="AP122" s="305"/>
      <c r="AQ122" s="308"/>
      <c r="AR122" s="573"/>
      <c r="AS122" s="578"/>
      <c r="AT122" s="577"/>
      <c r="AU122" s="579"/>
      <c r="AV122" s="578"/>
      <c r="AW122" s="308"/>
      <c r="AX122" s="307"/>
      <c r="AY122" s="307"/>
      <c r="AZ122" s="307"/>
      <c r="BA122" s="307"/>
      <c r="BB122" s="307"/>
      <c r="BC122" s="305"/>
      <c r="BD122" s="292"/>
      <c r="BE122" s="297"/>
      <c r="BF122" s="297"/>
      <c r="BG122" s="569"/>
      <c r="BH122" s="570"/>
      <c r="BI122" s="570"/>
      <c r="BJ122" s="570"/>
      <c r="BK122" s="570"/>
      <c r="BL122" s="570"/>
      <c r="BM122" s="570"/>
      <c r="BN122" s="570"/>
      <c r="BO122" s="570"/>
      <c r="BP122" s="570"/>
      <c r="BQ122" s="570"/>
      <c r="BR122" s="570"/>
      <c r="BS122" s="570"/>
      <c r="BT122" s="570"/>
      <c r="BU122" s="570"/>
      <c r="BV122" s="570"/>
      <c r="BW122" s="570"/>
      <c r="BX122" s="570"/>
      <c r="BY122" s="570"/>
      <c r="BZ122" s="571"/>
      <c r="CA122" s="571"/>
    </row>
    <row r="123" spans="2:79">
      <c r="B123" s="572">
        <v>108</v>
      </c>
      <c r="C123" s="308"/>
      <c r="D123" s="307"/>
      <c r="E123" s="307"/>
      <c r="F123" s="305"/>
      <c r="G123" s="305"/>
      <c r="H123" s="292"/>
      <c r="I123" s="574"/>
      <c r="J123" s="573"/>
      <c r="K123" s="307"/>
      <c r="L123" s="292"/>
      <c r="M123" s="308"/>
      <c r="N123" s="292"/>
      <c r="O123" s="308"/>
      <c r="P123" s="575"/>
      <c r="Q123" s="576"/>
      <c r="R123" s="308"/>
      <c r="S123" s="575"/>
      <c r="T123" s="576"/>
      <c r="U123" s="308"/>
      <c r="V123" s="575"/>
      <c r="W123" s="576"/>
      <c r="X123" s="308"/>
      <c r="Y123" s="575"/>
      <c r="Z123" s="576"/>
      <c r="AA123" s="308"/>
      <c r="AB123" s="575"/>
      <c r="AC123" s="576"/>
      <c r="AD123" s="308"/>
      <c r="AE123" s="575"/>
      <c r="AF123" s="308"/>
      <c r="AG123" s="575"/>
      <c r="AH123" s="308"/>
      <c r="AI123" s="575"/>
      <c r="AJ123" s="308"/>
      <c r="AK123" s="305"/>
      <c r="AL123" s="577"/>
      <c r="AM123" s="306"/>
      <c r="AN123" s="308"/>
      <c r="AO123" s="573"/>
      <c r="AP123" s="305"/>
      <c r="AQ123" s="308"/>
      <c r="AR123" s="573"/>
      <c r="AS123" s="578"/>
      <c r="AT123" s="577"/>
      <c r="AU123" s="579"/>
      <c r="AV123" s="578"/>
      <c r="AW123" s="308"/>
      <c r="AX123" s="307"/>
      <c r="AY123" s="307"/>
      <c r="AZ123" s="307"/>
      <c r="BA123" s="307"/>
      <c r="BB123" s="307"/>
      <c r="BC123" s="305"/>
      <c r="BD123" s="292"/>
      <c r="BE123" s="297"/>
      <c r="BF123" s="297"/>
      <c r="BG123" s="569"/>
      <c r="BH123" s="570"/>
      <c r="BI123" s="570"/>
      <c r="BJ123" s="570"/>
      <c r="BK123" s="570"/>
      <c r="BL123" s="570"/>
      <c r="BM123" s="570"/>
      <c r="BN123" s="570"/>
      <c r="BO123" s="570"/>
      <c r="BP123" s="570"/>
      <c r="BQ123" s="570"/>
      <c r="BR123" s="570"/>
      <c r="BS123" s="570"/>
      <c r="BT123" s="570"/>
      <c r="BU123" s="570"/>
      <c r="BV123" s="570"/>
      <c r="BW123" s="570"/>
      <c r="BX123" s="570"/>
      <c r="BY123" s="570"/>
      <c r="BZ123" s="571"/>
      <c r="CA123" s="571"/>
    </row>
    <row r="124" spans="2:79">
      <c r="B124" s="566">
        <v>109</v>
      </c>
      <c r="C124" s="308"/>
      <c r="D124" s="307"/>
      <c r="E124" s="307"/>
      <c r="F124" s="305"/>
      <c r="G124" s="305"/>
      <c r="H124" s="292"/>
      <c r="I124" s="574"/>
      <c r="J124" s="573"/>
      <c r="K124" s="307"/>
      <c r="L124" s="292"/>
      <c r="M124" s="308"/>
      <c r="N124" s="292"/>
      <c r="O124" s="308"/>
      <c r="P124" s="575"/>
      <c r="Q124" s="576"/>
      <c r="R124" s="308"/>
      <c r="S124" s="575"/>
      <c r="T124" s="576"/>
      <c r="U124" s="308"/>
      <c r="V124" s="575"/>
      <c r="W124" s="576"/>
      <c r="X124" s="308"/>
      <c r="Y124" s="575"/>
      <c r="Z124" s="576"/>
      <c r="AA124" s="308"/>
      <c r="AB124" s="575"/>
      <c r="AC124" s="576"/>
      <c r="AD124" s="308"/>
      <c r="AE124" s="575"/>
      <c r="AF124" s="308"/>
      <c r="AG124" s="575"/>
      <c r="AH124" s="308"/>
      <c r="AI124" s="575"/>
      <c r="AJ124" s="308"/>
      <c r="AK124" s="305"/>
      <c r="AL124" s="577"/>
      <c r="AM124" s="306"/>
      <c r="AN124" s="308"/>
      <c r="AO124" s="573"/>
      <c r="AP124" s="305"/>
      <c r="AQ124" s="308"/>
      <c r="AR124" s="573"/>
      <c r="AS124" s="578"/>
      <c r="AT124" s="577"/>
      <c r="AU124" s="579"/>
      <c r="AV124" s="578"/>
      <c r="AW124" s="308"/>
      <c r="AX124" s="307"/>
      <c r="AY124" s="307"/>
      <c r="AZ124" s="307"/>
      <c r="BA124" s="307"/>
      <c r="BB124" s="307"/>
      <c r="BC124" s="305"/>
      <c r="BD124" s="292"/>
      <c r="BE124" s="297"/>
      <c r="BF124" s="297"/>
      <c r="BG124" s="569"/>
      <c r="BH124" s="570"/>
      <c r="BI124" s="570"/>
      <c r="BJ124" s="570"/>
      <c r="BK124" s="570"/>
      <c r="BL124" s="570"/>
      <c r="BM124" s="570"/>
      <c r="BN124" s="570"/>
      <c r="BO124" s="570"/>
      <c r="BP124" s="570"/>
      <c r="BQ124" s="570"/>
      <c r="BR124" s="570"/>
      <c r="BS124" s="570"/>
      <c r="BT124" s="570"/>
      <c r="BU124" s="570"/>
      <c r="BV124" s="570"/>
      <c r="BW124" s="570"/>
      <c r="BX124" s="570"/>
      <c r="BY124" s="570"/>
      <c r="BZ124" s="571"/>
      <c r="CA124" s="571"/>
    </row>
    <row r="125" spans="2:79">
      <c r="B125" s="572">
        <v>110</v>
      </c>
      <c r="C125" s="308"/>
      <c r="D125" s="307"/>
      <c r="E125" s="307"/>
      <c r="F125" s="305"/>
      <c r="G125" s="305"/>
      <c r="H125" s="292"/>
      <c r="I125" s="574"/>
      <c r="J125" s="573"/>
      <c r="K125" s="307"/>
      <c r="L125" s="292"/>
      <c r="M125" s="308"/>
      <c r="N125" s="292"/>
      <c r="O125" s="308"/>
      <c r="P125" s="575"/>
      <c r="Q125" s="576"/>
      <c r="R125" s="308"/>
      <c r="S125" s="575"/>
      <c r="T125" s="576"/>
      <c r="U125" s="308"/>
      <c r="V125" s="575"/>
      <c r="W125" s="576"/>
      <c r="X125" s="308"/>
      <c r="Y125" s="575"/>
      <c r="Z125" s="576"/>
      <c r="AA125" s="308"/>
      <c r="AB125" s="575"/>
      <c r="AC125" s="576"/>
      <c r="AD125" s="308"/>
      <c r="AE125" s="575"/>
      <c r="AF125" s="308"/>
      <c r="AG125" s="575"/>
      <c r="AH125" s="308"/>
      <c r="AI125" s="575"/>
      <c r="AJ125" s="308"/>
      <c r="AK125" s="305"/>
      <c r="AL125" s="577"/>
      <c r="AM125" s="306"/>
      <c r="AN125" s="308"/>
      <c r="AO125" s="573"/>
      <c r="AP125" s="305"/>
      <c r="AQ125" s="308"/>
      <c r="AR125" s="573"/>
      <c r="AS125" s="578"/>
      <c r="AT125" s="577"/>
      <c r="AU125" s="579"/>
      <c r="AV125" s="578"/>
      <c r="AW125" s="308"/>
      <c r="AX125" s="307"/>
      <c r="AY125" s="307"/>
      <c r="AZ125" s="307"/>
      <c r="BA125" s="307"/>
      <c r="BB125" s="307"/>
      <c r="BC125" s="305"/>
      <c r="BD125" s="292"/>
      <c r="BE125" s="297"/>
      <c r="BF125" s="297"/>
      <c r="BG125" s="569"/>
      <c r="BH125" s="570"/>
      <c r="BI125" s="570"/>
      <c r="BJ125" s="570"/>
      <c r="BK125" s="570"/>
      <c r="BL125" s="570"/>
      <c r="BM125" s="570"/>
      <c r="BN125" s="570"/>
      <c r="BO125" s="570"/>
      <c r="BP125" s="570"/>
      <c r="BQ125" s="570"/>
      <c r="BR125" s="570"/>
      <c r="BS125" s="570"/>
      <c r="BT125" s="570"/>
      <c r="BU125" s="570"/>
      <c r="BV125" s="570"/>
      <c r="BW125" s="570"/>
      <c r="BX125" s="570"/>
      <c r="BY125" s="570"/>
      <c r="BZ125" s="571"/>
      <c r="CA125" s="571"/>
    </row>
    <row r="126" spans="2:79">
      <c r="B126" s="566">
        <v>111</v>
      </c>
      <c r="C126" s="308"/>
      <c r="D126" s="307"/>
      <c r="E126" s="307"/>
      <c r="F126" s="305"/>
      <c r="G126" s="305"/>
      <c r="H126" s="292"/>
      <c r="I126" s="574"/>
      <c r="J126" s="573"/>
      <c r="K126" s="307"/>
      <c r="L126" s="292"/>
      <c r="M126" s="308"/>
      <c r="N126" s="292"/>
      <c r="O126" s="308"/>
      <c r="P126" s="575"/>
      <c r="Q126" s="576"/>
      <c r="R126" s="308"/>
      <c r="S126" s="575"/>
      <c r="T126" s="576"/>
      <c r="U126" s="308"/>
      <c r="V126" s="575"/>
      <c r="W126" s="576"/>
      <c r="X126" s="308"/>
      <c r="Y126" s="575"/>
      <c r="Z126" s="576"/>
      <c r="AA126" s="308"/>
      <c r="AB126" s="575"/>
      <c r="AC126" s="576"/>
      <c r="AD126" s="308"/>
      <c r="AE126" s="575"/>
      <c r="AF126" s="308"/>
      <c r="AG126" s="575"/>
      <c r="AH126" s="308"/>
      <c r="AI126" s="575"/>
      <c r="AJ126" s="308"/>
      <c r="AK126" s="305"/>
      <c r="AL126" s="577"/>
      <c r="AM126" s="306"/>
      <c r="AN126" s="308"/>
      <c r="AO126" s="573"/>
      <c r="AP126" s="305"/>
      <c r="AQ126" s="308"/>
      <c r="AR126" s="573"/>
      <c r="AS126" s="578"/>
      <c r="AT126" s="577"/>
      <c r="AU126" s="579"/>
      <c r="AV126" s="578"/>
      <c r="AW126" s="308"/>
      <c r="AX126" s="307"/>
      <c r="AY126" s="307"/>
      <c r="AZ126" s="307"/>
      <c r="BA126" s="307"/>
      <c r="BB126" s="307"/>
      <c r="BC126" s="305"/>
      <c r="BD126" s="292"/>
      <c r="BE126" s="297"/>
      <c r="BF126" s="297"/>
      <c r="BG126" s="569"/>
      <c r="BH126" s="570"/>
      <c r="BI126" s="570"/>
      <c r="BJ126" s="570"/>
      <c r="BK126" s="570"/>
      <c r="BL126" s="570"/>
      <c r="BM126" s="570"/>
      <c r="BN126" s="570"/>
      <c r="BO126" s="570"/>
      <c r="BP126" s="570"/>
      <c r="BQ126" s="570"/>
      <c r="BR126" s="570"/>
      <c r="BS126" s="570"/>
      <c r="BT126" s="570"/>
      <c r="BU126" s="570"/>
      <c r="BV126" s="570"/>
      <c r="BW126" s="570"/>
      <c r="BX126" s="570"/>
      <c r="BY126" s="570"/>
      <c r="BZ126" s="571"/>
      <c r="CA126" s="571"/>
    </row>
    <row r="127" spans="2:79">
      <c r="B127" s="572">
        <v>112</v>
      </c>
      <c r="C127" s="308"/>
      <c r="D127" s="307"/>
      <c r="E127" s="307"/>
      <c r="F127" s="305"/>
      <c r="G127" s="305"/>
      <c r="H127" s="292"/>
      <c r="I127" s="574"/>
      <c r="J127" s="573"/>
      <c r="K127" s="307"/>
      <c r="L127" s="292"/>
      <c r="M127" s="308"/>
      <c r="N127" s="292"/>
      <c r="O127" s="308"/>
      <c r="P127" s="575"/>
      <c r="Q127" s="576"/>
      <c r="R127" s="308"/>
      <c r="S127" s="575"/>
      <c r="T127" s="576"/>
      <c r="U127" s="308"/>
      <c r="V127" s="575"/>
      <c r="W127" s="576"/>
      <c r="X127" s="308"/>
      <c r="Y127" s="575"/>
      <c r="Z127" s="576"/>
      <c r="AA127" s="308"/>
      <c r="AB127" s="575"/>
      <c r="AC127" s="576"/>
      <c r="AD127" s="308"/>
      <c r="AE127" s="575"/>
      <c r="AF127" s="308"/>
      <c r="AG127" s="575"/>
      <c r="AH127" s="308"/>
      <c r="AI127" s="575"/>
      <c r="AJ127" s="308"/>
      <c r="AK127" s="305"/>
      <c r="AL127" s="577"/>
      <c r="AM127" s="306"/>
      <c r="AN127" s="308"/>
      <c r="AO127" s="573"/>
      <c r="AP127" s="305"/>
      <c r="AQ127" s="308"/>
      <c r="AR127" s="573"/>
      <c r="AS127" s="578"/>
      <c r="AT127" s="577"/>
      <c r="AU127" s="579"/>
      <c r="AV127" s="578"/>
      <c r="AW127" s="308"/>
      <c r="AX127" s="307"/>
      <c r="AY127" s="307"/>
      <c r="AZ127" s="307"/>
      <c r="BA127" s="307"/>
      <c r="BB127" s="307"/>
      <c r="BC127" s="305"/>
      <c r="BD127" s="292"/>
      <c r="BE127" s="297"/>
      <c r="BF127" s="297"/>
      <c r="BG127" s="569"/>
      <c r="BH127" s="570"/>
      <c r="BI127" s="570"/>
      <c r="BJ127" s="570"/>
      <c r="BK127" s="570"/>
      <c r="BL127" s="570"/>
      <c r="BM127" s="570"/>
      <c r="BN127" s="570"/>
      <c r="BO127" s="570"/>
      <c r="BP127" s="570"/>
      <c r="BQ127" s="570"/>
      <c r="BR127" s="570"/>
      <c r="BS127" s="570"/>
      <c r="BT127" s="570"/>
      <c r="BU127" s="570"/>
      <c r="BV127" s="570"/>
      <c r="BW127" s="570"/>
      <c r="BX127" s="570"/>
      <c r="BY127" s="570"/>
      <c r="BZ127" s="571"/>
      <c r="CA127" s="571"/>
    </row>
    <row r="128" spans="2:79">
      <c r="B128" s="566">
        <v>113</v>
      </c>
      <c r="C128" s="308"/>
      <c r="D128" s="307"/>
      <c r="E128" s="307"/>
      <c r="F128" s="305"/>
      <c r="G128" s="305"/>
      <c r="H128" s="292"/>
      <c r="I128" s="574"/>
      <c r="J128" s="573"/>
      <c r="K128" s="307"/>
      <c r="L128" s="292"/>
      <c r="M128" s="308"/>
      <c r="N128" s="292"/>
      <c r="O128" s="308"/>
      <c r="P128" s="575"/>
      <c r="Q128" s="576"/>
      <c r="R128" s="308"/>
      <c r="S128" s="575"/>
      <c r="T128" s="576"/>
      <c r="U128" s="308"/>
      <c r="V128" s="575"/>
      <c r="W128" s="576"/>
      <c r="X128" s="308"/>
      <c r="Y128" s="575"/>
      <c r="Z128" s="576"/>
      <c r="AA128" s="308"/>
      <c r="AB128" s="575"/>
      <c r="AC128" s="576"/>
      <c r="AD128" s="308"/>
      <c r="AE128" s="575"/>
      <c r="AF128" s="308"/>
      <c r="AG128" s="575"/>
      <c r="AH128" s="308"/>
      <c r="AI128" s="575"/>
      <c r="AJ128" s="308"/>
      <c r="AK128" s="305"/>
      <c r="AL128" s="577"/>
      <c r="AM128" s="306"/>
      <c r="AN128" s="308"/>
      <c r="AO128" s="573"/>
      <c r="AP128" s="305"/>
      <c r="AQ128" s="308"/>
      <c r="AR128" s="573"/>
      <c r="AS128" s="578"/>
      <c r="AT128" s="577"/>
      <c r="AU128" s="579"/>
      <c r="AV128" s="578"/>
      <c r="AW128" s="308"/>
      <c r="AX128" s="307"/>
      <c r="AY128" s="307"/>
      <c r="AZ128" s="307"/>
      <c r="BA128" s="307"/>
      <c r="BB128" s="307"/>
      <c r="BC128" s="305"/>
      <c r="BD128" s="292"/>
      <c r="BE128" s="297"/>
      <c r="BF128" s="297"/>
      <c r="BG128" s="569"/>
      <c r="BH128" s="570"/>
      <c r="BI128" s="570"/>
      <c r="BJ128" s="570"/>
      <c r="BK128" s="570"/>
      <c r="BL128" s="570"/>
      <c r="BM128" s="570"/>
      <c r="BN128" s="570"/>
      <c r="BO128" s="570"/>
      <c r="BP128" s="570"/>
      <c r="BQ128" s="570"/>
      <c r="BR128" s="570"/>
      <c r="BS128" s="570"/>
      <c r="BT128" s="570"/>
      <c r="BU128" s="570"/>
      <c r="BV128" s="570"/>
      <c r="BW128" s="570"/>
      <c r="BX128" s="570"/>
      <c r="BY128" s="570"/>
      <c r="BZ128" s="571"/>
      <c r="CA128" s="571"/>
    </row>
    <row r="129" spans="2:79">
      <c r="B129" s="572">
        <v>114</v>
      </c>
      <c r="C129" s="308"/>
      <c r="D129" s="307"/>
      <c r="E129" s="307"/>
      <c r="F129" s="305"/>
      <c r="G129" s="305"/>
      <c r="H129" s="292"/>
      <c r="I129" s="574"/>
      <c r="J129" s="573"/>
      <c r="K129" s="307"/>
      <c r="L129" s="292"/>
      <c r="M129" s="308"/>
      <c r="N129" s="292"/>
      <c r="O129" s="308"/>
      <c r="P129" s="575"/>
      <c r="Q129" s="576"/>
      <c r="R129" s="308"/>
      <c r="S129" s="575"/>
      <c r="T129" s="576"/>
      <c r="U129" s="308"/>
      <c r="V129" s="575"/>
      <c r="W129" s="576"/>
      <c r="X129" s="308"/>
      <c r="Y129" s="575"/>
      <c r="Z129" s="576"/>
      <c r="AA129" s="308"/>
      <c r="AB129" s="575"/>
      <c r="AC129" s="576"/>
      <c r="AD129" s="308"/>
      <c r="AE129" s="575"/>
      <c r="AF129" s="308"/>
      <c r="AG129" s="575"/>
      <c r="AH129" s="308"/>
      <c r="AI129" s="575"/>
      <c r="AJ129" s="308"/>
      <c r="AK129" s="305"/>
      <c r="AL129" s="577"/>
      <c r="AM129" s="306"/>
      <c r="AN129" s="308"/>
      <c r="AO129" s="573"/>
      <c r="AP129" s="305"/>
      <c r="AQ129" s="308"/>
      <c r="AR129" s="573"/>
      <c r="AS129" s="578"/>
      <c r="AT129" s="577"/>
      <c r="AU129" s="579"/>
      <c r="AV129" s="578"/>
      <c r="AW129" s="308"/>
      <c r="AX129" s="307"/>
      <c r="AY129" s="307"/>
      <c r="AZ129" s="307"/>
      <c r="BA129" s="307"/>
      <c r="BB129" s="307"/>
      <c r="BC129" s="305"/>
      <c r="BD129" s="292"/>
      <c r="BE129" s="297"/>
      <c r="BF129" s="297"/>
      <c r="BG129" s="569"/>
      <c r="BH129" s="570"/>
      <c r="BI129" s="570"/>
      <c r="BJ129" s="570"/>
      <c r="BK129" s="570"/>
      <c r="BL129" s="570"/>
      <c r="BM129" s="570"/>
      <c r="BN129" s="570"/>
      <c r="BO129" s="570"/>
      <c r="BP129" s="570"/>
      <c r="BQ129" s="570"/>
      <c r="BR129" s="570"/>
      <c r="BS129" s="570"/>
      <c r="BT129" s="570"/>
      <c r="BU129" s="570"/>
      <c r="BV129" s="570"/>
      <c r="BW129" s="570"/>
      <c r="BX129" s="570"/>
      <c r="BY129" s="570"/>
      <c r="BZ129" s="571"/>
      <c r="CA129" s="571"/>
    </row>
    <row r="130" spans="2:79">
      <c r="B130" s="566">
        <v>115</v>
      </c>
      <c r="C130" s="308"/>
      <c r="D130" s="307"/>
      <c r="E130" s="307"/>
      <c r="F130" s="305"/>
      <c r="G130" s="305"/>
      <c r="H130" s="292"/>
      <c r="I130" s="574"/>
      <c r="J130" s="573"/>
      <c r="K130" s="307"/>
      <c r="L130" s="292"/>
      <c r="M130" s="308"/>
      <c r="N130" s="292"/>
      <c r="O130" s="308"/>
      <c r="P130" s="575"/>
      <c r="Q130" s="576"/>
      <c r="R130" s="308"/>
      <c r="S130" s="575"/>
      <c r="T130" s="576"/>
      <c r="U130" s="308"/>
      <c r="V130" s="575"/>
      <c r="W130" s="576"/>
      <c r="X130" s="308"/>
      <c r="Y130" s="575"/>
      <c r="Z130" s="576"/>
      <c r="AA130" s="308"/>
      <c r="AB130" s="575"/>
      <c r="AC130" s="576"/>
      <c r="AD130" s="308"/>
      <c r="AE130" s="575"/>
      <c r="AF130" s="308"/>
      <c r="AG130" s="575"/>
      <c r="AH130" s="308"/>
      <c r="AI130" s="575"/>
      <c r="AJ130" s="308"/>
      <c r="AK130" s="305"/>
      <c r="AL130" s="577"/>
      <c r="AM130" s="306"/>
      <c r="AN130" s="308"/>
      <c r="AO130" s="573"/>
      <c r="AP130" s="305"/>
      <c r="AQ130" s="308"/>
      <c r="AR130" s="573"/>
      <c r="AS130" s="578"/>
      <c r="AT130" s="577"/>
      <c r="AU130" s="579"/>
      <c r="AV130" s="578"/>
      <c r="AW130" s="308"/>
      <c r="AX130" s="307"/>
      <c r="AY130" s="307"/>
      <c r="AZ130" s="307"/>
      <c r="BA130" s="307"/>
      <c r="BB130" s="307"/>
      <c r="BC130" s="305"/>
      <c r="BD130" s="292"/>
      <c r="BE130" s="297"/>
      <c r="BF130" s="297"/>
      <c r="BG130" s="569"/>
      <c r="BH130" s="570"/>
      <c r="BI130" s="570"/>
      <c r="BJ130" s="570"/>
      <c r="BK130" s="570"/>
      <c r="BL130" s="570"/>
      <c r="BM130" s="570"/>
      <c r="BN130" s="570"/>
      <c r="BO130" s="570"/>
      <c r="BP130" s="570"/>
      <c r="BQ130" s="570"/>
      <c r="BR130" s="570"/>
      <c r="BS130" s="570"/>
      <c r="BT130" s="570"/>
      <c r="BU130" s="570"/>
      <c r="BV130" s="570"/>
      <c r="BW130" s="570"/>
      <c r="BX130" s="570"/>
      <c r="BY130" s="570"/>
      <c r="BZ130" s="571"/>
      <c r="CA130" s="571"/>
    </row>
    <row r="131" spans="2:79">
      <c r="B131" s="572">
        <v>116</v>
      </c>
      <c r="C131" s="308"/>
      <c r="D131" s="307"/>
      <c r="E131" s="307"/>
      <c r="F131" s="305"/>
      <c r="G131" s="305"/>
      <c r="H131" s="292"/>
      <c r="I131" s="574"/>
      <c r="J131" s="573"/>
      <c r="K131" s="307"/>
      <c r="L131" s="292"/>
      <c r="M131" s="308"/>
      <c r="N131" s="292"/>
      <c r="O131" s="308"/>
      <c r="P131" s="575"/>
      <c r="Q131" s="576"/>
      <c r="R131" s="308"/>
      <c r="S131" s="575"/>
      <c r="T131" s="576"/>
      <c r="U131" s="308"/>
      <c r="V131" s="575"/>
      <c r="W131" s="576"/>
      <c r="X131" s="308"/>
      <c r="Y131" s="575"/>
      <c r="Z131" s="576"/>
      <c r="AA131" s="308"/>
      <c r="AB131" s="575"/>
      <c r="AC131" s="576"/>
      <c r="AD131" s="308"/>
      <c r="AE131" s="575"/>
      <c r="AF131" s="308"/>
      <c r="AG131" s="575"/>
      <c r="AH131" s="308"/>
      <c r="AI131" s="575"/>
      <c r="AJ131" s="308"/>
      <c r="AK131" s="305"/>
      <c r="AL131" s="577"/>
      <c r="AM131" s="306"/>
      <c r="AN131" s="308"/>
      <c r="AO131" s="573"/>
      <c r="AP131" s="305"/>
      <c r="AQ131" s="308"/>
      <c r="AR131" s="573"/>
      <c r="AS131" s="578"/>
      <c r="AT131" s="577"/>
      <c r="AU131" s="579"/>
      <c r="AV131" s="578"/>
      <c r="AW131" s="308"/>
      <c r="AX131" s="307"/>
      <c r="AY131" s="307"/>
      <c r="AZ131" s="307"/>
      <c r="BA131" s="307"/>
      <c r="BB131" s="307"/>
      <c r="BC131" s="305"/>
      <c r="BD131" s="292"/>
      <c r="BE131" s="297"/>
      <c r="BF131" s="297"/>
      <c r="BG131" s="569"/>
      <c r="BH131" s="570"/>
      <c r="BI131" s="570"/>
      <c r="BJ131" s="570"/>
      <c r="BK131" s="570"/>
      <c r="BL131" s="570"/>
      <c r="BM131" s="570"/>
      <c r="BN131" s="570"/>
      <c r="BO131" s="570"/>
      <c r="BP131" s="570"/>
      <c r="BQ131" s="570"/>
      <c r="BR131" s="570"/>
      <c r="BS131" s="570"/>
      <c r="BT131" s="570"/>
      <c r="BU131" s="570"/>
      <c r="BV131" s="570"/>
      <c r="BW131" s="570"/>
      <c r="BX131" s="570"/>
      <c r="BY131" s="570"/>
      <c r="BZ131" s="571"/>
      <c r="CA131" s="571"/>
    </row>
    <row r="132" spans="2:79">
      <c r="B132" s="566">
        <v>117</v>
      </c>
      <c r="C132" s="308"/>
      <c r="D132" s="307"/>
      <c r="E132" s="307"/>
      <c r="F132" s="305"/>
      <c r="G132" s="305"/>
      <c r="H132" s="292"/>
      <c r="I132" s="574"/>
      <c r="J132" s="573"/>
      <c r="K132" s="307"/>
      <c r="L132" s="292"/>
      <c r="M132" s="308"/>
      <c r="N132" s="292"/>
      <c r="O132" s="308"/>
      <c r="P132" s="575"/>
      <c r="Q132" s="576"/>
      <c r="R132" s="308"/>
      <c r="S132" s="575"/>
      <c r="T132" s="576"/>
      <c r="U132" s="308"/>
      <c r="V132" s="575"/>
      <c r="W132" s="576"/>
      <c r="X132" s="308"/>
      <c r="Y132" s="575"/>
      <c r="Z132" s="576"/>
      <c r="AA132" s="308"/>
      <c r="AB132" s="575"/>
      <c r="AC132" s="576"/>
      <c r="AD132" s="308"/>
      <c r="AE132" s="575"/>
      <c r="AF132" s="308"/>
      <c r="AG132" s="575"/>
      <c r="AH132" s="308"/>
      <c r="AI132" s="575"/>
      <c r="AJ132" s="308"/>
      <c r="AK132" s="305"/>
      <c r="AL132" s="577"/>
      <c r="AM132" s="306"/>
      <c r="AN132" s="308"/>
      <c r="AO132" s="573"/>
      <c r="AP132" s="305"/>
      <c r="AQ132" s="308"/>
      <c r="AR132" s="573"/>
      <c r="AS132" s="578"/>
      <c r="AT132" s="577"/>
      <c r="AU132" s="579"/>
      <c r="AV132" s="578"/>
      <c r="AW132" s="308"/>
      <c r="AX132" s="307"/>
      <c r="AY132" s="307"/>
      <c r="AZ132" s="307"/>
      <c r="BA132" s="307"/>
      <c r="BB132" s="307"/>
      <c r="BC132" s="305"/>
      <c r="BD132" s="292"/>
      <c r="BE132" s="297"/>
      <c r="BF132" s="297"/>
      <c r="BG132" s="569"/>
      <c r="BH132" s="570"/>
      <c r="BI132" s="570"/>
      <c r="BJ132" s="570"/>
      <c r="BK132" s="570"/>
      <c r="BL132" s="570"/>
      <c r="BM132" s="570"/>
      <c r="BN132" s="570"/>
      <c r="BO132" s="570"/>
      <c r="BP132" s="570"/>
      <c r="BQ132" s="570"/>
      <c r="BR132" s="570"/>
      <c r="BS132" s="570"/>
      <c r="BT132" s="570"/>
      <c r="BU132" s="570"/>
      <c r="BV132" s="570"/>
      <c r="BW132" s="570"/>
      <c r="BX132" s="570"/>
      <c r="BY132" s="570"/>
      <c r="BZ132" s="571"/>
      <c r="CA132" s="571"/>
    </row>
    <row r="133" spans="2:79">
      <c r="B133" s="572">
        <v>118</v>
      </c>
      <c r="C133" s="308"/>
      <c r="D133" s="307"/>
      <c r="E133" s="307"/>
      <c r="F133" s="305"/>
      <c r="G133" s="305"/>
      <c r="H133" s="292"/>
      <c r="I133" s="574"/>
      <c r="J133" s="573"/>
      <c r="K133" s="307"/>
      <c r="L133" s="292"/>
      <c r="M133" s="308"/>
      <c r="N133" s="292"/>
      <c r="O133" s="308"/>
      <c r="P133" s="575"/>
      <c r="Q133" s="576"/>
      <c r="R133" s="308"/>
      <c r="S133" s="575"/>
      <c r="T133" s="576"/>
      <c r="U133" s="308"/>
      <c r="V133" s="575"/>
      <c r="W133" s="576"/>
      <c r="X133" s="308"/>
      <c r="Y133" s="575"/>
      <c r="Z133" s="576"/>
      <c r="AA133" s="308"/>
      <c r="AB133" s="575"/>
      <c r="AC133" s="576"/>
      <c r="AD133" s="308"/>
      <c r="AE133" s="575"/>
      <c r="AF133" s="308"/>
      <c r="AG133" s="575"/>
      <c r="AH133" s="308"/>
      <c r="AI133" s="575"/>
      <c r="AJ133" s="308"/>
      <c r="AK133" s="305"/>
      <c r="AL133" s="577"/>
      <c r="AM133" s="306"/>
      <c r="AN133" s="308"/>
      <c r="AO133" s="573"/>
      <c r="AP133" s="305"/>
      <c r="AQ133" s="308"/>
      <c r="AR133" s="573"/>
      <c r="AS133" s="578"/>
      <c r="AT133" s="577"/>
      <c r="AU133" s="579"/>
      <c r="AV133" s="578"/>
      <c r="AW133" s="308"/>
      <c r="AX133" s="307"/>
      <c r="AY133" s="307"/>
      <c r="AZ133" s="307"/>
      <c r="BA133" s="307"/>
      <c r="BB133" s="307"/>
      <c r="BC133" s="305"/>
      <c r="BD133" s="292"/>
      <c r="BE133" s="297"/>
      <c r="BF133" s="297"/>
      <c r="BG133" s="569"/>
      <c r="BH133" s="570"/>
      <c r="BI133" s="570"/>
      <c r="BJ133" s="570"/>
      <c r="BK133" s="570"/>
      <c r="BL133" s="570"/>
      <c r="BM133" s="570"/>
      <c r="BN133" s="570"/>
      <c r="BO133" s="570"/>
      <c r="BP133" s="570"/>
      <c r="BQ133" s="570"/>
      <c r="BR133" s="570"/>
      <c r="BS133" s="570"/>
      <c r="BT133" s="570"/>
      <c r="BU133" s="570"/>
      <c r="BV133" s="570"/>
      <c r="BW133" s="570"/>
      <c r="BX133" s="570"/>
      <c r="BY133" s="570"/>
      <c r="BZ133" s="571"/>
      <c r="CA133" s="571"/>
    </row>
    <row r="134" spans="2:79">
      <c r="B134" s="566">
        <v>119</v>
      </c>
      <c r="C134" s="308"/>
      <c r="D134" s="307"/>
      <c r="E134" s="307"/>
      <c r="F134" s="305"/>
      <c r="G134" s="305"/>
      <c r="H134" s="292"/>
      <c r="I134" s="574"/>
      <c r="J134" s="573"/>
      <c r="K134" s="307"/>
      <c r="L134" s="292"/>
      <c r="M134" s="308"/>
      <c r="N134" s="292"/>
      <c r="O134" s="308"/>
      <c r="P134" s="575"/>
      <c r="Q134" s="576"/>
      <c r="R134" s="308"/>
      <c r="S134" s="575"/>
      <c r="T134" s="576"/>
      <c r="U134" s="308"/>
      <c r="V134" s="575"/>
      <c r="W134" s="576"/>
      <c r="X134" s="308"/>
      <c r="Y134" s="575"/>
      <c r="Z134" s="576"/>
      <c r="AA134" s="308"/>
      <c r="AB134" s="575"/>
      <c r="AC134" s="576"/>
      <c r="AD134" s="308"/>
      <c r="AE134" s="575"/>
      <c r="AF134" s="308"/>
      <c r="AG134" s="575"/>
      <c r="AH134" s="308"/>
      <c r="AI134" s="575"/>
      <c r="AJ134" s="308"/>
      <c r="AK134" s="305"/>
      <c r="AL134" s="577"/>
      <c r="AM134" s="306"/>
      <c r="AN134" s="308"/>
      <c r="AO134" s="573"/>
      <c r="AP134" s="305"/>
      <c r="AQ134" s="308"/>
      <c r="AR134" s="573"/>
      <c r="AS134" s="578"/>
      <c r="AT134" s="577"/>
      <c r="AU134" s="579"/>
      <c r="AV134" s="578"/>
      <c r="AW134" s="308"/>
      <c r="AX134" s="307"/>
      <c r="AY134" s="307"/>
      <c r="AZ134" s="307"/>
      <c r="BA134" s="307"/>
      <c r="BB134" s="307"/>
      <c r="BC134" s="305"/>
      <c r="BD134" s="292"/>
      <c r="BE134" s="297"/>
      <c r="BF134" s="297"/>
      <c r="BG134" s="569"/>
      <c r="BH134" s="570"/>
      <c r="BI134" s="570"/>
      <c r="BJ134" s="570"/>
      <c r="BK134" s="570"/>
      <c r="BL134" s="570"/>
      <c r="BM134" s="570"/>
      <c r="BN134" s="570"/>
      <c r="BO134" s="570"/>
      <c r="BP134" s="570"/>
      <c r="BQ134" s="570"/>
      <c r="BR134" s="570"/>
      <c r="BS134" s="570"/>
      <c r="BT134" s="570"/>
      <c r="BU134" s="570"/>
      <c r="BV134" s="570"/>
      <c r="BW134" s="570"/>
      <c r="BX134" s="570"/>
      <c r="BY134" s="570"/>
      <c r="BZ134" s="571"/>
      <c r="CA134" s="571"/>
    </row>
    <row r="135" spans="2:79">
      <c r="B135" s="572">
        <v>120</v>
      </c>
      <c r="C135" s="308"/>
      <c r="D135" s="307"/>
      <c r="E135" s="307"/>
      <c r="F135" s="305"/>
      <c r="G135" s="305"/>
      <c r="H135" s="292"/>
      <c r="I135" s="574"/>
      <c r="J135" s="573"/>
      <c r="K135" s="307"/>
      <c r="L135" s="292"/>
      <c r="M135" s="308"/>
      <c r="N135" s="292"/>
      <c r="O135" s="308"/>
      <c r="P135" s="575"/>
      <c r="Q135" s="576"/>
      <c r="R135" s="308"/>
      <c r="S135" s="575"/>
      <c r="T135" s="576"/>
      <c r="U135" s="308"/>
      <c r="V135" s="575"/>
      <c r="W135" s="576"/>
      <c r="X135" s="308"/>
      <c r="Y135" s="575"/>
      <c r="Z135" s="576"/>
      <c r="AA135" s="308"/>
      <c r="AB135" s="575"/>
      <c r="AC135" s="576"/>
      <c r="AD135" s="308"/>
      <c r="AE135" s="575"/>
      <c r="AF135" s="308"/>
      <c r="AG135" s="575"/>
      <c r="AH135" s="308"/>
      <c r="AI135" s="575"/>
      <c r="AJ135" s="308"/>
      <c r="AK135" s="305"/>
      <c r="AL135" s="577"/>
      <c r="AM135" s="306"/>
      <c r="AN135" s="308"/>
      <c r="AO135" s="573"/>
      <c r="AP135" s="305"/>
      <c r="AQ135" s="308"/>
      <c r="AR135" s="573"/>
      <c r="AS135" s="578"/>
      <c r="AT135" s="577"/>
      <c r="AU135" s="579"/>
      <c r="AV135" s="578"/>
      <c r="AW135" s="308"/>
      <c r="AX135" s="307"/>
      <c r="AY135" s="307"/>
      <c r="AZ135" s="307"/>
      <c r="BA135" s="307"/>
      <c r="BB135" s="307"/>
      <c r="BC135" s="305"/>
      <c r="BD135" s="292"/>
      <c r="BE135" s="297"/>
      <c r="BF135" s="297"/>
      <c r="BG135" s="569"/>
      <c r="BH135" s="570"/>
      <c r="BI135" s="570"/>
      <c r="BJ135" s="570"/>
      <c r="BK135" s="570"/>
      <c r="BL135" s="570"/>
      <c r="BM135" s="570"/>
      <c r="BN135" s="570"/>
      <c r="BO135" s="570"/>
      <c r="BP135" s="570"/>
      <c r="BQ135" s="570"/>
      <c r="BR135" s="570"/>
      <c r="BS135" s="570"/>
      <c r="BT135" s="570"/>
      <c r="BU135" s="570"/>
      <c r="BV135" s="570"/>
      <c r="BW135" s="570"/>
      <c r="BX135" s="570"/>
      <c r="BY135" s="570"/>
      <c r="BZ135" s="571"/>
      <c r="CA135" s="571"/>
    </row>
    <row r="136" spans="2:79">
      <c r="B136" s="566">
        <v>121</v>
      </c>
      <c r="C136" s="308"/>
      <c r="D136" s="307"/>
      <c r="E136" s="307"/>
      <c r="F136" s="305"/>
      <c r="G136" s="305"/>
      <c r="H136" s="292"/>
      <c r="I136" s="574"/>
      <c r="J136" s="573"/>
      <c r="K136" s="307"/>
      <c r="L136" s="292"/>
      <c r="M136" s="308"/>
      <c r="N136" s="292"/>
      <c r="O136" s="308"/>
      <c r="P136" s="575"/>
      <c r="Q136" s="576"/>
      <c r="R136" s="308"/>
      <c r="S136" s="575"/>
      <c r="T136" s="576"/>
      <c r="U136" s="308"/>
      <c r="V136" s="575"/>
      <c r="W136" s="576"/>
      <c r="X136" s="308"/>
      <c r="Y136" s="575"/>
      <c r="Z136" s="576"/>
      <c r="AA136" s="308"/>
      <c r="AB136" s="575"/>
      <c r="AC136" s="576"/>
      <c r="AD136" s="308"/>
      <c r="AE136" s="575"/>
      <c r="AF136" s="308"/>
      <c r="AG136" s="575"/>
      <c r="AH136" s="308"/>
      <c r="AI136" s="575"/>
      <c r="AJ136" s="308"/>
      <c r="AK136" s="305"/>
      <c r="AL136" s="577"/>
      <c r="AM136" s="306"/>
      <c r="AN136" s="308"/>
      <c r="AO136" s="573"/>
      <c r="AP136" s="305"/>
      <c r="AQ136" s="308"/>
      <c r="AR136" s="573"/>
      <c r="AS136" s="578"/>
      <c r="AT136" s="577"/>
      <c r="AU136" s="579"/>
      <c r="AV136" s="578"/>
      <c r="AW136" s="308"/>
      <c r="AX136" s="307"/>
      <c r="AY136" s="307"/>
      <c r="AZ136" s="307"/>
      <c r="BA136" s="307"/>
      <c r="BB136" s="307"/>
      <c r="BC136" s="305"/>
      <c r="BD136" s="292"/>
      <c r="BE136" s="297"/>
      <c r="BF136" s="297"/>
      <c r="BG136" s="569"/>
      <c r="BH136" s="570"/>
      <c r="BI136" s="570"/>
      <c r="BJ136" s="570"/>
      <c r="BK136" s="570"/>
      <c r="BL136" s="570"/>
      <c r="BM136" s="570"/>
      <c r="BN136" s="570"/>
      <c r="BO136" s="570"/>
      <c r="BP136" s="570"/>
      <c r="BQ136" s="570"/>
      <c r="BR136" s="570"/>
      <c r="BS136" s="570"/>
      <c r="BT136" s="570"/>
      <c r="BU136" s="570"/>
      <c r="BV136" s="570"/>
      <c r="BW136" s="570"/>
      <c r="BX136" s="570"/>
      <c r="BY136" s="570"/>
      <c r="BZ136" s="571"/>
      <c r="CA136" s="571"/>
    </row>
    <row r="137" spans="2:79">
      <c r="B137" s="572">
        <v>122</v>
      </c>
      <c r="C137" s="308"/>
      <c r="D137" s="307"/>
      <c r="E137" s="307"/>
      <c r="F137" s="305"/>
      <c r="G137" s="305"/>
      <c r="H137" s="292"/>
      <c r="I137" s="574"/>
      <c r="J137" s="573"/>
      <c r="K137" s="307"/>
      <c r="L137" s="292"/>
      <c r="M137" s="308"/>
      <c r="N137" s="292"/>
      <c r="O137" s="308"/>
      <c r="P137" s="575"/>
      <c r="Q137" s="576"/>
      <c r="R137" s="308"/>
      <c r="S137" s="575"/>
      <c r="T137" s="576"/>
      <c r="U137" s="308"/>
      <c r="V137" s="575"/>
      <c r="W137" s="576"/>
      <c r="X137" s="308"/>
      <c r="Y137" s="575"/>
      <c r="Z137" s="576"/>
      <c r="AA137" s="308"/>
      <c r="AB137" s="575"/>
      <c r="AC137" s="576"/>
      <c r="AD137" s="308"/>
      <c r="AE137" s="575"/>
      <c r="AF137" s="308"/>
      <c r="AG137" s="575"/>
      <c r="AH137" s="308"/>
      <c r="AI137" s="575"/>
      <c r="AJ137" s="308"/>
      <c r="AK137" s="305"/>
      <c r="AL137" s="577"/>
      <c r="AM137" s="306"/>
      <c r="AN137" s="308"/>
      <c r="AO137" s="573"/>
      <c r="AP137" s="305"/>
      <c r="AQ137" s="308"/>
      <c r="AR137" s="573"/>
      <c r="AS137" s="578"/>
      <c r="AT137" s="577"/>
      <c r="AU137" s="579"/>
      <c r="AV137" s="578"/>
      <c r="AW137" s="308"/>
      <c r="AX137" s="307"/>
      <c r="AY137" s="307"/>
      <c r="AZ137" s="307"/>
      <c r="BA137" s="307"/>
      <c r="BB137" s="307"/>
      <c r="BC137" s="305"/>
      <c r="BD137" s="292"/>
      <c r="BE137" s="297"/>
      <c r="BF137" s="297"/>
      <c r="BG137" s="569"/>
      <c r="BH137" s="570"/>
      <c r="BI137" s="570"/>
      <c r="BJ137" s="570"/>
      <c r="BK137" s="570"/>
      <c r="BL137" s="570"/>
      <c r="BM137" s="570"/>
      <c r="BN137" s="570"/>
      <c r="BO137" s="570"/>
      <c r="BP137" s="570"/>
      <c r="BQ137" s="570"/>
      <c r="BR137" s="570"/>
      <c r="BS137" s="570"/>
      <c r="BT137" s="570"/>
      <c r="BU137" s="570"/>
      <c r="BV137" s="570"/>
      <c r="BW137" s="570"/>
      <c r="BX137" s="570"/>
      <c r="BY137" s="570"/>
      <c r="BZ137" s="571"/>
      <c r="CA137" s="571"/>
    </row>
    <row r="138" spans="2:79">
      <c r="B138" s="566">
        <v>123</v>
      </c>
      <c r="C138" s="308"/>
      <c r="D138" s="307"/>
      <c r="E138" s="307"/>
      <c r="F138" s="305"/>
      <c r="G138" s="305"/>
      <c r="H138" s="292"/>
      <c r="I138" s="574"/>
      <c r="J138" s="573"/>
      <c r="K138" s="307"/>
      <c r="L138" s="292"/>
      <c r="M138" s="308"/>
      <c r="N138" s="292"/>
      <c r="O138" s="308"/>
      <c r="P138" s="575"/>
      <c r="Q138" s="576"/>
      <c r="R138" s="308"/>
      <c r="S138" s="575"/>
      <c r="T138" s="576"/>
      <c r="U138" s="308"/>
      <c r="V138" s="575"/>
      <c r="W138" s="576"/>
      <c r="X138" s="308"/>
      <c r="Y138" s="575"/>
      <c r="Z138" s="576"/>
      <c r="AA138" s="308"/>
      <c r="AB138" s="575"/>
      <c r="AC138" s="576"/>
      <c r="AD138" s="308"/>
      <c r="AE138" s="575"/>
      <c r="AF138" s="308"/>
      <c r="AG138" s="575"/>
      <c r="AH138" s="308"/>
      <c r="AI138" s="575"/>
      <c r="AJ138" s="308"/>
      <c r="AK138" s="305"/>
      <c r="AL138" s="577"/>
      <c r="AM138" s="306"/>
      <c r="AN138" s="308"/>
      <c r="AO138" s="573"/>
      <c r="AP138" s="305"/>
      <c r="AQ138" s="308"/>
      <c r="AR138" s="573"/>
      <c r="AS138" s="578"/>
      <c r="AT138" s="577"/>
      <c r="AU138" s="579"/>
      <c r="AV138" s="578"/>
      <c r="AW138" s="308"/>
      <c r="AX138" s="307"/>
      <c r="AY138" s="307"/>
      <c r="AZ138" s="307"/>
      <c r="BA138" s="307"/>
      <c r="BB138" s="307"/>
      <c r="BC138" s="305"/>
      <c r="BD138" s="292"/>
      <c r="BE138" s="297"/>
      <c r="BF138" s="297"/>
      <c r="BG138" s="569"/>
      <c r="BH138" s="570"/>
      <c r="BI138" s="570"/>
      <c r="BJ138" s="570"/>
      <c r="BK138" s="570"/>
      <c r="BL138" s="570"/>
      <c r="BM138" s="570"/>
      <c r="BN138" s="570"/>
      <c r="BO138" s="570"/>
      <c r="BP138" s="570"/>
      <c r="BQ138" s="570"/>
      <c r="BR138" s="570"/>
      <c r="BS138" s="570"/>
      <c r="BT138" s="570"/>
      <c r="BU138" s="570"/>
      <c r="BV138" s="570"/>
      <c r="BW138" s="570"/>
      <c r="BX138" s="570"/>
      <c r="BY138" s="570"/>
      <c r="BZ138" s="571"/>
      <c r="CA138" s="571"/>
    </row>
    <row r="139" spans="2:79">
      <c r="B139" s="572">
        <v>124</v>
      </c>
      <c r="C139" s="308"/>
      <c r="D139" s="307"/>
      <c r="E139" s="307"/>
      <c r="F139" s="305"/>
      <c r="G139" s="305"/>
      <c r="H139" s="292"/>
      <c r="I139" s="574"/>
      <c r="J139" s="573"/>
      <c r="K139" s="307"/>
      <c r="L139" s="292"/>
      <c r="M139" s="308"/>
      <c r="N139" s="292"/>
      <c r="O139" s="308"/>
      <c r="P139" s="575"/>
      <c r="Q139" s="576"/>
      <c r="R139" s="308"/>
      <c r="S139" s="575"/>
      <c r="T139" s="576"/>
      <c r="U139" s="308"/>
      <c r="V139" s="575"/>
      <c r="W139" s="576"/>
      <c r="X139" s="308"/>
      <c r="Y139" s="575"/>
      <c r="Z139" s="576"/>
      <c r="AA139" s="308"/>
      <c r="AB139" s="575"/>
      <c r="AC139" s="576"/>
      <c r="AD139" s="308"/>
      <c r="AE139" s="575"/>
      <c r="AF139" s="308"/>
      <c r="AG139" s="575"/>
      <c r="AH139" s="308"/>
      <c r="AI139" s="575"/>
      <c r="AJ139" s="308"/>
      <c r="AK139" s="305"/>
      <c r="AL139" s="577"/>
      <c r="AM139" s="306"/>
      <c r="AN139" s="308"/>
      <c r="AO139" s="573"/>
      <c r="AP139" s="305"/>
      <c r="AQ139" s="308"/>
      <c r="AR139" s="573"/>
      <c r="AS139" s="578"/>
      <c r="AT139" s="577"/>
      <c r="AU139" s="579"/>
      <c r="AV139" s="578"/>
      <c r="AW139" s="308"/>
      <c r="AX139" s="307"/>
      <c r="AY139" s="307"/>
      <c r="AZ139" s="307"/>
      <c r="BA139" s="307"/>
      <c r="BB139" s="307"/>
      <c r="BC139" s="305"/>
      <c r="BD139" s="292"/>
      <c r="BE139" s="297"/>
      <c r="BF139" s="297"/>
      <c r="BG139" s="569"/>
      <c r="BH139" s="570"/>
      <c r="BI139" s="570"/>
      <c r="BJ139" s="570"/>
      <c r="BK139" s="570"/>
      <c r="BL139" s="570"/>
      <c r="BM139" s="570"/>
      <c r="BN139" s="570"/>
      <c r="BO139" s="570"/>
      <c r="BP139" s="570"/>
      <c r="BQ139" s="570"/>
      <c r="BR139" s="570"/>
      <c r="BS139" s="570"/>
      <c r="BT139" s="570"/>
      <c r="BU139" s="570"/>
      <c r="BV139" s="570"/>
      <c r="BW139" s="570"/>
      <c r="BX139" s="570"/>
      <c r="BY139" s="570"/>
      <c r="BZ139" s="571"/>
      <c r="CA139" s="571"/>
    </row>
    <row r="140" spans="2:79">
      <c r="B140" s="566">
        <v>125</v>
      </c>
      <c r="C140" s="308"/>
      <c r="D140" s="307"/>
      <c r="E140" s="307"/>
      <c r="F140" s="305"/>
      <c r="G140" s="305"/>
      <c r="H140" s="292"/>
      <c r="I140" s="574"/>
      <c r="J140" s="573"/>
      <c r="K140" s="307"/>
      <c r="L140" s="292"/>
      <c r="M140" s="308"/>
      <c r="N140" s="292"/>
      <c r="O140" s="308"/>
      <c r="P140" s="575"/>
      <c r="Q140" s="576"/>
      <c r="R140" s="308"/>
      <c r="S140" s="575"/>
      <c r="T140" s="576"/>
      <c r="U140" s="308"/>
      <c r="V140" s="575"/>
      <c r="W140" s="576"/>
      <c r="X140" s="308"/>
      <c r="Y140" s="575"/>
      <c r="Z140" s="576"/>
      <c r="AA140" s="308"/>
      <c r="AB140" s="575"/>
      <c r="AC140" s="576"/>
      <c r="AD140" s="308"/>
      <c r="AE140" s="575"/>
      <c r="AF140" s="308"/>
      <c r="AG140" s="575"/>
      <c r="AH140" s="308"/>
      <c r="AI140" s="575"/>
      <c r="AJ140" s="308"/>
      <c r="AK140" s="305"/>
      <c r="AL140" s="577"/>
      <c r="AM140" s="306"/>
      <c r="AN140" s="308"/>
      <c r="AO140" s="573"/>
      <c r="AP140" s="305"/>
      <c r="AQ140" s="308"/>
      <c r="AR140" s="573"/>
      <c r="AS140" s="578"/>
      <c r="AT140" s="577"/>
      <c r="AU140" s="579"/>
      <c r="AV140" s="578"/>
      <c r="AW140" s="308"/>
      <c r="AX140" s="307"/>
      <c r="AY140" s="307"/>
      <c r="AZ140" s="307"/>
      <c r="BA140" s="307"/>
      <c r="BB140" s="307"/>
      <c r="BC140" s="305"/>
      <c r="BD140" s="292"/>
      <c r="BE140" s="297"/>
      <c r="BF140" s="297"/>
      <c r="BG140" s="569"/>
      <c r="BH140" s="570"/>
      <c r="BI140" s="570"/>
      <c r="BJ140" s="570"/>
      <c r="BK140" s="570"/>
      <c r="BL140" s="570"/>
      <c r="BM140" s="570"/>
      <c r="BN140" s="570"/>
      <c r="BO140" s="570"/>
      <c r="BP140" s="570"/>
      <c r="BQ140" s="570"/>
      <c r="BR140" s="570"/>
      <c r="BS140" s="570"/>
      <c r="BT140" s="570"/>
      <c r="BU140" s="570"/>
      <c r="BV140" s="570"/>
      <c r="BW140" s="570"/>
      <c r="BX140" s="570"/>
      <c r="BY140" s="570"/>
      <c r="BZ140" s="571"/>
      <c r="CA140" s="571"/>
    </row>
    <row r="141" spans="2:79">
      <c r="B141" s="572">
        <v>126</v>
      </c>
      <c r="C141" s="308"/>
      <c r="D141" s="307"/>
      <c r="E141" s="307"/>
      <c r="F141" s="305"/>
      <c r="G141" s="305"/>
      <c r="H141" s="292"/>
      <c r="I141" s="574"/>
      <c r="J141" s="573"/>
      <c r="K141" s="307"/>
      <c r="L141" s="292"/>
      <c r="M141" s="308"/>
      <c r="N141" s="292"/>
      <c r="O141" s="308"/>
      <c r="P141" s="575"/>
      <c r="Q141" s="576"/>
      <c r="R141" s="308"/>
      <c r="S141" s="575"/>
      <c r="T141" s="576"/>
      <c r="U141" s="308"/>
      <c r="V141" s="575"/>
      <c r="W141" s="576"/>
      <c r="X141" s="308"/>
      <c r="Y141" s="575"/>
      <c r="Z141" s="576"/>
      <c r="AA141" s="308"/>
      <c r="AB141" s="575"/>
      <c r="AC141" s="576"/>
      <c r="AD141" s="308"/>
      <c r="AE141" s="575"/>
      <c r="AF141" s="308"/>
      <c r="AG141" s="575"/>
      <c r="AH141" s="308"/>
      <c r="AI141" s="575"/>
      <c r="AJ141" s="308"/>
      <c r="AK141" s="305"/>
      <c r="AL141" s="577"/>
      <c r="AM141" s="306"/>
      <c r="AN141" s="308"/>
      <c r="AO141" s="573"/>
      <c r="AP141" s="305"/>
      <c r="AQ141" s="308"/>
      <c r="AR141" s="573"/>
      <c r="AS141" s="578"/>
      <c r="AT141" s="577"/>
      <c r="AU141" s="579"/>
      <c r="AV141" s="578"/>
      <c r="AW141" s="308"/>
      <c r="AX141" s="307"/>
      <c r="AY141" s="307"/>
      <c r="AZ141" s="307"/>
      <c r="BA141" s="307"/>
      <c r="BB141" s="307"/>
      <c r="BC141" s="305"/>
      <c r="BD141" s="292"/>
      <c r="BE141" s="297"/>
      <c r="BF141" s="297"/>
      <c r="BG141" s="569"/>
      <c r="BH141" s="570"/>
      <c r="BI141" s="570"/>
      <c r="BJ141" s="570"/>
      <c r="BK141" s="570"/>
      <c r="BL141" s="570"/>
      <c r="BM141" s="570"/>
      <c r="BN141" s="570"/>
      <c r="BO141" s="570"/>
      <c r="BP141" s="570"/>
      <c r="BQ141" s="570"/>
      <c r="BR141" s="570"/>
      <c r="BS141" s="570"/>
      <c r="BT141" s="570"/>
      <c r="BU141" s="570"/>
      <c r="BV141" s="570"/>
      <c r="BW141" s="570"/>
      <c r="BX141" s="570"/>
      <c r="BY141" s="570"/>
      <c r="BZ141" s="571"/>
      <c r="CA141" s="571"/>
    </row>
    <row r="142" spans="2:79">
      <c r="B142" s="566">
        <v>127</v>
      </c>
      <c r="C142" s="308"/>
      <c r="D142" s="307"/>
      <c r="E142" s="307"/>
      <c r="F142" s="305"/>
      <c r="G142" s="305"/>
      <c r="H142" s="292"/>
      <c r="I142" s="574"/>
      <c r="J142" s="573"/>
      <c r="K142" s="307"/>
      <c r="L142" s="292"/>
      <c r="M142" s="308"/>
      <c r="N142" s="292"/>
      <c r="O142" s="308"/>
      <c r="P142" s="575"/>
      <c r="Q142" s="576"/>
      <c r="R142" s="308"/>
      <c r="S142" s="575"/>
      <c r="T142" s="576"/>
      <c r="U142" s="308"/>
      <c r="V142" s="575"/>
      <c r="W142" s="576"/>
      <c r="X142" s="308"/>
      <c r="Y142" s="575"/>
      <c r="Z142" s="576"/>
      <c r="AA142" s="308"/>
      <c r="AB142" s="575"/>
      <c r="AC142" s="576"/>
      <c r="AD142" s="308"/>
      <c r="AE142" s="575"/>
      <c r="AF142" s="308"/>
      <c r="AG142" s="575"/>
      <c r="AH142" s="308"/>
      <c r="AI142" s="575"/>
      <c r="AJ142" s="308"/>
      <c r="AK142" s="305"/>
      <c r="AL142" s="577"/>
      <c r="AM142" s="306"/>
      <c r="AN142" s="308"/>
      <c r="AO142" s="573"/>
      <c r="AP142" s="305"/>
      <c r="AQ142" s="308"/>
      <c r="AR142" s="573"/>
      <c r="AS142" s="578"/>
      <c r="AT142" s="577"/>
      <c r="AU142" s="579"/>
      <c r="AV142" s="578"/>
      <c r="AW142" s="308"/>
      <c r="AX142" s="307"/>
      <c r="AY142" s="307"/>
      <c r="AZ142" s="307"/>
      <c r="BA142" s="307"/>
      <c r="BB142" s="307"/>
      <c r="BC142" s="305"/>
      <c r="BD142" s="292"/>
      <c r="BE142" s="297"/>
      <c r="BF142" s="297"/>
      <c r="BG142" s="569"/>
      <c r="BH142" s="570"/>
      <c r="BI142" s="570"/>
      <c r="BJ142" s="570"/>
      <c r="BK142" s="570"/>
      <c r="BL142" s="570"/>
      <c r="BM142" s="570"/>
      <c r="BN142" s="570"/>
      <c r="BO142" s="570"/>
      <c r="BP142" s="570"/>
      <c r="BQ142" s="570"/>
      <c r="BR142" s="570"/>
      <c r="BS142" s="570"/>
      <c r="BT142" s="570"/>
      <c r="BU142" s="570"/>
      <c r="BV142" s="570"/>
      <c r="BW142" s="570"/>
      <c r="BX142" s="570"/>
      <c r="BY142" s="570"/>
      <c r="BZ142" s="571"/>
      <c r="CA142" s="571"/>
    </row>
    <row r="143" spans="2:79">
      <c r="B143" s="572">
        <v>128</v>
      </c>
      <c r="C143" s="308"/>
      <c r="D143" s="307"/>
      <c r="E143" s="307"/>
      <c r="F143" s="305"/>
      <c r="G143" s="305"/>
      <c r="H143" s="292"/>
      <c r="I143" s="574"/>
      <c r="J143" s="573"/>
      <c r="K143" s="307"/>
      <c r="L143" s="292"/>
      <c r="M143" s="308"/>
      <c r="N143" s="292"/>
      <c r="O143" s="308"/>
      <c r="P143" s="575"/>
      <c r="Q143" s="576"/>
      <c r="R143" s="308"/>
      <c r="S143" s="575"/>
      <c r="T143" s="576"/>
      <c r="U143" s="308"/>
      <c r="V143" s="575"/>
      <c r="W143" s="576"/>
      <c r="X143" s="308"/>
      <c r="Y143" s="575"/>
      <c r="Z143" s="576"/>
      <c r="AA143" s="308"/>
      <c r="AB143" s="575"/>
      <c r="AC143" s="576"/>
      <c r="AD143" s="308"/>
      <c r="AE143" s="575"/>
      <c r="AF143" s="308"/>
      <c r="AG143" s="575"/>
      <c r="AH143" s="308"/>
      <c r="AI143" s="575"/>
      <c r="AJ143" s="308"/>
      <c r="AK143" s="305"/>
      <c r="AL143" s="577"/>
      <c r="AM143" s="306"/>
      <c r="AN143" s="308"/>
      <c r="AO143" s="573"/>
      <c r="AP143" s="305"/>
      <c r="AQ143" s="308"/>
      <c r="AR143" s="573"/>
      <c r="AS143" s="578"/>
      <c r="AT143" s="577"/>
      <c r="AU143" s="579"/>
      <c r="AV143" s="578"/>
      <c r="AW143" s="308"/>
      <c r="AX143" s="307"/>
      <c r="AY143" s="307"/>
      <c r="AZ143" s="307"/>
      <c r="BA143" s="307"/>
      <c r="BB143" s="307"/>
      <c r="BC143" s="305"/>
      <c r="BD143" s="292"/>
      <c r="BE143" s="297"/>
      <c r="BF143" s="297"/>
      <c r="BG143" s="569"/>
      <c r="BH143" s="570"/>
      <c r="BI143" s="570"/>
      <c r="BJ143" s="570"/>
      <c r="BK143" s="570"/>
      <c r="BL143" s="570"/>
      <c r="BM143" s="570"/>
      <c r="BN143" s="570"/>
      <c r="BO143" s="570"/>
      <c r="BP143" s="570"/>
      <c r="BQ143" s="570"/>
      <c r="BR143" s="570"/>
      <c r="BS143" s="570"/>
      <c r="BT143" s="570"/>
      <c r="BU143" s="570"/>
      <c r="BV143" s="570"/>
      <c r="BW143" s="570"/>
      <c r="BX143" s="570"/>
      <c r="BY143" s="570"/>
      <c r="BZ143" s="571"/>
      <c r="CA143" s="571"/>
    </row>
    <row r="144" spans="2:79">
      <c r="B144" s="566">
        <v>129</v>
      </c>
      <c r="C144" s="308"/>
      <c r="D144" s="307"/>
      <c r="E144" s="307"/>
      <c r="F144" s="305"/>
      <c r="G144" s="305"/>
      <c r="H144" s="292"/>
      <c r="I144" s="574"/>
      <c r="J144" s="573"/>
      <c r="K144" s="307"/>
      <c r="L144" s="292"/>
      <c r="M144" s="308"/>
      <c r="N144" s="292"/>
      <c r="O144" s="308"/>
      <c r="P144" s="575"/>
      <c r="Q144" s="576"/>
      <c r="R144" s="308"/>
      <c r="S144" s="575"/>
      <c r="T144" s="576"/>
      <c r="U144" s="308"/>
      <c r="V144" s="575"/>
      <c r="W144" s="576"/>
      <c r="X144" s="308"/>
      <c r="Y144" s="575"/>
      <c r="Z144" s="576"/>
      <c r="AA144" s="308"/>
      <c r="AB144" s="575"/>
      <c r="AC144" s="576"/>
      <c r="AD144" s="308"/>
      <c r="AE144" s="575"/>
      <c r="AF144" s="308"/>
      <c r="AG144" s="575"/>
      <c r="AH144" s="308"/>
      <c r="AI144" s="575"/>
      <c r="AJ144" s="308"/>
      <c r="AK144" s="305"/>
      <c r="AL144" s="577"/>
      <c r="AM144" s="306"/>
      <c r="AN144" s="308"/>
      <c r="AO144" s="573"/>
      <c r="AP144" s="305"/>
      <c r="AQ144" s="308"/>
      <c r="AR144" s="573"/>
      <c r="AS144" s="578"/>
      <c r="AT144" s="577"/>
      <c r="AU144" s="579"/>
      <c r="AV144" s="578"/>
      <c r="AW144" s="308"/>
      <c r="AX144" s="307"/>
      <c r="AY144" s="307"/>
      <c r="AZ144" s="307"/>
      <c r="BA144" s="307"/>
      <c r="BB144" s="307"/>
      <c r="BC144" s="305"/>
      <c r="BD144" s="292"/>
      <c r="BE144" s="297"/>
      <c r="BF144" s="297"/>
      <c r="BG144" s="569"/>
      <c r="BH144" s="570"/>
      <c r="BI144" s="570"/>
      <c r="BJ144" s="570"/>
      <c r="BK144" s="570"/>
      <c r="BL144" s="570"/>
      <c r="BM144" s="570"/>
      <c r="BN144" s="570"/>
      <c r="BO144" s="570"/>
      <c r="BP144" s="570"/>
      <c r="BQ144" s="570"/>
      <c r="BR144" s="570"/>
      <c r="BS144" s="570"/>
      <c r="BT144" s="570"/>
      <c r="BU144" s="570"/>
      <c r="BV144" s="570"/>
      <c r="BW144" s="570"/>
      <c r="BX144" s="570"/>
      <c r="BY144" s="570"/>
      <c r="BZ144" s="571"/>
      <c r="CA144" s="571"/>
    </row>
    <row r="145" spans="2:79">
      <c r="B145" s="572">
        <v>130</v>
      </c>
      <c r="C145" s="308"/>
      <c r="D145" s="307"/>
      <c r="E145" s="307"/>
      <c r="F145" s="305"/>
      <c r="G145" s="305"/>
      <c r="H145" s="292"/>
      <c r="I145" s="574"/>
      <c r="J145" s="573"/>
      <c r="K145" s="307"/>
      <c r="L145" s="292"/>
      <c r="M145" s="308"/>
      <c r="N145" s="292"/>
      <c r="O145" s="308"/>
      <c r="P145" s="575"/>
      <c r="Q145" s="576"/>
      <c r="R145" s="308"/>
      <c r="S145" s="575"/>
      <c r="T145" s="576"/>
      <c r="U145" s="308"/>
      <c r="V145" s="575"/>
      <c r="W145" s="576"/>
      <c r="X145" s="308"/>
      <c r="Y145" s="575"/>
      <c r="Z145" s="576"/>
      <c r="AA145" s="308"/>
      <c r="AB145" s="575"/>
      <c r="AC145" s="576"/>
      <c r="AD145" s="308"/>
      <c r="AE145" s="575"/>
      <c r="AF145" s="308"/>
      <c r="AG145" s="575"/>
      <c r="AH145" s="308"/>
      <c r="AI145" s="575"/>
      <c r="AJ145" s="308"/>
      <c r="AK145" s="305"/>
      <c r="AL145" s="577"/>
      <c r="AM145" s="306"/>
      <c r="AN145" s="308"/>
      <c r="AO145" s="573"/>
      <c r="AP145" s="305"/>
      <c r="AQ145" s="308"/>
      <c r="AR145" s="573"/>
      <c r="AS145" s="578"/>
      <c r="AT145" s="577"/>
      <c r="AU145" s="579"/>
      <c r="AV145" s="578"/>
      <c r="AW145" s="308"/>
      <c r="AX145" s="307"/>
      <c r="AY145" s="307"/>
      <c r="AZ145" s="307"/>
      <c r="BA145" s="307"/>
      <c r="BB145" s="307"/>
      <c r="BC145" s="305"/>
      <c r="BD145" s="292"/>
      <c r="BE145" s="297"/>
      <c r="BF145" s="297"/>
      <c r="BG145" s="569"/>
      <c r="BH145" s="570"/>
      <c r="BI145" s="570"/>
      <c r="BJ145" s="570"/>
      <c r="BK145" s="570"/>
      <c r="BL145" s="570"/>
      <c r="BM145" s="570"/>
      <c r="BN145" s="570"/>
      <c r="BO145" s="570"/>
      <c r="BP145" s="570"/>
      <c r="BQ145" s="570"/>
      <c r="BR145" s="570"/>
      <c r="BS145" s="570"/>
      <c r="BT145" s="570"/>
      <c r="BU145" s="570"/>
      <c r="BV145" s="570"/>
      <c r="BW145" s="570"/>
      <c r="BX145" s="570"/>
      <c r="BY145" s="570"/>
      <c r="BZ145" s="571"/>
      <c r="CA145" s="571"/>
    </row>
    <row r="146" spans="2:79">
      <c r="B146" s="566">
        <v>131</v>
      </c>
      <c r="C146" s="308"/>
      <c r="D146" s="307"/>
      <c r="E146" s="307"/>
      <c r="F146" s="305"/>
      <c r="G146" s="305"/>
      <c r="H146" s="292"/>
      <c r="I146" s="574"/>
      <c r="J146" s="573"/>
      <c r="K146" s="307"/>
      <c r="L146" s="292"/>
      <c r="M146" s="308"/>
      <c r="N146" s="292"/>
      <c r="O146" s="308"/>
      <c r="P146" s="575"/>
      <c r="Q146" s="576"/>
      <c r="R146" s="308"/>
      <c r="S146" s="575"/>
      <c r="T146" s="576"/>
      <c r="U146" s="308"/>
      <c r="V146" s="575"/>
      <c r="W146" s="576"/>
      <c r="X146" s="308"/>
      <c r="Y146" s="575"/>
      <c r="Z146" s="576"/>
      <c r="AA146" s="308"/>
      <c r="AB146" s="575"/>
      <c r="AC146" s="576"/>
      <c r="AD146" s="308"/>
      <c r="AE146" s="575"/>
      <c r="AF146" s="308"/>
      <c r="AG146" s="575"/>
      <c r="AH146" s="308"/>
      <c r="AI146" s="575"/>
      <c r="AJ146" s="308"/>
      <c r="AK146" s="305"/>
      <c r="AL146" s="577"/>
      <c r="AM146" s="306"/>
      <c r="AN146" s="308"/>
      <c r="AO146" s="573"/>
      <c r="AP146" s="305"/>
      <c r="AQ146" s="308"/>
      <c r="AR146" s="573"/>
      <c r="AS146" s="578"/>
      <c r="AT146" s="577"/>
      <c r="AU146" s="579"/>
      <c r="AV146" s="578"/>
      <c r="AW146" s="308"/>
      <c r="AX146" s="307"/>
      <c r="AY146" s="307"/>
      <c r="AZ146" s="307"/>
      <c r="BA146" s="307"/>
      <c r="BB146" s="307"/>
      <c r="BC146" s="305"/>
      <c r="BD146" s="292"/>
      <c r="BE146" s="297"/>
      <c r="BF146" s="297"/>
      <c r="BG146" s="569"/>
      <c r="BH146" s="570"/>
      <c r="BI146" s="570"/>
      <c r="BJ146" s="570"/>
      <c r="BK146" s="570"/>
      <c r="BL146" s="570"/>
      <c r="BM146" s="570"/>
      <c r="BN146" s="570"/>
      <c r="BO146" s="570"/>
      <c r="BP146" s="570"/>
      <c r="BQ146" s="570"/>
      <c r="BR146" s="570"/>
      <c r="BS146" s="570"/>
      <c r="BT146" s="570"/>
      <c r="BU146" s="570"/>
      <c r="BV146" s="570"/>
      <c r="BW146" s="570"/>
      <c r="BX146" s="570"/>
      <c r="BY146" s="570"/>
      <c r="BZ146" s="571"/>
      <c r="CA146" s="571"/>
    </row>
    <row r="147" spans="2:79">
      <c r="B147" s="572">
        <v>132</v>
      </c>
      <c r="C147" s="308"/>
      <c r="D147" s="307"/>
      <c r="E147" s="307"/>
      <c r="F147" s="305"/>
      <c r="G147" s="305"/>
      <c r="H147" s="292"/>
      <c r="I147" s="574"/>
      <c r="J147" s="573"/>
      <c r="K147" s="307"/>
      <c r="L147" s="292"/>
      <c r="M147" s="308"/>
      <c r="N147" s="292"/>
      <c r="O147" s="308"/>
      <c r="P147" s="575"/>
      <c r="Q147" s="576"/>
      <c r="R147" s="308"/>
      <c r="S147" s="575"/>
      <c r="T147" s="576"/>
      <c r="U147" s="308"/>
      <c r="V147" s="575"/>
      <c r="W147" s="576"/>
      <c r="X147" s="308"/>
      <c r="Y147" s="575"/>
      <c r="Z147" s="576"/>
      <c r="AA147" s="308"/>
      <c r="AB147" s="575"/>
      <c r="AC147" s="576"/>
      <c r="AD147" s="308"/>
      <c r="AE147" s="575"/>
      <c r="AF147" s="308"/>
      <c r="AG147" s="575"/>
      <c r="AH147" s="308"/>
      <c r="AI147" s="575"/>
      <c r="AJ147" s="308"/>
      <c r="AK147" s="305"/>
      <c r="AL147" s="577"/>
      <c r="AM147" s="306"/>
      <c r="AN147" s="308"/>
      <c r="AO147" s="573"/>
      <c r="AP147" s="305"/>
      <c r="AQ147" s="308"/>
      <c r="AR147" s="573"/>
      <c r="AS147" s="578"/>
      <c r="AT147" s="577"/>
      <c r="AU147" s="579"/>
      <c r="AV147" s="578"/>
      <c r="AW147" s="308"/>
      <c r="AX147" s="307"/>
      <c r="AY147" s="307"/>
      <c r="AZ147" s="307"/>
      <c r="BA147" s="307"/>
      <c r="BB147" s="307"/>
      <c r="BC147" s="305"/>
      <c r="BD147" s="292"/>
      <c r="BE147" s="297"/>
      <c r="BF147" s="297"/>
      <c r="BG147" s="569"/>
      <c r="BH147" s="570"/>
      <c r="BI147" s="570"/>
      <c r="BJ147" s="570"/>
      <c r="BK147" s="570"/>
      <c r="BL147" s="570"/>
      <c r="BM147" s="570"/>
      <c r="BN147" s="570"/>
      <c r="BO147" s="570"/>
      <c r="BP147" s="570"/>
      <c r="BQ147" s="570"/>
      <c r="BR147" s="570"/>
      <c r="BS147" s="570"/>
      <c r="BT147" s="570"/>
      <c r="BU147" s="570"/>
      <c r="BV147" s="570"/>
      <c r="BW147" s="570"/>
      <c r="BX147" s="570"/>
      <c r="BY147" s="570"/>
      <c r="BZ147" s="571"/>
      <c r="CA147" s="571"/>
    </row>
    <row r="148" spans="2:79">
      <c r="B148" s="566">
        <v>133</v>
      </c>
      <c r="C148" s="308"/>
      <c r="D148" s="307"/>
      <c r="E148" s="307"/>
      <c r="F148" s="305"/>
      <c r="G148" s="305"/>
      <c r="H148" s="292"/>
      <c r="I148" s="574"/>
      <c r="J148" s="573"/>
      <c r="K148" s="307"/>
      <c r="L148" s="292"/>
      <c r="M148" s="308"/>
      <c r="N148" s="292"/>
      <c r="O148" s="308"/>
      <c r="P148" s="575"/>
      <c r="Q148" s="576"/>
      <c r="R148" s="308"/>
      <c r="S148" s="575"/>
      <c r="T148" s="576"/>
      <c r="U148" s="308"/>
      <c r="V148" s="575"/>
      <c r="W148" s="576"/>
      <c r="X148" s="308"/>
      <c r="Y148" s="575"/>
      <c r="Z148" s="576"/>
      <c r="AA148" s="308"/>
      <c r="AB148" s="575"/>
      <c r="AC148" s="576"/>
      <c r="AD148" s="308"/>
      <c r="AE148" s="575"/>
      <c r="AF148" s="308"/>
      <c r="AG148" s="575"/>
      <c r="AH148" s="308"/>
      <c r="AI148" s="575"/>
      <c r="AJ148" s="308"/>
      <c r="AK148" s="305"/>
      <c r="AL148" s="577"/>
      <c r="AM148" s="306"/>
      <c r="AN148" s="308"/>
      <c r="AO148" s="573"/>
      <c r="AP148" s="305"/>
      <c r="AQ148" s="308"/>
      <c r="AR148" s="573"/>
      <c r="AS148" s="578"/>
      <c r="AT148" s="577"/>
      <c r="AU148" s="579"/>
      <c r="AV148" s="578"/>
      <c r="AW148" s="308"/>
      <c r="AX148" s="307"/>
      <c r="AY148" s="307"/>
      <c r="AZ148" s="307"/>
      <c r="BA148" s="307"/>
      <c r="BB148" s="307"/>
      <c r="BC148" s="305"/>
      <c r="BD148" s="292"/>
      <c r="BE148" s="297"/>
      <c r="BF148" s="297"/>
      <c r="BG148" s="569"/>
      <c r="BH148" s="570"/>
      <c r="BI148" s="570"/>
      <c r="BJ148" s="570"/>
      <c r="BK148" s="570"/>
      <c r="BL148" s="570"/>
      <c r="BM148" s="570"/>
      <c r="BN148" s="570"/>
      <c r="BO148" s="570"/>
      <c r="BP148" s="570"/>
      <c r="BQ148" s="570"/>
      <c r="BR148" s="570"/>
      <c r="BS148" s="570"/>
      <c r="BT148" s="570"/>
      <c r="BU148" s="570"/>
      <c r="BV148" s="570"/>
      <c r="BW148" s="570"/>
      <c r="BX148" s="570"/>
      <c r="BY148" s="570"/>
      <c r="BZ148" s="571"/>
      <c r="CA148" s="571"/>
    </row>
    <row r="149" spans="2:79">
      <c r="B149" s="572">
        <v>134</v>
      </c>
      <c r="C149" s="308"/>
      <c r="D149" s="307"/>
      <c r="E149" s="307"/>
      <c r="F149" s="305"/>
      <c r="G149" s="305"/>
      <c r="H149" s="292"/>
      <c r="I149" s="574"/>
      <c r="J149" s="573"/>
      <c r="K149" s="307"/>
      <c r="L149" s="292"/>
      <c r="M149" s="308"/>
      <c r="N149" s="292"/>
      <c r="O149" s="308"/>
      <c r="P149" s="575"/>
      <c r="Q149" s="576"/>
      <c r="R149" s="308"/>
      <c r="S149" s="575"/>
      <c r="T149" s="576"/>
      <c r="U149" s="308"/>
      <c r="V149" s="575"/>
      <c r="W149" s="576"/>
      <c r="X149" s="308"/>
      <c r="Y149" s="575"/>
      <c r="Z149" s="576"/>
      <c r="AA149" s="308"/>
      <c r="AB149" s="575"/>
      <c r="AC149" s="576"/>
      <c r="AD149" s="308"/>
      <c r="AE149" s="575"/>
      <c r="AF149" s="308"/>
      <c r="AG149" s="575"/>
      <c r="AH149" s="308"/>
      <c r="AI149" s="575"/>
      <c r="AJ149" s="308"/>
      <c r="AK149" s="305"/>
      <c r="AL149" s="577"/>
      <c r="AM149" s="306"/>
      <c r="AN149" s="308"/>
      <c r="AO149" s="573"/>
      <c r="AP149" s="305"/>
      <c r="AQ149" s="308"/>
      <c r="AR149" s="573"/>
      <c r="AS149" s="578"/>
      <c r="AT149" s="577"/>
      <c r="AU149" s="579"/>
      <c r="AV149" s="578"/>
      <c r="AW149" s="308"/>
      <c r="AX149" s="307"/>
      <c r="AY149" s="307"/>
      <c r="AZ149" s="307"/>
      <c r="BA149" s="307"/>
      <c r="BB149" s="307"/>
      <c r="BC149" s="305"/>
      <c r="BD149" s="292"/>
      <c r="BE149" s="297"/>
      <c r="BF149" s="297"/>
      <c r="BG149" s="569"/>
      <c r="BH149" s="570"/>
      <c r="BI149" s="570"/>
      <c r="BJ149" s="570"/>
      <c r="BK149" s="570"/>
      <c r="BL149" s="570"/>
      <c r="BM149" s="570"/>
      <c r="BN149" s="570"/>
      <c r="BO149" s="570"/>
      <c r="BP149" s="570"/>
      <c r="BQ149" s="570"/>
      <c r="BR149" s="570"/>
      <c r="BS149" s="570"/>
      <c r="BT149" s="570"/>
      <c r="BU149" s="570"/>
      <c r="BV149" s="570"/>
      <c r="BW149" s="570"/>
      <c r="BX149" s="570"/>
      <c r="BY149" s="570"/>
      <c r="BZ149" s="571"/>
      <c r="CA149" s="571"/>
    </row>
    <row r="150" spans="2:79">
      <c r="B150" s="566">
        <v>135</v>
      </c>
      <c r="C150" s="308"/>
      <c r="D150" s="307"/>
      <c r="E150" s="307"/>
      <c r="F150" s="305"/>
      <c r="G150" s="305"/>
      <c r="H150" s="292"/>
      <c r="I150" s="574"/>
      <c r="J150" s="573"/>
      <c r="K150" s="307"/>
      <c r="L150" s="292"/>
      <c r="M150" s="308"/>
      <c r="N150" s="292"/>
      <c r="O150" s="308"/>
      <c r="P150" s="575"/>
      <c r="Q150" s="576"/>
      <c r="R150" s="308"/>
      <c r="S150" s="575"/>
      <c r="T150" s="576"/>
      <c r="U150" s="308"/>
      <c r="V150" s="575"/>
      <c r="W150" s="576"/>
      <c r="X150" s="308"/>
      <c r="Y150" s="575"/>
      <c r="Z150" s="576"/>
      <c r="AA150" s="308"/>
      <c r="AB150" s="575"/>
      <c r="AC150" s="576"/>
      <c r="AD150" s="308"/>
      <c r="AE150" s="575"/>
      <c r="AF150" s="308"/>
      <c r="AG150" s="575"/>
      <c r="AH150" s="308"/>
      <c r="AI150" s="575"/>
      <c r="AJ150" s="308"/>
      <c r="AK150" s="305"/>
      <c r="AL150" s="577"/>
      <c r="AM150" s="306"/>
      <c r="AN150" s="308"/>
      <c r="AO150" s="573"/>
      <c r="AP150" s="305"/>
      <c r="AQ150" s="308"/>
      <c r="AR150" s="573"/>
      <c r="AS150" s="578"/>
      <c r="AT150" s="577"/>
      <c r="AU150" s="579"/>
      <c r="AV150" s="578"/>
      <c r="AW150" s="308"/>
      <c r="AX150" s="307"/>
      <c r="AY150" s="307"/>
      <c r="AZ150" s="307"/>
      <c r="BA150" s="307"/>
      <c r="BB150" s="307"/>
      <c r="BC150" s="305"/>
      <c r="BD150" s="292"/>
      <c r="BE150" s="297"/>
      <c r="BF150" s="297"/>
      <c r="BG150" s="569"/>
      <c r="BH150" s="570"/>
      <c r="BI150" s="570"/>
      <c r="BJ150" s="570"/>
      <c r="BK150" s="570"/>
      <c r="BL150" s="570"/>
      <c r="BM150" s="570"/>
      <c r="BN150" s="570"/>
      <c r="BO150" s="570"/>
      <c r="BP150" s="570"/>
      <c r="BQ150" s="570"/>
      <c r="BR150" s="570"/>
      <c r="BS150" s="570"/>
      <c r="BT150" s="570"/>
      <c r="BU150" s="570"/>
      <c r="BV150" s="570"/>
      <c r="BW150" s="570"/>
      <c r="BX150" s="570"/>
      <c r="BY150" s="570"/>
      <c r="BZ150" s="571"/>
      <c r="CA150" s="571"/>
    </row>
    <row r="151" spans="2:79">
      <c r="B151" s="572">
        <v>136</v>
      </c>
      <c r="C151" s="308"/>
      <c r="D151" s="307"/>
      <c r="E151" s="307"/>
      <c r="F151" s="305"/>
      <c r="G151" s="305"/>
      <c r="H151" s="292"/>
      <c r="I151" s="574"/>
      <c r="J151" s="573"/>
      <c r="K151" s="307"/>
      <c r="L151" s="292"/>
      <c r="M151" s="308"/>
      <c r="N151" s="292"/>
      <c r="O151" s="308"/>
      <c r="P151" s="575"/>
      <c r="Q151" s="576"/>
      <c r="R151" s="308"/>
      <c r="S151" s="575"/>
      <c r="T151" s="576"/>
      <c r="U151" s="308"/>
      <c r="V151" s="575"/>
      <c r="W151" s="576"/>
      <c r="X151" s="308"/>
      <c r="Y151" s="575"/>
      <c r="Z151" s="576"/>
      <c r="AA151" s="308"/>
      <c r="AB151" s="575"/>
      <c r="AC151" s="576"/>
      <c r="AD151" s="308"/>
      <c r="AE151" s="575"/>
      <c r="AF151" s="308"/>
      <c r="AG151" s="575"/>
      <c r="AH151" s="308"/>
      <c r="AI151" s="575"/>
      <c r="AJ151" s="308"/>
      <c r="AK151" s="305"/>
      <c r="AL151" s="577"/>
      <c r="AM151" s="306"/>
      <c r="AN151" s="308"/>
      <c r="AO151" s="573"/>
      <c r="AP151" s="305"/>
      <c r="AQ151" s="308"/>
      <c r="AR151" s="573"/>
      <c r="AS151" s="578"/>
      <c r="AT151" s="577"/>
      <c r="AU151" s="579"/>
      <c r="AV151" s="578"/>
      <c r="AW151" s="308"/>
      <c r="AX151" s="307"/>
      <c r="AY151" s="307"/>
      <c r="AZ151" s="307"/>
      <c r="BA151" s="307"/>
      <c r="BB151" s="307"/>
      <c r="BC151" s="305"/>
      <c r="BD151" s="292"/>
      <c r="BE151" s="297"/>
      <c r="BF151" s="297"/>
      <c r="BG151" s="569"/>
      <c r="BH151" s="570"/>
      <c r="BI151" s="570"/>
      <c r="BJ151" s="570"/>
      <c r="BK151" s="570"/>
      <c r="BL151" s="570"/>
      <c r="BM151" s="570"/>
      <c r="BN151" s="570"/>
      <c r="BO151" s="570"/>
      <c r="BP151" s="570"/>
      <c r="BQ151" s="570"/>
      <c r="BR151" s="570"/>
      <c r="BS151" s="570"/>
      <c r="BT151" s="570"/>
      <c r="BU151" s="570"/>
      <c r="BV151" s="570"/>
      <c r="BW151" s="570"/>
      <c r="BX151" s="570"/>
      <c r="BY151" s="570"/>
      <c r="BZ151" s="571"/>
      <c r="CA151" s="571"/>
    </row>
    <row r="152" spans="2:79">
      <c r="B152" s="566">
        <v>137</v>
      </c>
      <c r="C152" s="308"/>
      <c r="D152" s="307"/>
      <c r="E152" s="307"/>
      <c r="F152" s="305"/>
      <c r="G152" s="305"/>
      <c r="H152" s="292"/>
      <c r="I152" s="574"/>
      <c r="J152" s="573"/>
      <c r="K152" s="307"/>
      <c r="L152" s="292"/>
      <c r="M152" s="308"/>
      <c r="N152" s="292"/>
      <c r="O152" s="308"/>
      <c r="P152" s="575"/>
      <c r="Q152" s="576"/>
      <c r="R152" s="308"/>
      <c r="S152" s="575"/>
      <c r="T152" s="576"/>
      <c r="U152" s="308"/>
      <c r="V152" s="575"/>
      <c r="W152" s="576"/>
      <c r="X152" s="308"/>
      <c r="Y152" s="575"/>
      <c r="Z152" s="576"/>
      <c r="AA152" s="308"/>
      <c r="AB152" s="575"/>
      <c r="AC152" s="576"/>
      <c r="AD152" s="308"/>
      <c r="AE152" s="575"/>
      <c r="AF152" s="308"/>
      <c r="AG152" s="575"/>
      <c r="AH152" s="308"/>
      <c r="AI152" s="575"/>
      <c r="AJ152" s="308"/>
      <c r="AK152" s="305"/>
      <c r="AL152" s="577"/>
      <c r="AM152" s="306"/>
      <c r="AN152" s="308"/>
      <c r="AO152" s="573"/>
      <c r="AP152" s="305"/>
      <c r="AQ152" s="308"/>
      <c r="AR152" s="573"/>
      <c r="AS152" s="578"/>
      <c r="AT152" s="577"/>
      <c r="AU152" s="579"/>
      <c r="AV152" s="578"/>
      <c r="AW152" s="308"/>
      <c r="AX152" s="307"/>
      <c r="AY152" s="307"/>
      <c r="AZ152" s="307"/>
      <c r="BA152" s="307"/>
      <c r="BB152" s="307"/>
      <c r="BC152" s="305"/>
      <c r="BD152" s="292"/>
      <c r="BE152" s="297"/>
      <c r="BF152" s="297"/>
      <c r="BG152" s="569"/>
      <c r="BH152" s="570"/>
      <c r="BI152" s="570"/>
      <c r="BJ152" s="570"/>
      <c r="BK152" s="570"/>
      <c r="BL152" s="570"/>
      <c r="BM152" s="570"/>
      <c r="BN152" s="570"/>
      <c r="BO152" s="570"/>
      <c r="BP152" s="570"/>
      <c r="BQ152" s="570"/>
      <c r="BR152" s="570"/>
      <c r="BS152" s="570"/>
      <c r="BT152" s="570"/>
      <c r="BU152" s="570"/>
      <c r="BV152" s="570"/>
      <c r="BW152" s="570"/>
      <c r="BX152" s="570"/>
      <c r="BY152" s="570"/>
      <c r="BZ152" s="571"/>
      <c r="CA152" s="571"/>
    </row>
    <row r="153" spans="2:79">
      <c r="B153" s="572">
        <v>138</v>
      </c>
      <c r="C153" s="308"/>
      <c r="D153" s="307"/>
      <c r="E153" s="307"/>
      <c r="F153" s="305"/>
      <c r="G153" s="305"/>
      <c r="H153" s="292"/>
      <c r="I153" s="574"/>
      <c r="J153" s="573"/>
      <c r="K153" s="307"/>
      <c r="L153" s="292"/>
      <c r="M153" s="308"/>
      <c r="N153" s="292"/>
      <c r="O153" s="308"/>
      <c r="P153" s="575"/>
      <c r="Q153" s="576"/>
      <c r="R153" s="308"/>
      <c r="S153" s="575"/>
      <c r="T153" s="576"/>
      <c r="U153" s="308"/>
      <c r="V153" s="575"/>
      <c r="W153" s="576"/>
      <c r="X153" s="308"/>
      <c r="Y153" s="575"/>
      <c r="Z153" s="576"/>
      <c r="AA153" s="308"/>
      <c r="AB153" s="575"/>
      <c r="AC153" s="576"/>
      <c r="AD153" s="308"/>
      <c r="AE153" s="575"/>
      <c r="AF153" s="308"/>
      <c r="AG153" s="575"/>
      <c r="AH153" s="308"/>
      <c r="AI153" s="575"/>
      <c r="AJ153" s="308"/>
      <c r="AK153" s="305"/>
      <c r="AL153" s="577"/>
      <c r="AM153" s="306"/>
      <c r="AN153" s="308"/>
      <c r="AO153" s="573"/>
      <c r="AP153" s="305"/>
      <c r="AQ153" s="308"/>
      <c r="AR153" s="573"/>
      <c r="AS153" s="578"/>
      <c r="AT153" s="577"/>
      <c r="AU153" s="579"/>
      <c r="AV153" s="578"/>
      <c r="AW153" s="308"/>
      <c r="AX153" s="307"/>
      <c r="AY153" s="307"/>
      <c r="AZ153" s="307"/>
      <c r="BA153" s="307"/>
      <c r="BB153" s="307"/>
      <c r="BC153" s="305"/>
      <c r="BD153" s="292"/>
      <c r="BE153" s="297"/>
      <c r="BF153" s="297"/>
      <c r="BG153" s="569"/>
      <c r="BH153" s="570"/>
      <c r="BI153" s="570"/>
      <c r="BJ153" s="570"/>
      <c r="BK153" s="570"/>
      <c r="BL153" s="570"/>
      <c r="BM153" s="570"/>
      <c r="BN153" s="570"/>
      <c r="BO153" s="570"/>
      <c r="BP153" s="570"/>
      <c r="BQ153" s="570"/>
      <c r="BR153" s="570"/>
      <c r="BS153" s="570"/>
      <c r="BT153" s="570"/>
      <c r="BU153" s="570"/>
      <c r="BV153" s="570"/>
      <c r="BW153" s="570"/>
      <c r="BX153" s="570"/>
      <c r="BY153" s="570"/>
      <c r="BZ153" s="571"/>
      <c r="CA153" s="571"/>
    </row>
    <row r="154" spans="2:79">
      <c r="B154" s="566">
        <v>139</v>
      </c>
      <c r="C154" s="308"/>
      <c r="D154" s="307"/>
      <c r="E154" s="307"/>
      <c r="F154" s="305"/>
      <c r="G154" s="305"/>
      <c r="H154" s="292"/>
      <c r="I154" s="574"/>
      <c r="J154" s="573"/>
      <c r="K154" s="307"/>
      <c r="L154" s="292"/>
      <c r="M154" s="308"/>
      <c r="N154" s="292"/>
      <c r="O154" s="308"/>
      <c r="P154" s="575"/>
      <c r="Q154" s="576"/>
      <c r="R154" s="308"/>
      <c r="S154" s="575"/>
      <c r="T154" s="576"/>
      <c r="U154" s="308"/>
      <c r="V154" s="575"/>
      <c r="W154" s="576"/>
      <c r="X154" s="308"/>
      <c r="Y154" s="575"/>
      <c r="Z154" s="576"/>
      <c r="AA154" s="308"/>
      <c r="AB154" s="575"/>
      <c r="AC154" s="576"/>
      <c r="AD154" s="308"/>
      <c r="AE154" s="575"/>
      <c r="AF154" s="308"/>
      <c r="AG154" s="575"/>
      <c r="AH154" s="308"/>
      <c r="AI154" s="575"/>
      <c r="AJ154" s="308"/>
      <c r="AK154" s="305"/>
      <c r="AL154" s="577"/>
      <c r="AM154" s="306"/>
      <c r="AN154" s="308"/>
      <c r="AO154" s="573"/>
      <c r="AP154" s="305"/>
      <c r="AQ154" s="308"/>
      <c r="AR154" s="573"/>
      <c r="AS154" s="578"/>
      <c r="AT154" s="577"/>
      <c r="AU154" s="579"/>
      <c r="AV154" s="578"/>
      <c r="AW154" s="308"/>
      <c r="AX154" s="307"/>
      <c r="AY154" s="307"/>
      <c r="AZ154" s="307"/>
      <c r="BA154" s="307"/>
      <c r="BB154" s="307"/>
      <c r="BC154" s="305"/>
      <c r="BD154" s="292"/>
      <c r="BE154" s="297"/>
      <c r="BF154" s="297"/>
      <c r="BG154" s="569"/>
      <c r="BH154" s="570"/>
      <c r="BI154" s="570"/>
      <c r="BJ154" s="570"/>
      <c r="BK154" s="570"/>
      <c r="BL154" s="570"/>
      <c r="BM154" s="570"/>
      <c r="BN154" s="570"/>
      <c r="BO154" s="570"/>
      <c r="BP154" s="570"/>
      <c r="BQ154" s="570"/>
      <c r="BR154" s="570"/>
      <c r="BS154" s="570"/>
      <c r="BT154" s="570"/>
      <c r="BU154" s="570"/>
      <c r="BV154" s="570"/>
      <c r="BW154" s="570"/>
      <c r="BX154" s="570"/>
      <c r="BY154" s="570"/>
      <c r="BZ154" s="571"/>
      <c r="CA154" s="571"/>
    </row>
    <row r="155" spans="2:79">
      <c r="B155" s="572">
        <v>140</v>
      </c>
      <c r="C155" s="308"/>
      <c r="D155" s="307"/>
      <c r="E155" s="307"/>
      <c r="F155" s="305"/>
      <c r="G155" s="305"/>
      <c r="H155" s="292"/>
      <c r="I155" s="574"/>
      <c r="J155" s="573"/>
      <c r="K155" s="307"/>
      <c r="L155" s="292"/>
      <c r="M155" s="308"/>
      <c r="N155" s="292"/>
      <c r="O155" s="308"/>
      <c r="P155" s="575"/>
      <c r="Q155" s="576"/>
      <c r="R155" s="308"/>
      <c r="S155" s="575"/>
      <c r="T155" s="576"/>
      <c r="U155" s="308"/>
      <c r="V155" s="575"/>
      <c r="W155" s="576"/>
      <c r="X155" s="308"/>
      <c r="Y155" s="575"/>
      <c r="Z155" s="576"/>
      <c r="AA155" s="308"/>
      <c r="AB155" s="575"/>
      <c r="AC155" s="576"/>
      <c r="AD155" s="308"/>
      <c r="AE155" s="575"/>
      <c r="AF155" s="308"/>
      <c r="AG155" s="575"/>
      <c r="AH155" s="308"/>
      <c r="AI155" s="575"/>
      <c r="AJ155" s="308"/>
      <c r="AK155" s="305"/>
      <c r="AL155" s="577"/>
      <c r="AM155" s="306"/>
      <c r="AN155" s="308"/>
      <c r="AO155" s="573"/>
      <c r="AP155" s="305"/>
      <c r="AQ155" s="308"/>
      <c r="AR155" s="573"/>
      <c r="AS155" s="578"/>
      <c r="AT155" s="577"/>
      <c r="AU155" s="579"/>
      <c r="AV155" s="578"/>
      <c r="AW155" s="308"/>
      <c r="AX155" s="307"/>
      <c r="AY155" s="307"/>
      <c r="AZ155" s="307"/>
      <c r="BA155" s="307"/>
      <c r="BB155" s="307"/>
      <c r="BC155" s="305"/>
      <c r="BD155" s="292"/>
      <c r="BE155" s="297"/>
      <c r="BF155" s="297"/>
      <c r="BG155" s="569"/>
      <c r="BH155" s="570"/>
      <c r="BI155" s="570"/>
      <c r="BJ155" s="570"/>
      <c r="BK155" s="570"/>
      <c r="BL155" s="570"/>
      <c r="BM155" s="570"/>
      <c r="BN155" s="570"/>
      <c r="BO155" s="570"/>
      <c r="BP155" s="570"/>
      <c r="BQ155" s="570"/>
      <c r="BR155" s="570"/>
      <c r="BS155" s="570"/>
      <c r="BT155" s="570"/>
      <c r="BU155" s="570"/>
      <c r="BV155" s="570"/>
      <c r="BW155" s="570"/>
      <c r="BX155" s="570"/>
      <c r="BY155" s="570"/>
      <c r="BZ155" s="571"/>
      <c r="CA155" s="571"/>
    </row>
    <row r="156" spans="2:79">
      <c r="B156" s="566">
        <v>141</v>
      </c>
      <c r="C156" s="308"/>
      <c r="D156" s="307"/>
      <c r="E156" s="307"/>
      <c r="F156" s="305"/>
      <c r="G156" s="305"/>
      <c r="H156" s="292"/>
      <c r="I156" s="574"/>
      <c r="J156" s="573"/>
      <c r="K156" s="307"/>
      <c r="L156" s="292"/>
      <c r="M156" s="308"/>
      <c r="N156" s="292"/>
      <c r="O156" s="308"/>
      <c r="P156" s="575"/>
      <c r="Q156" s="576"/>
      <c r="R156" s="308"/>
      <c r="S156" s="575"/>
      <c r="T156" s="576"/>
      <c r="U156" s="308"/>
      <c r="V156" s="575"/>
      <c r="W156" s="576"/>
      <c r="X156" s="308"/>
      <c r="Y156" s="575"/>
      <c r="Z156" s="576"/>
      <c r="AA156" s="308"/>
      <c r="AB156" s="575"/>
      <c r="AC156" s="576"/>
      <c r="AD156" s="308"/>
      <c r="AE156" s="575"/>
      <c r="AF156" s="308"/>
      <c r="AG156" s="575"/>
      <c r="AH156" s="308"/>
      <c r="AI156" s="575"/>
      <c r="AJ156" s="308"/>
      <c r="AK156" s="305"/>
      <c r="AL156" s="577"/>
      <c r="AM156" s="306"/>
      <c r="AN156" s="308"/>
      <c r="AO156" s="573"/>
      <c r="AP156" s="305"/>
      <c r="AQ156" s="308"/>
      <c r="AR156" s="573"/>
      <c r="AS156" s="578"/>
      <c r="AT156" s="577"/>
      <c r="AU156" s="579"/>
      <c r="AV156" s="578"/>
      <c r="AW156" s="308"/>
      <c r="AX156" s="307"/>
      <c r="AY156" s="307"/>
      <c r="AZ156" s="307"/>
      <c r="BA156" s="307"/>
      <c r="BB156" s="307"/>
      <c r="BC156" s="305"/>
      <c r="BD156" s="292"/>
      <c r="BE156" s="297"/>
      <c r="BF156" s="297"/>
      <c r="BG156" s="569"/>
      <c r="BH156" s="570"/>
      <c r="BI156" s="570"/>
      <c r="BJ156" s="570"/>
      <c r="BK156" s="570"/>
      <c r="BL156" s="570"/>
      <c r="BM156" s="570"/>
      <c r="BN156" s="570"/>
      <c r="BO156" s="570"/>
      <c r="BP156" s="570"/>
      <c r="BQ156" s="570"/>
      <c r="BR156" s="570"/>
      <c r="BS156" s="570"/>
      <c r="BT156" s="570"/>
      <c r="BU156" s="570"/>
      <c r="BV156" s="570"/>
      <c r="BW156" s="570"/>
      <c r="BX156" s="570"/>
      <c r="BY156" s="570"/>
      <c r="BZ156" s="571"/>
      <c r="CA156" s="571"/>
    </row>
    <row r="157" spans="2:79">
      <c r="B157" s="572">
        <v>142</v>
      </c>
      <c r="C157" s="308"/>
      <c r="D157" s="307"/>
      <c r="E157" s="307"/>
      <c r="F157" s="305"/>
      <c r="G157" s="305"/>
      <c r="H157" s="292"/>
      <c r="I157" s="574"/>
      <c r="J157" s="573"/>
      <c r="K157" s="307"/>
      <c r="L157" s="292"/>
      <c r="M157" s="308"/>
      <c r="N157" s="292"/>
      <c r="O157" s="308"/>
      <c r="P157" s="575"/>
      <c r="Q157" s="576"/>
      <c r="R157" s="308"/>
      <c r="S157" s="575"/>
      <c r="T157" s="576"/>
      <c r="U157" s="308"/>
      <c r="V157" s="575"/>
      <c r="W157" s="576"/>
      <c r="X157" s="308"/>
      <c r="Y157" s="575"/>
      <c r="Z157" s="576"/>
      <c r="AA157" s="308"/>
      <c r="AB157" s="575"/>
      <c r="AC157" s="576"/>
      <c r="AD157" s="308"/>
      <c r="AE157" s="575"/>
      <c r="AF157" s="308"/>
      <c r="AG157" s="575"/>
      <c r="AH157" s="308"/>
      <c r="AI157" s="575"/>
      <c r="AJ157" s="308"/>
      <c r="AK157" s="305"/>
      <c r="AL157" s="577"/>
      <c r="AM157" s="306"/>
      <c r="AN157" s="308"/>
      <c r="AO157" s="573"/>
      <c r="AP157" s="305"/>
      <c r="AQ157" s="308"/>
      <c r="AR157" s="573"/>
      <c r="AS157" s="578"/>
      <c r="AT157" s="577"/>
      <c r="AU157" s="579"/>
      <c r="AV157" s="578"/>
      <c r="AW157" s="308"/>
      <c r="AX157" s="307"/>
      <c r="AY157" s="307"/>
      <c r="AZ157" s="307"/>
      <c r="BA157" s="307"/>
      <c r="BB157" s="307"/>
      <c r="BC157" s="305"/>
      <c r="BD157" s="292"/>
      <c r="BE157" s="297"/>
      <c r="BF157" s="297"/>
      <c r="BG157" s="569"/>
      <c r="BH157" s="570"/>
      <c r="BI157" s="570"/>
      <c r="BJ157" s="570"/>
      <c r="BK157" s="570"/>
      <c r="BL157" s="570"/>
      <c r="BM157" s="570"/>
      <c r="BN157" s="570"/>
      <c r="BO157" s="570"/>
      <c r="BP157" s="570"/>
      <c r="BQ157" s="570"/>
      <c r="BR157" s="570"/>
      <c r="BS157" s="570"/>
      <c r="BT157" s="570"/>
      <c r="BU157" s="570"/>
      <c r="BV157" s="570"/>
      <c r="BW157" s="570"/>
      <c r="BX157" s="570"/>
      <c r="BY157" s="570"/>
      <c r="BZ157" s="571"/>
      <c r="CA157" s="571"/>
    </row>
    <row r="158" spans="2:79">
      <c r="B158" s="566">
        <v>143</v>
      </c>
      <c r="C158" s="308"/>
      <c r="D158" s="307"/>
      <c r="E158" s="307"/>
      <c r="F158" s="305"/>
      <c r="G158" s="305"/>
      <c r="H158" s="292"/>
      <c r="I158" s="574"/>
      <c r="J158" s="573"/>
      <c r="K158" s="307"/>
      <c r="L158" s="292"/>
      <c r="M158" s="308"/>
      <c r="N158" s="292"/>
      <c r="O158" s="308"/>
      <c r="P158" s="575"/>
      <c r="Q158" s="576"/>
      <c r="R158" s="308"/>
      <c r="S158" s="575"/>
      <c r="T158" s="576"/>
      <c r="U158" s="308"/>
      <c r="V158" s="575"/>
      <c r="W158" s="576"/>
      <c r="X158" s="308"/>
      <c r="Y158" s="575"/>
      <c r="Z158" s="576"/>
      <c r="AA158" s="308"/>
      <c r="AB158" s="575"/>
      <c r="AC158" s="576"/>
      <c r="AD158" s="308"/>
      <c r="AE158" s="575"/>
      <c r="AF158" s="308"/>
      <c r="AG158" s="575"/>
      <c r="AH158" s="308"/>
      <c r="AI158" s="575"/>
      <c r="AJ158" s="308"/>
      <c r="AK158" s="305"/>
      <c r="AL158" s="577"/>
      <c r="AM158" s="306"/>
      <c r="AN158" s="308"/>
      <c r="AO158" s="573"/>
      <c r="AP158" s="305"/>
      <c r="AQ158" s="308"/>
      <c r="AR158" s="573"/>
      <c r="AS158" s="578"/>
      <c r="AT158" s="577"/>
      <c r="AU158" s="579"/>
      <c r="AV158" s="578"/>
      <c r="AW158" s="308"/>
      <c r="AX158" s="307"/>
      <c r="AY158" s="307"/>
      <c r="AZ158" s="307"/>
      <c r="BA158" s="307"/>
      <c r="BB158" s="307"/>
      <c r="BC158" s="305"/>
      <c r="BD158" s="292"/>
      <c r="BE158" s="297"/>
      <c r="BF158" s="297"/>
      <c r="BG158" s="569"/>
      <c r="BH158" s="570"/>
      <c r="BI158" s="570"/>
      <c r="BJ158" s="570"/>
      <c r="BK158" s="570"/>
      <c r="BL158" s="570"/>
      <c r="BM158" s="570"/>
      <c r="BN158" s="570"/>
      <c r="BO158" s="570"/>
      <c r="BP158" s="570"/>
      <c r="BQ158" s="570"/>
      <c r="BR158" s="570"/>
      <c r="BS158" s="570"/>
      <c r="BT158" s="570"/>
      <c r="BU158" s="570"/>
      <c r="BV158" s="570"/>
      <c r="BW158" s="570"/>
      <c r="BX158" s="570"/>
      <c r="BY158" s="570"/>
      <c r="BZ158" s="571"/>
      <c r="CA158" s="571"/>
    </row>
    <row r="159" spans="2:79">
      <c r="B159" s="572">
        <v>144</v>
      </c>
      <c r="C159" s="308"/>
      <c r="D159" s="307"/>
      <c r="E159" s="307"/>
      <c r="F159" s="305"/>
      <c r="G159" s="305"/>
      <c r="H159" s="292"/>
      <c r="I159" s="574"/>
      <c r="J159" s="573"/>
      <c r="K159" s="307"/>
      <c r="L159" s="292"/>
      <c r="M159" s="308"/>
      <c r="N159" s="292"/>
      <c r="O159" s="308"/>
      <c r="P159" s="575"/>
      <c r="Q159" s="576"/>
      <c r="R159" s="308"/>
      <c r="S159" s="575"/>
      <c r="T159" s="576"/>
      <c r="U159" s="308"/>
      <c r="V159" s="575"/>
      <c r="W159" s="576"/>
      <c r="X159" s="308"/>
      <c r="Y159" s="575"/>
      <c r="Z159" s="576"/>
      <c r="AA159" s="308"/>
      <c r="AB159" s="575"/>
      <c r="AC159" s="576"/>
      <c r="AD159" s="308"/>
      <c r="AE159" s="575"/>
      <c r="AF159" s="308"/>
      <c r="AG159" s="575"/>
      <c r="AH159" s="308"/>
      <c r="AI159" s="575"/>
      <c r="AJ159" s="308"/>
      <c r="AK159" s="305"/>
      <c r="AL159" s="577"/>
      <c r="AM159" s="306"/>
      <c r="AN159" s="308"/>
      <c r="AO159" s="573"/>
      <c r="AP159" s="305"/>
      <c r="AQ159" s="308"/>
      <c r="AR159" s="573"/>
      <c r="AS159" s="578"/>
      <c r="AT159" s="577"/>
      <c r="AU159" s="579"/>
      <c r="AV159" s="578"/>
      <c r="AW159" s="308"/>
      <c r="AX159" s="307"/>
      <c r="AY159" s="307"/>
      <c r="AZ159" s="307"/>
      <c r="BA159" s="307"/>
      <c r="BB159" s="307"/>
      <c r="BC159" s="305"/>
      <c r="BD159" s="292"/>
      <c r="BE159" s="297"/>
      <c r="BF159" s="297"/>
      <c r="BG159" s="569"/>
      <c r="BH159" s="570"/>
      <c r="BI159" s="570"/>
      <c r="BJ159" s="570"/>
      <c r="BK159" s="570"/>
      <c r="BL159" s="570"/>
      <c r="BM159" s="570"/>
      <c r="BN159" s="570"/>
      <c r="BO159" s="570"/>
      <c r="BP159" s="570"/>
      <c r="BQ159" s="570"/>
      <c r="BR159" s="570"/>
      <c r="BS159" s="570"/>
      <c r="BT159" s="570"/>
      <c r="BU159" s="570"/>
      <c r="BV159" s="570"/>
      <c r="BW159" s="570"/>
      <c r="BX159" s="570"/>
      <c r="BY159" s="570"/>
      <c r="BZ159" s="571"/>
      <c r="CA159" s="571"/>
    </row>
    <row r="160" spans="2:79">
      <c r="B160" s="566">
        <v>145</v>
      </c>
      <c r="C160" s="308"/>
      <c r="D160" s="307"/>
      <c r="E160" s="307"/>
      <c r="F160" s="305"/>
      <c r="G160" s="305"/>
      <c r="H160" s="292"/>
      <c r="I160" s="574"/>
      <c r="J160" s="573"/>
      <c r="K160" s="307"/>
      <c r="L160" s="292"/>
      <c r="M160" s="308"/>
      <c r="N160" s="292"/>
      <c r="O160" s="308"/>
      <c r="P160" s="575"/>
      <c r="Q160" s="576"/>
      <c r="R160" s="308"/>
      <c r="S160" s="575"/>
      <c r="T160" s="576"/>
      <c r="U160" s="308"/>
      <c r="V160" s="575"/>
      <c r="W160" s="576"/>
      <c r="X160" s="308"/>
      <c r="Y160" s="575"/>
      <c r="Z160" s="576"/>
      <c r="AA160" s="308"/>
      <c r="AB160" s="575"/>
      <c r="AC160" s="576"/>
      <c r="AD160" s="308"/>
      <c r="AE160" s="575"/>
      <c r="AF160" s="308"/>
      <c r="AG160" s="575"/>
      <c r="AH160" s="308"/>
      <c r="AI160" s="575"/>
      <c r="AJ160" s="308"/>
      <c r="AK160" s="305"/>
      <c r="AL160" s="577"/>
      <c r="AM160" s="306"/>
      <c r="AN160" s="308"/>
      <c r="AO160" s="573"/>
      <c r="AP160" s="305"/>
      <c r="AQ160" s="308"/>
      <c r="AR160" s="573"/>
      <c r="AS160" s="578"/>
      <c r="AT160" s="577"/>
      <c r="AU160" s="579"/>
      <c r="AV160" s="578"/>
      <c r="AW160" s="308"/>
      <c r="AX160" s="307"/>
      <c r="AY160" s="307"/>
      <c r="AZ160" s="307"/>
      <c r="BA160" s="307"/>
      <c r="BB160" s="307"/>
      <c r="BC160" s="305"/>
      <c r="BD160" s="292"/>
      <c r="BE160" s="297"/>
      <c r="BF160" s="297"/>
      <c r="BG160" s="569"/>
      <c r="BH160" s="570"/>
      <c r="BI160" s="570"/>
      <c r="BJ160" s="570"/>
      <c r="BK160" s="570"/>
      <c r="BL160" s="570"/>
      <c r="BM160" s="570"/>
      <c r="BN160" s="570"/>
      <c r="BO160" s="570"/>
      <c r="BP160" s="570"/>
      <c r="BQ160" s="570"/>
      <c r="BR160" s="570"/>
      <c r="BS160" s="570"/>
      <c r="BT160" s="570"/>
      <c r="BU160" s="570"/>
      <c r="BV160" s="570"/>
      <c r="BW160" s="570"/>
      <c r="BX160" s="570"/>
      <c r="BY160" s="570"/>
      <c r="BZ160" s="571"/>
      <c r="CA160" s="571"/>
    </row>
    <row r="161" spans="2:79">
      <c r="B161" s="572">
        <v>146</v>
      </c>
      <c r="C161" s="308"/>
      <c r="D161" s="307"/>
      <c r="E161" s="307"/>
      <c r="F161" s="305"/>
      <c r="G161" s="305"/>
      <c r="H161" s="292"/>
      <c r="I161" s="574"/>
      <c r="J161" s="573"/>
      <c r="K161" s="307"/>
      <c r="L161" s="292"/>
      <c r="M161" s="308"/>
      <c r="N161" s="292"/>
      <c r="O161" s="308"/>
      <c r="P161" s="575"/>
      <c r="Q161" s="576"/>
      <c r="R161" s="308"/>
      <c r="S161" s="575"/>
      <c r="T161" s="576"/>
      <c r="U161" s="308"/>
      <c r="V161" s="575"/>
      <c r="W161" s="576"/>
      <c r="X161" s="308"/>
      <c r="Y161" s="575"/>
      <c r="Z161" s="576"/>
      <c r="AA161" s="308"/>
      <c r="AB161" s="575"/>
      <c r="AC161" s="576"/>
      <c r="AD161" s="308"/>
      <c r="AE161" s="575"/>
      <c r="AF161" s="308"/>
      <c r="AG161" s="575"/>
      <c r="AH161" s="308"/>
      <c r="AI161" s="575"/>
      <c r="AJ161" s="308"/>
      <c r="AK161" s="305"/>
      <c r="AL161" s="577"/>
      <c r="AM161" s="306"/>
      <c r="AN161" s="308"/>
      <c r="AO161" s="573"/>
      <c r="AP161" s="305"/>
      <c r="AQ161" s="308"/>
      <c r="AR161" s="573"/>
      <c r="AS161" s="578"/>
      <c r="AT161" s="577"/>
      <c r="AU161" s="579"/>
      <c r="AV161" s="578"/>
      <c r="AW161" s="308"/>
      <c r="AX161" s="307"/>
      <c r="AY161" s="307"/>
      <c r="AZ161" s="307"/>
      <c r="BA161" s="307"/>
      <c r="BB161" s="307"/>
      <c r="BC161" s="305"/>
      <c r="BD161" s="292"/>
      <c r="BE161" s="297"/>
      <c r="BF161" s="297"/>
      <c r="BG161" s="569"/>
      <c r="BH161" s="570"/>
      <c r="BI161" s="570"/>
      <c r="BJ161" s="570"/>
      <c r="BK161" s="570"/>
      <c r="BL161" s="570"/>
      <c r="BM161" s="570"/>
      <c r="BN161" s="570"/>
      <c r="BO161" s="570"/>
      <c r="BP161" s="570"/>
      <c r="BQ161" s="570"/>
      <c r="BR161" s="570"/>
      <c r="BS161" s="570"/>
      <c r="BT161" s="570"/>
      <c r="BU161" s="570"/>
      <c r="BV161" s="570"/>
      <c r="BW161" s="570"/>
      <c r="BX161" s="570"/>
      <c r="BY161" s="570"/>
      <c r="BZ161" s="571"/>
      <c r="CA161" s="571"/>
    </row>
    <row r="162" spans="2:79">
      <c r="B162" s="566">
        <v>147</v>
      </c>
      <c r="C162" s="308"/>
      <c r="D162" s="307"/>
      <c r="E162" s="307"/>
      <c r="F162" s="305"/>
      <c r="G162" s="305"/>
      <c r="H162" s="292"/>
      <c r="I162" s="574"/>
      <c r="J162" s="573"/>
      <c r="K162" s="307"/>
      <c r="L162" s="292"/>
      <c r="M162" s="308"/>
      <c r="N162" s="292"/>
      <c r="O162" s="308"/>
      <c r="P162" s="575"/>
      <c r="Q162" s="576"/>
      <c r="R162" s="308"/>
      <c r="S162" s="575"/>
      <c r="T162" s="576"/>
      <c r="U162" s="308"/>
      <c r="V162" s="575"/>
      <c r="W162" s="576"/>
      <c r="X162" s="308"/>
      <c r="Y162" s="575"/>
      <c r="Z162" s="576"/>
      <c r="AA162" s="308"/>
      <c r="AB162" s="575"/>
      <c r="AC162" s="576"/>
      <c r="AD162" s="308"/>
      <c r="AE162" s="575"/>
      <c r="AF162" s="308"/>
      <c r="AG162" s="575"/>
      <c r="AH162" s="308"/>
      <c r="AI162" s="575"/>
      <c r="AJ162" s="308"/>
      <c r="AK162" s="305"/>
      <c r="AL162" s="577"/>
      <c r="AM162" s="306"/>
      <c r="AN162" s="308"/>
      <c r="AO162" s="573"/>
      <c r="AP162" s="305"/>
      <c r="AQ162" s="308"/>
      <c r="AR162" s="573"/>
      <c r="AS162" s="578"/>
      <c r="AT162" s="577"/>
      <c r="AU162" s="579"/>
      <c r="AV162" s="578"/>
      <c r="AW162" s="308"/>
      <c r="AX162" s="307"/>
      <c r="AY162" s="307"/>
      <c r="AZ162" s="307"/>
      <c r="BA162" s="307"/>
      <c r="BB162" s="307"/>
      <c r="BC162" s="305"/>
      <c r="BD162" s="292"/>
      <c r="BE162" s="297"/>
      <c r="BF162" s="297"/>
      <c r="BG162" s="569"/>
      <c r="BH162" s="570"/>
      <c r="BI162" s="570"/>
      <c r="BJ162" s="570"/>
      <c r="BK162" s="570"/>
      <c r="BL162" s="570"/>
      <c r="BM162" s="570"/>
      <c r="BN162" s="570"/>
      <c r="BO162" s="570"/>
      <c r="BP162" s="570"/>
      <c r="BQ162" s="570"/>
      <c r="BR162" s="570"/>
      <c r="BS162" s="570"/>
      <c r="BT162" s="570"/>
      <c r="BU162" s="570"/>
      <c r="BV162" s="570"/>
      <c r="BW162" s="570"/>
      <c r="BX162" s="570"/>
      <c r="BY162" s="570"/>
      <c r="BZ162" s="571"/>
      <c r="CA162" s="571"/>
    </row>
    <row r="163" spans="2:79">
      <c r="B163" s="572">
        <v>148</v>
      </c>
      <c r="C163" s="308"/>
      <c r="D163" s="307"/>
      <c r="E163" s="307"/>
      <c r="F163" s="305"/>
      <c r="G163" s="305"/>
      <c r="H163" s="292"/>
      <c r="I163" s="574"/>
      <c r="J163" s="573"/>
      <c r="K163" s="307"/>
      <c r="L163" s="292"/>
      <c r="M163" s="308"/>
      <c r="N163" s="292"/>
      <c r="O163" s="308"/>
      <c r="P163" s="575"/>
      <c r="Q163" s="576"/>
      <c r="R163" s="308"/>
      <c r="S163" s="575"/>
      <c r="T163" s="576"/>
      <c r="U163" s="308"/>
      <c r="V163" s="575"/>
      <c r="W163" s="576"/>
      <c r="X163" s="308"/>
      <c r="Y163" s="575"/>
      <c r="Z163" s="576"/>
      <c r="AA163" s="308"/>
      <c r="AB163" s="575"/>
      <c r="AC163" s="576"/>
      <c r="AD163" s="308"/>
      <c r="AE163" s="575"/>
      <c r="AF163" s="308"/>
      <c r="AG163" s="575"/>
      <c r="AH163" s="308"/>
      <c r="AI163" s="575"/>
      <c r="AJ163" s="308"/>
      <c r="AK163" s="305"/>
      <c r="AL163" s="577"/>
      <c r="AM163" s="306"/>
      <c r="AN163" s="308"/>
      <c r="AO163" s="573"/>
      <c r="AP163" s="305"/>
      <c r="AQ163" s="308"/>
      <c r="AR163" s="573"/>
      <c r="AS163" s="578"/>
      <c r="AT163" s="577"/>
      <c r="AU163" s="579"/>
      <c r="AV163" s="578"/>
      <c r="AW163" s="308"/>
      <c r="AX163" s="307"/>
      <c r="AY163" s="307"/>
      <c r="AZ163" s="307"/>
      <c r="BA163" s="307"/>
      <c r="BB163" s="307"/>
      <c r="BC163" s="305"/>
      <c r="BD163" s="292"/>
      <c r="BE163" s="297"/>
      <c r="BF163" s="297"/>
      <c r="BG163" s="569"/>
      <c r="BH163" s="570"/>
      <c r="BI163" s="570"/>
      <c r="BJ163" s="570"/>
      <c r="BK163" s="570"/>
      <c r="BL163" s="570"/>
      <c r="BM163" s="570"/>
      <c r="BN163" s="570"/>
      <c r="BO163" s="570"/>
      <c r="BP163" s="570"/>
      <c r="BQ163" s="570"/>
      <c r="BR163" s="570"/>
      <c r="BS163" s="570"/>
      <c r="BT163" s="570"/>
      <c r="BU163" s="570"/>
      <c r="BV163" s="570"/>
      <c r="BW163" s="570"/>
      <c r="BX163" s="570"/>
      <c r="BY163" s="570"/>
      <c r="BZ163" s="571"/>
      <c r="CA163" s="571"/>
    </row>
    <row r="164" spans="2:79">
      <c r="B164" s="566">
        <v>149</v>
      </c>
      <c r="C164" s="308"/>
      <c r="D164" s="307"/>
      <c r="E164" s="307"/>
      <c r="F164" s="305"/>
      <c r="G164" s="305"/>
      <c r="H164" s="292"/>
      <c r="I164" s="574"/>
      <c r="J164" s="573"/>
      <c r="K164" s="307"/>
      <c r="L164" s="292"/>
      <c r="M164" s="308"/>
      <c r="N164" s="292"/>
      <c r="O164" s="308"/>
      <c r="P164" s="575"/>
      <c r="Q164" s="576"/>
      <c r="R164" s="308"/>
      <c r="S164" s="575"/>
      <c r="T164" s="576"/>
      <c r="U164" s="308"/>
      <c r="V164" s="575"/>
      <c r="W164" s="576"/>
      <c r="X164" s="308"/>
      <c r="Y164" s="575"/>
      <c r="Z164" s="576"/>
      <c r="AA164" s="308"/>
      <c r="AB164" s="575"/>
      <c r="AC164" s="576"/>
      <c r="AD164" s="308"/>
      <c r="AE164" s="575"/>
      <c r="AF164" s="308"/>
      <c r="AG164" s="575"/>
      <c r="AH164" s="308"/>
      <c r="AI164" s="575"/>
      <c r="AJ164" s="308"/>
      <c r="AK164" s="305"/>
      <c r="AL164" s="577"/>
      <c r="AM164" s="306"/>
      <c r="AN164" s="308"/>
      <c r="AO164" s="573"/>
      <c r="AP164" s="305"/>
      <c r="AQ164" s="308"/>
      <c r="AR164" s="573"/>
      <c r="AS164" s="578"/>
      <c r="AT164" s="577"/>
      <c r="AU164" s="579"/>
      <c r="AV164" s="578"/>
      <c r="AW164" s="308"/>
      <c r="AX164" s="307"/>
      <c r="AY164" s="307"/>
      <c r="AZ164" s="307"/>
      <c r="BA164" s="307"/>
      <c r="BB164" s="307"/>
      <c r="BC164" s="305"/>
      <c r="BD164" s="292"/>
      <c r="BE164" s="297"/>
      <c r="BF164" s="297"/>
      <c r="BG164" s="569"/>
      <c r="BH164" s="570"/>
      <c r="BI164" s="570"/>
      <c r="BJ164" s="570"/>
      <c r="BK164" s="570"/>
      <c r="BL164" s="570"/>
      <c r="BM164" s="570"/>
      <c r="BN164" s="570"/>
      <c r="BO164" s="570"/>
      <c r="BP164" s="570"/>
      <c r="BQ164" s="570"/>
      <c r="BR164" s="570"/>
      <c r="BS164" s="570"/>
      <c r="BT164" s="570"/>
      <c r="BU164" s="570"/>
      <c r="BV164" s="570"/>
      <c r="BW164" s="570"/>
      <c r="BX164" s="570"/>
      <c r="BY164" s="570"/>
      <c r="BZ164" s="571"/>
      <c r="CA164" s="571"/>
    </row>
    <row r="165" spans="2:79">
      <c r="B165" s="572">
        <v>150</v>
      </c>
      <c r="C165" s="308"/>
      <c r="D165" s="307"/>
      <c r="E165" s="307"/>
      <c r="F165" s="305"/>
      <c r="G165" s="305"/>
      <c r="H165" s="292"/>
      <c r="I165" s="574"/>
      <c r="J165" s="573"/>
      <c r="K165" s="307"/>
      <c r="L165" s="292"/>
      <c r="M165" s="308"/>
      <c r="N165" s="292"/>
      <c r="O165" s="308"/>
      <c r="P165" s="575"/>
      <c r="Q165" s="576"/>
      <c r="R165" s="308"/>
      <c r="S165" s="575"/>
      <c r="T165" s="576"/>
      <c r="U165" s="308"/>
      <c r="V165" s="575"/>
      <c r="W165" s="576"/>
      <c r="X165" s="308"/>
      <c r="Y165" s="575"/>
      <c r="Z165" s="576"/>
      <c r="AA165" s="308"/>
      <c r="AB165" s="575"/>
      <c r="AC165" s="576"/>
      <c r="AD165" s="308"/>
      <c r="AE165" s="575"/>
      <c r="AF165" s="308"/>
      <c r="AG165" s="575"/>
      <c r="AH165" s="308"/>
      <c r="AI165" s="575"/>
      <c r="AJ165" s="308"/>
      <c r="AK165" s="305"/>
      <c r="AL165" s="577"/>
      <c r="AM165" s="306"/>
      <c r="AN165" s="308"/>
      <c r="AO165" s="573"/>
      <c r="AP165" s="305"/>
      <c r="AQ165" s="308"/>
      <c r="AR165" s="573"/>
      <c r="AS165" s="578"/>
      <c r="AT165" s="577"/>
      <c r="AU165" s="579"/>
      <c r="AV165" s="578"/>
      <c r="AW165" s="308"/>
      <c r="AX165" s="307"/>
      <c r="AY165" s="307"/>
      <c r="AZ165" s="307"/>
      <c r="BA165" s="307"/>
      <c r="BB165" s="307"/>
      <c r="BC165" s="305"/>
      <c r="BD165" s="292"/>
      <c r="BE165" s="297"/>
      <c r="BF165" s="297"/>
      <c r="BG165" s="569"/>
      <c r="BH165" s="570"/>
      <c r="BI165" s="570"/>
      <c r="BJ165" s="570"/>
      <c r="BK165" s="570"/>
      <c r="BL165" s="570"/>
      <c r="BM165" s="570"/>
      <c r="BN165" s="570"/>
      <c r="BO165" s="570"/>
      <c r="BP165" s="570"/>
      <c r="BQ165" s="570"/>
      <c r="BR165" s="570"/>
      <c r="BS165" s="570"/>
      <c r="BT165" s="570"/>
      <c r="BU165" s="570"/>
      <c r="BV165" s="570"/>
      <c r="BW165" s="570"/>
      <c r="BX165" s="570"/>
      <c r="BY165" s="570"/>
      <c r="BZ165" s="571"/>
      <c r="CA165" s="571"/>
    </row>
    <row r="166" spans="2:79">
      <c r="B166" s="566">
        <v>151</v>
      </c>
      <c r="C166" s="308"/>
      <c r="D166" s="307"/>
      <c r="E166" s="307"/>
      <c r="F166" s="305"/>
      <c r="G166" s="305"/>
      <c r="H166" s="292"/>
      <c r="I166" s="574"/>
      <c r="J166" s="573"/>
      <c r="K166" s="307"/>
      <c r="L166" s="292"/>
      <c r="M166" s="308"/>
      <c r="N166" s="292"/>
      <c r="O166" s="308"/>
      <c r="P166" s="575"/>
      <c r="Q166" s="576"/>
      <c r="R166" s="308"/>
      <c r="S166" s="575"/>
      <c r="T166" s="576"/>
      <c r="U166" s="308"/>
      <c r="V166" s="575"/>
      <c r="W166" s="576"/>
      <c r="X166" s="308"/>
      <c r="Y166" s="575"/>
      <c r="Z166" s="576"/>
      <c r="AA166" s="308"/>
      <c r="AB166" s="575"/>
      <c r="AC166" s="576"/>
      <c r="AD166" s="308"/>
      <c r="AE166" s="575"/>
      <c r="AF166" s="308"/>
      <c r="AG166" s="575"/>
      <c r="AH166" s="308"/>
      <c r="AI166" s="575"/>
      <c r="AJ166" s="308"/>
      <c r="AK166" s="305"/>
      <c r="AL166" s="577"/>
      <c r="AM166" s="306"/>
      <c r="AN166" s="308"/>
      <c r="AO166" s="573"/>
      <c r="AP166" s="305"/>
      <c r="AQ166" s="308"/>
      <c r="AR166" s="573"/>
      <c r="AS166" s="578"/>
      <c r="AT166" s="577"/>
      <c r="AU166" s="579"/>
      <c r="AV166" s="578"/>
      <c r="AW166" s="308"/>
      <c r="AX166" s="307"/>
      <c r="AY166" s="307"/>
      <c r="AZ166" s="307"/>
      <c r="BA166" s="307"/>
      <c r="BB166" s="307"/>
      <c r="BC166" s="305"/>
      <c r="BD166" s="292"/>
      <c r="BE166" s="297"/>
      <c r="BF166" s="297"/>
      <c r="BG166" s="569"/>
      <c r="BH166" s="570"/>
      <c r="BI166" s="570"/>
      <c r="BJ166" s="570"/>
      <c r="BK166" s="570"/>
      <c r="BL166" s="570"/>
      <c r="BM166" s="570"/>
      <c r="BN166" s="570"/>
      <c r="BO166" s="570"/>
      <c r="BP166" s="570"/>
      <c r="BQ166" s="570"/>
      <c r="BR166" s="570"/>
      <c r="BS166" s="570"/>
      <c r="BT166" s="570"/>
      <c r="BU166" s="570"/>
      <c r="BV166" s="570"/>
      <c r="BW166" s="570"/>
      <c r="BX166" s="570"/>
      <c r="BY166" s="570"/>
      <c r="BZ166" s="571"/>
      <c r="CA166" s="571"/>
    </row>
    <row r="167" spans="2:79">
      <c r="B167" s="572">
        <v>152</v>
      </c>
      <c r="C167" s="308"/>
      <c r="D167" s="307"/>
      <c r="E167" s="307"/>
      <c r="F167" s="305"/>
      <c r="G167" s="305"/>
      <c r="H167" s="292"/>
      <c r="I167" s="574"/>
      <c r="J167" s="573"/>
      <c r="K167" s="307"/>
      <c r="L167" s="292"/>
      <c r="M167" s="308"/>
      <c r="N167" s="292"/>
      <c r="O167" s="308"/>
      <c r="P167" s="575"/>
      <c r="Q167" s="576"/>
      <c r="R167" s="308"/>
      <c r="S167" s="575"/>
      <c r="T167" s="576"/>
      <c r="U167" s="308"/>
      <c r="V167" s="575"/>
      <c r="W167" s="576"/>
      <c r="X167" s="308"/>
      <c r="Y167" s="575"/>
      <c r="Z167" s="576"/>
      <c r="AA167" s="308"/>
      <c r="AB167" s="575"/>
      <c r="AC167" s="576"/>
      <c r="AD167" s="308"/>
      <c r="AE167" s="575"/>
      <c r="AF167" s="308"/>
      <c r="AG167" s="575"/>
      <c r="AH167" s="308"/>
      <c r="AI167" s="575"/>
      <c r="AJ167" s="308"/>
      <c r="AK167" s="305"/>
      <c r="AL167" s="577"/>
      <c r="AM167" s="306"/>
      <c r="AN167" s="308"/>
      <c r="AO167" s="573"/>
      <c r="AP167" s="305"/>
      <c r="AQ167" s="308"/>
      <c r="AR167" s="573"/>
      <c r="AS167" s="578"/>
      <c r="AT167" s="577"/>
      <c r="AU167" s="579"/>
      <c r="AV167" s="578"/>
      <c r="AW167" s="308"/>
      <c r="AX167" s="307"/>
      <c r="AY167" s="307"/>
      <c r="AZ167" s="307"/>
      <c r="BA167" s="307"/>
      <c r="BB167" s="307"/>
      <c r="BC167" s="305"/>
      <c r="BD167" s="292"/>
      <c r="BE167" s="297"/>
      <c r="BF167" s="297"/>
      <c r="BG167" s="569"/>
      <c r="BH167" s="570"/>
      <c r="BI167" s="570"/>
      <c r="BJ167" s="570"/>
      <c r="BK167" s="570"/>
      <c r="BL167" s="570"/>
      <c r="BM167" s="570"/>
      <c r="BN167" s="570"/>
      <c r="BO167" s="570"/>
      <c r="BP167" s="570"/>
      <c r="BQ167" s="570"/>
      <c r="BR167" s="570"/>
      <c r="BS167" s="570"/>
      <c r="BT167" s="570"/>
      <c r="BU167" s="570"/>
      <c r="BV167" s="570"/>
      <c r="BW167" s="570"/>
      <c r="BX167" s="570"/>
      <c r="BY167" s="570"/>
      <c r="BZ167" s="571"/>
      <c r="CA167" s="571"/>
    </row>
    <row r="168" spans="2:79">
      <c r="B168" s="566">
        <v>153</v>
      </c>
      <c r="C168" s="308"/>
      <c r="D168" s="307"/>
      <c r="E168" s="307"/>
      <c r="F168" s="305"/>
      <c r="G168" s="305"/>
      <c r="H168" s="292"/>
      <c r="I168" s="574"/>
      <c r="J168" s="573"/>
      <c r="K168" s="307"/>
      <c r="L168" s="292"/>
      <c r="M168" s="308"/>
      <c r="N168" s="292"/>
      <c r="O168" s="308"/>
      <c r="P168" s="575"/>
      <c r="Q168" s="576"/>
      <c r="R168" s="308"/>
      <c r="S168" s="575"/>
      <c r="T168" s="576"/>
      <c r="U168" s="308"/>
      <c r="V168" s="575"/>
      <c r="W168" s="576"/>
      <c r="X168" s="308"/>
      <c r="Y168" s="575"/>
      <c r="Z168" s="576"/>
      <c r="AA168" s="308"/>
      <c r="AB168" s="575"/>
      <c r="AC168" s="576"/>
      <c r="AD168" s="308"/>
      <c r="AE168" s="575"/>
      <c r="AF168" s="308"/>
      <c r="AG168" s="575"/>
      <c r="AH168" s="308"/>
      <c r="AI168" s="575"/>
      <c r="AJ168" s="308"/>
      <c r="AK168" s="305"/>
      <c r="AL168" s="577"/>
      <c r="AM168" s="306"/>
      <c r="AN168" s="308"/>
      <c r="AO168" s="573"/>
      <c r="AP168" s="305"/>
      <c r="AQ168" s="308"/>
      <c r="AR168" s="573"/>
      <c r="AS168" s="578"/>
      <c r="AT168" s="577"/>
      <c r="AU168" s="579"/>
      <c r="AV168" s="578"/>
      <c r="AW168" s="308"/>
      <c r="AX168" s="307"/>
      <c r="AY168" s="307"/>
      <c r="AZ168" s="307"/>
      <c r="BA168" s="307"/>
      <c r="BB168" s="307"/>
      <c r="BC168" s="305"/>
      <c r="BD168" s="292"/>
      <c r="BE168" s="297"/>
      <c r="BF168" s="297"/>
      <c r="BG168" s="569"/>
      <c r="BH168" s="570"/>
      <c r="BI168" s="570"/>
      <c r="BJ168" s="570"/>
      <c r="BK168" s="570"/>
      <c r="BL168" s="570"/>
      <c r="BM168" s="570"/>
      <c r="BN168" s="570"/>
      <c r="BO168" s="570"/>
      <c r="BP168" s="570"/>
      <c r="BQ168" s="570"/>
      <c r="BR168" s="570"/>
      <c r="BS168" s="570"/>
      <c r="BT168" s="570"/>
      <c r="BU168" s="570"/>
      <c r="BV168" s="570"/>
      <c r="BW168" s="570"/>
      <c r="BX168" s="570"/>
      <c r="BY168" s="570"/>
      <c r="BZ168" s="571"/>
      <c r="CA168" s="571"/>
    </row>
    <row r="169" spans="2:79">
      <c r="B169" s="572">
        <v>154</v>
      </c>
      <c r="C169" s="308"/>
      <c r="D169" s="307"/>
      <c r="E169" s="307"/>
      <c r="F169" s="305"/>
      <c r="G169" s="305"/>
      <c r="H169" s="292"/>
      <c r="I169" s="574"/>
      <c r="J169" s="573"/>
      <c r="K169" s="307"/>
      <c r="L169" s="292"/>
      <c r="M169" s="308"/>
      <c r="N169" s="292"/>
      <c r="O169" s="308"/>
      <c r="P169" s="575"/>
      <c r="Q169" s="576"/>
      <c r="R169" s="308"/>
      <c r="S169" s="575"/>
      <c r="T169" s="576"/>
      <c r="U169" s="308"/>
      <c r="V169" s="575"/>
      <c r="W169" s="576"/>
      <c r="X169" s="308"/>
      <c r="Y169" s="575"/>
      <c r="Z169" s="576"/>
      <c r="AA169" s="308"/>
      <c r="AB169" s="575"/>
      <c r="AC169" s="576"/>
      <c r="AD169" s="308"/>
      <c r="AE169" s="575"/>
      <c r="AF169" s="308"/>
      <c r="AG169" s="575"/>
      <c r="AH169" s="308"/>
      <c r="AI169" s="575"/>
      <c r="AJ169" s="308"/>
      <c r="AK169" s="305"/>
      <c r="AL169" s="577"/>
      <c r="AM169" s="306"/>
      <c r="AN169" s="308"/>
      <c r="AO169" s="573"/>
      <c r="AP169" s="305"/>
      <c r="AQ169" s="308"/>
      <c r="AR169" s="573"/>
      <c r="AS169" s="578"/>
      <c r="AT169" s="577"/>
      <c r="AU169" s="579"/>
      <c r="AV169" s="578"/>
      <c r="AW169" s="308"/>
      <c r="AX169" s="307"/>
      <c r="AY169" s="307"/>
      <c r="AZ169" s="307"/>
      <c r="BA169" s="307"/>
      <c r="BB169" s="307"/>
      <c r="BC169" s="305"/>
      <c r="BD169" s="292"/>
      <c r="BE169" s="297"/>
      <c r="BF169" s="297"/>
      <c r="BG169" s="569"/>
      <c r="BH169" s="570"/>
      <c r="BI169" s="570"/>
      <c r="BJ169" s="570"/>
      <c r="BK169" s="570"/>
      <c r="BL169" s="570"/>
      <c r="BM169" s="570"/>
      <c r="BN169" s="570"/>
      <c r="BO169" s="570"/>
      <c r="BP169" s="570"/>
      <c r="BQ169" s="570"/>
      <c r="BR169" s="570"/>
      <c r="BS169" s="570"/>
      <c r="BT169" s="570"/>
      <c r="BU169" s="570"/>
      <c r="BV169" s="570"/>
      <c r="BW169" s="570"/>
      <c r="BX169" s="570"/>
      <c r="BY169" s="570"/>
      <c r="BZ169" s="571"/>
      <c r="CA169" s="571"/>
    </row>
    <row r="170" spans="2:79">
      <c r="B170" s="566">
        <v>155</v>
      </c>
      <c r="C170" s="308"/>
      <c r="D170" s="307"/>
      <c r="E170" s="307"/>
      <c r="F170" s="305"/>
      <c r="G170" s="305"/>
      <c r="H170" s="292"/>
      <c r="I170" s="574"/>
      <c r="J170" s="573"/>
      <c r="K170" s="307"/>
      <c r="L170" s="292"/>
      <c r="M170" s="308"/>
      <c r="N170" s="292"/>
      <c r="O170" s="308"/>
      <c r="P170" s="575"/>
      <c r="Q170" s="576"/>
      <c r="R170" s="308"/>
      <c r="S170" s="575"/>
      <c r="T170" s="576"/>
      <c r="U170" s="308"/>
      <c r="V170" s="575"/>
      <c r="W170" s="576"/>
      <c r="X170" s="308"/>
      <c r="Y170" s="575"/>
      <c r="Z170" s="576"/>
      <c r="AA170" s="308"/>
      <c r="AB170" s="575"/>
      <c r="AC170" s="576"/>
      <c r="AD170" s="308"/>
      <c r="AE170" s="575"/>
      <c r="AF170" s="308"/>
      <c r="AG170" s="575"/>
      <c r="AH170" s="308"/>
      <c r="AI170" s="575"/>
      <c r="AJ170" s="308"/>
      <c r="AK170" s="305"/>
      <c r="AL170" s="577"/>
      <c r="AM170" s="306"/>
      <c r="AN170" s="308"/>
      <c r="AO170" s="573"/>
      <c r="AP170" s="305"/>
      <c r="AQ170" s="308"/>
      <c r="AR170" s="573"/>
      <c r="AS170" s="578"/>
      <c r="AT170" s="577"/>
      <c r="AU170" s="579"/>
      <c r="AV170" s="578"/>
      <c r="AW170" s="308"/>
      <c r="AX170" s="307"/>
      <c r="AY170" s="307"/>
      <c r="AZ170" s="307"/>
      <c r="BA170" s="307"/>
      <c r="BB170" s="307"/>
      <c r="BC170" s="305"/>
      <c r="BD170" s="292"/>
      <c r="BE170" s="297"/>
      <c r="BF170" s="297"/>
      <c r="BG170" s="569"/>
      <c r="BH170" s="570"/>
      <c r="BI170" s="570"/>
      <c r="BJ170" s="570"/>
      <c r="BK170" s="570"/>
      <c r="BL170" s="570"/>
      <c r="BM170" s="570"/>
      <c r="BN170" s="570"/>
      <c r="BO170" s="570"/>
      <c r="BP170" s="570"/>
      <c r="BQ170" s="570"/>
      <c r="BR170" s="570"/>
      <c r="BS170" s="570"/>
      <c r="BT170" s="570"/>
      <c r="BU170" s="570"/>
      <c r="BV170" s="570"/>
      <c r="BW170" s="570"/>
      <c r="BX170" s="570"/>
      <c r="BY170" s="570"/>
      <c r="BZ170" s="571"/>
      <c r="CA170" s="571"/>
    </row>
    <row r="171" spans="2:79">
      <c r="B171" s="572">
        <v>156</v>
      </c>
      <c r="C171" s="308"/>
      <c r="D171" s="307"/>
      <c r="E171" s="307"/>
      <c r="F171" s="305"/>
      <c r="G171" s="305"/>
      <c r="H171" s="292"/>
      <c r="I171" s="574"/>
      <c r="J171" s="573"/>
      <c r="K171" s="307"/>
      <c r="L171" s="292"/>
      <c r="M171" s="308"/>
      <c r="N171" s="292"/>
      <c r="O171" s="308"/>
      <c r="P171" s="575"/>
      <c r="Q171" s="576"/>
      <c r="R171" s="308"/>
      <c r="S171" s="575"/>
      <c r="T171" s="576"/>
      <c r="U171" s="308"/>
      <c r="V171" s="575"/>
      <c r="W171" s="576"/>
      <c r="X171" s="308"/>
      <c r="Y171" s="575"/>
      <c r="Z171" s="576"/>
      <c r="AA171" s="308"/>
      <c r="AB171" s="575"/>
      <c r="AC171" s="576"/>
      <c r="AD171" s="308"/>
      <c r="AE171" s="575"/>
      <c r="AF171" s="308"/>
      <c r="AG171" s="575"/>
      <c r="AH171" s="308"/>
      <c r="AI171" s="575"/>
      <c r="AJ171" s="308"/>
      <c r="AK171" s="305"/>
      <c r="AL171" s="577"/>
      <c r="AM171" s="306"/>
      <c r="AN171" s="308"/>
      <c r="AO171" s="573"/>
      <c r="AP171" s="305"/>
      <c r="AQ171" s="308"/>
      <c r="AR171" s="573"/>
      <c r="AS171" s="578"/>
      <c r="AT171" s="577"/>
      <c r="AU171" s="579"/>
      <c r="AV171" s="578"/>
      <c r="AW171" s="308"/>
      <c r="AX171" s="307"/>
      <c r="AY171" s="307"/>
      <c r="AZ171" s="307"/>
      <c r="BA171" s="307"/>
      <c r="BB171" s="307"/>
      <c r="BC171" s="305"/>
      <c r="BD171" s="292"/>
      <c r="BE171" s="297"/>
      <c r="BF171" s="297"/>
      <c r="BG171" s="569"/>
      <c r="BH171" s="570"/>
      <c r="BI171" s="570"/>
      <c r="BJ171" s="570"/>
      <c r="BK171" s="570"/>
      <c r="BL171" s="570"/>
      <c r="BM171" s="570"/>
      <c r="BN171" s="570"/>
      <c r="BO171" s="570"/>
      <c r="BP171" s="570"/>
      <c r="BQ171" s="570"/>
      <c r="BR171" s="570"/>
      <c r="BS171" s="570"/>
      <c r="BT171" s="570"/>
      <c r="BU171" s="570"/>
      <c r="BV171" s="570"/>
      <c r="BW171" s="570"/>
      <c r="BX171" s="570"/>
      <c r="BY171" s="570"/>
      <c r="BZ171" s="571"/>
      <c r="CA171" s="571"/>
    </row>
    <row r="172" spans="2:79">
      <c r="B172" s="566">
        <v>157</v>
      </c>
      <c r="C172" s="308"/>
      <c r="D172" s="307"/>
      <c r="E172" s="307"/>
      <c r="F172" s="305"/>
      <c r="G172" s="305"/>
      <c r="H172" s="292"/>
      <c r="I172" s="574"/>
      <c r="J172" s="573"/>
      <c r="K172" s="307"/>
      <c r="L172" s="292"/>
      <c r="M172" s="308"/>
      <c r="N172" s="292"/>
      <c r="O172" s="308"/>
      <c r="P172" s="575"/>
      <c r="Q172" s="576"/>
      <c r="R172" s="308"/>
      <c r="S172" s="575"/>
      <c r="T172" s="576"/>
      <c r="U172" s="308"/>
      <c r="V172" s="575"/>
      <c r="W172" s="576"/>
      <c r="X172" s="308"/>
      <c r="Y172" s="575"/>
      <c r="Z172" s="576"/>
      <c r="AA172" s="308"/>
      <c r="AB172" s="575"/>
      <c r="AC172" s="576"/>
      <c r="AD172" s="308"/>
      <c r="AE172" s="575"/>
      <c r="AF172" s="308"/>
      <c r="AG172" s="575"/>
      <c r="AH172" s="308"/>
      <c r="AI172" s="575"/>
      <c r="AJ172" s="308"/>
      <c r="AK172" s="305"/>
      <c r="AL172" s="577"/>
      <c r="AM172" s="306"/>
      <c r="AN172" s="308"/>
      <c r="AO172" s="573"/>
      <c r="AP172" s="305"/>
      <c r="AQ172" s="308"/>
      <c r="AR172" s="573"/>
      <c r="AS172" s="578"/>
      <c r="AT172" s="577"/>
      <c r="AU172" s="579"/>
      <c r="AV172" s="578"/>
      <c r="AW172" s="308"/>
      <c r="AX172" s="307"/>
      <c r="AY172" s="307"/>
      <c r="AZ172" s="307"/>
      <c r="BA172" s="307"/>
      <c r="BB172" s="307"/>
      <c r="BC172" s="305"/>
      <c r="BD172" s="292"/>
      <c r="BE172" s="297"/>
      <c r="BF172" s="297"/>
      <c r="BG172" s="569"/>
      <c r="BH172" s="570"/>
      <c r="BI172" s="570"/>
      <c r="BJ172" s="570"/>
      <c r="BK172" s="570"/>
      <c r="BL172" s="570"/>
      <c r="BM172" s="570"/>
      <c r="BN172" s="570"/>
      <c r="BO172" s="570"/>
      <c r="BP172" s="570"/>
      <c r="BQ172" s="570"/>
      <c r="BR172" s="570"/>
      <c r="BS172" s="570"/>
      <c r="BT172" s="570"/>
      <c r="BU172" s="570"/>
      <c r="BV172" s="570"/>
      <c r="BW172" s="570"/>
      <c r="BX172" s="570"/>
      <c r="BY172" s="570"/>
      <c r="BZ172" s="571"/>
      <c r="CA172" s="571"/>
    </row>
    <row r="173" spans="2:79">
      <c r="B173" s="572">
        <v>158</v>
      </c>
      <c r="C173" s="308"/>
      <c r="D173" s="307"/>
      <c r="E173" s="307"/>
      <c r="F173" s="305"/>
      <c r="G173" s="305"/>
      <c r="H173" s="292"/>
      <c r="I173" s="574"/>
      <c r="J173" s="573"/>
      <c r="K173" s="307"/>
      <c r="L173" s="292"/>
      <c r="M173" s="308"/>
      <c r="N173" s="292"/>
      <c r="O173" s="308"/>
      <c r="P173" s="575"/>
      <c r="Q173" s="576"/>
      <c r="R173" s="308"/>
      <c r="S173" s="575"/>
      <c r="T173" s="576"/>
      <c r="U173" s="308"/>
      <c r="V173" s="575"/>
      <c r="W173" s="576"/>
      <c r="X173" s="308"/>
      <c r="Y173" s="575"/>
      <c r="Z173" s="576"/>
      <c r="AA173" s="308"/>
      <c r="AB173" s="575"/>
      <c r="AC173" s="576"/>
      <c r="AD173" s="308"/>
      <c r="AE173" s="575"/>
      <c r="AF173" s="308"/>
      <c r="AG173" s="575"/>
      <c r="AH173" s="308"/>
      <c r="AI173" s="575"/>
      <c r="AJ173" s="308"/>
      <c r="AK173" s="305"/>
      <c r="AL173" s="577"/>
      <c r="AM173" s="306"/>
      <c r="AN173" s="308"/>
      <c r="AO173" s="573"/>
      <c r="AP173" s="305"/>
      <c r="AQ173" s="308"/>
      <c r="AR173" s="573"/>
      <c r="AS173" s="578"/>
      <c r="AT173" s="577"/>
      <c r="AU173" s="579"/>
      <c r="AV173" s="578"/>
      <c r="AW173" s="308"/>
      <c r="AX173" s="307"/>
      <c r="AY173" s="307"/>
      <c r="AZ173" s="307"/>
      <c r="BA173" s="307"/>
      <c r="BB173" s="307"/>
      <c r="BC173" s="305"/>
      <c r="BD173" s="292"/>
      <c r="BE173" s="297"/>
      <c r="BF173" s="297"/>
      <c r="BG173" s="569"/>
      <c r="BH173" s="570"/>
      <c r="BI173" s="570"/>
      <c r="BJ173" s="570"/>
      <c r="BK173" s="570"/>
      <c r="BL173" s="570"/>
      <c r="BM173" s="570"/>
      <c r="BN173" s="570"/>
      <c r="BO173" s="570"/>
      <c r="BP173" s="570"/>
      <c r="BQ173" s="570"/>
      <c r="BR173" s="570"/>
      <c r="BS173" s="570"/>
      <c r="BT173" s="570"/>
      <c r="BU173" s="570"/>
      <c r="BV173" s="570"/>
      <c r="BW173" s="570"/>
      <c r="BX173" s="570"/>
      <c r="BY173" s="570"/>
      <c r="BZ173" s="571"/>
      <c r="CA173" s="571"/>
    </row>
    <row r="174" spans="2:79">
      <c r="B174" s="566">
        <v>159</v>
      </c>
      <c r="C174" s="308"/>
      <c r="D174" s="307"/>
      <c r="E174" s="307"/>
      <c r="F174" s="305"/>
      <c r="G174" s="305"/>
      <c r="H174" s="292"/>
      <c r="I174" s="574"/>
      <c r="J174" s="573"/>
      <c r="K174" s="307"/>
      <c r="L174" s="292"/>
      <c r="M174" s="308"/>
      <c r="N174" s="292"/>
      <c r="O174" s="308"/>
      <c r="P174" s="575"/>
      <c r="Q174" s="576"/>
      <c r="R174" s="308"/>
      <c r="S174" s="575"/>
      <c r="T174" s="576"/>
      <c r="U174" s="308"/>
      <c r="V174" s="575"/>
      <c r="W174" s="576"/>
      <c r="X174" s="308"/>
      <c r="Y174" s="575"/>
      <c r="Z174" s="576"/>
      <c r="AA174" s="308"/>
      <c r="AB174" s="575"/>
      <c r="AC174" s="576"/>
      <c r="AD174" s="308"/>
      <c r="AE174" s="575"/>
      <c r="AF174" s="308"/>
      <c r="AG174" s="575"/>
      <c r="AH174" s="308"/>
      <c r="AI174" s="575"/>
      <c r="AJ174" s="308"/>
      <c r="AK174" s="305"/>
      <c r="AL174" s="577"/>
      <c r="AM174" s="306"/>
      <c r="AN174" s="308"/>
      <c r="AO174" s="573"/>
      <c r="AP174" s="305"/>
      <c r="AQ174" s="308"/>
      <c r="AR174" s="573"/>
      <c r="AS174" s="578"/>
      <c r="AT174" s="577"/>
      <c r="AU174" s="579"/>
      <c r="AV174" s="578"/>
      <c r="AW174" s="308"/>
      <c r="AX174" s="307"/>
      <c r="AY174" s="307"/>
      <c r="AZ174" s="307"/>
      <c r="BA174" s="307"/>
      <c r="BB174" s="307"/>
      <c r="BC174" s="305"/>
      <c r="BD174" s="292"/>
      <c r="BE174" s="297"/>
      <c r="BF174" s="297"/>
      <c r="BG174" s="569"/>
      <c r="BH174" s="570"/>
      <c r="BI174" s="570"/>
      <c r="BJ174" s="570"/>
      <c r="BK174" s="570"/>
      <c r="BL174" s="570"/>
      <c r="BM174" s="570"/>
      <c r="BN174" s="570"/>
      <c r="BO174" s="570"/>
      <c r="BP174" s="570"/>
      <c r="BQ174" s="570"/>
      <c r="BR174" s="570"/>
      <c r="BS174" s="570"/>
      <c r="BT174" s="570"/>
      <c r="BU174" s="570"/>
      <c r="BV174" s="570"/>
      <c r="BW174" s="570"/>
      <c r="BX174" s="570"/>
      <c r="BY174" s="570"/>
      <c r="BZ174" s="571"/>
      <c r="CA174" s="571"/>
    </row>
    <row r="175" spans="2:79">
      <c r="B175" s="572">
        <v>160</v>
      </c>
      <c r="C175" s="308"/>
      <c r="D175" s="307"/>
      <c r="E175" s="307"/>
      <c r="F175" s="305"/>
      <c r="G175" s="305"/>
      <c r="H175" s="292"/>
      <c r="I175" s="574"/>
      <c r="J175" s="573"/>
      <c r="K175" s="307"/>
      <c r="L175" s="292"/>
      <c r="M175" s="308"/>
      <c r="N175" s="292"/>
      <c r="O175" s="308"/>
      <c r="P175" s="575"/>
      <c r="Q175" s="576"/>
      <c r="R175" s="308"/>
      <c r="S175" s="575"/>
      <c r="T175" s="576"/>
      <c r="U175" s="308"/>
      <c r="V175" s="575"/>
      <c r="W175" s="576"/>
      <c r="X175" s="308"/>
      <c r="Y175" s="575"/>
      <c r="Z175" s="576"/>
      <c r="AA175" s="308"/>
      <c r="AB175" s="575"/>
      <c r="AC175" s="576"/>
      <c r="AD175" s="308"/>
      <c r="AE175" s="575"/>
      <c r="AF175" s="308"/>
      <c r="AG175" s="575"/>
      <c r="AH175" s="308"/>
      <c r="AI175" s="575"/>
      <c r="AJ175" s="308"/>
      <c r="AK175" s="305"/>
      <c r="AL175" s="577"/>
      <c r="AM175" s="306"/>
      <c r="AN175" s="308"/>
      <c r="AO175" s="573"/>
      <c r="AP175" s="305"/>
      <c r="AQ175" s="308"/>
      <c r="AR175" s="573"/>
      <c r="AS175" s="578"/>
      <c r="AT175" s="577"/>
      <c r="AU175" s="579"/>
      <c r="AV175" s="578"/>
      <c r="AW175" s="308"/>
      <c r="AX175" s="307"/>
      <c r="AY175" s="307"/>
      <c r="AZ175" s="307"/>
      <c r="BA175" s="307"/>
      <c r="BB175" s="307"/>
      <c r="BC175" s="305"/>
      <c r="BD175" s="292"/>
      <c r="BE175" s="297"/>
      <c r="BF175" s="297"/>
      <c r="BG175" s="569"/>
      <c r="BH175" s="570"/>
      <c r="BI175" s="570"/>
      <c r="BJ175" s="570"/>
      <c r="BK175" s="570"/>
      <c r="BL175" s="570"/>
      <c r="BM175" s="570"/>
      <c r="BN175" s="570"/>
      <c r="BO175" s="570"/>
      <c r="BP175" s="570"/>
      <c r="BQ175" s="570"/>
      <c r="BR175" s="570"/>
      <c r="BS175" s="570"/>
      <c r="BT175" s="570"/>
      <c r="BU175" s="570"/>
      <c r="BV175" s="570"/>
      <c r="BW175" s="570"/>
      <c r="BX175" s="570"/>
      <c r="BY175" s="570"/>
      <c r="BZ175" s="571"/>
      <c r="CA175" s="571"/>
    </row>
    <row r="176" spans="2:79">
      <c r="B176" s="566">
        <v>161</v>
      </c>
      <c r="C176" s="308"/>
      <c r="D176" s="307"/>
      <c r="E176" s="307"/>
      <c r="F176" s="305"/>
      <c r="G176" s="305"/>
      <c r="H176" s="292"/>
      <c r="I176" s="574"/>
      <c r="J176" s="573"/>
      <c r="K176" s="307"/>
      <c r="L176" s="292"/>
      <c r="M176" s="308"/>
      <c r="N176" s="292"/>
      <c r="O176" s="308"/>
      <c r="P176" s="575"/>
      <c r="Q176" s="576"/>
      <c r="R176" s="308"/>
      <c r="S176" s="575"/>
      <c r="T176" s="576"/>
      <c r="U176" s="308"/>
      <c r="V176" s="575"/>
      <c r="W176" s="576"/>
      <c r="X176" s="308"/>
      <c r="Y176" s="575"/>
      <c r="Z176" s="576"/>
      <c r="AA176" s="308"/>
      <c r="AB176" s="575"/>
      <c r="AC176" s="576"/>
      <c r="AD176" s="308"/>
      <c r="AE176" s="575"/>
      <c r="AF176" s="308"/>
      <c r="AG176" s="575"/>
      <c r="AH176" s="308"/>
      <c r="AI176" s="575"/>
      <c r="AJ176" s="308"/>
      <c r="AK176" s="305"/>
      <c r="AL176" s="577"/>
      <c r="AM176" s="306"/>
      <c r="AN176" s="308"/>
      <c r="AO176" s="573"/>
      <c r="AP176" s="305"/>
      <c r="AQ176" s="308"/>
      <c r="AR176" s="573"/>
      <c r="AS176" s="578"/>
      <c r="AT176" s="577"/>
      <c r="AU176" s="579"/>
      <c r="AV176" s="578"/>
      <c r="AW176" s="308"/>
      <c r="AX176" s="307"/>
      <c r="AY176" s="307"/>
      <c r="AZ176" s="307"/>
      <c r="BA176" s="307"/>
      <c r="BB176" s="307"/>
      <c r="BC176" s="305"/>
      <c r="BD176" s="292"/>
      <c r="BE176" s="297"/>
      <c r="BF176" s="297"/>
      <c r="BG176" s="569"/>
      <c r="BH176" s="570"/>
      <c r="BI176" s="570"/>
      <c r="BJ176" s="570"/>
      <c r="BK176" s="570"/>
      <c r="BL176" s="570"/>
      <c r="BM176" s="570"/>
      <c r="BN176" s="570"/>
      <c r="BO176" s="570"/>
      <c r="BP176" s="570"/>
      <c r="BQ176" s="570"/>
      <c r="BR176" s="570"/>
      <c r="BS176" s="570"/>
      <c r="BT176" s="570"/>
      <c r="BU176" s="570"/>
      <c r="BV176" s="570"/>
      <c r="BW176" s="570"/>
      <c r="BX176" s="570"/>
      <c r="BY176" s="570"/>
      <c r="BZ176" s="571"/>
      <c r="CA176" s="571"/>
    </row>
    <row r="177" spans="2:79">
      <c r="B177" s="572">
        <v>162</v>
      </c>
      <c r="C177" s="308"/>
      <c r="D177" s="307"/>
      <c r="E177" s="307"/>
      <c r="F177" s="305"/>
      <c r="G177" s="305"/>
      <c r="H177" s="292"/>
      <c r="I177" s="574"/>
      <c r="J177" s="573"/>
      <c r="K177" s="307"/>
      <c r="L177" s="292"/>
      <c r="M177" s="308"/>
      <c r="N177" s="292"/>
      <c r="O177" s="308"/>
      <c r="P177" s="575"/>
      <c r="Q177" s="576"/>
      <c r="R177" s="308"/>
      <c r="S177" s="575"/>
      <c r="T177" s="576"/>
      <c r="U177" s="308"/>
      <c r="V177" s="575"/>
      <c r="W177" s="576"/>
      <c r="X177" s="308"/>
      <c r="Y177" s="575"/>
      <c r="Z177" s="576"/>
      <c r="AA177" s="308"/>
      <c r="AB177" s="575"/>
      <c r="AC177" s="576"/>
      <c r="AD177" s="308"/>
      <c r="AE177" s="575"/>
      <c r="AF177" s="308"/>
      <c r="AG177" s="575"/>
      <c r="AH177" s="308"/>
      <c r="AI177" s="575"/>
      <c r="AJ177" s="308"/>
      <c r="AK177" s="305"/>
      <c r="AL177" s="577"/>
      <c r="AM177" s="306"/>
      <c r="AN177" s="308"/>
      <c r="AO177" s="573"/>
      <c r="AP177" s="305"/>
      <c r="AQ177" s="308"/>
      <c r="AR177" s="573"/>
      <c r="AS177" s="578"/>
      <c r="AT177" s="577"/>
      <c r="AU177" s="579"/>
      <c r="AV177" s="578"/>
      <c r="AW177" s="308"/>
      <c r="AX177" s="307"/>
      <c r="AY177" s="307"/>
      <c r="AZ177" s="307"/>
      <c r="BA177" s="307"/>
      <c r="BB177" s="307"/>
      <c r="BC177" s="305"/>
      <c r="BD177" s="292"/>
      <c r="BE177" s="297"/>
      <c r="BF177" s="297"/>
      <c r="BG177" s="569"/>
      <c r="BH177" s="570"/>
      <c r="BI177" s="570"/>
      <c r="BJ177" s="570"/>
      <c r="BK177" s="570"/>
      <c r="BL177" s="570"/>
      <c r="BM177" s="570"/>
      <c r="BN177" s="570"/>
      <c r="BO177" s="570"/>
      <c r="BP177" s="570"/>
      <c r="BQ177" s="570"/>
      <c r="BR177" s="570"/>
      <c r="BS177" s="570"/>
      <c r="BT177" s="570"/>
      <c r="BU177" s="570"/>
      <c r="BV177" s="570"/>
      <c r="BW177" s="570"/>
      <c r="BX177" s="570"/>
      <c r="BY177" s="570"/>
      <c r="BZ177" s="571"/>
      <c r="CA177" s="571"/>
    </row>
    <row r="178" spans="2:79">
      <c r="B178" s="566">
        <v>163</v>
      </c>
      <c r="C178" s="308"/>
      <c r="D178" s="307"/>
      <c r="E178" s="307"/>
      <c r="F178" s="305"/>
      <c r="G178" s="305"/>
      <c r="H178" s="292"/>
      <c r="I178" s="574"/>
      <c r="J178" s="573"/>
      <c r="K178" s="307"/>
      <c r="L178" s="292"/>
      <c r="M178" s="308"/>
      <c r="N178" s="292"/>
      <c r="O178" s="308"/>
      <c r="P178" s="575"/>
      <c r="Q178" s="576"/>
      <c r="R178" s="308"/>
      <c r="S178" s="575"/>
      <c r="T178" s="576"/>
      <c r="U178" s="308"/>
      <c r="V178" s="575"/>
      <c r="W178" s="576"/>
      <c r="X178" s="308"/>
      <c r="Y178" s="575"/>
      <c r="Z178" s="576"/>
      <c r="AA178" s="308"/>
      <c r="AB178" s="575"/>
      <c r="AC178" s="576"/>
      <c r="AD178" s="308"/>
      <c r="AE178" s="575"/>
      <c r="AF178" s="308"/>
      <c r="AG178" s="575"/>
      <c r="AH178" s="308"/>
      <c r="AI178" s="575"/>
      <c r="AJ178" s="308"/>
      <c r="AK178" s="305"/>
      <c r="AL178" s="577"/>
      <c r="AM178" s="306"/>
      <c r="AN178" s="308"/>
      <c r="AO178" s="573"/>
      <c r="AP178" s="305"/>
      <c r="AQ178" s="308"/>
      <c r="AR178" s="573"/>
      <c r="AS178" s="578"/>
      <c r="AT178" s="577"/>
      <c r="AU178" s="579"/>
      <c r="AV178" s="578"/>
      <c r="AW178" s="308"/>
      <c r="AX178" s="307"/>
      <c r="AY178" s="307"/>
      <c r="AZ178" s="307"/>
      <c r="BA178" s="307"/>
      <c r="BB178" s="307"/>
      <c r="BC178" s="305"/>
      <c r="BD178" s="292"/>
      <c r="BE178" s="297"/>
      <c r="BF178" s="297"/>
      <c r="BG178" s="569"/>
      <c r="BH178" s="570"/>
      <c r="BI178" s="570"/>
      <c r="BJ178" s="570"/>
      <c r="BK178" s="570"/>
      <c r="BL178" s="570"/>
      <c r="BM178" s="570"/>
      <c r="BN178" s="570"/>
      <c r="BO178" s="570"/>
      <c r="BP178" s="570"/>
      <c r="BQ178" s="570"/>
      <c r="BR178" s="570"/>
      <c r="BS178" s="570"/>
      <c r="BT178" s="570"/>
      <c r="BU178" s="570"/>
      <c r="BV178" s="570"/>
      <c r="BW178" s="570"/>
      <c r="BX178" s="570"/>
      <c r="BY178" s="570"/>
      <c r="BZ178" s="571"/>
      <c r="CA178" s="571"/>
    </row>
    <row r="179" spans="2:79">
      <c r="B179" s="572">
        <v>164</v>
      </c>
      <c r="C179" s="308"/>
      <c r="D179" s="307"/>
      <c r="E179" s="307"/>
      <c r="F179" s="305"/>
      <c r="G179" s="305"/>
      <c r="H179" s="292"/>
      <c r="I179" s="574"/>
      <c r="J179" s="573"/>
      <c r="K179" s="307"/>
      <c r="L179" s="292"/>
      <c r="M179" s="308"/>
      <c r="N179" s="292"/>
      <c r="O179" s="308"/>
      <c r="P179" s="575"/>
      <c r="Q179" s="576"/>
      <c r="R179" s="308"/>
      <c r="S179" s="575"/>
      <c r="T179" s="576"/>
      <c r="U179" s="308"/>
      <c r="V179" s="575"/>
      <c r="W179" s="576"/>
      <c r="X179" s="308"/>
      <c r="Y179" s="575"/>
      <c r="Z179" s="576"/>
      <c r="AA179" s="308"/>
      <c r="AB179" s="575"/>
      <c r="AC179" s="576"/>
      <c r="AD179" s="308"/>
      <c r="AE179" s="575"/>
      <c r="AF179" s="308"/>
      <c r="AG179" s="575"/>
      <c r="AH179" s="308"/>
      <c r="AI179" s="575"/>
      <c r="AJ179" s="308"/>
      <c r="AK179" s="305"/>
      <c r="AL179" s="577"/>
      <c r="AM179" s="306"/>
      <c r="AN179" s="308"/>
      <c r="AO179" s="573"/>
      <c r="AP179" s="305"/>
      <c r="AQ179" s="308"/>
      <c r="AR179" s="573"/>
      <c r="AS179" s="578"/>
      <c r="AT179" s="577"/>
      <c r="AU179" s="579"/>
      <c r="AV179" s="578"/>
      <c r="AW179" s="308"/>
      <c r="AX179" s="307"/>
      <c r="AY179" s="307"/>
      <c r="AZ179" s="307"/>
      <c r="BA179" s="307"/>
      <c r="BB179" s="307"/>
      <c r="BC179" s="305"/>
      <c r="BD179" s="292"/>
      <c r="BE179" s="297"/>
      <c r="BF179" s="297"/>
      <c r="BG179" s="569"/>
      <c r="BH179" s="570"/>
      <c r="BI179" s="570"/>
      <c r="BJ179" s="570"/>
      <c r="BK179" s="570"/>
      <c r="BL179" s="570"/>
      <c r="BM179" s="570"/>
      <c r="BN179" s="570"/>
      <c r="BO179" s="570"/>
      <c r="BP179" s="570"/>
      <c r="BQ179" s="570"/>
      <c r="BR179" s="570"/>
      <c r="BS179" s="570"/>
      <c r="BT179" s="570"/>
      <c r="BU179" s="570"/>
      <c r="BV179" s="570"/>
      <c r="BW179" s="570"/>
      <c r="BX179" s="570"/>
      <c r="BY179" s="570"/>
      <c r="BZ179" s="571"/>
      <c r="CA179" s="571"/>
    </row>
    <row r="180" spans="2:79">
      <c r="B180" s="566">
        <v>165</v>
      </c>
      <c r="C180" s="308"/>
      <c r="D180" s="307"/>
      <c r="E180" s="307"/>
      <c r="F180" s="305"/>
      <c r="G180" s="305"/>
      <c r="H180" s="292"/>
      <c r="I180" s="574"/>
      <c r="J180" s="573"/>
      <c r="K180" s="307"/>
      <c r="L180" s="292"/>
      <c r="M180" s="308"/>
      <c r="N180" s="292"/>
      <c r="O180" s="308"/>
      <c r="P180" s="575"/>
      <c r="Q180" s="576"/>
      <c r="R180" s="308"/>
      <c r="S180" s="575"/>
      <c r="T180" s="576"/>
      <c r="U180" s="308"/>
      <c r="V180" s="575"/>
      <c r="W180" s="576"/>
      <c r="X180" s="308"/>
      <c r="Y180" s="575"/>
      <c r="Z180" s="576"/>
      <c r="AA180" s="308"/>
      <c r="AB180" s="575"/>
      <c r="AC180" s="576"/>
      <c r="AD180" s="308"/>
      <c r="AE180" s="575"/>
      <c r="AF180" s="308"/>
      <c r="AG180" s="575"/>
      <c r="AH180" s="308"/>
      <c r="AI180" s="575"/>
      <c r="AJ180" s="308"/>
      <c r="AK180" s="305"/>
      <c r="AL180" s="577"/>
      <c r="AM180" s="306"/>
      <c r="AN180" s="308"/>
      <c r="AO180" s="573"/>
      <c r="AP180" s="305"/>
      <c r="AQ180" s="308"/>
      <c r="AR180" s="573"/>
      <c r="AS180" s="578"/>
      <c r="AT180" s="577"/>
      <c r="AU180" s="579"/>
      <c r="AV180" s="578"/>
      <c r="AW180" s="308"/>
      <c r="AX180" s="307"/>
      <c r="AY180" s="307"/>
      <c r="AZ180" s="307"/>
      <c r="BA180" s="307"/>
      <c r="BB180" s="307"/>
      <c r="BC180" s="305"/>
      <c r="BD180" s="292"/>
      <c r="BE180" s="297"/>
      <c r="BF180" s="297"/>
      <c r="BG180" s="569"/>
      <c r="BH180" s="570"/>
      <c r="BI180" s="570"/>
      <c r="BJ180" s="570"/>
      <c r="BK180" s="570"/>
      <c r="BL180" s="570"/>
      <c r="BM180" s="570"/>
      <c r="BN180" s="570"/>
      <c r="BO180" s="570"/>
      <c r="BP180" s="570"/>
      <c r="BQ180" s="570"/>
      <c r="BR180" s="570"/>
      <c r="BS180" s="570"/>
      <c r="BT180" s="570"/>
      <c r="BU180" s="570"/>
      <c r="BV180" s="570"/>
      <c r="BW180" s="570"/>
      <c r="BX180" s="570"/>
      <c r="BY180" s="570"/>
      <c r="BZ180" s="571"/>
      <c r="CA180" s="571"/>
    </row>
    <row r="181" spans="2:79">
      <c r="B181" s="572">
        <v>166</v>
      </c>
      <c r="C181" s="308"/>
      <c r="D181" s="307"/>
      <c r="E181" s="307"/>
      <c r="F181" s="305"/>
      <c r="G181" s="305"/>
      <c r="H181" s="292"/>
      <c r="I181" s="574"/>
      <c r="J181" s="573"/>
      <c r="K181" s="307"/>
      <c r="L181" s="292"/>
      <c r="M181" s="308"/>
      <c r="N181" s="292"/>
      <c r="O181" s="308"/>
      <c r="P181" s="575"/>
      <c r="Q181" s="576"/>
      <c r="R181" s="308"/>
      <c r="S181" s="575"/>
      <c r="T181" s="576"/>
      <c r="U181" s="308"/>
      <c r="V181" s="575"/>
      <c r="W181" s="576"/>
      <c r="X181" s="308"/>
      <c r="Y181" s="575"/>
      <c r="Z181" s="576"/>
      <c r="AA181" s="308"/>
      <c r="AB181" s="575"/>
      <c r="AC181" s="576"/>
      <c r="AD181" s="308"/>
      <c r="AE181" s="575"/>
      <c r="AF181" s="308"/>
      <c r="AG181" s="575"/>
      <c r="AH181" s="308"/>
      <c r="AI181" s="575"/>
      <c r="AJ181" s="308"/>
      <c r="AK181" s="305"/>
      <c r="AL181" s="577"/>
      <c r="AM181" s="306"/>
      <c r="AN181" s="308"/>
      <c r="AO181" s="573"/>
      <c r="AP181" s="305"/>
      <c r="AQ181" s="308"/>
      <c r="AR181" s="573"/>
      <c r="AS181" s="578"/>
      <c r="AT181" s="577"/>
      <c r="AU181" s="579"/>
      <c r="AV181" s="578"/>
      <c r="AW181" s="308"/>
      <c r="AX181" s="307"/>
      <c r="AY181" s="307"/>
      <c r="AZ181" s="307"/>
      <c r="BA181" s="307"/>
      <c r="BB181" s="307"/>
      <c r="BC181" s="305"/>
      <c r="BD181" s="292"/>
      <c r="BE181" s="297"/>
      <c r="BF181" s="297"/>
      <c r="BG181" s="569"/>
      <c r="BH181" s="570"/>
      <c r="BI181" s="570"/>
      <c r="BJ181" s="570"/>
      <c r="BK181" s="570"/>
      <c r="BL181" s="570"/>
      <c r="BM181" s="570"/>
      <c r="BN181" s="570"/>
      <c r="BO181" s="570"/>
      <c r="BP181" s="570"/>
      <c r="BQ181" s="570"/>
      <c r="BR181" s="570"/>
      <c r="BS181" s="570"/>
      <c r="BT181" s="570"/>
      <c r="BU181" s="570"/>
      <c r="BV181" s="570"/>
      <c r="BW181" s="570"/>
      <c r="BX181" s="570"/>
      <c r="BY181" s="570"/>
      <c r="BZ181" s="571"/>
      <c r="CA181" s="571"/>
    </row>
    <row r="182" spans="2:79">
      <c r="B182" s="566">
        <v>167</v>
      </c>
      <c r="C182" s="308"/>
      <c r="D182" s="307"/>
      <c r="E182" s="307"/>
      <c r="F182" s="305"/>
      <c r="G182" s="305"/>
      <c r="H182" s="292"/>
      <c r="I182" s="574"/>
      <c r="J182" s="573"/>
      <c r="K182" s="307"/>
      <c r="L182" s="292"/>
      <c r="M182" s="308"/>
      <c r="N182" s="292"/>
      <c r="O182" s="308"/>
      <c r="P182" s="575"/>
      <c r="Q182" s="576"/>
      <c r="R182" s="308"/>
      <c r="S182" s="575"/>
      <c r="T182" s="576"/>
      <c r="U182" s="308"/>
      <c r="V182" s="575"/>
      <c r="W182" s="576"/>
      <c r="X182" s="308"/>
      <c r="Y182" s="575"/>
      <c r="Z182" s="576"/>
      <c r="AA182" s="308"/>
      <c r="AB182" s="575"/>
      <c r="AC182" s="576"/>
      <c r="AD182" s="308"/>
      <c r="AE182" s="575"/>
      <c r="AF182" s="308"/>
      <c r="AG182" s="575"/>
      <c r="AH182" s="308"/>
      <c r="AI182" s="575"/>
      <c r="AJ182" s="308"/>
      <c r="AK182" s="305"/>
      <c r="AL182" s="577"/>
      <c r="AM182" s="306"/>
      <c r="AN182" s="308"/>
      <c r="AO182" s="573"/>
      <c r="AP182" s="305"/>
      <c r="AQ182" s="308"/>
      <c r="AR182" s="573"/>
      <c r="AS182" s="578"/>
      <c r="AT182" s="577"/>
      <c r="AU182" s="579"/>
      <c r="AV182" s="578"/>
      <c r="AW182" s="308"/>
      <c r="AX182" s="307"/>
      <c r="AY182" s="307"/>
      <c r="AZ182" s="307"/>
      <c r="BA182" s="307"/>
      <c r="BB182" s="307"/>
      <c r="BC182" s="305"/>
      <c r="BD182" s="292"/>
      <c r="BE182" s="297"/>
      <c r="BF182" s="297"/>
      <c r="BG182" s="569"/>
      <c r="BH182" s="570"/>
      <c r="BI182" s="570"/>
      <c r="BJ182" s="570"/>
      <c r="BK182" s="570"/>
      <c r="BL182" s="570"/>
      <c r="BM182" s="570"/>
      <c r="BN182" s="570"/>
      <c r="BO182" s="570"/>
      <c r="BP182" s="570"/>
      <c r="BQ182" s="570"/>
      <c r="BR182" s="570"/>
      <c r="BS182" s="570"/>
      <c r="BT182" s="570"/>
      <c r="BU182" s="570"/>
      <c r="BV182" s="570"/>
      <c r="BW182" s="570"/>
      <c r="BX182" s="570"/>
      <c r="BY182" s="570"/>
      <c r="BZ182" s="571"/>
      <c r="CA182" s="571"/>
    </row>
    <row r="183" spans="2:79">
      <c r="B183" s="572">
        <v>168</v>
      </c>
      <c r="C183" s="308"/>
      <c r="D183" s="307"/>
      <c r="E183" s="307"/>
      <c r="F183" s="305"/>
      <c r="G183" s="305"/>
      <c r="H183" s="292"/>
      <c r="I183" s="574"/>
      <c r="J183" s="573"/>
      <c r="K183" s="307"/>
      <c r="L183" s="292"/>
      <c r="M183" s="308"/>
      <c r="N183" s="292"/>
      <c r="O183" s="308"/>
      <c r="P183" s="575"/>
      <c r="Q183" s="576"/>
      <c r="R183" s="308"/>
      <c r="S183" s="575"/>
      <c r="T183" s="576"/>
      <c r="U183" s="308"/>
      <c r="V183" s="575"/>
      <c r="W183" s="576"/>
      <c r="X183" s="308"/>
      <c r="Y183" s="575"/>
      <c r="Z183" s="576"/>
      <c r="AA183" s="308"/>
      <c r="AB183" s="575"/>
      <c r="AC183" s="576"/>
      <c r="AD183" s="308"/>
      <c r="AE183" s="575"/>
      <c r="AF183" s="308"/>
      <c r="AG183" s="575"/>
      <c r="AH183" s="308"/>
      <c r="AI183" s="575"/>
      <c r="AJ183" s="308"/>
      <c r="AK183" s="305"/>
      <c r="AL183" s="577"/>
      <c r="AM183" s="306"/>
      <c r="AN183" s="308"/>
      <c r="AO183" s="573"/>
      <c r="AP183" s="305"/>
      <c r="AQ183" s="308"/>
      <c r="AR183" s="573"/>
      <c r="AS183" s="578"/>
      <c r="AT183" s="577"/>
      <c r="AU183" s="579"/>
      <c r="AV183" s="578"/>
      <c r="AW183" s="308"/>
      <c r="AX183" s="307"/>
      <c r="AY183" s="307"/>
      <c r="AZ183" s="307"/>
      <c r="BA183" s="307"/>
      <c r="BB183" s="307"/>
      <c r="BC183" s="305"/>
      <c r="BD183" s="292"/>
      <c r="BE183" s="297"/>
      <c r="BF183" s="297"/>
      <c r="BG183" s="569"/>
      <c r="BH183" s="570"/>
      <c r="BI183" s="570"/>
      <c r="BJ183" s="570"/>
      <c r="BK183" s="570"/>
      <c r="BL183" s="570"/>
      <c r="BM183" s="570"/>
      <c r="BN183" s="570"/>
      <c r="BO183" s="570"/>
      <c r="BP183" s="570"/>
      <c r="BQ183" s="570"/>
      <c r="BR183" s="570"/>
      <c r="BS183" s="570"/>
      <c r="BT183" s="570"/>
      <c r="BU183" s="570"/>
      <c r="BV183" s="570"/>
      <c r="BW183" s="570"/>
      <c r="BX183" s="570"/>
      <c r="BY183" s="570"/>
      <c r="BZ183" s="571"/>
      <c r="CA183" s="571"/>
    </row>
    <row r="184" spans="2:79">
      <c r="B184" s="566">
        <v>169</v>
      </c>
      <c r="C184" s="308"/>
      <c r="D184" s="307"/>
      <c r="E184" s="307"/>
      <c r="F184" s="305"/>
      <c r="G184" s="305"/>
      <c r="H184" s="292"/>
      <c r="I184" s="574"/>
      <c r="J184" s="573"/>
      <c r="K184" s="307"/>
      <c r="L184" s="292"/>
      <c r="M184" s="308"/>
      <c r="N184" s="292"/>
      <c r="O184" s="308"/>
      <c r="P184" s="575"/>
      <c r="Q184" s="576"/>
      <c r="R184" s="308"/>
      <c r="S184" s="575"/>
      <c r="T184" s="576"/>
      <c r="U184" s="308"/>
      <c r="V184" s="575"/>
      <c r="W184" s="576"/>
      <c r="X184" s="308"/>
      <c r="Y184" s="575"/>
      <c r="Z184" s="576"/>
      <c r="AA184" s="308"/>
      <c r="AB184" s="575"/>
      <c r="AC184" s="576"/>
      <c r="AD184" s="308"/>
      <c r="AE184" s="575"/>
      <c r="AF184" s="308"/>
      <c r="AG184" s="575"/>
      <c r="AH184" s="308"/>
      <c r="AI184" s="575"/>
      <c r="AJ184" s="308"/>
      <c r="AK184" s="305"/>
      <c r="AL184" s="577"/>
      <c r="AM184" s="306"/>
      <c r="AN184" s="308"/>
      <c r="AO184" s="573"/>
      <c r="AP184" s="305"/>
      <c r="AQ184" s="308"/>
      <c r="AR184" s="573"/>
      <c r="AS184" s="578"/>
      <c r="AT184" s="577"/>
      <c r="AU184" s="579"/>
      <c r="AV184" s="578"/>
      <c r="AW184" s="308"/>
      <c r="AX184" s="307"/>
      <c r="AY184" s="307"/>
      <c r="AZ184" s="307"/>
      <c r="BA184" s="307"/>
      <c r="BB184" s="307"/>
      <c r="BC184" s="305"/>
      <c r="BD184" s="292"/>
      <c r="BE184" s="297"/>
      <c r="BF184" s="297"/>
      <c r="BG184" s="569"/>
      <c r="BH184" s="570"/>
      <c r="BI184" s="570"/>
      <c r="BJ184" s="570"/>
      <c r="BK184" s="570"/>
      <c r="BL184" s="570"/>
      <c r="BM184" s="570"/>
      <c r="BN184" s="570"/>
      <c r="BO184" s="570"/>
      <c r="BP184" s="570"/>
      <c r="BQ184" s="570"/>
      <c r="BR184" s="570"/>
      <c r="BS184" s="570"/>
      <c r="BT184" s="570"/>
      <c r="BU184" s="570"/>
      <c r="BV184" s="570"/>
      <c r="BW184" s="570"/>
      <c r="BX184" s="570"/>
      <c r="BY184" s="570"/>
      <c r="BZ184" s="571"/>
      <c r="CA184" s="571"/>
    </row>
    <row r="185" spans="2:79">
      <c r="B185" s="572">
        <v>170</v>
      </c>
      <c r="C185" s="308"/>
      <c r="D185" s="307"/>
      <c r="E185" s="307"/>
      <c r="F185" s="305"/>
      <c r="G185" s="305"/>
      <c r="H185" s="292"/>
      <c r="I185" s="574"/>
      <c r="J185" s="573"/>
      <c r="K185" s="307"/>
      <c r="L185" s="292"/>
      <c r="M185" s="308"/>
      <c r="N185" s="292"/>
      <c r="O185" s="308"/>
      <c r="P185" s="575"/>
      <c r="Q185" s="576"/>
      <c r="R185" s="308"/>
      <c r="S185" s="575"/>
      <c r="T185" s="576"/>
      <c r="U185" s="308"/>
      <c r="V185" s="575"/>
      <c r="W185" s="576"/>
      <c r="X185" s="308"/>
      <c r="Y185" s="575"/>
      <c r="Z185" s="576"/>
      <c r="AA185" s="308"/>
      <c r="AB185" s="575"/>
      <c r="AC185" s="576"/>
      <c r="AD185" s="308"/>
      <c r="AE185" s="575"/>
      <c r="AF185" s="308"/>
      <c r="AG185" s="575"/>
      <c r="AH185" s="308"/>
      <c r="AI185" s="575"/>
      <c r="AJ185" s="308"/>
      <c r="AK185" s="305"/>
      <c r="AL185" s="577"/>
      <c r="AM185" s="306"/>
      <c r="AN185" s="308"/>
      <c r="AO185" s="573"/>
      <c r="AP185" s="305"/>
      <c r="AQ185" s="308"/>
      <c r="AR185" s="573"/>
      <c r="AS185" s="578"/>
      <c r="AT185" s="577"/>
      <c r="AU185" s="579"/>
      <c r="AV185" s="578"/>
      <c r="AW185" s="308"/>
      <c r="AX185" s="307"/>
      <c r="AY185" s="307"/>
      <c r="AZ185" s="307"/>
      <c r="BA185" s="307"/>
      <c r="BB185" s="307"/>
      <c r="BC185" s="305"/>
      <c r="BD185" s="292"/>
      <c r="BE185" s="297"/>
      <c r="BF185" s="297"/>
      <c r="BG185" s="569"/>
      <c r="BH185" s="570"/>
      <c r="BI185" s="570"/>
      <c r="BJ185" s="570"/>
      <c r="BK185" s="570"/>
      <c r="BL185" s="570"/>
      <c r="BM185" s="570"/>
      <c r="BN185" s="570"/>
      <c r="BO185" s="570"/>
      <c r="BP185" s="570"/>
      <c r="BQ185" s="570"/>
      <c r="BR185" s="570"/>
      <c r="BS185" s="570"/>
      <c r="BT185" s="570"/>
      <c r="BU185" s="570"/>
      <c r="BV185" s="570"/>
      <c r="BW185" s="570"/>
      <c r="BX185" s="570"/>
      <c r="BY185" s="570"/>
      <c r="BZ185" s="571"/>
      <c r="CA185" s="571"/>
    </row>
    <row r="186" spans="2:79">
      <c r="B186" s="566">
        <v>171</v>
      </c>
      <c r="C186" s="308"/>
      <c r="D186" s="307"/>
      <c r="E186" s="307"/>
      <c r="F186" s="305"/>
      <c r="G186" s="305"/>
      <c r="H186" s="292"/>
      <c r="I186" s="574"/>
      <c r="J186" s="573"/>
      <c r="K186" s="307"/>
      <c r="L186" s="292"/>
      <c r="M186" s="308"/>
      <c r="N186" s="292"/>
      <c r="O186" s="308"/>
      <c r="P186" s="575"/>
      <c r="Q186" s="576"/>
      <c r="R186" s="308"/>
      <c r="S186" s="575"/>
      <c r="T186" s="576"/>
      <c r="U186" s="308"/>
      <c r="V186" s="575"/>
      <c r="W186" s="576"/>
      <c r="X186" s="308"/>
      <c r="Y186" s="575"/>
      <c r="Z186" s="576"/>
      <c r="AA186" s="308"/>
      <c r="AB186" s="575"/>
      <c r="AC186" s="576"/>
      <c r="AD186" s="308"/>
      <c r="AE186" s="575"/>
      <c r="AF186" s="308"/>
      <c r="AG186" s="575"/>
      <c r="AH186" s="308"/>
      <c r="AI186" s="575"/>
      <c r="AJ186" s="308"/>
      <c r="AK186" s="305"/>
      <c r="AL186" s="577"/>
      <c r="AM186" s="306"/>
      <c r="AN186" s="308"/>
      <c r="AO186" s="573"/>
      <c r="AP186" s="305"/>
      <c r="AQ186" s="308"/>
      <c r="AR186" s="573"/>
      <c r="AS186" s="578"/>
      <c r="AT186" s="577"/>
      <c r="AU186" s="579"/>
      <c r="AV186" s="578"/>
      <c r="AW186" s="308"/>
      <c r="AX186" s="307"/>
      <c r="AY186" s="307"/>
      <c r="AZ186" s="307"/>
      <c r="BA186" s="307"/>
      <c r="BB186" s="307"/>
      <c r="BC186" s="305"/>
      <c r="BD186" s="292"/>
      <c r="BE186" s="297"/>
      <c r="BF186" s="297"/>
      <c r="BG186" s="569"/>
      <c r="BH186" s="570"/>
      <c r="BI186" s="570"/>
      <c r="BJ186" s="570"/>
      <c r="BK186" s="570"/>
      <c r="BL186" s="570"/>
      <c r="BM186" s="570"/>
      <c r="BN186" s="570"/>
      <c r="BO186" s="570"/>
      <c r="BP186" s="570"/>
      <c r="BQ186" s="570"/>
      <c r="BR186" s="570"/>
      <c r="BS186" s="570"/>
      <c r="BT186" s="570"/>
      <c r="BU186" s="570"/>
      <c r="BV186" s="570"/>
      <c r="BW186" s="570"/>
      <c r="BX186" s="570"/>
      <c r="BY186" s="570"/>
      <c r="BZ186" s="571"/>
      <c r="CA186" s="571"/>
    </row>
    <row r="187" spans="2:79">
      <c r="B187" s="572">
        <v>172</v>
      </c>
      <c r="C187" s="308"/>
      <c r="D187" s="307"/>
      <c r="E187" s="307"/>
      <c r="F187" s="305"/>
      <c r="G187" s="305"/>
      <c r="H187" s="292"/>
      <c r="I187" s="574"/>
      <c r="J187" s="573"/>
      <c r="K187" s="307"/>
      <c r="L187" s="292"/>
      <c r="M187" s="308"/>
      <c r="N187" s="292"/>
      <c r="O187" s="308"/>
      <c r="P187" s="575"/>
      <c r="Q187" s="576"/>
      <c r="R187" s="308"/>
      <c r="S187" s="575"/>
      <c r="T187" s="576"/>
      <c r="U187" s="308"/>
      <c r="V187" s="575"/>
      <c r="W187" s="576"/>
      <c r="X187" s="308"/>
      <c r="Y187" s="575"/>
      <c r="Z187" s="576"/>
      <c r="AA187" s="308"/>
      <c r="AB187" s="575"/>
      <c r="AC187" s="576"/>
      <c r="AD187" s="308"/>
      <c r="AE187" s="575"/>
      <c r="AF187" s="308"/>
      <c r="AG187" s="575"/>
      <c r="AH187" s="308"/>
      <c r="AI187" s="575"/>
      <c r="AJ187" s="308"/>
      <c r="AK187" s="305"/>
      <c r="AL187" s="577"/>
      <c r="AM187" s="306"/>
      <c r="AN187" s="308"/>
      <c r="AO187" s="573"/>
      <c r="AP187" s="305"/>
      <c r="AQ187" s="308"/>
      <c r="AR187" s="573"/>
      <c r="AS187" s="578"/>
      <c r="AT187" s="577"/>
      <c r="AU187" s="579"/>
      <c r="AV187" s="578"/>
      <c r="AW187" s="308"/>
      <c r="AX187" s="307"/>
      <c r="AY187" s="307"/>
      <c r="AZ187" s="307"/>
      <c r="BA187" s="307"/>
      <c r="BB187" s="307"/>
      <c r="BC187" s="305"/>
      <c r="BD187" s="292"/>
      <c r="BE187" s="297"/>
      <c r="BF187" s="297"/>
      <c r="BG187" s="569"/>
      <c r="BH187" s="570"/>
      <c r="BI187" s="570"/>
      <c r="BJ187" s="570"/>
      <c r="BK187" s="570"/>
      <c r="BL187" s="570"/>
      <c r="BM187" s="570"/>
      <c r="BN187" s="570"/>
      <c r="BO187" s="570"/>
      <c r="BP187" s="570"/>
      <c r="BQ187" s="570"/>
      <c r="BR187" s="570"/>
      <c r="BS187" s="570"/>
      <c r="BT187" s="570"/>
      <c r="BU187" s="570"/>
      <c r="BV187" s="570"/>
      <c r="BW187" s="570"/>
      <c r="BX187" s="570"/>
      <c r="BY187" s="570"/>
      <c r="BZ187" s="571"/>
      <c r="CA187" s="571"/>
    </row>
    <row r="188" spans="2:79">
      <c r="B188" s="566">
        <v>173</v>
      </c>
      <c r="C188" s="308"/>
      <c r="D188" s="307"/>
      <c r="E188" s="307"/>
      <c r="F188" s="305"/>
      <c r="G188" s="305"/>
      <c r="H188" s="292"/>
      <c r="I188" s="574"/>
      <c r="J188" s="573"/>
      <c r="K188" s="307"/>
      <c r="L188" s="292"/>
      <c r="M188" s="308"/>
      <c r="N188" s="292"/>
      <c r="O188" s="308"/>
      <c r="P188" s="575"/>
      <c r="Q188" s="576"/>
      <c r="R188" s="308"/>
      <c r="S188" s="575"/>
      <c r="T188" s="576"/>
      <c r="U188" s="308"/>
      <c r="V188" s="575"/>
      <c r="W188" s="576"/>
      <c r="X188" s="308"/>
      <c r="Y188" s="575"/>
      <c r="Z188" s="576"/>
      <c r="AA188" s="308"/>
      <c r="AB188" s="575"/>
      <c r="AC188" s="576"/>
      <c r="AD188" s="308"/>
      <c r="AE188" s="575"/>
      <c r="AF188" s="308"/>
      <c r="AG188" s="575"/>
      <c r="AH188" s="308"/>
      <c r="AI188" s="575"/>
      <c r="AJ188" s="308"/>
      <c r="AK188" s="305"/>
      <c r="AL188" s="577"/>
      <c r="AM188" s="306"/>
      <c r="AN188" s="308"/>
      <c r="AO188" s="573"/>
      <c r="AP188" s="305"/>
      <c r="AQ188" s="308"/>
      <c r="AR188" s="573"/>
      <c r="AS188" s="578"/>
      <c r="AT188" s="577"/>
      <c r="AU188" s="579"/>
      <c r="AV188" s="578"/>
      <c r="AW188" s="308"/>
      <c r="AX188" s="307"/>
      <c r="AY188" s="307"/>
      <c r="AZ188" s="307"/>
      <c r="BA188" s="307"/>
      <c r="BB188" s="307"/>
      <c r="BC188" s="305"/>
      <c r="BD188" s="292"/>
      <c r="BE188" s="297"/>
      <c r="BF188" s="297"/>
      <c r="BG188" s="569"/>
      <c r="BH188" s="570"/>
      <c r="BI188" s="570"/>
      <c r="BJ188" s="570"/>
      <c r="BK188" s="570"/>
      <c r="BL188" s="570"/>
      <c r="BM188" s="570"/>
      <c r="BN188" s="570"/>
      <c r="BO188" s="570"/>
      <c r="BP188" s="570"/>
      <c r="BQ188" s="570"/>
      <c r="BR188" s="570"/>
      <c r="BS188" s="570"/>
      <c r="BT188" s="570"/>
      <c r="BU188" s="570"/>
      <c r="BV188" s="570"/>
      <c r="BW188" s="570"/>
      <c r="BX188" s="570"/>
      <c r="BY188" s="570"/>
      <c r="BZ188" s="571"/>
      <c r="CA188" s="571"/>
    </row>
    <row r="189" spans="2:79">
      <c r="B189" s="572">
        <v>174</v>
      </c>
      <c r="C189" s="308"/>
      <c r="D189" s="307"/>
      <c r="E189" s="307"/>
      <c r="F189" s="305"/>
      <c r="G189" s="305"/>
      <c r="H189" s="292"/>
      <c r="I189" s="574"/>
      <c r="J189" s="573"/>
      <c r="K189" s="307"/>
      <c r="L189" s="292"/>
      <c r="M189" s="308"/>
      <c r="N189" s="292"/>
      <c r="O189" s="308"/>
      <c r="P189" s="575"/>
      <c r="Q189" s="576"/>
      <c r="R189" s="308"/>
      <c r="S189" s="575"/>
      <c r="T189" s="576"/>
      <c r="U189" s="308"/>
      <c r="V189" s="575"/>
      <c r="W189" s="576"/>
      <c r="X189" s="308"/>
      <c r="Y189" s="575"/>
      <c r="Z189" s="576"/>
      <c r="AA189" s="308"/>
      <c r="AB189" s="575"/>
      <c r="AC189" s="576"/>
      <c r="AD189" s="308"/>
      <c r="AE189" s="575"/>
      <c r="AF189" s="308"/>
      <c r="AG189" s="575"/>
      <c r="AH189" s="308"/>
      <c r="AI189" s="575"/>
      <c r="AJ189" s="308"/>
      <c r="AK189" s="305"/>
      <c r="AL189" s="577"/>
      <c r="AM189" s="306"/>
      <c r="AN189" s="308"/>
      <c r="AO189" s="573"/>
      <c r="AP189" s="305"/>
      <c r="AQ189" s="308"/>
      <c r="AR189" s="573"/>
      <c r="AS189" s="578"/>
      <c r="AT189" s="577"/>
      <c r="AU189" s="579"/>
      <c r="AV189" s="578"/>
      <c r="AW189" s="308"/>
      <c r="AX189" s="307"/>
      <c r="AY189" s="307"/>
      <c r="AZ189" s="307"/>
      <c r="BA189" s="307"/>
      <c r="BB189" s="307"/>
      <c r="BC189" s="305"/>
      <c r="BD189" s="292"/>
      <c r="BE189" s="297"/>
      <c r="BF189" s="297"/>
      <c r="BG189" s="569"/>
      <c r="BH189" s="570"/>
      <c r="BI189" s="570"/>
      <c r="BJ189" s="570"/>
      <c r="BK189" s="570"/>
      <c r="BL189" s="570"/>
      <c r="BM189" s="570"/>
      <c r="BN189" s="570"/>
      <c r="BO189" s="570"/>
      <c r="BP189" s="570"/>
      <c r="BQ189" s="570"/>
      <c r="BR189" s="570"/>
      <c r="BS189" s="570"/>
      <c r="BT189" s="570"/>
      <c r="BU189" s="570"/>
      <c r="BV189" s="570"/>
      <c r="BW189" s="570"/>
      <c r="BX189" s="570"/>
      <c r="BY189" s="570"/>
      <c r="BZ189" s="571"/>
      <c r="CA189" s="571"/>
    </row>
    <row r="190" spans="2:79">
      <c r="B190" s="566">
        <v>175</v>
      </c>
      <c r="C190" s="308"/>
      <c r="D190" s="307"/>
      <c r="E190" s="307"/>
      <c r="F190" s="305"/>
      <c r="G190" s="305"/>
      <c r="H190" s="292"/>
      <c r="I190" s="574"/>
      <c r="J190" s="573"/>
      <c r="K190" s="307"/>
      <c r="L190" s="292"/>
      <c r="M190" s="308"/>
      <c r="N190" s="292"/>
      <c r="O190" s="308"/>
      <c r="P190" s="575"/>
      <c r="Q190" s="576"/>
      <c r="R190" s="308"/>
      <c r="S190" s="575"/>
      <c r="T190" s="576"/>
      <c r="U190" s="308"/>
      <c r="V190" s="575"/>
      <c r="W190" s="576"/>
      <c r="X190" s="308"/>
      <c r="Y190" s="575"/>
      <c r="Z190" s="576"/>
      <c r="AA190" s="308"/>
      <c r="AB190" s="575"/>
      <c r="AC190" s="576"/>
      <c r="AD190" s="308"/>
      <c r="AE190" s="575"/>
      <c r="AF190" s="308"/>
      <c r="AG190" s="575"/>
      <c r="AH190" s="308"/>
      <c r="AI190" s="575"/>
      <c r="AJ190" s="308"/>
      <c r="AK190" s="305"/>
      <c r="AL190" s="577"/>
      <c r="AM190" s="306"/>
      <c r="AN190" s="308"/>
      <c r="AO190" s="573"/>
      <c r="AP190" s="305"/>
      <c r="AQ190" s="308"/>
      <c r="AR190" s="573"/>
      <c r="AS190" s="578"/>
      <c r="AT190" s="577"/>
      <c r="AU190" s="579"/>
      <c r="AV190" s="578"/>
      <c r="AW190" s="308"/>
      <c r="AX190" s="307"/>
      <c r="AY190" s="307"/>
      <c r="AZ190" s="307"/>
      <c r="BA190" s="307"/>
      <c r="BB190" s="307"/>
      <c r="BC190" s="305"/>
      <c r="BD190" s="292"/>
      <c r="BE190" s="297"/>
      <c r="BF190" s="297"/>
      <c r="BG190" s="569"/>
      <c r="BH190" s="570"/>
      <c r="BI190" s="570"/>
      <c r="BJ190" s="570"/>
      <c r="BK190" s="570"/>
      <c r="BL190" s="570"/>
      <c r="BM190" s="570"/>
      <c r="BN190" s="570"/>
      <c r="BO190" s="570"/>
      <c r="BP190" s="570"/>
      <c r="BQ190" s="570"/>
      <c r="BR190" s="570"/>
      <c r="BS190" s="570"/>
      <c r="BT190" s="570"/>
      <c r="BU190" s="570"/>
      <c r="BV190" s="570"/>
      <c r="BW190" s="570"/>
      <c r="BX190" s="570"/>
      <c r="BY190" s="570"/>
      <c r="BZ190" s="571"/>
      <c r="CA190" s="571"/>
    </row>
    <row r="191" spans="2:79">
      <c r="B191" s="572">
        <v>176</v>
      </c>
      <c r="C191" s="308"/>
      <c r="D191" s="307"/>
      <c r="E191" s="307"/>
      <c r="F191" s="305"/>
      <c r="G191" s="305"/>
      <c r="H191" s="292"/>
      <c r="I191" s="574"/>
      <c r="J191" s="573"/>
      <c r="K191" s="307"/>
      <c r="L191" s="292"/>
      <c r="M191" s="308"/>
      <c r="N191" s="292"/>
      <c r="O191" s="308"/>
      <c r="P191" s="575"/>
      <c r="Q191" s="576"/>
      <c r="R191" s="308"/>
      <c r="S191" s="575"/>
      <c r="T191" s="576"/>
      <c r="U191" s="308"/>
      <c r="V191" s="575"/>
      <c r="W191" s="576"/>
      <c r="X191" s="308"/>
      <c r="Y191" s="575"/>
      <c r="Z191" s="576"/>
      <c r="AA191" s="308"/>
      <c r="AB191" s="575"/>
      <c r="AC191" s="576"/>
      <c r="AD191" s="308"/>
      <c r="AE191" s="575"/>
      <c r="AF191" s="308"/>
      <c r="AG191" s="575"/>
      <c r="AH191" s="308"/>
      <c r="AI191" s="575"/>
      <c r="AJ191" s="308"/>
      <c r="AK191" s="305"/>
      <c r="AL191" s="577"/>
      <c r="AM191" s="306"/>
      <c r="AN191" s="308"/>
      <c r="AO191" s="573"/>
      <c r="AP191" s="305"/>
      <c r="AQ191" s="308"/>
      <c r="AR191" s="573"/>
      <c r="AS191" s="578"/>
      <c r="AT191" s="577"/>
      <c r="AU191" s="579"/>
      <c r="AV191" s="578"/>
      <c r="AW191" s="308"/>
      <c r="AX191" s="307"/>
      <c r="AY191" s="307"/>
      <c r="AZ191" s="307"/>
      <c r="BA191" s="307"/>
      <c r="BB191" s="307"/>
      <c r="BC191" s="305"/>
      <c r="BD191" s="292"/>
      <c r="BE191" s="297"/>
      <c r="BF191" s="297"/>
      <c r="BG191" s="569"/>
      <c r="BH191" s="570"/>
      <c r="BI191" s="570"/>
      <c r="BJ191" s="570"/>
      <c r="BK191" s="570"/>
      <c r="BL191" s="570"/>
      <c r="BM191" s="570"/>
      <c r="BN191" s="570"/>
      <c r="BO191" s="570"/>
      <c r="BP191" s="570"/>
      <c r="BQ191" s="570"/>
      <c r="BR191" s="570"/>
      <c r="BS191" s="570"/>
      <c r="BT191" s="570"/>
      <c r="BU191" s="570"/>
      <c r="BV191" s="570"/>
      <c r="BW191" s="570"/>
      <c r="BX191" s="570"/>
      <c r="BY191" s="570"/>
      <c r="BZ191" s="571"/>
      <c r="CA191" s="571"/>
    </row>
    <row r="192" spans="2:79">
      <c r="B192" s="566">
        <v>177</v>
      </c>
      <c r="C192" s="308"/>
      <c r="D192" s="307"/>
      <c r="E192" s="307"/>
      <c r="F192" s="305"/>
      <c r="G192" s="305"/>
      <c r="H192" s="292"/>
      <c r="I192" s="574"/>
      <c r="J192" s="573"/>
      <c r="K192" s="307"/>
      <c r="L192" s="292"/>
      <c r="M192" s="308"/>
      <c r="N192" s="292"/>
      <c r="O192" s="308"/>
      <c r="P192" s="575"/>
      <c r="Q192" s="576"/>
      <c r="R192" s="308"/>
      <c r="S192" s="575"/>
      <c r="T192" s="576"/>
      <c r="U192" s="308"/>
      <c r="V192" s="575"/>
      <c r="W192" s="576"/>
      <c r="X192" s="308"/>
      <c r="Y192" s="575"/>
      <c r="Z192" s="576"/>
      <c r="AA192" s="308"/>
      <c r="AB192" s="575"/>
      <c r="AC192" s="576"/>
      <c r="AD192" s="308"/>
      <c r="AE192" s="575"/>
      <c r="AF192" s="308"/>
      <c r="AG192" s="575"/>
      <c r="AH192" s="308"/>
      <c r="AI192" s="575"/>
      <c r="AJ192" s="308"/>
      <c r="AK192" s="305"/>
      <c r="AL192" s="577"/>
      <c r="AM192" s="306"/>
      <c r="AN192" s="308"/>
      <c r="AO192" s="573"/>
      <c r="AP192" s="305"/>
      <c r="AQ192" s="308"/>
      <c r="AR192" s="573"/>
      <c r="AS192" s="578"/>
      <c r="AT192" s="577"/>
      <c r="AU192" s="579"/>
      <c r="AV192" s="578"/>
      <c r="AW192" s="308"/>
      <c r="AX192" s="307"/>
      <c r="AY192" s="307"/>
      <c r="AZ192" s="307"/>
      <c r="BA192" s="307"/>
      <c r="BB192" s="307"/>
      <c r="BC192" s="305"/>
      <c r="BD192" s="292"/>
      <c r="BE192" s="297"/>
      <c r="BF192" s="297"/>
      <c r="BG192" s="569"/>
      <c r="BH192" s="570"/>
      <c r="BI192" s="570"/>
      <c r="BJ192" s="570"/>
      <c r="BK192" s="570"/>
      <c r="BL192" s="570"/>
      <c r="BM192" s="570"/>
      <c r="BN192" s="570"/>
      <c r="BO192" s="570"/>
      <c r="BP192" s="570"/>
      <c r="BQ192" s="570"/>
      <c r="BR192" s="570"/>
      <c r="BS192" s="570"/>
      <c r="BT192" s="570"/>
      <c r="BU192" s="570"/>
      <c r="BV192" s="570"/>
      <c r="BW192" s="570"/>
      <c r="BX192" s="570"/>
      <c r="BY192" s="570"/>
      <c r="BZ192" s="571"/>
      <c r="CA192" s="571"/>
    </row>
    <row r="193" spans="2:79">
      <c r="B193" s="572">
        <v>178</v>
      </c>
      <c r="C193" s="308"/>
      <c r="D193" s="307"/>
      <c r="E193" s="307"/>
      <c r="F193" s="305"/>
      <c r="G193" s="305"/>
      <c r="H193" s="292"/>
      <c r="I193" s="574"/>
      <c r="J193" s="573"/>
      <c r="K193" s="307"/>
      <c r="L193" s="292"/>
      <c r="M193" s="308"/>
      <c r="N193" s="292"/>
      <c r="O193" s="308"/>
      <c r="P193" s="575"/>
      <c r="Q193" s="576"/>
      <c r="R193" s="308"/>
      <c r="S193" s="575"/>
      <c r="T193" s="576"/>
      <c r="U193" s="308"/>
      <c r="V193" s="575"/>
      <c r="W193" s="576"/>
      <c r="X193" s="308"/>
      <c r="Y193" s="575"/>
      <c r="Z193" s="576"/>
      <c r="AA193" s="308"/>
      <c r="AB193" s="575"/>
      <c r="AC193" s="576"/>
      <c r="AD193" s="308"/>
      <c r="AE193" s="575"/>
      <c r="AF193" s="308"/>
      <c r="AG193" s="575"/>
      <c r="AH193" s="308"/>
      <c r="AI193" s="575"/>
      <c r="AJ193" s="308"/>
      <c r="AK193" s="305"/>
      <c r="AL193" s="577"/>
      <c r="AM193" s="306"/>
      <c r="AN193" s="308"/>
      <c r="AO193" s="573"/>
      <c r="AP193" s="305"/>
      <c r="AQ193" s="308"/>
      <c r="AR193" s="573"/>
      <c r="AS193" s="578"/>
      <c r="AT193" s="577"/>
      <c r="AU193" s="579"/>
      <c r="AV193" s="578"/>
      <c r="AW193" s="308"/>
      <c r="AX193" s="307"/>
      <c r="AY193" s="307"/>
      <c r="AZ193" s="307"/>
      <c r="BA193" s="307"/>
      <c r="BB193" s="307"/>
      <c r="BC193" s="305"/>
      <c r="BD193" s="292"/>
      <c r="BE193" s="297"/>
      <c r="BF193" s="297"/>
      <c r="BG193" s="569"/>
      <c r="BH193" s="570"/>
      <c r="BI193" s="570"/>
      <c r="BJ193" s="570"/>
      <c r="BK193" s="570"/>
      <c r="BL193" s="570"/>
      <c r="BM193" s="570"/>
      <c r="BN193" s="570"/>
      <c r="BO193" s="570"/>
      <c r="BP193" s="570"/>
      <c r="BQ193" s="570"/>
      <c r="BR193" s="570"/>
      <c r="BS193" s="570"/>
      <c r="BT193" s="570"/>
      <c r="BU193" s="570"/>
      <c r="BV193" s="570"/>
      <c r="BW193" s="570"/>
      <c r="BX193" s="570"/>
      <c r="BY193" s="570"/>
      <c r="BZ193" s="571"/>
      <c r="CA193" s="571"/>
    </row>
    <row r="194" spans="2:79">
      <c r="B194" s="566">
        <v>179</v>
      </c>
      <c r="C194" s="308"/>
      <c r="D194" s="307"/>
      <c r="E194" s="307"/>
      <c r="F194" s="305"/>
      <c r="G194" s="305"/>
      <c r="H194" s="292"/>
      <c r="I194" s="574"/>
      <c r="J194" s="573"/>
      <c r="K194" s="307"/>
      <c r="L194" s="292"/>
      <c r="M194" s="308"/>
      <c r="N194" s="292"/>
      <c r="O194" s="308"/>
      <c r="P194" s="575"/>
      <c r="Q194" s="576"/>
      <c r="R194" s="308"/>
      <c r="S194" s="575"/>
      <c r="T194" s="576"/>
      <c r="U194" s="308"/>
      <c r="V194" s="575"/>
      <c r="W194" s="576"/>
      <c r="X194" s="308"/>
      <c r="Y194" s="575"/>
      <c r="Z194" s="576"/>
      <c r="AA194" s="308"/>
      <c r="AB194" s="575"/>
      <c r="AC194" s="576"/>
      <c r="AD194" s="308"/>
      <c r="AE194" s="575"/>
      <c r="AF194" s="308"/>
      <c r="AG194" s="575"/>
      <c r="AH194" s="308"/>
      <c r="AI194" s="575"/>
      <c r="AJ194" s="308"/>
      <c r="AK194" s="305"/>
      <c r="AL194" s="577"/>
      <c r="AM194" s="306"/>
      <c r="AN194" s="308"/>
      <c r="AO194" s="573"/>
      <c r="AP194" s="305"/>
      <c r="AQ194" s="308"/>
      <c r="AR194" s="573"/>
      <c r="AS194" s="578"/>
      <c r="AT194" s="577"/>
      <c r="AU194" s="579"/>
      <c r="AV194" s="578"/>
      <c r="AW194" s="308"/>
      <c r="AX194" s="307"/>
      <c r="AY194" s="307"/>
      <c r="AZ194" s="307"/>
      <c r="BA194" s="307"/>
      <c r="BB194" s="307"/>
      <c r="BC194" s="305"/>
      <c r="BD194" s="292"/>
      <c r="BE194" s="297"/>
      <c r="BF194" s="297"/>
      <c r="BG194" s="569"/>
      <c r="BH194" s="570"/>
      <c r="BI194" s="570"/>
      <c r="BJ194" s="570"/>
      <c r="BK194" s="570"/>
      <c r="BL194" s="570"/>
      <c r="BM194" s="570"/>
      <c r="BN194" s="570"/>
      <c r="BO194" s="570"/>
      <c r="BP194" s="570"/>
      <c r="BQ194" s="570"/>
      <c r="BR194" s="570"/>
      <c r="BS194" s="570"/>
      <c r="BT194" s="570"/>
      <c r="BU194" s="570"/>
      <c r="BV194" s="570"/>
      <c r="BW194" s="570"/>
      <c r="BX194" s="570"/>
      <c r="BY194" s="570"/>
      <c r="BZ194" s="571"/>
      <c r="CA194" s="571"/>
    </row>
    <row r="195" spans="2:79">
      <c r="B195" s="572">
        <v>180</v>
      </c>
      <c r="C195" s="308"/>
      <c r="D195" s="307"/>
      <c r="E195" s="307"/>
      <c r="F195" s="305"/>
      <c r="G195" s="305"/>
      <c r="H195" s="292"/>
      <c r="I195" s="574"/>
      <c r="J195" s="573"/>
      <c r="K195" s="307"/>
      <c r="L195" s="292"/>
      <c r="M195" s="308"/>
      <c r="N195" s="292"/>
      <c r="O195" s="308"/>
      <c r="P195" s="575"/>
      <c r="Q195" s="576"/>
      <c r="R195" s="308"/>
      <c r="S195" s="575"/>
      <c r="T195" s="576"/>
      <c r="U195" s="308"/>
      <c r="V195" s="575"/>
      <c r="W195" s="576"/>
      <c r="X195" s="308"/>
      <c r="Y195" s="575"/>
      <c r="Z195" s="576"/>
      <c r="AA195" s="308"/>
      <c r="AB195" s="575"/>
      <c r="AC195" s="576"/>
      <c r="AD195" s="308"/>
      <c r="AE195" s="575"/>
      <c r="AF195" s="308"/>
      <c r="AG195" s="575"/>
      <c r="AH195" s="308"/>
      <c r="AI195" s="575"/>
      <c r="AJ195" s="308"/>
      <c r="AK195" s="305"/>
      <c r="AL195" s="577"/>
      <c r="AM195" s="306"/>
      <c r="AN195" s="308"/>
      <c r="AO195" s="573"/>
      <c r="AP195" s="305"/>
      <c r="AQ195" s="308"/>
      <c r="AR195" s="573"/>
      <c r="AS195" s="578"/>
      <c r="AT195" s="577"/>
      <c r="AU195" s="579"/>
      <c r="AV195" s="578"/>
      <c r="AW195" s="308"/>
      <c r="AX195" s="307"/>
      <c r="AY195" s="307"/>
      <c r="AZ195" s="307"/>
      <c r="BA195" s="307"/>
      <c r="BB195" s="307"/>
      <c r="BC195" s="305"/>
      <c r="BD195" s="292"/>
      <c r="BE195" s="297"/>
      <c r="BF195" s="297"/>
      <c r="BG195" s="569"/>
      <c r="BH195" s="570"/>
      <c r="BI195" s="570"/>
      <c r="BJ195" s="570"/>
      <c r="BK195" s="570"/>
      <c r="BL195" s="570"/>
      <c r="BM195" s="570"/>
      <c r="BN195" s="570"/>
      <c r="BO195" s="570"/>
      <c r="BP195" s="570"/>
      <c r="BQ195" s="570"/>
      <c r="BR195" s="570"/>
      <c r="BS195" s="570"/>
      <c r="BT195" s="570"/>
      <c r="BU195" s="570"/>
      <c r="BV195" s="570"/>
      <c r="BW195" s="570"/>
      <c r="BX195" s="570"/>
      <c r="BY195" s="570"/>
      <c r="BZ195" s="571"/>
      <c r="CA195" s="571"/>
    </row>
    <row r="196" spans="2:79">
      <c r="B196" s="566">
        <v>181</v>
      </c>
      <c r="C196" s="308"/>
      <c r="D196" s="307"/>
      <c r="E196" s="307"/>
      <c r="F196" s="305"/>
      <c r="G196" s="305"/>
      <c r="H196" s="292"/>
      <c r="I196" s="574"/>
      <c r="J196" s="573"/>
      <c r="K196" s="307"/>
      <c r="L196" s="292"/>
      <c r="M196" s="308"/>
      <c r="N196" s="292"/>
      <c r="O196" s="308"/>
      <c r="P196" s="575"/>
      <c r="Q196" s="576"/>
      <c r="R196" s="308"/>
      <c r="S196" s="575"/>
      <c r="T196" s="576"/>
      <c r="U196" s="308"/>
      <c r="V196" s="575"/>
      <c r="W196" s="576"/>
      <c r="X196" s="308"/>
      <c r="Y196" s="575"/>
      <c r="Z196" s="576"/>
      <c r="AA196" s="308"/>
      <c r="AB196" s="575"/>
      <c r="AC196" s="576"/>
      <c r="AD196" s="308"/>
      <c r="AE196" s="575"/>
      <c r="AF196" s="308"/>
      <c r="AG196" s="575"/>
      <c r="AH196" s="308"/>
      <c r="AI196" s="575"/>
      <c r="AJ196" s="308"/>
      <c r="AK196" s="305"/>
      <c r="AL196" s="577"/>
      <c r="AM196" s="306"/>
      <c r="AN196" s="308"/>
      <c r="AO196" s="573"/>
      <c r="AP196" s="305"/>
      <c r="AQ196" s="308"/>
      <c r="AR196" s="573"/>
      <c r="AS196" s="578"/>
      <c r="AT196" s="577"/>
      <c r="AU196" s="579"/>
      <c r="AV196" s="578"/>
      <c r="AW196" s="308"/>
      <c r="AX196" s="307"/>
      <c r="AY196" s="307"/>
      <c r="AZ196" s="307"/>
      <c r="BA196" s="307"/>
      <c r="BB196" s="307"/>
      <c r="BC196" s="305"/>
      <c r="BD196" s="292"/>
      <c r="BE196" s="297"/>
      <c r="BF196" s="297"/>
      <c r="BG196" s="569"/>
      <c r="BH196" s="570"/>
      <c r="BI196" s="570"/>
      <c r="BJ196" s="570"/>
      <c r="BK196" s="570"/>
      <c r="BL196" s="570"/>
      <c r="BM196" s="570"/>
      <c r="BN196" s="570"/>
      <c r="BO196" s="570"/>
      <c r="BP196" s="570"/>
      <c r="BQ196" s="570"/>
      <c r="BR196" s="570"/>
      <c r="BS196" s="570"/>
      <c r="BT196" s="570"/>
      <c r="BU196" s="570"/>
      <c r="BV196" s="570"/>
      <c r="BW196" s="570"/>
      <c r="BX196" s="570"/>
      <c r="BY196" s="570"/>
      <c r="BZ196" s="571"/>
      <c r="CA196" s="571"/>
    </row>
    <row r="197" spans="2:79">
      <c r="B197" s="572">
        <v>182</v>
      </c>
      <c r="C197" s="308"/>
      <c r="D197" s="307"/>
      <c r="E197" s="307"/>
      <c r="F197" s="305"/>
      <c r="G197" s="305"/>
      <c r="H197" s="292"/>
      <c r="I197" s="574"/>
      <c r="J197" s="573"/>
      <c r="K197" s="307"/>
      <c r="L197" s="292"/>
      <c r="M197" s="308"/>
      <c r="N197" s="292"/>
      <c r="O197" s="308"/>
      <c r="P197" s="575"/>
      <c r="Q197" s="576"/>
      <c r="R197" s="308"/>
      <c r="S197" s="575"/>
      <c r="T197" s="576"/>
      <c r="U197" s="308"/>
      <c r="V197" s="575"/>
      <c r="W197" s="576"/>
      <c r="X197" s="308"/>
      <c r="Y197" s="575"/>
      <c r="Z197" s="576"/>
      <c r="AA197" s="308"/>
      <c r="AB197" s="575"/>
      <c r="AC197" s="576"/>
      <c r="AD197" s="308"/>
      <c r="AE197" s="575"/>
      <c r="AF197" s="308"/>
      <c r="AG197" s="575"/>
      <c r="AH197" s="308"/>
      <c r="AI197" s="575"/>
      <c r="AJ197" s="308"/>
      <c r="AK197" s="305"/>
      <c r="AL197" s="577"/>
      <c r="AM197" s="306"/>
      <c r="AN197" s="308"/>
      <c r="AO197" s="573"/>
      <c r="AP197" s="305"/>
      <c r="AQ197" s="308"/>
      <c r="AR197" s="573"/>
      <c r="AS197" s="578"/>
      <c r="AT197" s="577"/>
      <c r="AU197" s="579"/>
      <c r="AV197" s="578"/>
      <c r="AW197" s="308"/>
      <c r="AX197" s="307"/>
      <c r="AY197" s="307"/>
      <c r="AZ197" s="307"/>
      <c r="BA197" s="307"/>
      <c r="BB197" s="307"/>
      <c r="BC197" s="305"/>
      <c r="BD197" s="292"/>
      <c r="BE197" s="297"/>
      <c r="BF197" s="297"/>
      <c r="BG197" s="569"/>
      <c r="BH197" s="570"/>
      <c r="BI197" s="570"/>
      <c r="BJ197" s="570"/>
      <c r="BK197" s="570"/>
      <c r="BL197" s="570"/>
      <c r="BM197" s="570"/>
      <c r="BN197" s="570"/>
      <c r="BO197" s="570"/>
      <c r="BP197" s="570"/>
      <c r="BQ197" s="570"/>
      <c r="BR197" s="570"/>
      <c r="BS197" s="570"/>
      <c r="BT197" s="570"/>
      <c r="BU197" s="570"/>
      <c r="BV197" s="570"/>
      <c r="BW197" s="570"/>
      <c r="BX197" s="570"/>
      <c r="BY197" s="570"/>
      <c r="BZ197" s="571"/>
      <c r="CA197" s="571"/>
    </row>
    <row r="198" spans="2:79">
      <c r="B198" s="566">
        <v>183</v>
      </c>
      <c r="C198" s="308"/>
      <c r="D198" s="307"/>
      <c r="E198" s="307"/>
      <c r="F198" s="305"/>
      <c r="G198" s="305"/>
      <c r="H198" s="292"/>
      <c r="I198" s="574"/>
      <c r="J198" s="573"/>
      <c r="K198" s="307"/>
      <c r="L198" s="292"/>
      <c r="M198" s="308"/>
      <c r="N198" s="292"/>
      <c r="O198" s="308"/>
      <c r="P198" s="575"/>
      <c r="Q198" s="576"/>
      <c r="R198" s="308"/>
      <c r="S198" s="575"/>
      <c r="T198" s="576"/>
      <c r="U198" s="308"/>
      <c r="V198" s="575"/>
      <c r="W198" s="576"/>
      <c r="X198" s="308"/>
      <c r="Y198" s="575"/>
      <c r="Z198" s="576"/>
      <c r="AA198" s="308"/>
      <c r="AB198" s="575"/>
      <c r="AC198" s="576"/>
      <c r="AD198" s="308"/>
      <c r="AE198" s="575"/>
      <c r="AF198" s="308"/>
      <c r="AG198" s="575"/>
      <c r="AH198" s="308"/>
      <c r="AI198" s="575"/>
      <c r="AJ198" s="308"/>
      <c r="AK198" s="305"/>
      <c r="AL198" s="577"/>
      <c r="AM198" s="306"/>
      <c r="AN198" s="308"/>
      <c r="AO198" s="573"/>
      <c r="AP198" s="305"/>
      <c r="AQ198" s="308"/>
      <c r="AR198" s="573"/>
      <c r="AS198" s="578"/>
      <c r="AT198" s="577"/>
      <c r="AU198" s="579"/>
      <c r="AV198" s="578"/>
      <c r="AW198" s="308"/>
      <c r="AX198" s="307"/>
      <c r="AY198" s="307"/>
      <c r="AZ198" s="307"/>
      <c r="BA198" s="307"/>
      <c r="BB198" s="307"/>
      <c r="BC198" s="305"/>
      <c r="BD198" s="292"/>
      <c r="BE198" s="297"/>
      <c r="BF198" s="297"/>
      <c r="BG198" s="569"/>
      <c r="BH198" s="570"/>
      <c r="BI198" s="570"/>
      <c r="BJ198" s="570"/>
      <c r="BK198" s="570"/>
      <c r="BL198" s="570"/>
      <c r="BM198" s="570"/>
      <c r="BN198" s="570"/>
      <c r="BO198" s="570"/>
      <c r="BP198" s="570"/>
      <c r="BQ198" s="570"/>
      <c r="BR198" s="570"/>
      <c r="BS198" s="570"/>
      <c r="BT198" s="570"/>
      <c r="BU198" s="570"/>
      <c r="BV198" s="570"/>
      <c r="BW198" s="570"/>
      <c r="BX198" s="570"/>
      <c r="BY198" s="570"/>
      <c r="BZ198" s="571"/>
      <c r="CA198" s="571"/>
    </row>
    <row r="199" spans="2:79">
      <c r="B199" s="572">
        <v>184</v>
      </c>
      <c r="C199" s="308"/>
      <c r="D199" s="307"/>
      <c r="E199" s="307"/>
      <c r="F199" s="305"/>
      <c r="G199" s="305"/>
      <c r="H199" s="292"/>
      <c r="I199" s="574"/>
      <c r="J199" s="573"/>
      <c r="K199" s="307"/>
      <c r="L199" s="292"/>
      <c r="M199" s="308"/>
      <c r="N199" s="292"/>
      <c r="O199" s="308"/>
      <c r="P199" s="575"/>
      <c r="Q199" s="576"/>
      <c r="R199" s="308"/>
      <c r="S199" s="575"/>
      <c r="T199" s="576"/>
      <c r="U199" s="308"/>
      <c r="V199" s="575"/>
      <c r="W199" s="576"/>
      <c r="X199" s="308"/>
      <c r="Y199" s="575"/>
      <c r="Z199" s="576"/>
      <c r="AA199" s="308"/>
      <c r="AB199" s="575"/>
      <c r="AC199" s="576"/>
      <c r="AD199" s="308"/>
      <c r="AE199" s="575"/>
      <c r="AF199" s="308"/>
      <c r="AG199" s="575"/>
      <c r="AH199" s="308"/>
      <c r="AI199" s="575"/>
      <c r="AJ199" s="308"/>
      <c r="AK199" s="305"/>
      <c r="AL199" s="577"/>
      <c r="AM199" s="306"/>
      <c r="AN199" s="308"/>
      <c r="AO199" s="573"/>
      <c r="AP199" s="305"/>
      <c r="AQ199" s="308"/>
      <c r="AR199" s="573"/>
      <c r="AS199" s="578"/>
      <c r="AT199" s="577"/>
      <c r="AU199" s="579"/>
      <c r="AV199" s="578"/>
      <c r="AW199" s="308"/>
      <c r="AX199" s="307"/>
      <c r="AY199" s="307"/>
      <c r="AZ199" s="307"/>
      <c r="BA199" s="307"/>
      <c r="BB199" s="307"/>
      <c r="BC199" s="305"/>
      <c r="BD199" s="292"/>
      <c r="BE199" s="297"/>
      <c r="BF199" s="297"/>
      <c r="BG199" s="569"/>
      <c r="BH199" s="570"/>
      <c r="BI199" s="570"/>
      <c r="BJ199" s="570"/>
      <c r="BK199" s="570"/>
      <c r="BL199" s="570"/>
      <c r="BM199" s="570"/>
      <c r="BN199" s="570"/>
      <c r="BO199" s="570"/>
      <c r="BP199" s="570"/>
      <c r="BQ199" s="570"/>
      <c r="BR199" s="570"/>
      <c r="BS199" s="570"/>
      <c r="BT199" s="570"/>
      <c r="BU199" s="570"/>
      <c r="BV199" s="570"/>
      <c r="BW199" s="570"/>
      <c r="BX199" s="570"/>
      <c r="BY199" s="570"/>
      <c r="BZ199" s="571"/>
      <c r="CA199" s="571"/>
    </row>
    <row r="200" spans="2:79">
      <c r="B200" s="566">
        <v>185</v>
      </c>
      <c r="C200" s="308"/>
      <c r="D200" s="307"/>
      <c r="E200" s="307"/>
      <c r="F200" s="305"/>
      <c r="G200" s="305"/>
      <c r="H200" s="292"/>
      <c r="I200" s="574"/>
      <c r="J200" s="573"/>
      <c r="K200" s="307"/>
      <c r="L200" s="292"/>
      <c r="M200" s="308"/>
      <c r="N200" s="292"/>
      <c r="O200" s="308"/>
      <c r="P200" s="575"/>
      <c r="Q200" s="576"/>
      <c r="R200" s="308"/>
      <c r="S200" s="575"/>
      <c r="T200" s="576"/>
      <c r="U200" s="308"/>
      <c r="V200" s="575"/>
      <c r="W200" s="576"/>
      <c r="X200" s="308"/>
      <c r="Y200" s="575"/>
      <c r="Z200" s="576"/>
      <c r="AA200" s="308"/>
      <c r="AB200" s="575"/>
      <c r="AC200" s="576"/>
      <c r="AD200" s="308"/>
      <c r="AE200" s="575"/>
      <c r="AF200" s="308"/>
      <c r="AG200" s="575"/>
      <c r="AH200" s="308"/>
      <c r="AI200" s="575"/>
      <c r="AJ200" s="308"/>
      <c r="AK200" s="305"/>
      <c r="AL200" s="577"/>
      <c r="AM200" s="306"/>
      <c r="AN200" s="308"/>
      <c r="AO200" s="573"/>
      <c r="AP200" s="305"/>
      <c r="AQ200" s="308"/>
      <c r="AR200" s="573"/>
      <c r="AS200" s="578"/>
      <c r="AT200" s="577"/>
      <c r="AU200" s="579"/>
      <c r="AV200" s="578"/>
      <c r="AW200" s="308"/>
      <c r="AX200" s="307"/>
      <c r="AY200" s="307"/>
      <c r="AZ200" s="307"/>
      <c r="BA200" s="307"/>
      <c r="BB200" s="307"/>
      <c r="BC200" s="305"/>
      <c r="BD200" s="292"/>
      <c r="BE200" s="297"/>
      <c r="BF200" s="297"/>
      <c r="BG200" s="569"/>
      <c r="BH200" s="570"/>
      <c r="BI200" s="570"/>
      <c r="BJ200" s="570"/>
      <c r="BK200" s="570"/>
      <c r="BL200" s="570"/>
      <c r="BM200" s="570"/>
      <c r="BN200" s="570"/>
      <c r="BO200" s="570"/>
      <c r="BP200" s="570"/>
      <c r="BQ200" s="570"/>
      <c r="BR200" s="570"/>
      <c r="BS200" s="570"/>
      <c r="BT200" s="570"/>
      <c r="BU200" s="570"/>
      <c r="BV200" s="570"/>
      <c r="BW200" s="570"/>
      <c r="BX200" s="570"/>
      <c r="BY200" s="570"/>
      <c r="BZ200" s="571"/>
      <c r="CA200" s="571"/>
    </row>
    <row r="201" spans="2:79">
      <c r="B201" s="572">
        <v>186</v>
      </c>
      <c r="C201" s="308"/>
      <c r="D201" s="307"/>
      <c r="E201" s="307"/>
      <c r="F201" s="305"/>
      <c r="G201" s="305"/>
      <c r="H201" s="292"/>
      <c r="I201" s="574"/>
      <c r="J201" s="573"/>
      <c r="K201" s="307"/>
      <c r="L201" s="292"/>
      <c r="M201" s="308"/>
      <c r="N201" s="292"/>
      <c r="O201" s="308"/>
      <c r="P201" s="575"/>
      <c r="Q201" s="576"/>
      <c r="R201" s="308"/>
      <c r="S201" s="575"/>
      <c r="T201" s="576"/>
      <c r="U201" s="308"/>
      <c r="V201" s="575"/>
      <c r="W201" s="576"/>
      <c r="X201" s="308"/>
      <c r="Y201" s="575"/>
      <c r="Z201" s="576"/>
      <c r="AA201" s="308"/>
      <c r="AB201" s="575"/>
      <c r="AC201" s="576"/>
      <c r="AD201" s="308"/>
      <c r="AE201" s="575"/>
      <c r="AF201" s="308"/>
      <c r="AG201" s="575"/>
      <c r="AH201" s="308"/>
      <c r="AI201" s="575"/>
      <c r="AJ201" s="308"/>
      <c r="AK201" s="305"/>
      <c r="AL201" s="577"/>
      <c r="AM201" s="306"/>
      <c r="AN201" s="308"/>
      <c r="AO201" s="573"/>
      <c r="AP201" s="305"/>
      <c r="AQ201" s="308"/>
      <c r="AR201" s="573"/>
      <c r="AS201" s="578"/>
      <c r="AT201" s="577"/>
      <c r="AU201" s="579"/>
      <c r="AV201" s="578"/>
      <c r="AW201" s="308"/>
      <c r="AX201" s="307"/>
      <c r="AY201" s="307"/>
      <c r="AZ201" s="307"/>
      <c r="BA201" s="307"/>
      <c r="BB201" s="307"/>
      <c r="BC201" s="305"/>
      <c r="BD201" s="292"/>
      <c r="BE201" s="297"/>
      <c r="BF201" s="297"/>
      <c r="BG201" s="569"/>
      <c r="BH201" s="570"/>
      <c r="BI201" s="570"/>
      <c r="BJ201" s="570"/>
      <c r="BK201" s="570"/>
      <c r="BL201" s="570"/>
      <c r="BM201" s="570"/>
      <c r="BN201" s="570"/>
      <c r="BO201" s="570"/>
      <c r="BP201" s="570"/>
      <c r="BQ201" s="570"/>
      <c r="BR201" s="570"/>
      <c r="BS201" s="570"/>
      <c r="BT201" s="570"/>
      <c r="BU201" s="570"/>
      <c r="BV201" s="570"/>
      <c r="BW201" s="570"/>
      <c r="BX201" s="570"/>
      <c r="BY201" s="570"/>
      <c r="BZ201" s="571"/>
      <c r="CA201" s="571"/>
    </row>
    <row r="202" spans="2:79">
      <c r="B202" s="566">
        <v>187</v>
      </c>
      <c r="C202" s="308"/>
      <c r="D202" s="307"/>
      <c r="E202" s="307"/>
      <c r="F202" s="305"/>
      <c r="G202" s="305"/>
      <c r="H202" s="292"/>
      <c r="I202" s="574"/>
      <c r="J202" s="573"/>
      <c r="K202" s="307"/>
      <c r="L202" s="292"/>
      <c r="M202" s="308"/>
      <c r="N202" s="292"/>
      <c r="O202" s="308"/>
      <c r="P202" s="575"/>
      <c r="Q202" s="576"/>
      <c r="R202" s="308"/>
      <c r="S202" s="575"/>
      <c r="T202" s="576"/>
      <c r="U202" s="308"/>
      <c r="V202" s="575"/>
      <c r="W202" s="576"/>
      <c r="X202" s="308"/>
      <c r="Y202" s="575"/>
      <c r="Z202" s="576"/>
      <c r="AA202" s="308"/>
      <c r="AB202" s="575"/>
      <c r="AC202" s="576"/>
      <c r="AD202" s="308"/>
      <c r="AE202" s="575"/>
      <c r="AF202" s="308"/>
      <c r="AG202" s="575"/>
      <c r="AH202" s="308"/>
      <c r="AI202" s="575"/>
      <c r="AJ202" s="308"/>
      <c r="AK202" s="305"/>
      <c r="AL202" s="577"/>
      <c r="AM202" s="306"/>
      <c r="AN202" s="308"/>
      <c r="AO202" s="573"/>
      <c r="AP202" s="305"/>
      <c r="AQ202" s="308"/>
      <c r="AR202" s="573"/>
      <c r="AS202" s="578"/>
      <c r="AT202" s="577"/>
      <c r="AU202" s="579"/>
      <c r="AV202" s="578"/>
      <c r="AW202" s="308"/>
      <c r="AX202" s="307"/>
      <c r="AY202" s="307"/>
      <c r="AZ202" s="307"/>
      <c r="BA202" s="307"/>
      <c r="BB202" s="307"/>
      <c r="BC202" s="305"/>
      <c r="BD202" s="292"/>
      <c r="BE202" s="297"/>
      <c r="BF202" s="297"/>
      <c r="BG202" s="569"/>
      <c r="BH202" s="570"/>
      <c r="BI202" s="570"/>
      <c r="BJ202" s="570"/>
      <c r="BK202" s="570"/>
      <c r="BL202" s="570"/>
      <c r="BM202" s="570"/>
      <c r="BN202" s="570"/>
      <c r="BO202" s="570"/>
      <c r="BP202" s="570"/>
      <c r="BQ202" s="570"/>
      <c r="BR202" s="570"/>
      <c r="BS202" s="570"/>
      <c r="BT202" s="570"/>
      <c r="BU202" s="570"/>
      <c r="BV202" s="570"/>
      <c r="BW202" s="570"/>
      <c r="BX202" s="570"/>
      <c r="BY202" s="570"/>
      <c r="BZ202" s="571"/>
      <c r="CA202" s="571"/>
    </row>
    <row r="203" spans="2:79">
      <c r="B203" s="572">
        <v>188</v>
      </c>
      <c r="C203" s="308"/>
      <c r="D203" s="307"/>
      <c r="E203" s="307"/>
      <c r="F203" s="305"/>
      <c r="G203" s="305"/>
      <c r="H203" s="292"/>
      <c r="I203" s="574"/>
      <c r="J203" s="573"/>
      <c r="K203" s="307"/>
      <c r="L203" s="292"/>
      <c r="M203" s="308"/>
      <c r="N203" s="292"/>
      <c r="O203" s="308"/>
      <c r="P203" s="575"/>
      <c r="Q203" s="576"/>
      <c r="R203" s="308"/>
      <c r="S203" s="575"/>
      <c r="T203" s="576"/>
      <c r="U203" s="308"/>
      <c r="V203" s="575"/>
      <c r="W203" s="576"/>
      <c r="X203" s="308"/>
      <c r="Y203" s="575"/>
      <c r="Z203" s="576"/>
      <c r="AA203" s="308"/>
      <c r="AB203" s="575"/>
      <c r="AC203" s="576"/>
      <c r="AD203" s="308"/>
      <c r="AE203" s="575"/>
      <c r="AF203" s="308"/>
      <c r="AG203" s="575"/>
      <c r="AH203" s="308"/>
      <c r="AI203" s="575"/>
      <c r="AJ203" s="308"/>
      <c r="AK203" s="305"/>
      <c r="AL203" s="577"/>
      <c r="AM203" s="306"/>
      <c r="AN203" s="308"/>
      <c r="AO203" s="573"/>
      <c r="AP203" s="305"/>
      <c r="AQ203" s="308"/>
      <c r="AR203" s="573"/>
      <c r="AS203" s="578"/>
      <c r="AT203" s="577"/>
      <c r="AU203" s="579"/>
      <c r="AV203" s="578"/>
      <c r="AW203" s="308"/>
      <c r="AX203" s="307"/>
      <c r="AY203" s="307"/>
      <c r="AZ203" s="307"/>
      <c r="BA203" s="307"/>
      <c r="BB203" s="307"/>
      <c r="BC203" s="305"/>
      <c r="BD203" s="292"/>
      <c r="BE203" s="297"/>
      <c r="BF203" s="297"/>
      <c r="BG203" s="569"/>
      <c r="BH203" s="570"/>
      <c r="BI203" s="570"/>
      <c r="BJ203" s="570"/>
      <c r="BK203" s="570"/>
      <c r="BL203" s="570"/>
      <c r="BM203" s="570"/>
      <c r="BN203" s="570"/>
      <c r="BO203" s="570"/>
      <c r="BP203" s="570"/>
      <c r="BQ203" s="570"/>
      <c r="BR203" s="570"/>
      <c r="BS203" s="570"/>
      <c r="BT203" s="570"/>
      <c r="BU203" s="570"/>
      <c r="BV203" s="570"/>
      <c r="BW203" s="570"/>
      <c r="BX203" s="570"/>
      <c r="BY203" s="570"/>
      <c r="BZ203" s="571"/>
      <c r="CA203" s="571"/>
    </row>
    <row r="204" spans="2:79">
      <c r="B204" s="566">
        <v>189</v>
      </c>
      <c r="C204" s="308"/>
      <c r="D204" s="307"/>
      <c r="E204" s="307"/>
      <c r="F204" s="305"/>
      <c r="G204" s="305"/>
      <c r="H204" s="292"/>
      <c r="I204" s="574"/>
      <c r="J204" s="573"/>
      <c r="K204" s="307"/>
      <c r="L204" s="292"/>
      <c r="M204" s="308"/>
      <c r="N204" s="292"/>
      <c r="O204" s="308"/>
      <c r="P204" s="575"/>
      <c r="Q204" s="576"/>
      <c r="R204" s="308"/>
      <c r="S204" s="575"/>
      <c r="T204" s="576"/>
      <c r="U204" s="308"/>
      <c r="V204" s="575"/>
      <c r="W204" s="576"/>
      <c r="X204" s="308"/>
      <c r="Y204" s="575"/>
      <c r="Z204" s="576"/>
      <c r="AA204" s="308"/>
      <c r="AB204" s="575"/>
      <c r="AC204" s="576"/>
      <c r="AD204" s="308"/>
      <c r="AE204" s="575"/>
      <c r="AF204" s="308"/>
      <c r="AG204" s="575"/>
      <c r="AH204" s="308"/>
      <c r="AI204" s="575"/>
      <c r="AJ204" s="308"/>
      <c r="AK204" s="305"/>
      <c r="AL204" s="577"/>
      <c r="AM204" s="306"/>
      <c r="AN204" s="308"/>
      <c r="AO204" s="573"/>
      <c r="AP204" s="305"/>
      <c r="AQ204" s="308"/>
      <c r="AR204" s="573"/>
      <c r="AS204" s="578"/>
      <c r="AT204" s="577"/>
      <c r="AU204" s="579"/>
      <c r="AV204" s="578"/>
      <c r="AW204" s="308"/>
      <c r="AX204" s="307"/>
      <c r="AY204" s="307"/>
      <c r="AZ204" s="307"/>
      <c r="BA204" s="307"/>
      <c r="BB204" s="307"/>
      <c r="BC204" s="305"/>
      <c r="BD204" s="292"/>
      <c r="BE204" s="297"/>
      <c r="BF204" s="297"/>
      <c r="BG204" s="569"/>
      <c r="BH204" s="570"/>
      <c r="BI204" s="570"/>
      <c r="BJ204" s="570"/>
      <c r="BK204" s="570"/>
      <c r="BL204" s="570"/>
      <c r="BM204" s="570"/>
      <c r="BN204" s="570"/>
      <c r="BO204" s="570"/>
      <c r="BP204" s="570"/>
      <c r="BQ204" s="570"/>
      <c r="BR204" s="570"/>
      <c r="BS204" s="570"/>
      <c r="BT204" s="570"/>
      <c r="BU204" s="570"/>
      <c r="BV204" s="570"/>
      <c r="BW204" s="570"/>
      <c r="BX204" s="570"/>
      <c r="BY204" s="570"/>
      <c r="BZ204" s="571"/>
      <c r="CA204" s="571"/>
    </row>
    <row r="205" spans="2:79">
      <c r="B205" s="572">
        <v>190</v>
      </c>
      <c r="C205" s="308"/>
      <c r="D205" s="307"/>
      <c r="E205" s="307"/>
      <c r="F205" s="305"/>
      <c r="G205" s="305"/>
      <c r="H205" s="292"/>
      <c r="I205" s="574"/>
      <c r="J205" s="573"/>
      <c r="K205" s="307"/>
      <c r="L205" s="292"/>
      <c r="M205" s="308"/>
      <c r="N205" s="292"/>
      <c r="O205" s="308"/>
      <c r="P205" s="575"/>
      <c r="Q205" s="576"/>
      <c r="R205" s="308"/>
      <c r="S205" s="575"/>
      <c r="T205" s="576"/>
      <c r="U205" s="308"/>
      <c r="V205" s="575"/>
      <c r="W205" s="576"/>
      <c r="X205" s="308"/>
      <c r="Y205" s="575"/>
      <c r="Z205" s="576"/>
      <c r="AA205" s="308"/>
      <c r="AB205" s="575"/>
      <c r="AC205" s="576"/>
      <c r="AD205" s="308"/>
      <c r="AE205" s="575"/>
      <c r="AF205" s="308"/>
      <c r="AG205" s="575"/>
      <c r="AH205" s="308"/>
      <c r="AI205" s="575"/>
      <c r="AJ205" s="308"/>
      <c r="AK205" s="305"/>
      <c r="AL205" s="577"/>
      <c r="AM205" s="306"/>
      <c r="AN205" s="308"/>
      <c r="AO205" s="573"/>
      <c r="AP205" s="305"/>
      <c r="AQ205" s="308"/>
      <c r="AR205" s="573"/>
      <c r="AS205" s="578"/>
      <c r="AT205" s="577"/>
      <c r="AU205" s="579"/>
      <c r="AV205" s="578"/>
      <c r="AW205" s="308"/>
      <c r="AX205" s="307"/>
      <c r="AY205" s="307"/>
      <c r="AZ205" s="307"/>
      <c r="BA205" s="307"/>
      <c r="BB205" s="307"/>
      <c r="BC205" s="305"/>
      <c r="BD205" s="292"/>
      <c r="BE205" s="297"/>
      <c r="BF205" s="297"/>
      <c r="BG205" s="569"/>
      <c r="BH205" s="570"/>
      <c r="BI205" s="570"/>
      <c r="BJ205" s="570"/>
      <c r="BK205" s="570"/>
      <c r="BL205" s="570"/>
      <c r="BM205" s="570"/>
      <c r="BN205" s="570"/>
      <c r="BO205" s="570"/>
      <c r="BP205" s="570"/>
      <c r="BQ205" s="570"/>
      <c r="BR205" s="570"/>
      <c r="BS205" s="570"/>
      <c r="BT205" s="570"/>
      <c r="BU205" s="570"/>
      <c r="BV205" s="570"/>
      <c r="BW205" s="570"/>
      <c r="BX205" s="570"/>
      <c r="BY205" s="570"/>
      <c r="BZ205" s="571"/>
      <c r="CA205" s="571"/>
    </row>
    <row r="206" spans="2:79">
      <c r="B206" s="566">
        <v>191</v>
      </c>
      <c r="C206" s="308"/>
      <c r="D206" s="307"/>
      <c r="E206" s="307"/>
      <c r="F206" s="305"/>
      <c r="G206" s="305"/>
      <c r="H206" s="292"/>
      <c r="I206" s="574"/>
      <c r="J206" s="573"/>
      <c r="K206" s="307"/>
      <c r="L206" s="292"/>
      <c r="M206" s="308"/>
      <c r="N206" s="292"/>
      <c r="O206" s="308"/>
      <c r="P206" s="575"/>
      <c r="Q206" s="576"/>
      <c r="R206" s="308"/>
      <c r="S206" s="575"/>
      <c r="T206" s="576"/>
      <c r="U206" s="308"/>
      <c r="V206" s="575"/>
      <c r="W206" s="576"/>
      <c r="X206" s="308"/>
      <c r="Y206" s="575"/>
      <c r="Z206" s="576"/>
      <c r="AA206" s="308"/>
      <c r="AB206" s="575"/>
      <c r="AC206" s="576"/>
      <c r="AD206" s="308"/>
      <c r="AE206" s="575"/>
      <c r="AF206" s="308"/>
      <c r="AG206" s="575"/>
      <c r="AH206" s="308"/>
      <c r="AI206" s="575"/>
      <c r="AJ206" s="308"/>
      <c r="AK206" s="305"/>
      <c r="AL206" s="577"/>
      <c r="AM206" s="306"/>
      <c r="AN206" s="308"/>
      <c r="AO206" s="573"/>
      <c r="AP206" s="305"/>
      <c r="AQ206" s="308"/>
      <c r="AR206" s="573"/>
      <c r="AS206" s="578"/>
      <c r="AT206" s="577"/>
      <c r="AU206" s="579"/>
      <c r="AV206" s="578"/>
      <c r="AW206" s="308"/>
      <c r="AX206" s="307"/>
      <c r="AY206" s="307"/>
      <c r="AZ206" s="307"/>
      <c r="BA206" s="307"/>
      <c r="BB206" s="307"/>
      <c r="BC206" s="305"/>
      <c r="BD206" s="292"/>
      <c r="BE206" s="297"/>
      <c r="BF206" s="297"/>
      <c r="BG206" s="569"/>
      <c r="BH206" s="570"/>
      <c r="BI206" s="570"/>
      <c r="BJ206" s="570"/>
      <c r="BK206" s="570"/>
      <c r="BL206" s="570"/>
      <c r="BM206" s="570"/>
      <c r="BN206" s="570"/>
      <c r="BO206" s="570"/>
      <c r="BP206" s="570"/>
      <c r="BQ206" s="570"/>
      <c r="BR206" s="570"/>
      <c r="BS206" s="570"/>
      <c r="BT206" s="570"/>
      <c r="BU206" s="570"/>
      <c r="BV206" s="570"/>
      <c r="BW206" s="570"/>
      <c r="BX206" s="570"/>
      <c r="BY206" s="570"/>
      <c r="BZ206" s="571"/>
      <c r="CA206" s="571"/>
    </row>
    <row r="207" spans="2:79">
      <c r="B207" s="572">
        <v>192</v>
      </c>
      <c r="C207" s="308"/>
      <c r="D207" s="307"/>
      <c r="E207" s="307"/>
      <c r="F207" s="305"/>
      <c r="G207" s="305"/>
      <c r="H207" s="292"/>
      <c r="I207" s="574"/>
      <c r="J207" s="573"/>
      <c r="K207" s="307"/>
      <c r="L207" s="292"/>
      <c r="M207" s="308"/>
      <c r="N207" s="292"/>
      <c r="O207" s="308"/>
      <c r="P207" s="575"/>
      <c r="Q207" s="576"/>
      <c r="R207" s="308"/>
      <c r="S207" s="575"/>
      <c r="T207" s="576"/>
      <c r="U207" s="308"/>
      <c r="V207" s="575"/>
      <c r="W207" s="576"/>
      <c r="X207" s="308"/>
      <c r="Y207" s="575"/>
      <c r="Z207" s="576"/>
      <c r="AA207" s="308"/>
      <c r="AB207" s="575"/>
      <c r="AC207" s="576"/>
      <c r="AD207" s="308"/>
      <c r="AE207" s="575"/>
      <c r="AF207" s="308"/>
      <c r="AG207" s="575"/>
      <c r="AH207" s="308"/>
      <c r="AI207" s="575"/>
      <c r="AJ207" s="308"/>
      <c r="AK207" s="305"/>
      <c r="AL207" s="577"/>
      <c r="AM207" s="306"/>
      <c r="AN207" s="308"/>
      <c r="AO207" s="573"/>
      <c r="AP207" s="305"/>
      <c r="AQ207" s="308"/>
      <c r="AR207" s="573"/>
      <c r="AS207" s="578"/>
      <c r="AT207" s="577"/>
      <c r="AU207" s="579"/>
      <c r="AV207" s="578"/>
      <c r="AW207" s="308"/>
      <c r="AX207" s="307"/>
      <c r="AY207" s="307"/>
      <c r="AZ207" s="307"/>
      <c r="BA207" s="307"/>
      <c r="BB207" s="307"/>
      <c r="BC207" s="305"/>
      <c r="BD207" s="292"/>
      <c r="BE207" s="297"/>
      <c r="BF207" s="297"/>
      <c r="BG207" s="569"/>
      <c r="BH207" s="570"/>
      <c r="BI207" s="570"/>
      <c r="BJ207" s="570"/>
      <c r="BK207" s="570"/>
      <c r="BL207" s="570"/>
      <c r="BM207" s="570"/>
      <c r="BN207" s="570"/>
      <c r="BO207" s="570"/>
      <c r="BP207" s="570"/>
      <c r="BQ207" s="570"/>
      <c r="BR207" s="570"/>
      <c r="BS207" s="570"/>
      <c r="BT207" s="570"/>
      <c r="BU207" s="570"/>
      <c r="BV207" s="570"/>
      <c r="BW207" s="570"/>
      <c r="BX207" s="570"/>
      <c r="BY207" s="570"/>
      <c r="BZ207" s="571"/>
      <c r="CA207" s="571"/>
    </row>
    <row r="208" spans="2:79">
      <c r="B208" s="566">
        <v>193</v>
      </c>
      <c r="C208" s="308"/>
      <c r="D208" s="307"/>
      <c r="E208" s="307"/>
      <c r="F208" s="305"/>
      <c r="G208" s="305"/>
      <c r="H208" s="292"/>
      <c r="I208" s="574"/>
      <c r="J208" s="573"/>
      <c r="K208" s="307"/>
      <c r="L208" s="292"/>
      <c r="M208" s="308"/>
      <c r="N208" s="292"/>
      <c r="O208" s="308"/>
      <c r="P208" s="575"/>
      <c r="Q208" s="576"/>
      <c r="R208" s="308"/>
      <c r="S208" s="575"/>
      <c r="T208" s="576"/>
      <c r="U208" s="308"/>
      <c r="V208" s="575"/>
      <c r="W208" s="576"/>
      <c r="X208" s="308"/>
      <c r="Y208" s="575"/>
      <c r="Z208" s="576"/>
      <c r="AA208" s="308"/>
      <c r="AB208" s="575"/>
      <c r="AC208" s="576"/>
      <c r="AD208" s="308"/>
      <c r="AE208" s="575"/>
      <c r="AF208" s="308"/>
      <c r="AG208" s="575"/>
      <c r="AH208" s="308"/>
      <c r="AI208" s="575"/>
      <c r="AJ208" s="308"/>
      <c r="AK208" s="305"/>
      <c r="AL208" s="577"/>
      <c r="AM208" s="306"/>
      <c r="AN208" s="308"/>
      <c r="AO208" s="573"/>
      <c r="AP208" s="305"/>
      <c r="AQ208" s="308"/>
      <c r="AR208" s="573"/>
      <c r="AS208" s="578"/>
      <c r="AT208" s="577"/>
      <c r="AU208" s="579"/>
      <c r="AV208" s="578"/>
      <c r="AW208" s="308"/>
      <c r="AX208" s="307"/>
      <c r="AY208" s="307"/>
      <c r="AZ208" s="307"/>
      <c r="BA208" s="307"/>
      <c r="BB208" s="307"/>
      <c r="BC208" s="305"/>
      <c r="BD208" s="292"/>
      <c r="BE208" s="297"/>
      <c r="BF208" s="297"/>
      <c r="BG208" s="569"/>
      <c r="BH208" s="570"/>
      <c r="BI208" s="570"/>
      <c r="BJ208" s="570"/>
      <c r="BK208" s="570"/>
      <c r="BL208" s="570"/>
      <c r="BM208" s="570"/>
      <c r="BN208" s="570"/>
      <c r="BO208" s="570"/>
      <c r="BP208" s="570"/>
      <c r="BQ208" s="570"/>
      <c r="BR208" s="570"/>
      <c r="BS208" s="570"/>
      <c r="BT208" s="570"/>
      <c r="BU208" s="570"/>
      <c r="BV208" s="570"/>
      <c r="BW208" s="570"/>
      <c r="BX208" s="570"/>
      <c r="BY208" s="570"/>
      <c r="BZ208" s="571"/>
      <c r="CA208" s="571"/>
    </row>
    <row r="209" spans="2:79">
      <c r="B209" s="572">
        <v>194</v>
      </c>
      <c r="C209" s="308"/>
      <c r="D209" s="307"/>
      <c r="E209" s="307"/>
      <c r="F209" s="305"/>
      <c r="G209" s="305"/>
      <c r="H209" s="292"/>
      <c r="I209" s="574"/>
      <c r="J209" s="573"/>
      <c r="K209" s="307"/>
      <c r="L209" s="292"/>
      <c r="M209" s="308"/>
      <c r="N209" s="292"/>
      <c r="O209" s="308"/>
      <c r="P209" s="575"/>
      <c r="Q209" s="576"/>
      <c r="R209" s="308"/>
      <c r="S209" s="575"/>
      <c r="T209" s="576"/>
      <c r="U209" s="308"/>
      <c r="V209" s="575"/>
      <c r="W209" s="576"/>
      <c r="X209" s="308"/>
      <c r="Y209" s="575"/>
      <c r="Z209" s="576"/>
      <c r="AA209" s="308"/>
      <c r="AB209" s="575"/>
      <c r="AC209" s="576"/>
      <c r="AD209" s="308"/>
      <c r="AE209" s="575"/>
      <c r="AF209" s="308"/>
      <c r="AG209" s="575"/>
      <c r="AH209" s="308"/>
      <c r="AI209" s="575"/>
      <c r="AJ209" s="308"/>
      <c r="AK209" s="305"/>
      <c r="AL209" s="577"/>
      <c r="AM209" s="306"/>
      <c r="AN209" s="308"/>
      <c r="AO209" s="573"/>
      <c r="AP209" s="305"/>
      <c r="AQ209" s="308"/>
      <c r="AR209" s="573"/>
      <c r="AS209" s="578"/>
      <c r="AT209" s="577"/>
      <c r="AU209" s="579"/>
      <c r="AV209" s="578"/>
      <c r="AW209" s="308"/>
      <c r="AX209" s="307"/>
      <c r="AY209" s="307"/>
      <c r="AZ209" s="307"/>
      <c r="BA209" s="307"/>
      <c r="BB209" s="307"/>
      <c r="BC209" s="305"/>
      <c r="BD209" s="292"/>
      <c r="BE209" s="297"/>
      <c r="BF209" s="297"/>
      <c r="BG209" s="569"/>
      <c r="BH209" s="570"/>
      <c r="BI209" s="570"/>
      <c r="BJ209" s="570"/>
      <c r="BK209" s="570"/>
      <c r="BL209" s="570"/>
      <c r="BM209" s="570"/>
      <c r="BN209" s="570"/>
      <c r="BO209" s="570"/>
      <c r="BP209" s="570"/>
      <c r="BQ209" s="570"/>
      <c r="BR209" s="570"/>
      <c r="BS209" s="570"/>
      <c r="BT209" s="570"/>
      <c r="BU209" s="570"/>
      <c r="BV209" s="570"/>
      <c r="BW209" s="570"/>
      <c r="BX209" s="570"/>
      <c r="BY209" s="570"/>
      <c r="BZ209" s="571"/>
      <c r="CA209" s="571"/>
    </row>
    <row r="210" spans="2:79">
      <c r="B210" s="566">
        <v>195</v>
      </c>
      <c r="C210" s="308"/>
      <c r="D210" s="307"/>
      <c r="E210" s="307"/>
      <c r="F210" s="305"/>
      <c r="G210" s="305"/>
      <c r="H210" s="292"/>
      <c r="I210" s="574"/>
      <c r="J210" s="573"/>
      <c r="K210" s="307"/>
      <c r="L210" s="292"/>
      <c r="M210" s="308"/>
      <c r="N210" s="292"/>
      <c r="O210" s="308"/>
      <c r="P210" s="575"/>
      <c r="Q210" s="576"/>
      <c r="R210" s="308"/>
      <c r="S210" s="575"/>
      <c r="T210" s="576"/>
      <c r="U210" s="308"/>
      <c r="V210" s="575"/>
      <c r="W210" s="576"/>
      <c r="X210" s="308"/>
      <c r="Y210" s="575"/>
      <c r="Z210" s="576"/>
      <c r="AA210" s="308"/>
      <c r="AB210" s="575"/>
      <c r="AC210" s="576"/>
      <c r="AD210" s="308"/>
      <c r="AE210" s="575"/>
      <c r="AF210" s="308"/>
      <c r="AG210" s="575"/>
      <c r="AH210" s="308"/>
      <c r="AI210" s="575"/>
      <c r="AJ210" s="308"/>
      <c r="AK210" s="305"/>
      <c r="AL210" s="577"/>
      <c r="AM210" s="306"/>
      <c r="AN210" s="308"/>
      <c r="AO210" s="573"/>
      <c r="AP210" s="305"/>
      <c r="AQ210" s="308"/>
      <c r="AR210" s="573"/>
      <c r="AS210" s="578"/>
      <c r="AT210" s="577"/>
      <c r="AU210" s="579"/>
      <c r="AV210" s="578"/>
      <c r="AW210" s="308"/>
      <c r="AX210" s="307"/>
      <c r="AY210" s="307"/>
      <c r="AZ210" s="307"/>
      <c r="BA210" s="307"/>
      <c r="BB210" s="307"/>
      <c r="BC210" s="305"/>
      <c r="BD210" s="292"/>
      <c r="BE210" s="297"/>
      <c r="BF210" s="297"/>
      <c r="BG210" s="569"/>
      <c r="BH210" s="570"/>
      <c r="BI210" s="570"/>
      <c r="BJ210" s="570"/>
      <c r="BK210" s="570"/>
      <c r="BL210" s="570"/>
      <c r="BM210" s="570"/>
      <c r="BN210" s="570"/>
      <c r="BO210" s="570"/>
      <c r="BP210" s="570"/>
      <c r="BQ210" s="570"/>
      <c r="BR210" s="570"/>
      <c r="BS210" s="570"/>
      <c r="BT210" s="570"/>
      <c r="BU210" s="570"/>
      <c r="BV210" s="570"/>
      <c r="BW210" s="570"/>
      <c r="BX210" s="570"/>
      <c r="BY210" s="570"/>
      <c r="BZ210" s="571"/>
      <c r="CA210" s="571"/>
    </row>
    <row r="211" spans="2:79">
      <c r="B211" s="572">
        <v>196</v>
      </c>
      <c r="C211" s="308"/>
      <c r="D211" s="307"/>
      <c r="E211" s="307"/>
      <c r="F211" s="305"/>
      <c r="G211" s="305"/>
      <c r="H211" s="292"/>
      <c r="I211" s="574"/>
      <c r="J211" s="573"/>
      <c r="K211" s="307"/>
      <c r="L211" s="292"/>
      <c r="M211" s="308"/>
      <c r="N211" s="292"/>
      <c r="O211" s="308"/>
      <c r="P211" s="575"/>
      <c r="Q211" s="576"/>
      <c r="R211" s="308"/>
      <c r="S211" s="575"/>
      <c r="T211" s="576"/>
      <c r="U211" s="308"/>
      <c r="V211" s="575"/>
      <c r="W211" s="576"/>
      <c r="X211" s="308"/>
      <c r="Y211" s="575"/>
      <c r="Z211" s="576"/>
      <c r="AA211" s="308"/>
      <c r="AB211" s="575"/>
      <c r="AC211" s="576"/>
      <c r="AD211" s="308"/>
      <c r="AE211" s="575"/>
      <c r="AF211" s="308"/>
      <c r="AG211" s="575"/>
      <c r="AH211" s="308"/>
      <c r="AI211" s="575"/>
      <c r="AJ211" s="308"/>
      <c r="AK211" s="305"/>
      <c r="AL211" s="577"/>
      <c r="AM211" s="306"/>
      <c r="AN211" s="308"/>
      <c r="AO211" s="573"/>
      <c r="AP211" s="305"/>
      <c r="AQ211" s="308"/>
      <c r="AR211" s="573"/>
      <c r="AS211" s="578"/>
      <c r="AT211" s="577"/>
      <c r="AU211" s="579"/>
      <c r="AV211" s="578"/>
      <c r="AW211" s="308"/>
      <c r="AX211" s="307"/>
      <c r="AY211" s="307"/>
      <c r="AZ211" s="307"/>
      <c r="BA211" s="307"/>
      <c r="BB211" s="307"/>
      <c r="BC211" s="305"/>
      <c r="BD211" s="292"/>
      <c r="BE211" s="297"/>
      <c r="BF211" s="297"/>
      <c r="BG211" s="569"/>
      <c r="BH211" s="570"/>
      <c r="BI211" s="570"/>
      <c r="BJ211" s="570"/>
      <c r="BK211" s="570"/>
      <c r="BL211" s="570"/>
      <c r="BM211" s="570"/>
      <c r="BN211" s="570"/>
      <c r="BO211" s="570"/>
      <c r="BP211" s="570"/>
      <c r="BQ211" s="570"/>
      <c r="BR211" s="570"/>
      <c r="BS211" s="570"/>
      <c r="BT211" s="570"/>
      <c r="BU211" s="570"/>
      <c r="BV211" s="570"/>
      <c r="BW211" s="570"/>
      <c r="BX211" s="570"/>
      <c r="BY211" s="570"/>
      <c r="BZ211" s="571"/>
      <c r="CA211" s="571"/>
    </row>
    <row r="212" spans="2:79">
      <c r="B212" s="566">
        <v>197</v>
      </c>
      <c r="C212" s="308"/>
      <c r="D212" s="307"/>
      <c r="E212" s="307"/>
      <c r="F212" s="305"/>
      <c r="G212" s="305"/>
      <c r="H212" s="292"/>
      <c r="I212" s="574"/>
      <c r="J212" s="573"/>
      <c r="K212" s="307"/>
      <c r="L212" s="292"/>
      <c r="M212" s="308"/>
      <c r="N212" s="292"/>
      <c r="O212" s="308"/>
      <c r="P212" s="575"/>
      <c r="Q212" s="576"/>
      <c r="R212" s="308"/>
      <c r="S212" s="575"/>
      <c r="T212" s="576"/>
      <c r="U212" s="308"/>
      <c r="V212" s="575"/>
      <c r="W212" s="576"/>
      <c r="X212" s="308"/>
      <c r="Y212" s="575"/>
      <c r="Z212" s="576"/>
      <c r="AA212" s="308"/>
      <c r="AB212" s="575"/>
      <c r="AC212" s="576"/>
      <c r="AD212" s="308"/>
      <c r="AE212" s="575"/>
      <c r="AF212" s="308"/>
      <c r="AG212" s="575"/>
      <c r="AH212" s="308"/>
      <c r="AI212" s="575"/>
      <c r="AJ212" s="308"/>
      <c r="AK212" s="305"/>
      <c r="AL212" s="577"/>
      <c r="AM212" s="306"/>
      <c r="AN212" s="308"/>
      <c r="AO212" s="573"/>
      <c r="AP212" s="305"/>
      <c r="AQ212" s="308"/>
      <c r="AR212" s="573"/>
      <c r="AS212" s="578"/>
      <c r="AT212" s="577"/>
      <c r="AU212" s="579"/>
      <c r="AV212" s="578"/>
      <c r="AW212" s="308"/>
      <c r="AX212" s="307"/>
      <c r="AY212" s="307"/>
      <c r="AZ212" s="307"/>
      <c r="BA212" s="307"/>
      <c r="BB212" s="307"/>
      <c r="BC212" s="305"/>
      <c r="BD212" s="292"/>
      <c r="BE212" s="297"/>
      <c r="BF212" s="297"/>
      <c r="BG212" s="569"/>
      <c r="BH212" s="570"/>
      <c r="BI212" s="570"/>
      <c r="BJ212" s="570"/>
      <c r="BK212" s="570"/>
      <c r="BL212" s="570"/>
      <c r="BM212" s="570"/>
      <c r="BN212" s="570"/>
      <c r="BO212" s="570"/>
      <c r="BP212" s="570"/>
      <c r="BQ212" s="570"/>
      <c r="BR212" s="570"/>
      <c r="BS212" s="570"/>
      <c r="BT212" s="570"/>
      <c r="BU212" s="570"/>
      <c r="BV212" s="570"/>
      <c r="BW212" s="570"/>
      <c r="BX212" s="570"/>
      <c r="BY212" s="570"/>
      <c r="BZ212" s="571"/>
      <c r="CA212" s="571"/>
    </row>
    <row r="213" spans="2:79">
      <c r="B213" s="572">
        <v>198</v>
      </c>
      <c r="C213" s="308"/>
      <c r="D213" s="307"/>
      <c r="E213" s="307"/>
      <c r="F213" s="305"/>
      <c r="G213" s="305"/>
      <c r="H213" s="292"/>
      <c r="I213" s="574"/>
      <c r="J213" s="573"/>
      <c r="K213" s="307"/>
      <c r="L213" s="292"/>
      <c r="M213" s="308"/>
      <c r="N213" s="292"/>
      <c r="O213" s="308"/>
      <c r="P213" s="575"/>
      <c r="Q213" s="576"/>
      <c r="R213" s="308"/>
      <c r="S213" s="575"/>
      <c r="T213" s="576"/>
      <c r="U213" s="308"/>
      <c r="V213" s="575"/>
      <c r="W213" s="576"/>
      <c r="X213" s="308"/>
      <c r="Y213" s="575"/>
      <c r="Z213" s="576"/>
      <c r="AA213" s="308"/>
      <c r="AB213" s="575"/>
      <c r="AC213" s="576"/>
      <c r="AD213" s="308"/>
      <c r="AE213" s="575"/>
      <c r="AF213" s="308"/>
      <c r="AG213" s="575"/>
      <c r="AH213" s="308"/>
      <c r="AI213" s="575"/>
      <c r="AJ213" s="308"/>
      <c r="AK213" s="305"/>
      <c r="AL213" s="577"/>
      <c r="AM213" s="306"/>
      <c r="AN213" s="308"/>
      <c r="AO213" s="573"/>
      <c r="AP213" s="305"/>
      <c r="AQ213" s="308"/>
      <c r="AR213" s="573"/>
      <c r="AS213" s="578"/>
      <c r="AT213" s="577"/>
      <c r="AU213" s="579"/>
      <c r="AV213" s="578"/>
      <c r="AW213" s="308"/>
      <c r="AX213" s="307"/>
      <c r="AY213" s="307"/>
      <c r="AZ213" s="307"/>
      <c r="BA213" s="307"/>
      <c r="BB213" s="307"/>
      <c r="BC213" s="305"/>
      <c r="BD213" s="292"/>
      <c r="BE213" s="297"/>
      <c r="BF213" s="297"/>
      <c r="BG213" s="569"/>
      <c r="BH213" s="570"/>
      <c r="BI213" s="570"/>
      <c r="BJ213" s="570"/>
      <c r="BK213" s="570"/>
      <c r="BL213" s="570"/>
      <c r="BM213" s="570"/>
      <c r="BN213" s="570"/>
      <c r="BO213" s="570"/>
      <c r="BP213" s="570"/>
      <c r="BQ213" s="570"/>
      <c r="BR213" s="570"/>
      <c r="BS213" s="570"/>
      <c r="BT213" s="570"/>
      <c r="BU213" s="570"/>
      <c r="BV213" s="570"/>
      <c r="BW213" s="570"/>
      <c r="BX213" s="570"/>
      <c r="BY213" s="570"/>
      <c r="BZ213" s="571"/>
      <c r="CA213" s="571"/>
    </row>
    <row r="214" spans="2:79">
      <c r="B214" s="566">
        <v>199</v>
      </c>
      <c r="C214" s="308"/>
      <c r="D214" s="307"/>
      <c r="E214" s="307"/>
      <c r="F214" s="305"/>
      <c r="G214" s="305"/>
      <c r="H214" s="292"/>
      <c r="I214" s="574"/>
      <c r="J214" s="573"/>
      <c r="K214" s="307"/>
      <c r="L214" s="292"/>
      <c r="M214" s="308"/>
      <c r="N214" s="292"/>
      <c r="O214" s="308"/>
      <c r="P214" s="575"/>
      <c r="Q214" s="576"/>
      <c r="R214" s="308"/>
      <c r="S214" s="575"/>
      <c r="T214" s="576"/>
      <c r="U214" s="308"/>
      <c r="V214" s="575"/>
      <c r="W214" s="576"/>
      <c r="X214" s="308"/>
      <c r="Y214" s="575"/>
      <c r="Z214" s="576"/>
      <c r="AA214" s="308"/>
      <c r="AB214" s="575"/>
      <c r="AC214" s="576"/>
      <c r="AD214" s="308"/>
      <c r="AE214" s="575"/>
      <c r="AF214" s="308"/>
      <c r="AG214" s="575"/>
      <c r="AH214" s="308"/>
      <c r="AI214" s="575"/>
      <c r="AJ214" s="308"/>
      <c r="AK214" s="305"/>
      <c r="AL214" s="577"/>
      <c r="AM214" s="306"/>
      <c r="AN214" s="308"/>
      <c r="AO214" s="573"/>
      <c r="AP214" s="305"/>
      <c r="AQ214" s="308"/>
      <c r="AR214" s="573"/>
      <c r="AS214" s="578"/>
      <c r="AT214" s="577"/>
      <c r="AU214" s="579"/>
      <c r="AV214" s="578"/>
      <c r="AW214" s="308"/>
      <c r="AX214" s="307"/>
      <c r="AY214" s="307"/>
      <c r="AZ214" s="307"/>
      <c r="BA214" s="307"/>
      <c r="BB214" s="307"/>
      <c r="BC214" s="305"/>
      <c r="BD214" s="292"/>
      <c r="BE214" s="297"/>
      <c r="BF214" s="297"/>
      <c r="BG214" s="569"/>
      <c r="BH214" s="570"/>
      <c r="BI214" s="570"/>
      <c r="BJ214" s="570"/>
      <c r="BK214" s="570"/>
      <c r="BL214" s="570"/>
      <c r="BM214" s="570"/>
      <c r="BN214" s="570"/>
      <c r="BO214" s="570"/>
      <c r="BP214" s="570"/>
      <c r="BQ214" s="570"/>
      <c r="BR214" s="570"/>
      <c r="BS214" s="570"/>
      <c r="BT214" s="570"/>
      <c r="BU214" s="570"/>
      <c r="BV214" s="570"/>
      <c r="BW214" s="570"/>
      <c r="BX214" s="570"/>
      <c r="BY214" s="570"/>
      <c r="BZ214" s="571"/>
      <c r="CA214" s="571"/>
    </row>
    <row r="215" spans="2:79">
      <c r="B215" s="572">
        <v>200</v>
      </c>
      <c r="C215" s="308"/>
      <c r="D215" s="307"/>
      <c r="E215" s="307"/>
      <c r="F215" s="305"/>
      <c r="G215" s="305"/>
      <c r="H215" s="292"/>
      <c r="I215" s="574"/>
      <c r="J215" s="573"/>
      <c r="K215" s="307"/>
      <c r="L215" s="292"/>
      <c r="M215" s="308"/>
      <c r="N215" s="292"/>
      <c r="O215" s="308"/>
      <c r="P215" s="575"/>
      <c r="Q215" s="576"/>
      <c r="R215" s="308"/>
      <c r="S215" s="575"/>
      <c r="T215" s="576"/>
      <c r="U215" s="308"/>
      <c r="V215" s="575"/>
      <c r="W215" s="576"/>
      <c r="X215" s="308"/>
      <c r="Y215" s="575"/>
      <c r="Z215" s="576"/>
      <c r="AA215" s="308"/>
      <c r="AB215" s="575"/>
      <c r="AC215" s="576"/>
      <c r="AD215" s="308"/>
      <c r="AE215" s="575"/>
      <c r="AF215" s="308"/>
      <c r="AG215" s="575"/>
      <c r="AH215" s="308"/>
      <c r="AI215" s="575"/>
      <c r="AJ215" s="308"/>
      <c r="AK215" s="305"/>
      <c r="AL215" s="577"/>
      <c r="AM215" s="306"/>
      <c r="AN215" s="308"/>
      <c r="AO215" s="573"/>
      <c r="AP215" s="305"/>
      <c r="AQ215" s="308"/>
      <c r="AR215" s="573"/>
      <c r="AS215" s="578"/>
      <c r="AT215" s="577"/>
      <c r="AU215" s="579"/>
      <c r="AV215" s="578"/>
      <c r="AW215" s="308"/>
      <c r="AX215" s="307"/>
      <c r="AY215" s="307"/>
      <c r="AZ215" s="307"/>
      <c r="BA215" s="307"/>
      <c r="BB215" s="307"/>
      <c r="BC215" s="305"/>
      <c r="BD215" s="292"/>
      <c r="BE215" s="297"/>
      <c r="BF215" s="297"/>
      <c r="BG215" s="569"/>
      <c r="BH215" s="570"/>
      <c r="BI215" s="570"/>
      <c r="BJ215" s="570"/>
      <c r="BK215" s="570"/>
      <c r="BL215" s="570"/>
      <c r="BM215" s="570"/>
      <c r="BN215" s="570"/>
      <c r="BO215" s="570"/>
      <c r="BP215" s="570"/>
      <c r="BQ215" s="570"/>
      <c r="BR215" s="570"/>
      <c r="BS215" s="570"/>
      <c r="BT215" s="570"/>
      <c r="BU215" s="570"/>
      <c r="BV215" s="570"/>
      <c r="BW215" s="570"/>
      <c r="BX215" s="570"/>
      <c r="BY215" s="570"/>
      <c r="BZ215" s="571"/>
      <c r="CA215" s="571"/>
    </row>
    <row r="216" spans="2:79">
      <c r="B216" s="566">
        <v>201</v>
      </c>
      <c r="C216" s="308"/>
      <c r="D216" s="307"/>
      <c r="E216" s="307"/>
      <c r="F216" s="305"/>
      <c r="G216" s="305"/>
      <c r="H216" s="292"/>
      <c r="I216" s="574"/>
      <c r="J216" s="573"/>
      <c r="K216" s="307"/>
      <c r="L216" s="292"/>
      <c r="M216" s="308"/>
      <c r="N216" s="292"/>
      <c r="O216" s="308"/>
      <c r="P216" s="575"/>
      <c r="Q216" s="576"/>
      <c r="R216" s="308"/>
      <c r="S216" s="575"/>
      <c r="T216" s="576"/>
      <c r="U216" s="308"/>
      <c r="V216" s="575"/>
      <c r="W216" s="576"/>
      <c r="X216" s="308"/>
      <c r="Y216" s="575"/>
      <c r="Z216" s="576"/>
      <c r="AA216" s="308"/>
      <c r="AB216" s="575"/>
      <c r="AC216" s="576"/>
      <c r="AD216" s="308"/>
      <c r="AE216" s="575"/>
      <c r="AF216" s="308"/>
      <c r="AG216" s="575"/>
      <c r="AH216" s="308"/>
      <c r="AI216" s="575"/>
      <c r="AJ216" s="308"/>
      <c r="AK216" s="305"/>
      <c r="AL216" s="577"/>
      <c r="AM216" s="306"/>
      <c r="AN216" s="308"/>
      <c r="AO216" s="573"/>
      <c r="AP216" s="305"/>
      <c r="AQ216" s="308"/>
      <c r="AR216" s="573"/>
      <c r="AS216" s="578"/>
      <c r="AT216" s="577"/>
      <c r="AU216" s="579"/>
      <c r="AV216" s="578"/>
      <c r="AW216" s="308"/>
      <c r="AX216" s="307"/>
      <c r="AY216" s="307"/>
      <c r="AZ216" s="307"/>
      <c r="BA216" s="307"/>
      <c r="BB216" s="307"/>
      <c r="BC216" s="305"/>
      <c r="BD216" s="292"/>
      <c r="BE216" s="297"/>
      <c r="BF216" s="297"/>
      <c r="BG216" s="569"/>
      <c r="BH216" s="570"/>
      <c r="BI216" s="570"/>
      <c r="BJ216" s="570"/>
      <c r="BK216" s="570"/>
      <c r="BL216" s="570"/>
      <c r="BM216" s="570"/>
      <c r="BN216" s="570"/>
      <c r="BO216" s="570"/>
      <c r="BP216" s="570"/>
      <c r="BQ216" s="570"/>
      <c r="BR216" s="570"/>
      <c r="BS216" s="570"/>
      <c r="BT216" s="570"/>
      <c r="BU216" s="570"/>
      <c r="BV216" s="570"/>
      <c r="BW216" s="570"/>
      <c r="BX216" s="570"/>
      <c r="BY216" s="570"/>
      <c r="BZ216" s="571"/>
      <c r="CA216" s="571"/>
    </row>
    <row r="217" spans="2:79">
      <c r="B217" s="572">
        <v>202</v>
      </c>
      <c r="C217" s="308"/>
      <c r="D217" s="307"/>
      <c r="E217" s="307"/>
      <c r="F217" s="305"/>
      <c r="G217" s="305"/>
      <c r="H217" s="292"/>
      <c r="I217" s="574"/>
      <c r="J217" s="573"/>
      <c r="K217" s="307"/>
      <c r="L217" s="292"/>
      <c r="M217" s="308"/>
      <c r="N217" s="292"/>
      <c r="O217" s="308"/>
      <c r="P217" s="575"/>
      <c r="Q217" s="576"/>
      <c r="R217" s="308"/>
      <c r="S217" s="575"/>
      <c r="T217" s="576"/>
      <c r="U217" s="308"/>
      <c r="V217" s="575"/>
      <c r="W217" s="576"/>
      <c r="X217" s="308"/>
      <c r="Y217" s="575"/>
      <c r="Z217" s="576"/>
      <c r="AA217" s="308"/>
      <c r="AB217" s="575"/>
      <c r="AC217" s="576"/>
      <c r="AD217" s="308"/>
      <c r="AE217" s="575"/>
      <c r="AF217" s="308"/>
      <c r="AG217" s="575"/>
      <c r="AH217" s="308"/>
      <c r="AI217" s="575"/>
      <c r="AJ217" s="308"/>
      <c r="AK217" s="305"/>
      <c r="AL217" s="577"/>
      <c r="AM217" s="306"/>
      <c r="AN217" s="308"/>
      <c r="AO217" s="573"/>
      <c r="AP217" s="305"/>
      <c r="AQ217" s="308"/>
      <c r="AR217" s="573"/>
      <c r="AS217" s="578"/>
      <c r="AT217" s="577"/>
      <c r="AU217" s="579"/>
      <c r="AV217" s="578"/>
      <c r="AW217" s="308"/>
      <c r="AX217" s="307"/>
      <c r="AY217" s="307"/>
      <c r="AZ217" s="307"/>
      <c r="BA217" s="307"/>
      <c r="BB217" s="307"/>
      <c r="BC217" s="305"/>
      <c r="BD217" s="292"/>
      <c r="BE217" s="297"/>
      <c r="BF217" s="297"/>
      <c r="BG217" s="569"/>
      <c r="BH217" s="570"/>
      <c r="BI217" s="570"/>
      <c r="BJ217" s="570"/>
      <c r="BK217" s="570"/>
      <c r="BL217" s="570"/>
      <c r="BM217" s="570"/>
      <c r="BN217" s="570"/>
      <c r="BO217" s="570"/>
      <c r="BP217" s="570"/>
      <c r="BQ217" s="570"/>
      <c r="BR217" s="570"/>
      <c r="BS217" s="570"/>
      <c r="BT217" s="570"/>
      <c r="BU217" s="570"/>
      <c r="BV217" s="570"/>
      <c r="BW217" s="570"/>
      <c r="BX217" s="570"/>
      <c r="BY217" s="570"/>
      <c r="BZ217" s="571"/>
      <c r="CA217" s="571"/>
    </row>
    <row r="218" spans="2:79">
      <c r="B218" s="566">
        <v>203</v>
      </c>
      <c r="C218" s="308"/>
      <c r="D218" s="307"/>
      <c r="E218" s="307"/>
      <c r="F218" s="305"/>
      <c r="G218" s="305"/>
      <c r="H218" s="292"/>
      <c r="I218" s="574"/>
      <c r="J218" s="573"/>
      <c r="K218" s="307"/>
      <c r="L218" s="292"/>
      <c r="M218" s="308"/>
      <c r="N218" s="292"/>
      <c r="O218" s="308"/>
      <c r="P218" s="575"/>
      <c r="Q218" s="576"/>
      <c r="R218" s="308"/>
      <c r="S218" s="575"/>
      <c r="T218" s="576"/>
      <c r="U218" s="308"/>
      <c r="V218" s="575"/>
      <c r="W218" s="576"/>
      <c r="X218" s="308"/>
      <c r="Y218" s="575"/>
      <c r="Z218" s="576"/>
      <c r="AA218" s="308"/>
      <c r="AB218" s="575"/>
      <c r="AC218" s="576"/>
      <c r="AD218" s="308"/>
      <c r="AE218" s="575"/>
      <c r="AF218" s="308"/>
      <c r="AG218" s="575"/>
      <c r="AH218" s="308"/>
      <c r="AI218" s="575"/>
      <c r="AJ218" s="308"/>
      <c r="AK218" s="305"/>
      <c r="AL218" s="577"/>
      <c r="AM218" s="306"/>
      <c r="AN218" s="308"/>
      <c r="AO218" s="573"/>
      <c r="AP218" s="305"/>
      <c r="AQ218" s="308"/>
      <c r="AR218" s="573"/>
      <c r="AS218" s="578"/>
      <c r="AT218" s="577"/>
      <c r="AU218" s="579"/>
      <c r="AV218" s="578"/>
      <c r="AW218" s="308"/>
      <c r="AX218" s="307"/>
      <c r="AY218" s="307"/>
      <c r="AZ218" s="307"/>
      <c r="BA218" s="307"/>
      <c r="BB218" s="307"/>
      <c r="BC218" s="305"/>
      <c r="BD218" s="292"/>
      <c r="BE218" s="297"/>
      <c r="BF218" s="297"/>
      <c r="BG218" s="569"/>
      <c r="BH218" s="570"/>
      <c r="BI218" s="570"/>
      <c r="BJ218" s="570"/>
      <c r="BK218" s="570"/>
      <c r="BL218" s="570"/>
      <c r="BM218" s="570"/>
      <c r="BN218" s="570"/>
      <c r="BO218" s="570"/>
      <c r="BP218" s="570"/>
      <c r="BQ218" s="570"/>
      <c r="BR218" s="570"/>
      <c r="BS218" s="570"/>
      <c r="BT218" s="570"/>
      <c r="BU218" s="570"/>
      <c r="BV218" s="570"/>
      <c r="BW218" s="570"/>
      <c r="BX218" s="570"/>
      <c r="BY218" s="570"/>
      <c r="BZ218" s="571"/>
      <c r="CA218" s="571"/>
    </row>
    <row r="219" spans="2:79">
      <c r="B219" s="572">
        <v>204</v>
      </c>
      <c r="C219" s="308"/>
      <c r="D219" s="307"/>
      <c r="E219" s="307"/>
      <c r="F219" s="305"/>
      <c r="G219" s="305"/>
      <c r="H219" s="292"/>
      <c r="I219" s="574"/>
      <c r="J219" s="573"/>
      <c r="K219" s="307"/>
      <c r="L219" s="292"/>
      <c r="M219" s="308"/>
      <c r="N219" s="292"/>
      <c r="O219" s="308"/>
      <c r="P219" s="575"/>
      <c r="Q219" s="576"/>
      <c r="R219" s="308"/>
      <c r="S219" s="575"/>
      <c r="T219" s="576"/>
      <c r="U219" s="308"/>
      <c r="V219" s="575"/>
      <c r="W219" s="576"/>
      <c r="X219" s="308"/>
      <c r="Y219" s="575"/>
      <c r="Z219" s="576"/>
      <c r="AA219" s="308"/>
      <c r="AB219" s="575"/>
      <c r="AC219" s="576"/>
      <c r="AD219" s="308"/>
      <c r="AE219" s="575"/>
      <c r="AF219" s="308"/>
      <c r="AG219" s="575"/>
      <c r="AH219" s="308"/>
      <c r="AI219" s="575"/>
      <c r="AJ219" s="308"/>
      <c r="AK219" s="305"/>
      <c r="AL219" s="577"/>
      <c r="AM219" s="306"/>
      <c r="AN219" s="308"/>
      <c r="AO219" s="573"/>
      <c r="AP219" s="305"/>
      <c r="AQ219" s="308"/>
      <c r="AR219" s="573"/>
      <c r="AS219" s="578"/>
      <c r="AT219" s="577"/>
      <c r="AU219" s="579"/>
      <c r="AV219" s="578"/>
      <c r="AW219" s="308"/>
      <c r="AX219" s="307"/>
      <c r="AY219" s="307"/>
      <c r="AZ219" s="307"/>
      <c r="BA219" s="307"/>
      <c r="BB219" s="307"/>
      <c r="BC219" s="305"/>
      <c r="BD219" s="292"/>
      <c r="BE219" s="297"/>
      <c r="BF219" s="297"/>
      <c r="BG219" s="569"/>
      <c r="BH219" s="570"/>
      <c r="BI219" s="570"/>
      <c r="BJ219" s="570"/>
      <c r="BK219" s="570"/>
      <c r="BL219" s="570"/>
      <c r="BM219" s="570"/>
      <c r="BN219" s="570"/>
      <c r="BO219" s="570"/>
      <c r="BP219" s="570"/>
      <c r="BQ219" s="570"/>
      <c r="BR219" s="570"/>
      <c r="BS219" s="570"/>
      <c r="BT219" s="570"/>
      <c r="BU219" s="570"/>
      <c r="BV219" s="570"/>
      <c r="BW219" s="570"/>
      <c r="BX219" s="570"/>
      <c r="BY219" s="570"/>
      <c r="BZ219" s="571"/>
      <c r="CA219" s="571"/>
    </row>
    <row r="220" spans="2:79">
      <c r="B220" s="566">
        <v>205</v>
      </c>
      <c r="C220" s="308"/>
      <c r="D220" s="307"/>
      <c r="E220" s="307"/>
      <c r="F220" s="305"/>
      <c r="G220" s="305"/>
      <c r="H220" s="292"/>
      <c r="I220" s="574"/>
      <c r="J220" s="573"/>
      <c r="K220" s="307"/>
      <c r="L220" s="292"/>
      <c r="M220" s="308"/>
      <c r="N220" s="292"/>
      <c r="O220" s="308"/>
      <c r="P220" s="575"/>
      <c r="Q220" s="576"/>
      <c r="R220" s="308"/>
      <c r="S220" s="575"/>
      <c r="T220" s="576"/>
      <c r="U220" s="308"/>
      <c r="V220" s="575"/>
      <c r="W220" s="576"/>
      <c r="X220" s="308"/>
      <c r="Y220" s="575"/>
      <c r="Z220" s="576"/>
      <c r="AA220" s="308"/>
      <c r="AB220" s="575"/>
      <c r="AC220" s="576"/>
      <c r="AD220" s="308"/>
      <c r="AE220" s="575"/>
      <c r="AF220" s="308"/>
      <c r="AG220" s="575"/>
      <c r="AH220" s="308"/>
      <c r="AI220" s="575"/>
      <c r="AJ220" s="308"/>
      <c r="AK220" s="305"/>
      <c r="AL220" s="577"/>
      <c r="AM220" s="306"/>
      <c r="AN220" s="308"/>
      <c r="AO220" s="573"/>
      <c r="AP220" s="305"/>
      <c r="AQ220" s="308"/>
      <c r="AR220" s="573"/>
      <c r="AS220" s="578"/>
      <c r="AT220" s="577"/>
      <c r="AU220" s="579"/>
      <c r="AV220" s="578"/>
      <c r="AW220" s="308"/>
      <c r="AX220" s="307"/>
      <c r="AY220" s="307"/>
      <c r="AZ220" s="307"/>
      <c r="BA220" s="307"/>
      <c r="BB220" s="307"/>
      <c r="BC220" s="305"/>
      <c r="BD220" s="292"/>
      <c r="BE220" s="297"/>
      <c r="BF220" s="297"/>
      <c r="BG220" s="569"/>
      <c r="BH220" s="570"/>
      <c r="BI220" s="570"/>
      <c r="BJ220" s="570"/>
      <c r="BK220" s="570"/>
      <c r="BL220" s="570"/>
      <c r="BM220" s="570"/>
      <c r="BN220" s="570"/>
      <c r="BO220" s="570"/>
      <c r="BP220" s="570"/>
      <c r="BQ220" s="570"/>
      <c r="BR220" s="570"/>
      <c r="BS220" s="570"/>
      <c r="BT220" s="570"/>
      <c r="BU220" s="570"/>
      <c r="BV220" s="570"/>
      <c r="BW220" s="570"/>
      <c r="BX220" s="570"/>
      <c r="BY220" s="570"/>
      <c r="BZ220" s="571"/>
      <c r="CA220" s="571"/>
    </row>
    <row r="221" spans="2:79">
      <c r="B221" s="572">
        <v>206</v>
      </c>
      <c r="C221" s="308"/>
      <c r="D221" s="307"/>
      <c r="E221" s="307"/>
      <c r="F221" s="305"/>
      <c r="G221" s="305"/>
      <c r="H221" s="292"/>
      <c r="I221" s="574"/>
      <c r="J221" s="573"/>
      <c r="K221" s="307"/>
      <c r="L221" s="292"/>
      <c r="M221" s="308"/>
      <c r="N221" s="292"/>
      <c r="O221" s="308"/>
      <c r="P221" s="575"/>
      <c r="Q221" s="576"/>
      <c r="R221" s="308"/>
      <c r="S221" s="575"/>
      <c r="T221" s="576"/>
      <c r="U221" s="308"/>
      <c r="V221" s="575"/>
      <c r="W221" s="576"/>
      <c r="X221" s="308"/>
      <c r="Y221" s="575"/>
      <c r="Z221" s="576"/>
      <c r="AA221" s="308"/>
      <c r="AB221" s="575"/>
      <c r="AC221" s="576"/>
      <c r="AD221" s="308"/>
      <c r="AE221" s="575"/>
      <c r="AF221" s="308"/>
      <c r="AG221" s="575"/>
      <c r="AH221" s="308"/>
      <c r="AI221" s="575"/>
      <c r="AJ221" s="308"/>
      <c r="AK221" s="305"/>
      <c r="AL221" s="577"/>
      <c r="AM221" s="306"/>
      <c r="AN221" s="308"/>
      <c r="AO221" s="573"/>
      <c r="AP221" s="305"/>
      <c r="AQ221" s="308"/>
      <c r="AR221" s="573"/>
      <c r="AS221" s="578"/>
      <c r="AT221" s="577"/>
      <c r="AU221" s="579"/>
      <c r="AV221" s="578"/>
      <c r="AW221" s="308"/>
      <c r="AX221" s="307"/>
      <c r="AY221" s="307"/>
      <c r="AZ221" s="307"/>
      <c r="BA221" s="307"/>
      <c r="BB221" s="307"/>
      <c r="BC221" s="305"/>
      <c r="BD221" s="292"/>
      <c r="BE221" s="297"/>
      <c r="BF221" s="297"/>
      <c r="BG221" s="569"/>
      <c r="BH221" s="570"/>
      <c r="BI221" s="570"/>
      <c r="BJ221" s="570"/>
      <c r="BK221" s="570"/>
      <c r="BL221" s="570"/>
      <c r="BM221" s="570"/>
      <c r="BN221" s="570"/>
      <c r="BO221" s="570"/>
      <c r="BP221" s="570"/>
      <c r="BQ221" s="570"/>
      <c r="BR221" s="570"/>
      <c r="BS221" s="570"/>
      <c r="BT221" s="570"/>
      <c r="BU221" s="570"/>
      <c r="BV221" s="570"/>
      <c r="BW221" s="570"/>
      <c r="BX221" s="570"/>
      <c r="BY221" s="570"/>
      <c r="BZ221" s="571"/>
      <c r="CA221" s="571"/>
    </row>
    <row r="222" spans="2:79">
      <c r="B222" s="566">
        <v>207</v>
      </c>
      <c r="C222" s="308"/>
      <c r="D222" s="307"/>
      <c r="E222" s="307"/>
      <c r="F222" s="305"/>
      <c r="G222" s="305"/>
      <c r="H222" s="292"/>
      <c r="I222" s="574"/>
      <c r="J222" s="573"/>
      <c r="K222" s="307"/>
      <c r="L222" s="292"/>
      <c r="M222" s="308"/>
      <c r="N222" s="292"/>
      <c r="O222" s="308"/>
      <c r="P222" s="575"/>
      <c r="Q222" s="576"/>
      <c r="R222" s="308"/>
      <c r="S222" s="575"/>
      <c r="T222" s="576"/>
      <c r="U222" s="308"/>
      <c r="V222" s="575"/>
      <c r="W222" s="576"/>
      <c r="X222" s="308"/>
      <c r="Y222" s="575"/>
      <c r="Z222" s="576"/>
      <c r="AA222" s="308"/>
      <c r="AB222" s="575"/>
      <c r="AC222" s="576"/>
      <c r="AD222" s="308"/>
      <c r="AE222" s="575"/>
      <c r="AF222" s="308"/>
      <c r="AG222" s="575"/>
      <c r="AH222" s="308"/>
      <c r="AI222" s="575"/>
      <c r="AJ222" s="308"/>
      <c r="AK222" s="305"/>
      <c r="AL222" s="577"/>
      <c r="AM222" s="306"/>
      <c r="AN222" s="308"/>
      <c r="AO222" s="573"/>
      <c r="AP222" s="305"/>
      <c r="AQ222" s="308"/>
      <c r="AR222" s="573"/>
      <c r="AS222" s="578"/>
      <c r="AT222" s="577"/>
      <c r="AU222" s="579"/>
      <c r="AV222" s="578"/>
      <c r="AW222" s="308"/>
      <c r="AX222" s="307"/>
      <c r="AY222" s="307"/>
      <c r="AZ222" s="307"/>
      <c r="BA222" s="307"/>
      <c r="BB222" s="307"/>
      <c r="BC222" s="305"/>
      <c r="BD222" s="292"/>
      <c r="BE222" s="297"/>
      <c r="BF222" s="297"/>
      <c r="BG222" s="569"/>
      <c r="BH222" s="570"/>
      <c r="BI222" s="570"/>
      <c r="BJ222" s="570"/>
      <c r="BK222" s="570"/>
      <c r="BL222" s="570"/>
      <c r="BM222" s="570"/>
      <c r="BN222" s="570"/>
      <c r="BO222" s="570"/>
      <c r="BP222" s="570"/>
      <c r="BQ222" s="570"/>
      <c r="BR222" s="570"/>
      <c r="BS222" s="570"/>
      <c r="BT222" s="570"/>
      <c r="BU222" s="570"/>
      <c r="BV222" s="570"/>
      <c r="BW222" s="570"/>
      <c r="BX222" s="570"/>
      <c r="BY222" s="570"/>
      <c r="BZ222" s="571"/>
      <c r="CA222" s="571"/>
    </row>
    <row r="223" spans="2:79">
      <c r="B223" s="572">
        <v>208</v>
      </c>
      <c r="C223" s="308"/>
      <c r="D223" s="307"/>
      <c r="E223" s="307"/>
      <c r="F223" s="305"/>
      <c r="G223" s="305"/>
      <c r="H223" s="292"/>
      <c r="I223" s="574"/>
      <c r="J223" s="573"/>
      <c r="K223" s="307"/>
      <c r="L223" s="292"/>
      <c r="M223" s="308"/>
      <c r="N223" s="292"/>
      <c r="O223" s="308"/>
      <c r="P223" s="575"/>
      <c r="Q223" s="576"/>
      <c r="R223" s="308"/>
      <c r="S223" s="575"/>
      <c r="T223" s="576"/>
      <c r="U223" s="308"/>
      <c r="V223" s="575"/>
      <c r="W223" s="576"/>
      <c r="X223" s="308"/>
      <c r="Y223" s="575"/>
      <c r="Z223" s="576"/>
      <c r="AA223" s="308"/>
      <c r="AB223" s="575"/>
      <c r="AC223" s="576"/>
      <c r="AD223" s="308"/>
      <c r="AE223" s="575"/>
      <c r="AF223" s="308"/>
      <c r="AG223" s="575"/>
      <c r="AH223" s="308"/>
      <c r="AI223" s="575"/>
      <c r="AJ223" s="308"/>
      <c r="AK223" s="305"/>
      <c r="AL223" s="577"/>
      <c r="AM223" s="306"/>
      <c r="AN223" s="308"/>
      <c r="AO223" s="573"/>
      <c r="AP223" s="305"/>
      <c r="AQ223" s="308"/>
      <c r="AR223" s="573"/>
      <c r="AS223" s="578"/>
      <c r="AT223" s="577"/>
      <c r="AU223" s="579"/>
      <c r="AV223" s="578"/>
      <c r="AW223" s="308"/>
      <c r="AX223" s="307"/>
      <c r="AY223" s="307"/>
      <c r="AZ223" s="307"/>
      <c r="BA223" s="307"/>
      <c r="BB223" s="307"/>
      <c r="BC223" s="305"/>
      <c r="BD223" s="292"/>
      <c r="BE223" s="297"/>
      <c r="BF223" s="297"/>
      <c r="BG223" s="569"/>
      <c r="BH223" s="570"/>
      <c r="BI223" s="570"/>
      <c r="BJ223" s="570"/>
      <c r="BK223" s="570"/>
      <c r="BL223" s="570"/>
      <c r="BM223" s="570"/>
      <c r="BN223" s="570"/>
      <c r="BO223" s="570"/>
      <c r="BP223" s="570"/>
      <c r="BQ223" s="570"/>
      <c r="BR223" s="570"/>
      <c r="BS223" s="570"/>
      <c r="BT223" s="570"/>
      <c r="BU223" s="570"/>
      <c r="BV223" s="570"/>
      <c r="BW223" s="570"/>
      <c r="BX223" s="570"/>
      <c r="BY223" s="570"/>
      <c r="BZ223" s="571"/>
      <c r="CA223" s="571"/>
    </row>
    <row r="224" spans="2:79">
      <c r="B224" s="566">
        <v>209</v>
      </c>
      <c r="C224" s="308"/>
      <c r="D224" s="307"/>
      <c r="E224" s="307"/>
      <c r="F224" s="305"/>
      <c r="G224" s="305"/>
      <c r="H224" s="292"/>
      <c r="I224" s="574"/>
      <c r="J224" s="573"/>
      <c r="K224" s="307"/>
      <c r="L224" s="292"/>
      <c r="M224" s="308"/>
      <c r="N224" s="292"/>
      <c r="O224" s="308"/>
      <c r="P224" s="575"/>
      <c r="Q224" s="576"/>
      <c r="R224" s="308"/>
      <c r="S224" s="575"/>
      <c r="T224" s="576"/>
      <c r="U224" s="308"/>
      <c r="V224" s="575"/>
      <c r="W224" s="576"/>
      <c r="X224" s="308"/>
      <c r="Y224" s="575"/>
      <c r="Z224" s="576"/>
      <c r="AA224" s="308"/>
      <c r="AB224" s="575"/>
      <c r="AC224" s="576"/>
      <c r="AD224" s="308"/>
      <c r="AE224" s="575"/>
      <c r="AF224" s="308"/>
      <c r="AG224" s="575"/>
      <c r="AH224" s="308"/>
      <c r="AI224" s="575"/>
      <c r="AJ224" s="308"/>
      <c r="AK224" s="305"/>
      <c r="AL224" s="577"/>
      <c r="AM224" s="306"/>
      <c r="AN224" s="308"/>
      <c r="AO224" s="573"/>
      <c r="AP224" s="305"/>
      <c r="AQ224" s="308"/>
      <c r="AR224" s="573"/>
      <c r="AS224" s="578"/>
      <c r="AT224" s="577"/>
      <c r="AU224" s="579"/>
      <c r="AV224" s="578"/>
      <c r="AW224" s="308"/>
      <c r="AX224" s="307"/>
      <c r="AY224" s="307"/>
      <c r="AZ224" s="307"/>
      <c r="BA224" s="307"/>
      <c r="BB224" s="307"/>
      <c r="BC224" s="305"/>
      <c r="BD224" s="292"/>
      <c r="BE224" s="297"/>
      <c r="BF224" s="297"/>
      <c r="BG224" s="569"/>
      <c r="BH224" s="570"/>
      <c r="BI224" s="570"/>
      <c r="BJ224" s="570"/>
      <c r="BK224" s="570"/>
      <c r="BL224" s="570"/>
      <c r="BM224" s="570"/>
      <c r="BN224" s="570"/>
      <c r="BO224" s="570"/>
      <c r="BP224" s="570"/>
      <c r="BQ224" s="570"/>
      <c r="BR224" s="570"/>
      <c r="BS224" s="570"/>
      <c r="BT224" s="570"/>
      <c r="BU224" s="570"/>
      <c r="BV224" s="570"/>
      <c r="BW224" s="570"/>
      <c r="BX224" s="570"/>
      <c r="BY224" s="570"/>
      <c r="BZ224" s="571"/>
      <c r="CA224" s="571"/>
    </row>
    <row r="225" spans="2:79">
      <c r="B225" s="572">
        <v>210</v>
      </c>
      <c r="C225" s="308"/>
      <c r="D225" s="307"/>
      <c r="E225" s="307"/>
      <c r="F225" s="305"/>
      <c r="G225" s="305"/>
      <c r="H225" s="292"/>
      <c r="I225" s="574"/>
      <c r="J225" s="573"/>
      <c r="K225" s="307"/>
      <c r="L225" s="292"/>
      <c r="M225" s="308"/>
      <c r="N225" s="292"/>
      <c r="O225" s="308"/>
      <c r="P225" s="575"/>
      <c r="Q225" s="576"/>
      <c r="R225" s="308"/>
      <c r="S225" s="575"/>
      <c r="T225" s="576"/>
      <c r="U225" s="308"/>
      <c r="V225" s="575"/>
      <c r="W225" s="576"/>
      <c r="X225" s="308"/>
      <c r="Y225" s="575"/>
      <c r="Z225" s="576"/>
      <c r="AA225" s="308"/>
      <c r="AB225" s="575"/>
      <c r="AC225" s="576"/>
      <c r="AD225" s="308"/>
      <c r="AE225" s="575"/>
      <c r="AF225" s="308"/>
      <c r="AG225" s="575"/>
      <c r="AH225" s="308"/>
      <c r="AI225" s="575"/>
      <c r="AJ225" s="308"/>
      <c r="AK225" s="305"/>
      <c r="AL225" s="577"/>
      <c r="AM225" s="306"/>
      <c r="AN225" s="308"/>
      <c r="AO225" s="573"/>
      <c r="AP225" s="305"/>
      <c r="AQ225" s="308"/>
      <c r="AR225" s="573"/>
      <c r="AS225" s="578"/>
      <c r="AT225" s="577"/>
      <c r="AU225" s="579"/>
      <c r="AV225" s="578"/>
      <c r="AW225" s="308"/>
      <c r="AX225" s="307"/>
      <c r="AY225" s="307"/>
      <c r="AZ225" s="307"/>
      <c r="BA225" s="307"/>
      <c r="BB225" s="307"/>
      <c r="BC225" s="305"/>
      <c r="BD225" s="292"/>
      <c r="BE225" s="297"/>
      <c r="BF225" s="297"/>
      <c r="BG225" s="569"/>
      <c r="BH225" s="570"/>
      <c r="BI225" s="570"/>
      <c r="BJ225" s="570"/>
      <c r="BK225" s="570"/>
      <c r="BL225" s="570"/>
      <c r="BM225" s="570"/>
      <c r="BN225" s="570"/>
      <c r="BO225" s="570"/>
      <c r="BP225" s="570"/>
      <c r="BQ225" s="570"/>
      <c r="BR225" s="570"/>
      <c r="BS225" s="570"/>
      <c r="BT225" s="570"/>
      <c r="BU225" s="570"/>
      <c r="BV225" s="570"/>
      <c r="BW225" s="570"/>
      <c r="BX225" s="570"/>
      <c r="BY225" s="570"/>
      <c r="BZ225" s="571"/>
      <c r="CA225" s="571"/>
    </row>
    <row r="226" spans="2:79">
      <c r="B226" s="566">
        <v>211</v>
      </c>
      <c r="C226" s="308"/>
      <c r="D226" s="307"/>
      <c r="E226" s="307"/>
      <c r="F226" s="305"/>
      <c r="G226" s="305"/>
      <c r="H226" s="292"/>
      <c r="I226" s="574"/>
      <c r="J226" s="573"/>
      <c r="K226" s="307"/>
      <c r="L226" s="292"/>
      <c r="M226" s="308"/>
      <c r="N226" s="292"/>
      <c r="O226" s="308"/>
      <c r="P226" s="575"/>
      <c r="Q226" s="576"/>
      <c r="R226" s="308"/>
      <c r="S226" s="575"/>
      <c r="T226" s="576"/>
      <c r="U226" s="308"/>
      <c r="V226" s="575"/>
      <c r="W226" s="576"/>
      <c r="X226" s="308"/>
      <c r="Y226" s="575"/>
      <c r="Z226" s="576"/>
      <c r="AA226" s="308"/>
      <c r="AB226" s="575"/>
      <c r="AC226" s="576"/>
      <c r="AD226" s="308"/>
      <c r="AE226" s="575"/>
      <c r="AF226" s="308"/>
      <c r="AG226" s="575"/>
      <c r="AH226" s="308"/>
      <c r="AI226" s="575"/>
      <c r="AJ226" s="308"/>
      <c r="AK226" s="305"/>
      <c r="AL226" s="577"/>
      <c r="AM226" s="306"/>
      <c r="AN226" s="308"/>
      <c r="AO226" s="573"/>
      <c r="AP226" s="305"/>
      <c r="AQ226" s="308"/>
      <c r="AR226" s="573"/>
      <c r="AS226" s="578"/>
      <c r="AT226" s="577"/>
      <c r="AU226" s="579"/>
      <c r="AV226" s="578"/>
      <c r="AW226" s="308"/>
      <c r="AX226" s="307"/>
      <c r="AY226" s="307"/>
      <c r="AZ226" s="307"/>
      <c r="BA226" s="307"/>
      <c r="BB226" s="307"/>
      <c r="BC226" s="305"/>
      <c r="BD226" s="292"/>
      <c r="BE226" s="297"/>
      <c r="BF226" s="297"/>
      <c r="BG226" s="569"/>
      <c r="BH226" s="570"/>
      <c r="BI226" s="570"/>
      <c r="BJ226" s="570"/>
      <c r="BK226" s="570"/>
      <c r="BL226" s="570"/>
      <c r="BM226" s="570"/>
      <c r="BN226" s="570"/>
      <c r="BO226" s="570"/>
      <c r="BP226" s="570"/>
      <c r="BQ226" s="570"/>
      <c r="BR226" s="570"/>
      <c r="BS226" s="570"/>
      <c r="BT226" s="570"/>
      <c r="BU226" s="570"/>
      <c r="BV226" s="570"/>
      <c r="BW226" s="570"/>
      <c r="BX226" s="570"/>
      <c r="BY226" s="570"/>
      <c r="BZ226" s="571"/>
      <c r="CA226" s="571"/>
    </row>
    <row r="227" spans="2:79">
      <c r="B227" s="572">
        <v>212</v>
      </c>
      <c r="C227" s="308"/>
      <c r="D227" s="307"/>
      <c r="E227" s="307"/>
      <c r="F227" s="305"/>
      <c r="G227" s="305"/>
      <c r="H227" s="292"/>
      <c r="I227" s="574"/>
      <c r="J227" s="573"/>
      <c r="K227" s="307"/>
      <c r="L227" s="292"/>
      <c r="M227" s="308"/>
      <c r="N227" s="292"/>
      <c r="O227" s="308"/>
      <c r="P227" s="575"/>
      <c r="Q227" s="576"/>
      <c r="R227" s="308"/>
      <c r="S227" s="575"/>
      <c r="T227" s="576"/>
      <c r="U227" s="308"/>
      <c r="V227" s="575"/>
      <c r="W227" s="576"/>
      <c r="X227" s="308"/>
      <c r="Y227" s="575"/>
      <c r="Z227" s="576"/>
      <c r="AA227" s="308"/>
      <c r="AB227" s="575"/>
      <c r="AC227" s="576"/>
      <c r="AD227" s="308"/>
      <c r="AE227" s="575"/>
      <c r="AF227" s="308"/>
      <c r="AG227" s="575"/>
      <c r="AH227" s="308"/>
      <c r="AI227" s="575"/>
      <c r="AJ227" s="308"/>
      <c r="AK227" s="305"/>
      <c r="AL227" s="577"/>
      <c r="AM227" s="306"/>
      <c r="AN227" s="308"/>
      <c r="AO227" s="573"/>
      <c r="AP227" s="305"/>
      <c r="AQ227" s="308"/>
      <c r="AR227" s="573"/>
      <c r="AS227" s="578"/>
      <c r="AT227" s="577"/>
      <c r="AU227" s="579"/>
      <c r="AV227" s="578"/>
      <c r="AW227" s="308"/>
      <c r="AX227" s="307"/>
      <c r="AY227" s="307"/>
      <c r="AZ227" s="307"/>
      <c r="BA227" s="307"/>
      <c r="BB227" s="307"/>
      <c r="BC227" s="305"/>
      <c r="BD227" s="292"/>
      <c r="BE227" s="297"/>
      <c r="BF227" s="297"/>
      <c r="BG227" s="569"/>
      <c r="BH227" s="570"/>
      <c r="BI227" s="570"/>
      <c r="BJ227" s="570"/>
      <c r="BK227" s="570"/>
      <c r="BL227" s="570"/>
      <c r="BM227" s="570"/>
      <c r="BN227" s="570"/>
      <c r="BO227" s="570"/>
      <c r="BP227" s="570"/>
      <c r="BQ227" s="570"/>
      <c r="BR227" s="570"/>
      <c r="BS227" s="570"/>
      <c r="BT227" s="570"/>
      <c r="BU227" s="570"/>
      <c r="BV227" s="570"/>
      <c r="BW227" s="570"/>
      <c r="BX227" s="570"/>
      <c r="BY227" s="570"/>
      <c r="BZ227" s="571"/>
      <c r="CA227" s="571"/>
    </row>
    <row r="228" spans="2:79">
      <c r="B228" s="566">
        <v>213</v>
      </c>
      <c r="C228" s="308"/>
      <c r="D228" s="307"/>
      <c r="E228" s="307"/>
      <c r="F228" s="305"/>
      <c r="G228" s="305"/>
      <c r="H228" s="292"/>
      <c r="I228" s="574"/>
      <c r="J228" s="573"/>
      <c r="K228" s="307"/>
      <c r="L228" s="292"/>
      <c r="M228" s="308"/>
      <c r="N228" s="292"/>
      <c r="O228" s="308"/>
      <c r="P228" s="575"/>
      <c r="Q228" s="576"/>
      <c r="R228" s="308"/>
      <c r="S228" s="575"/>
      <c r="T228" s="576"/>
      <c r="U228" s="308"/>
      <c r="V228" s="575"/>
      <c r="W228" s="576"/>
      <c r="X228" s="308"/>
      <c r="Y228" s="575"/>
      <c r="Z228" s="576"/>
      <c r="AA228" s="308"/>
      <c r="AB228" s="575"/>
      <c r="AC228" s="576"/>
      <c r="AD228" s="308"/>
      <c r="AE228" s="575"/>
      <c r="AF228" s="308"/>
      <c r="AG228" s="575"/>
      <c r="AH228" s="308"/>
      <c r="AI228" s="575"/>
      <c r="AJ228" s="308"/>
      <c r="AK228" s="305"/>
      <c r="AL228" s="577"/>
      <c r="AM228" s="306"/>
      <c r="AN228" s="308"/>
      <c r="AO228" s="573"/>
      <c r="AP228" s="305"/>
      <c r="AQ228" s="308"/>
      <c r="AR228" s="573"/>
      <c r="AS228" s="578"/>
      <c r="AT228" s="577"/>
      <c r="AU228" s="579"/>
      <c r="AV228" s="578"/>
      <c r="AW228" s="308"/>
      <c r="AX228" s="307"/>
      <c r="AY228" s="307"/>
      <c r="AZ228" s="307"/>
      <c r="BA228" s="307"/>
      <c r="BB228" s="307"/>
      <c r="BC228" s="305"/>
      <c r="BD228" s="292"/>
      <c r="BE228" s="297"/>
      <c r="BF228" s="297"/>
      <c r="BG228" s="569"/>
      <c r="BH228" s="570"/>
      <c r="BI228" s="570"/>
      <c r="BJ228" s="570"/>
      <c r="BK228" s="570"/>
      <c r="BL228" s="570"/>
      <c r="BM228" s="570"/>
      <c r="BN228" s="570"/>
      <c r="BO228" s="570"/>
      <c r="BP228" s="570"/>
      <c r="BQ228" s="570"/>
      <c r="BR228" s="570"/>
      <c r="BS228" s="570"/>
      <c r="BT228" s="570"/>
      <c r="BU228" s="570"/>
      <c r="BV228" s="570"/>
      <c r="BW228" s="570"/>
      <c r="BX228" s="570"/>
      <c r="BY228" s="570"/>
      <c r="BZ228" s="571"/>
      <c r="CA228" s="571"/>
    </row>
    <row r="229" spans="2:79">
      <c r="B229" s="572">
        <v>214</v>
      </c>
      <c r="C229" s="308"/>
      <c r="D229" s="307"/>
      <c r="E229" s="307"/>
      <c r="F229" s="305"/>
      <c r="G229" s="305"/>
      <c r="H229" s="292"/>
      <c r="I229" s="574"/>
      <c r="J229" s="573"/>
      <c r="K229" s="307"/>
      <c r="L229" s="292"/>
      <c r="M229" s="308"/>
      <c r="N229" s="292"/>
      <c r="O229" s="308"/>
      <c r="P229" s="575"/>
      <c r="Q229" s="576"/>
      <c r="R229" s="308"/>
      <c r="S229" s="575"/>
      <c r="T229" s="576"/>
      <c r="U229" s="308"/>
      <c r="V229" s="575"/>
      <c r="W229" s="576"/>
      <c r="X229" s="308"/>
      <c r="Y229" s="575"/>
      <c r="Z229" s="576"/>
      <c r="AA229" s="308"/>
      <c r="AB229" s="575"/>
      <c r="AC229" s="576"/>
      <c r="AD229" s="308"/>
      <c r="AE229" s="575"/>
      <c r="AF229" s="308"/>
      <c r="AG229" s="575"/>
      <c r="AH229" s="308"/>
      <c r="AI229" s="575"/>
      <c r="AJ229" s="308"/>
      <c r="AK229" s="305"/>
      <c r="AL229" s="577"/>
      <c r="AM229" s="306"/>
      <c r="AN229" s="308"/>
      <c r="AO229" s="573"/>
      <c r="AP229" s="305"/>
      <c r="AQ229" s="308"/>
      <c r="AR229" s="573"/>
      <c r="AS229" s="578"/>
      <c r="AT229" s="577"/>
      <c r="AU229" s="579"/>
      <c r="AV229" s="578"/>
      <c r="AW229" s="308"/>
      <c r="AX229" s="307"/>
      <c r="AY229" s="307"/>
      <c r="AZ229" s="307"/>
      <c r="BA229" s="307"/>
      <c r="BB229" s="307"/>
      <c r="BC229" s="305"/>
      <c r="BD229" s="292"/>
      <c r="BE229" s="297"/>
      <c r="BF229" s="297"/>
      <c r="BG229" s="569"/>
      <c r="BH229" s="570"/>
      <c r="BI229" s="570"/>
      <c r="BJ229" s="570"/>
      <c r="BK229" s="570"/>
      <c r="BL229" s="570"/>
      <c r="BM229" s="570"/>
      <c r="BN229" s="570"/>
      <c r="BO229" s="570"/>
      <c r="BP229" s="570"/>
      <c r="BQ229" s="570"/>
      <c r="BR229" s="570"/>
      <c r="BS229" s="570"/>
      <c r="BT229" s="570"/>
      <c r="BU229" s="570"/>
      <c r="BV229" s="570"/>
      <c r="BW229" s="570"/>
      <c r="BX229" s="570"/>
      <c r="BY229" s="570"/>
      <c r="BZ229" s="571"/>
      <c r="CA229" s="571"/>
    </row>
    <row r="230" spans="2:79">
      <c r="B230" s="566">
        <v>215</v>
      </c>
      <c r="C230" s="308"/>
      <c r="D230" s="307"/>
      <c r="E230" s="307"/>
      <c r="F230" s="305"/>
      <c r="G230" s="305"/>
      <c r="H230" s="292"/>
      <c r="I230" s="574"/>
      <c r="J230" s="573"/>
      <c r="K230" s="307"/>
      <c r="L230" s="292"/>
      <c r="M230" s="308"/>
      <c r="N230" s="292"/>
      <c r="O230" s="308"/>
      <c r="P230" s="575"/>
      <c r="Q230" s="576"/>
      <c r="R230" s="308"/>
      <c r="S230" s="575"/>
      <c r="T230" s="576"/>
      <c r="U230" s="308"/>
      <c r="V230" s="575"/>
      <c r="W230" s="576"/>
      <c r="X230" s="308"/>
      <c r="Y230" s="575"/>
      <c r="Z230" s="576"/>
      <c r="AA230" s="308"/>
      <c r="AB230" s="575"/>
      <c r="AC230" s="576"/>
      <c r="AD230" s="308"/>
      <c r="AE230" s="575"/>
      <c r="AF230" s="308"/>
      <c r="AG230" s="575"/>
      <c r="AH230" s="308"/>
      <c r="AI230" s="575"/>
      <c r="AJ230" s="308"/>
      <c r="AK230" s="305"/>
      <c r="AL230" s="577"/>
      <c r="AM230" s="306"/>
      <c r="AN230" s="308"/>
      <c r="AO230" s="573"/>
      <c r="AP230" s="305"/>
      <c r="AQ230" s="308"/>
      <c r="AR230" s="573"/>
      <c r="AS230" s="578"/>
      <c r="AT230" s="577"/>
      <c r="AU230" s="579"/>
      <c r="AV230" s="578"/>
      <c r="AW230" s="308"/>
      <c r="AX230" s="307"/>
      <c r="AY230" s="307"/>
      <c r="AZ230" s="307"/>
      <c r="BA230" s="307"/>
      <c r="BB230" s="307"/>
      <c r="BC230" s="305"/>
      <c r="BD230" s="292"/>
      <c r="BE230" s="297"/>
      <c r="BF230" s="297"/>
      <c r="BG230" s="569"/>
      <c r="BH230" s="570"/>
      <c r="BI230" s="570"/>
      <c r="BJ230" s="570"/>
      <c r="BK230" s="570"/>
      <c r="BL230" s="570"/>
      <c r="BM230" s="570"/>
      <c r="BN230" s="570"/>
      <c r="BO230" s="570"/>
      <c r="BP230" s="570"/>
      <c r="BQ230" s="570"/>
      <c r="BR230" s="570"/>
      <c r="BS230" s="570"/>
      <c r="BT230" s="570"/>
      <c r="BU230" s="570"/>
      <c r="BV230" s="570"/>
      <c r="BW230" s="570"/>
      <c r="BX230" s="570"/>
      <c r="BY230" s="570"/>
      <c r="BZ230" s="571"/>
      <c r="CA230" s="571"/>
    </row>
    <row r="231" spans="2:79">
      <c r="B231" s="572">
        <v>216</v>
      </c>
      <c r="C231" s="308"/>
      <c r="D231" s="307"/>
      <c r="E231" s="307"/>
      <c r="F231" s="305"/>
      <c r="G231" s="305"/>
      <c r="H231" s="292"/>
      <c r="I231" s="574"/>
      <c r="J231" s="573"/>
      <c r="K231" s="307"/>
      <c r="L231" s="292"/>
      <c r="M231" s="308"/>
      <c r="N231" s="292"/>
      <c r="O231" s="308"/>
      <c r="P231" s="575"/>
      <c r="Q231" s="576"/>
      <c r="R231" s="308"/>
      <c r="S231" s="575"/>
      <c r="T231" s="576"/>
      <c r="U231" s="308"/>
      <c r="V231" s="575"/>
      <c r="W231" s="576"/>
      <c r="X231" s="308"/>
      <c r="Y231" s="575"/>
      <c r="Z231" s="576"/>
      <c r="AA231" s="308"/>
      <c r="AB231" s="575"/>
      <c r="AC231" s="576"/>
      <c r="AD231" s="308"/>
      <c r="AE231" s="575"/>
      <c r="AF231" s="308"/>
      <c r="AG231" s="575"/>
      <c r="AH231" s="308"/>
      <c r="AI231" s="575"/>
      <c r="AJ231" s="308"/>
      <c r="AK231" s="305"/>
      <c r="AL231" s="577"/>
      <c r="AM231" s="306"/>
      <c r="AN231" s="308"/>
      <c r="AO231" s="573"/>
      <c r="AP231" s="305"/>
      <c r="AQ231" s="308"/>
      <c r="AR231" s="573"/>
      <c r="AS231" s="578"/>
      <c r="AT231" s="577"/>
      <c r="AU231" s="579"/>
      <c r="AV231" s="578"/>
      <c r="AW231" s="308"/>
      <c r="AX231" s="307"/>
      <c r="AY231" s="307"/>
      <c r="AZ231" s="307"/>
      <c r="BA231" s="307"/>
      <c r="BB231" s="307"/>
      <c r="BC231" s="305"/>
      <c r="BD231" s="292"/>
      <c r="BE231" s="297"/>
      <c r="BF231" s="297"/>
      <c r="BG231" s="569"/>
      <c r="BH231" s="570"/>
      <c r="BI231" s="570"/>
      <c r="BJ231" s="570"/>
      <c r="BK231" s="570"/>
      <c r="BL231" s="570"/>
      <c r="BM231" s="570"/>
      <c r="BN231" s="570"/>
      <c r="BO231" s="570"/>
      <c r="BP231" s="570"/>
      <c r="BQ231" s="570"/>
      <c r="BR231" s="570"/>
      <c r="BS231" s="570"/>
      <c r="BT231" s="570"/>
      <c r="BU231" s="570"/>
      <c r="BV231" s="570"/>
      <c r="BW231" s="570"/>
      <c r="BX231" s="570"/>
      <c r="BY231" s="570"/>
      <c r="BZ231" s="571"/>
      <c r="CA231" s="571"/>
    </row>
    <row r="232" spans="2:79">
      <c r="B232" s="566">
        <v>217</v>
      </c>
      <c r="C232" s="308"/>
      <c r="D232" s="307"/>
      <c r="E232" s="307"/>
      <c r="F232" s="305"/>
      <c r="G232" s="305"/>
      <c r="H232" s="292"/>
      <c r="I232" s="574"/>
      <c r="J232" s="573"/>
      <c r="K232" s="307"/>
      <c r="L232" s="292"/>
      <c r="M232" s="308"/>
      <c r="N232" s="292"/>
      <c r="O232" s="308"/>
      <c r="P232" s="575"/>
      <c r="Q232" s="576"/>
      <c r="R232" s="308"/>
      <c r="S232" s="575"/>
      <c r="T232" s="576"/>
      <c r="U232" s="308"/>
      <c r="V232" s="575"/>
      <c r="W232" s="576"/>
      <c r="X232" s="308"/>
      <c r="Y232" s="575"/>
      <c r="Z232" s="576"/>
      <c r="AA232" s="308"/>
      <c r="AB232" s="575"/>
      <c r="AC232" s="576"/>
      <c r="AD232" s="308"/>
      <c r="AE232" s="575"/>
      <c r="AF232" s="308"/>
      <c r="AG232" s="575"/>
      <c r="AH232" s="308"/>
      <c r="AI232" s="575"/>
      <c r="AJ232" s="308"/>
      <c r="AK232" s="305"/>
      <c r="AL232" s="577"/>
      <c r="AM232" s="306"/>
      <c r="AN232" s="308"/>
      <c r="AO232" s="573"/>
      <c r="AP232" s="305"/>
      <c r="AQ232" s="308"/>
      <c r="AR232" s="573"/>
      <c r="AS232" s="578"/>
      <c r="AT232" s="577"/>
      <c r="AU232" s="579"/>
      <c r="AV232" s="578"/>
      <c r="AW232" s="308"/>
      <c r="AX232" s="307"/>
      <c r="AY232" s="307"/>
      <c r="AZ232" s="307"/>
      <c r="BA232" s="307"/>
      <c r="BB232" s="307"/>
      <c r="BC232" s="305"/>
      <c r="BD232" s="292"/>
      <c r="BE232" s="297"/>
      <c r="BF232" s="297"/>
      <c r="BG232" s="569"/>
      <c r="BH232" s="570"/>
      <c r="BI232" s="570"/>
      <c r="BJ232" s="570"/>
      <c r="BK232" s="570"/>
      <c r="BL232" s="570"/>
      <c r="BM232" s="570"/>
      <c r="BN232" s="570"/>
      <c r="BO232" s="570"/>
      <c r="BP232" s="570"/>
      <c r="BQ232" s="570"/>
      <c r="BR232" s="570"/>
      <c r="BS232" s="570"/>
      <c r="BT232" s="570"/>
      <c r="BU232" s="570"/>
      <c r="BV232" s="570"/>
      <c r="BW232" s="570"/>
      <c r="BX232" s="570"/>
      <c r="BY232" s="570"/>
      <c r="BZ232" s="571"/>
      <c r="CA232" s="571"/>
    </row>
    <row r="233" spans="2:79">
      <c r="B233" s="572">
        <v>218</v>
      </c>
      <c r="C233" s="308"/>
      <c r="D233" s="307"/>
      <c r="E233" s="307"/>
      <c r="F233" s="305"/>
      <c r="G233" s="305"/>
      <c r="H233" s="292"/>
      <c r="I233" s="574"/>
      <c r="J233" s="573"/>
      <c r="K233" s="307"/>
      <c r="L233" s="292"/>
      <c r="M233" s="308"/>
      <c r="N233" s="292"/>
      <c r="O233" s="308"/>
      <c r="P233" s="575"/>
      <c r="Q233" s="576"/>
      <c r="R233" s="308"/>
      <c r="S233" s="575"/>
      <c r="T233" s="576"/>
      <c r="U233" s="308"/>
      <c r="V233" s="575"/>
      <c r="W233" s="576"/>
      <c r="X233" s="308"/>
      <c r="Y233" s="575"/>
      <c r="Z233" s="576"/>
      <c r="AA233" s="308"/>
      <c r="AB233" s="575"/>
      <c r="AC233" s="576"/>
      <c r="AD233" s="308"/>
      <c r="AE233" s="575"/>
      <c r="AF233" s="308"/>
      <c r="AG233" s="575"/>
      <c r="AH233" s="308"/>
      <c r="AI233" s="575"/>
      <c r="AJ233" s="308"/>
      <c r="AK233" s="305"/>
      <c r="AL233" s="577"/>
      <c r="AM233" s="306"/>
      <c r="AN233" s="308"/>
      <c r="AO233" s="573"/>
      <c r="AP233" s="305"/>
      <c r="AQ233" s="308"/>
      <c r="AR233" s="573"/>
      <c r="AS233" s="578"/>
      <c r="AT233" s="577"/>
      <c r="AU233" s="579"/>
      <c r="AV233" s="578"/>
      <c r="AW233" s="308"/>
      <c r="AX233" s="307"/>
      <c r="AY233" s="307"/>
      <c r="AZ233" s="307"/>
      <c r="BA233" s="307"/>
      <c r="BB233" s="307"/>
      <c r="BC233" s="305"/>
      <c r="BD233" s="292"/>
      <c r="BE233" s="297"/>
      <c r="BF233" s="297"/>
      <c r="BG233" s="569"/>
      <c r="BH233" s="570"/>
      <c r="BI233" s="570"/>
      <c r="BJ233" s="570"/>
      <c r="BK233" s="570"/>
      <c r="BL233" s="570"/>
      <c r="BM233" s="570"/>
      <c r="BN233" s="570"/>
      <c r="BO233" s="570"/>
      <c r="BP233" s="570"/>
      <c r="BQ233" s="570"/>
      <c r="BR233" s="570"/>
      <c r="BS233" s="570"/>
      <c r="BT233" s="570"/>
      <c r="BU233" s="570"/>
      <c r="BV233" s="570"/>
      <c r="BW233" s="570"/>
      <c r="BX233" s="570"/>
      <c r="BY233" s="570"/>
      <c r="BZ233" s="571"/>
      <c r="CA233" s="571"/>
    </row>
    <row r="234" spans="2:79">
      <c r="B234" s="566">
        <v>219</v>
      </c>
      <c r="C234" s="308"/>
      <c r="D234" s="307"/>
      <c r="E234" s="307"/>
      <c r="F234" s="305"/>
      <c r="G234" s="305"/>
      <c r="H234" s="292"/>
      <c r="I234" s="574"/>
      <c r="J234" s="573"/>
      <c r="K234" s="307"/>
      <c r="L234" s="292"/>
      <c r="M234" s="308"/>
      <c r="N234" s="292"/>
      <c r="O234" s="308"/>
      <c r="P234" s="575"/>
      <c r="Q234" s="576"/>
      <c r="R234" s="308"/>
      <c r="S234" s="575"/>
      <c r="T234" s="576"/>
      <c r="U234" s="308"/>
      <c r="V234" s="575"/>
      <c r="W234" s="576"/>
      <c r="X234" s="308"/>
      <c r="Y234" s="575"/>
      <c r="Z234" s="576"/>
      <c r="AA234" s="308"/>
      <c r="AB234" s="575"/>
      <c r="AC234" s="576"/>
      <c r="AD234" s="308"/>
      <c r="AE234" s="575"/>
      <c r="AF234" s="308"/>
      <c r="AG234" s="575"/>
      <c r="AH234" s="308"/>
      <c r="AI234" s="575"/>
      <c r="AJ234" s="308"/>
      <c r="AK234" s="305"/>
      <c r="AL234" s="577"/>
      <c r="AM234" s="306"/>
      <c r="AN234" s="308"/>
      <c r="AO234" s="573"/>
      <c r="AP234" s="305"/>
      <c r="AQ234" s="308"/>
      <c r="AR234" s="573"/>
      <c r="AS234" s="578"/>
      <c r="AT234" s="577"/>
      <c r="AU234" s="579"/>
      <c r="AV234" s="578"/>
      <c r="AW234" s="308"/>
      <c r="AX234" s="307"/>
      <c r="AY234" s="307"/>
      <c r="AZ234" s="307"/>
      <c r="BA234" s="307"/>
      <c r="BB234" s="307"/>
      <c r="BC234" s="305"/>
      <c r="BD234" s="292"/>
      <c r="BE234" s="297"/>
      <c r="BF234" s="297"/>
      <c r="BG234" s="569"/>
      <c r="BH234" s="570"/>
      <c r="BI234" s="570"/>
      <c r="BJ234" s="570"/>
      <c r="BK234" s="570"/>
      <c r="BL234" s="570"/>
      <c r="BM234" s="570"/>
      <c r="BN234" s="570"/>
      <c r="BO234" s="570"/>
      <c r="BP234" s="570"/>
      <c r="BQ234" s="570"/>
      <c r="BR234" s="570"/>
      <c r="BS234" s="570"/>
      <c r="BT234" s="570"/>
      <c r="BU234" s="570"/>
      <c r="BV234" s="570"/>
      <c r="BW234" s="570"/>
      <c r="BX234" s="570"/>
      <c r="BY234" s="570"/>
      <c r="BZ234" s="571"/>
      <c r="CA234" s="571"/>
    </row>
    <row r="235" spans="2:79">
      <c r="B235" s="572">
        <v>220</v>
      </c>
      <c r="C235" s="308"/>
      <c r="D235" s="307"/>
      <c r="E235" s="307"/>
      <c r="F235" s="305"/>
      <c r="G235" s="305"/>
      <c r="H235" s="292"/>
      <c r="I235" s="574"/>
      <c r="J235" s="573"/>
      <c r="K235" s="307"/>
      <c r="L235" s="292"/>
      <c r="M235" s="308"/>
      <c r="N235" s="292"/>
      <c r="O235" s="308"/>
      <c r="P235" s="575"/>
      <c r="Q235" s="576"/>
      <c r="R235" s="308"/>
      <c r="S235" s="575"/>
      <c r="T235" s="576"/>
      <c r="U235" s="308"/>
      <c r="V235" s="575"/>
      <c r="W235" s="576"/>
      <c r="X235" s="308"/>
      <c r="Y235" s="575"/>
      <c r="Z235" s="576"/>
      <c r="AA235" s="308"/>
      <c r="AB235" s="575"/>
      <c r="AC235" s="576"/>
      <c r="AD235" s="308"/>
      <c r="AE235" s="575"/>
      <c r="AF235" s="308"/>
      <c r="AG235" s="575"/>
      <c r="AH235" s="308"/>
      <c r="AI235" s="575"/>
      <c r="AJ235" s="308"/>
      <c r="AK235" s="305"/>
      <c r="AL235" s="577"/>
      <c r="AM235" s="306"/>
      <c r="AN235" s="308"/>
      <c r="AO235" s="573"/>
      <c r="AP235" s="305"/>
      <c r="AQ235" s="308"/>
      <c r="AR235" s="573"/>
      <c r="AS235" s="578"/>
      <c r="AT235" s="577"/>
      <c r="AU235" s="579"/>
      <c r="AV235" s="578"/>
      <c r="AW235" s="308"/>
      <c r="AX235" s="307"/>
      <c r="AY235" s="307"/>
      <c r="AZ235" s="307"/>
      <c r="BA235" s="307"/>
      <c r="BB235" s="307"/>
      <c r="BC235" s="305"/>
      <c r="BD235" s="292"/>
      <c r="BE235" s="297"/>
      <c r="BF235" s="297"/>
      <c r="BG235" s="569"/>
      <c r="BH235" s="570"/>
      <c r="BI235" s="570"/>
      <c r="BJ235" s="570"/>
      <c r="BK235" s="570"/>
      <c r="BL235" s="570"/>
      <c r="BM235" s="570"/>
      <c r="BN235" s="570"/>
      <c r="BO235" s="570"/>
      <c r="BP235" s="570"/>
      <c r="BQ235" s="570"/>
      <c r="BR235" s="570"/>
      <c r="BS235" s="570"/>
      <c r="BT235" s="570"/>
      <c r="BU235" s="570"/>
      <c r="BV235" s="570"/>
      <c r="BW235" s="570"/>
      <c r="BX235" s="570"/>
      <c r="BY235" s="570"/>
      <c r="BZ235" s="571"/>
      <c r="CA235" s="571"/>
    </row>
    <row r="236" spans="2:79">
      <c r="B236" s="566">
        <v>221</v>
      </c>
      <c r="C236" s="308"/>
      <c r="D236" s="307"/>
      <c r="E236" s="307"/>
      <c r="F236" s="305"/>
      <c r="G236" s="305"/>
      <c r="H236" s="292"/>
      <c r="I236" s="574"/>
      <c r="J236" s="573"/>
      <c r="K236" s="307"/>
      <c r="L236" s="292"/>
      <c r="M236" s="308"/>
      <c r="N236" s="292"/>
      <c r="O236" s="308"/>
      <c r="P236" s="575"/>
      <c r="Q236" s="576"/>
      <c r="R236" s="308"/>
      <c r="S236" s="575"/>
      <c r="T236" s="576"/>
      <c r="U236" s="308"/>
      <c r="V236" s="575"/>
      <c r="W236" s="576"/>
      <c r="X236" s="308"/>
      <c r="Y236" s="575"/>
      <c r="Z236" s="576"/>
      <c r="AA236" s="308"/>
      <c r="AB236" s="575"/>
      <c r="AC236" s="576"/>
      <c r="AD236" s="308"/>
      <c r="AE236" s="575"/>
      <c r="AF236" s="308"/>
      <c r="AG236" s="575"/>
      <c r="AH236" s="308"/>
      <c r="AI236" s="575"/>
      <c r="AJ236" s="308"/>
      <c r="AK236" s="305"/>
      <c r="AL236" s="577"/>
      <c r="AM236" s="306"/>
      <c r="AN236" s="308"/>
      <c r="AO236" s="573"/>
      <c r="AP236" s="305"/>
      <c r="AQ236" s="308"/>
      <c r="AR236" s="573"/>
      <c r="AS236" s="578"/>
      <c r="AT236" s="577"/>
      <c r="AU236" s="579"/>
      <c r="AV236" s="578"/>
      <c r="AW236" s="308"/>
      <c r="AX236" s="307"/>
      <c r="AY236" s="307"/>
      <c r="AZ236" s="307"/>
      <c r="BA236" s="307"/>
      <c r="BB236" s="307"/>
      <c r="BC236" s="305"/>
      <c r="BD236" s="292"/>
      <c r="BE236" s="297"/>
      <c r="BF236" s="297"/>
      <c r="BG236" s="569"/>
      <c r="BH236" s="570"/>
      <c r="BI236" s="570"/>
      <c r="BJ236" s="570"/>
      <c r="BK236" s="570"/>
      <c r="BL236" s="570"/>
      <c r="BM236" s="570"/>
      <c r="BN236" s="570"/>
      <c r="BO236" s="570"/>
      <c r="BP236" s="570"/>
      <c r="BQ236" s="570"/>
      <c r="BR236" s="570"/>
      <c r="BS236" s="570"/>
      <c r="BT236" s="570"/>
      <c r="BU236" s="570"/>
      <c r="BV236" s="570"/>
      <c r="BW236" s="570"/>
      <c r="BX236" s="570"/>
      <c r="BY236" s="570"/>
      <c r="BZ236" s="571"/>
      <c r="CA236" s="571"/>
    </row>
    <row r="237" spans="2:79">
      <c r="B237" s="572">
        <v>222</v>
      </c>
      <c r="C237" s="308"/>
      <c r="D237" s="307"/>
      <c r="E237" s="307"/>
      <c r="F237" s="305"/>
      <c r="G237" s="305"/>
      <c r="H237" s="292"/>
      <c r="I237" s="574"/>
      <c r="J237" s="573"/>
      <c r="K237" s="307"/>
      <c r="L237" s="292"/>
      <c r="M237" s="308"/>
      <c r="N237" s="292"/>
      <c r="O237" s="308"/>
      <c r="P237" s="575"/>
      <c r="Q237" s="576"/>
      <c r="R237" s="308"/>
      <c r="S237" s="575"/>
      <c r="T237" s="576"/>
      <c r="U237" s="308"/>
      <c r="V237" s="575"/>
      <c r="W237" s="576"/>
      <c r="X237" s="308"/>
      <c r="Y237" s="575"/>
      <c r="Z237" s="576"/>
      <c r="AA237" s="308"/>
      <c r="AB237" s="575"/>
      <c r="AC237" s="576"/>
      <c r="AD237" s="308"/>
      <c r="AE237" s="575"/>
      <c r="AF237" s="308"/>
      <c r="AG237" s="575"/>
      <c r="AH237" s="308"/>
      <c r="AI237" s="575"/>
      <c r="AJ237" s="308"/>
      <c r="AK237" s="305"/>
      <c r="AL237" s="577"/>
      <c r="AM237" s="306"/>
      <c r="AN237" s="308"/>
      <c r="AO237" s="573"/>
      <c r="AP237" s="305"/>
      <c r="AQ237" s="308"/>
      <c r="AR237" s="573"/>
      <c r="AS237" s="578"/>
      <c r="AT237" s="577"/>
      <c r="AU237" s="579"/>
      <c r="AV237" s="578"/>
      <c r="AW237" s="308"/>
      <c r="AX237" s="307"/>
      <c r="AY237" s="307"/>
      <c r="AZ237" s="307"/>
      <c r="BA237" s="307"/>
      <c r="BB237" s="307"/>
      <c r="BC237" s="305"/>
      <c r="BD237" s="292"/>
      <c r="BE237" s="297"/>
      <c r="BF237" s="297"/>
      <c r="BG237" s="569"/>
      <c r="BH237" s="570"/>
      <c r="BI237" s="570"/>
      <c r="BJ237" s="570"/>
      <c r="BK237" s="570"/>
      <c r="BL237" s="570"/>
      <c r="BM237" s="570"/>
      <c r="BN237" s="570"/>
      <c r="BO237" s="570"/>
      <c r="BP237" s="570"/>
      <c r="BQ237" s="570"/>
      <c r="BR237" s="570"/>
      <c r="BS237" s="570"/>
      <c r="BT237" s="570"/>
      <c r="BU237" s="570"/>
      <c r="BV237" s="570"/>
      <c r="BW237" s="570"/>
      <c r="BX237" s="570"/>
      <c r="BY237" s="570"/>
      <c r="BZ237" s="571"/>
      <c r="CA237" s="571"/>
    </row>
    <row r="238" spans="2:79">
      <c r="B238" s="566">
        <v>223</v>
      </c>
      <c r="C238" s="308"/>
      <c r="D238" s="307"/>
      <c r="E238" s="307"/>
      <c r="F238" s="305"/>
      <c r="G238" s="305"/>
      <c r="H238" s="292"/>
      <c r="I238" s="574"/>
      <c r="J238" s="573"/>
      <c r="K238" s="307"/>
      <c r="L238" s="292"/>
      <c r="M238" s="308"/>
      <c r="N238" s="292"/>
      <c r="O238" s="308"/>
      <c r="P238" s="575"/>
      <c r="Q238" s="576"/>
      <c r="R238" s="308"/>
      <c r="S238" s="575"/>
      <c r="T238" s="576"/>
      <c r="U238" s="308"/>
      <c r="V238" s="575"/>
      <c r="W238" s="576"/>
      <c r="X238" s="308"/>
      <c r="Y238" s="575"/>
      <c r="Z238" s="576"/>
      <c r="AA238" s="308"/>
      <c r="AB238" s="575"/>
      <c r="AC238" s="576"/>
      <c r="AD238" s="308"/>
      <c r="AE238" s="575"/>
      <c r="AF238" s="308"/>
      <c r="AG238" s="575"/>
      <c r="AH238" s="308"/>
      <c r="AI238" s="575"/>
      <c r="AJ238" s="308"/>
      <c r="AK238" s="305"/>
      <c r="AL238" s="577"/>
      <c r="AM238" s="306"/>
      <c r="AN238" s="308"/>
      <c r="AO238" s="573"/>
      <c r="AP238" s="305"/>
      <c r="AQ238" s="308"/>
      <c r="AR238" s="573"/>
      <c r="AS238" s="578"/>
      <c r="AT238" s="577"/>
      <c r="AU238" s="579"/>
      <c r="AV238" s="578"/>
      <c r="AW238" s="308"/>
      <c r="AX238" s="307"/>
      <c r="AY238" s="307"/>
      <c r="AZ238" s="307"/>
      <c r="BA238" s="307"/>
      <c r="BB238" s="307"/>
      <c r="BC238" s="305"/>
      <c r="BD238" s="292"/>
      <c r="BE238" s="297"/>
      <c r="BF238" s="297"/>
      <c r="BG238" s="569"/>
      <c r="BH238" s="570"/>
      <c r="BI238" s="570"/>
      <c r="BJ238" s="570"/>
      <c r="BK238" s="570"/>
      <c r="BL238" s="570"/>
      <c r="BM238" s="570"/>
      <c r="BN238" s="570"/>
      <c r="BO238" s="570"/>
      <c r="BP238" s="570"/>
      <c r="BQ238" s="570"/>
      <c r="BR238" s="570"/>
      <c r="BS238" s="570"/>
      <c r="BT238" s="570"/>
      <c r="BU238" s="570"/>
      <c r="BV238" s="570"/>
      <c r="BW238" s="570"/>
      <c r="BX238" s="570"/>
      <c r="BY238" s="570"/>
      <c r="BZ238" s="571"/>
      <c r="CA238" s="571"/>
    </row>
    <row r="239" spans="2:79">
      <c r="B239" s="572">
        <v>224</v>
      </c>
      <c r="C239" s="308"/>
      <c r="D239" s="307"/>
      <c r="E239" s="307"/>
      <c r="F239" s="305"/>
      <c r="G239" s="305"/>
      <c r="H239" s="292"/>
      <c r="I239" s="574"/>
      <c r="J239" s="573"/>
      <c r="K239" s="307"/>
      <c r="L239" s="292"/>
      <c r="M239" s="308"/>
      <c r="N239" s="292"/>
      <c r="O239" s="308"/>
      <c r="P239" s="575"/>
      <c r="Q239" s="576"/>
      <c r="R239" s="308"/>
      <c r="S239" s="575"/>
      <c r="T239" s="576"/>
      <c r="U239" s="308"/>
      <c r="V239" s="575"/>
      <c r="W239" s="576"/>
      <c r="X239" s="308"/>
      <c r="Y239" s="575"/>
      <c r="Z239" s="576"/>
      <c r="AA239" s="308"/>
      <c r="AB239" s="575"/>
      <c r="AC239" s="576"/>
      <c r="AD239" s="308"/>
      <c r="AE239" s="575"/>
      <c r="AF239" s="308"/>
      <c r="AG239" s="575"/>
      <c r="AH239" s="308"/>
      <c r="AI239" s="575"/>
      <c r="AJ239" s="308"/>
      <c r="AK239" s="305"/>
      <c r="AL239" s="577"/>
      <c r="AM239" s="306"/>
      <c r="AN239" s="308"/>
      <c r="AO239" s="573"/>
      <c r="AP239" s="305"/>
      <c r="AQ239" s="308"/>
      <c r="AR239" s="573"/>
      <c r="AS239" s="578"/>
      <c r="AT239" s="577"/>
      <c r="AU239" s="579"/>
      <c r="AV239" s="578"/>
      <c r="AW239" s="308"/>
      <c r="AX239" s="307"/>
      <c r="AY239" s="307"/>
      <c r="AZ239" s="307"/>
      <c r="BA239" s="307"/>
      <c r="BB239" s="307"/>
      <c r="BC239" s="305"/>
      <c r="BD239" s="292"/>
      <c r="BE239" s="297"/>
      <c r="BF239" s="297"/>
      <c r="BG239" s="569"/>
      <c r="BH239" s="570"/>
      <c r="BI239" s="570"/>
      <c r="BJ239" s="570"/>
      <c r="BK239" s="570"/>
      <c r="BL239" s="570"/>
      <c r="BM239" s="570"/>
      <c r="BN239" s="570"/>
      <c r="BO239" s="570"/>
      <c r="BP239" s="570"/>
      <c r="BQ239" s="570"/>
      <c r="BR239" s="570"/>
      <c r="BS239" s="570"/>
      <c r="BT239" s="570"/>
      <c r="BU239" s="570"/>
      <c r="BV239" s="570"/>
      <c r="BW239" s="570"/>
      <c r="BX239" s="570"/>
      <c r="BY239" s="570"/>
      <c r="BZ239" s="571"/>
      <c r="CA239" s="571"/>
    </row>
    <row r="240" spans="2:79">
      <c r="B240" s="566">
        <v>225</v>
      </c>
      <c r="C240" s="308"/>
      <c r="D240" s="307"/>
      <c r="E240" s="307"/>
      <c r="F240" s="305"/>
      <c r="G240" s="305"/>
      <c r="H240" s="292"/>
      <c r="I240" s="574"/>
      <c r="J240" s="573"/>
      <c r="K240" s="307"/>
      <c r="L240" s="292"/>
      <c r="M240" s="308"/>
      <c r="N240" s="292"/>
      <c r="O240" s="308"/>
      <c r="P240" s="575"/>
      <c r="Q240" s="576"/>
      <c r="R240" s="308"/>
      <c r="S240" s="575"/>
      <c r="T240" s="576"/>
      <c r="U240" s="308"/>
      <c r="V240" s="575"/>
      <c r="W240" s="576"/>
      <c r="X240" s="308"/>
      <c r="Y240" s="575"/>
      <c r="Z240" s="576"/>
      <c r="AA240" s="308"/>
      <c r="AB240" s="575"/>
      <c r="AC240" s="576"/>
      <c r="AD240" s="308"/>
      <c r="AE240" s="575"/>
      <c r="AF240" s="308"/>
      <c r="AG240" s="575"/>
      <c r="AH240" s="308"/>
      <c r="AI240" s="575"/>
      <c r="AJ240" s="308"/>
      <c r="AK240" s="305"/>
      <c r="AL240" s="577"/>
      <c r="AM240" s="306"/>
      <c r="AN240" s="308"/>
      <c r="AO240" s="573"/>
      <c r="AP240" s="305"/>
      <c r="AQ240" s="308"/>
      <c r="AR240" s="573"/>
      <c r="AS240" s="578"/>
      <c r="AT240" s="577"/>
      <c r="AU240" s="579"/>
      <c r="AV240" s="578"/>
      <c r="AW240" s="308"/>
      <c r="AX240" s="307"/>
      <c r="AY240" s="307"/>
      <c r="AZ240" s="307"/>
      <c r="BA240" s="307"/>
      <c r="BB240" s="307"/>
      <c r="BC240" s="305"/>
      <c r="BD240" s="292"/>
      <c r="BE240" s="297"/>
      <c r="BF240" s="297"/>
      <c r="BG240" s="569"/>
      <c r="BH240" s="570"/>
      <c r="BI240" s="570"/>
      <c r="BJ240" s="570"/>
      <c r="BK240" s="570"/>
      <c r="BL240" s="570"/>
      <c r="BM240" s="570"/>
      <c r="BN240" s="570"/>
      <c r="BO240" s="570"/>
      <c r="BP240" s="570"/>
      <c r="BQ240" s="570"/>
      <c r="BR240" s="570"/>
      <c r="BS240" s="570"/>
      <c r="BT240" s="570"/>
      <c r="BU240" s="570"/>
      <c r="BV240" s="570"/>
      <c r="BW240" s="570"/>
      <c r="BX240" s="570"/>
      <c r="BY240" s="570"/>
      <c r="BZ240" s="571"/>
      <c r="CA240" s="571"/>
    </row>
    <row r="241" spans="2:79">
      <c r="B241" s="572">
        <v>226</v>
      </c>
      <c r="C241" s="308"/>
      <c r="D241" s="307"/>
      <c r="E241" s="307"/>
      <c r="F241" s="305"/>
      <c r="G241" s="305"/>
      <c r="H241" s="292"/>
      <c r="I241" s="574"/>
      <c r="J241" s="573"/>
      <c r="K241" s="307"/>
      <c r="L241" s="292"/>
      <c r="M241" s="308"/>
      <c r="N241" s="292"/>
      <c r="O241" s="308"/>
      <c r="P241" s="575"/>
      <c r="Q241" s="576"/>
      <c r="R241" s="308"/>
      <c r="S241" s="575"/>
      <c r="T241" s="576"/>
      <c r="U241" s="308"/>
      <c r="V241" s="575"/>
      <c r="W241" s="576"/>
      <c r="X241" s="308"/>
      <c r="Y241" s="575"/>
      <c r="Z241" s="576"/>
      <c r="AA241" s="308"/>
      <c r="AB241" s="575"/>
      <c r="AC241" s="576"/>
      <c r="AD241" s="308"/>
      <c r="AE241" s="575"/>
      <c r="AF241" s="308"/>
      <c r="AG241" s="575"/>
      <c r="AH241" s="308"/>
      <c r="AI241" s="575"/>
      <c r="AJ241" s="308"/>
      <c r="AK241" s="305"/>
      <c r="AL241" s="577"/>
      <c r="AM241" s="306"/>
      <c r="AN241" s="308"/>
      <c r="AO241" s="573"/>
      <c r="AP241" s="305"/>
      <c r="AQ241" s="308"/>
      <c r="AR241" s="573"/>
      <c r="AS241" s="578"/>
      <c r="AT241" s="577"/>
      <c r="AU241" s="579"/>
      <c r="AV241" s="578"/>
      <c r="AW241" s="308"/>
      <c r="AX241" s="307"/>
      <c r="AY241" s="307"/>
      <c r="AZ241" s="307"/>
      <c r="BA241" s="307"/>
      <c r="BB241" s="307"/>
      <c r="BC241" s="305"/>
      <c r="BD241" s="292"/>
      <c r="BE241" s="297"/>
      <c r="BF241" s="297"/>
      <c r="BG241" s="569"/>
      <c r="BH241" s="570"/>
      <c r="BI241" s="570"/>
      <c r="BJ241" s="570"/>
      <c r="BK241" s="570"/>
      <c r="BL241" s="570"/>
      <c r="BM241" s="570"/>
      <c r="BN241" s="570"/>
      <c r="BO241" s="570"/>
      <c r="BP241" s="570"/>
      <c r="BQ241" s="570"/>
      <c r="BR241" s="570"/>
      <c r="BS241" s="570"/>
      <c r="BT241" s="570"/>
      <c r="BU241" s="570"/>
      <c r="BV241" s="570"/>
      <c r="BW241" s="570"/>
      <c r="BX241" s="570"/>
      <c r="BY241" s="570"/>
      <c r="BZ241" s="571"/>
      <c r="CA241" s="571"/>
    </row>
    <row r="242" spans="2:79">
      <c r="B242" s="566">
        <v>227</v>
      </c>
      <c r="C242" s="308"/>
      <c r="D242" s="307"/>
      <c r="E242" s="307"/>
      <c r="F242" s="305"/>
      <c r="G242" s="305"/>
      <c r="H242" s="292"/>
      <c r="I242" s="574"/>
      <c r="J242" s="573"/>
      <c r="K242" s="307"/>
      <c r="L242" s="292"/>
      <c r="M242" s="308"/>
      <c r="N242" s="292"/>
      <c r="O242" s="308"/>
      <c r="P242" s="575"/>
      <c r="Q242" s="576"/>
      <c r="R242" s="308"/>
      <c r="S242" s="575"/>
      <c r="T242" s="576"/>
      <c r="U242" s="308"/>
      <c r="V242" s="575"/>
      <c r="W242" s="576"/>
      <c r="X242" s="308"/>
      <c r="Y242" s="575"/>
      <c r="Z242" s="576"/>
      <c r="AA242" s="308"/>
      <c r="AB242" s="575"/>
      <c r="AC242" s="576"/>
      <c r="AD242" s="308"/>
      <c r="AE242" s="575"/>
      <c r="AF242" s="308"/>
      <c r="AG242" s="575"/>
      <c r="AH242" s="308"/>
      <c r="AI242" s="575"/>
      <c r="AJ242" s="308"/>
      <c r="AK242" s="305"/>
      <c r="AL242" s="577"/>
      <c r="AM242" s="306"/>
      <c r="AN242" s="308"/>
      <c r="AO242" s="573"/>
      <c r="AP242" s="305"/>
      <c r="AQ242" s="308"/>
      <c r="AR242" s="573"/>
      <c r="AS242" s="578"/>
      <c r="AT242" s="577"/>
      <c r="AU242" s="579"/>
      <c r="AV242" s="578"/>
      <c r="AW242" s="308"/>
      <c r="AX242" s="307"/>
      <c r="AY242" s="307"/>
      <c r="AZ242" s="307"/>
      <c r="BA242" s="307"/>
      <c r="BB242" s="307"/>
      <c r="BC242" s="305"/>
      <c r="BD242" s="292"/>
      <c r="BE242" s="297"/>
      <c r="BF242" s="297"/>
      <c r="BG242" s="569"/>
      <c r="BH242" s="570"/>
      <c r="BI242" s="570"/>
      <c r="BJ242" s="570"/>
      <c r="BK242" s="570"/>
      <c r="BL242" s="570"/>
      <c r="BM242" s="570"/>
      <c r="BN242" s="570"/>
      <c r="BO242" s="570"/>
      <c r="BP242" s="570"/>
      <c r="BQ242" s="570"/>
      <c r="BR242" s="570"/>
      <c r="BS242" s="570"/>
      <c r="BT242" s="570"/>
      <c r="BU242" s="570"/>
      <c r="BV242" s="570"/>
      <c r="BW242" s="570"/>
      <c r="BX242" s="570"/>
      <c r="BY242" s="570"/>
      <c r="BZ242" s="571"/>
      <c r="CA242" s="571"/>
    </row>
    <row r="243" spans="2:79">
      <c r="B243" s="572">
        <v>228</v>
      </c>
      <c r="C243" s="308"/>
      <c r="D243" s="307"/>
      <c r="E243" s="307"/>
      <c r="F243" s="305"/>
      <c r="G243" s="305"/>
      <c r="H243" s="292"/>
      <c r="I243" s="574"/>
      <c r="J243" s="573"/>
      <c r="K243" s="307"/>
      <c r="L243" s="292"/>
      <c r="M243" s="308"/>
      <c r="N243" s="292"/>
      <c r="O243" s="308"/>
      <c r="P243" s="575"/>
      <c r="Q243" s="576"/>
      <c r="R243" s="308"/>
      <c r="S243" s="575"/>
      <c r="T243" s="576"/>
      <c r="U243" s="308"/>
      <c r="V243" s="575"/>
      <c r="W243" s="576"/>
      <c r="X243" s="308"/>
      <c r="Y243" s="575"/>
      <c r="Z243" s="576"/>
      <c r="AA243" s="308"/>
      <c r="AB243" s="575"/>
      <c r="AC243" s="576"/>
      <c r="AD243" s="308"/>
      <c r="AE243" s="575"/>
      <c r="AF243" s="308"/>
      <c r="AG243" s="575"/>
      <c r="AH243" s="308"/>
      <c r="AI243" s="575"/>
      <c r="AJ243" s="308"/>
      <c r="AK243" s="305"/>
      <c r="AL243" s="577"/>
      <c r="AM243" s="306"/>
      <c r="AN243" s="308"/>
      <c r="AO243" s="573"/>
      <c r="AP243" s="305"/>
      <c r="AQ243" s="308"/>
      <c r="AR243" s="573"/>
      <c r="AS243" s="578"/>
      <c r="AT243" s="577"/>
      <c r="AU243" s="579"/>
      <c r="AV243" s="578"/>
      <c r="AW243" s="308"/>
      <c r="AX243" s="307"/>
      <c r="AY243" s="307"/>
      <c r="AZ243" s="307"/>
      <c r="BA243" s="307"/>
      <c r="BB243" s="307"/>
      <c r="BC243" s="305"/>
      <c r="BD243" s="292"/>
      <c r="BE243" s="297"/>
      <c r="BF243" s="297"/>
      <c r="BG243" s="569"/>
      <c r="BH243" s="570"/>
      <c r="BI243" s="570"/>
      <c r="BJ243" s="570"/>
      <c r="BK243" s="570"/>
      <c r="BL243" s="570"/>
      <c r="BM243" s="570"/>
      <c r="BN243" s="570"/>
      <c r="BO243" s="570"/>
      <c r="BP243" s="570"/>
      <c r="BQ243" s="570"/>
      <c r="BR243" s="570"/>
      <c r="BS243" s="570"/>
      <c r="BT243" s="570"/>
      <c r="BU243" s="570"/>
      <c r="BV243" s="570"/>
      <c r="BW243" s="570"/>
      <c r="BX243" s="570"/>
      <c r="BY243" s="570"/>
      <c r="BZ243" s="571"/>
      <c r="CA243" s="571"/>
    </row>
    <row r="244" spans="2:79">
      <c r="B244" s="566">
        <v>229</v>
      </c>
      <c r="C244" s="308"/>
      <c r="D244" s="307"/>
      <c r="E244" s="307"/>
      <c r="F244" s="305"/>
      <c r="G244" s="305"/>
      <c r="H244" s="292"/>
      <c r="I244" s="574"/>
      <c r="J244" s="573"/>
      <c r="K244" s="307"/>
      <c r="L244" s="292"/>
      <c r="M244" s="308"/>
      <c r="N244" s="292"/>
      <c r="O244" s="308"/>
      <c r="P244" s="575"/>
      <c r="Q244" s="576"/>
      <c r="R244" s="308"/>
      <c r="S244" s="575"/>
      <c r="T244" s="576"/>
      <c r="U244" s="308"/>
      <c r="V244" s="575"/>
      <c r="W244" s="576"/>
      <c r="X244" s="308"/>
      <c r="Y244" s="575"/>
      <c r="Z244" s="576"/>
      <c r="AA244" s="308"/>
      <c r="AB244" s="575"/>
      <c r="AC244" s="576"/>
      <c r="AD244" s="308"/>
      <c r="AE244" s="575"/>
      <c r="AF244" s="308"/>
      <c r="AG244" s="575"/>
      <c r="AH244" s="308"/>
      <c r="AI244" s="575"/>
      <c r="AJ244" s="308"/>
      <c r="AK244" s="305"/>
      <c r="AL244" s="577"/>
      <c r="AM244" s="306"/>
      <c r="AN244" s="308"/>
      <c r="AO244" s="573"/>
      <c r="AP244" s="305"/>
      <c r="AQ244" s="308"/>
      <c r="AR244" s="573"/>
      <c r="AS244" s="578"/>
      <c r="AT244" s="577"/>
      <c r="AU244" s="579"/>
      <c r="AV244" s="578"/>
      <c r="AW244" s="308"/>
      <c r="AX244" s="307"/>
      <c r="AY244" s="307"/>
      <c r="AZ244" s="307"/>
      <c r="BA244" s="307"/>
      <c r="BB244" s="307"/>
      <c r="BC244" s="305"/>
      <c r="BD244" s="292"/>
      <c r="BE244" s="297"/>
      <c r="BF244" s="297"/>
      <c r="BG244" s="569"/>
      <c r="BH244" s="570"/>
      <c r="BI244" s="570"/>
      <c r="BJ244" s="570"/>
      <c r="BK244" s="570"/>
      <c r="BL244" s="570"/>
      <c r="BM244" s="570"/>
      <c r="BN244" s="570"/>
      <c r="BO244" s="570"/>
      <c r="BP244" s="570"/>
      <c r="BQ244" s="570"/>
      <c r="BR244" s="570"/>
      <c r="BS244" s="570"/>
      <c r="BT244" s="570"/>
      <c r="BU244" s="570"/>
      <c r="BV244" s="570"/>
      <c r="BW244" s="570"/>
      <c r="BX244" s="570"/>
      <c r="BY244" s="570"/>
      <c r="BZ244" s="571"/>
      <c r="CA244" s="571"/>
    </row>
    <row r="245" spans="2:79">
      <c r="B245" s="572">
        <v>230</v>
      </c>
      <c r="C245" s="308"/>
      <c r="D245" s="307"/>
      <c r="E245" s="307"/>
      <c r="F245" s="305"/>
      <c r="G245" s="305"/>
      <c r="H245" s="292"/>
      <c r="I245" s="574"/>
      <c r="J245" s="573"/>
      <c r="K245" s="307"/>
      <c r="L245" s="292"/>
      <c r="M245" s="308"/>
      <c r="N245" s="292"/>
      <c r="O245" s="308"/>
      <c r="P245" s="575"/>
      <c r="Q245" s="576"/>
      <c r="R245" s="308"/>
      <c r="S245" s="575"/>
      <c r="T245" s="576"/>
      <c r="U245" s="308"/>
      <c r="V245" s="575"/>
      <c r="W245" s="576"/>
      <c r="X245" s="308"/>
      <c r="Y245" s="575"/>
      <c r="Z245" s="576"/>
      <c r="AA245" s="308"/>
      <c r="AB245" s="575"/>
      <c r="AC245" s="576"/>
      <c r="AD245" s="308"/>
      <c r="AE245" s="575"/>
      <c r="AF245" s="308"/>
      <c r="AG245" s="575"/>
      <c r="AH245" s="308"/>
      <c r="AI245" s="575"/>
      <c r="AJ245" s="308"/>
      <c r="AK245" s="305"/>
      <c r="AL245" s="577"/>
      <c r="AM245" s="306"/>
      <c r="AN245" s="308"/>
      <c r="AO245" s="573"/>
      <c r="AP245" s="305"/>
      <c r="AQ245" s="308"/>
      <c r="AR245" s="573"/>
      <c r="AS245" s="578"/>
      <c r="AT245" s="577"/>
      <c r="AU245" s="579"/>
      <c r="AV245" s="578"/>
      <c r="AW245" s="308"/>
      <c r="AX245" s="307"/>
      <c r="AY245" s="307"/>
      <c r="AZ245" s="307"/>
      <c r="BA245" s="307"/>
      <c r="BB245" s="307"/>
      <c r="BC245" s="305"/>
      <c r="BD245" s="292"/>
      <c r="BE245" s="297"/>
      <c r="BF245" s="297"/>
      <c r="BG245" s="569"/>
      <c r="BH245" s="570"/>
      <c r="BI245" s="570"/>
      <c r="BJ245" s="570"/>
      <c r="BK245" s="570"/>
      <c r="BL245" s="570"/>
      <c r="BM245" s="570"/>
      <c r="BN245" s="570"/>
      <c r="BO245" s="570"/>
      <c r="BP245" s="570"/>
      <c r="BQ245" s="570"/>
      <c r="BR245" s="570"/>
      <c r="BS245" s="570"/>
      <c r="BT245" s="570"/>
      <c r="BU245" s="570"/>
      <c r="BV245" s="570"/>
      <c r="BW245" s="570"/>
      <c r="BX245" s="570"/>
      <c r="BY245" s="570"/>
      <c r="BZ245" s="571"/>
      <c r="CA245" s="571"/>
    </row>
    <row r="246" spans="2:79">
      <c r="B246" s="566">
        <v>231</v>
      </c>
      <c r="C246" s="308"/>
      <c r="D246" s="307"/>
      <c r="E246" s="307"/>
      <c r="F246" s="305"/>
      <c r="G246" s="305"/>
      <c r="H246" s="292"/>
      <c r="I246" s="574"/>
      <c r="J246" s="573"/>
      <c r="K246" s="307"/>
      <c r="L246" s="292"/>
      <c r="M246" s="308"/>
      <c r="N246" s="292"/>
      <c r="O246" s="308"/>
      <c r="P246" s="575"/>
      <c r="Q246" s="576"/>
      <c r="R246" s="308"/>
      <c r="S246" s="575"/>
      <c r="T246" s="576"/>
      <c r="U246" s="308"/>
      <c r="V246" s="575"/>
      <c r="W246" s="576"/>
      <c r="X246" s="308"/>
      <c r="Y246" s="575"/>
      <c r="Z246" s="576"/>
      <c r="AA246" s="308"/>
      <c r="AB246" s="575"/>
      <c r="AC246" s="576"/>
      <c r="AD246" s="308"/>
      <c r="AE246" s="575"/>
      <c r="AF246" s="308"/>
      <c r="AG246" s="575"/>
      <c r="AH246" s="308"/>
      <c r="AI246" s="575"/>
      <c r="AJ246" s="308"/>
      <c r="AK246" s="305"/>
      <c r="AL246" s="577"/>
      <c r="AM246" s="306"/>
      <c r="AN246" s="308"/>
      <c r="AO246" s="573"/>
      <c r="AP246" s="305"/>
      <c r="AQ246" s="308"/>
      <c r="AR246" s="573"/>
      <c r="AS246" s="578"/>
      <c r="AT246" s="577"/>
      <c r="AU246" s="579"/>
      <c r="AV246" s="578"/>
      <c r="AW246" s="308"/>
      <c r="AX246" s="307"/>
      <c r="AY246" s="307"/>
      <c r="AZ246" s="307"/>
      <c r="BA246" s="307"/>
      <c r="BB246" s="307"/>
      <c r="BC246" s="305"/>
      <c r="BD246" s="292"/>
      <c r="BE246" s="297"/>
      <c r="BF246" s="297"/>
      <c r="BG246" s="569"/>
      <c r="BH246" s="570"/>
      <c r="BI246" s="570"/>
      <c r="BJ246" s="570"/>
      <c r="BK246" s="570"/>
      <c r="BL246" s="570"/>
      <c r="BM246" s="570"/>
      <c r="BN246" s="570"/>
      <c r="BO246" s="570"/>
      <c r="BP246" s="570"/>
      <c r="BQ246" s="570"/>
      <c r="BR246" s="570"/>
      <c r="BS246" s="570"/>
      <c r="BT246" s="570"/>
      <c r="BU246" s="570"/>
      <c r="BV246" s="570"/>
      <c r="BW246" s="570"/>
      <c r="BX246" s="570"/>
      <c r="BY246" s="570"/>
      <c r="BZ246" s="571"/>
      <c r="CA246" s="571"/>
    </row>
    <row r="247" spans="2:79">
      <c r="B247" s="572">
        <v>232</v>
      </c>
      <c r="C247" s="308"/>
      <c r="D247" s="307"/>
      <c r="E247" s="307"/>
      <c r="F247" s="305"/>
      <c r="G247" s="305"/>
      <c r="H247" s="292"/>
      <c r="I247" s="574"/>
      <c r="J247" s="573"/>
      <c r="K247" s="307"/>
      <c r="L247" s="292"/>
      <c r="M247" s="308"/>
      <c r="N247" s="292"/>
      <c r="O247" s="308"/>
      <c r="P247" s="575"/>
      <c r="Q247" s="576"/>
      <c r="R247" s="308"/>
      <c r="S247" s="575"/>
      <c r="T247" s="576"/>
      <c r="U247" s="308"/>
      <c r="V247" s="575"/>
      <c r="W247" s="576"/>
      <c r="X247" s="308"/>
      <c r="Y247" s="575"/>
      <c r="Z247" s="576"/>
      <c r="AA247" s="308"/>
      <c r="AB247" s="575"/>
      <c r="AC247" s="576"/>
      <c r="AD247" s="308"/>
      <c r="AE247" s="575"/>
      <c r="AF247" s="308"/>
      <c r="AG247" s="575"/>
      <c r="AH247" s="308"/>
      <c r="AI247" s="575"/>
      <c r="AJ247" s="308"/>
      <c r="AK247" s="305"/>
      <c r="AL247" s="577"/>
      <c r="AM247" s="306"/>
      <c r="AN247" s="308"/>
      <c r="AO247" s="573"/>
      <c r="AP247" s="305"/>
      <c r="AQ247" s="308"/>
      <c r="AR247" s="573"/>
      <c r="AS247" s="578"/>
      <c r="AT247" s="577"/>
      <c r="AU247" s="579"/>
      <c r="AV247" s="578"/>
      <c r="AW247" s="308"/>
      <c r="AX247" s="307"/>
      <c r="AY247" s="307"/>
      <c r="AZ247" s="307"/>
      <c r="BA247" s="307"/>
      <c r="BB247" s="307"/>
      <c r="BC247" s="305"/>
      <c r="BD247" s="292"/>
      <c r="BE247" s="297"/>
      <c r="BF247" s="297"/>
      <c r="BG247" s="569"/>
      <c r="BH247" s="570"/>
      <c r="BI247" s="570"/>
      <c r="BJ247" s="570"/>
      <c r="BK247" s="570"/>
      <c r="BL247" s="570"/>
      <c r="BM247" s="570"/>
      <c r="BN247" s="570"/>
      <c r="BO247" s="570"/>
      <c r="BP247" s="570"/>
      <c r="BQ247" s="570"/>
      <c r="BR247" s="570"/>
      <c r="BS247" s="570"/>
      <c r="BT247" s="570"/>
      <c r="BU247" s="570"/>
      <c r="BV247" s="570"/>
      <c r="BW247" s="570"/>
      <c r="BX247" s="570"/>
      <c r="BY247" s="570"/>
      <c r="BZ247" s="571"/>
      <c r="CA247" s="571"/>
    </row>
    <row r="248" spans="2:79">
      <c r="B248" s="566">
        <v>233</v>
      </c>
      <c r="C248" s="308"/>
      <c r="D248" s="307"/>
      <c r="E248" s="307"/>
      <c r="F248" s="305"/>
      <c r="G248" s="305"/>
      <c r="H248" s="292"/>
      <c r="I248" s="574"/>
      <c r="J248" s="573"/>
      <c r="K248" s="307"/>
      <c r="L248" s="292"/>
      <c r="M248" s="308"/>
      <c r="N248" s="292"/>
      <c r="O248" s="308"/>
      <c r="P248" s="575"/>
      <c r="Q248" s="576"/>
      <c r="R248" s="308"/>
      <c r="S248" s="575"/>
      <c r="T248" s="576"/>
      <c r="U248" s="308"/>
      <c r="V248" s="575"/>
      <c r="W248" s="576"/>
      <c r="X248" s="308"/>
      <c r="Y248" s="575"/>
      <c r="Z248" s="576"/>
      <c r="AA248" s="308"/>
      <c r="AB248" s="575"/>
      <c r="AC248" s="576"/>
      <c r="AD248" s="308"/>
      <c r="AE248" s="575"/>
      <c r="AF248" s="308"/>
      <c r="AG248" s="575"/>
      <c r="AH248" s="308"/>
      <c r="AI248" s="575"/>
      <c r="AJ248" s="308"/>
      <c r="AK248" s="305"/>
      <c r="AL248" s="577"/>
      <c r="AM248" s="306"/>
      <c r="AN248" s="308"/>
      <c r="AO248" s="573"/>
      <c r="AP248" s="305"/>
      <c r="AQ248" s="308"/>
      <c r="AR248" s="573"/>
      <c r="AS248" s="578"/>
      <c r="AT248" s="577"/>
      <c r="AU248" s="579"/>
      <c r="AV248" s="578"/>
      <c r="AW248" s="308"/>
      <c r="AX248" s="307"/>
      <c r="AY248" s="307"/>
      <c r="AZ248" s="307"/>
      <c r="BA248" s="307"/>
      <c r="BB248" s="307"/>
      <c r="BC248" s="305"/>
      <c r="BD248" s="292"/>
      <c r="BE248" s="297"/>
      <c r="BF248" s="297"/>
      <c r="BG248" s="569"/>
      <c r="BH248" s="570"/>
      <c r="BI248" s="570"/>
      <c r="BJ248" s="570"/>
      <c r="BK248" s="570"/>
      <c r="BL248" s="570"/>
      <c r="BM248" s="570"/>
      <c r="BN248" s="570"/>
      <c r="BO248" s="570"/>
      <c r="BP248" s="570"/>
      <c r="BQ248" s="570"/>
      <c r="BR248" s="570"/>
      <c r="BS248" s="570"/>
      <c r="BT248" s="570"/>
      <c r="BU248" s="570"/>
      <c r="BV248" s="570"/>
      <c r="BW248" s="570"/>
      <c r="BX248" s="570"/>
      <c r="BY248" s="570"/>
      <c r="BZ248" s="571"/>
      <c r="CA248" s="571"/>
    </row>
    <row r="249" spans="2:79">
      <c r="B249" s="572">
        <v>234</v>
      </c>
      <c r="C249" s="308"/>
      <c r="D249" s="307"/>
      <c r="E249" s="307"/>
      <c r="F249" s="305"/>
      <c r="G249" s="305"/>
      <c r="H249" s="292"/>
      <c r="I249" s="574"/>
      <c r="J249" s="573"/>
      <c r="K249" s="307"/>
      <c r="L249" s="292"/>
      <c r="M249" s="308"/>
      <c r="N249" s="292"/>
      <c r="O249" s="308"/>
      <c r="P249" s="575"/>
      <c r="Q249" s="576"/>
      <c r="R249" s="308"/>
      <c r="S249" s="575"/>
      <c r="T249" s="576"/>
      <c r="U249" s="308"/>
      <c r="V249" s="575"/>
      <c r="W249" s="576"/>
      <c r="X249" s="308"/>
      <c r="Y249" s="575"/>
      <c r="Z249" s="576"/>
      <c r="AA249" s="308"/>
      <c r="AB249" s="575"/>
      <c r="AC249" s="576"/>
      <c r="AD249" s="308"/>
      <c r="AE249" s="575"/>
      <c r="AF249" s="308"/>
      <c r="AG249" s="575"/>
      <c r="AH249" s="308"/>
      <c r="AI249" s="575"/>
      <c r="AJ249" s="308"/>
      <c r="AK249" s="305"/>
      <c r="AL249" s="577"/>
      <c r="AM249" s="306"/>
      <c r="AN249" s="308"/>
      <c r="AO249" s="573"/>
      <c r="AP249" s="305"/>
      <c r="AQ249" s="308"/>
      <c r="AR249" s="573"/>
      <c r="AS249" s="578"/>
      <c r="AT249" s="577"/>
      <c r="AU249" s="579"/>
      <c r="AV249" s="578"/>
      <c r="AW249" s="308"/>
      <c r="AX249" s="307"/>
      <c r="AY249" s="307"/>
      <c r="AZ249" s="307"/>
      <c r="BA249" s="307"/>
      <c r="BB249" s="307"/>
      <c r="BC249" s="305"/>
      <c r="BD249" s="292"/>
      <c r="BE249" s="297"/>
      <c r="BF249" s="297"/>
      <c r="BG249" s="569"/>
      <c r="BH249" s="570"/>
      <c r="BI249" s="570"/>
      <c r="BJ249" s="570"/>
      <c r="BK249" s="570"/>
      <c r="BL249" s="570"/>
      <c r="BM249" s="570"/>
      <c r="BN249" s="570"/>
      <c r="BO249" s="570"/>
      <c r="BP249" s="570"/>
      <c r="BQ249" s="570"/>
      <c r="BR249" s="570"/>
      <c r="BS249" s="570"/>
      <c r="BT249" s="570"/>
      <c r="BU249" s="570"/>
      <c r="BV249" s="570"/>
      <c r="BW249" s="570"/>
      <c r="BX249" s="570"/>
      <c r="BY249" s="570"/>
      <c r="BZ249" s="571"/>
      <c r="CA249" s="571"/>
    </row>
    <row r="250" spans="2:79">
      <c r="B250" s="566">
        <v>235</v>
      </c>
      <c r="C250" s="308"/>
      <c r="D250" s="307"/>
      <c r="E250" s="307"/>
      <c r="F250" s="305"/>
      <c r="G250" s="305"/>
      <c r="H250" s="292"/>
      <c r="I250" s="574"/>
      <c r="J250" s="573"/>
      <c r="K250" s="307"/>
      <c r="L250" s="292"/>
      <c r="M250" s="308"/>
      <c r="N250" s="292"/>
      <c r="O250" s="308"/>
      <c r="P250" s="575"/>
      <c r="Q250" s="576"/>
      <c r="R250" s="308"/>
      <c r="S250" s="575"/>
      <c r="T250" s="576"/>
      <c r="U250" s="308"/>
      <c r="V250" s="575"/>
      <c r="W250" s="576"/>
      <c r="X250" s="308"/>
      <c r="Y250" s="575"/>
      <c r="Z250" s="576"/>
      <c r="AA250" s="308"/>
      <c r="AB250" s="575"/>
      <c r="AC250" s="576"/>
      <c r="AD250" s="308"/>
      <c r="AE250" s="575"/>
      <c r="AF250" s="308"/>
      <c r="AG250" s="575"/>
      <c r="AH250" s="308"/>
      <c r="AI250" s="575"/>
      <c r="AJ250" s="308"/>
      <c r="AK250" s="305"/>
      <c r="AL250" s="577"/>
      <c r="AM250" s="306"/>
      <c r="AN250" s="308"/>
      <c r="AO250" s="573"/>
      <c r="AP250" s="305"/>
      <c r="AQ250" s="308"/>
      <c r="AR250" s="573"/>
      <c r="AS250" s="578"/>
      <c r="AT250" s="577"/>
      <c r="AU250" s="579"/>
      <c r="AV250" s="578"/>
      <c r="AW250" s="308"/>
      <c r="AX250" s="307"/>
      <c r="AY250" s="307"/>
      <c r="AZ250" s="307"/>
      <c r="BA250" s="307"/>
      <c r="BB250" s="307"/>
      <c r="BC250" s="305"/>
      <c r="BD250" s="292"/>
      <c r="BE250" s="297"/>
      <c r="BF250" s="297"/>
      <c r="BG250" s="569"/>
      <c r="BH250" s="570"/>
      <c r="BI250" s="570"/>
      <c r="BJ250" s="570"/>
      <c r="BK250" s="570"/>
      <c r="BL250" s="570"/>
      <c r="BM250" s="570"/>
      <c r="BN250" s="570"/>
      <c r="BO250" s="570"/>
      <c r="BP250" s="570"/>
      <c r="BQ250" s="570"/>
      <c r="BR250" s="570"/>
      <c r="BS250" s="570"/>
      <c r="BT250" s="570"/>
      <c r="BU250" s="570"/>
      <c r="BV250" s="570"/>
      <c r="BW250" s="570"/>
      <c r="BX250" s="570"/>
      <c r="BY250" s="570"/>
      <c r="BZ250" s="571"/>
      <c r="CA250" s="571"/>
    </row>
    <row r="251" spans="2:79">
      <c r="B251" s="572">
        <v>236</v>
      </c>
      <c r="C251" s="308"/>
      <c r="D251" s="307"/>
      <c r="E251" s="307"/>
      <c r="F251" s="305"/>
      <c r="G251" s="305"/>
      <c r="H251" s="292"/>
      <c r="I251" s="574"/>
      <c r="J251" s="573"/>
      <c r="K251" s="307"/>
      <c r="L251" s="292"/>
      <c r="M251" s="308"/>
      <c r="N251" s="292"/>
      <c r="O251" s="308"/>
      <c r="P251" s="575"/>
      <c r="Q251" s="576"/>
      <c r="R251" s="308"/>
      <c r="S251" s="575"/>
      <c r="T251" s="576"/>
      <c r="U251" s="308"/>
      <c r="V251" s="575"/>
      <c r="W251" s="576"/>
      <c r="X251" s="308"/>
      <c r="Y251" s="575"/>
      <c r="Z251" s="576"/>
      <c r="AA251" s="308"/>
      <c r="AB251" s="575"/>
      <c r="AC251" s="576"/>
      <c r="AD251" s="308"/>
      <c r="AE251" s="575"/>
      <c r="AF251" s="308"/>
      <c r="AG251" s="575"/>
      <c r="AH251" s="308"/>
      <c r="AI251" s="575"/>
      <c r="AJ251" s="308"/>
      <c r="AK251" s="305"/>
      <c r="AL251" s="577"/>
      <c r="AM251" s="306"/>
      <c r="AN251" s="308"/>
      <c r="AO251" s="573"/>
      <c r="AP251" s="305"/>
      <c r="AQ251" s="308"/>
      <c r="AR251" s="573"/>
      <c r="AS251" s="578"/>
      <c r="AT251" s="577"/>
      <c r="AU251" s="579"/>
      <c r="AV251" s="578"/>
      <c r="AW251" s="308"/>
      <c r="AX251" s="307"/>
      <c r="AY251" s="307"/>
      <c r="AZ251" s="307"/>
      <c r="BA251" s="307"/>
      <c r="BB251" s="307"/>
      <c r="BC251" s="305"/>
      <c r="BD251" s="292"/>
      <c r="BE251" s="297"/>
      <c r="BF251" s="297"/>
      <c r="BG251" s="569"/>
      <c r="BH251" s="570"/>
      <c r="BI251" s="570"/>
      <c r="BJ251" s="570"/>
      <c r="BK251" s="570"/>
      <c r="BL251" s="570"/>
      <c r="BM251" s="570"/>
      <c r="BN251" s="570"/>
      <c r="BO251" s="570"/>
      <c r="BP251" s="570"/>
      <c r="BQ251" s="570"/>
      <c r="BR251" s="570"/>
      <c r="BS251" s="570"/>
      <c r="BT251" s="570"/>
      <c r="BU251" s="570"/>
      <c r="BV251" s="570"/>
      <c r="BW251" s="570"/>
      <c r="BX251" s="570"/>
      <c r="BY251" s="570"/>
      <c r="BZ251" s="571"/>
      <c r="CA251" s="571"/>
    </row>
    <row r="252" spans="2:79">
      <c r="B252" s="566">
        <v>237</v>
      </c>
      <c r="C252" s="308"/>
      <c r="D252" s="307"/>
      <c r="E252" s="307"/>
      <c r="F252" s="305"/>
      <c r="G252" s="305"/>
      <c r="H252" s="292"/>
      <c r="I252" s="574"/>
      <c r="J252" s="573"/>
      <c r="K252" s="307"/>
      <c r="L252" s="292"/>
      <c r="M252" s="308"/>
      <c r="N252" s="292"/>
      <c r="O252" s="308"/>
      <c r="P252" s="575"/>
      <c r="Q252" s="576"/>
      <c r="R252" s="308"/>
      <c r="S252" s="575"/>
      <c r="T252" s="576"/>
      <c r="U252" s="308"/>
      <c r="V252" s="575"/>
      <c r="W252" s="576"/>
      <c r="X252" s="308"/>
      <c r="Y252" s="575"/>
      <c r="Z252" s="576"/>
      <c r="AA252" s="308"/>
      <c r="AB252" s="575"/>
      <c r="AC252" s="576"/>
      <c r="AD252" s="308"/>
      <c r="AE252" s="575"/>
      <c r="AF252" s="308"/>
      <c r="AG252" s="575"/>
      <c r="AH252" s="308"/>
      <c r="AI252" s="575"/>
      <c r="AJ252" s="308"/>
      <c r="AK252" s="305"/>
      <c r="AL252" s="577"/>
      <c r="AM252" s="306"/>
      <c r="AN252" s="308"/>
      <c r="AO252" s="573"/>
      <c r="AP252" s="305"/>
      <c r="AQ252" s="308"/>
      <c r="AR252" s="573"/>
      <c r="AS252" s="578"/>
      <c r="AT252" s="577"/>
      <c r="AU252" s="579"/>
      <c r="AV252" s="578"/>
      <c r="AW252" s="308"/>
      <c r="AX252" s="307"/>
      <c r="AY252" s="307"/>
      <c r="AZ252" s="307"/>
      <c r="BA252" s="307"/>
      <c r="BB252" s="307"/>
      <c r="BC252" s="305"/>
      <c r="BD252" s="292"/>
      <c r="BE252" s="297"/>
      <c r="BF252" s="297"/>
      <c r="BG252" s="569"/>
      <c r="BH252" s="570"/>
      <c r="BI252" s="570"/>
      <c r="BJ252" s="570"/>
      <c r="BK252" s="570"/>
      <c r="BL252" s="570"/>
      <c r="BM252" s="570"/>
      <c r="BN252" s="570"/>
      <c r="BO252" s="570"/>
      <c r="BP252" s="570"/>
      <c r="BQ252" s="570"/>
      <c r="BR252" s="570"/>
      <c r="BS252" s="570"/>
      <c r="BT252" s="570"/>
      <c r="BU252" s="570"/>
      <c r="BV252" s="570"/>
      <c r="BW252" s="570"/>
      <c r="BX252" s="570"/>
      <c r="BY252" s="570"/>
      <c r="BZ252" s="571"/>
      <c r="CA252" s="571"/>
    </row>
    <row r="253" spans="2:79">
      <c r="B253" s="572">
        <v>238</v>
      </c>
      <c r="C253" s="308"/>
      <c r="D253" s="307"/>
      <c r="E253" s="307"/>
      <c r="F253" s="305"/>
      <c r="G253" s="305"/>
      <c r="H253" s="292"/>
      <c r="I253" s="574"/>
      <c r="J253" s="573"/>
      <c r="K253" s="307"/>
      <c r="L253" s="292"/>
      <c r="M253" s="308"/>
      <c r="N253" s="292"/>
      <c r="O253" s="308"/>
      <c r="P253" s="575"/>
      <c r="Q253" s="576"/>
      <c r="R253" s="308"/>
      <c r="S253" s="575"/>
      <c r="T253" s="576"/>
      <c r="U253" s="308"/>
      <c r="V253" s="575"/>
      <c r="W253" s="576"/>
      <c r="X253" s="308"/>
      <c r="Y253" s="575"/>
      <c r="Z253" s="576"/>
      <c r="AA253" s="308"/>
      <c r="AB253" s="575"/>
      <c r="AC253" s="576"/>
      <c r="AD253" s="308"/>
      <c r="AE253" s="575"/>
      <c r="AF253" s="308"/>
      <c r="AG253" s="575"/>
      <c r="AH253" s="308"/>
      <c r="AI253" s="575"/>
      <c r="AJ253" s="308"/>
      <c r="AK253" s="305"/>
      <c r="AL253" s="577"/>
      <c r="AM253" s="306"/>
      <c r="AN253" s="308"/>
      <c r="AO253" s="573"/>
      <c r="AP253" s="305"/>
      <c r="AQ253" s="308"/>
      <c r="AR253" s="573"/>
      <c r="AS253" s="578"/>
      <c r="AT253" s="577"/>
      <c r="AU253" s="579"/>
      <c r="AV253" s="578"/>
      <c r="AW253" s="308"/>
      <c r="AX253" s="307"/>
      <c r="AY253" s="307"/>
      <c r="AZ253" s="307"/>
      <c r="BA253" s="307"/>
      <c r="BB253" s="307"/>
      <c r="BC253" s="305"/>
      <c r="BD253" s="292"/>
      <c r="BE253" s="297"/>
      <c r="BF253" s="297"/>
      <c r="BG253" s="569"/>
      <c r="BH253" s="570"/>
      <c r="BI253" s="570"/>
      <c r="BJ253" s="570"/>
      <c r="BK253" s="570"/>
      <c r="BL253" s="570"/>
      <c r="BM253" s="570"/>
      <c r="BN253" s="570"/>
      <c r="BO253" s="570"/>
      <c r="BP253" s="570"/>
      <c r="BQ253" s="570"/>
      <c r="BR253" s="570"/>
      <c r="BS253" s="570"/>
      <c r="BT253" s="570"/>
      <c r="BU253" s="570"/>
      <c r="BV253" s="570"/>
      <c r="BW253" s="570"/>
      <c r="BX253" s="570"/>
      <c r="BY253" s="570"/>
      <c r="BZ253" s="571"/>
      <c r="CA253" s="571"/>
    </row>
    <row r="254" spans="2:79">
      <c r="B254" s="566">
        <v>239</v>
      </c>
      <c r="C254" s="308"/>
      <c r="D254" s="307"/>
      <c r="E254" s="307"/>
      <c r="F254" s="305"/>
      <c r="G254" s="305"/>
      <c r="H254" s="292"/>
      <c r="I254" s="574"/>
      <c r="J254" s="573"/>
      <c r="K254" s="307"/>
      <c r="L254" s="292"/>
      <c r="M254" s="308"/>
      <c r="N254" s="292"/>
      <c r="O254" s="308"/>
      <c r="P254" s="575"/>
      <c r="Q254" s="576"/>
      <c r="R254" s="308"/>
      <c r="S254" s="575"/>
      <c r="T254" s="576"/>
      <c r="U254" s="308"/>
      <c r="V254" s="575"/>
      <c r="W254" s="576"/>
      <c r="X254" s="308"/>
      <c r="Y254" s="575"/>
      <c r="Z254" s="576"/>
      <c r="AA254" s="308"/>
      <c r="AB254" s="575"/>
      <c r="AC254" s="576"/>
      <c r="AD254" s="308"/>
      <c r="AE254" s="575"/>
      <c r="AF254" s="308"/>
      <c r="AG254" s="575"/>
      <c r="AH254" s="308"/>
      <c r="AI254" s="575"/>
      <c r="AJ254" s="308"/>
      <c r="AK254" s="305"/>
      <c r="AL254" s="577"/>
      <c r="AM254" s="306"/>
      <c r="AN254" s="308"/>
      <c r="AO254" s="573"/>
      <c r="AP254" s="305"/>
      <c r="AQ254" s="308"/>
      <c r="AR254" s="573"/>
      <c r="AS254" s="578"/>
      <c r="AT254" s="577"/>
      <c r="AU254" s="579"/>
      <c r="AV254" s="578"/>
      <c r="AW254" s="308"/>
      <c r="AX254" s="307"/>
      <c r="AY254" s="307"/>
      <c r="AZ254" s="307"/>
      <c r="BA254" s="307"/>
      <c r="BB254" s="307"/>
      <c r="BC254" s="305"/>
      <c r="BD254" s="292"/>
      <c r="BE254" s="297"/>
      <c r="BF254" s="297"/>
      <c r="BG254" s="569"/>
      <c r="BH254" s="570"/>
      <c r="BI254" s="570"/>
      <c r="BJ254" s="570"/>
      <c r="BK254" s="570"/>
      <c r="BL254" s="570"/>
      <c r="BM254" s="570"/>
      <c r="BN254" s="570"/>
      <c r="BO254" s="570"/>
      <c r="BP254" s="570"/>
      <c r="BQ254" s="570"/>
      <c r="BR254" s="570"/>
      <c r="BS254" s="570"/>
      <c r="BT254" s="570"/>
      <c r="BU254" s="570"/>
      <c r="BV254" s="570"/>
      <c r="BW254" s="570"/>
      <c r="BX254" s="570"/>
      <c r="BY254" s="570"/>
      <c r="BZ254" s="571"/>
      <c r="CA254" s="571"/>
    </row>
    <row r="255" spans="2:79">
      <c r="B255" s="572">
        <v>240</v>
      </c>
      <c r="C255" s="308"/>
      <c r="D255" s="307"/>
      <c r="E255" s="307"/>
      <c r="F255" s="305"/>
      <c r="G255" s="305"/>
      <c r="H255" s="292"/>
      <c r="I255" s="574"/>
      <c r="J255" s="573"/>
      <c r="K255" s="307"/>
      <c r="L255" s="292"/>
      <c r="M255" s="308"/>
      <c r="N255" s="292"/>
      <c r="O255" s="308"/>
      <c r="P255" s="575"/>
      <c r="Q255" s="576"/>
      <c r="R255" s="308"/>
      <c r="S255" s="575"/>
      <c r="T255" s="576"/>
      <c r="U255" s="308"/>
      <c r="V255" s="575"/>
      <c r="W255" s="576"/>
      <c r="X255" s="308"/>
      <c r="Y255" s="575"/>
      <c r="Z255" s="576"/>
      <c r="AA255" s="308"/>
      <c r="AB255" s="575"/>
      <c r="AC255" s="576"/>
      <c r="AD255" s="308"/>
      <c r="AE255" s="575"/>
      <c r="AF255" s="308"/>
      <c r="AG255" s="575"/>
      <c r="AH255" s="308"/>
      <c r="AI255" s="575"/>
      <c r="AJ255" s="308"/>
      <c r="AK255" s="305"/>
      <c r="AL255" s="577"/>
      <c r="AM255" s="306"/>
      <c r="AN255" s="308"/>
      <c r="AO255" s="573"/>
      <c r="AP255" s="305"/>
      <c r="AQ255" s="308"/>
      <c r="AR255" s="573"/>
      <c r="AS255" s="578"/>
      <c r="AT255" s="577"/>
      <c r="AU255" s="579"/>
      <c r="AV255" s="578"/>
      <c r="AW255" s="308"/>
      <c r="AX255" s="307"/>
      <c r="AY255" s="307"/>
      <c r="AZ255" s="307"/>
      <c r="BA255" s="307"/>
      <c r="BB255" s="307"/>
      <c r="BC255" s="305"/>
      <c r="BD255" s="292"/>
      <c r="BE255" s="297"/>
      <c r="BF255" s="297"/>
      <c r="BG255" s="569"/>
      <c r="BH255" s="570"/>
      <c r="BI255" s="570"/>
      <c r="BJ255" s="570"/>
      <c r="BK255" s="570"/>
      <c r="BL255" s="570"/>
      <c r="BM255" s="570"/>
      <c r="BN255" s="570"/>
      <c r="BO255" s="570"/>
      <c r="BP255" s="570"/>
      <c r="BQ255" s="570"/>
      <c r="BR255" s="570"/>
      <c r="BS255" s="570"/>
      <c r="BT255" s="570"/>
      <c r="BU255" s="570"/>
      <c r="BV255" s="570"/>
      <c r="BW255" s="570"/>
      <c r="BX255" s="570"/>
      <c r="BY255" s="570"/>
      <c r="BZ255" s="571"/>
      <c r="CA255" s="571"/>
    </row>
    <row r="256" spans="2:79">
      <c r="B256" s="566">
        <v>241</v>
      </c>
      <c r="C256" s="308"/>
      <c r="D256" s="307"/>
      <c r="E256" s="307"/>
      <c r="F256" s="305"/>
      <c r="G256" s="305"/>
      <c r="H256" s="292"/>
      <c r="I256" s="574"/>
      <c r="J256" s="573"/>
      <c r="K256" s="307"/>
      <c r="L256" s="292"/>
      <c r="M256" s="308"/>
      <c r="N256" s="292"/>
      <c r="O256" s="308"/>
      <c r="P256" s="575"/>
      <c r="Q256" s="576"/>
      <c r="R256" s="308"/>
      <c r="S256" s="575"/>
      <c r="T256" s="576"/>
      <c r="U256" s="308"/>
      <c r="V256" s="575"/>
      <c r="W256" s="576"/>
      <c r="X256" s="308"/>
      <c r="Y256" s="575"/>
      <c r="Z256" s="576"/>
      <c r="AA256" s="308"/>
      <c r="AB256" s="575"/>
      <c r="AC256" s="576"/>
      <c r="AD256" s="308"/>
      <c r="AE256" s="575"/>
      <c r="AF256" s="308"/>
      <c r="AG256" s="575"/>
      <c r="AH256" s="308"/>
      <c r="AI256" s="575"/>
      <c r="AJ256" s="308"/>
      <c r="AK256" s="305"/>
      <c r="AL256" s="577"/>
      <c r="AM256" s="306"/>
      <c r="AN256" s="308"/>
      <c r="AO256" s="573"/>
      <c r="AP256" s="305"/>
      <c r="AQ256" s="308"/>
      <c r="AR256" s="573"/>
      <c r="AS256" s="578"/>
      <c r="AT256" s="577"/>
      <c r="AU256" s="579"/>
      <c r="AV256" s="578"/>
      <c r="AW256" s="308"/>
      <c r="AX256" s="307"/>
      <c r="AY256" s="307"/>
      <c r="AZ256" s="307"/>
      <c r="BA256" s="307"/>
      <c r="BB256" s="307"/>
      <c r="BC256" s="305"/>
      <c r="BD256" s="292"/>
      <c r="BE256" s="297"/>
      <c r="BF256" s="297"/>
      <c r="BG256" s="569"/>
      <c r="BH256" s="570"/>
      <c r="BI256" s="570"/>
      <c r="BJ256" s="570"/>
      <c r="BK256" s="570"/>
      <c r="BL256" s="570"/>
      <c r="BM256" s="570"/>
      <c r="BN256" s="570"/>
      <c r="BO256" s="570"/>
      <c r="BP256" s="570"/>
      <c r="BQ256" s="570"/>
      <c r="BR256" s="570"/>
      <c r="BS256" s="570"/>
      <c r="BT256" s="570"/>
      <c r="BU256" s="570"/>
      <c r="BV256" s="570"/>
      <c r="BW256" s="570"/>
      <c r="BX256" s="570"/>
      <c r="BY256" s="570"/>
      <c r="BZ256" s="571"/>
      <c r="CA256" s="571"/>
    </row>
    <row r="257" spans="2:79">
      <c r="B257" s="572">
        <v>242</v>
      </c>
      <c r="C257" s="308"/>
      <c r="D257" s="307"/>
      <c r="E257" s="307"/>
      <c r="F257" s="305"/>
      <c r="G257" s="305"/>
      <c r="H257" s="292"/>
      <c r="I257" s="574"/>
      <c r="J257" s="573"/>
      <c r="K257" s="307"/>
      <c r="L257" s="292"/>
      <c r="M257" s="308"/>
      <c r="N257" s="292"/>
      <c r="O257" s="308"/>
      <c r="P257" s="575"/>
      <c r="Q257" s="576"/>
      <c r="R257" s="308"/>
      <c r="S257" s="575"/>
      <c r="T257" s="576"/>
      <c r="U257" s="308"/>
      <c r="V257" s="575"/>
      <c r="W257" s="576"/>
      <c r="X257" s="308"/>
      <c r="Y257" s="575"/>
      <c r="Z257" s="576"/>
      <c r="AA257" s="308"/>
      <c r="AB257" s="575"/>
      <c r="AC257" s="576"/>
      <c r="AD257" s="308"/>
      <c r="AE257" s="575"/>
      <c r="AF257" s="308"/>
      <c r="AG257" s="575"/>
      <c r="AH257" s="308"/>
      <c r="AI257" s="575"/>
      <c r="AJ257" s="308"/>
      <c r="AK257" s="305"/>
      <c r="AL257" s="577"/>
      <c r="AM257" s="306"/>
      <c r="AN257" s="308"/>
      <c r="AO257" s="573"/>
      <c r="AP257" s="305"/>
      <c r="AQ257" s="308"/>
      <c r="AR257" s="573"/>
      <c r="AS257" s="578"/>
      <c r="AT257" s="577"/>
      <c r="AU257" s="579"/>
      <c r="AV257" s="578"/>
      <c r="AW257" s="308"/>
      <c r="AX257" s="307"/>
      <c r="AY257" s="307"/>
      <c r="AZ257" s="307"/>
      <c r="BA257" s="307"/>
      <c r="BB257" s="307"/>
      <c r="BC257" s="305"/>
      <c r="BD257" s="292"/>
      <c r="BE257" s="297"/>
      <c r="BF257" s="297"/>
      <c r="BG257" s="569"/>
      <c r="BH257" s="570"/>
      <c r="BI257" s="570"/>
      <c r="BJ257" s="570"/>
      <c r="BK257" s="570"/>
      <c r="BL257" s="570"/>
      <c r="BM257" s="570"/>
      <c r="BN257" s="570"/>
      <c r="BO257" s="570"/>
      <c r="BP257" s="570"/>
      <c r="BQ257" s="570"/>
      <c r="BR257" s="570"/>
      <c r="BS257" s="570"/>
      <c r="BT257" s="570"/>
      <c r="BU257" s="570"/>
      <c r="BV257" s="570"/>
      <c r="BW257" s="570"/>
      <c r="BX257" s="570"/>
      <c r="BY257" s="570"/>
      <c r="BZ257" s="571"/>
      <c r="CA257" s="571"/>
    </row>
    <row r="258" spans="2:79">
      <c r="B258" s="566">
        <v>243</v>
      </c>
      <c r="C258" s="308"/>
      <c r="D258" s="307"/>
      <c r="E258" s="307"/>
      <c r="F258" s="305"/>
      <c r="G258" s="305"/>
      <c r="H258" s="292"/>
      <c r="I258" s="574"/>
      <c r="J258" s="573"/>
      <c r="K258" s="307"/>
      <c r="L258" s="292"/>
      <c r="M258" s="308"/>
      <c r="N258" s="292"/>
      <c r="O258" s="308"/>
      <c r="P258" s="575"/>
      <c r="Q258" s="576"/>
      <c r="R258" s="308"/>
      <c r="S258" s="575"/>
      <c r="T258" s="576"/>
      <c r="U258" s="308"/>
      <c r="V258" s="575"/>
      <c r="W258" s="576"/>
      <c r="X258" s="308"/>
      <c r="Y258" s="575"/>
      <c r="Z258" s="576"/>
      <c r="AA258" s="308"/>
      <c r="AB258" s="575"/>
      <c r="AC258" s="576"/>
      <c r="AD258" s="308"/>
      <c r="AE258" s="575"/>
      <c r="AF258" s="308"/>
      <c r="AG258" s="575"/>
      <c r="AH258" s="308"/>
      <c r="AI258" s="575"/>
      <c r="AJ258" s="308"/>
      <c r="AK258" s="305"/>
      <c r="AL258" s="577"/>
      <c r="AM258" s="306"/>
      <c r="AN258" s="308"/>
      <c r="AO258" s="573"/>
      <c r="AP258" s="305"/>
      <c r="AQ258" s="308"/>
      <c r="AR258" s="573"/>
      <c r="AS258" s="578"/>
      <c r="AT258" s="577"/>
      <c r="AU258" s="579"/>
      <c r="AV258" s="578"/>
      <c r="AW258" s="308"/>
      <c r="AX258" s="307"/>
      <c r="AY258" s="307"/>
      <c r="AZ258" s="307"/>
      <c r="BA258" s="307"/>
      <c r="BB258" s="307"/>
      <c r="BC258" s="305"/>
      <c r="BD258" s="292"/>
      <c r="BE258" s="297"/>
      <c r="BF258" s="297"/>
      <c r="BG258" s="569"/>
      <c r="BH258" s="570"/>
      <c r="BI258" s="570"/>
      <c r="BJ258" s="570"/>
      <c r="BK258" s="570"/>
      <c r="BL258" s="570"/>
      <c r="BM258" s="570"/>
      <c r="BN258" s="570"/>
      <c r="BO258" s="570"/>
      <c r="BP258" s="570"/>
      <c r="BQ258" s="570"/>
      <c r="BR258" s="570"/>
      <c r="BS258" s="570"/>
      <c r="BT258" s="570"/>
      <c r="BU258" s="570"/>
      <c r="BV258" s="570"/>
      <c r="BW258" s="570"/>
      <c r="BX258" s="570"/>
      <c r="BY258" s="570"/>
      <c r="BZ258" s="571"/>
      <c r="CA258" s="571"/>
    </row>
    <row r="259" spans="2:79">
      <c r="B259" s="572">
        <v>244</v>
      </c>
      <c r="C259" s="308"/>
      <c r="D259" s="307"/>
      <c r="E259" s="307"/>
      <c r="F259" s="305"/>
      <c r="G259" s="305"/>
      <c r="H259" s="292"/>
      <c r="I259" s="574"/>
      <c r="J259" s="573"/>
      <c r="K259" s="307"/>
      <c r="L259" s="292"/>
      <c r="M259" s="308"/>
      <c r="N259" s="292"/>
      <c r="O259" s="308"/>
      <c r="P259" s="575"/>
      <c r="Q259" s="576"/>
      <c r="R259" s="308"/>
      <c r="S259" s="575"/>
      <c r="T259" s="576"/>
      <c r="U259" s="308"/>
      <c r="V259" s="575"/>
      <c r="W259" s="576"/>
      <c r="X259" s="308"/>
      <c r="Y259" s="575"/>
      <c r="Z259" s="576"/>
      <c r="AA259" s="308"/>
      <c r="AB259" s="575"/>
      <c r="AC259" s="576"/>
      <c r="AD259" s="308"/>
      <c r="AE259" s="575"/>
      <c r="AF259" s="308"/>
      <c r="AG259" s="575"/>
      <c r="AH259" s="308"/>
      <c r="AI259" s="575"/>
      <c r="AJ259" s="308"/>
      <c r="AK259" s="305"/>
      <c r="AL259" s="577"/>
      <c r="AM259" s="306"/>
      <c r="AN259" s="308"/>
      <c r="AO259" s="573"/>
      <c r="AP259" s="305"/>
      <c r="AQ259" s="308"/>
      <c r="AR259" s="573"/>
      <c r="AS259" s="578"/>
      <c r="AT259" s="577"/>
      <c r="AU259" s="579"/>
      <c r="AV259" s="578"/>
      <c r="AW259" s="308"/>
      <c r="AX259" s="307"/>
      <c r="AY259" s="307"/>
      <c r="AZ259" s="307"/>
      <c r="BA259" s="307"/>
      <c r="BB259" s="307"/>
      <c r="BC259" s="305"/>
      <c r="BD259" s="292"/>
      <c r="BE259" s="297"/>
      <c r="BF259" s="297"/>
      <c r="BG259" s="569"/>
      <c r="BH259" s="570"/>
      <c r="BI259" s="570"/>
      <c r="BJ259" s="570"/>
      <c r="BK259" s="570"/>
      <c r="BL259" s="570"/>
      <c r="BM259" s="570"/>
      <c r="BN259" s="570"/>
      <c r="BO259" s="570"/>
      <c r="BP259" s="570"/>
      <c r="BQ259" s="570"/>
      <c r="BR259" s="570"/>
      <c r="BS259" s="570"/>
      <c r="BT259" s="570"/>
      <c r="BU259" s="570"/>
      <c r="BV259" s="570"/>
      <c r="BW259" s="570"/>
      <c r="BX259" s="570"/>
      <c r="BY259" s="570"/>
      <c r="BZ259" s="571"/>
      <c r="CA259" s="571"/>
    </row>
    <row r="260" spans="2:79">
      <c r="B260" s="566">
        <v>245</v>
      </c>
      <c r="C260" s="308"/>
      <c r="D260" s="307"/>
      <c r="E260" s="307"/>
      <c r="F260" s="305"/>
      <c r="G260" s="305"/>
      <c r="H260" s="292"/>
      <c r="I260" s="574"/>
      <c r="J260" s="573"/>
      <c r="K260" s="307"/>
      <c r="L260" s="292"/>
      <c r="M260" s="308"/>
      <c r="N260" s="292"/>
      <c r="O260" s="308"/>
      <c r="P260" s="575"/>
      <c r="Q260" s="576"/>
      <c r="R260" s="308"/>
      <c r="S260" s="575"/>
      <c r="T260" s="576"/>
      <c r="U260" s="308"/>
      <c r="V260" s="575"/>
      <c r="W260" s="576"/>
      <c r="X260" s="308"/>
      <c r="Y260" s="575"/>
      <c r="Z260" s="576"/>
      <c r="AA260" s="308"/>
      <c r="AB260" s="575"/>
      <c r="AC260" s="576"/>
      <c r="AD260" s="308"/>
      <c r="AE260" s="575"/>
      <c r="AF260" s="308"/>
      <c r="AG260" s="575"/>
      <c r="AH260" s="308"/>
      <c r="AI260" s="575"/>
      <c r="AJ260" s="308"/>
      <c r="AK260" s="305"/>
      <c r="AL260" s="577"/>
      <c r="AM260" s="306"/>
      <c r="AN260" s="308"/>
      <c r="AO260" s="573"/>
      <c r="AP260" s="305"/>
      <c r="AQ260" s="308"/>
      <c r="AR260" s="573"/>
      <c r="AS260" s="578"/>
      <c r="AT260" s="577"/>
      <c r="AU260" s="579"/>
      <c r="AV260" s="578"/>
      <c r="AW260" s="308"/>
      <c r="AX260" s="307"/>
      <c r="AY260" s="307"/>
      <c r="AZ260" s="307"/>
      <c r="BA260" s="307"/>
      <c r="BB260" s="307"/>
      <c r="BC260" s="305"/>
      <c r="BD260" s="292"/>
      <c r="BE260" s="297"/>
      <c r="BF260" s="297"/>
      <c r="BG260" s="569"/>
      <c r="BH260" s="570"/>
      <c r="BI260" s="570"/>
      <c r="BJ260" s="570"/>
      <c r="BK260" s="570"/>
      <c r="BL260" s="570"/>
      <c r="BM260" s="570"/>
      <c r="BN260" s="570"/>
      <c r="BO260" s="570"/>
      <c r="BP260" s="570"/>
      <c r="BQ260" s="570"/>
      <c r="BR260" s="570"/>
      <c r="BS260" s="570"/>
      <c r="BT260" s="570"/>
      <c r="BU260" s="570"/>
      <c r="BV260" s="570"/>
      <c r="BW260" s="570"/>
      <c r="BX260" s="570"/>
      <c r="BY260" s="570"/>
      <c r="BZ260" s="571"/>
      <c r="CA260" s="571"/>
    </row>
    <row r="261" spans="2:79">
      <c r="B261" s="572">
        <v>246</v>
      </c>
      <c r="C261" s="308"/>
      <c r="D261" s="307"/>
      <c r="E261" s="307"/>
      <c r="F261" s="305"/>
      <c r="G261" s="305"/>
      <c r="H261" s="292"/>
      <c r="I261" s="574"/>
      <c r="J261" s="573"/>
      <c r="K261" s="307"/>
      <c r="L261" s="292"/>
      <c r="M261" s="308"/>
      <c r="N261" s="292"/>
      <c r="O261" s="308"/>
      <c r="P261" s="575"/>
      <c r="Q261" s="576"/>
      <c r="R261" s="308"/>
      <c r="S261" s="575"/>
      <c r="T261" s="576"/>
      <c r="U261" s="308"/>
      <c r="V261" s="575"/>
      <c r="W261" s="576"/>
      <c r="X261" s="308"/>
      <c r="Y261" s="575"/>
      <c r="Z261" s="576"/>
      <c r="AA261" s="308"/>
      <c r="AB261" s="575"/>
      <c r="AC261" s="576"/>
      <c r="AD261" s="308"/>
      <c r="AE261" s="575"/>
      <c r="AF261" s="308"/>
      <c r="AG261" s="575"/>
      <c r="AH261" s="308"/>
      <c r="AI261" s="575"/>
      <c r="AJ261" s="308"/>
      <c r="AK261" s="305"/>
      <c r="AL261" s="577"/>
      <c r="AM261" s="306"/>
      <c r="AN261" s="308"/>
      <c r="AO261" s="573"/>
      <c r="AP261" s="305"/>
      <c r="AQ261" s="308"/>
      <c r="AR261" s="573"/>
      <c r="AS261" s="578"/>
      <c r="AT261" s="577"/>
      <c r="AU261" s="579"/>
      <c r="AV261" s="578"/>
      <c r="AW261" s="308"/>
      <c r="AX261" s="307"/>
      <c r="AY261" s="307"/>
      <c r="AZ261" s="307"/>
      <c r="BA261" s="307"/>
      <c r="BB261" s="307"/>
      <c r="BC261" s="305"/>
      <c r="BD261" s="292"/>
      <c r="BE261" s="297"/>
      <c r="BF261" s="297"/>
      <c r="BG261" s="569"/>
      <c r="BH261" s="570"/>
      <c r="BI261" s="570"/>
      <c r="BJ261" s="570"/>
      <c r="BK261" s="570"/>
      <c r="BL261" s="570"/>
      <c r="BM261" s="570"/>
      <c r="BN261" s="570"/>
      <c r="BO261" s="570"/>
      <c r="BP261" s="570"/>
      <c r="BQ261" s="570"/>
      <c r="BR261" s="570"/>
      <c r="BS261" s="570"/>
      <c r="BT261" s="570"/>
      <c r="BU261" s="570"/>
      <c r="BV261" s="570"/>
      <c r="BW261" s="570"/>
      <c r="BX261" s="570"/>
      <c r="BY261" s="570"/>
      <c r="BZ261" s="571"/>
      <c r="CA261" s="571"/>
    </row>
    <row r="262" spans="2:79">
      <c r="B262" s="566">
        <v>247</v>
      </c>
      <c r="C262" s="308"/>
      <c r="D262" s="307"/>
      <c r="E262" s="307"/>
      <c r="F262" s="305"/>
      <c r="G262" s="305"/>
      <c r="H262" s="292"/>
      <c r="I262" s="574"/>
      <c r="J262" s="573"/>
      <c r="K262" s="307"/>
      <c r="L262" s="292"/>
      <c r="M262" s="308"/>
      <c r="N262" s="292"/>
      <c r="O262" s="308"/>
      <c r="P262" s="575"/>
      <c r="Q262" s="576"/>
      <c r="R262" s="308"/>
      <c r="S262" s="575"/>
      <c r="T262" s="576"/>
      <c r="U262" s="308"/>
      <c r="V262" s="575"/>
      <c r="W262" s="576"/>
      <c r="X262" s="308"/>
      <c r="Y262" s="575"/>
      <c r="Z262" s="576"/>
      <c r="AA262" s="308"/>
      <c r="AB262" s="575"/>
      <c r="AC262" s="576"/>
      <c r="AD262" s="308"/>
      <c r="AE262" s="575"/>
      <c r="AF262" s="308"/>
      <c r="AG262" s="575"/>
      <c r="AH262" s="308"/>
      <c r="AI262" s="575"/>
      <c r="AJ262" s="308"/>
      <c r="AK262" s="305"/>
      <c r="AL262" s="577"/>
      <c r="AM262" s="306"/>
      <c r="AN262" s="308"/>
      <c r="AO262" s="573"/>
      <c r="AP262" s="305"/>
      <c r="AQ262" s="308"/>
      <c r="AR262" s="573"/>
      <c r="AS262" s="578"/>
      <c r="AT262" s="577"/>
      <c r="AU262" s="579"/>
      <c r="AV262" s="578"/>
      <c r="AW262" s="308"/>
      <c r="AX262" s="307"/>
      <c r="AY262" s="307"/>
      <c r="AZ262" s="307"/>
      <c r="BA262" s="307"/>
      <c r="BB262" s="307"/>
      <c r="BC262" s="305"/>
      <c r="BD262" s="292"/>
      <c r="BE262" s="297"/>
      <c r="BF262" s="297"/>
      <c r="BG262" s="569"/>
      <c r="BH262" s="570"/>
      <c r="BI262" s="570"/>
      <c r="BJ262" s="570"/>
      <c r="BK262" s="570"/>
      <c r="BL262" s="570"/>
      <c r="BM262" s="570"/>
      <c r="BN262" s="570"/>
      <c r="BO262" s="570"/>
      <c r="BP262" s="570"/>
      <c r="BQ262" s="570"/>
      <c r="BR262" s="570"/>
      <c r="BS262" s="570"/>
      <c r="BT262" s="570"/>
      <c r="BU262" s="570"/>
      <c r="BV262" s="570"/>
      <c r="BW262" s="570"/>
      <c r="BX262" s="570"/>
      <c r="BY262" s="570"/>
      <c r="BZ262" s="571"/>
      <c r="CA262" s="571"/>
    </row>
    <row r="263" spans="2:79">
      <c r="B263" s="572">
        <v>248</v>
      </c>
      <c r="C263" s="308"/>
      <c r="D263" s="307"/>
      <c r="E263" s="307"/>
      <c r="F263" s="305"/>
      <c r="G263" s="305"/>
      <c r="H263" s="292"/>
      <c r="I263" s="574"/>
      <c r="J263" s="573"/>
      <c r="K263" s="307"/>
      <c r="L263" s="292"/>
      <c r="M263" s="308"/>
      <c r="N263" s="292"/>
      <c r="O263" s="308"/>
      <c r="P263" s="575"/>
      <c r="Q263" s="576"/>
      <c r="R263" s="308"/>
      <c r="S263" s="575"/>
      <c r="T263" s="576"/>
      <c r="U263" s="308"/>
      <c r="V263" s="575"/>
      <c r="W263" s="576"/>
      <c r="X263" s="308"/>
      <c r="Y263" s="575"/>
      <c r="Z263" s="576"/>
      <c r="AA263" s="308"/>
      <c r="AB263" s="575"/>
      <c r="AC263" s="576"/>
      <c r="AD263" s="308"/>
      <c r="AE263" s="575"/>
      <c r="AF263" s="308"/>
      <c r="AG263" s="575"/>
      <c r="AH263" s="308"/>
      <c r="AI263" s="575"/>
      <c r="AJ263" s="308"/>
      <c r="AK263" s="305"/>
      <c r="AL263" s="577"/>
      <c r="AM263" s="306"/>
      <c r="AN263" s="308"/>
      <c r="AO263" s="573"/>
      <c r="AP263" s="305"/>
      <c r="AQ263" s="308"/>
      <c r="AR263" s="573"/>
      <c r="AS263" s="578"/>
      <c r="AT263" s="577"/>
      <c r="AU263" s="579"/>
      <c r="AV263" s="578"/>
      <c r="AW263" s="308"/>
      <c r="AX263" s="307"/>
      <c r="AY263" s="307"/>
      <c r="AZ263" s="307"/>
      <c r="BA263" s="307"/>
      <c r="BB263" s="307"/>
      <c r="BC263" s="305"/>
      <c r="BD263" s="292"/>
      <c r="BE263" s="297"/>
      <c r="BF263" s="297"/>
      <c r="BG263" s="569"/>
      <c r="BH263" s="570"/>
      <c r="BI263" s="570"/>
      <c r="BJ263" s="570"/>
      <c r="BK263" s="570"/>
      <c r="BL263" s="570"/>
      <c r="BM263" s="570"/>
      <c r="BN263" s="570"/>
      <c r="BO263" s="570"/>
      <c r="BP263" s="570"/>
      <c r="BQ263" s="570"/>
      <c r="BR263" s="570"/>
      <c r="BS263" s="570"/>
      <c r="BT263" s="570"/>
      <c r="BU263" s="570"/>
      <c r="BV263" s="570"/>
      <c r="BW263" s="570"/>
      <c r="BX263" s="570"/>
      <c r="BY263" s="570"/>
      <c r="BZ263" s="571"/>
      <c r="CA263" s="571"/>
    </row>
    <row r="264" spans="2:79">
      <c r="B264" s="566">
        <v>249</v>
      </c>
      <c r="C264" s="308"/>
      <c r="D264" s="307"/>
      <c r="E264" s="307"/>
      <c r="F264" s="305"/>
      <c r="G264" s="305"/>
      <c r="H264" s="292"/>
      <c r="I264" s="574"/>
      <c r="J264" s="573"/>
      <c r="K264" s="307"/>
      <c r="L264" s="292"/>
      <c r="M264" s="308"/>
      <c r="N264" s="292"/>
      <c r="O264" s="308"/>
      <c r="P264" s="575"/>
      <c r="Q264" s="576"/>
      <c r="R264" s="308"/>
      <c r="S264" s="575"/>
      <c r="T264" s="576"/>
      <c r="U264" s="308"/>
      <c r="V264" s="575"/>
      <c r="W264" s="576"/>
      <c r="X264" s="308"/>
      <c r="Y264" s="575"/>
      <c r="Z264" s="576"/>
      <c r="AA264" s="308"/>
      <c r="AB264" s="575"/>
      <c r="AC264" s="576"/>
      <c r="AD264" s="308"/>
      <c r="AE264" s="575"/>
      <c r="AF264" s="308"/>
      <c r="AG264" s="575"/>
      <c r="AH264" s="308"/>
      <c r="AI264" s="575"/>
      <c r="AJ264" s="308"/>
      <c r="AK264" s="305"/>
      <c r="AL264" s="577"/>
      <c r="AM264" s="306"/>
      <c r="AN264" s="308"/>
      <c r="AO264" s="573"/>
      <c r="AP264" s="305"/>
      <c r="AQ264" s="308"/>
      <c r="AR264" s="573"/>
      <c r="AS264" s="578"/>
      <c r="AT264" s="577"/>
      <c r="AU264" s="579"/>
      <c r="AV264" s="578"/>
      <c r="AW264" s="308"/>
      <c r="AX264" s="307"/>
      <c r="AY264" s="307"/>
      <c r="AZ264" s="307"/>
      <c r="BA264" s="307"/>
      <c r="BB264" s="307"/>
      <c r="BC264" s="305"/>
      <c r="BD264" s="292"/>
      <c r="BE264" s="297"/>
      <c r="BF264" s="297"/>
      <c r="BG264" s="569"/>
      <c r="BH264" s="570"/>
      <c r="BI264" s="570"/>
      <c r="BJ264" s="570"/>
      <c r="BK264" s="570"/>
      <c r="BL264" s="570"/>
      <c r="BM264" s="570"/>
      <c r="BN264" s="570"/>
      <c r="BO264" s="570"/>
      <c r="BP264" s="570"/>
      <c r="BQ264" s="570"/>
      <c r="BR264" s="570"/>
      <c r="BS264" s="570"/>
      <c r="BT264" s="570"/>
      <c r="BU264" s="570"/>
      <c r="BV264" s="570"/>
      <c r="BW264" s="570"/>
      <c r="BX264" s="570"/>
      <c r="BY264" s="570"/>
      <c r="BZ264" s="571"/>
      <c r="CA264" s="571"/>
    </row>
    <row r="265" spans="2:79">
      <c r="B265" s="572">
        <v>250</v>
      </c>
      <c r="C265" s="308"/>
      <c r="D265" s="307"/>
      <c r="E265" s="307"/>
      <c r="F265" s="305"/>
      <c r="G265" s="305"/>
      <c r="H265" s="292"/>
      <c r="I265" s="574"/>
      <c r="J265" s="573"/>
      <c r="K265" s="307"/>
      <c r="L265" s="292"/>
      <c r="M265" s="308"/>
      <c r="N265" s="292"/>
      <c r="O265" s="308"/>
      <c r="P265" s="575"/>
      <c r="Q265" s="576"/>
      <c r="R265" s="308"/>
      <c r="S265" s="575"/>
      <c r="T265" s="576"/>
      <c r="U265" s="308"/>
      <c r="V265" s="575"/>
      <c r="W265" s="576"/>
      <c r="X265" s="308"/>
      <c r="Y265" s="575"/>
      <c r="Z265" s="576"/>
      <c r="AA265" s="308"/>
      <c r="AB265" s="575"/>
      <c r="AC265" s="576"/>
      <c r="AD265" s="308"/>
      <c r="AE265" s="575"/>
      <c r="AF265" s="308"/>
      <c r="AG265" s="575"/>
      <c r="AH265" s="308"/>
      <c r="AI265" s="575"/>
      <c r="AJ265" s="308"/>
      <c r="AK265" s="305"/>
      <c r="AL265" s="577"/>
      <c r="AM265" s="306"/>
      <c r="AN265" s="308"/>
      <c r="AO265" s="573"/>
      <c r="AP265" s="305"/>
      <c r="AQ265" s="308"/>
      <c r="AR265" s="573"/>
      <c r="AS265" s="578"/>
      <c r="AT265" s="577"/>
      <c r="AU265" s="579"/>
      <c r="AV265" s="578"/>
      <c r="AW265" s="308"/>
      <c r="AX265" s="307"/>
      <c r="AY265" s="307"/>
      <c r="AZ265" s="307"/>
      <c r="BA265" s="307"/>
      <c r="BB265" s="307"/>
      <c r="BC265" s="305"/>
      <c r="BD265" s="292"/>
      <c r="BE265" s="297"/>
      <c r="BF265" s="297"/>
      <c r="BG265" s="569"/>
      <c r="BH265" s="570"/>
      <c r="BI265" s="570"/>
      <c r="BJ265" s="570"/>
      <c r="BK265" s="570"/>
      <c r="BL265" s="570"/>
      <c r="BM265" s="570"/>
      <c r="BN265" s="570"/>
      <c r="BO265" s="570"/>
      <c r="BP265" s="570"/>
      <c r="BQ265" s="570"/>
      <c r="BR265" s="570"/>
      <c r="BS265" s="570"/>
      <c r="BT265" s="570"/>
      <c r="BU265" s="570"/>
      <c r="BV265" s="570"/>
      <c r="BW265" s="570"/>
      <c r="BX265" s="570"/>
      <c r="BY265" s="570"/>
      <c r="BZ265" s="571"/>
      <c r="CA265" s="571"/>
    </row>
    <row r="266" spans="2:79">
      <c r="B266" s="566">
        <v>251</v>
      </c>
      <c r="C266" s="308"/>
      <c r="D266" s="307"/>
      <c r="E266" s="307"/>
      <c r="F266" s="305"/>
      <c r="G266" s="305"/>
      <c r="H266" s="292"/>
      <c r="I266" s="574"/>
      <c r="J266" s="573"/>
      <c r="K266" s="307"/>
      <c r="L266" s="292"/>
      <c r="M266" s="308"/>
      <c r="N266" s="292"/>
      <c r="O266" s="308"/>
      <c r="P266" s="575"/>
      <c r="Q266" s="576"/>
      <c r="R266" s="308"/>
      <c r="S266" s="575"/>
      <c r="T266" s="576"/>
      <c r="U266" s="308"/>
      <c r="V266" s="575"/>
      <c r="W266" s="576"/>
      <c r="X266" s="308"/>
      <c r="Y266" s="575"/>
      <c r="Z266" s="576"/>
      <c r="AA266" s="308"/>
      <c r="AB266" s="575"/>
      <c r="AC266" s="576"/>
      <c r="AD266" s="308"/>
      <c r="AE266" s="575"/>
      <c r="AF266" s="308"/>
      <c r="AG266" s="575"/>
      <c r="AH266" s="308"/>
      <c r="AI266" s="575"/>
      <c r="AJ266" s="308"/>
      <c r="AK266" s="305"/>
      <c r="AL266" s="577"/>
      <c r="AM266" s="306"/>
      <c r="AN266" s="308"/>
      <c r="AO266" s="573"/>
      <c r="AP266" s="305"/>
      <c r="AQ266" s="308"/>
      <c r="AR266" s="573"/>
      <c r="AS266" s="578"/>
      <c r="AT266" s="577"/>
      <c r="AU266" s="579"/>
      <c r="AV266" s="578"/>
      <c r="AW266" s="308"/>
      <c r="AX266" s="307"/>
      <c r="AY266" s="307"/>
      <c r="AZ266" s="307"/>
      <c r="BA266" s="307"/>
      <c r="BB266" s="307"/>
      <c r="BC266" s="305"/>
      <c r="BD266" s="292"/>
      <c r="BE266" s="297"/>
      <c r="BF266" s="297"/>
      <c r="BG266" s="569"/>
      <c r="BH266" s="570"/>
      <c r="BI266" s="570"/>
      <c r="BJ266" s="570"/>
      <c r="BK266" s="570"/>
      <c r="BL266" s="570"/>
      <c r="BM266" s="570"/>
      <c r="BN266" s="570"/>
      <c r="BO266" s="570"/>
      <c r="BP266" s="570"/>
      <c r="BQ266" s="570"/>
      <c r="BR266" s="570"/>
      <c r="BS266" s="570"/>
      <c r="BT266" s="570"/>
      <c r="BU266" s="570"/>
      <c r="BV266" s="570"/>
      <c r="BW266" s="570"/>
      <c r="BX266" s="570"/>
      <c r="BY266" s="570"/>
      <c r="BZ266" s="571"/>
      <c r="CA266" s="571"/>
    </row>
    <row r="267" spans="2:79">
      <c r="B267" s="572">
        <v>252</v>
      </c>
      <c r="C267" s="308"/>
      <c r="D267" s="307"/>
      <c r="E267" s="307"/>
      <c r="F267" s="305"/>
      <c r="G267" s="305"/>
      <c r="H267" s="292"/>
      <c r="I267" s="574"/>
      <c r="J267" s="573"/>
      <c r="K267" s="307"/>
      <c r="L267" s="292"/>
      <c r="M267" s="308"/>
      <c r="N267" s="292"/>
      <c r="O267" s="308"/>
      <c r="P267" s="575"/>
      <c r="Q267" s="576"/>
      <c r="R267" s="308"/>
      <c r="S267" s="575"/>
      <c r="T267" s="576"/>
      <c r="U267" s="308"/>
      <c r="V267" s="575"/>
      <c r="W267" s="576"/>
      <c r="X267" s="308"/>
      <c r="Y267" s="575"/>
      <c r="Z267" s="576"/>
      <c r="AA267" s="308"/>
      <c r="AB267" s="575"/>
      <c r="AC267" s="576"/>
      <c r="AD267" s="308"/>
      <c r="AE267" s="575"/>
      <c r="AF267" s="308"/>
      <c r="AG267" s="575"/>
      <c r="AH267" s="308"/>
      <c r="AI267" s="575"/>
      <c r="AJ267" s="308"/>
      <c r="AK267" s="305"/>
      <c r="AL267" s="577"/>
      <c r="AM267" s="306"/>
      <c r="AN267" s="308"/>
      <c r="AO267" s="573"/>
      <c r="AP267" s="305"/>
      <c r="AQ267" s="308"/>
      <c r="AR267" s="573"/>
      <c r="AS267" s="578"/>
      <c r="AT267" s="577"/>
      <c r="AU267" s="579"/>
      <c r="AV267" s="578"/>
      <c r="AW267" s="308"/>
      <c r="AX267" s="307"/>
      <c r="AY267" s="307"/>
      <c r="AZ267" s="307"/>
      <c r="BA267" s="307"/>
      <c r="BB267" s="307"/>
      <c r="BC267" s="305"/>
      <c r="BD267" s="292"/>
      <c r="BE267" s="297"/>
      <c r="BF267" s="297"/>
      <c r="BG267" s="569"/>
      <c r="BH267" s="570"/>
      <c r="BI267" s="570"/>
      <c r="BJ267" s="570"/>
      <c r="BK267" s="570"/>
      <c r="BL267" s="570"/>
      <c r="BM267" s="570"/>
      <c r="BN267" s="570"/>
      <c r="BO267" s="570"/>
      <c r="BP267" s="570"/>
      <c r="BQ267" s="570"/>
      <c r="BR267" s="570"/>
      <c r="BS267" s="570"/>
      <c r="BT267" s="570"/>
      <c r="BU267" s="570"/>
      <c r="BV267" s="570"/>
      <c r="BW267" s="570"/>
      <c r="BX267" s="570"/>
      <c r="BY267" s="570"/>
      <c r="BZ267" s="571"/>
      <c r="CA267" s="571"/>
    </row>
    <row r="268" spans="2:79">
      <c r="B268" s="566">
        <v>253</v>
      </c>
      <c r="C268" s="308"/>
      <c r="D268" s="307"/>
      <c r="E268" s="307"/>
      <c r="F268" s="305"/>
      <c r="G268" s="305"/>
      <c r="H268" s="292"/>
      <c r="I268" s="574"/>
      <c r="J268" s="573"/>
      <c r="K268" s="307"/>
      <c r="L268" s="292"/>
      <c r="M268" s="308"/>
      <c r="N268" s="292"/>
      <c r="O268" s="308"/>
      <c r="P268" s="575"/>
      <c r="Q268" s="576"/>
      <c r="R268" s="308"/>
      <c r="S268" s="575"/>
      <c r="T268" s="576"/>
      <c r="U268" s="308"/>
      <c r="V268" s="575"/>
      <c r="W268" s="576"/>
      <c r="X268" s="308"/>
      <c r="Y268" s="575"/>
      <c r="Z268" s="576"/>
      <c r="AA268" s="308"/>
      <c r="AB268" s="575"/>
      <c r="AC268" s="576"/>
      <c r="AD268" s="308"/>
      <c r="AE268" s="575"/>
      <c r="AF268" s="308"/>
      <c r="AG268" s="575"/>
      <c r="AH268" s="308"/>
      <c r="AI268" s="575"/>
      <c r="AJ268" s="308"/>
      <c r="AK268" s="305"/>
      <c r="AL268" s="577"/>
      <c r="AM268" s="306"/>
      <c r="AN268" s="308"/>
      <c r="AO268" s="573"/>
      <c r="AP268" s="305"/>
      <c r="AQ268" s="308"/>
      <c r="AR268" s="573"/>
      <c r="AS268" s="578"/>
      <c r="AT268" s="577"/>
      <c r="AU268" s="579"/>
      <c r="AV268" s="578"/>
      <c r="AW268" s="308"/>
      <c r="AX268" s="307"/>
      <c r="AY268" s="307"/>
      <c r="AZ268" s="307"/>
      <c r="BA268" s="307"/>
      <c r="BB268" s="307"/>
      <c r="BC268" s="305"/>
      <c r="BD268" s="292"/>
      <c r="BE268" s="297"/>
      <c r="BF268" s="297"/>
      <c r="BG268" s="569"/>
      <c r="BH268" s="570"/>
      <c r="BI268" s="570"/>
      <c r="BJ268" s="570"/>
      <c r="BK268" s="570"/>
      <c r="BL268" s="570"/>
      <c r="BM268" s="570"/>
      <c r="BN268" s="570"/>
      <c r="BO268" s="570"/>
      <c r="BP268" s="570"/>
      <c r="BQ268" s="570"/>
      <c r="BR268" s="570"/>
      <c r="BS268" s="570"/>
      <c r="BT268" s="570"/>
      <c r="BU268" s="570"/>
      <c r="BV268" s="570"/>
      <c r="BW268" s="570"/>
      <c r="BX268" s="570"/>
      <c r="BY268" s="570"/>
      <c r="BZ268" s="571"/>
      <c r="CA268" s="571"/>
    </row>
    <row r="269" spans="2:79">
      <c r="B269" s="572">
        <v>254</v>
      </c>
      <c r="C269" s="308"/>
      <c r="D269" s="307"/>
      <c r="E269" s="307"/>
      <c r="F269" s="305"/>
      <c r="G269" s="305"/>
      <c r="H269" s="292"/>
      <c r="I269" s="574"/>
      <c r="J269" s="573"/>
      <c r="K269" s="307"/>
      <c r="L269" s="292"/>
      <c r="M269" s="308"/>
      <c r="N269" s="292"/>
      <c r="O269" s="308"/>
      <c r="P269" s="575"/>
      <c r="Q269" s="576"/>
      <c r="R269" s="308"/>
      <c r="S269" s="575"/>
      <c r="T269" s="576"/>
      <c r="U269" s="308"/>
      <c r="V269" s="575"/>
      <c r="W269" s="576"/>
      <c r="X269" s="308"/>
      <c r="Y269" s="575"/>
      <c r="Z269" s="576"/>
      <c r="AA269" s="308"/>
      <c r="AB269" s="575"/>
      <c r="AC269" s="576"/>
      <c r="AD269" s="308"/>
      <c r="AE269" s="575"/>
      <c r="AF269" s="308"/>
      <c r="AG269" s="575"/>
      <c r="AH269" s="308"/>
      <c r="AI269" s="575"/>
      <c r="AJ269" s="308"/>
      <c r="AK269" s="305"/>
      <c r="AL269" s="577"/>
      <c r="AM269" s="306"/>
      <c r="AN269" s="308"/>
      <c r="AO269" s="573"/>
      <c r="AP269" s="305"/>
      <c r="AQ269" s="308"/>
      <c r="AR269" s="573"/>
      <c r="AS269" s="578"/>
      <c r="AT269" s="577"/>
      <c r="AU269" s="579"/>
      <c r="AV269" s="578"/>
      <c r="AW269" s="308"/>
      <c r="AX269" s="307"/>
      <c r="AY269" s="307"/>
      <c r="AZ269" s="307"/>
      <c r="BA269" s="307"/>
      <c r="BB269" s="307"/>
      <c r="BC269" s="305"/>
      <c r="BD269" s="292"/>
      <c r="BE269" s="297"/>
      <c r="BF269" s="297"/>
      <c r="BG269" s="569"/>
      <c r="BH269" s="570"/>
      <c r="BI269" s="570"/>
      <c r="BJ269" s="570"/>
      <c r="BK269" s="570"/>
      <c r="BL269" s="570"/>
      <c r="BM269" s="570"/>
      <c r="BN269" s="570"/>
      <c r="BO269" s="570"/>
      <c r="BP269" s="570"/>
      <c r="BQ269" s="570"/>
      <c r="BR269" s="570"/>
      <c r="BS269" s="570"/>
      <c r="BT269" s="570"/>
      <c r="BU269" s="570"/>
      <c r="BV269" s="570"/>
      <c r="BW269" s="570"/>
      <c r="BX269" s="570"/>
      <c r="BY269" s="570"/>
      <c r="BZ269" s="571"/>
      <c r="CA269" s="571"/>
    </row>
    <row r="270" spans="2:79">
      <c r="B270" s="566">
        <v>255</v>
      </c>
      <c r="C270" s="308"/>
      <c r="D270" s="307"/>
      <c r="E270" s="307"/>
      <c r="F270" s="305"/>
      <c r="G270" s="305"/>
      <c r="H270" s="292"/>
      <c r="I270" s="574"/>
      <c r="J270" s="573"/>
      <c r="K270" s="307"/>
      <c r="L270" s="292"/>
      <c r="M270" s="308"/>
      <c r="N270" s="292"/>
      <c r="O270" s="308"/>
      <c r="P270" s="575"/>
      <c r="Q270" s="576"/>
      <c r="R270" s="308"/>
      <c r="S270" s="575"/>
      <c r="T270" s="576"/>
      <c r="U270" s="308"/>
      <c r="V270" s="575"/>
      <c r="W270" s="576"/>
      <c r="X270" s="308"/>
      <c r="Y270" s="575"/>
      <c r="Z270" s="576"/>
      <c r="AA270" s="308"/>
      <c r="AB270" s="575"/>
      <c r="AC270" s="576"/>
      <c r="AD270" s="308"/>
      <c r="AE270" s="575"/>
      <c r="AF270" s="308"/>
      <c r="AG270" s="575"/>
      <c r="AH270" s="308"/>
      <c r="AI270" s="575"/>
      <c r="AJ270" s="308"/>
      <c r="AK270" s="305"/>
      <c r="AL270" s="577"/>
      <c r="AM270" s="306"/>
      <c r="AN270" s="308"/>
      <c r="AO270" s="573"/>
      <c r="AP270" s="305"/>
      <c r="AQ270" s="308"/>
      <c r="AR270" s="573"/>
      <c r="AS270" s="578"/>
      <c r="AT270" s="577"/>
      <c r="AU270" s="579"/>
      <c r="AV270" s="578"/>
      <c r="AW270" s="308"/>
      <c r="AX270" s="307"/>
      <c r="AY270" s="307"/>
      <c r="AZ270" s="307"/>
      <c r="BA270" s="307"/>
      <c r="BB270" s="307"/>
      <c r="BC270" s="305"/>
      <c r="BD270" s="292"/>
      <c r="BE270" s="297"/>
      <c r="BF270" s="297"/>
      <c r="BG270" s="569"/>
      <c r="BH270" s="570"/>
      <c r="BI270" s="570"/>
      <c r="BJ270" s="570"/>
      <c r="BK270" s="570"/>
      <c r="BL270" s="570"/>
      <c r="BM270" s="570"/>
      <c r="BN270" s="570"/>
      <c r="BO270" s="570"/>
      <c r="BP270" s="570"/>
      <c r="BQ270" s="570"/>
      <c r="BR270" s="570"/>
      <c r="BS270" s="570"/>
      <c r="BT270" s="570"/>
      <c r="BU270" s="570"/>
      <c r="BV270" s="570"/>
      <c r="BW270" s="570"/>
      <c r="BX270" s="570"/>
      <c r="BY270" s="570"/>
      <c r="BZ270" s="571"/>
      <c r="CA270" s="571"/>
    </row>
    <row r="271" spans="2:79">
      <c r="B271" s="572">
        <v>256</v>
      </c>
      <c r="C271" s="308"/>
      <c r="D271" s="307"/>
      <c r="E271" s="307"/>
      <c r="F271" s="305"/>
      <c r="G271" s="305"/>
      <c r="H271" s="292"/>
      <c r="I271" s="574"/>
      <c r="J271" s="573"/>
      <c r="K271" s="307"/>
      <c r="L271" s="292"/>
      <c r="M271" s="308"/>
      <c r="N271" s="292"/>
      <c r="O271" s="308"/>
      <c r="P271" s="575"/>
      <c r="Q271" s="576"/>
      <c r="R271" s="308"/>
      <c r="S271" s="575"/>
      <c r="T271" s="576"/>
      <c r="U271" s="308"/>
      <c r="V271" s="575"/>
      <c r="W271" s="576"/>
      <c r="X271" s="308"/>
      <c r="Y271" s="575"/>
      <c r="Z271" s="576"/>
      <c r="AA271" s="308"/>
      <c r="AB271" s="575"/>
      <c r="AC271" s="576"/>
      <c r="AD271" s="308"/>
      <c r="AE271" s="575"/>
      <c r="AF271" s="308"/>
      <c r="AG271" s="575"/>
      <c r="AH271" s="308"/>
      <c r="AI271" s="575"/>
      <c r="AJ271" s="308"/>
      <c r="AK271" s="305"/>
      <c r="AL271" s="577"/>
      <c r="AM271" s="306"/>
      <c r="AN271" s="308"/>
      <c r="AO271" s="573"/>
      <c r="AP271" s="305"/>
      <c r="AQ271" s="308"/>
      <c r="AR271" s="573"/>
      <c r="AS271" s="578"/>
      <c r="AT271" s="577"/>
      <c r="AU271" s="579"/>
      <c r="AV271" s="578"/>
      <c r="AW271" s="308"/>
      <c r="AX271" s="307"/>
      <c r="AY271" s="307"/>
      <c r="AZ271" s="307"/>
      <c r="BA271" s="307"/>
      <c r="BB271" s="307"/>
      <c r="BC271" s="305"/>
      <c r="BD271" s="292"/>
      <c r="BE271" s="297"/>
      <c r="BF271" s="297"/>
      <c r="BG271" s="569"/>
      <c r="BH271" s="570"/>
      <c r="BI271" s="570"/>
      <c r="BJ271" s="570"/>
      <c r="BK271" s="570"/>
      <c r="BL271" s="570"/>
      <c r="BM271" s="570"/>
      <c r="BN271" s="570"/>
      <c r="BO271" s="570"/>
      <c r="BP271" s="570"/>
      <c r="BQ271" s="570"/>
      <c r="BR271" s="570"/>
      <c r="BS271" s="570"/>
      <c r="BT271" s="570"/>
      <c r="BU271" s="570"/>
      <c r="BV271" s="570"/>
      <c r="BW271" s="570"/>
      <c r="BX271" s="570"/>
      <c r="BY271" s="570"/>
      <c r="BZ271" s="571"/>
      <c r="CA271" s="571"/>
    </row>
    <row r="272" spans="2:79">
      <c r="B272" s="566">
        <v>257</v>
      </c>
      <c r="C272" s="308"/>
      <c r="D272" s="307"/>
      <c r="E272" s="307"/>
      <c r="F272" s="305"/>
      <c r="G272" s="305"/>
      <c r="H272" s="292"/>
      <c r="I272" s="574"/>
      <c r="J272" s="573"/>
      <c r="K272" s="307"/>
      <c r="L272" s="292"/>
      <c r="M272" s="308"/>
      <c r="N272" s="292"/>
      <c r="O272" s="308"/>
      <c r="P272" s="575"/>
      <c r="Q272" s="576"/>
      <c r="R272" s="308"/>
      <c r="S272" s="575"/>
      <c r="T272" s="576"/>
      <c r="U272" s="308"/>
      <c r="V272" s="575"/>
      <c r="W272" s="576"/>
      <c r="X272" s="308"/>
      <c r="Y272" s="575"/>
      <c r="Z272" s="576"/>
      <c r="AA272" s="308"/>
      <c r="AB272" s="575"/>
      <c r="AC272" s="576"/>
      <c r="AD272" s="308"/>
      <c r="AE272" s="575"/>
      <c r="AF272" s="308"/>
      <c r="AG272" s="575"/>
      <c r="AH272" s="308"/>
      <c r="AI272" s="575"/>
      <c r="AJ272" s="308"/>
      <c r="AK272" s="305"/>
      <c r="AL272" s="577"/>
      <c r="AM272" s="306"/>
      <c r="AN272" s="308"/>
      <c r="AO272" s="573"/>
      <c r="AP272" s="305"/>
      <c r="AQ272" s="308"/>
      <c r="AR272" s="573"/>
      <c r="AS272" s="578"/>
      <c r="AT272" s="577"/>
      <c r="AU272" s="579"/>
      <c r="AV272" s="578"/>
      <c r="AW272" s="308"/>
      <c r="AX272" s="307"/>
      <c r="AY272" s="307"/>
      <c r="AZ272" s="307"/>
      <c r="BA272" s="307"/>
      <c r="BB272" s="307"/>
      <c r="BC272" s="305"/>
      <c r="BD272" s="292"/>
      <c r="BE272" s="297"/>
      <c r="BF272" s="297"/>
      <c r="BG272" s="569"/>
      <c r="BH272" s="570"/>
      <c r="BI272" s="570"/>
      <c r="BJ272" s="570"/>
      <c r="BK272" s="570"/>
      <c r="BL272" s="570"/>
      <c r="BM272" s="570"/>
      <c r="BN272" s="570"/>
      <c r="BO272" s="570"/>
      <c r="BP272" s="570"/>
      <c r="BQ272" s="570"/>
      <c r="BR272" s="570"/>
      <c r="BS272" s="570"/>
      <c r="BT272" s="570"/>
      <c r="BU272" s="570"/>
      <c r="BV272" s="570"/>
      <c r="BW272" s="570"/>
      <c r="BX272" s="570"/>
      <c r="BY272" s="570"/>
      <c r="BZ272" s="571"/>
      <c r="CA272" s="571"/>
    </row>
    <row r="273" spans="2:79">
      <c r="B273" s="572">
        <v>258</v>
      </c>
      <c r="C273" s="308"/>
      <c r="D273" s="307"/>
      <c r="E273" s="307"/>
      <c r="F273" s="305"/>
      <c r="G273" s="305"/>
      <c r="H273" s="292"/>
      <c r="I273" s="574"/>
      <c r="J273" s="573"/>
      <c r="K273" s="307"/>
      <c r="L273" s="292"/>
      <c r="M273" s="308"/>
      <c r="N273" s="292"/>
      <c r="O273" s="308"/>
      <c r="P273" s="575"/>
      <c r="Q273" s="576"/>
      <c r="R273" s="308"/>
      <c r="S273" s="575"/>
      <c r="T273" s="576"/>
      <c r="U273" s="308"/>
      <c r="V273" s="575"/>
      <c r="W273" s="576"/>
      <c r="X273" s="308"/>
      <c r="Y273" s="575"/>
      <c r="Z273" s="576"/>
      <c r="AA273" s="308"/>
      <c r="AB273" s="575"/>
      <c r="AC273" s="576"/>
      <c r="AD273" s="308"/>
      <c r="AE273" s="575"/>
      <c r="AF273" s="308"/>
      <c r="AG273" s="575"/>
      <c r="AH273" s="308"/>
      <c r="AI273" s="575"/>
      <c r="AJ273" s="308"/>
      <c r="AK273" s="305"/>
      <c r="AL273" s="577"/>
      <c r="AM273" s="306"/>
      <c r="AN273" s="308"/>
      <c r="AO273" s="573"/>
      <c r="AP273" s="305"/>
      <c r="AQ273" s="308"/>
      <c r="AR273" s="573"/>
      <c r="AS273" s="578"/>
      <c r="AT273" s="577"/>
      <c r="AU273" s="579"/>
      <c r="AV273" s="578"/>
      <c r="AW273" s="308"/>
      <c r="AX273" s="307"/>
      <c r="AY273" s="307"/>
      <c r="AZ273" s="307"/>
      <c r="BA273" s="307"/>
      <c r="BB273" s="307"/>
      <c r="BC273" s="305"/>
      <c r="BD273" s="292"/>
      <c r="BE273" s="297"/>
      <c r="BF273" s="297"/>
      <c r="BG273" s="569"/>
      <c r="BH273" s="570"/>
      <c r="BI273" s="570"/>
      <c r="BJ273" s="570"/>
      <c r="BK273" s="570"/>
      <c r="BL273" s="570"/>
      <c r="BM273" s="570"/>
      <c r="BN273" s="570"/>
      <c r="BO273" s="570"/>
      <c r="BP273" s="570"/>
      <c r="BQ273" s="570"/>
      <c r="BR273" s="570"/>
      <c r="BS273" s="570"/>
      <c r="BT273" s="570"/>
      <c r="BU273" s="570"/>
      <c r="BV273" s="570"/>
      <c r="BW273" s="570"/>
      <c r="BX273" s="570"/>
      <c r="BY273" s="570"/>
      <c r="BZ273" s="571"/>
      <c r="CA273" s="571"/>
    </row>
    <row r="274" spans="2:79">
      <c r="B274" s="566">
        <v>259</v>
      </c>
      <c r="C274" s="308"/>
      <c r="D274" s="307"/>
      <c r="E274" s="307"/>
      <c r="F274" s="305"/>
      <c r="G274" s="305"/>
      <c r="H274" s="292"/>
      <c r="I274" s="574"/>
      <c r="J274" s="573"/>
      <c r="K274" s="307"/>
      <c r="L274" s="292"/>
      <c r="M274" s="308"/>
      <c r="N274" s="292"/>
      <c r="O274" s="308"/>
      <c r="P274" s="575"/>
      <c r="Q274" s="576"/>
      <c r="R274" s="308"/>
      <c r="S274" s="575"/>
      <c r="T274" s="576"/>
      <c r="U274" s="308"/>
      <c r="V274" s="575"/>
      <c r="W274" s="576"/>
      <c r="X274" s="308"/>
      <c r="Y274" s="575"/>
      <c r="Z274" s="576"/>
      <c r="AA274" s="308"/>
      <c r="AB274" s="575"/>
      <c r="AC274" s="576"/>
      <c r="AD274" s="308"/>
      <c r="AE274" s="575"/>
      <c r="AF274" s="308"/>
      <c r="AG274" s="575"/>
      <c r="AH274" s="308"/>
      <c r="AI274" s="575"/>
      <c r="AJ274" s="308"/>
      <c r="AK274" s="305"/>
      <c r="AL274" s="577"/>
      <c r="AM274" s="306"/>
      <c r="AN274" s="308"/>
      <c r="AO274" s="573"/>
      <c r="AP274" s="305"/>
      <c r="AQ274" s="308"/>
      <c r="AR274" s="573"/>
      <c r="AS274" s="578"/>
      <c r="AT274" s="577"/>
      <c r="AU274" s="579"/>
      <c r="AV274" s="578"/>
      <c r="AW274" s="308"/>
      <c r="AX274" s="307"/>
      <c r="AY274" s="307"/>
      <c r="AZ274" s="307"/>
      <c r="BA274" s="307"/>
      <c r="BB274" s="307"/>
      <c r="BC274" s="305"/>
      <c r="BD274" s="292"/>
      <c r="BE274" s="297"/>
      <c r="BF274" s="297"/>
      <c r="BG274" s="569"/>
      <c r="BH274" s="570"/>
      <c r="BI274" s="570"/>
      <c r="BJ274" s="570"/>
      <c r="BK274" s="570"/>
      <c r="BL274" s="570"/>
      <c r="BM274" s="570"/>
      <c r="BN274" s="570"/>
      <c r="BO274" s="570"/>
      <c r="BP274" s="570"/>
      <c r="BQ274" s="570"/>
      <c r="BR274" s="570"/>
      <c r="BS274" s="570"/>
      <c r="BT274" s="570"/>
      <c r="BU274" s="570"/>
      <c r="BV274" s="570"/>
      <c r="BW274" s="570"/>
      <c r="BX274" s="570"/>
      <c r="BY274" s="570"/>
      <c r="BZ274" s="571"/>
      <c r="CA274" s="571"/>
    </row>
    <row r="275" spans="2:79">
      <c r="B275" s="572">
        <v>260</v>
      </c>
      <c r="C275" s="308"/>
      <c r="D275" s="307"/>
      <c r="E275" s="307"/>
      <c r="F275" s="305"/>
      <c r="G275" s="305"/>
      <c r="H275" s="292"/>
      <c r="I275" s="574"/>
      <c r="J275" s="573"/>
      <c r="K275" s="307"/>
      <c r="L275" s="292"/>
      <c r="M275" s="308"/>
      <c r="N275" s="292"/>
      <c r="O275" s="308"/>
      <c r="P275" s="575"/>
      <c r="Q275" s="576"/>
      <c r="R275" s="308"/>
      <c r="S275" s="575"/>
      <c r="T275" s="576"/>
      <c r="U275" s="308"/>
      <c r="V275" s="575"/>
      <c r="W275" s="576"/>
      <c r="X275" s="308"/>
      <c r="Y275" s="575"/>
      <c r="Z275" s="576"/>
      <c r="AA275" s="308"/>
      <c r="AB275" s="575"/>
      <c r="AC275" s="576"/>
      <c r="AD275" s="308"/>
      <c r="AE275" s="575"/>
      <c r="AF275" s="308"/>
      <c r="AG275" s="575"/>
      <c r="AH275" s="308"/>
      <c r="AI275" s="575"/>
      <c r="AJ275" s="308"/>
      <c r="AK275" s="305"/>
      <c r="AL275" s="577"/>
      <c r="AM275" s="306"/>
      <c r="AN275" s="308"/>
      <c r="AO275" s="573"/>
      <c r="AP275" s="305"/>
      <c r="AQ275" s="308"/>
      <c r="AR275" s="573"/>
      <c r="AS275" s="578"/>
      <c r="AT275" s="577"/>
      <c r="AU275" s="579"/>
      <c r="AV275" s="578"/>
      <c r="AW275" s="308"/>
      <c r="AX275" s="307"/>
      <c r="AY275" s="307"/>
      <c r="AZ275" s="307"/>
      <c r="BA275" s="307"/>
      <c r="BB275" s="307"/>
      <c r="BC275" s="305"/>
      <c r="BD275" s="292"/>
      <c r="BE275" s="297"/>
      <c r="BF275" s="297"/>
      <c r="BG275" s="569"/>
      <c r="BH275" s="570"/>
      <c r="BI275" s="570"/>
      <c r="BJ275" s="570"/>
      <c r="BK275" s="570"/>
      <c r="BL275" s="570"/>
      <c r="BM275" s="570"/>
      <c r="BN275" s="570"/>
      <c r="BO275" s="570"/>
      <c r="BP275" s="570"/>
      <c r="BQ275" s="570"/>
      <c r="BR275" s="570"/>
      <c r="BS275" s="570"/>
      <c r="BT275" s="570"/>
      <c r="BU275" s="570"/>
      <c r="BV275" s="570"/>
      <c r="BW275" s="570"/>
      <c r="BX275" s="570"/>
      <c r="BY275" s="570"/>
      <c r="BZ275" s="571"/>
      <c r="CA275" s="571"/>
    </row>
    <row r="276" spans="2:79">
      <c r="B276" s="566">
        <v>261</v>
      </c>
      <c r="C276" s="308"/>
      <c r="D276" s="307"/>
      <c r="E276" s="307"/>
      <c r="F276" s="305"/>
      <c r="G276" s="305"/>
      <c r="H276" s="292"/>
      <c r="I276" s="574"/>
      <c r="J276" s="573"/>
      <c r="K276" s="307"/>
      <c r="L276" s="292"/>
      <c r="M276" s="308"/>
      <c r="N276" s="292"/>
      <c r="O276" s="308"/>
      <c r="P276" s="575"/>
      <c r="Q276" s="576"/>
      <c r="R276" s="308"/>
      <c r="S276" s="575"/>
      <c r="T276" s="576"/>
      <c r="U276" s="308"/>
      <c r="V276" s="575"/>
      <c r="W276" s="576"/>
      <c r="X276" s="308"/>
      <c r="Y276" s="575"/>
      <c r="Z276" s="576"/>
      <c r="AA276" s="308"/>
      <c r="AB276" s="575"/>
      <c r="AC276" s="576"/>
      <c r="AD276" s="308"/>
      <c r="AE276" s="575"/>
      <c r="AF276" s="308"/>
      <c r="AG276" s="575"/>
      <c r="AH276" s="308"/>
      <c r="AI276" s="575"/>
      <c r="AJ276" s="308"/>
      <c r="AK276" s="305"/>
      <c r="AL276" s="577"/>
      <c r="AM276" s="306"/>
      <c r="AN276" s="308"/>
      <c r="AO276" s="573"/>
      <c r="AP276" s="305"/>
      <c r="AQ276" s="308"/>
      <c r="AR276" s="573"/>
      <c r="AS276" s="578"/>
      <c r="AT276" s="577"/>
      <c r="AU276" s="579"/>
      <c r="AV276" s="578"/>
      <c r="AW276" s="308"/>
      <c r="AX276" s="307"/>
      <c r="AY276" s="307"/>
      <c r="AZ276" s="307"/>
      <c r="BA276" s="307"/>
      <c r="BB276" s="307"/>
      <c r="BC276" s="305"/>
      <c r="BD276" s="292"/>
      <c r="BE276" s="297"/>
      <c r="BF276" s="297"/>
      <c r="BG276" s="569"/>
      <c r="BH276" s="570"/>
      <c r="BI276" s="570"/>
      <c r="BJ276" s="570"/>
      <c r="BK276" s="570"/>
      <c r="BL276" s="570"/>
      <c r="BM276" s="570"/>
      <c r="BN276" s="570"/>
      <c r="BO276" s="570"/>
      <c r="BP276" s="570"/>
      <c r="BQ276" s="570"/>
      <c r="BR276" s="570"/>
      <c r="BS276" s="570"/>
      <c r="BT276" s="570"/>
      <c r="BU276" s="570"/>
      <c r="BV276" s="570"/>
      <c r="BW276" s="570"/>
      <c r="BX276" s="570"/>
      <c r="BY276" s="570"/>
      <c r="BZ276" s="571"/>
      <c r="CA276" s="571"/>
    </row>
    <row r="277" spans="2:79">
      <c r="B277" s="572">
        <v>262</v>
      </c>
      <c r="C277" s="308"/>
      <c r="D277" s="307"/>
      <c r="E277" s="307"/>
      <c r="F277" s="305"/>
      <c r="G277" s="305"/>
      <c r="H277" s="292"/>
      <c r="I277" s="574"/>
      <c r="J277" s="573"/>
      <c r="K277" s="307"/>
      <c r="L277" s="292"/>
      <c r="M277" s="308"/>
      <c r="N277" s="292"/>
      <c r="O277" s="308"/>
      <c r="P277" s="575"/>
      <c r="Q277" s="576"/>
      <c r="R277" s="308"/>
      <c r="S277" s="575"/>
      <c r="T277" s="576"/>
      <c r="U277" s="308"/>
      <c r="V277" s="575"/>
      <c r="W277" s="576"/>
      <c r="X277" s="308"/>
      <c r="Y277" s="575"/>
      <c r="Z277" s="576"/>
      <c r="AA277" s="308"/>
      <c r="AB277" s="575"/>
      <c r="AC277" s="576"/>
      <c r="AD277" s="308"/>
      <c r="AE277" s="575"/>
      <c r="AF277" s="308"/>
      <c r="AG277" s="575"/>
      <c r="AH277" s="308"/>
      <c r="AI277" s="575"/>
      <c r="AJ277" s="308"/>
      <c r="AK277" s="305"/>
      <c r="AL277" s="577"/>
      <c r="AM277" s="306"/>
      <c r="AN277" s="308"/>
      <c r="AO277" s="573"/>
      <c r="AP277" s="305"/>
      <c r="AQ277" s="308"/>
      <c r="AR277" s="573"/>
      <c r="AS277" s="578"/>
      <c r="AT277" s="577"/>
      <c r="AU277" s="579"/>
      <c r="AV277" s="578"/>
      <c r="AW277" s="308"/>
      <c r="AX277" s="307"/>
      <c r="AY277" s="307"/>
      <c r="AZ277" s="307"/>
      <c r="BA277" s="307"/>
      <c r="BB277" s="307"/>
      <c r="BC277" s="305"/>
      <c r="BD277" s="292"/>
      <c r="BE277" s="297"/>
      <c r="BF277" s="297"/>
      <c r="BG277" s="569"/>
      <c r="BH277" s="570"/>
      <c r="BI277" s="570"/>
      <c r="BJ277" s="570"/>
      <c r="BK277" s="570"/>
      <c r="BL277" s="570"/>
      <c r="BM277" s="570"/>
      <c r="BN277" s="570"/>
      <c r="BO277" s="570"/>
      <c r="BP277" s="570"/>
      <c r="BQ277" s="570"/>
      <c r="BR277" s="570"/>
      <c r="BS277" s="570"/>
      <c r="BT277" s="570"/>
      <c r="BU277" s="570"/>
      <c r="BV277" s="570"/>
      <c r="BW277" s="570"/>
      <c r="BX277" s="570"/>
      <c r="BY277" s="570"/>
      <c r="BZ277" s="571"/>
      <c r="CA277" s="571"/>
    </row>
    <row r="278" spans="2:79">
      <c r="B278" s="566">
        <v>263</v>
      </c>
      <c r="C278" s="308"/>
      <c r="D278" s="307"/>
      <c r="E278" s="307"/>
      <c r="F278" s="305"/>
      <c r="G278" s="305"/>
      <c r="H278" s="292"/>
      <c r="I278" s="574"/>
      <c r="J278" s="573"/>
      <c r="K278" s="307"/>
      <c r="L278" s="292"/>
      <c r="M278" s="308"/>
      <c r="N278" s="292"/>
      <c r="O278" s="308"/>
      <c r="P278" s="575"/>
      <c r="Q278" s="576"/>
      <c r="R278" s="308"/>
      <c r="S278" s="575"/>
      <c r="T278" s="576"/>
      <c r="U278" s="308"/>
      <c r="V278" s="575"/>
      <c r="W278" s="576"/>
      <c r="X278" s="308"/>
      <c r="Y278" s="575"/>
      <c r="Z278" s="576"/>
      <c r="AA278" s="308"/>
      <c r="AB278" s="575"/>
      <c r="AC278" s="576"/>
      <c r="AD278" s="308"/>
      <c r="AE278" s="575"/>
      <c r="AF278" s="308"/>
      <c r="AG278" s="575"/>
      <c r="AH278" s="308"/>
      <c r="AI278" s="575"/>
      <c r="AJ278" s="308"/>
      <c r="AK278" s="305"/>
      <c r="AL278" s="577"/>
      <c r="AM278" s="306"/>
      <c r="AN278" s="308"/>
      <c r="AO278" s="573"/>
      <c r="AP278" s="305"/>
      <c r="AQ278" s="308"/>
      <c r="AR278" s="573"/>
      <c r="AS278" s="578"/>
      <c r="AT278" s="577"/>
      <c r="AU278" s="579"/>
      <c r="AV278" s="578"/>
      <c r="AW278" s="308"/>
      <c r="AX278" s="307"/>
      <c r="AY278" s="307"/>
      <c r="AZ278" s="307"/>
      <c r="BA278" s="307"/>
      <c r="BB278" s="307"/>
      <c r="BC278" s="305"/>
      <c r="BD278" s="292"/>
      <c r="BE278" s="297"/>
      <c r="BF278" s="297"/>
      <c r="BG278" s="569"/>
      <c r="BH278" s="570"/>
      <c r="BI278" s="570"/>
      <c r="BJ278" s="570"/>
      <c r="BK278" s="570"/>
      <c r="BL278" s="570"/>
      <c r="BM278" s="570"/>
      <c r="BN278" s="570"/>
      <c r="BO278" s="570"/>
      <c r="BP278" s="570"/>
      <c r="BQ278" s="570"/>
      <c r="BR278" s="570"/>
      <c r="BS278" s="570"/>
      <c r="BT278" s="570"/>
      <c r="BU278" s="570"/>
      <c r="BV278" s="570"/>
      <c r="BW278" s="570"/>
      <c r="BX278" s="570"/>
      <c r="BY278" s="570"/>
      <c r="BZ278" s="571"/>
      <c r="CA278" s="571"/>
    </row>
    <row r="279" spans="2:79">
      <c r="B279" s="572">
        <v>264</v>
      </c>
      <c r="C279" s="308"/>
      <c r="D279" s="307"/>
      <c r="E279" s="307"/>
      <c r="F279" s="305"/>
      <c r="G279" s="305"/>
      <c r="H279" s="292"/>
      <c r="I279" s="574"/>
      <c r="J279" s="573"/>
      <c r="K279" s="307"/>
      <c r="L279" s="292"/>
      <c r="M279" s="308"/>
      <c r="N279" s="292"/>
      <c r="O279" s="308"/>
      <c r="P279" s="575"/>
      <c r="Q279" s="576"/>
      <c r="R279" s="308"/>
      <c r="S279" s="575"/>
      <c r="T279" s="576"/>
      <c r="U279" s="308"/>
      <c r="V279" s="575"/>
      <c r="W279" s="576"/>
      <c r="X279" s="308"/>
      <c r="Y279" s="575"/>
      <c r="Z279" s="576"/>
      <c r="AA279" s="308"/>
      <c r="AB279" s="575"/>
      <c r="AC279" s="576"/>
      <c r="AD279" s="308"/>
      <c r="AE279" s="575"/>
      <c r="AF279" s="308"/>
      <c r="AG279" s="575"/>
      <c r="AH279" s="308"/>
      <c r="AI279" s="575"/>
      <c r="AJ279" s="308"/>
      <c r="AK279" s="305"/>
      <c r="AL279" s="577"/>
      <c r="AM279" s="306"/>
      <c r="AN279" s="308"/>
      <c r="AO279" s="573"/>
      <c r="AP279" s="305"/>
      <c r="AQ279" s="308"/>
      <c r="AR279" s="573"/>
      <c r="AS279" s="578"/>
      <c r="AT279" s="577"/>
      <c r="AU279" s="579"/>
      <c r="AV279" s="578"/>
      <c r="AW279" s="308"/>
      <c r="AX279" s="307"/>
      <c r="AY279" s="307"/>
      <c r="AZ279" s="307"/>
      <c r="BA279" s="307"/>
      <c r="BB279" s="307"/>
      <c r="BC279" s="305"/>
      <c r="BD279" s="292"/>
      <c r="BE279" s="297"/>
      <c r="BF279" s="297"/>
      <c r="BG279" s="569"/>
      <c r="BH279" s="570"/>
      <c r="BI279" s="570"/>
      <c r="BJ279" s="570"/>
      <c r="BK279" s="570"/>
      <c r="BL279" s="570"/>
      <c r="BM279" s="570"/>
      <c r="BN279" s="570"/>
      <c r="BO279" s="570"/>
      <c r="BP279" s="570"/>
      <c r="BQ279" s="570"/>
      <c r="BR279" s="570"/>
      <c r="BS279" s="570"/>
      <c r="BT279" s="570"/>
      <c r="BU279" s="570"/>
      <c r="BV279" s="570"/>
      <c r="BW279" s="570"/>
      <c r="BX279" s="570"/>
      <c r="BY279" s="570"/>
      <c r="BZ279" s="571"/>
      <c r="CA279" s="571"/>
    </row>
    <row r="280" spans="2:79">
      <c r="B280" s="566">
        <v>265</v>
      </c>
      <c r="C280" s="308"/>
      <c r="D280" s="307"/>
      <c r="E280" s="307"/>
      <c r="F280" s="305"/>
      <c r="G280" s="305"/>
      <c r="H280" s="292"/>
      <c r="I280" s="574"/>
      <c r="J280" s="573"/>
      <c r="K280" s="307"/>
      <c r="L280" s="292"/>
      <c r="M280" s="308"/>
      <c r="N280" s="292"/>
      <c r="O280" s="308"/>
      <c r="P280" s="575"/>
      <c r="Q280" s="576"/>
      <c r="R280" s="308"/>
      <c r="S280" s="575"/>
      <c r="T280" s="576"/>
      <c r="U280" s="308"/>
      <c r="V280" s="575"/>
      <c r="W280" s="576"/>
      <c r="X280" s="308"/>
      <c r="Y280" s="575"/>
      <c r="Z280" s="576"/>
      <c r="AA280" s="308"/>
      <c r="AB280" s="575"/>
      <c r="AC280" s="576"/>
      <c r="AD280" s="308"/>
      <c r="AE280" s="575"/>
      <c r="AF280" s="308"/>
      <c r="AG280" s="575"/>
      <c r="AH280" s="308"/>
      <c r="AI280" s="575"/>
      <c r="AJ280" s="308"/>
      <c r="AK280" s="305"/>
      <c r="AL280" s="577"/>
      <c r="AM280" s="306"/>
      <c r="AN280" s="308"/>
      <c r="AO280" s="573"/>
      <c r="AP280" s="305"/>
      <c r="AQ280" s="308"/>
      <c r="AR280" s="573"/>
      <c r="AS280" s="578"/>
      <c r="AT280" s="577"/>
      <c r="AU280" s="579"/>
      <c r="AV280" s="578"/>
      <c r="AW280" s="308"/>
      <c r="AX280" s="307"/>
      <c r="AY280" s="307"/>
      <c r="AZ280" s="307"/>
      <c r="BA280" s="307"/>
      <c r="BB280" s="307"/>
      <c r="BC280" s="305"/>
      <c r="BD280" s="292"/>
      <c r="BE280" s="297"/>
      <c r="BF280" s="297"/>
      <c r="BG280" s="569"/>
      <c r="BH280" s="570"/>
      <c r="BI280" s="570"/>
      <c r="BJ280" s="570"/>
      <c r="BK280" s="570"/>
      <c r="BL280" s="570"/>
      <c r="BM280" s="570"/>
      <c r="BN280" s="570"/>
      <c r="BO280" s="570"/>
      <c r="BP280" s="570"/>
      <c r="BQ280" s="570"/>
      <c r="BR280" s="570"/>
      <c r="BS280" s="570"/>
      <c r="BT280" s="570"/>
      <c r="BU280" s="570"/>
      <c r="BV280" s="570"/>
      <c r="BW280" s="570"/>
      <c r="BX280" s="570"/>
      <c r="BY280" s="570"/>
      <c r="BZ280" s="571"/>
      <c r="CA280" s="571"/>
    </row>
    <row r="281" spans="2:79">
      <c r="B281" s="572">
        <v>266</v>
      </c>
      <c r="C281" s="308"/>
      <c r="D281" s="307"/>
      <c r="E281" s="307"/>
      <c r="F281" s="305"/>
      <c r="G281" s="305"/>
      <c r="H281" s="292"/>
      <c r="I281" s="574"/>
      <c r="J281" s="573"/>
      <c r="K281" s="307"/>
      <c r="L281" s="292"/>
      <c r="M281" s="308"/>
      <c r="N281" s="292"/>
      <c r="O281" s="308"/>
      <c r="P281" s="575"/>
      <c r="Q281" s="576"/>
      <c r="R281" s="308"/>
      <c r="S281" s="575"/>
      <c r="T281" s="576"/>
      <c r="U281" s="308"/>
      <c r="V281" s="575"/>
      <c r="W281" s="576"/>
      <c r="X281" s="308"/>
      <c r="Y281" s="575"/>
      <c r="Z281" s="576"/>
      <c r="AA281" s="308"/>
      <c r="AB281" s="575"/>
      <c r="AC281" s="576"/>
      <c r="AD281" s="308"/>
      <c r="AE281" s="575"/>
      <c r="AF281" s="308"/>
      <c r="AG281" s="575"/>
      <c r="AH281" s="308"/>
      <c r="AI281" s="575"/>
      <c r="AJ281" s="308"/>
      <c r="AK281" s="305"/>
      <c r="AL281" s="577"/>
      <c r="AM281" s="306"/>
      <c r="AN281" s="308"/>
      <c r="AO281" s="573"/>
      <c r="AP281" s="305"/>
      <c r="AQ281" s="308"/>
      <c r="AR281" s="573"/>
      <c r="AS281" s="578"/>
      <c r="AT281" s="577"/>
      <c r="AU281" s="579"/>
      <c r="AV281" s="578"/>
      <c r="AW281" s="308"/>
      <c r="AX281" s="307"/>
      <c r="AY281" s="307"/>
      <c r="AZ281" s="307"/>
      <c r="BA281" s="307"/>
      <c r="BB281" s="307"/>
      <c r="BC281" s="305"/>
      <c r="BD281" s="292"/>
      <c r="BE281" s="297"/>
      <c r="BF281" s="297"/>
      <c r="BG281" s="569"/>
      <c r="BH281" s="570"/>
      <c r="BI281" s="570"/>
      <c r="BJ281" s="570"/>
      <c r="BK281" s="570"/>
      <c r="BL281" s="570"/>
      <c r="BM281" s="570"/>
      <c r="BN281" s="570"/>
      <c r="BO281" s="570"/>
      <c r="BP281" s="570"/>
      <c r="BQ281" s="570"/>
      <c r="BR281" s="570"/>
      <c r="BS281" s="570"/>
      <c r="BT281" s="570"/>
      <c r="BU281" s="570"/>
      <c r="BV281" s="570"/>
      <c r="BW281" s="570"/>
      <c r="BX281" s="570"/>
      <c r="BY281" s="570"/>
      <c r="BZ281" s="571"/>
      <c r="CA281" s="571"/>
    </row>
    <row r="282" spans="2:79">
      <c r="B282" s="566">
        <v>267</v>
      </c>
      <c r="C282" s="308"/>
      <c r="D282" s="307"/>
      <c r="E282" s="307"/>
      <c r="F282" s="305"/>
      <c r="G282" s="305"/>
      <c r="H282" s="292"/>
      <c r="I282" s="574"/>
      <c r="J282" s="573"/>
      <c r="K282" s="307"/>
      <c r="L282" s="292"/>
      <c r="M282" s="308"/>
      <c r="N282" s="292"/>
      <c r="O282" s="308"/>
      <c r="P282" s="575"/>
      <c r="Q282" s="576"/>
      <c r="R282" s="308"/>
      <c r="S282" s="575"/>
      <c r="T282" s="576"/>
      <c r="U282" s="308"/>
      <c r="V282" s="575"/>
      <c r="W282" s="576"/>
      <c r="X282" s="308"/>
      <c r="Y282" s="575"/>
      <c r="Z282" s="576"/>
      <c r="AA282" s="308"/>
      <c r="AB282" s="575"/>
      <c r="AC282" s="576"/>
      <c r="AD282" s="308"/>
      <c r="AE282" s="575"/>
      <c r="AF282" s="308"/>
      <c r="AG282" s="575"/>
      <c r="AH282" s="308"/>
      <c r="AI282" s="575"/>
      <c r="AJ282" s="308"/>
      <c r="AK282" s="305"/>
      <c r="AL282" s="577"/>
      <c r="AM282" s="306"/>
      <c r="AN282" s="308"/>
      <c r="AO282" s="573"/>
      <c r="AP282" s="305"/>
      <c r="AQ282" s="308"/>
      <c r="AR282" s="573"/>
      <c r="AS282" s="578"/>
      <c r="AT282" s="577"/>
      <c r="AU282" s="579"/>
      <c r="AV282" s="578"/>
      <c r="AW282" s="308"/>
      <c r="AX282" s="307"/>
      <c r="AY282" s="307"/>
      <c r="AZ282" s="307"/>
      <c r="BA282" s="307"/>
      <c r="BB282" s="307"/>
      <c r="BC282" s="305"/>
      <c r="BD282" s="292"/>
      <c r="BE282" s="297"/>
      <c r="BF282" s="297"/>
      <c r="BG282" s="569"/>
      <c r="BH282" s="570"/>
      <c r="BI282" s="570"/>
      <c r="BJ282" s="570"/>
      <c r="BK282" s="570"/>
      <c r="BL282" s="570"/>
      <c r="BM282" s="570"/>
      <c r="BN282" s="570"/>
      <c r="BO282" s="570"/>
      <c r="BP282" s="570"/>
      <c r="BQ282" s="570"/>
      <c r="BR282" s="570"/>
      <c r="BS282" s="570"/>
      <c r="BT282" s="570"/>
      <c r="BU282" s="570"/>
      <c r="BV282" s="570"/>
      <c r="BW282" s="570"/>
      <c r="BX282" s="570"/>
      <c r="BY282" s="570"/>
      <c r="BZ282" s="571"/>
      <c r="CA282" s="571"/>
    </row>
    <row r="283" spans="2:79">
      <c r="B283" s="572">
        <v>268</v>
      </c>
      <c r="C283" s="308"/>
      <c r="D283" s="307"/>
      <c r="E283" s="307"/>
      <c r="F283" s="305"/>
      <c r="G283" s="305"/>
      <c r="H283" s="292"/>
      <c r="I283" s="574"/>
      <c r="J283" s="573"/>
      <c r="K283" s="307"/>
      <c r="L283" s="292"/>
      <c r="M283" s="308"/>
      <c r="N283" s="292"/>
      <c r="O283" s="308"/>
      <c r="P283" s="575"/>
      <c r="Q283" s="576"/>
      <c r="R283" s="308"/>
      <c r="S283" s="575"/>
      <c r="T283" s="576"/>
      <c r="U283" s="308"/>
      <c r="V283" s="575"/>
      <c r="W283" s="576"/>
      <c r="X283" s="308"/>
      <c r="Y283" s="575"/>
      <c r="Z283" s="576"/>
      <c r="AA283" s="308"/>
      <c r="AB283" s="575"/>
      <c r="AC283" s="576"/>
      <c r="AD283" s="308"/>
      <c r="AE283" s="575"/>
      <c r="AF283" s="308"/>
      <c r="AG283" s="575"/>
      <c r="AH283" s="308"/>
      <c r="AI283" s="575"/>
      <c r="AJ283" s="308"/>
      <c r="AK283" s="305"/>
      <c r="AL283" s="577"/>
      <c r="AM283" s="306"/>
      <c r="AN283" s="308"/>
      <c r="AO283" s="573"/>
      <c r="AP283" s="305"/>
      <c r="AQ283" s="308"/>
      <c r="AR283" s="573"/>
      <c r="AS283" s="578"/>
      <c r="AT283" s="577"/>
      <c r="AU283" s="579"/>
      <c r="AV283" s="578"/>
      <c r="AW283" s="308"/>
      <c r="AX283" s="307"/>
      <c r="AY283" s="307"/>
      <c r="AZ283" s="307"/>
      <c r="BA283" s="307"/>
      <c r="BB283" s="307"/>
      <c r="BC283" s="305"/>
      <c r="BD283" s="292"/>
      <c r="BE283" s="297"/>
      <c r="BF283" s="297"/>
      <c r="BG283" s="569"/>
      <c r="BH283" s="570"/>
      <c r="BI283" s="570"/>
      <c r="BJ283" s="570"/>
      <c r="BK283" s="570"/>
      <c r="BL283" s="570"/>
      <c r="BM283" s="570"/>
      <c r="BN283" s="570"/>
      <c r="BO283" s="570"/>
      <c r="BP283" s="570"/>
      <c r="BQ283" s="570"/>
      <c r="BR283" s="570"/>
      <c r="BS283" s="570"/>
      <c r="BT283" s="570"/>
      <c r="BU283" s="570"/>
      <c r="BV283" s="570"/>
      <c r="BW283" s="570"/>
      <c r="BX283" s="570"/>
      <c r="BY283" s="570"/>
      <c r="BZ283" s="571"/>
      <c r="CA283" s="571"/>
    </row>
    <row r="284" spans="2:79">
      <c r="B284" s="566">
        <v>269</v>
      </c>
      <c r="C284" s="308"/>
      <c r="D284" s="307"/>
      <c r="E284" s="307"/>
      <c r="F284" s="305"/>
      <c r="G284" s="305"/>
      <c r="H284" s="292"/>
      <c r="I284" s="574"/>
      <c r="J284" s="573"/>
      <c r="K284" s="307"/>
      <c r="L284" s="292"/>
      <c r="M284" s="308"/>
      <c r="N284" s="292"/>
      <c r="O284" s="308"/>
      <c r="P284" s="575"/>
      <c r="Q284" s="576"/>
      <c r="R284" s="308"/>
      <c r="S284" s="575"/>
      <c r="T284" s="576"/>
      <c r="U284" s="308"/>
      <c r="V284" s="575"/>
      <c r="W284" s="576"/>
      <c r="X284" s="308"/>
      <c r="Y284" s="575"/>
      <c r="Z284" s="576"/>
      <c r="AA284" s="308"/>
      <c r="AB284" s="575"/>
      <c r="AC284" s="576"/>
      <c r="AD284" s="308"/>
      <c r="AE284" s="575"/>
      <c r="AF284" s="308"/>
      <c r="AG284" s="575"/>
      <c r="AH284" s="308"/>
      <c r="AI284" s="575"/>
      <c r="AJ284" s="308"/>
      <c r="AK284" s="305"/>
      <c r="AL284" s="577"/>
      <c r="AM284" s="306"/>
      <c r="AN284" s="308"/>
      <c r="AO284" s="573"/>
      <c r="AP284" s="305"/>
      <c r="AQ284" s="308"/>
      <c r="AR284" s="573"/>
      <c r="AS284" s="578"/>
      <c r="AT284" s="577"/>
      <c r="AU284" s="579"/>
      <c r="AV284" s="578"/>
      <c r="AW284" s="308"/>
      <c r="AX284" s="307"/>
      <c r="AY284" s="307"/>
      <c r="AZ284" s="307"/>
      <c r="BA284" s="307"/>
      <c r="BB284" s="307"/>
      <c r="BC284" s="305"/>
      <c r="BD284" s="292"/>
      <c r="BE284" s="297"/>
      <c r="BF284" s="297"/>
      <c r="BG284" s="569"/>
      <c r="BH284" s="570"/>
      <c r="BI284" s="570"/>
      <c r="BJ284" s="570"/>
      <c r="BK284" s="570"/>
      <c r="BL284" s="570"/>
      <c r="BM284" s="570"/>
      <c r="BN284" s="570"/>
      <c r="BO284" s="570"/>
      <c r="BP284" s="570"/>
      <c r="BQ284" s="570"/>
      <c r="BR284" s="570"/>
      <c r="BS284" s="570"/>
      <c r="BT284" s="570"/>
      <c r="BU284" s="570"/>
      <c r="BV284" s="570"/>
      <c r="BW284" s="570"/>
      <c r="BX284" s="570"/>
      <c r="BY284" s="570"/>
      <c r="BZ284" s="571"/>
      <c r="CA284" s="571"/>
    </row>
    <row r="285" spans="2:79">
      <c r="B285" s="572">
        <v>270</v>
      </c>
      <c r="C285" s="308"/>
      <c r="D285" s="307"/>
      <c r="E285" s="307"/>
      <c r="F285" s="305"/>
      <c r="G285" s="305"/>
      <c r="H285" s="292"/>
      <c r="I285" s="574"/>
      <c r="J285" s="573"/>
      <c r="K285" s="307"/>
      <c r="L285" s="292"/>
      <c r="M285" s="308"/>
      <c r="N285" s="292"/>
      <c r="O285" s="308"/>
      <c r="P285" s="575"/>
      <c r="Q285" s="576"/>
      <c r="R285" s="308"/>
      <c r="S285" s="575"/>
      <c r="T285" s="576"/>
      <c r="U285" s="308"/>
      <c r="V285" s="575"/>
      <c r="W285" s="576"/>
      <c r="X285" s="308"/>
      <c r="Y285" s="575"/>
      <c r="Z285" s="576"/>
      <c r="AA285" s="308"/>
      <c r="AB285" s="575"/>
      <c r="AC285" s="576"/>
      <c r="AD285" s="308"/>
      <c r="AE285" s="575"/>
      <c r="AF285" s="308"/>
      <c r="AG285" s="575"/>
      <c r="AH285" s="308"/>
      <c r="AI285" s="575"/>
      <c r="AJ285" s="308"/>
      <c r="AK285" s="305"/>
      <c r="AL285" s="577"/>
      <c r="AM285" s="306"/>
      <c r="AN285" s="308"/>
      <c r="AO285" s="573"/>
      <c r="AP285" s="305"/>
      <c r="AQ285" s="308"/>
      <c r="AR285" s="573"/>
      <c r="AS285" s="578"/>
      <c r="AT285" s="577"/>
      <c r="AU285" s="579"/>
      <c r="AV285" s="578"/>
      <c r="AW285" s="308"/>
      <c r="AX285" s="307"/>
      <c r="AY285" s="307"/>
      <c r="AZ285" s="307"/>
      <c r="BA285" s="307"/>
      <c r="BB285" s="307"/>
      <c r="BC285" s="305"/>
      <c r="BD285" s="292"/>
      <c r="BE285" s="297"/>
      <c r="BF285" s="297"/>
      <c r="BG285" s="569"/>
      <c r="BH285" s="570"/>
      <c r="BI285" s="570"/>
      <c r="BJ285" s="570"/>
      <c r="BK285" s="570"/>
      <c r="BL285" s="570"/>
      <c r="BM285" s="570"/>
      <c r="BN285" s="570"/>
      <c r="BO285" s="570"/>
      <c r="BP285" s="570"/>
      <c r="BQ285" s="570"/>
      <c r="BR285" s="570"/>
      <c r="BS285" s="570"/>
      <c r="BT285" s="570"/>
      <c r="BU285" s="570"/>
      <c r="BV285" s="570"/>
      <c r="BW285" s="570"/>
      <c r="BX285" s="570"/>
      <c r="BY285" s="570"/>
      <c r="BZ285" s="571"/>
      <c r="CA285" s="571"/>
    </row>
    <row r="286" spans="2:79">
      <c r="B286" s="566">
        <v>271</v>
      </c>
      <c r="C286" s="308"/>
      <c r="D286" s="307"/>
      <c r="E286" s="307"/>
      <c r="F286" s="305"/>
      <c r="G286" s="305"/>
      <c r="H286" s="292"/>
      <c r="I286" s="574"/>
      <c r="J286" s="573"/>
      <c r="K286" s="307"/>
      <c r="L286" s="292"/>
      <c r="M286" s="308"/>
      <c r="N286" s="292"/>
      <c r="O286" s="308"/>
      <c r="P286" s="575"/>
      <c r="Q286" s="576"/>
      <c r="R286" s="308"/>
      <c r="S286" s="575"/>
      <c r="T286" s="576"/>
      <c r="U286" s="308"/>
      <c r="V286" s="575"/>
      <c r="W286" s="576"/>
      <c r="X286" s="308"/>
      <c r="Y286" s="575"/>
      <c r="Z286" s="576"/>
      <c r="AA286" s="308"/>
      <c r="AB286" s="575"/>
      <c r="AC286" s="576"/>
      <c r="AD286" s="308"/>
      <c r="AE286" s="575"/>
      <c r="AF286" s="308"/>
      <c r="AG286" s="575"/>
      <c r="AH286" s="308"/>
      <c r="AI286" s="575"/>
      <c r="AJ286" s="308"/>
      <c r="AK286" s="305"/>
      <c r="AL286" s="577"/>
      <c r="AM286" s="306"/>
      <c r="AN286" s="308"/>
      <c r="AO286" s="573"/>
      <c r="AP286" s="305"/>
      <c r="AQ286" s="308"/>
      <c r="AR286" s="573"/>
      <c r="AS286" s="578"/>
      <c r="AT286" s="577"/>
      <c r="AU286" s="579"/>
      <c r="AV286" s="578"/>
      <c r="AW286" s="308"/>
      <c r="AX286" s="307"/>
      <c r="AY286" s="307"/>
      <c r="AZ286" s="307"/>
      <c r="BA286" s="307"/>
      <c r="BB286" s="307"/>
      <c r="BC286" s="305"/>
      <c r="BD286" s="292"/>
      <c r="BE286" s="297"/>
      <c r="BF286" s="297"/>
      <c r="BG286" s="569"/>
      <c r="BH286" s="570"/>
      <c r="BI286" s="570"/>
      <c r="BJ286" s="570"/>
      <c r="BK286" s="570"/>
      <c r="BL286" s="570"/>
      <c r="BM286" s="570"/>
      <c r="BN286" s="570"/>
      <c r="BO286" s="570"/>
      <c r="BP286" s="570"/>
      <c r="BQ286" s="570"/>
      <c r="BR286" s="570"/>
      <c r="BS286" s="570"/>
      <c r="BT286" s="570"/>
      <c r="BU286" s="570"/>
      <c r="BV286" s="570"/>
      <c r="BW286" s="570"/>
      <c r="BX286" s="570"/>
      <c r="BY286" s="570"/>
      <c r="BZ286" s="571"/>
      <c r="CA286" s="571"/>
    </row>
    <row r="287" spans="2:79">
      <c r="B287" s="572">
        <v>272</v>
      </c>
      <c r="C287" s="308"/>
      <c r="D287" s="307"/>
      <c r="E287" s="307"/>
      <c r="F287" s="305"/>
      <c r="G287" s="305"/>
      <c r="H287" s="292"/>
      <c r="I287" s="574"/>
      <c r="J287" s="573"/>
      <c r="K287" s="307"/>
      <c r="L287" s="292"/>
      <c r="M287" s="308"/>
      <c r="N287" s="292"/>
      <c r="O287" s="308"/>
      <c r="P287" s="575"/>
      <c r="Q287" s="576"/>
      <c r="R287" s="308"/>
      <c r="S287" s="575"/>
      <c r="T287" s="576"/>
      <c r="U287" s="308"/>
      <c r="V287" s="575"/>
      <c r="W287" s="576"/>
      <c r="X287" s="308"/>
      <c r="Y287" s="575"/>
      <c r="Z287" s="576"/>
      <c r="AA287" s="308"/>
      <c r="AB287" s="575"/>
      <c r="AC287" s="576"/>
      <c r="AD287" s="308"/>
      <c r="AE287" s="575"/>
      <c r="AF287" s="308"/>
      <c r="AG287" s="575"/>
      <c r="AH287" s="308"/>
      <c r="AI287" s="575"/>
      <c r="AJ287" s="308"/>
      <c r="AK287" s="305"/>
      <c r="AL287" s="577"/>
      <c r="AM287" s="306"/>
      <c r="AN287" s="308"/>
      <c r="AO287" s="573"/>
      <c r="AP287" s="305"/>
      <c r="AQ287" s="308"/>
      <c r="AR287" s="573"/>
      <c r="AS287" s="578"/>
      <c r="AT287" s="577"/>
      <c r="AU287" s="579"/>
      <c r="AV287" s="578"/>
      <c r="AW287" s="308"/>
      <c r="AX287" s="307"/>
      <c r="AY287" s="307"/>
      <c r="AZ287" s="307"/>
      <c r="BA287" s="307"/>
      <c r="BB287" s="307"/>
      <c r="BC287" s="305"/>
      <c r="BD287" s="292"/>
      <c r="BE287" s="297"/>
      <c r="BF287" s="297"/>
      <c r="BG287" s="569"/>
      <c r="BH287" s="570"/>
      <c r="BI287" s="570"/>
      <c r="BJ287" s="570"/>
      <c r="BK287" s="570"/>
      <c r="BL287" s="570"/>
      <c r="BM287" s="570"/>
      <c r="BN287" s="570"/>
      <c r="BO287" s="570"/>
      <c r="BP287" s="570"/>
      <c r="BQ287" s="570"/>
      <c r="BR287" s="570"/>
      <c r="BS287" s="570"/>
      <c r="BT287" s="570"/>
      <c r="BU287" s="570"/>
      <c r="BV287" s="570"/>
      <c r="BW287" s="570"/>
      <c r="BX287" s="570"/>
      <c r="BY287" s="570"/>
      <c r="BZ287" s="571"/>
      <c r="CA287" s="571"/>
    </row>
    <row r="288" spans="2:79">
      <c r="B288" s="566">
        <v>273</v>
      </c>
      <c r="C288" s="308"/>
      <c r="D288" s="307"/>
      <c r="E288" s="307"/>
      <c r="F288" s="305"/>
      <c r="G288" s="305"/>
      <c r="H288" s="292"/>
      <c r="I288" s="574"/>
      <c r="J288" s="573"/>
      <c r="K288" s="307"/>
      <c r="L288" s="292"/>
      <c r="M288" s="308"/>
      <c r="N288" s="292"/>
      <c r="O288" s="308"/>
      <c r="P288" s="575"/>
      <c r="Q288" s="576"/>
      <c r="R288" s="308"/>
      <c r="S288" s="575"/>
      <c r="T288" s="576"/>
      <c r="U288" s="308"/>
      <c r="V288" s="575"/>
      <c r="W288" s="576"/>
      <c r="X288" s="308"/>
      <c r="Y288" s="575"/>
      <c r="Z288" s="576"/>
      <c r="AA288" s="308"/>
      <c r="AB288" s="575"/>
      <c r="AC288" s="576"/>
      <c r="AD288" s="308"/>
      <c r="AE288" s="575"/>
      <c r="AF288" s="308"/>
      <c r="AG288" s="575"/>
      <c r="AH288" s="308"/>
      <c r="AI288" s="575"/>
      <c r="AJ288" s="308"/>
      <c r="AK288" s="305"/>
      <c r="AL288" s="577"/>
      <c r="AM288" s="306"/>
      <c r="AN288" s="308"/>
      <c r="AO288" s="573"/>
      <c r="AP288" s="305"/>
      <c r="AQ288" s="308"/>
      <c r="AR288" s="573"/>
      <c r="AS288" s="578"/>
      <c r="AT288" s="577"/>
      <c r="AU288" s="579"/>
      <c r="AV288" s="578"/>
      <c r="AW288" s="308"/>
      <c r="AX288" s="307"/>
      <c r="AY288" s="307"/>
      <c r="AZ288" s="307"/>
      <c r="BA288" s="307"/>
      <c r="BB288" s="307"/>
      <c r="BC288" s="305"/>
      <c r="BD288" s="292"/>
      <c r="BE288" s="297"/>
      <c r="BF288" s="297"/>
      <c r="BG288" s="569"/>
      <c r="BH288" s="570"/>
      <c r="BI288" s="570"/>
      <c r="BJ288" s="570"/>
      <c r="BK288" s="570"/>
      <c r="BL288" s="570"/>
      <c r="BM288" s="570"/>
      <c r="BN288" s="570"/>
      <c r="BO288" s="570"/>
      <c r="BP288" s="570"/>
      <c r="BQ288" s="570"/>
      <c r="BR288" s="570"/>
      <c r="BS288" s="570"/>
      <c r="BT288" s="570"/>
      <c r="BU288" s="570"/>
      <c r="BV288" s="570"/>
      <c r="BW288" s="570"/>
      <c r="BX288" s="570"/>
      <c r="BY288" s="570"/>
      <c r="BZ288" s="571"/>
      <c r="CA288" s="571"/>
    </row>
    <row r="289" spans="2:79">
      <c r="B289" s="572">
        <v>274</v>
      </c>
      <c r="C289" s="308"/>
      <c r="D289" s="307"/>
      <c r="E289" s="307"/>
      <c r="F289" s="305"/>
      <c r="G289" s="305"/>
      <c r="H289" s="292"/>
      <c r="I289" s="574"/>
      <c r="J289" s="573"/>
      <c r="K289" s="307"/>
      <c r="L289" s="292"/>
      <c r="M289" s="308"/>
      <c r="N289" s="292"/>
      <c r="O289" s="308"/>
      <c r="P289" s="575"/>
      <c r="Q289" s="576"/>
      <c r="R289" s="308"/>
      <c r="S289" s="575"/>
      <c r="T289" s="576"/>
      <c r="U289" s="308"/>
      <c r="V289" s="575"/>
      <c r="W289" s="576"/>
      <c r="X289" s="308"/>
      <c r="Y289" s="575"/>
      <c r="Z289" s="576"/>
      <c r="AA289" s="308"/>
      <c r="AB289" s="575"/>
      <c r="AC289" s="576"/>
      <c r="AD289" s="308"/>
      <c r="AE289" s="575"/>
      <c r="AF289" s="308"/>
      <c r="AG289" s="575"/>
      <c r="AH289" s="308"/>
      <c r="AI289" s="575"/>
      <c r="AJ289" s="308"/>
      <c r="AK289" s="305"/>
      <c r="AL289" s="577"/>
      <c r="AM289" s="306"/>
      <c r="AN289" s="308"/>
      <c r="AO289" s="573"/>
      <c r="AP289" s="305"/>
      <c r="AQ289" s="308"/>
      <c r="AR289" s="573"/>
      <c r="AS289" s="578"/>
      <c r="AT289" s="577"/>
      <c r="AU289" s="579"/>
      <c r="AV289" s="578"/>
      <c r="AW289" s="308"/>
      <c r="AX289" s="307"/>
      <c r="AY289" s="307"/>
      <c r="AZ289" s="307"/>
      <c r="BA289" s="307"/>
      <c r="BB289" s="307"/>
      <c r="BC289" s="305"/>
      <c r="BD289" s="292"/>
      <c r="BE289" s="297"/>
      <c r="BF289" s="297"/>
      <c r="BG289" s="569"/>
      <c r="BH289" s="570"/>
      <c r="BI289" s="570"/>
      <c r="BJ289" s="570"/>
      <c r="BK289" s="570"/>
      <c r="BL289" s="570"/>
      <c r="BM289" s="570"/>
      <c r="BN289" s="570"/>
      <c r="BO289" s="570"/>
      <c r="BP289" s="570"/>
      <c r="BQ289" s="570"/>
      <c r="BR289" s="570"/>
      <c r="BS289" s="570"/>
      <c r="BT289" s="570"/>
      <c r="BU289" s="570"/>
      <c r="BV289" s="570"/>
      <c r="BW289" s="570"/>
      <c r="BX289" s="570"/>
      <c r="BY289" s="570"/>
      <c r="BZ289" s="571"/>
      <c r="CA289" s="571"/>
    </row>
    <row r="290" spans="2:79">
      <c r="B290" s="566">
        <v>275</v>
      </c>
      <c r="C290" s="308"/>
      <c r="D290" s="307"/>
      <c r="E290" s="307"/>
      <c r="F290" s="305"/>
      <c r="G290" s="305"/>
      <c r="H290" s="292"/>
      <c r="I290" s="574"/>
      <c r="J290" s="573"/>
      <c r="K290" s="307"/>
      <c r="L290" s="292"/>
      <c r="M290" s="308"/>
      <c r="N290" s="292"/>
      <c r="O290" s="308"/>
      <c r="P290" s="575"/>
      <c r="Q290" s="576"/>
      <c r="R290" s="308"/>
      <c r="S290" s="575"/>
      <c r="T290" s="576"/>
      <c r="U290" s="308"/>
      <c r="V290" s="575"/>
      <c r="W290" s="576"/>
      <c r="X290" s="308"/>
      <c r="Y290" s="575"/>
      <c r="Z290" s="576"/>
      <c r="AA290" s="308"/>
      <c r="AB290" s="575"/>
      <c r="AC290" s="576"/>
      <c r="AD290" s="308"/>
      <c r="AE290" s="575"/>
      <c r="AF290" s="308"/>
      <c r="AG290" s="575"/>
      <c r="AH290" s="308"/>
      <c r="AI290" s="575"/>
      <c r="AJ290" s="308"/>
      <c r="AK290" s="305"/>
      <c r="AL290" s="577"/>
      <c r="AM290" s="306"/>
      <c r="AN290" s="308"/>
      <c r="AO290" s="573"/>
      <c r="AP290" s="305"/>
      <c r="AQ290" s="308"/>
      <c r="AR290" s="573"/>
      <c r="AS290" s="578"/>
      <c r="AT290" s="577"/>
      <c r="AU290" s="579"/>
      <c r="AV290" s="578"/>
      <c r="AW290" s="308"/>
      <c r="AX290" s="307"/>
      <c r="AY290" s="307"/>
      <c r="AZ290" s="307"/>
      <c r="BA290" s="307"/>
      <c r="BB290" s="307"/>
      <c r="BC290" s="305"/>
      <c r="BD290" s="292"/>
      <c r="BE290" s="297"/>
      <c r="BF290" s="297"/>
      <c r="BG290" s="569"/>
      <c r="BH290" s="570"/>
      <c r="BI290" s="570"/>
      <c r="BJ290" s="570"/>
      <c r="BK290" s="570"/>
      <c r="BL290" s="570"/>
      <c r="BM290" s="570"/>
      <c r="BN290" s="570"/>
      <c r="BO290" s="570"/>
      <c r="BP290" s="570"/>
      <c r="BQ290" s="570"/>
      <c r="BR290" s="570"/>
      <c r="BS290" s="570"/>
      <c r="BT290" s="570"/>
      <c r="BU290" s="570"/>
      <c r="BV290" s="570"/>
      <c r="BW290" s="570"/>
      <c r="BX290" s="570"/>
      <c r="BY290" s="570"/>
      <c r="BZ290" s="571"/>
      <c r="CA290" s="571"/>
    </row>
    <row r="291" spans="2:79">
      <c r="B291" s="572">
        <v>276</v>
      </c>
      <c r="C291" s="308"/>
      <c r="D291" s="307"/>
      <c r="E291" s="307"/>
      <c r="F291" s="305"/>
      <c r="G291" s="305"/>
      <c r="H291" s="292"/>
      <c r="I291" s="574"/>
      <c r="J291" s="573"/>
      <c r="K291" s="307"/>
      <c r="L291" s="292"/>
      <c r="M291" s="308"/>
      <c r="N291" s="292"/>
      <c r="O291" s="308"/>
      <c r="P291" s="575"/>
      <c r="Q291" s="576"/>
      <c r="R291" s="308"/>
      <c r="S291" s="575"/>
      <c r="T291" s="576"/>
      <c r="U291" s="308"/>
      <c r="V291" s="575"/>
      <c r="W291" s="576"/>
      <c r="X291" s="308"/>
      <c r="Y291" s="575"/>
      <c r="Z291" s="576"/>
      <c r="AA291" s="308"/>
      <c r="AB291" s="575"/>
      <c r="AC291" s="576"/>
      <c r="AD291" s="308"/>
      <c r="AE291" s="575"/>
      <c r="AF291" s="308"/>
      <c r="AG291" s="575"/>
      <c r="AH291" s="308"/>
      <c r="AI291" s="575"/>
      <c r="AJ291" s="308"/>
      <c r="AK291" s="305"/>
      <c r="AL291" s="577"/>
      <c r="AM291" s="306"/>
      <c r="AN291" s="308"/>
      <c r="AO291" s="573"/>
      <c r="AP291" s="305"/>
      <c r="AQ291" s="308"/>
      <c r="AR291" s="573"/>
      <c r="AS291" s="578"/>
      <c r="AT291" s="577"/>
      <c r="AU291" s="579"/>
      <c r="AV291" s="578"/>
      <c r="AW291" s="308"/>
      <c r="AX291" s="307"/>
      <c r="AY291" s="307"/>
      <c r="AZ291" s="307"/>
      <c r="BA291" s="307"/>
      <c r="BB291" s="307"/>
      <c r="BC291" s="305"/>
      <c r="BD291" s="292"/>
      <c r="BE291" s="297"/>
      <c r="BF291" s="297"/>
      <c r="BG291" s="569"/>
      <c r="BH291" s="570"/>
      <c r="BI291" s="570"/>
      <c r="BJ291" s="570"/>
      <c r="BK291" s="570"/>
      <c r="BL291" s="570"/>
      <c r="BM291" s="570"/>
      <c r="BN291" s="570"/>
      <c r="BO291" s="570"/>
      <c r="BP291" s="570"/>
      <c r="BQ291" s="570"/>
      <c r="BR291" s="570"/>
      <c r="BS291" s="570"/>
      <c r="BT291" s="570"/>
      <c r="BU291" s="570"/>
      <c r="BV291" s="570"/>
      <c r="BW291" s="570"/>
      <c r="BX291" s="570"/>
      <c r="BY291" s="570"/>
      <c r="BZ291" s="571"/>
      <c r="CA291" s="571"/>
    </row>
    <row r="292" spans="2:79">
      <c r="B292" s="566">
        <v>277</v>
      </c>
      <c r="C292" s="308"/>
      <c r="D292" s="307"/>
      <c r="E292" s="307"/>
      <c r="F292" s="305"/>
      <c r="G292" s="305"/>
      <c r="H292" s="292"/>
      <c r="I292" s="574"/>
      <c r="J292" s="573"/>
      <c r="K292" s="307"/>
      <c r="L292" s="292"/>
      <c r="M292" s="308"/>
      <c r="N292" s="292"/>
      <c r="O292" s="308"/>
      <c r="P292" s="575"/>
      <c r="Q292" s="576"/>
      <c r="R292" s="308"/>
      <c r="S292" s="575"/>
      <c r="T292" s="576"/>
      <c r="U292" s="308"/>
      <c r="V292" s="575"/>
      <c r="W292" s="576"/>
      <c r="X292" s="308"/>
      <c r="Y292" s="575"/>
      <c r="Z292" s="576"/>
      <c r="AA292" s="308"/>
      <c r="AB292" s="575"/>
      <c r="AC292" s="576"/>
      <c r="AD292" s="308"/>
      <c r="AE292" s="575"/>
      <c r="AF292" s="308"/>
      <c r="AG292" s="575"/>
      <c r="AH292" s="308"/>
      <c r="AI292" s="575"/>
      <c r="AJ292" s="308"/>
      <c r="AK292" s="305"/>
      <c r="AL292" s="577"/>
      <c r="AM292" s="306"/>
      <c r="AN292" s="308"/>
      <c r="AO292" s="573"/>
      <c r="AP292" s="305"/>
      <c r="AQ292" s="308"/>
      <c r="AR292" s="573"/>
      <c r="AS292" s="578"/>
      <c r="AT292" s="577"/>
      <c r="AU292" s="579"/>
      <c r="AV292" s="578"/>
      <c r="AW292" s="308"/>
      <c r="AX292" s="307"/>
      <c r="AY292" s="307"/>
      <c r="AZ292" s="307"/>
      <c r="BA292" s="307"/>
      <c r="BB292" s="307"/>
      <c r="BC292" s="305"/>
      <c r="BD292" s="292"/>
      <c r="BE292" s="297"/>
      <c r="BF292" s="297"/>
      <c r="BG292" s="569"/>
      <c r="BH292" s="570"/>
      <c r="BI292" s="570"/>
      <c r="BJ292" s="570"/>
      <c r="BK292" s="570"/>
      <c r="BL292" s="570"/>
      <c r="BM292" s="570"/>
      <c r="BN292" s="570"/>
      <c r="BO292" s="570"/>
      <c r="BP292" s="570"/>
      <c r="BQ292" s="570"/>
      <c r="BR292" s="570"/>
      <c r="BS292" s="570"/>
      <c r="BT292" s="570"/>
      <c r="BU292" s="570"/>
      <c r="BV292" s="570"/>
      <c r="BW292" s="570"/>
      <c r="BX292" s="570"/>
      <c r="BY292" s="570"/>
      <c r="BZ292" s="571"/>
      <c r="CA292" s="571"/>
    </row>
    <row r="293" spans="2:79">
      <c r="B293" s="572">
        <v>278</v>
      </c>
      <c r="C293" s="308"/>
      <c r="D293" s="307"/>
      <c r="E293" s="307"/>
      <c r="F293" s="305"/>
      <c r="G293" s="305"/>
      <c r="H293" s="292"/>
      <c r="I293" s="574"/>
      <c r="J293" s="573"/>
      <c r="K293" s="307"/>
      <c r="L293" s="292"/>
      <c r="M293" s="308"/>
      <c r="N293" s="292"/>
      <c r="O293" s="308"/>
      <c r="P293" s="575"/>
      <c r="Q293" s="576"/>
      <c r="R293" s="308"/>
      <c r="S293" s="575"/>
      <c r="T293" s="576"/>
      <c r="U293" s="308"/>
      <c r="V293" s="575"/>
      <c r="W293" s="576"/>
      <c r="X293" s="308"/>
      <c r="Y293" s="575"/>
      <c r="Z293" s="576"/>
      <c r="AA293" s="308"/>
      <c r="AB293" s="575"/>
      <c r="AC293" s="576"/>
      <c r="AD293" s="308"/>
      <c r="AE293" s="575"/>
      <c r="AF293" s="308"/>
      <c r="AG293" s="575"/>
      <c r="AH293" s="308"/>
      <c r="AI293" s="575"/>
      <c r="AJ293" s="308"/>
      <c r="AK293" s="305"/>
      <c r="AL293" s="577"/>
      <c r="AM293" s="306"/>
      <c r="AN293" s="308"/>
      <c r="AO293" s="573"/>
      <c r="AP293" s="305"/>
      <c r="AQ293" s="308"/>
      <c r="AR293" s="573"/>
      <c r="AS293" s="578"/>
      <c r="AT293" s="577"/>
      <c r="AU293" s="579"/>
      <c r="AV293" s="578"/>
      <c r="AW293" s="308"/>
      <c r="AX293" s="307"/>
      <c r="AY293" s="307"/>
      <c r="AZ293" s="307"/>
      <c r="BA293" s="307"/>
      <c r="BB293" s="307"/>
      <c r="BC293" s="305"/>
      <c r="BD293" s="292"/>
      <c r="BE293" s="297"/>
      <c r="BF293" s="297"/>
      <c r="BG293" s="569"/>
      <c r="BH293" s="570"/>
      <c r="BI293" s="570"/>
      <c r="BJ293" s="570"/>
      <c r="BK293" s="570"/>
      <c r="BL293" s="570"/>
      <c r="BM293" s="570"/>
      <c r="BN293" s="570"/>
      <c r="BO293" s="570"/>
      <c r="BP293" s="570"/>
      <c r="BQ293" s="570"/>
      <c r="BR293" s="570"/>
      <c r="BS293" s="570"/>
      <c r="BT293" s="570"/>
      <c r="BU293" s="570"/>
      <c r="BV293" s="570"/>
      <c r="BW293" s="570"/>
      <c r="BX293" s="570"/>
      <c r="BY293" s="570"/>
      <c r="BZ293" s="571"/>
      <c r="CA293" s="571"/>
    </row>
    <row r="294" spans="2:79">
      <c r="B294" s="566">
        <v>279</v>
      </c>
      <c r="C294" s="308"/>
      <c r="D294" s="307"/>
      <c r="E294" s="307"/>
      <c r="F294" s="305"/>
      <c r="G294" s="305"/>
      <c r="H294" s="292"/>
      <c r="I294" s="574"/>
      <c r="J294" s="573"/>
      <c r="K294" s="307"/>
      <c r="L294" s="292"/>
      <c r="M294" s="308"/>
      <c r="N294" s="292"/>
      <c r="O294" s="308"/>
      <c r="P294" s="575"/>
      <c r="Q294" s="576"/>
      <c r="R294" s="308"/>
      <c r="S294" s="575"/>
      <c r="T294" s="576"/>
      <c r="U294" s="308"/>
      <c r="V294" s="575"/>
      <c r="W294" s="576"/>
      <c r="X294" s="308"/>
      <c r="Y294" s="575"/>
      <c r="Z294" s="576"/>
      <c r="AA294" s="308"/>
      <c r="AB294" s="575"/>
      <c r="AC294" s="576"/>
      <c r="AD294" s="308"/>
      <c r="AE294" s="575"/>
      <c r="AF294" s="308"/>
      <c r="AG294" s="575"/>
      <c r="AH294" s="308"/>
      <c r="AI294" s="575"/>
      <c r="AJ294" s="308"/>
      <c r="AK294" s="305"/>
      <c r="AL294" s="577"/>
      <c r="AM294" s="306"/>
      <c r="AN294" s="308"/>
      <c r="AO294" s="573"/>
      <c r="AP294" s="305"/>
      <c r="AQ294" s="308"/>
      <c r="AR294" s="573"/>
      <c r="AS294" s="578"/>
      <c r="AT294" s="577"/>
      <c r="AU294" s="579"/>
      <c r="AV294" s="578"/>
      <c r="AW294" s="308"/>
      <c r="AX294" s="307"/>
      <c r="AY294" s="307"/>
      <c r="AZ294" s="307"/>
      <c r="BA294" s="307"/>
      <c r="BB294" s="307"/>
      <c r="BC294" s="305"/>
      <c r="BD294" s="292"/>
      <c r="BE294" s="297"/>
      <c r="BF294" s="297"/>
      <c r="BG294" s="569"/>
      <c r="BH294" s="570"/>
      <c r="BI294" s="570"/>
      <c r="BJ294" s="570"/>
      <c r="BK294" s="570"/>
      <c r="BL294" s="570"/>
      <c r="BM294" s="570"/>
      <c r="BN294" s="570"/>
      <c r="BO294" s="570"/>
      <c r="BP294" s="570"/>
      <c r="BQ294" s="570"/>
      <c r="BR294" s="570"/>
      <c r="BS294" s="570"/>
      <c r="BT294" s="570"/>
      <c r="BU294" s="570"/>
      <c r="BV294" s="570"/>
      <c r="BW294" s="570"/>
      <c r="BX294" s="570"/>
      <c r="BY294" s="570"/>
      <c r="BZ294" s="571"/>
      <c r="CA294" s="571"/>
    </row>
    <row r="295" spans="2:79">
      <c r="B295" s="572">
        <v>280</v>
      </c>
      <c r="C295" s="308"/>
      <c r="D295" s="307"/>
      <c r="E295" s="307"/>
      <c r="F295" s="305"/>
      <c r="G295" s="305"/>
      <c r="H295" s="292"/>
      <c r="I295" s="574"/>
      <c r="J295" s="573"/>
      <c r="K295" s="307"/>
      <c r="L295" s="292"/>
      <c r="M295" s="308"/>
      <c r="N295" s="292"/>
      <c r="O295" s="308"/>
      <c r="P295" s="575"/>
      <c r="Q295" s="576"/>
      <c r="R295" s="308"/>
      <c r="S295" s="575"/>
      <c r="T295" s="576"/>
      <c r="U295" s="308"/>
      <c r="V295" s="575"/>
      <c r="W295" s="576"/>
      <c r="X295" s="308"/>
      <c r="Y295" s="575"/>
      <c r="Z295" s="576"/>
      <c r="AA295" s="308"/>
      <c r="AB295" s="575"/>
      <c r="AC295" s="576"/>
      <c r="AD295" s="308"/>
      <c r="AE295" s="575"/>
      <c r="AF295" s="308"/>
      <c r="AG295" s="575"/>
      <c r="AH295" s="308"/>
      <c r="AI295" s="575"/>
      <c r="AJ295" s="308"/>
      <c r="AK295" s="305"/>
      <c r="AL295" s="577"/>
      <c r="AM295" s="306"/>
      <c r="AN295" s="308"/>
      <c r="AO295" s="573"/>
      <c r="AP295" s="305"/>
      <c r="AQ295" s="308"/>
      <c r="AR295" s="573"/>
      <c r="AS295" s="578"/>
      <c r="AT295" s="577"/>
      <c r="AU295" s="579"/>
      <c r="AV295" s="578"/>
      <c r="AW295" s="308"/>
      <c r="AX295" s="307"/>
      <c r="AY295" s="307"/>
      <c r="AZ295" s="307"/>
      <c r="BA295" s="307"/>
      <c r="BB295" s="307"/>
      <c r="BC295" s="305"/>
      <c r="BD295" s="292"/>
      <c r="BE295" s="297"/>
      <c r="BF295" s="297"/>
      <c r="BG295" s="569"/>
      <c r="BH295" s="570"/>
      <c r="BI295" s="570"/>
      <c r="BJ295" s="570"/>
      <c r="BK295" s="570"/>
      <c r="BL295" s="570"/>
      <c r="BM295" s="570"/>
      <c r="BN295" s="570"/>
      <c r="BO295" s="570"/>
      <c r="BP295" s="570"/>
      <c r="BQ295" s="570"/>
      <c r="BR295" s="570"/>
      <c r="BS295" s="570"/>
      <c r="BT295" s="570"/>
      <c r="BU295" s="570"/>
      <c r="BV295" s="570"/>
      <c r="BW295" s="570"/>
      <c r="BX295" s="570"/>
      <c r="BY295" s="570"/>
      <c r="BZ295" s="571"/>
      <c r="CA295" s="571"/>
    </row>
    <row r="296" spans="2:79">
      <c r="B296" s="566">
        <v>281</v>
      </c>
      <c r="C296" s="308"/>
      <c r="D296" s="307"/>
      <c r="E296" s="307"/>
      <c r="F296" s="305"/>
      <c r="G296" s="305"/>
      <c r="H296" s="292"/>
      <c r="I296" s="574"/>
      <c r="J296" s="573"/>
      <c r="K296" s="307"/>
      <c r="L296" s="292"/>
      <c r="M296" s="308"/>
      <c r="N296" s="292"/>
      <c r="O296" s="308"/>
      <c r="P296" s="575"/>
      <c r="Q296" s="576"/>
      <c r="R296" s="308"/>
      <c r="S296" s="575"/>
      <c r="T296" s="576"/>
      <c r="U296" s="308"/>
      <c r="V296" s="575"/>
      <c r="W296" s="576"/>
      <c r="X296" s="308"/>
      <c r="Y296" s="575"/>
      <c r="Z296" s="576"/>
      <c r="AA296" s="308"/>
      <c r="AB296" s="575"/>
      <c r="AC296" s="576"/>
      <c r="AD296" s="308"/>
      <c r="AE296" s="575"/>
      <c r="AF296" s="308"/>
      <c r="AG296" s="575"/>
      <c r="AH296" s="308"/>
      <c r="AI296" s="575"/>
      <c r="AJ296" s="308"/>
      <c r="AK296" s="305"/>
      <c r="AL296" s="577"/>
      <c r="AM296" s="306"/>
      <c r="AN296" s="308"/>
      <c r="AO296" s="573"/>
      <c r="AP296" s="305"/>
      <c r="AQ296" s="308"/>
      <c r="AR296" s="573"/>
      <c r="AS296" s="578"/>
      <c r="AT296" s="577"/>
      <c r="AU296" s="579"/>
      <c r="AV296" s="578"/>
      <c r="AW296" s="308"/>
      <c r="AX296" s="307"/>
      <c r="AY296" s="307"/>
      <c r="AZ296" s="307"/>
      <c r="BA296" s="307"/>
      <c r="BB296" s="307"/>
      <c r="BC296" s="305"/>
      <c r="BD296" s="292"/>
      <c r="BE296" s="297"/>
      <c r="BF296" s="297"/>
      <c r="BG296" s="569"/>
      <c r="BH296" s="570"/>
      <c r="BI296" s="570"/>
      <c r="BJ296" s="570"/>
      <c r="BK296" s="570"/>
      <c r="BL296" s="570"/>
      <c r="BM296" s="570"/>
      <c r="BN296" s="570"/>
      <c r="BO296" s="570"/>
      <c r="BP296" s="570"/>
      <c r="BQ296" s="570"/>
      <c r="BR296" s="570"/>
      <c r="BS296" s="570"/>
      <c r="BT296" s="570"/>
      <c r="BU296" s="570"/>
      <c r="BV296" s="570"/>
      <c r="BW296" s="570"/>
      <c r="BX296" s="570"/>
      <c r="BY296" s="570"/>
      <c r="BZ296" s="571"/>
      <c r="CA296" s="571"/>
    </row>
    <row r="297" spans="2:79">
      <c r="B297" s="572">
        <v>282</v>
      </c>
      <c r="C297" s="308"/>
      <c r="D297" s="307"/>
      <c r="E297" s="307"/>
      <c r="F297" s="305"/>
      <c r="G297" s="305"/>
      <c r="H297" s="292"/>
      <c r="I297" s="574"/>
      <c r="J297" s="573"/>
      <c r="K297" s="307"/>
      <c r="L297" s="292"/>
      <c r="M297" s="308"/>
      <c r="N297" s="292"/>
      <c r="O297" s="308"/>
      <c r="P297" s="575"/>
      <c r="Q297" s="576"/>
      <c r="R297" s="308"/>
      <c r="S297" s="575"/>
      <c r="T297" s="576"/>
      <c r="U297" s="308"/>
      <c r="V297" s="575"/>
      <c r="W297" s="576"/>
      <c r="X297" s="308"/>
      <c r="Y297" s="575"/>
      <c r="Z297" s="576"/>
      <c r="AA297" s="308"/>
      <c r="AB297" s="575"/>
      <c r="AC297" s="576"/>
      <c r="AD297" s="308"/>
      <c r="AE297" s="575"/>
      <c r="AF297" s="308"/>
      <c r="AG297" s="575"/>
      <c r="AH297" s="308"/>
      <c r="AI297" s="575"/>
      <c r="AJ297" s="308"/>
      <c r="AK297" s="305"/>
      <c r="AL297" s="577"/>
      <c r="AM297" s="306"/>
      <c r="AN297" s="308"/>
      <c r="AO297" s="573"/>
      <c r="AP297" s="305"/>
      <c r="AQ297" s="308"/>
      <c r="AR297" s="573"/>
      <c r="AS297" s="578"/>
      <c r="AT297" s="577"/>
      <c r="AU297" s="579"/>
      <c r="AV297" s="578"/>
      <c r="AW297" s="308"/>
      <c r="AX297" s="307"/>
      <c r="AY297" s="307"/>
      <c r="AZ297" s="307"/>
      <c r="BA297" s="307"/>
      <c r="BB297" s="307"/>
      <c r="BC297" s="305"/>
      <c r="BD297" s="292"/>
      <c r="BE297" s="297"/>
      <c r="BF297" s="297"/>
      <c r="BG297" s="569"/>
      <c r="BH297" s="570"/>
      <c r="BI297" s="570"/>
      <c r="BJ297" s="570"/>
      <c r="BK297" s="570"/>
      <c r="BL297" s="570"/>
      <c r="BM297" s="570"/>
      <c r="BN297" s="570"/>
      <c r="BO297" s="570"/>
      <c r="BP297" s="570"/>
      <c r="BQ297" s="570"/>
      <c r="BR297" s="570"/>
      <c r="BS297" s="570"/>
      <c r="BT297" s="570"/>
      <c r="BU297" s="570"/>
      <c r="BV297" s="570"/>
      <c r="BW297" s="570"/>
      <c r="BX297" s="570"/>
      <c r="BY297" s="570"/>
      <c r="BZ297" s="571"/>
      <c r="CA297" s="571"/>
    </row>
    <row r="298" spans="2:79">
      <c r="B298" s="566">
        <v>283</v>
      </c>
      <c r="C298" s="308"/>
      <c r="D298" s="307"/>
      <c r="E298" s="307"/>
      <c r="F298" s="305"/>
      <c r="G298" s="305"/>
      <c r="H298" s="292"/>
      <c r="I298" s="574"/>
      <c r="J298" s="573"/>
      <c r="K298" s="307"/>
      <c r="L298" s="292"/>
      <c r="M298" s="308"/>
      <c r="N298" s="292"/>
      <c r="O298" s="308"/>
      <c r="P298" s="575"/>
      <c r="Q298" s="576"/>
      <c r="R298" s="308"/>
      <c r="S298" s="575"/>
      <c r="T298" s="576"/>
      <c r="U298" s="308"/>
      <c r="V298" s="575"/>
      <c r="W298" s="576"/>
      <c r="X298" s="308"/>
      <c r="Y298" s="575"/>
      <c r="Z298" s="576"/>
      <c r="AA298" s="308"/>
      <c r="AB298" s="575"/>
      <c r="AC298" s="576"/>
      <c r="AD298" s="308"/>
      <c r="AE298" s="575"/>
      <c r="AF298" s="308"/>
      <c r="AG298" s="575"/>
      <c r="AH298" s="308"/>
      <c r="AI298" s="575"/>
      <c r="AJ298" s="308"/>
      <c r="AK298" s="305"/>
      <c r="AL298" s="577"/>
      <c r="AM298" s="306"/>
      <c r="AN298" s="308"/>
      <c r="AO298" s="573"/>
      <c r="AP298" s="305"/>
      <c r="AQ298" s="308"/>
      <c r="AR298" s="573"/>
      <c r="AS298" s="578"/>
      <c r="AT298" s="577"/>
      <c r="AU298" s="579"/>
      <c r="AV298" s="578"/>
      <c r="AW298" s="308"/>
      <c r="AX298" s="307"/>
      <c r="AY298" s="307"/>
      <c r="AZ298" s="307"/>
      <c r="BA298" s="307"/>
      <c r="BB298" s="307"/>
      <c r="BC298" s="305"/>
      <c r="BD298" s="292"/>
      <c r="BE298" s="297"/>
      <c r="BF298" s="297"/>
      <c r="BG298" s="569"/>
      <c r="BH298" s="570"/>
      <c r="BI298" s="570"/>
      <c r="BJ298" s="570"/>
      <c r="BK298" s="570"/>
      <c r="BL298" s="570"/>
      <c r="BM298" s="570"/>
      <c r="BN298" s="570"/>
      <c r="BO298" s="570"/>
      <c r="BP298" s="570"/>
      <c r="BQ298" s="570"/>
      <c r="BR298" s="570"/>
      <c r="BS298" s="570"/>
      <c r="BT298" s="570"/>
      <c r="BU298" s="570"/>
      <c r="BV298" s="570"/>
      <c r="BW298" s="570"/>
      <c r="BX298" s="570"/>
      <c r="BY298" s="570"/>
      <c r="BZ298" s="571"/>
      <c r="CA298" s="571"/>
    </row>
    <row r="299" spans="2:79">
      <c r="B299" s="572">
        <v>284</v>
      </c>
      <c r="C299" s="308"/>
      <c r="D299" s="307"/>
      <c r="E299" s="307"/>
      <c r="F299" s="305"/>
      <c r="G299" s="305"/>
      <c r="H299" s="292"/>
      <c r="I299" s="574"/>
      <c r="J299" s="573"/>
      <c r="K299" s="307"/>
      <c r="L299" s="292"/>
      <c r="M299" s="308"/>
      <c r="N299" s="292"/>
      <c r="O299" s="308"/>
      <c r="P299" s="575"/>
      <c r="Q299" s="576"/>
      <c r="R299" s="308"/>
      <c r="S299" s="575"/>
      <c r="T299" s="576"/>
      <c r="U299" s="308"/>
      <c r="V299" s="575"/>
      <c r="W299" s="576"/>
      <c r="X299" s="308"/>
      <c r="Y299" s="575"/>
      <c r="Z299" s="576"/>
      <c r="AA299" s="308"/>
      <c r="AB299" s="575"/>
      <c r="AC299" s="576"/>
      <c r="AD299" s="308"/>
      <c r="AE299" s="575"/>
      <c r="AF299" s="308"/>
      <c r="AG299" s="575"/>
      <c r="AH299" s="308"/>
      <c r="AI299" s="575"/>
      <c r="AJ299" s="308"/>
      <c r="AK299" s="305"/>
      <c r="AL299" s="577"/>
      <c r="AM299" s="306"/>
      <c r="AN299" s="308"/>
      <c r="AO299" s="573"/>
      <c r="AP299" s="305"/>
      <c r="AQ299" s="308"/>
      <c r="AR299" s="573"/>
      <c r="AS299" s="578"/>
      <c r="AT299" s="577"/>
      <c r="AU299" s="579"/>
      <c r="AV299" s="578"/>
      <c r="AW299" s="308"/>
      <c r="AX299" s="307"/>
      <c r="AY299" s="307"/>
      <c r="AZ299" s="307"/>
      <c r="BA299" s="307"/>
      <c r="BB299" s="307"/>
      <c r="BC299" s="305"/>
      <c r="BD299" s="292"/>
      <c r="BE299" s="297"/>
      <c r="BF299" s="297"/>
      <c r="BG299" s="569"/>
      <c r="BH299" s="570"/>
      <c r="BI299" s="570"/>
      <c r="BJ299" s="570"/>
      <c r="BK299" s="570"/>
      <c r="BL299" s="570"/>
      <c r="BM299" s="570"/>
      <c r="BN299" s="570"/>
      <c r="BO299" s="570"/>
      <c r="BP299" s="570"/>
      <c r="BQ299" s="570"/>
      <c r="BR299" s="570"/>
      <c r="BS299" s="570"/>
      <c r="BT299" s="570"/>
      <c r="BU299" s="570"/>
      <c r="BV299" s="570"/>
      <c r="BW299" s="570"/>
      <c r="BX299" s="570"/>
      <c r="BY299" s="570"/>
      <c r="BZ299" s="571"/>
      <c r="CA299" s="571"/>
    </row>
    <row r="300" spans="2:79">
      <c r="B300" s="566">
        <v>285</v>
      </c>
      <c r="C300" s="308"/>
      <c r="D300" s="307"/>
      <c r="E300" s="307"/>
      <c r="F300" s="305"/>
      <c r="G300" s="305"/>
      <c r="H300" s="292"/>
      <c r="I300" s="574"/>
      <c r="J300" s="573"/>
      <c r="K300" s="307"/>
      <c r="L300" s="292"/>
      <c r="M300" s="308"/>
      <c r="N300" s="292"/>
      <c r="O300" s="308"/>
      <c r="P300" s="575"/>
      <c r="Q300" s="576"/>
      <c r="R300" s="308"/>
      <c r="S300" s="575"/>
      <c r="T300" s="576"/>
      <c r="U300" s="308"/>
      <c r="V300" s="575"/>
      <c r="W300" s="576"/>
      <c r="X300" s="308"/>
      <c r="Y300" s="575"/>
      <c r="Z300" s="576"/>
      <c r="AA300" s="308"/>
      <c r="AB300" s="575"/>
      <c r="AC300" s="576"/>
      <c r="AD300" s="308"/>
      <c r="AE300" s="575"/>
      <c r="AF300" s="308"/>
      <c r="AG300" s="575"/>
      <c r="AH300" s="308"/>
      <c r="AI300" s="575"/>
      <c r="AJ300" s="308"/>
      <c r="AK300" s="305"/>
      <c r="AL300" s="577"/>
      <c r="AM300" s="306"/>
      <c r="AN300" s="308"/>
      <c r="AO300" s="573"/>
      <c r="AP300" s="305"/>
      <c r="AQ300" s="308"/>
      <c r="AR300" s="573"/>
      <c r="AS300" s="578"/>
      <c r="AT300" s="577"/>
      <c r="AU300" s="579"/>
      <c r="AV300" s="578"/>
      <c r="AW300" s="308"/>
      <c r="AX300" s="307"/>
      <c r="AY300" s="307"/>
      <c r="AZ300" s="307"/>
      <c r="BA300" s="307"/>
      <c r="BB300" s="307"/>
      <c r="BC300" s="305"/>
      <c r="BD300" s="292"/>
      <c r="BE300" s="297"/>
      <c r="BF300" s="297"/>
      <c r="BG300" s="569"/>
      <c r="BH300" s="570"/>
      <c r="BI300" s="570"/>
      <c r="BJ300" s="570"/>
      <c r="BK300" s="570"/>
      <c r="BL300" s="570"/>
      <c r="BM300" s="570"/>
      <c r="BN300" s="570"/>
      <c r="BO300" s="570"/>
      <c r="BP300" s="570"/>
      <c r="BQ300" s="570"/>
      <c r="BR300" s="570"/>
      <c r="BS300" s="570"/>
      <c r="BT300" s="570"/>
      <c r="BU300" s="570"/>
      <c r="BV300" s="570"/>
      <c r="BW300" s="570"/>
      <c r="BX300" s="570"/>
      <c r="BY300" s="570"/>
      <c r="BZ300" s="571"/>
      <c r="CA300" s="571"/>
    </row>
    <row r="301" spans="2:79">
      <c r="B301" s="572">
        <v>286</v>
      </c>
      <c r="C301" s="308"/>
      <c r="D301" s="307"/>
      <c r="E301" s="307"/>
      <c r="F301" s="305"/>
      <c r="G301" s="305"/>
      <c r="H301" s="292"/>
      <c r="I301" s="574"/>
      <c r="J301" s="573"/>
      <c r="K301" s="307"/>
      <c r="L301" s="292"/>
      <c r="M301" s="308"/>
      <c r="N301" s="292"/>
      <c r="O301" s="308"/>
      <c r="P301" s="575"/>
      <c r="Q301" s="576"/>
      <c r="R301" s="308"/>
      <c r="S301" s="575"/>
      <c r="T301" s="576"/>
      <c r="U301" s="308"/>
      <c r="V301" s="575"/>
      <c r="W301" s="576"/>
      <c r="X301" s="308"/>
      <c r="Y301" s="575"/>
      <c r="Z301" s="576"/>
      <c r="AA301" s="308"/>
      <c r="AB301" s="575"/>
      <c r="AC301" s="576"/>
      <c r="AD301" s="308"/>
      <c r="AE301" s="575"/>
      <c r="AF301" s="308"/>
      <c r="AG301" s="575"/>
      <c r="AH301" s="308"/>
      <c r="AI301" s="575"/>
      <c r="AJ301" s="308"/>
      <c r="AK301" s="305"/>
      <c r="AL301" s="577"/>
      <c r="AM301" s="306"/>
      <c r="AN301" s="308"/>
      <c r="AO301" s="573"/>
      <c r="AP301" s="305"/>
      <c r="AQ301" s="308"/>
      <c r="AR301" s="573"/>
      <c r="AS301" s="578"/>
      <c r="AT301" s="577"/>
      <c r="AU301" s="579"/>
      <c r="AV301" s="578"/>
      <c r="AW301" s="308"/>
      <c r="AX301" s="307"/>
      <c r="AY301" s="307"/>
      <c r="AZ301" s="307"/>
      <c r="BA301" s="307"/>
      <c r="BB301" s="307"/>
      <c r="BC301" s="305"/>
      <c r="BD301" s="292"/>
      <c r="BE301" s="297"/>
      <c r="BF301" s="297"/>
      <c r="BG301" s="569"/>
      <c r="BH301" s="570"/>
      <c r="BI301" s="570"/>
      <c r="BJ301" s="570"/>
      <c r="BK301" s="570"/>
      <c r="BL301" s="570"/>
      <c r="BM301" s="570"/>
      <c r="BN301" s="570"/>
      <c r="BO301" s="570"/>
      <c r="BP301" s="570"/>
      <c r="BQ301" s="570"/>
      <c r="BR301" s="570"/>
      <c r="BS301" s="570"/>
      <c r="BT301" s="570"/>
      <c r="BU301" s="570"/>
      <c r="BV301" s="570"/>
      <c r="BW301" s="570"/>
      <c r="BX301" s="570"/>
      <c r="BY301" s="570"/>
      <c r="BZ301" s="571"/>
      <c r="CA301" s="571"/>
    </row>
    <row r="302" spans="2:79">
      <c r="B302" s="566">
        <v>287</v>
      </c>
      <c r="C302" s="308"/>
      <c r="D302" s="307"/>
      <c r="E302" s="307"/>
      <c r="F302" s="305"/>
      <c r="G302" s="305"/>
      <c r="H302" s="292"/>
      <c r="I302" s="574"/>
      <c r="J302" s="573"/>
      <c r="K302" s="307"/>
      <c r="L302" s="292"/>
      <c r="M302" s="308"/>
      <c r="N302" s="292"/>
      <c r="O302" s="308"/>
      <c r="P302" s="575"/>
      <c r="Q302" s="576"/>
      <c r="R302" s="308"/>
      <c r="S302" s="575"/>
      <c r="T302" s="576"/>
      <c r="U302" s="308"/>
      <c r="V302" s="575"/>
      <c r="W302" s="576"/>
      <c r="X302" s="308"/>
      <c r="Y302" s="575"/>
      <c r="Z302" s="576"/>
      <c r="AA302" s="308"/>
      <c r="AB302" s="575"/>
      <c r="AC302" s="576"/>
      <c r="AD302" s="308"/>
      <c r="AE302" s="575"/>
      <c r="AF302" s="308"/>
      <c r="AG302" s="575"/>
      <c r="AH302" s="308"/>
      <c r="AI302" s="575"/>
      <c r="AJ302" s="308"/>
      <c r="AK302" s="305"/>
      <c r="AL302" s="577"/>
      <c r="AM302" s="306"/>
      <c r="AN302" s="308"/>
      <c r="AO302" s="573"/>
      <c r="AP302" s="305"/>
      <c r="AQ302" s="308"/>
      <c r="AR302" s="573"/>
      <c r="AS302" s="578"/>
      <c r="AT302" s="577"/>
      <c r="AU302" s="579"/>
      <c r="AV302" s="578"/>
      <c r="AW302" s="308"/>
      <c r="AX302" s="307"/>
      <c r="AY302" s="307"/>
      <c r="AZ302" s="307"/>
      <c r="BA302" s="307"/>
      <c r="BB302" s="307"/>
      <c r="BC302" s="305"/>
      <c r="BD302" s="292"/>
      <c r="BE302" s="297"/>
      <c r="BF302" s="297"/>
      <c r="BG302" s="569"/>
      <c r="BH302" s="570"/>
      <c r="BI302" s="570"/>
      <c r="BJ302" s="570"/>
      <c r="BK302" s="570"/>
      <c r="BL302" s="570"/>
      <c r="BM302" s="570"/>
      <c r="BN302" s="570"/>
      <c r="BO302" s="570"/>
      <c r="BP302" s="570"/>
      <c r="BQ302" s="570"/>
      <c r="BR302" s="570"/>
      <c r="BS302" s="570"/>
      <c r="BT302" s="570"/>
      <c r="BU302" s="570"/>
      <c r="BV302" s="570"/>
      <c r="BW302" s="570"/>
      <c r="BX302" s="570"/>
      <c r="BY302" s="570"/>
      <c r="BZ302" s="571"/>
      <c r="CA302" s="571"/>
    </row>
    <row r="303" spans="2:79">
      <c r="B303" s="572">
        <v>288</v>
      </c>
      <c r="C303" s="308"/>
      <c r="D303" s="307"/>
      <c r="E303" s="307"/>
      <c r="F303" s="305"/>
      <c r="G303" s="305"/>
      <c r="H303" s="292"/>
      <c r="I303" s="574"/>
      <c r="J303" s="573"/>
      <c r="K303" s="307"/>
      <c r="L303" s="292"/>
      <c r="M303" s="308"/>
      <c r="N303" s="292"/>
      <c r="O303" s="308"/>
      <c r="P303" s="575"/>
      <c r="Q303" s="576"/>
      <c r="R303" s="308"/>
      <c r="S303" s="575"/>
      <c r="T303" s="576"/>
      <c r="U303" s="308"/>
      <c r="V303" s="575"/>
      <c r="W303" s="576"/>
      <c r="X303" s="308"/>
      <c r="Y303" s="575"/>
      <c r="Z303" s="576"/>
      <c r="AA303" s="308"/>
      <c r="AB303" s="575"/>
      <c r="AC303" s="576"/>
      <c r="AD303" s="308"/>
      <c r="AE303" s="575"/>
      <c r="AF303" s="308"/>
      <c r="AG303" s="575"/>
      <c r="AH303" s="308"/>
      <c r="AI303" s="575"/>
      <c r="AJ303" s="308"/>
      <c r="AK303" s="305"/>
      <c r="AL303" s="577"/>
      <c r="AM303" s="306"/>
      <c r="AN303" s="308"/>
      <c r="AO303" s="573"/>
      <c r="AP303" s="305"/>
      <c r="AQ303" s="308"/>
      <c r="AR303" s="573"/>
      <c r="AS303" s="578"/>
      <c r="AT303" s="577"/>
      <c r="AU303" s="579"/>
      <c r="AV303" s="578"/>
      <c r="AW303" s="308"/>
      <c r="AX303" s="307"/>
      <c r="AY303" s="307"/>
      <c r="AZ303" s="307"/>
      <c r="BA303" s="307"/>
      <c r="BB303" s="307"/>
      <c r="BC303" s="305"/>
      <c r="BD303" s="292"/>
      <c r="BE303" s="297"/>
      <c r="BF303" s="297"/>
      <c r="BG303" s="569"/>
      <c r="BH303" s="570"/>
      <c r="BI303" s="570"/>
      <c r="BJ303" s="570"/>
      <c r="BK303" s="570"/>
      <c r="BL303" s="570"/>
      <c r="BM303" s="570"/>
      <c r="BN303" s="570"/>
      <c r="BO303" s="570"/>
      <c r="BP303" s="570"/>
      <c r="BQ303" s="570"/>
      <c r="BR303" s="570"/>
      <c r="BS303" s="570"/>
      <c r="BT303" s="570"/>
      <c r="BU303" s="570"/>
      <c r="BV303" s="570"/>
      <c r="BW303" s="570"/>
      <c r="BX303" s="570"/>
      <c r="BY303" s="570"/>
      <c r="BZ303" s="571"/>
      <c r="CA303" s="571"/>
    </row>
    <row r="304" spans="2:79">
      <c r="B304" s="566">
        <v>289</v>
      </c>
      <c r="C304" s="308"/>
      <c r="D304" s="307"/>
      <c r="E304" s="307"/>
      <c r="F304" s="305"/>
      <c r="G304" s="305"/>
      <c r="H304" s="292"/>
      <c r="I304" s="574"/>
      <c r="J304" s="573"/>
      <c r="K304" s="307"/>
      <c r="L304" s="292"/>
      <c r="M304" s="308"/>
      <c r="N304" s="292"/>
      <c r="O304" s="308"/>
      <c r="P304" s="575"/>
      <c r="Q304" s="576"/>
      <c r="R304" s="308"/>
      <c r="S304" s="575"/>
      <c r="T304" s="576"/>
      <c r="U304" s="308"/>
      <c r="V304" s="575"/>
      <c r="W304" s="576"/>
      <c r="X304" s="308"/>
      <c r="Y304" s="575"/>
      <c r="Z304" s="576"/>
      <c r="AA304" s="308"/>
      <c r="AB304" s="575"/>
      <c r="AC304" s="576"/>
      <c r="AD304" s="308"/>
      <c r="AE304" s="575"/>
      <c r="AF304" s="308"/>
      <c r="AG304" s="575"/>
      <c r="AH304" s="308"/>
      <c r="AI304" s="575"/>
      <c r="AJ304" s="308"/>
      <c r="AK304" s="305"/>
      <c r="AL304" s="577"/>
      <c r="AM304" s="306"/>
      <c r="AN304" s="308"/>
      <c r="AO304" s="573"/>
      <c r="AP304" s="305"/>
      <c r="AQ304" s="308"/>
      <c r="AR304" s="573"/>
      <c r="AS304" s="578"/>
      <c r="AT304" s="577"/>
      <c r="AU304" s="579"/>
      <c r="AV304" s="578"/>
      <c r="AW304" s="308"/>
      <c r="AX304" s="307"/>
      <c r="AY304" s="307"/>
      <c r="AZ304" s="307"/>
      <c r="BA304" s="307"/>
      <c r="BB304" s="307"/>
      <c r="BC304" s="305"/>
      <c r="BD304" s="292"/>
      <c r="BE304" s="297"/>
      <c r="BF304" s="297"/>
      <c r="BG304" s="569"/>
      <c r="BH304" s="570"/>
      <c r="BI304" s="570"/>
      <c r="BJ304" s="570"/>
      <c r="BK304" s="570"/>
      <c r="BL304" s="570"/>
      <c r="BM304" s="570"/>
      <c r="BN304" s="570"/>
      <c r="BO304" s="570"/>
      <c r="BP304" s="570"/>
      <c r="BQ304" s="570"/>
      <c r="BR304" s="570"/>
      <c r="BS304" s="570"/>
      <c r="BT304" s="570"/>
      <c r="BU304" s="570"/>
      <c r="BV304" s="570"/>
      <c r="BW304" s="570"/>
      <c r="BX304" s="570"/>
      <c r="BY304" s="570"/>
      <c r="BZ304" s="571"/>
      <c r="CA304" s="571"/>
    </row>
    <row r="305" spans="2:79">
      <c r="B305" s="572">
        <v>290</v>
      </c>
      <c r="C305" s="308"/>
      <c r="D305" s="307"/>
      <c r="E305" s="307"/>
      <c r="F305" s="305"/>
      <c r="G305" s="305"/>
      <c r="H305" s="292"/>
      <c r="I305" s="574"/>
      <c r="J305" s="573"/>
      <c r="K305" s="307"/>
      <c r="L305" s="292"/>
      <c r="M305" s="308"/>
      <c r="N305" s="292"/>
      <c r="O305" s="308"/>
      <c r="P305" s="575"/>
      <c r="Q305" s="576"/>
      <c r="R305" s="308"/>
      <c r="S305" s="575"/>
      <c r="T305" s="576"/>
      <c r="U305" s="308"/>
      <c r="V305" s="575"/>
      <c r="W305" s="576"/>
      <c r="X305" s="308"/>
      <c r="Y305" s="575"/>
      <c r="Z305" s="576"/>
      <c r="AA305" s="308"/>
      <c r="AB305" s="575"/>
      <c r="AC305" s="576"/>
      <c r="AD305" s="308"/>
      <c r="AE305" s="575"/>
      <c r="AF305" s="308"/>
      <c r="AG305" s="575"/>
      <c r="AH305" s="308"/>
      <c r="AI305" s="575"/>
      <c r="AJ305" s="308"/>
      <c r="AK305" s="305"/>
      <c r="AL305" s="577"/>
      <c r="AM305" s="306"/>
      <c r="AN305" s="308"/>
      <c r="AO305" s="573"/>
      <c r="AP305" s="305"/>
      <c r="AQ305" s="308"/>
      <c r="AR305" s="573"/>
      <c r="AS305" s="578"/>
      <c r="AT305" s="577"/>
      <c r="AU305" s="579"/>
      <c r="AV305" s="578"/>
      <c r="AW305" s="308"/>
      <c r="AX305" s="307"/>
      <c r="AY305" s="307"/>
      <c r="AZ305" s="307"/>
      <c r="BA305" s="307"/>
      <c r="BB305" s="307"/>
      <c r="BC305" s="305"/>
      <c r="BD305" s="292"/>
      <c r="BE305" s="297"/>
      <c r="BF305" s="297"/>
      <c r="BG305" s="569"/>
      <c r="BH305" s="570"/>
      <c r="BI305" s="570"/>
      <c r="BJ305" s="570"/>
      <c r="BK305" s="570"/>
      <c r="BL305" s="570"/>
      <c r="BM305" s="570"/>
      <c r="BN305" s="570"/>
      <c r="BO305" s="570"/>
      <c r="BP305" s="570"/>
      <c r="BQ305" s="570"/>
      <c r="BR305" s="570"/>
      <c r="BS305" s="570"/>
      <c r="BT305" s="570"/>
      <c r="BU305" s="570"/>
      <c r="BV305" s="570"/>
      <c r="BW305" s="570"/>
      <c r="BX305" s="570"/>
      <c r="BY305" s="570"/>
      <c r="BZ305" s="571"/>
      <c r="CA305" s="571"/>
    </row>
    <row r="306" spans="2:79">
      <c r="B306" s="566">
        <v>291</v>
      </c>
      <c r="C306" s="308"/>
      <c r="D306" s="307"/>
      <c r="E306" s="307"/>
      <c r="F306" s="305"/>
      <c r="G306" s="305"/>
      <c r="H306" s="292"/>
      <c r="I306" s="574"/>
      <c r="J306" s="573"/>
      <c r="K306" s="307"/>
      <c r="L306" s="292"/>
      <c r="M306" s="308"/>
      <c r="N306" s="292"/>
      <c r="O306" s="308"/>
      <c r="P306" s="575"/>
      <c r="Q306" s="576"/>
      <c r="R306" s="308"/>
      <c r="S306" s="575"/>
      <c r="T306" s="576"/>
      <c r="U306" s="308"/>
      <c r="V306" s="575"/>
      <c r="W306" s="576"/>
      <c r="X306" s="308"/>
      <c r="Y306" s="575"/>
      <c r="Z306" s="576"/>
      <c r="AA306" s="308"/>
      <c r="AB306" s="575"/>
      <c r="AC306" s="576"/>
      <c r="AD306" s="308"/>
      <c r="AE306" s="575"/>
      <c r="AF306" s="308"/>
      <c r="AG306" s="575"/>
      <c r="AH306" s="308"/>
      <c r="AI306" s="575"/>
      <c r="AJ306" s="308"/>
      <c r="AK306" s="305"/>
      <c r="AL306" s="577"/>
      <c r="AM306" s="306"/>
      <c r="AN306" s="308"/>
      <c r="AO306" s="573"/>
      <c r="AP306" s="305"/>
      <c r="AQ306" s="308"/>
      <c r="AR306" s="573"/>
      <c r="AS306" s="578"/>
      <c r="AT306" s="577"/>
      <c r="AU306" s="579"/>
      <c r="AV306" s="578"/>
      <c r="AW306" s="308"/>
      <c r="AX306" s="307"/>
      <c r="AY306" s="307"/>
      <c r="AZ306" s="307"/>
      <c r="BA306" s="307"/>
      <c r="BB306" s="307"/>
      <c r="BC306" s="305"/>
      <c r="BD306" s="292"/>
      <c r="BE306" s="297"/>
      <c r="BF306" s="297"/>
      <c r="BG306" s="569"/>
      <c r="BH306" s="570"/>
      <c r="BI306" s="570"/>
      <c r="BJ306" s="570"/>
      <c r="BK306" s="570"/>
      <c r="BL306" s="570"/>
      <c r="BM306" s="570"/>
      <c r="BN306" s="570"/>
      <c r="BO306" s="570"/>
      <c r="BP306" s="570"/>
      <c r="BQ306" s="570"/>
      <c r="BR306" s="570"/>
      <c r="BS306" s="570"/>
      <c r="BT306" s="570"/>
      <c r="BU306" s="570"/>
      <c r="BV306" s="570"/>
      <c r="BW306" s="570"/>
      <c r="BX306" s="570"/>
      <c r="BY306" s="570"/>
      <c r="BZ306" s="571"/>
      <c r="CA306" s="571"/>
    </row>
    <row r="307" spans="2:79">
      <c r="B307" s="572">
        <v>292</v>
      </c>
      <c r="C307" s="308"/>
      <c r="D307" s="307"/>
      <c r="E307" s="307"/>
      <c r="F307" s="305"/>
      <c r="G307" s="305"/>
      <c r="H307" s="292"/>
      <c r="I307" s="574"/>
      <c r="J307" s="573"/>
      <c r="K307" s="307"/>
      <c r="L307" s="292"/>
      <c r="M307" s="308"/>
      <c r="N307" s="292"/>
      <c r="O307" s="308"/>
      <c r="P307" s="575"/>
      <c r="Q307" s="576"/>
      <c r="R307" s="308"/>
      <c r="S307" s="575"/>
      <c r="T307" s="576"/>
      <c r="U307" s="308"/>
      <c r="V307" s="575"/>
      <c r="W307" s="576"/>
      <c r="X307" s="308"/>
      <c r="Y307" s="575"/>
      <c r="Z307" s="576"/>
      <c r="AA307" s="308"/>
      <c r="AB307" s="575"/>
      <c r="AC307" s="576"/>
      <c r="AD307" s="308"/>
      <c r="AE307" s="575"/>
      <c r="AF307" s="308"/>
      <c r="AG307" s="575"/>
      <c r="AH307" s="308"/>
      <c r="AI307" s="575"/>
      <c r="AJ307" s="308"/>
      <c r="AK307" s="305"/>
      <c r="AL307" s="577"/>
      <c r="AM307" s="306"/>
      <c r="AN307" s="308"/>
      <c r="AO307" s="573"/>
      <c r="AP307" s="305"/>
      <c r="AQ307" s="308"/>
      <c r="AR307" s="573"/>
      <c r="AS307" s="578"/>
      <c r="AT307" s="577"/>
      <c r="AU307" s="579"/>
      <c r="AV307" s="578"/>
      <c r="AW307" s="308"/>
      <c r="AX307" s="307"/>
      <c r="AY307" s="307"/>
      <c r="AZ307" s="307"/>
      <c r="BA307" s="307"/>
      <c r="BB307" s="307"/>
      <c r="BC307" s="305"/>
      <c r="BD307" s="292"/>
      <c r="BE307" s="297"/>
      <c r="BF307" s="297"/>
      <c r="BG307" s="569"/>
      <c r="BH307" s="570"/>
      <c r="BI307" s="570"/>
      <c r="BJ307" s="570"/>
      <c r="BK307" s="570"/>
      <c r="BL307" s="570"/>
      <c r="BM307" s="570"/>
      <c r="BN307" s="570"/>
      <c r="BO307" s="570"/>
      <c r="BP307" s="570"/>
      <c r="BQ307" s="570"/>
      <c r="BR307" s="570"/>
      <c r="BS307" s="570"/>
      <c r="BT307" s="570"/>
      <c r="BU307" s="570"/>
      <c r="BV307" s="570"/>
      <c r="BW307" s="570"/>
      <c r="BX307" s="570"/>
      <c r="BY307" s="570"/>
      <c r="BZ307" s="571"/>
      <c r="CA307" s="571"/>
    </row>
    <row r="308" spans="2:79">
      <c r="B308" s="566">
        <v>293</v>
      </c>
      <c r="C308" s="308"/>
      <c r="D308" s="307"/>
      <c r="E308" s="307"/>
      <c r="F308" s="305"/>
      <c r="G308" s="305"/>
      <c r="H308" s="292"/>
      <c r="I308" s="574"/>
      <c r="J308" s="573"/>
      <c r="K308" s="307"/>
      <c r="L308" s="292"/>
      <c r="M308" s="308"/>
      <c r="N308" s="292"/>
      <c r="O308" s="308"/>
      <c r="P308" s="575"/>
      <c r="Q308" s="576"/>
      <c r="R308" s="308"/>
      <c r="S308" s="575"/>
      <c r="T308" s="576"/>
      <c r="U308" s="308"/>
      <c r="V308" s="575"/>
      <c r="W308" s="576"/>
      <c r="X308" s="308"/>
      <c r="Y308" s="575"/>
      <c r="Z308" s="576"/>
      <c r="AA308" s="308"/>
      <c r="AB308" s="575"/>
      <c r="AC308" s="576"/>
      <c r="AD308" s="308"/>
      <c r="AE308" s="575"/>
      <c r="AF308" s="308"/>
      <c r="AG308" s="575"/>
      <c r="AH308" s="308"/>
      <c r="AI308" s="575"/>
      <c r="AJ308" s="308"/>
      <c r="AK308" s="305"/>
      <c r="AL308" s="577"/>
      <c r="AM308" s="306"/>
      <c r="AN308" s="308"/>
      <c r="AO308" s="573"/>
      <c r="AP308" s="305"/>
      <c r="AQ308" s="308"/>
      <c r="AR308" s="573"/>
      <c r="AS308" s="578"/>
      <c r="AT308" s="577"/>
      <c r="AU308" s="579"/>
      <c r="AV308" s="578"/>
      <c r="AW308" s="308"/>
      <c r="AX308" s="307"/>
      <c r="AY308" s="307"/>
      <c r="AZ308" s="307"/>
      <c r="BA308" s="307"/>
      <c r="BB308" s="307"/>
      <c r="BC308" s="305"/>
      <c r="BD308" s="292"/>
      <c r="BE308" s="297"/>
      <c r="BF308" s="297"/>
      <c r="BG308" s="569"/>
      <c r="BH308" s="570"/>
      <c r="BI308" s="570"/>
      <c r="BJ308" s="570"/>
      <c r="BK308" s="570"/>
      <c r="BL308" s="570"/>
      <c r="BM308" s="570"/>
      <c r="BN308" s="570"/>
      <c r="BO308" s="570"/>
      <c r="BP308" s="570"/>
      <c r="BQ308" s="570"/>
      <c r="BR308" s="570"/>
      <c r="BS308" s="570"/>
      <c r="BT308" s="570"/>
      <c r="BU308" s="570"/>
      <c r="BV308" s="570"/>
      <c r="BW308" s="570"/>
      <c r="BX308" s="570"/>
      <c r="BY308" s="570"/>
      <c r="BZ308" s="571"/>
      <c r="CA308" s="571"/>
    </row>
    <row r="309" spans="2:79">
      <c r="B309" s="572">
        <v>294</v>
      </c>
      <c r="C309" s="308"/>
      <c r="D309" s="307"/>
      <c r="E309" s="307"/>
      <c r="F309" s="305"/>
      <c r="G309" s="305"/>
      <c r="H309" s="292"/>
      <c r="I309" s="574"/>
      <c r="J309" s="573"/>
      <c r="K309" s="307"/>
      <c r="L309" s="292"/>
      <c r="M309" s="308"/>
      <c r="N309" s="292"/>
      <c r="O309" s="308"/>
      <c r="P309" s="575"/>
      <c r="Q309" s="576"/>
      <c r="R309" s="308"/>
      <c r="S309" s="575"/>
      <c r="T309" s="576"/>
      <c r="U309" s="308"/>
      <c r="V309" s="575"/>
      <c r="W309" s="576"/>
      <c r="X309" s="308"/>
      <c r="Y309" s="575"/>
      <c r="Z309" s="576"/>
      <c r="AA309" s="308"/>
      <c r="AB309" s="575"/>
      <c r="AC309" s="576"/>
      <c r="AD309" s="308"/>
      <c r="AE309" s="575"/>
      <c r="AF309" s="308"/>
      <c r="AG309" s="575"/>
      <c r="AH309" s="308"/>
      <c r="AI309" s="575"/>
      <c r="AJ309" s="308"/>
      <c r="AK309" s="305"/>
      <c r="AL309" s="577"/>
      <c r="AM309" s="306"/>
      <c r="AN309" s="308"/>
      <c r="AO309" s="573"/>
      <c r="AP309" s="305"/>
      <c r="AQ309" s="308"/>
      <c r="AR309" s="573"/>
      <c r="AS309" s="578"/>
      <c r="AT309" s="577"/>
      <c r="AU309" s="579"/>
      <c r="AV309" s="578"/>
      <c r="AW309" s="308"/>
      <c r="AX309" s="307"/>
      <c r="AY309" s="307"/>
      <c r="AZ309" s="307"/>
      <c r="BA309" s="307"/>
      <c r="BB309" s="307"/>
      <c r="BC309" s="305"/>
      <c r="BD309" s="292"/>
      <c r="BE309" s="297"/>
      <c r="BF309" s="297"/>
      <c r="BG309" s="569"/>
      <c r="BH309" s="570"/>
      <c r="BI309" s="570"/>
      <c r="BJ309" s="570"/>
      <c r="BK309" s="570"/>
      <c r="BL309" s="570"/>
      <c r="BM309" s="570"/>
      <c r="BN309" s="570"/>
      <c r="BO309" s="570"/>
      <c r="BP309" s="570"/>
      <c r="BQ309" s="570"/>
      <c r="BR309" s="570"/>
      <c r="BS309" s="570"/>
      <c r="BT309" s="570"/>
      <c r="BU309" s="570"/>
      <c r="BV309" s="570"/>
      <c r="BW309" s="570"/>
      <c r="BX309" s="570"/>
      <c r="BY309" s="570"/>
      <c r="BZ309" s="571"/>
      <c r="CA309" s="571"/>
    </row>
    <row r="310" spans="2:79">
      <c r="B310" s="566">
        <v>295</v>
      </c>
      <c r="C310" s="308"/>
      <c r="D310" s="307"/>
      <c r="E310" s="307"/>
      <c r="F310" s="305"/>
      <c r="G310" s="305"/>
      <c r="H310" s="292"/>
      <c r="I310" s="574"/>
      <c r="J310" s="573"/>
      <c r="K310" s="307"/>
      <c r="L310" s="292"/>
      <c r="M310" s="308"/>
      <c r="N310" s="292"/>
      <c r="O310" s="308"/>
      <c r="P310" s="575"/>
      <c r="Q310" s="576"/>
      <c r="R310" s="308"/>
      <c r="S310" s="575"/>
      <c r="T310" s="576"/>
      <c r="U310" s="308"/>
      <c r="V310" s="575"/>
      <c r="W310" s="576"/>
      <c r="X310" s="308"/>
      <c r="Y310" s="575"/>
      <c r="Z310" s="576"/>
      <c r="AA310" s="308"/>
      <c r="AB310" s="575"/>
      <c r="AC310" s="576"/>
      <c r="AD310" s="308"/>
      <c r="AE310" s="575"/>
      <c r="AF310" s="308"/>
      <c r="AG310" s="575"/>
      <c r="AH310" s="308"/>
      <c r="AI310" s="575"/>
      <c r="AJ310" s="308"/>
      <c r="AK310" s="305"/>
      <c r="AL310" s="577"/>
      <c r="AM310" s="306"/>
      <c r="AN310" s="308"/>
      <c r="AO310" s="573"/>
      <c r="AP310" s="305"/>
      <c r="AQ310" s="308"/>
      <c r="AR310" s="573"/>
      <c r="AS310" s="578"/>
      <c r="AT310" s="577"/>
      <c r="AU310" s="579"/>
      <c r="AV310" s="578"/>
      <c r="AW310" s="308"/>
      <c r="AX310" s="307"/>
      <c r="AY310" s="307"/>
      <c r="AZ310" s="307"/>
      <c r="BA310" s="307"/>
      <c r="BB310" s="307"/>
      <c r="BC310" s="305"/>
      <c r="BD310" s="292"/>
      <c r="BE310" s="297"/>
      <c r="BF310" s="297"/>
      <c r="BG310" s="569"/>
      <c r="BH310" s="570"/>
      <c r="BI310" s="570"/>
      <c r="BJ310" s="570"/>
      <c r="BK310" s="570"/>
      <c r="BL310" s="570"/>
      <c r="BM310" s="570"/>
      <c r="BN310" s="570"/>
      <c r="BO310" s="570"/>
      <c r="BP310" s="570"/>
      <c r="BQ310" s="570"/>
      <c r="BR310" s="570"/>
      <c r="BS310" s="570"/>
      <c r="BT310" s="570"/>
      <c r="BU310" s="570"/>
      <c r="BV310" s="570"/>
      <c r="BW310" s="570"/>
      <c r="BX310" s="570"/>
      <c r="BY310" s="570"/>
      <c r="BZ310" s="571"/>
      <c r="CA310" s="571"/>
    </row>
    <row r="311" spans="2:79">
      <c r="B311" s="572">
        <v>296</v>
      </c>
      <c r="C311" s="308"/>
      <c r="D311" s="307"/>
      <c r="E311" s="307"/>
      <c r="F311" s="305"/>
      <c r="G311" s="305"/>
      <c r="H311" s="292"/>
      <c r="I311" s="574"/>
      <c r="J311" s="573"/>
      <c r="K311" s="307"/>
      <c r="L311" s="292"/>
      <c r="M311" s="308"/>
      <c r="N311" s="292"/>
      <c r="O311" s="308"/>
      <c r="P311" s="575"/>
      <c r="Q311" s="576"/>
      <c r="R311" s="308"/>
      <c r="S311" s="575"/>
      <c r="T311" s="576"/>
      <c r="U311" s="308"/>
      <c r="V311" s="575"/>
      <c r="W311" s="576"/>
      <c r="X311" s="308"/>
      <c r="Y311" s="575"/>
      <c r="Z311" s="576"/>
      <c r="AA311" s="308"/>
      <c r="AB311" s="575"/>
      <c r="AC311" s="576"/>
      <c r="AD311" s="308"/>
      <c r="AE311" s="575"/>
      <c r="AF311" s="308"/>
      <c r="AG311" s="575"/>
      <c r="AH311" s="308"/>
      <c r="AI311" s="575"/>
      <c r="AJ311" s="308"/>
      <c r="AK311" s="305"/>
      <c r="AL311" s="577"/>
      <c r="AM311" s="306"/>
      <c r="AN311" s="308"/>
      <c r="AO311" s="573"/>
      <c r="AP311" s="305"/>
      <c r="AQ311" s="308"/>
      <c r="AR311" s="573"/>
      <c r="AS311" s="578"/>
      <c r="AT311" s="577"/>
      <c r="AU311" s="579"/>
      <c r="AV311" s="578"/>
      <c r="AW311" s="308"/>
      <c r="AX311" s="307"/>
      <c r="AY311" s="307"/>
      <c r="AZ311" s="307"/>
      <c r="BA311" s="307"/>
      <c r="BB311" s="307"/>
      <c r="BC311" s="305"/>
      <c r="BD311" s="292"/>
      <c r="BE311" s="297"/>
      <c r="BF311" s="297"/>
      <c r="BG311" s="569"/>
      <c r="BH311" s="570"/>
      <c r="BI311" s="570"/>
      <c r="BJ311" s="570"/>
      <c r="BK311" s="570"/>
      <c r="BL311" s="570"/>
      <c r="BM311" s="570"/>
      <c r="BN311" s="570"/>
      <c r="BO311" s="570"/>
      <c r="BP311" s="570"/>
      <c r="BQ311" s="570"/>
      <c r="BR311" s="570"/>
      <c r="BS311" s="570"/>
      <c r="BT311" s="570"/>
      <c r="BU311" s="570"/>
      <c r="BV311" s="570"/>
      <c r="BW311" s="570"/>
      <c r="BX311" s="570"/>
      <c r="BY311" s="570"/>
      <c r="BZ311" s="571"/>
      <c r="CA311" s="571"/>
    </row>
    <row r="312" spans="2:79">
      <c r="B312" s="566">
        <v>297</v>
      </c>
      <c r="C312" s="308"/>
      <c r="D312" s="307"/>
      <c r="E312" s="307"/>
      <c r="F312" s="305"/>
      <c r="G312" s="305"/>
      <c r="H312" s="292"/>
      <c r="I312" s="574"/>
      <c r="J312" s="573"/>
      <c r="K312" s="307"/>
      <c r="L312" s="292"/>
      <c r="M312" s="308"/>
      <c r="N312" s="292"/>
      <c r="O312" s="308"/>
      <c r="P312" s="575"/>
      <c r="Q312" s="576"/>
      <c r="R312" s="308"/>
      <c r="S312" s="575"/>
      <c r="T312" s="576"/>
      <c r="U312" s="308"/>
      <c r="V312" s="575"/>
      <c r="W312" s="576"/>
      <c r="X312" s="308"/>
      <c r="Y312" s="575"/>
      <c r="Z312" s="576"/>
      <c r="AA312" s="308"/>
      <c r="AB312" s="575"/>
      <c r="AC312" s="576"/>
      <c r="AD312" s="308"/>
      <c r="AE312" s="575"/>
      <c r="AF312" s="308"/>
      <c r="AG312" s="575"/>
      <c r="AH312" s="308"/>
      <c r="AI312" s="575"/>
      <c r="AJ312" s="308"/>
      <c r="AK312" s="305"/>
      <c r="AL312" s="577"/>
      <c r="AM312" s="306"/>
      <c r="AN312" s="308"/>
      <c r="AO312" s="573"/>
      <c r="AP312" s="305"/>
      <c r="AQ312" s="308"/>
      <c r="AR312" s="573"/>
      <c r="AS312" s="578"/>
      <c r="AT312" s="577"/>
      <c r="AU312" s="579"/>
      <c r="AV312" s="578"/>
      <c r="AW312" s="308"/>
      <c r="AX312" s="307"/>
      <c r="AY312" s="307"/>
      <c r="AZ312" s="307"/>
      <c r="BA312" s="307"/>
      <c r="BB312" s="307"/>
      <c r="BC312" s="305"/>
      <c r="BD312" s="292"/>
      <c r="BE312" s="297"/>
      <c r="BF312" s="297"/>
      <c r="BG312" s="569"/>
      <c r="BH312" s="570"/>
      <c r="BI312" s="570"/>
      <c r="BJ312" s="570"/>
      <c r="BK312" s="570"/>
      <c r="BL312" s="570"/>
      <c r="BM312" s="570"/>
      <c r="BN312" s="570"/>
      <c r="BO312" s="570"/>
      <c r="BP312" s="570"/>
      <c r="BQ312" s="570"/>
      <c r="BR312" s="570"/>
      <c r="BS312" s="570"/>
      <c r="BT312" s="570"/>
      <c r="BU312" s="570"/>
      <c r="BV312" s="570"/>
      <c r="BW312" s="570"/>
      <c r="BX312" s="570"/>
      <c r="BY312" s="570"/>
      <c r="BZ312" s="571"/>
      <c r="CA312" s="571"/>
    </row>
    <row r="313" spans="2:79">
      <c r="B313" s="572">
        <v>298</v>
      </c>
      <c r="C313" s="308"/>
      <c r="D313" s="307"/>
      <c r="E313" s="307"/>
      <c r="F313" s="305"/>
      <c r="G313" s="305"/>
      <c r="H313" s="292"/>
      <c r="I313" s="574"/>
      <c r="J313" s="573"/>
      <c r="K313" s="307"/>
      <c r="L313" s="292"/>
      <c r="M313" s="308"/>
      <c r="N313" s="292"/>
      <c r="O313" s="308"/>
      <c r="P313" s="575"/>
      <c r="Q313" s="576"/>
      <c r="R313" s="308"/>
      <c r="S313" s="575"/>
      <c r="T313" s="576"/>
      <c r="U313" s="308"/>
      <c r="V313" s="575"/>
      <c r="W313" s="576"/>
      <c r="X313" s="308"/>
      <c r="Y313" s="575"/>
      <c r="Z313" s="576"/>
      <c r="AA313" s="308"/>
      <c r="AB313" s="575"/>
      <c r="AC313" s="576"/>
      <c r="AD313" s="308"/>
      <c r="AE313" s="575"/>
      <c r="AF313" s="308"/>
      <c r="AG313" s="575"/>
      <c r="AH313" s="308"/>
      <c r="AI313" s="575"/>
      <c r="AJ313" s="308"/>
      <c r="AK313" s="305"/>
      <c r="AL313" s="577"/>
      <c r="AM313" s="306"/>
      <c r="AN313" s="308"/>
      <c r="AO313" s="573"/>
      <c r="AP313" s="305"/>
      <c r="AQ313" s="308"/>
      <c r="AR313" s="573"/>
      <c r="AS313" s="578"/>
      <c r="AT313" s="577"/>
      <c r="AU313" s="579"/>
      <c r="AV313" s="578"/>
      <c r="AW313" s="308"/>
      <c r="AX313" s="307"/>
      <c r="AY313" s="307"/>
      <c r="AZ313" s="307"/>
      <c r="BA313" s="307"/>
      <c r="BB313" s="307"/>
      <c r="BC313" s="305"/>
      <c r="BD313" s="292"/>
      <c r="BE313" s="297"/>
      <c r="BF313" s="297"/>
      <c r="BG313" s="569"/>
      <c r="BH313" s="570"/>
      <c r="BI313" s="570"/>
      <c r="BJ313" s="570"/>
      <c r="BK313" s="570"/>
      <c r="BL313" s="570"/>
      <c r="BM313" s="570"/>
      <c r="BN313" s="570"/>
      <c r="BO313" s="570"/>
      <c r="BP313" s="570"/>
      <c r="BQ313" s="570"/>
      <c r="BR313" s="570"/>
      <c r="BS313" s="570"/>
      <c r="BT313" s="570"/>
      <c r="BU313" s="570"/>
      <c r="BV313" s="570"/>
      <c r="BW313" s="570"/>
      <c r="BX313" s="570"/>
      <c r="BY313" s="570"/>
      <c r="BZ313" s="571"/>
      <c r="CA313" s="571"/>
    </row>
    <row r="314" spans="2:79">
      <c r="B314" s="566">
        <v>299</v>
      </c>
      <c r="C314" s="308"/>
      <c r="D314" s="307"/>
      <c r="E314" s="307"/>
      <c r="F314" s="305"/>
      <c r="G314" s="305"/>
      <c r="H314" s="292"/>
      <c r="I314" s="574"/>
      <c r="J314" s="573"/>
      <c r="K314" s="307"/>
      <c r="L314" s="292"/>
      <c r="M314" s="308"/>
      <c r="N314" s="292"/>
      <c r="O314" s="308"/>
      <c r="P314" s="575"/>
      <c r="Q314" s="576"/>
      <c r="R314" s="308"/>
      <c r="S314" s="575"/>
      <c r="T314" s="576"/>
      <c r="U314" s="308"/>
      <c r="V314" s="575"/>
      <c r="W314" s="576"/>
      <c r="X314" s="308"/>
      <c r="Y314" s="575"/>
      <c r="Z314" s="576"/>
      <c r="AA314" s="308"/>
      <c r="AB314" s="575"/>
      <c r="AC314" s="576"/>
      <c r="AD314" s="308"/>
      <c r="AE314" s="575"/>
      <c r="AF314" s="308"/>
      <c r="AG314" s="575"/>
      <c r="AH314" s="308"/>
      <c r="AI314" s="575"/>
      <c r="AJ314" s="308"/>
      <c r="AK314" s="305"/>
      <c r="AL314" s="577"/>
      <c r="AM314" s="306"/>
      <c r="AN314" s="308"/>
      <c r="AO314" s="573"/>
      <c r="AP314" s="305"/>
      <c r="AQ314" s="308"/>
      <c r="AR314" s="573"/>
      <c r="AS314" s="578"/>
      <c r="AT314" s="577"/>
      <c r="AU314" s="579"/>
      <c r="AV314" s="578"/>
      <c r="AW314" s="308"/>
      <c r="AX314" s="307"/>
      <c r="AY314" s="307"/>
      <c r="AZ314" s="307"/>
      <c r="BA314" s="307"/>
      <c r="BB314" s="307"/>
      <c r="BC314" s="305"/>
      <c r="BD314" s="292"/>
      <c r="BE314" s="297"/>
      <c r="BF314" s="297"/>
      <c r="BG314" s="569"/>
      <c r="BH314" s="570"/>
      <c r="BI314" s="570"/>
      <c r="BJ314" s="570"/>
      <c r="BK314" s="570"/>
      <c r="BL314" s="570"/>
      <c r="BM314" s="570"/>
      <c r="BN314" s="570"/>
      <c r="BO314" s="570"/>
      <c r="BP314" s="570"/>
      <c r="BQ314" s="570"/>
      <c r="BR314" s="570"/>
      <c r="BS314" s="570"/>
      <c r="BT314" s="570"/>
      <c r="BU314" s="570"/>
      <c r="BV314" s="570"/>
      <c r="BW314" s="570"/>
      <c r="BX314" s="570"/>
      <c r="BY314" s="570"/>
      <c r="BZ314" s="571"/>
      <c r="CA314" s="571"/>
    </row>
    <row r="315" spans="2:79">
      <c r="B315" s="572">
        <v>300</v>
      </c>
      <c r="C315" s="308"/>
      <c r="D315" s="307"/>
      <c r="E315" s="307"/>
      <c r="F315" s="305"/>
      <c r="G315" s="305"/>
      <c r="H315" s="292"/>
      <c r="I315" s="574"/>
      <c r="J315" s="573"/>
      <c r="K315" s="307"/>
      <c r="L315" s="292"/>
      <c r="M315" s="308"/>
      <c r="N315" s="292"/>
      <c r="O315" s="308"/>
      <c r="P315" s="575"/>
      <c r="Q315" s="576"/>
      <c r="R315" s="308"/>
      <c r="S315" s="575"/>
      <c r="T315" s="576"/>
      <c r="U315" s="308"/>
      <c r="V315" s="575"/>
      <c r="W315" s="576"/>
      <c r="X315" s="308"/>
      <c r="Y315" s="575"/>
      <c r="Z315" s="576"/>
      <c r="AA315" s="308"/>
      <c r="AB315" s="575"/>
      <c r="AC315" s="576"/>
      <c r="AD315" s="308"/>
      <c r="AE315" s="575"/>
      <c r="AF315" s="308"/>
      <c r="AG315" s="575"/>
      <c r="AH315" s="308"/>
      <c r="AI315" s="575"/>
      <c r="AJ315" s="308"/>
      <c r="AK315" s="305"/>
      <c r="AL315" s="577"/>
      <c r="AM315" s="306"/>
      <c r="AN315" s="308"/>
      <c r="AO315" s="573"/>
      <c r="AP315" s="305"/>
      <c r="AQ315" s="308"/>
      <c r="AR315" s="573"/>
      <c r="AS315" s="578"/>
      <c r="AT315" s="577"/>
      <c r="AU315" s="579"/>
      <c r="AV315" s="578"/>
      <c r="AW315" s="308"/>
      <c r="AX315" s="307"/>
      <c r="AY315" s="307"/>
      <c r="AZ315" s="307"/>
      <c r="BA315" s="307"/>
      <c r="BB315" s="307"/>
      <c r="BC315" s="305"/>
      <c r="BD315" s="292"/>
      <c r="BE315" s="297"/>
      <c r="BF315" s="297"/>
      <c r="BG315" s="569"/>
      <c r="BH315" s="570"/>
      <c r="BI315" s="570"/>
      <c r="BJ315" s="570"/>
      <c r="BK315" s="570"/>
      <c r="BL315" s="570"/>
      <c r="BM315" s="570"/>
      <c r="BN315" s="570"/>
      <c r="BO315" s="570"/>
      <c r="BP315" s="570"/>
      <c r="BQ315" s="570"/>
      <c r="BR315" s="570"/>
      <c r="BS315" s="570"/>
      <c r="BT315" s="570"/>
      <c r="BU315" s="570"/>
      <c r="BV315" s="570"/>
      <c r="BW315" s="570"/>
      <c r="BX315" s="570"/>
      <c r="BY315" s="570"/>
      <c r="BZ315" s="571"/>
      <c r="CA315" s="571"/>
    </row>
    <row r="316" spans="2:79">
      <c r="B316" s="566">
        <v>301</v>
      </c>
      <c r="C316" s="308"/>
      <c r="D316" s="307"/>
      <c r="E316" s="307"/>
      <c r="F316" s="305"/>
      <c r="G316" s="305"/>
      <c r="H316" s="292"/>
      <c r="I316" s="574"/>
      <c r="J316" s="573"/>
      <c r="K316" s="307"/>
      <c r="L316" s="292"/>
      <c r="M316" s="308"/>
      <c r="N316" s="292"/>
      <c r="O316" s="308"/>
      <c r="P316" s="575"/>
      <c r="Q316" s="576"/>
      <c r="R316" s="308"/>
      <c r="S316" s="575"/>
      <c r="T316" s="576"/>
      <c r="U316" s="308"/>
      <c r="V316" s="575"/>
      <c r="W316" s="576"/>
      <c r="X316" s="308"/>
      <c r="Y316" s="575"/>
      <c r="Z316" s="576"/>
      <c r="AA316" s="308"/>
      <c r="AB316" s="575"/>
      <c r="AC316" s="576"/>
      <c r="AD316" s="308"/>
      <c r="AE316" s="575"/>
      <c r="AF316" s="308"/>
      <c r="AG316" s="575"/>
      <c r="AH316" s="308"/>
      <c r="AI316" s="575"/>
      <c r="AJ316" s="308"/>
      <c r="AK316" s="305"/>
      <c r="AL316" s="577"/>
      <c r="AM316" s="306"/>
      <c r="AN316" s="308"/>
      <c r="AO316" s="573"/>
      <c r="AP316" s="305"/>
      <c r="AQ316" s="308"/>
      <c r="AR316" s="573"/>
      <c r="AS316" s="578"/>
      <c r="AT316" s="577"/>
      <c r="AU316" s="579"/>
      <c r="AV316" s="578"/>
      <c r="AW316" s="308"/>
      <c r="AX316" s="307"/>
      <c r="AY316" s="307"/>
      <c r="AZ316" s="307"/>
      <c r="BA316" s="307"/>
      <c r="BB316" s="307"/>
      <c r="BC316" s="305"/>
      <c r="BD316" s="292"/>
      <c r="BE316" s="297"/>
      <c r="BF316" s="297"/>
      <c r="BG316" s="569"/>
      <c r="BH316" s="570"/>
      <c r="BI316" s="570"/>
      <c r="BJ316" s="570"/>
      <c r="BK316" s="570"/>
      <c r="BL316" s="570"/>
      <c r="BM316" s="570"/>
      <c r="BN316" s="570"/>
      <c r="BO316" s="570"/>
      <c r="BP316" s="570"/>
      <c r="BQ316" s="570"/>
      <c r="BR316" s="570"/>
      <c r="BS316" s="570"/>
      <c r="BT316" s="570"/>
      <c r="BU316" s="570"/>
      <c r="BV316" s="570"/>
      <c r="BW316" s="570"/>
      <c r="BX316" s="570"/>
      <c r="BY316" s="570"/>
      <c r="BZ316" s="571"/>
      <c r="CA316" s="571"/>
    </row>
    <row r="317" spans="2:79">
      <c r="B317" s="572">
        <v>302</v>
      </c>
      <c r="C317" s="308"/>
      <c r="D317" s="307"/>
      <c r="E317" s="307"/>
      <c r="F317" s="305"/>
      <c r="G317" s="305"/>
      <c r="H317" s="292"/>
      <c r="I317" s="574"/>
      <c r="J317" s="573"/>
      <c r="K317" s="307"/>
      <c r="L317" s="292"/>
      <c r="M317" s="308"/>
      <c r="N317" s="292"/>
      <c r="O317" s="308"/>
      <c r="P317" s="575"/>
      <c r="Q317" s="576"/>
      <c r="R317" s="308"/>
      <c r="S317" s="575"/>
      <c r="T317" s="576"/>
      <c r="U317" s="308"/>
      <c r="V317" s="575"/>
      <c r="W317" s="576"/>
      <c r="X317" s="308"/>
      <c r="Y317" s="575"/>
      <c r="Z317" s="576"/>
      <c r="AA317" s="308"/>
      <c r="AB317" s="575"/>
      <c r="AC317" s="576"/>
      <c r="AD317" s="308"/>
      <c r="AE317" s="575"/>
      <c r="AF317" s="308"/>
      <c r="AG317" s="575"/>
      <c r="AH317" s="308"/>
      <c r="AI317" s="575"/>
      <c r="AJ317" s="308"/>
      <c r="AK317" s="305"/>
      <c r="AL317" s="577"/>
      <c r="AM317" s="306"/>
      <c r="AN317" s="308"/>
      <c r="AO317" s="573"/>
      <c r="AP317" s="305"/>
      <c r="AQ317" s="308"/>
      <c r="AR317" s="573"/>
      <c r="AS317" s="578"/>
      <c r="AT317" s="577"/>
      <c r="AU317" s="579"/>
      <c r="AV317" s="578"/>
      <c r="AW317" s="308"/>
      <c r="AX317" s="307"/>
      <c r="AY317" s="307"/>
      <c r="AZ317" s="307"/>
      <c r="BA317" s="307"/>
      <c r="BB317" s="307"/>
      <c r="BC317" s="305"/>
      <c r="BD317" s="292"/>
      <c r="BE317" s="297"/>
      <c r="BF317" s="297"/>
      <c r="BG317" s="569"/>
      <c r="BH317" s="570"/>
      <c r="BI317" s="570"/>
      <c r="BJ317" s="570"/>
      <c r="BK317" s="570"/>
      <c r="BL317" s="570"/>
      <c r="BM317" s="570"/>
      <c r="BN317" s="570"/>
      <c r="BO317" s="570"/>
      <c r="BP317" s="570"/>
      <c r="BQ317" s="570"/>
      <c r="BR317" s="570"/>
      <c r="BS317" s="570"/>
      <c r="BT317" s="570"/>
      <c r="BU317" s="570"/>
      <c r="BV317" s="570"/>
      <c r="BW317" s="570"/>
      <c r="BX317" s="570"/>
      <c r="BY317" s="570"/>
      <c r="BZ317" s="571"/>
      <c r="CA317" s="571"/>
    </row>
    <row r="318" spans="2:79">
      <c r="B318" s="566">
        <v>303</v>
      </c>
      <c r="C318" s="308"/>
      <c r="D318" s="307"/>
      <c r="E318" s="307"/>
      <c r="F318" s="305"/>
      <c r="G318" s="305"/>
      <c r="H318" s="292"/>
      <c r="I318" s="574"/>
      <c r="J318" s="573"/>
      <c r="K318" s="307"/>
      <c r="L318" s="292"/>
      <c r="M318" s="308"/>
      <c r="N318" s="292"/>
      <c r="O318" s="308"/>
      <c r="P318" s="575"/>
      <c r="Q318" s="576"/>
      <c r="R318" s="308"/>
      <c r="S318" s="575"/>
      <c r="T318" s="576"/>
      <c r="U318" s="308"/>
      <c r="V318" s="575"/>
      <c r="W318" s="576"/>
      <c r="X318" s="308"/>
      <c r="Y318" s="575"/>
      <c r="Z318" s="576"/>
      <c r="AA318" s="308"/>
      <c r="AB318" s="575"/>
      <c r="AC318" s="576"/>
      <c r="AD318" s="308"/>
      <c r="AE318" s="575"/>
      <c r="AF318" s="308"/>
      <c r="AG318" s="575"/>
      <c r="AH318" s="308"/>
      <c r="AI318" s="575"/>
      <c r="AJ318" s="308"/>
      <c r="AK318" s="305"/>
      <c r="AL318" s="577"/>
      <c r="AM318" s="306"/>
      <c r="AN318" s="308"/>
      <c r="AO318" s="573"/>
      <c r="AP318" s="305"/>
      <c r="AQ318" s="308"/>
      <c r="AR318" s="573"/>
      <c r="AS318" s="578"/>
      <c r="AT318" s="577"/>
      <c r="AU318" s="579"/>
      <c r="AV318" s="578"/>
      <c r="AW318" s="308"/>
      <c r="AX318" s="307"/>
      <c r="AY318" s="307"/>
      <c r="AZ318" s="307"/>
      <c r="BA318" s="307"/>
      <c r="BB318" s="307"/>
      <c r="BC318" s="305"/>
      <c r="BD318" s="292"/>
      <c r="BE318" s="297"/>
      <c r="BF318" s="297"/>
      <c r="BG318" s="569"/>
      <c r="BH318" s="570"/>
      <c r="BI318" s="570"/>
      <c r="BJ318" s="570"/>
      <c r="BK318" s="570"/>
      <c r="BL318" s="570"/>
      <c r="BM318" s="570"/>
      <c r="BN318" s="570"/>
      <c r="BO318" s="570"/>
      <c r="BP318" s="570"/>
      <c r="BQ318" s="570"/>
      <c r="BR318" s="570"/>
      <c r="BS318" s="570"/>
      <c r="BT318" s="570"/>
      <c r="BU318" s="570"/>
      <c r="BV318" s="570"/>
      <c r="BW318" s="570"/>
      <c r="BX318" s="570"/>
      <c r="BY318" s="570"/>
      <c r="BZ318" s="571"/>
      <c r="CA318" s="571"/>
    </row>
    <row r="319" spans="2:79">
      <c r="B319" s="572">
        <v>304</v>
      </c>
      <c r="C319" s="308"/>
      <c r="D319" s="307"/>
      <c r="E319" s="307"/>
      <c r="F319" s="305"/>
      <c r="G319" s="305"/>
      <c r="H319" s="292"/>
      <c r="I319" s="574"/>
      <c r="J319" s="573"/>
      <c r="K319" s="307"/>
      <c r="L319" s="292"/>
      <c r="M319" s="308"/>
      <c r="N319" s="292"/>
      <c r="O319" s="308"/>
      <c r="P319" s="575"/>
      <c r="Q319" s="576"/>
      <c r="R319" s="308"/>
      <c r="S319" s="575"/>
      <c r="T319" s="576"/>
      <c r="U319" s="308"/>
      <c r="V319" s="575"/>
      <c r="W319" s="576"/>
      <c r="X319" s="308"/>
      <c r="Y319" s="575"/>
      <c r="Z319" s="576"/>
      <c r="AA319" s="308"/>
      <c r="AB319" s="575"/>
      <c r="AC319" s="576"/>
      <c r="AD319" s="308"/>
      <c r="AE319" s="575"/>
      <c r="AF319" s="308"/>
      <c r="AG319" s="575"/>
      <c r="AH319" s="308"/>
      <c r="AI319" s="575"/>
      <c r="AJ319" s="308"/>
      <c r="AK319" s="305"/>
      <c r="AL319" s="577"/>
      <c r="AM319" s="306"/>
      <c r="AN319" s="308"/>
      <c r="AO319" s="573"/>
      <c r="AP319" s="305"/>
      <c r="AQ319" s="308"/>
      <c r="AR319" s="573"/>
      <c r="AS319" s="578"/>
      <c r="AT319" s="577"/>
      <c r="AU319" s="579"/>
      <c r="AV319" s="578"/>
      <c r="AW319" s="308"/>
      <c r="AX319" s="307"/>
      <c r="AY319" s="307"/>
      <c r="AZ319" s="307"/>
      <c r="BA319" s="307"/>
      <c r="BB319" s="307"/>
      <c r="BC319" s="305"/>
      <c r="BD319" s="292"/>
      <c r="BE319" s="297"/>
      <c r="BF319" s="297"/>
      <c r="BG319" s="569"/>
      <c r="BH319" s="570"/>
      <c r="BI319" s="570"/>
      <c r="BJ319" s="570"/>
      <c r="BK319" s="570"/>
      <c r="BL319" s="570"/>
      <c r="BM319" s="570"/>
      <c r="BN319" s="570"/>
      <c r="BO319" s="570"/>
      <c r="BP319" s="570"/>
      <c r="BQ319" s="570"/>
      <c r="BR319" s="570"/>
      <c r="BS319" s="570"/>
      <c r="BT319" s="570"/>
      <c r="BU319" s="570"/>
      <c r="BV319" s="570"/>
      <c r="BW319" s="570"/>
      <c r="BX319" s="570"/>
      <c r="BY319" s="570"/>
      <c r="BZ319" s="571"/>
      <c r="CA319" s="571"/>
    </row>
    <row r="320" spans="2:79">
      <c r="B320" s="566">
        <v>305</v>
      </c>
      <c r="C320" s="308"/>
      <c r="D320" s="307"/>
      <c r="E320" s="307"/>
      <c r="F320" s="305"/>
      <c r="G320" s="305"/>
      <c r="H320" s="292"/>
      <c r="I320" s="574"/>
      <c r="J320" s="573"/>
      <c r="K320" s="307"/>
      <c r="L320" s="292"/>
      <c r="M320" s="308"/>
      <c r="N320" s="292"/>
      <c r="O320" s="308"/>
      <c r="P320" s="575"/>
      <c r="Q320" s="576"/>
      <c r="R320" s="308"/>
      <c r="S320" s="575"/>
      <c r="T320" s="576"/>
      <c r="U320" s="308"/>
      <c r="V320" s="575"/>
      <c r="W320" s="576"/>
      <c r="X320" s="308"/>
      <c r="Y320" s="575"/>
      <c r="Z320" s="576"/>
      <c r="AA320" s="308"/>
      <c r="AB320" s="575"/>
      <c r="AC320" s="576"/>
      <c r="AD320" s="308"/>
      <c r="AE320" s="575"/>
      <c r="AF320" s="308"/>
      <c r="AG320" s="575"/>
      <c r="AH320" s="308"/>
      <c r="AI320" s="575"/>
      <c r="AJ320" s="308"/>
      <c r="AK320" s="305"/>
      <c r="AL320" s="577"/>
      <c r="AM320" s="306"/>
      <c r="AN320" s="308"/>
      <c r="AO320" s="573"/>
      <c r="AP320" s="305"/>
      <c r="AQ320" s="308"/>
      <c r="AR320" s="573"/>
      <c r="AS320" s="578"/>
      <c r="AT320" s="577"/>
      <c r="AU320" s="579"/>
      <c r="AV320" s="578"/>
      <c r="AW320" s="308"/>
      <c r="AX320" s="307"/>
      <c r="AY320" s="307"/>
      <c r="AZ320" s="307"/>
      <c r="BA320" s="307"/>
      <c r="BB320" s="307"/>
      <c r="BC320" s="305"/>
      <c r="BD320" s="292"/>
      <c r="BE320" s="297"/>
      <c r="BF320" s="297"/>
      <c r="BG320" s="569"/>
      <c r="BH320" s="570"/>
      <c r="BI320" s="570"/>
      <c r="BJ320" s="570"/>
      <c r="BK320" s="570"/>
      <c r="BL320" s="570"/>
      <c r="BM320" s="570"/>
      <c r="BN320" s="570"/>
      <c r="BO320" s="570"/>
      <c r="BP320" s="570"/>
      <c r="BQ320" s="570"/>
      <c r="BR320" s="570"/>
      <c r="BS320" s="570"/>
      <c r="BT320" s="570"/>
      <c r="BU320" s="570"/>
      <c r="BV320" s="570"/>
      <c r="BW320" s="570"/>
      <c r="BX320" s="570"/>
      <c r="BY320" s="570"/>
      <c r="BZ320" s="571"/>
      <c r="CA320" s="571"/>
    </row>
    <row r="321" spans="2:79">
      <c r="B321" s="572">
        <v>306</v>
      </c>
      <c r="C321" s="308"/>
      <c r="D321" s="307"/>
      <c r="E321" s="307"/>
      <c r="F321" s="305"/>
      <c r="G321" s="305"/>
      <c r="H321" s="292"/>
      <c r="I321" s="574"/>
      <c r="J321" s="573"/>
      <c r="K321" s="307"/>
      <c r="L321" s="292"/>
      <c r="M321" s="308"/>
      <c r="N321" s="292"/>
      <c r="O321" s="308"/>
      <c r="P321" s="575"/>
      <c r="Q321" s="576"/>
      <c r="R321" s="308"/>
      <c r="S321" s="575"/>
      <c r="T321" s="576"/>
      <c r="U321" s="308"/>
      <c r="V321" s="575"/>
      <c r="W321" s="576"/>
      <c r="X321" s="308"/>
      <c r="Y321" s="575"/>
      <c r="Z321" s="576"/>
      <c r="AA321" s="308"/>
      <c r="AB321" s="575"/>
      <c r="AC321" s="576"/>
      <c r="AD321" s="308"/>
      <c r="AE321" s="575"/>
      <c r="AF321" s="308"/>
      <c r="AG321" s="575"/>
      <c r="AH321" s="308"/>
      <c r="AI321" s="575"/>
      <c r="AJ321" s="308"/>
      <c r="AK321" s="305"/>
      <c r="AL321" s="577"/>
      <c r="AM321" s="306"/>
      <c r="AN321" s="308"/>
      <c r="AO321" s="573"/>
      <c r="AP321" s="305"/>
      <c r="AQ321" s="308"/>
      <c r="AR321" s="573"/>
      <c r="AS321" s="578"/>
      <c r="AT321" s="577"/>
      <c r="AU321" s="579"/>
      <c r="AV321" s="578"/>
      <c r="AW321" s="308"/>
      <c r="AX321" s="307"/>
      <c r="AY321" s="307"/>
      <c r="AZ321" s="307"/>
      <c r="BA321" s="307"/>
      <c r="BB321" s="307"/>
      <c r="BC321" s="305"/>
      <c r="BD321" s="292"/>
      <c r="BE321" s="297"/>
      <c r="BF321" s="297"/>
      <c r="BG321" s="569"/>
      <c r="BH321" s="570"/>
      <c r="BI321" s="570"/>
      <c r="BJ321" s="570"/>
      <c r="BK321" s="570"/>
      <c r="BL321" s="570"/>
      <c r="BM321" s="570"/>
      <c r="BN321" s="570"/>
      <c r="BO321" s="570"/>
      <c r="BP321" s="570"/>
      <c r="BQ321" s="570"/>
      <c r="BR321" s="570"/>
      <c r="BS321" s="570"/>
      <c r="BT321" s="570"/>
      <c r="BU321" s="570"/>
      <c r="BV321" s="570"/>
      <c r="BW321" s="570"/>
      <c r="BX321" s="570"/>
      <c r="BY321" s="570"/>
      <c r="BZ321" s="571"/>
      <c r="CA321" s="571"/>
    </row>
    <row r="322" spans="2:79">
      <c r="B322" s="566">
        <v>307</v>
      </c>
      <c r="C322" s="308"/>
      <c r="D322" s="307"/>
      <c r="E322" s="307"/>
      <c r="F322" s="305"/>
      <c r="G322" s="305"/>
      <c r="H322" s="292"/>
      <c r="I322" s="574"/>
      <c r="J322" s="573"/>
      <c r="K322" s="307"/>
      <c r="L322" s="292"/>
      <c r="M322" s="308"/>
      <c r="N322" s="292"/>
      <c r="O322" s="308"/>
      <c r="P322" s="575"/>
      <c r="Q322" s="576"/>
      <c r="R322" s="308"/>
      <c r="S322" s="575"/>
      <c r="T322" s="576"/>
      <c r="U322" s="308"/>
      <c r="V322" s="575"/>
      <c r="W322" s="576"/>
      <c r="X322" s="308"/>
      <c r="Y322" s="575"/>
      <c r="Z322" s="576"/>
      <c r="AA322" s="308"/>
      <c r="AB322" s="575"/>
      <c r="AC322" s="576"/>
      <c r="AD322" s="308"/>
      <c r="AE322" s="575"/>
      <c r="AF322" s="308"/>
      <c r="AG322" s="575"/>
      <c r="AH322" s="308"/>
      <c r="AI322" s="575"/>
      <c r="AJ322" s="308"/>
      <c r="AK322" s="305"/>
      <c r="AL322" s="577"/>
      <c r="AM322" s="306"/>
      <c r="AN322" s="308"/>
      <c r="AO322" s="573"/>
      <c r="AP322" s="305"/>
      <c r="AQ322" s="308"/>
      <c r="AR322" s="573"/>
      <c r="AS322" s="578"/>
      <c r="AT322" s="577"/>
      <c r="AU322" s="579"/>
      <c r="AV322" s="578"/>
      <c r="AW322" s="308"/>
      <c r="AX322" s="307"/>
      <c r="AY322" s="307"/>
      <c r="AZ322" s="307"/>
      <c r="BA322" s="307"/>
      <c r="BB322" s="307"/>
      <c r="BC322" s="305"/>
      <c r="BD322" s="292"/>
      <c r="BE322" s="297"/>
      <c r="BF322" s="297"/>
      <c r="BG322" s="569"/>
      <c r="BH322" s="570"/>
      <c r="BI322" s="570"/>
      <c r="BJ322" s="570"/>
      <c r="BK322" s="570"/>
      <c r="BL322" s="570"/>
      <c r="BM322" s="570"/>
      <c r="BN322" s="570"/>
      <c r="BO322" s="570"/>
      <c r="BP322" s="570"/>
      <c r="BQ322" s="570"/>
      <c r="BR322" s="570"/>
      <c r="BS322" s="570"/>
      <c r="BT322" s="570"/>
      <c r="BU322" s="570"/>
      <c r="BV322" s="570"/>
      <c r="BW322" s="570"/>
      <c r="BX322" s="570"/>
      <c r="BY322" s="570"/>
      <c r="BZ322" s="571"/>
      <c r="CA322" s="571"/>
    </row>
    <row r="323" spans="2:79">
      <c r="B323" s="572">
        <v>308</v>
      </c>
      <c r="C323" s="308"/>
      <c r="D323" s="307"/>
      <c r="E323" s="307"/>
      <c r="F323" s="305"/>
      <c r="G323" s="305"/>
      <c r="H323" s="292"/>
      <c r="I323" s="574"/>
      <c r="J323" s="573"/>
      <c r="K323" s="307"/>
      <c r="L323" s="292"/>
      <c r="M323" s="308"/>
      <c r="N323" s="292"/>
      <c r="O323" s="308"/>
      <c r="P323" s="575"/>
      <c r="Q323" s="576"/>
      <c r="R323" s="308"/>
      <c r="S323" s="575"/>
      <c r="T323" s="576"/>
      <c r="U323" s="308"/>
      <c r="V323" s="575"/>
      <c r="W323" s="576"/>
      <c r="X323" s="308"/>
      <c r="Y323" s="575"/>
      <c r="Z323" s="576"/>
      <c r="AA323" s="308"/>
      <c r="AB323" s="575"/>
      <c r="AC323" s="576"/>
      <c r="AD323" s="308"/>
      <c r="AE323" s="575"/>
      <c r="AF323" s="308"/>
      <c r="AG323" s="575"/>
      <c r="AH323" s="308"/>
      <c r="AI323" s="575"/>
      <c r="AJ323" s="308"/>
      <c r="AK323" s="305"/>
      <c r="AL323" s="577"/>
      <c r="AM323" s="306"/>
      <c r="AN323" s="308"/>
      <c r="AO323" s="573"/>
      <c r="AP323" s="305"/>
      <c r="AQ323" s="308"/>
      <c r="AR323" s="573"/>
      <c r="AS323" s="578"/>
      <c r="AT323" s="577"/>
      <c r="AU323" s="579"/>
      <c r="AV323" s="578"/>
      <c r="AW323" s="308"/>
      <c r="AX323" s="307"/>
      <c r="AY323" s="307"/>
      <c r="AZ323" s="307"/>
      <c r="BA323" s="307"/>
      <c r="BB323" s="307"/>
      <c r="BC323" s="305"/>
      <c r="BD323" s="292"/>
      <c r="BE323" s="297"/>
      <c r="BF323" s="297"/>
      <c r="BG323" s="569"/>
      <c r="BH323" s="570"/>
      <c r="BI323" s="570"/>
      <c r="BJ323" s="570"/>
      <c r="BK323" s="570"/>
      <c r="BL323" s="570"/>
      <c r="BM323" s="570"/>
      <c r="BN323" s="570"/>
      <c r="BO323" s="570"/>
      <c r="BP323" s="570"/>
      <c r="BQ323" s="570"/>
      <c r="BR323" s="570"/>
      <c r="BS323" s="570"/>
      <c r="BT323" s="570"/>
      <c r="BU323" s="570"/>
      <c r="BV323" s="570"/>
      <c r="BW323" s="570"/>
      <c r="BX323" s="570"/>
      <c r="BY323" s="570"/>
      <c r="BZ323" s="571"/>
      <c r="CA323" s="571"/>
    </row>
    <row r="324" spans="2:79">
      <c r="B324" s="566">
        <v>309</v>
      </c>
      <c r="C324" s="308"/>
      <c r="D324" s="307"/>
      <c r="E324" s="307"/>
      <c r="F324" s="305"/>
      <c r="G324" s="305"/>
      <c r="H324" s="292"/>
      <c r="I324" s="574"/>
      <c r="J324" s="573"/>
      <c r="K324" s="307"/>
      <c r="L324" s="292"/>
      <c r="M324" s="308"/>
      <c r="N324" s="292"/>
      <c r="O324" s="308"/>
      <c r="P324" s="575"/>
      <c r="Q324" s="576"/>
      <c r="R324" s="308"/>
      <c r="S324" s="575"/>
      <c r="T324" s="576"/>
      <c r="U324" s="308"/>
      <c r="V324" s="575"/>
      <c r="W324" s="576"/>
      <c r="X324" s="308"/>
      <c r="Y324" s="575"/>
      <c r="Z324" s="576"/>
      <c r="AA324" s="308"/>
      <c r="AB324" s="575"/>
      <c r="AC324" s="576"/>
      <c r="AD324" s="308"/>
      <c r="AE324" s="575"/>
      <c r="AF324" s="308"/>
      <c r="AG324" s="575"/>
      <c r="AH324" s="308"/>
      <c r="AI324" s="575"/>
      <c r="AJ324" s="308"/>
      <c r="AK324" s="305"/>
      <c r="AL324" s="577"/>
      <c r="AM324" s="306"/>
      <c r="AN324" s="308"/>
      <c r="AO324" s="573"/>
      <c r="AP324" s="305"/>
      <c r="AQ324" s="308"/>
      <c r="AR324" s="573"/>
      <c r="AS324" s="578"/>
      <c r="AT324" s="577"/>
      <c r="AU324" s="579"/>
      <c r="AV324" s="578"/>
      <c r="AW324" s="308"/>
      <c r="AX324" s="307"/>
      <c r="AY324" s="307"/>
      <c r="AZ324" s="307"/>
      <c r="BA324" s="307"/>
      <c r="BB324" s="307"/>
      <c r="BC324" s="305"/>
      <c r="BD324" s="292"/>
      <c r="BE324" s="297"/>
      <c r="BF324" s="297"/>
      <c r="BG324" s="569"/>
      <c r="BH324" s="570"/>
      <c r="BI324" s="570"/>
      <c r="BJ324" s="570"/>
      <c r="BK324" s="570"/>
      <c r="BL324" s="570"/>
      <c r="BM324" s="570"/>
      <c r="BN324" s="570"/>
      <c r="BO324" s="570"/>
      <c r="BP324" s="570"/>
      <c r="BQ324" s="570"/>
      <c r="BR324" s="570"/>
      <c r="BS324" s="570"/>
      <c r="BT324" s="570"/>
      <c r="BU324" s="570"/>
      <c r="BV324" s="570"/>
      <c r="BW324" s="570"/>
      <c r="BX324" s="570"/>
      <c r="BY324" s="570"/>
      <c r="BZ324" s="571"/>
      <c r="CA324" s="571"/>
    </row>
    <row r="325" spans="2:79">
      <c r="B325" s="572">
        <v>310</v>
      </c>
      <c r="C325" s="308"/>
      <c r="D325" s="307"/>
      <c r="E325" s="307"/>
      <c r="F325" s="305"/>
      <c r="G325" s="305"/>
      <c r="H325" s="292"/>
      <c r="I325" s="574"/>
      <c r="J325" s="573"/>
      <c r="K325" s="307"/>
      <c r="L325" s="292"/>
      <c r="M325" s="308"/>
      <c r="N325" s="292"/>
      <c r="O325" s="308"/>
      <c r="P325" s="575"/>
      <c r="Q325" s="576"/>
      <c r="R325" s="308"/>
      <c r="S325" s="575"/>
      <c r="T325" s="576"/>
      <c r="U325" s="308"/>
      <c r="V325" s="575"/>
      <c r="W325" s="576"/>
      <c r="X325" s="308"/>
      <c r="Y325" s="575"/>
      <c r="Z325" s="576"/>
      <c r="AA325" s="308"/>
      <c r="AB325" s="575"/>
      <c r="AC325" s="576"/>
      <c r="AD325" s="308"/>
      <c r="AE325" s="575"/>
      <c r="AF325" s="308"/>
      <c r="AG325" s="575"/>
      <c r="AH325" s="308"/>
      <c r="AI325" s="575"/>
      <c r="AJ325" s="308"/>
      <c r="AK325" s="305"/>
      <c r="AL325" s="577"/>
      <c r="AM325" s="306"/>
      <c r="AN325" s="308"/>
      <c r="AO325" s="573"/>
      <c r="AP325" s="305"/>
      <c r="AQ325" s="308"/>
      <c r="AR325" s="573"/>
      <c r="AS325" s="578"/>
      <c r="AT325" s="577"/>
      <c r="AU325" s="579"/>
      <c r="AV325" s="578"/>
      <c r="AW325" s="308"/>
      <c r="AX325" s="307"/>
      <c r="AY325" s="307"/>
      <c r="AZ325" s="307"/>
      <c r="BA325" s="307"/>
      <c r="BB325" s="307"/>
      <c r="BC325" s="305"/>
      <c r="BD325" s="292"/>
      <c r="BE325" s="297"/>
      <c r="BF325" s="297"/>
      <c r="BG325" s="569"/>
      <c r="BH325" s="570"/>
      <c r="BI325" s="570"/>
      <c r="BJ325" s="570"/>
      <c r="BK325" s="570"/>
      <c r="BL325" s="570"/>
      <c r="BM325" s="570"/>
      <c r="BN325" s="570"/>
      <c r="BO325" s="570"/>
      <c r="BP325" s="570"/>
      <c r="BQ325" s="570"/>
      <c r="BR325" s="570"/>
      <c r="BS325" s="570"/>
      <c r="BT325" s="570"/>
      <c r="BU325" s="570"/>
      <c r="BV325" s="570"/>
      <c r="BW325" s="570"/>
      <c r="BX325" s="570"/>
      <c r="BY325" s="570"/>
      <c r="BZ325" s="571"/>
      <c r="CA325" s="571"/>
    </row>
    <row r="326" spans="2:79">
      <c r="B326" s="566">
        <v>311</v>
      </c>
      <c r="C326" s="308"/>
      <c r="D326" s="307"/>
      <c r="E326" s="307"/>
      <c r="F326" s="305"/>
      <c r="G326" s="305"/>
      <c r="H326" s="292"/>
      <c r="I326" s="574"/>
      <c r="J326" s="573"/>
      <c r="K326" s="307"/>
      <c r="L326" s="292"/>
      <c r="M326" s="308"/>
      <c r="N326" s="292"/>
      <c r="O326" s="308"/>
      <c r="P326" s="575"/>
      <c r="Q326" s="576"/>
      <c r="R326" s="308"/>
      <c r="S326" s="575"/>
      <c r="T326" s="576"/>
      <c r="U326" s="308"/>
      <c r="V326" s="575"/>
      <c r="W326" s="576"/>
      <c r="X326" s="308"/>
      <c r="Y326" s="575"/>
      <c r="Z326" s="576"/>
      <c r="AA326" s="308"/>
      <c r="AB326" s="575"/>
      <c r="AC326" s="576"/>
      <c r="AD326" s="308"/>
      <c r="AE326" s="575"/>
      <c r="AF326" s="308"/>
      <c r="AG326" s="575"/>
      <c r="AH326" s="308"/>
      <c r="AI326" s="575"/>
      <c r="AJ326" s="308"/>
      <c r="AK326" s="305"/>
      <c r="AL326" s="577"/>
      <c r="AM326" s="306"/>
      <c r="AN326" s="308"/>
      <c r="AO326" s="573"/>
      <c r="AP326" s="305"/>
      <c r="AQ326" s="308"/>
      <c r="AR326" s="573"/>
      <c r="AS326" s="578"/>
      <c r="AT326" s="577"/>
      <c r="AU326" s="579"/>
      <c r="AV326" s="578"/>
      <c r="AW326" s="308"/>
      <c r="AX326" s="307"/>
      <c r="AY326" s="307"/>
      <c r="AZ326" s="307"/>
      <c r="BA326" s="307"/>
      <c r="BB326" s="307"/>
      <c r="BC326" s="305"/>
      <c r="BD326" s="292"/>
      <c r="BE326" s="297"/>
      <c r="BF326" s="297"/>
      <c r="BG326" s="569"/>
      <c r="BH326" s="570"/>
      <c r="BI326" s="570"/>
      <c r="BJ326" s="570"/>
      <c r="BK326" s="570"/>
      <c r="BL326" s="570"/>
      <c r="BM326" s="570"/>
      <c r="BN326" s="570"/>
      <c r="BO326" s="570"/>
      <c r="BP326" s="570"/>
      <c r="BQ326" s="570"/>
      <c r="BR326" s="570"/>
      <c r="BS326" s="570"/>
      <c r="BT326" s="570"/>
      <c r="BU326" s="570"/>
      <c r="BV326" s="570"/>
      <c r="BW326" s="570"/>
      <c r="BX326" s="570"/>
      <c r="BY326" s="570"/>
      <c r="BZ326" s="571"/>
      <c r="CA326" s="571"/>
    </row>
    <row r="327" spans="2:79">
      <c r="B327" s="572">
        <v>312</v>
      </c>
      <c r="C327" s="308"/>
      <c r="D327" s="307"/>
      <c r="E327" s="307"/>
      <c r="F327" s="305"/>
      <c r="G327" s="305"/>
      <c r="H327" s="292"/>
      <c r="I327" s="574"/>
      <c r="J327" s="573"/>
      <c r="K327" s="307"/>
      <c r="L327" s="292"/>
      <c r="M327" s="308"/>
      <c r="N327" s="292"/>
      <c r="O327" s="308"/>
      <c r="P327" s="575"/>
      <c r="Q327" s="576"/>
      <c r="R327" s="308"/>
      <c r="S327" s="575"/>
      <c r="T327" s="576"/>
      <c r="U327" s="308"/>
      <c r="V327" s="575"/>
      <c r="W327" s="576"/>
      <c r="X327" s="308"/>
      <c r="Y327" s="575"/>
      <c r="Z327" s="576"/>
      <c r="AA327" s="308"/>
      <c r="AB327" s="575"/>
      <c r="AC327" s="576"/>
      <c r="AD327" s="308"/>
      <c r="AE327" s="575"/>
      <c r="AF327" s="308"/>
      <c r="AG327" s="575"/>
      <c r="AH327" s="308"/>
      <c r="AI327" s="575"/>
      <c r="AJ327" s="308"/>
      <c r="AK327" s="305"/>
      <c r="AL327" s="577"/>
      <c r="AM327" s="306"/>
      <c r="AN327" s="308"/>
      <c r="AO327" s="573"/>
      <c r="AP327" s="305"/>
      <c r="AQ327" s="308"/>
      <c r="AR327" s="573"/>
      <c r="AS327" s="578"/>
      <c r="AT327" s="577"/>
      <c r="AU327" s="579"/>
      <c r="AV327" s="578"/>
      <c r="AW327" s="308"/>
      <c r="AX327" s="307"/>
      <c r="AY327" s="307"/>
      <c r="AZ327" s="307"/>
      <c r="BA327" s="307"/>
      <c r="BB327" s="307"/>
      <c r="BC327" s="305"/>
      <c r="BD327" s="292"/>
      <c r="BE327" s="297"/>
      <c r="BF327" s="297"/>
      <c r="BG327" s="569"/>
      <c r="BH327" s="570"/>
      <c r="BI327" s="570"/>
      <c r="BJ327" s="570"/>
      <c r="BK327" s="570"/>
      <c r="BL327" s="570"/>
      <c r="BM327" s="570"/>
      <c r="BN327" s="570"/>
      <c r="BO327" s="570"/>
      <c r="BP327" s="570"/>
      <c r="BQ327" s="570"/>
      <c r="BR327" s="570"/>
      <c r="BS327" s="570"/>
      <c r="BT327" s="570"/>
      <c r="BU327" s="570"/>
      <c r="BV327" s="570"/>
      <c r="BW327" s="570"/>
      <c r="BX327" s="570"/>
      <c r="BY327" s="570"/>
      <c r="BZ327" s="571"/>
      <c r="CA327" s="571"/>
    </row>
    <row r="328" spans="2:79">
      <c r="B328" s="566">
        <v>313</v>
      </c>
      <c r="C328" s="308"/>
      <c r="D328" s="307"/>
      <c r="E328" s="307"/>
      <c r="F328" s="305"/>
      <c r="G328" s="305"/>
      <c r="H328" s="292"/>
      <c r="I328" s="574"/>
      <c r="J328" s="573"/>
      <c r="K328" s="307"/>
      <c r="L328" s="292"/>
      <c r="M328" s="308"/>
      <c r="N328" s="292"/>
      <c r="O328" s="308"/>
      <c r="P328" s="575"/>
      <c r="Q328" s="576"/>
      <c r="R328" s="308"/>
      <c r="S328" s="575"/>
      <c r="T328" s="576"/>
      <c r="U328" s="308"/>
      <c r="V328" s="575"/>
      <c r="W328" s="576"/>
      <c r="X328" s="308"/>
      <c r="Y328" s="575"/>
      <c r="Z328" s="576"/>
      <c r="AA328" s="308"/>
      <c r="AB328" s="575"/>
      <c r="AC328" s="576"/>
      <c r="AD328" s="308"/>
      <c r="AE328" s="575"/>
      <c r="AF328" s="308"/>
      <c r="AG328" s="575"/>
      <c r="AH328" s="308"/>
      <c r="AI328" s="575"/>
      <c r="AJ328" s="308"/>
      <c r="AK328" s="305"/>
      <c r="AL328" s="577"/>
      <c r="AM328" s="306"/>
      <c r="AN328" s="308"/>
      <c r="AO328" s="573"/>
      <c r="AP328" s="305"/>
      <c r="AQ328" s="308"/>
      <c r="AR328" s="573"/>
      <c r="AS328" s="578"/>
      <c r="AT328" s="577"/>
      <c r="AU328" s="579"/>
      <c r="AV328" s="578"/>
      <c r="AW328" s="308"/>
      <c r="AX328" s="307"/>
      <c r="AY328" s="307"/>
      <c r="AZ328" s="307"/>
      <c r="BA328" s="307"/>
      <c r="BB328" s="307"/>
      <c r="BC328" s="305"/>
      <c r="BD328" s="292"/>
      <c r="BE328" s="297"/>
      <c r="BF328" s="297"/>
      <c r="BG328" s="569"/>
      <c r="BH328" s="570"/>
      <c r="BI328" s="570"/>
      <c r="BJ328" s="570"/>
      <c r="BK328" s="570"/>
      <c r="BL328" s="570"/>
      <c r="BM328" s="570"/>
      <c r="BN328" s="570"/>
      <c r="BO328" s="570"/>
      <c r="BP328" s="570"/>
      <c r="BQ328" s="570"/>
      <c r="BR328" s="570"/>
      <c r="BS328" s="570"/>
      <c r="BT328" s="570"/>
      <c r="BU328" s="570"/>
      <c r="BV328" s="570"/>
      <c r="BW328" s="570"/>
      <c r="BX328" s="570"/>
      <c r="BY328" s="570"/>
      <c r="BZ328" s="571"/>
      <c r="CA328" s="571"/>
    </row>
    <row r="329" spans="2:79">
      <c r="B329" s="572">
        <v>314</v>
      </c>
      <c r="C329" s="308"/>
      <c r="D329" s="307"/>
      <c r="E329" s="307"/>
      <c r="F329" s="305"/>
      <c r="G329" s="305"/>
      <c r="H329" s="292"/>
      <c r="I329" s="574"/>
      <c r="J329" s="573"/>
      <c r="K329" s="307"/>
      <c r="L329" s="292"/>
      <c r="M329" s="308"/>
      <c r="N329" s="292"/>
      <c r="O329" s="308"/>
      <c r="P329" s="575"/>
      <c r="Q329" s="576"/>
      <c r="R329" s="308"/>
      <c r="S329" s="575"/>
      <c r="T329" s="576"/>
      <c r="U329" s="308"/>
      <c r="V329" s="575"/>
      <c r="W329" s="576"/>
      <c r="X329" s="308"/>
      <c r="Y329" s="575"/>
      <c r="Z329" s="576"/>
      <c r="AA329" s="308"/>
      <c r="AB329" s="575"/>
      <c r="AC329" s="576"/>
      <c r="AD329" s="308"/>
      <c r="AE329" s="575"/>
      <c r="AF329" s="308"/>
      <c r="AG329" s="575"/>
      <c r="AH329" s="308"/>
      <c r="AI329" s="575"/>
      <c r="AJ329" s="308"/>
      <c r="AK329" s="305"/>
      <c r="AL329" s="577"/>
      <c r="AM329" s="306"/>
      <c r="AN329" s="308"/>
      <c r="AO329" s="573"/>
      <c r="AP329" s="305"/>
      <c r="AQ329" s="308"/>
      <c r="AR329" s="573"/>
      <c r="AS329" s="578"/>
      <c r="AT329" s="577"/>
      <c r="AU329" s="579"/>
      <c r="AV329" s="578"/>
      <c r="AW329" s="308"/>
      <c r="AX329" s="307"/>
      <c r="AY329" s="307"/>
      <c r="AZ329" s="307"/>
      <c r="BA329" s="307"/>
      <c r="BB329" s="307"/>
      <c r="BC329" s="305"/>
      <c r="BD329" s="292"/>
      <c r="BE329" s="297"/>
      <c r="BF329" s="297"/>
      <c r="BG329" s="569"/>
      <c r="BH329" s="570"/>
      <c r="BI329" s="570"/>
      <c r="BJ329" s="570"/>
      <c r="BK329" s="570"/>
      <c r="BL329" s="570"/>
      <c r="BM329" s="570"/>
      <c r="BN329" s="570"/>
      <c r="BO329" s="570"/>
      <c r="BP329" s="570"/>
      <c r="BQ329" s="570"/>
      <c r="BR329" s="570"/>
      <c r="BS329" s="570"/>
      <c r="BT329" s="570"/>
      <c r="BU329" s="570"/>
      <c r="BV329" s="570"/>
      <c r="BW329" s="570"/>
      <c r="BX329" s="570"/>
      <c r="BY329" s="570"/>
      <c r="BZ329" s="571"/>
      <c r="CA329" s="571"/>
    </row>
    <row r="330" spans="2:79">
      <c r="B330" s="566">
        <v>315</v>
      </c>
      <c r="C330" s="308"/>
      <c r="D330" s="307"/>
      <c r="E330" s="307"/>
      <c r="F330" s="305"/>
      <c r="G330" s="305"/>
      <c r="H330" s="292"/>
      <c r="I330" s="574"/>
      <c r="J330" s="573"/>
      <c r="K330" s="307"/>
      <c r="L330" s="292"/>
      <c r="M330" s="308"/>
      <c r="N330" s="292"/>
      <c r="O330" s="308"/>
      <c r="P330" s="575"/>
      <c r="Q330" s="576"/>
      <c r="R330" s="308"/>
      <c r="S330" s="575"/>
      <c r="T330" s="576"/>
      <c r="U330" s="308"/>
      <c r="V330" s="575"/>
      <c r="W330" s="576"/>
      <c r="X330" s="308"/>
      <c r="Y330" s="575"/>
      <c r="Z330" s="576"/>
      <c r="AA330" s="308"/>
      <c r="AB330" s="575"/>
      <c r="AC330" s="576"/>
      <c r="AD330" s="308"/>
      <c r="AE330" s="575"/>
      <c r="AF330" s="308"/>
      <c r="AG330" s="575"/>
      <c r="AH330" s="308"/>
      <c r="AI330" s="575"/>
      <c r="AJ330" s="308"/>
      <c r="AK330" s="305"/>
      <c r="AL330" s="577"/>
      <c r="AM330" s="306"/>
      <c r="AN330" s="308"/>
      <c r="AO330" s="573"/>
      <c r="AP330" s="305"/>
      <c r="AQ330" s="308"/>
      <c r="AR330" s="573"/>
      <c r="AS330" s="578"/>
      <c r="AT330" s="577"/>
      <c r="AU330" s="579"/>
      <c r="AV330" s="578"/>
      <c r="AW330" s="308"/>
      <c r="AX330" s="307"/>
      <c r="AY330" s="307"/>
      <c r="AZ330" s="307"/>
      <c r="BA330" s="307"/>
      <c r="BB330" s="307"/>
      <c r="BC330" s="305"/>
      <c r="BD330" s="292"/>
      <c r="BE330" s="297"/>
      <c r="BF330" s="297"/>
      <c r="BG330" s="569"/>
      <c r="BH330" s="570"/>
      <c r="BI330" s="570"/>
      <c r="BJ330" s="570"/>
      <c r="BK330" s="570"/>
      <c r="BL330" s="570"/>
      <c r="BM330" s="570"/>
      <c r="BN330" s="570"/>
      <c r="BO330" s="570"/>
      <c r="BP330" s="570"/>
      <c r="BQ330" s="570"/>
      <c r="BR330" s="570"/>
      <c r="BS330" s="570"/>
      <c r="BT330" s="570"/>
      <c r="BU330" s="570"/>
      <c r="BV330" s="570"/>
      <c r="BW330" s="570"/>
      <c r="BX330" s="570"/>
      <c r="BY330" s="570"/>
      <c r="BZ330" s="571"/>
      <c r="CA330" s="571"/>
    </row>
    <row r="331" spans="2:79">
      <c r="B331" s="572">
        <v>316</v>
      </c>
      <c r="C331" s="308"/>
      <c r="D331" s="307"/>
      <c r="E331" s="307"/>
      <c r="F331" s="305"/>
      <c r="G331" s="305"/>
      <c r="H331" s="292"/>
      <c r="I331" s="574"/>
      <c r="J331" s="573"/>
      <c r="K331" s="307"/>
      <c r="L331" s="292"/>
      <c r="M331" s="308"/>
      <c r="N331" s="292"/>
      <c r="O331" s="308"/>
      <c r="P331" s="575"/>
      <c r="Q331" s="576"/>
      <c r="R331" s="308"/>
      <c r="S331" s="575"/>
      <c r="T331" s="576"/>
      <c r="U331" s="308"/>
      <c r="V331" s="575"/>
      <c r="W331" s="576"/>
      <c r="X331" s="308"/>
      <c r="Y331" s="575"/>
      <c r="Z331" s="576"/>
      <c r="AA331" s="308"/>
      <c r="AB331" s="575"/>
      <c r="AC331" s="576"/>
      <c r="AD331" s="308"/>
      <c r="AE331" s="575"/>
      <c r="AF331" s="308"/>
      <c r="AG331" s="575"/>
      <c r="AH331" s="308"/>
      <c r="AI331" s="575"/>
      <c r="AJ331" s="308"/>
      <c r="AK331" s="305"/>
      <c r="AL331" s="577"/>
      <c r="AM331" s="306"/>
      <c r="AN331" s="308"/>
      <c r="AO331" s="573"/>
      <c r="AP331" s="305"/>
      <c r="AQ331" s="308"/>
      <c r="AR331" s="573"/>
      <c r="AS331" s="578"/>
      <c r="AT331" s="577"/>
      <c r="AU331" s="579"/>
      <c r="AV331" s="578"/>
      <c r="AW331" s="308"/>
      <c r="AX331" s="307"/>
      <c r="AY331" s="307"/>
      <c r="AZ331" s="307"/>
      <c r="BA331" s="307"/>
      <c r="BB331" s="307"/>
      <c r="BC331" s="305"/>
      <c r="BD331" s="292"/>
      <c r="BE331" s="297"/>
      <c r="BF331" s="297"/>
      <c r="BG331" s="569"/>
      <c r="BH331" s="570"/>
      <c r="BI331" s="570"/>
      <c r="BJ331" s="570"/>
      <c r="BK331" s="570"/>
      <c r="BL331" s="570"/>
      <c r="BM331" s="570"/>
      <c r="BN331" s="570"/>
      <c r="BO331" s="570"/>
      <c r="BP331" s="570"/>
      <c r="BQ331" s="570"/>
      <c r="BR331" s="570"/>
      <c r="BS331" s="570"/>
      <c r="BT331" s="570"/>
      <c r="BU331" s="570"/>
      <c r="BV331" s="570"/>
      <c r="BW331" s="570"/>
      <c r="BX331" s="570"/>
      <c r="BY331" s="570"/>
      <c r="BZ331" s="571"/>
      <c r="CA331" s="571"/>
    </row>
    <row r="332" spans="2:79">
      <c r="B332" s="566">
        <v>317</v>
      </c>
      <c r="C332" s="308"/>
      <c r="D332" s="307"/>
      <c r="E332" s="307"/>
      <c r="F332" s="305"/>
      <c r="G332" s="305"/>
      <c r="H332" s="292"/>
      <c r="I332" s="574"/>
      <c r="J332" s="573"/>
      <c r="K332" s="307"/>
      <c r="L332" s="292"/>
      <c r="M332" s="308"/>
      <c r="N332" s="292"/>
      <c r="O332" s="308"/>
      <c r="P332" s="575"/>
      <c r="Q332" s="576"/>
      <c r="R332" s="308"/>
      <c r="S332" s="575"/>
      <c r="T332" s="576"/>
      <c r="U332" s="308"/>
      <c r="V332" s="575"/>
      <c r="W332" s="576"/>
      <c r="X332" s="308"/>
      <c r="Y332" s="575"/>
      <c r="Z332" s="576"/>
      <c r="AA332" s="308"/>
      <c r="AB332" s="575"/>
      <c r="AC332" s="576"/>
      <c r="AD332" s="308"/>
      <c r="AE332" s="575"/>
      <c r="AF332" s="308"/>
      <c r="AG332" s="575"/>
      <c r="AH332" s="308"/>
      <c r="AI332" s="575"/>
      <c r="AJ332" s="308"/>
      <c r="AK332" s="305"/>
      <c r="AL332" s="577"/>
      <c r="AM332" s="306"/>
      <c r="AN332" s="308"/>
      <c r="AO332" s="573"/>
      <c r="AP332" s="305"/>
      <c r="AQ332" s="308"/>
      <c r="AR332" s="573"/>
      <c r="AS332" s="578"/>
      <c r="AT332" s="577"/>
      <c r="AU332" s="579"/>
      <c r="AV332" s="578"/>
      <c r="AW332" s="308"/>
      <c r="AX332" s="307"/>
      <c r="AY332" s="307"/>
      <c r="AZ332" s="307"/>
      <c r="BA332" s="307"/>
      <c r="BB332" s="307"/>
      <c r="BC332" s="305"/>
      <c r="BD332" s="292"/>
      <c r="BE332" s="297"/>
      <c r="BF332" s="297"/>
      <c r="BG332" s="569"/>
      <c r="BH332" s="570"/>
      <c r="BI332" s="570"/>
      <c r="BJ332" s="570"/>
      <c r="BK332" s="570"/>
      <c r="BL332" s="570"/>
      <c r="BM332" s="570"/>
      <c r="BN332" s="570"/>
      <c r="BO332" s="570"/>
      <c r="BP332" s="570"/>
      <c r="BQ332" s="570"/>
      <c r="BR332" s="570"/>
      <c r="BS332" s="570"/>
      <c r="BT332" s="570"/>
      <c r="BU332" s="570"/>
      <c r="BV332" s="570"/>
      <c r="BW332" s="570"/>
      <c r="BX332" s="570"/>
      <c r="BY332" s="570"/>
      <c r="BZ332" s="571"/>
      <c r="CA332" s="571"/>
    </row>
    <row r="333" spans="2:79">
      <c r="B333" s="572">
        <v>318</v>
      </c>
      <c r="C333" s="308"/>
      <c r="D333" s="307"/>
      <c r="E333" s="307"/>
      <c r="F333" s="305"/>
      <c r="G333" s="305"/>
      <c r="H333" s="292"/>
      <c r="I333" s="574"/>
      <c r="J333" s="573"/>
      <c r="K333" s="307"/>
      <c r="L333" s="292"/>
      <c r="M333" s="308"/>
      <c r="N333" s="292"/>
      <c r="O333" s="308"/>
      <c r="P333" s="575"/>
      <c r="Q333" s="576"/>
      <c r="R333" s="308"/>
      <c r="S333" s="575"/>
      <c r="T333" s="576"/>
      <c r="U333" s="308"/>
      <c r="V333" s="575"/>
      <c r="W333" s="576"/>
      <c r="X333" s="308"/>
      <c r="Y333" s="575"/>
      <c r="Z333" s="576"/>
      <c r="AA333" s="308"/>
      <c r="AB333" s="575"/>
      <c r="AC333" s="576"/>
      <c r="AD333" s="308"/>
      <c r="AE333" s="575"/>
      <c r="AF333" s="308"/>
      <c r="AG333" s="575"/>
      <c r="AH333" s="308"/>
      <c r="AI333" s="575"/>
      <c r="AJ333" s="308"/>
      <c r="AK333" s="305"/>
      <c r="AL333" s="577"/>
      <c r="AM333" s="306"/>
      <c r="AN333" s="308"/>
      <c r="AO333" s="573"/>
      <c r="AP333" s="305"/>
      <c r="AQ333" s="308"/>
      <c r="AR333" s="573"/>
      <c r="AS333" s="578"/>
      <c r="AT333" s="577"/>
      <c r="AU333" s="579"/>
      <c r="AV333" s="578"/>
      <c r="AW333" s="308"/>
      <c r="AX333" s="307"/>
      <c r="AY333" s="307"/>
      <c r="AZ333" s="307"/>
      <c r="BA333" s="307"/>
      <c r="BB333" s="307"/>
      <c r="BC333" s="305"/>
      <c r="BD333" s="292"/>
      <c r="BE333" s="297"/>
      <c r="BF333" s="297"/>
      <c r="BG333" s="569"/>
      <c r="BH333" s="570"/>
      <c r="BI333" s="570"/>
      <c r="BJ333" s="570"/>
      <c r="BK333" s="570"/>
      <c r="BL333" s="570"/>
      <c r="BM333" s="570"/>
      <c r="BN333" s="570"/>
      <c r="BO333" s="570"/>
      <c r="BP333" s="570"/>
      <c r="BQ333" s="570"/>
      <c r="BR333" s="570"/>
      <c r="BS333" s="570"/>
      <c r="BT333" s="570"/>
      <c r="BU333" s="570"/>
      <c r="BV333" s="570"/>
      <c r="BW333" s="570"/>
      <c r="BX333" s="570"/>
      <c r="BY333" s="570"/>
      <c r="BZ333" s="571"/>
      <c r="CA333" s="571"/>
    </row>
    <row r="334" spans="2:79">
      <c r="B334" s="566">
        <v>319</v>
      </c>
      <c r="C334" s="308"/>
      <c r="D334" s="307"/>
      <c r="E334" s="307"/>
      <c r="F334" s="305"/>
      <c r="G334" s="305"/>
      <c r="H334" s="292"/>
      <c r="I334" s="574"/>
      <c r="J334" s="573"/>
      <c r="K334" s="307"/>
      <c r="L334" s="292"/>
      <c r="M334" s="308"/>
      <c r="N334" s="292"/>
      <c r="O334" s="308"/>
      <c r="P334" s="575"/>
      <c r="Q334" s="576"/>
      <c r="R334" s="308"/>
      <c r="S334" s="575"/>
      <c r="T334" s="576"/>
      <c r="U334" s="308"/>
      <c r="V334" s="575"/>
      <c r="W334" s="576"/>
      <c r="X334" s="308"/>
      <c r="Y334" s="575"/>
      <c r="Z334" s="576"/>
      <c r="AA334" s="308"/>
      <c r="AB334" s="575"/>
      <c r="AC334" s="576"/>
      <c r="AD334" s="308"/>
      <c r="AE334" s="575"/>
      <c r="AF334" s="308"/>
      <c r="AG334" s="575"/>
      <c r="AH334" s="308"/>
      <c r="AI334" s="575"/>
      <c r="AJ334" s="308"/>
      <c r="AK334" s="305"/>
      <c r="AL334" s="577"/>
      <c r="AM334" s="306"/>
      <c r="AN334" s="308"/>
      <c r="AO334" s="573"/>
      <c r="AP334" s="305"/>
      <c r="AQ334" s="308"/>
      <c r="AR334" s="573"/>
      <c r="AS334" s="578"/>
      <c r="AT334" s="577"/>
      <c r="AU334" s="579"/>
      <c r="AV334" s="578"/>
      <c r="AW334" s="308"/>
      <c r="AX334" s="307"/>
      <c r="AY334" s="307"/>
      <c r="AZ334" s="307"/>
      <c r="BA334" s="307"/>
      <c r="BB334" s="307"/>
      <c r="BC334" s="305"/>
      <c r="BD334" s="292"/>
      <c r="BE334" s="297"/>
      <c r="BF334" s="297"/>
      <c r="BG334" s="569"/>
      <c r="BH334" s="570"/>
      <c r="BI334" s="570"/>
      <c r="BJ334" s="570"/>
      <c r="BK334" s="570"/>
      <c r="BL334" s="570"/>
      <c r="BM334" s="570"/>
      <c r="BN334" s="570"/>
      <c r="BO334" s="570"/>
      <c r="BP334" s="570"/>
      <c r="BQ334" s="570"/>
      <c r="BR334" s="570"/>
      <c r="BS334" s="570"/>
      <c r="BT334" s="570"/>
      <c r="BU334" s="570"/>
      <c r="BV334" s="570"/>
      <c r="BW334" s="570"/>
      <c r="BX334" s="570"/>
      <c r="BY334" s="570"/>
      <c r="BZ334" s="571"/>
      <c r="CA334" s="571"/>
    </row>
    <row r="335" spans="2:79">
      <c r="B335" s="572">
        <v>320</v>
      </c>
      <c r="C335" s="308"/>
      <c r="D335" s="307"/>
      <c r="E335" s="307"/>
      <c r="F335" s="305"/>
      <c r="G335" s="305"/>
      <c r="H335" s="292"/>
      <c r="I335" s="574"/>
      <c r="J335" s="573"/>
      <c r="K335" s="307"/>
      <c r="L335" s="292"/>
      <c r="M335" s="308"/>
      <c r="N335" s="292"/>
      <c r="O335" s="308"/>
      <c r="P335" s="575"/>
      <c r="Q335" s="576"/>
      <c r="R335" s="308"/>
      <c r="S335" s="575"/>
      <c r="T335" s="576"/>
      <c r="U335" s="308"/>
      <c r="V335" s="575"/>
      <c r="W335" s="576"/>
      <c r="X335" s="308"/>
      <c r="Y335" s="575"/>
      <c r="Z335" s="576"/>
      <c r="AA335" s="308"/>
      <c r="AB335" s="575"/>
      <c r="AC335" s="576"/>
      <c r="AD335" s="308"/>
      <c r="AE335" s="575"/>
      <c r="AF335" s="308"/>
      <c r="AG335" s="575"/>
      <c r="AH335" s="308"/>
      <c r="AI335" s="575"/>
      <c r="AJ335" s="308"/>
      <c r="AK335" s="305"/>
      <c r="AL335" s="577"/>
      <c r="AM335" s="306"/>
      <c r="AN335" s="308"/>
      <c r="AO335" s="573"/>
      <c r="AP335" s="305"/>
      <c r="AQ335" s="308"/>
      <c r="AR335" s="573"/>
      <c r="AS335" s="578"/>
      <c r="AT335" s="577"/>
      <c r="AU335" s="579"/>
      <c r="AV335" s="578"/>
      <c r="AW335" s="308"/>
      <c r="AX335" s="307"/>
      <c r="AY335" s="307"/>
      <c r="AZ335" s="307"/>
      <c r="BA335" s="307"/>
      <c r="BB335" s="307"/>
      <c r="BC335" s="305"/>
      <c r="BD335" s="292"/>
      <c r="BE335" s="297"/>
      <c r="BF335" s="297"/>
      <c r="BG335" s="569"/>
      <c r="BH335" s="570"/>
      <c r="BI335" s="570"/>
      <c r="BJ335" s="570"/>
      <c r="BK335" s="570"/>
      <c r="BL335" s="570"/>
      <c r="BM335" s="570"/>
      <c r="BN335" s="570"/>
      <c r="BO335" s="570"/>
      <c r="BP335" s="570"/>
      <c r="BQ335" s="570"/>
      <c r="BR335" s="570"/>
      <c r="BS335" s="570"/>
      <c r="BT335" s="570"/>
      <c r="BU335" s="570"/>
      <c r="BV335" s="570"/>
      <c r="BW335" s="570"/>
      <c r="BX335" s="570"/>
      <c r="BY335" s="570"/>
      <c r="BZ335" s="571"/>
      <c r="CA335" s="571"/>
    </row>
    <row r="336" spans="2:79">
      <c r="B336" s="566">
        <v>321</v>
      </c>
      <c r="C336" s="308"/>
      <c r="D336" s="307"/>
      <c r="E336" s="307"/>
      <c r="F336" s="305"/>
      <c r="G336" s="305"/>
      <c r="H336" s="292"/>
      <c r="I336" s="574"/>
      <c r="J336" s="573"/>
      <c r="K336" s="307"/>
      <c r="L336" s="292"/>
      <c r="M336" s="308"/>
      <c r="N336" s="292"/>
      <c r="O336" s="308"/>
      <c r="P336" s="575"/>
      <c r="Q336" s="576"/>
      <c r="R336" s="308"/>
      <c r="S336" s="575"/>
      <c r="T336" s="576"/>
      <c r="U336" s="308"/>
      <c r="V336" s="575"/>
      <c r="W336" s="576"/>
      <c r="X336" s="308"/>
      <c r="Y336" s="575"/>
      <c r="Z336" s="576"/>
      <c r="AA336" s="308"/>
      <c r="AB336" s="575"/>
      <c r="AC336" s="576"/>
      <c r="AD336" s="308"/>
      <c r="AE336" s="575"/>
      <c r="AF336" s="308"/>
      <c r="AG336" s="575"/>
      <c r="AH336" s="308"/>
      <c r="AI336" s="575"/>
      <c r="AJ336" s="308"/>
      <c r="AK336" s="305"/>
      <c r="AL336" s="577"/>
      <c r="AM336" s="306"/>
      <c r="AN336" s="308"/>
      <c r="AO336" s="573"/>
      <c r="AP336" s="305"/>
      <c r="AQ336" s="308"/>
      <c r="AR336" s="573"/>
      <c r="AS336" s="578"/>
      <c r="AT336" s="577"/>
      <c r="AU336" s="579"/>
      <c r="AV336" s="578"/>
      <c r="AW336" s="308"/>
      <c r="AX336" s="307"/>
      <c r="AY336" s="307"/>
      <c r="AZ336" s="307"/>
      <c r="BA336" s="307"/>
      <c r="BB336" s="307"/>
      <c r="BC336" s="305"/>
      <c r="BD336" s="292"/>
      <c r="BE336" s="297"/>
      <c r="BF336" s="297"/>
      <c r="BG336" s="569"/>
      <c r="BH336" s="570"/>
      <c r="BI336" s="570"/>
      <c r="BJ336" s="570"/>
      <c r="BK336" s="570"/>
      <c r="BL336" s="570"/>
      <c r="BM336" s="570"/>
      <c r="BN336" s="570"/>
      <c r="BO336" s="570"/>
      <c r="BP336" s="570"/>
      <c r="BQ336" s="570"/>
      <c r="BR336" s="570"/>
      <c r="BS336" s="570"/>
      <c r="BT336" s="570"/>
      <c r="BU336" s="570"/>
      <c r="BV336" s="570"/>
      <c r="BW336" s="570"/>
      <c r="BX336" s="570"/>
      <c r="BY336" s="570"/>
      <c r="BZ336" s="571"/>
      <c r="CA336" s="571"/>
    </row>
    <row r="337" spans="2:79">
      <c r="B337" s="572">
        <v>322</v>
      </c>
      <c r="C337" s="308"/>
      <c r="D337" s="307"/>
      <c r="E337" s="307"/>
      <c r="F337" s="305"/>
      <c r="G337" s="305"/>
      <c r="H337" s="292"/>
      <c r="I337" s="574"/>
      <c r="J337" s="573"/>
      <c r="K337" s="307"/>
      <c r="L337" s="292"/>
      <c r="M337" s="308"/>
      <c r="N337" s="292"/>
      <c r="O337" s="308"/>
      <c r="P337" s="575"/>
      <c r="Q337" s="576"/>
      <c r="R337" s="308"/>
      <c r="S337" s="575"/>
      <c r="T337" s="576"/>
      <c r="U337" s="308"/>
      <c r="V337" s="575"/>
      <c r="W337" s="576"/>
      <c r="X337" s="308"/>
      <c r="Y337" s="575"/>
      <c r="Z337" s="576"/>
      <c r="AA337" s="308"/>
      <c r="AB337" s="575"/>
      <c r="AC337" s="576"/>
      <c r="AD337" s="308"/>
      <c r="AE337" s="575"/>
      <c r="AF337" s="308"/>
      <c r="AG337" s="575"/>
      <c r="AH337" s="308"/>
      <c r="AI337" s="575"/>
      <c r="AJ337" s="308"/>
      <c r="AK337" s="305"/>
      <c r="AL337" s="577"/>
      <c r="AM337" s="306"/>
      <c r="AN337" s="308"/>
      <c r="AO337" s="573"/>
      <c r="AP337" s="305"/>
      <c r="AQ337" s="308"/>
      <c r="AR337" s="573"/>
      <c r="AS337" s="578"/>
      <c r="AT337" s="577"/>
      <c r="AU337" s="579"/>
      <c r="AV337" s="578"/>
      <c r="AW337" s="308"/>
      <c r="AX337" s="307"/>
      <c r="AY337" s="307"/>
      <c r="AZ337" s="307"/>
      <c r="BA337" s="307"/>
      <c r="BB337" s="307"/>
      <c r="BC337" s="305"/>
      <c r="BD337" s="292"/>
      <c r="BE337" s="297"/>
      <c r="BF337" s="297"/>
      <c r="BG337" s="569"/>
      <c r="BH337" s="570"/>
      <c r="BI337" s="570"/>
      <c r="BJ337" s="570"/>
      <c r="BK337" s="570"/>
      <c r="BL337" s="570"/>
      <c r="BM337" s="570"/>
      <c r="BN337" s="570"/>
      <c r="BO337" s="570"/>
      <c r="BP337" s="570"/>
      <c r="BQ337" s="570"/>
      <c r="BR337" s="570"/>
      <c r="BS337" s="570"/>
      <c r="BT337" s="570"/>
      <c r="BU337" s="570"/>
      <c r="BV337" s="570"/>
      <c r="BW337" s="570"/>
      <c r="BX337" s="570"/>
      <c r="BY337" s="570"/>
      <c r="BZ337" s="571"/>
      <c r="CA337" s="571"/>
    </row>
    <row r="338" spans="2:79">
      <c r="B338" s="566">
        <v>323</v>
      </c>
      <c r="C338" s="308"/>
      <c r="D338" s="307"/>
      <c r="E338" s="307"/>
      <c r="F338" s="305"/>
      <c r="G338" s="305"/>
      <c r="H338" s="292"/>
      <c r="I338" s="574"/>
      <c r="J338" s="573"/>
      <c r="K338" s="307"/>
      <c r="L338" s="292"/>
      <c r="M338" s="308"/>
      <c r="N338" s="292"/>
      <c r="O338" s="308"/>
      <c r="P338" s="575"/>
      <c r="Q338" s="576"/>
      <c r="R338" s="308"/>
      <c r="S338" s="575"/>
      <c r="T338" s="576"/>
      <c r="U338" s="308"/>
      <c r="V338" s="575"/>
      <c r="W338" s="576"/>
      <c r="X338" s="308"/>
      <c r="Y338" s="575"/>
      <c r="Z338" s="576"/>
      <c r="AA338" s="308"/>
      <c r="AB338" s="575"/>
      <c r="AC338" s="576"/>
      <c r="AD338" s="308"/>
      <c r="AE338" s="575"/>
      <c r="AF338" s="308"/>
      <c r="AG338" s="575"/>
      <c r="AH338" s="308"/>
      <c r="AI338" s="575"/>
      <c r="AJ338" s="308"/>
      <c r="AK338" s="305"/>
      <c r="AL338" s="577"/>
      <c r="AM338" s="306"/>
      <c r="AN338" s="308"/>
      <c r="AO338" s="573"/>
      <c r="AP338" s="305"/>
      <c r="AQ338" s="308"/>
      <c r="AR338" s="573"/>
      <c r="AS338" s="578"/>
      <c r="AT338" s="577"/>
      <c r="AU338" s="579"/>
      <c r="AV338" s="578"/>
      <c r="AW338" s="308"/>
      <c r="AX338" s="307"/>
      <c r="AY338" s="307"/>
      <c r="AZ338" s="307"/>
      <c r="BA338" s="307"/>
      <c r="BB338" s="307"/>
      <c r="BC338" s="305"/>
      <c r="BD338" s="292"/>
      <c r="BE338" s="297"/>
      <c r="BF338" s="297"/>
      <c r="BG338" s="569"/>
      <c r="BH338" s="570"/>
      <c r="BI338" s="570"/>
      <c r="BJ338" s="570"/>
      <c r="BK338" s="570"/>
      <c r="BL338" s="570"/>
      <c r="BM338" s="570"/>
      <c r="BN338" s="570"/>
      <c r="BO338" s="570"/>
      <c r="BP338" s="570"/>
      <c r="BQ338" s="570"/>
      <c r="BR338" s="570"/>
      <c r="BS338" s="570"/>
      <c r="BT338" s="570"/>
      <c r="BU338" s="570"/>
      <c r="BV338" s="570"/>
      <c r="BW338" s="570"/>
      <c r="BX338" s="570"/>
      <c r="BY338" s="570"/>
      <c r="BZ338" s="571"/>
      <c r="CA338" s="571"/>
    </row>
    <row r="339" spans="2:79">
      <c r="B339" s="572">
        <v>324</v>
      </c>
      <c r="C339" s="308"/>
      <c r="D339" s="307"/>
      <c r="E339" s="307"/>
      <c r="F339" s="305"/>
      <c r="G339" s="305"/>
      <c r="H339" s="292"/>
      <c r="I339" s="574"/>
      <c r="J339" s="573"/>
      <c r="K339" s="307"/>
      <c r="L339" s="292"/>
      <c r="M339" s="308"/>
      <c r="N339" s="292"/>
      <c r="O339" s="308"/>
      <c r="P339" s="575"/>
      <c r="Q339" s="576"/>
      <c r="R339" s="308"/>
      <c r="S339" s="575"/>
      <c r="T339" s="576"/>
      <c r="U339" s="308"/>
      <c r="V339" s="575"/>
      <c r="W339" s="576"/>
      <c r="X339" s="308"/>
      <c r="Y339" s="575"/>
      <c r="Z339" s="576"/>
      <c r="AA339" s="308"/>
      <c r="AB339" s="575"/>
      <c r="AC339" s="576"/>
      <c r="AD339" s="308"/>
      <c r="AE339" s="575"/>
      <c r="AF339" s="308"/>
      <c r="AG339" s="575"/>
      <c r="AH339" s="308"/>
      <c r="AI339" s="575"/>
      <c r="AJ339" s="308"/>
      <c r="AK339" s="305"/>
      <c r="AL339" s="577"/>
      <c r="AM339" s="306"/>
      <c r="AN339" s="308"/>
      <c r="AO339" s="573"/>
      <c r="AP339" s="305"/>
      <c r="AQ339" s="308"/>
      <c r="AR339" s="573"/>
      <c r="AS339" s="578"/>
      <c r="AT339" s="577"/>
      <c r="AU339" s="579"/>
      <c r="AV339" s="578"/>
      <c r="AW339" s="308"/>
      <c r="AX339" s="307"/>
      <c r="AY339" s="307"/>
      <c r="AZ339" s="307"/>
      <c r="BA339" s="307"/>
      <c r="BB339" s="307"/>
      <c r="BC339" s="305"/>
      <c r="BD339" s="292"/>
      <c r="BE339" s="297"/>
      <c r="BF339" s="297"/>
      <c r="BG339" s="569"/>
      <c r="BH339" s="570"/>
      <c r="BI339" s="570"/>
      <c r="BJ339" s="570"/>
      <c r="BK339" s="570"/>
      <c r="BL339" s="570"/>
      <c r="BM339" s="570"/>
      <c r="BN339" s="570"/>
      <c r="BO339" s="570"/>
      <c r="BP339" s="570"/>
      <c r="BQ339" s="570"/>
      <c r="BR339" s="570"/>
      <c r="BS339" s="570"/>
      <c r="BT339" s="570"/>
      <c r="BU339" s="570"/>
      <c r="BV339" s="570"/>
      <c r="BW339" s="570"/>
      <c r="BX339" s="570"/>
      <c r="BY339" s="570"/>
      <c r="BZ339" s="571"/>
      <c r="CA339" s="571"/>
    </row>
    <row r="340" spans="2:79">
      <c r="B340" s="566">
        <v>325</v>
      </c>
      <c r="C340" s="308"/>
      <c r="D340" s="307"/>
      <c r="E340" s="307"/>
      <c r="F340" s="305"/>
      <c r="G340" s="305"/>
      <c r="H340" s="292"/>
      <c r="I340" s="574"/>
      <c r="J340" s="573"/>
      <c r="K340" s="307"/>
      <c r="L340" s="292"/>
      <c r="M340" s="308"/>
      <c r="N340" s="292"/>
      <c r="O340" s="308"/>
      <c r="P340" s="575"/>
      <c r="Q340" s="576"/>
      <c r="R340" s="308"/>
      <c r="S340" s="575"/>
      <c r="T340" s="576"/>
      <c r="U340" s="308"/>
      <c r="V340" s="575"/>
      <c r="W340" s="576"/>
      <c r="X340" s="308"/>
      <c r="Y340" s="575"/>
      <c r="Z340" s="576"/>
      <c r="AA340" s="308"/>
      <c r="AB340" s="575"/>
      <c r="AC340" s="576"/>
      <c r="AD340" s="308"/>
      <c r="AE340" s="575"/>
      <c r="AF340" s="308"/>
      <c r="AG340" s="575"/>
      <c r="AH340" s="308"/>
      <c r="AI340" s="575"/>
      <c r="AJ340" s="308"/>
      <c r="AK340" s="305"/>
      <c r="AL340" s="577"/>
      <c r="AM340" s="306"/>
      <c r="AN340" s="308"/>
      <c r="AO340" s="573"/>
      <c r="AP340" s="305"/>
      <c r="AQ340" s="308"/>
      <c r="AR340" s="573"/>
      <c r="AS340" s="578"/>
      <c r="AT340" s="577"/>
      <c r="AU340" s="579"/>
      <c r="AV340" s="578"/>
      <c r="AW340" s="308"/>
      <c r="AX340" s="307"/>
      <c r="AY340" s="307"/>
      <c r="AZ340" s="307"/>
      <c r="BA340" s="307"/>
      <c r="BB340" s="307"/>
      <c r="BC340" s="305"/>
      <c r="BD340" s="292"/>
      <c r="BE340" s="297"/>
      <c r="BF340" s="297"/>
      <c r="BG340" s="569"/>
      <c r="BH340" s="570"/>
      <c r="BI340" s="570"/>
      <c r="BJ340" s="570"/>
      <c r="BK340" s="570"/>
      <c r="BL340" s="570"/>
      <c r="BM340" s="570"/>
      <c r="BN340" s="570"/>
      <c r="BO340" s="570"/>
      <c r="BP340" s="570"/>
      <c r="BQ340" s="570"/>
      <c r="BR340" s="570"/>
      <c r="BS340" s="570"/>
      <c r="BT340" s="570"/>
      <c r="BU340" s="570"/>
      <c r="BV340" s="570"/>
      <c r="BW340" s="570"/>
      <c r="BX340" s="570"/>
      <c r="BY340" s="570"/>
      <c r="BZ340" s="571"/>
      <c r="CA340" s="571"/>
    </row>
    <row r="341" spans="2:79">
      <c r="B341" s="572">
        <v>326</v>
      </c>
      <c r="C341" s="308"/>
      <c r="D341" s="307"/>
      <c r="E341" s="307"/>
      <c r="F341" s="305"/>
      <c r="G341" s="305"/>
      <c r="H341" s="292"/>
      <c r="I341" s="574"/>
      <c r="J341" s="573"/>
      <c r="K341" s="307"/>
      <c r="L341" s="292"/>
      <c r="M341" s="308"/>
      <c r="N341" s="292"/>
      <c r="O341" s="308"/>
      <c r="P341" s="575"/>
      <c r="Q341" s="576"/>
      <c r="R341" s="308"/>
      <c r="S341" s="575"/>
      <c r="T341" s="576"/>
      <c r="U341" s="308"/>
      <c r="V341" s="575"/>
      <c r="W341" s="576"/>
      <c r="X341" s="308"/>
      <c r="Y341" s="575"/>
      <c r="Z341" s="576"/>
      <c r="AA341" s="308"/>
      <c r="AB341" s="575"/>
      <c r="AC341" s="576"/>
      <c r="AD341" s="308"/>
      <c r="AE341" s="575"/>
      <c r="AF341" s="308"/>
      <c r="AG341" s="575"/>
      <c r="AH341" s="308"/>
      <c r="AI341" s="575"/>
      <c r="AJ341" s="308"/>
      <c r="AK341" s="305"/>
      <c r="AL341" s="577"/>
      <c r="AM341" s="306"/>
      <c r="AN341" s="308"/>
      <c r="AO341" s="573"/>
      <c r="AP341" s="305"/>
      <c r="AQ341" s="308"/>
      <c r="AR341" s="573"/>
      <c r="AS341" s="578"/>
      <c r="AT341" s="577"/>
      <c r="AU341" s="579"/>
      <c r="AV341" s="578"/>
      <c r="AW341" s="308"/>
      <c r="AX341" s="307"/>
      <c r="AY341" s="307"/>
      <c r="AZ341" s="307"/>
      <c r="BA341" s="307"/>
      <c r="BB341" s="307"/>
      <c r="BC341" s="305"/>
      <c r="BD341" s="292"/>
      <c r="BE341" s="297"/>
      <c r="BF341" s="297"/>
      <c r="BG341" s="569"/>
      <c r="BH341" s="570"/>
      <c r="BI341" s="570"/>
      <c r="BJ341" s="570"/>
      <c r="BK341" s="570"/>
      <c r="BL341" s="570"/>
      <c r="BM341" s="570"/>
      <c r="BN341" s="570"/>
      <c r="BO341" s="570"/>
      <c r="BP341" s="570"/>
      <c r="BQ341" s="570"/>
      <c r="BR341" s="570"/>
      <c r="BS341" s="570"/>
      <c r="BT341" s="570"/>
      <c r="BU341" s="570"/>
      <c r="BV341" s="570"/>
      <c r="BW341" s="570"/>
      <c r="BX341" s="570"/>
      <c r="BY341" s="570"/>
      <c r="BZ341" s="571"/>
      <c r="CA341" s="571"/>
    </row>
    <row r="342" spans="2:79">
      <c r="B342" s="566">
        <v>327</v>
      </c>
      <c r="C342" s="308"/>
      <c r="D342" s="307"/>
      <c r="E342" s="307"/>
      <c r="F342" s="305"/>
      <c r="G342" s="305"/>
      <c r="H342" s="292"/>
      <c r="I342" s="574"/>
      <c r="J342" s="573"/>
      <c r="K342" s="307"/>
      <c r="L342" s="292"/>
      <c r="M342" s="308"/>
      <c r="N342" s="292"/>
      <c r="O342" s="308"/>
      <c r="P342" s="575"/>
      <c r="Q342" s="576"/>
      <c r="R342" s="308"/>
      <c r="S342" s="575"/>
      <c r="T342" s="576"/>
      <c r="U342" s="308"/>
      <c r="V342" s="575"/>
      <c r="W342" s="576"/>
      <c r="X342" s="308"/>
      <c r="Y342" s="575"/>
      <c r="Z342" s="576"/>
      <c r="AA342" s="308"/>
      <c r="AB342" s="575"/>
      <c r="AC342" s="576"/>
      <c r="AD342" s="308"/>
      <c r="AE342" s="575"/>
      <c r="AF342" s="308"/>
      <c r="AG342" s="575"/>
      <c r="AH342" s="308"/>
      <c r="AI342" s="575"/>
      <c r="AJ342" s="308"/>
      <c r="AK342" s="305"/>
      <c r="AL342" s="577"/>
      <c r="AM342" s="306"/>
      <c r="AN342" s="308"/>
      <c r="AO342" s="573"/>
      <c r="AP342" s="305"/>
      <c r="AQ342" s="308"/>
      <c r="AR342" s="573"/>
      <c r="AS342" s="578"/>
      <c r="AT342" s="577"/>
      <c r="AU342" s="579"/>
      <c r="AV342" s="578"/>
      <c r="AW342" s="308"/>
      <c r="AX342" s="307"/>
      <c r="AY342" s="307"/>
      <c r="AZ342" s="307"/>
      <c r="BA342" s="307"/>
      <c r="BB342" s="307"/>
      <c r="BC342" s="305"/>
      <c r="BD342" s="292"/>
      <c r="BE342" s="297"/>
      <c r="BF342" s="297"/>
      <c r="BG342" s="569"/>
      <c r="BH342" s="570"/>
      <c r="BI342" s="570"/>
      <c r="BJ342" s="570"/>
      <c r="BK342" s="570"/>
      <c r="BL342" s="570"/>
      <c r="BM342" s="570"/>
      <c r="BN342" s="570"/>
      <c r="BO342" s="570"/>
      <c r="BP342" s="570"/>
      <c r="BQ342" s="570"/>
      <c r="BR342" s="570"/>
      <c r="BS342" s="570"/>
      <c r="BT342" s="570"/>
      <c r="BU342" s="570"/>
      <c r="BV342" s="570"/>
      <c r="BW342" s="570"/>
      <c r="BX342" s="570"/>
      <c r="BY342" s="570"/>
      <c r="BZ342" s="571"/>
      <c r="CA342" s="571"/>
    </row>
    <row r="343" spans="2:79">
      <c r="B343" s="572">
        <v>328</v>
      </c>
      <c r="C343" s="308"/>
      <c r="D343" s="307"/>
      <c r="E343" s="307"/>
      <c r="F343" s="305"/>
      <c r="G343" s="305"/>
      <c r="H343" s="292"/>
      <c r="I343" s="574"/>
      <c r="J343" s="573"/>
      <c r="K343" s="307"/>
      <c r="L343" s="292"/>
      <c r="M343" s="308"/>
      <c r="N343" s="292"/>
      <c r="O343" s="308"/>
      <c r="P343" s="575"/>
      <c r="Q343" s="576"/>
      <c r="R343" s="308"/>
      <c r="S343" s="575"/>
      <c r="T343" s="576"/>
      <c r="U343" s="308"/>
      <c r="V343" s="575"/>
      <c r="W343" s="576"/>
      <c r="X343" s="308"/>
      <c r="Y343" s="575"/>
      <c r="Z343" s="576"/>
      <c r="AA343" s="308"/>
      <c r="AB343" s="575"/>
      <c r="AC343" s="576"/>
      <c r="AD343" s="308"/>
      <c r="AE343" s="575"/>
      <c r="AF343" s="308"/>
      <c r="AG343" s="575"/>
      <c r="AH343" s="308"/>
      <c r="AI343" s="575"/>
      <c r="AJ343" s="308"/>
      <c r="AK343" s="305"/>
      <c r="AL343" s="577"/>
      <c r="AM343" s="306"/>
      <c r="AN343" s="308"/>
      <c r="AO343" s="573"/>
      <c r="AP343" s="305"/>
      <c r="AQ343" s="308"/>
      <c r="AR343" s="573"/>
      <c r="AS343" s="578"/>
      <c r="AT343" s="577"/>
      <c r="AU343" s="579"/>
      <c r="AV343" s="578"/>
      <c r="AW343" s="308"/>
      <c r="AX343" s="307"/>
      <c r="AY343" s="307"/>
      <c r="AZ343" s="307"/>
      <c r="BA343" s="307"/>
      <c r="BB343" s="307"/>
      <c r="BC343" s="305"/>
      <c r="BD343" s="292"/>
      <c r="BE343" s="297"/>
      <c r="BF343" s="297"/>
      <c r="BG343" s="569"/>
      <c r="BH343" s="570"/>
      <c r="BI343" s="570"/>
      <c r="BJ343" s="570"/>
      <c r="BK343" s="570"/>
      <c r="BL343" s="570"/>
      <c r="BM343" s="570"/>
      <c r="BN343" s="570"/>
      <c r="BO343" s="570"/>
      <c r="BP343" s="570"/>
      <c r="BQ343" s="570"/>
      <c r="BR343" s="570"/>
      <c r="BS343" s="570"/>
      <c r="BT343" s="570"/>
      <c r="BU343" s="570"/>
      <c r="BV343" s="570"/>
      <c r="BW343" s="570"/>
      <c r="BX343" s="570"/>
      <c r="BY343" s="570"/>
      <c r="BZ343" s="571"/>
      <c r="CA343" s="571"/>
    </row>
    <row r="344" spans="2:79">
      <c r="B344" s="566">
        <v>329</v>
      </c>
      <c r="C344" s="308"/>
      <c r="D344" s="307"/>
      <c r="E344" s="307"/>
      <c r="F344" s="305"/>
      <c r="G344" s="305"/>
      <c r="H344" s="292"/>
      <c r="I344" s="574"/>
      <c r="J344" s="573"/>
      <c r="K344" s="307"/>
      <c r="L344" s="292"/>
      <c r="M344" s="308"/>
      <c r="N344" s="292"/>
      <c r="O344" s="308"/>
      <c r="P344" s="575"/>
      <c r="Q344" s="576"/>
      <c r="R344" s="308"/>
      <c r="S344" s="575"/>
      <c r="T344" s="576"/>
      <c r="U344" s="308"/>
      <c r="V344" s="575"/>
      <c r="W344" s="576"/>
      <c r="X344" s="308"/>
      <c r="Y344" s="575"/>
      <c r="Z344" s="576"/>
      <c r="AA344" s="308"/>
      <c r="AB344" s="575"/>
      <c r="AC344" s="576"/>
      <c r="AD344" s="308"/>
      <c r="AE344" s="575"/>
      <c r="AF344" s="308"/>
      <c r="AG344" s="575"/>
      <c r="AH344" s="308"/>
      <c r="AI344" s="575"/>
      <c r="AJ344" s="308"/>
      <c r="AK344" s="305"/>
      <c r="AL344" s="577"/>
      <c r="AM344" s="306"/>
      <c r="AN344" s="308"/>
      <c r="AO344" s="573"/>
      <c r="AP344" s="305"/>
      <c r="AQ344" s="308"/>
      <c r="AR344" s="573"/>
      <c r="AS344" s="578"/>
      <c r="AT344" s="577"/>
      <c r="AU344" s="579"/>
      <c r="AV344" s="578"/>
      <c r="AW344" s="308"/>
      <c r="AX344" s="307"/>
      <c r="AY344" s="307"/>
      <c r="AZ344" s="307"/>
      <c r="BA344" s="307"/>
      <c r="BB344" s="307"/>
      <c r="BC344" s="305"/>
      <c r="BD344" s="292"/>
      <c r="BE344" s="297"/>
      <c r="BF344" s="297"/>
      <c r="BG344" s="569"/>
      <c r="BH344" s="570"/>
      <c r="BI344" s="570"/>
      <c r="BJ344" s="570"/>
      <c r="BK344" s="570"/>
      <c r="BL344" s="570"/>
      <c r="BM344" s="570"/>
      <c r="BN344" s="570"/>
      <c r="BO344" s="570"/>
      <c r="BP344" s="570"/>
      <c r="BQ344" s="570"/>
      <c r="BR344" s="570"/>
      <c r="BS344" s="570"/>
      <c r="BT344" s="570"/>
      <c r="BU344" s="570"/>
      <c r="BV344" s="570"/>
      <c r="BW344" s="570"/>
      <c r="BX344" s="570"/>
      <c r="BY344" s="570"/>
      <c r="BZ344" s="571"/>
      <c r="CA344" s="571"/>
    </row>
    <row r="345" spans="2:79">
      <c r="B345" s="572">
        <v>330</v>
      </c>
      <c r="C345" s="308"/>
      <c r="D345" s="307"/>
      <c r="E345" s="307"/>
      <c r="F345" s="305"/>
      <c r="G345" s="305"/>
      <c r="H345" s="292"/>
      <c r="I345" s="574"/>
      <c r="J345" s="573"/>
      <c r="K345" s="307"/>
      <c r="L345" s="292"/>
      <c r="M345" s="308"/>
      <c r="N345" s="292"/>
      <c r="O345" s="308"/>
      <c r="P345" s="575"/>
      <c r="Q345" s="576"/>
      <c r="R345" s="308"/>
      <c r="S345" s="575"/>
      <c r="T345" s="576"/>
      <c r="U345" s="308"/>
      <c r="V345" s="575"/>
      <c r="W345" s="576"/>
      <c r="X345" s="308"/>
      <c r="Y345" s="575"/>
      <c r="Z345" s="576"/>
      <c r="AA345" s="308"/>
      <c r="AB345" s="575"/>
      <c r="AC345" s="576"/>
      <c r="AD345" s="308"/>
      <c r="AE345" s="575"/>
      <c r="AF345" s="308"/>
      <c r="AG345" s="575"/>
      <c r="AH345" s="308"/>
      <c r="AI345" s="575"/>
      <c r="AJ345" s="308"/>
      <c r="AK345" s="305"/>
      <c r="AL345" s="577"/>
      <c r="AM345" s="306"/>
      <c r="AN345" s="308"/>
      <c r="AO345" s="573"/>
      <c r="AP345" s="305"/>
      <c r="AQ345" s="308"/>
      <c r="AR345" s="573"/>
      <c r="AS345" s="578"/>
      <c r="AT345" s="577"/>
      <c r="AU345" s="579"/>
      <c r="AV345" s="578"/>
      <c r="AW345" s="308"/>
      <c r="AX345" s="307"/>
      <c r="AY345" s="307"/>
      <c r="AZ345" s="307"/>
      <c r="BA345" s="307"/>
      <c r="BB345" s="307"/>
      <c r="BC345" s="305"/>
      <c r="BD345" s="292"/>
      <c r="BE345" s="297"/>
      <c r="BF345" s="297"/>
      <c r="BG345" s="569"/>
      <c r="BH345" s="570"/>
      <c r="BI345" s="570"/>
      <c r="BJ345" s="570"/>
      <c r="BK345" s="570"/>
      <c r="BL345" s="570"/>
      <c r="BM345" s="570"/>
      <c r="BN345" s="570"/>
      <c r="BO345" s="570"/>
      <c r="BP345" s="570"/>
      <c r="BQ345" s="570"/>
      <c r="BR345" s="570"/>
      <c r="BS345" s="570"/>
      <c r="BT345" s="570"/>
      <c r="BU345" s="570"/>
      <c r="BV345" s="570"/>
      <c r="BW345" s="570"/>
      <c r="BX345" s="570"/>
      <c r="BY345" s="570"/>
      <c r="BZ345" s="571"/>
      <c r="CA345" s="571"/>
    </row>
    <row r="346" spans="2:79">
      <c r="B346" s="566">
        <v>331</v>
      </c>
      <c r="C346" s="308"/>
      <c r="D346" s="307"/>
      <c r="E346" s="307"/>
      <c r="F346" s="305"/>
      <c r="G346" s="305"/>
      <c r="H346" s="292"/>
      <c r="I346" s="574"/>
      <c r="J346" s="573"/>
      <c r="K346" s="307"/>
      <c r="L346" s="292"/>
      <c r="M346" s="308"/>
      <c r="N346" s="292"/>
      <c r="O346" s="308"/>
      <c r="P346" s="575"/>
      <c r="Q346" s="576"/>
      <c r="R346" s="308"/>
      <c r="S346" s="575"/>
      <c r="T346" s="576"/>
      <c r="U346" s="308"/>
      <c r="V346" s="575"/>
      <c r="W346" s="576"/>
      <c r="X346" s="308"/>
      <c r="Y346" s="575"/>
      <c r="Z346" s="576"/>
      <c r="AA346" s="308"/>
      <c r="AB346" s="575"/>
      <c r="AC346" s="576"/>
      <c r="AD346" s="308"/>
      <c r="AE346" s="575"/>
      <c r="AF346" s="308"/>
      <c r="AG346" s="575"/>
      <c r="AH346" s="308"/>
      <c r="AI346" s="575"/>
      <c r="AJ346" s="308"/>
      <c r="AK346" s="305"/>
      <c r="AL346" s="577"/>
      <c r="AM346" s="306"/>
      <c r="AN346" s="308"/>
      <c r="AO346" s="573"/>
      <c r="AP346" s="305"/>
      <c r="AQ346" s="308"/>
      <c r="AR346" s="573"/>
      <c r="AS346" s="578"/>
      <c r="AT346" s="577"/>
      <c r="AU346" s="579"/>
      <c r="AV346" s="578"/>
      <c r="AW346" s="308"/>
      <c r="AX346" s="307"/>
      <c r="AY346" s="307"/>
      <c r="AZ346" s="307"/>
      <c r="BA346" s="307"/>
      <c r="BB346" s="307"/>
      <c r="BC346" s="305"/>
      <c r="BD346" s="292"/>
      <c r="BE346" s="297"/>
      <c r="BF346" s="297"/>
      <c r="BG346" s="569"/>
      <c r="BH346" s="570"/>
      <c r="BI346" s="570"/>
      <c r="BJ346" s="570"/>
      <c r="BK346" s="570"/>
      <c r="BL346" s="570"/>
      <c r="BM346" s="570"/>
      <c r="BN346" s="570"/>
      <c r="BO346" s="570"/>
      <c r="BP346" s="570"/>
      <c r="BQ346" s="570"/>
      <c r="BR346" s="570"/>
      <c r="BS346" s="570"/>
      <c r="BT346" s="570"/>
      <c r="BU346" s="570"/>
      <c r="BV346" s="570"/>
      <c r="BW346" s="570"/>
      <c r="BX346" s="570"/>
      <c r="BY346" s="570"/>
      <c r="BZ346" s="571"/>
      <c r="CA346" s="571"/>
    </row>
    <row r="347" spans="2:79">
      <c r="B347" s="572">
        <v>332</v>
      </c>
      <c r="C347" s="308"/>
      <c r="D347" s="307"/>
      <c r="E347" s="307"/>
      <c r="F347" s="305"/>
      <c r="G347" s="305"/>
      <c r="H347" s="292"/>
      <c r="I347" s="574"/>
      <c r="J347" s="573"/>
      <c r="K347" s="307"/>
      <c r="L347" s="292"/>
      <c r="M347" s="308"/>
      <c r="N347" s="292"/>
      <c r="O347" s="308"/>
      <c r="P347" s="575"/>
      <c r="Q347" s="576"/>
      <c r="R347" s="308"/>
      <c r="S347" s="575"/>
      <c r="T347" s="576"/>
      <c r="U347" s="308"/>
      <c r="V347" s="575"/>
      <c r="W347" s="576"/>
      <c r="X347" s="308"/>
      <c r="Y347" s="575"/>
      <c r="Z347" s="576"/>
      <c r="AA347" s="308"/>
      <c r="AB347" s="575"/>
      <c r="AC347" s="576"/>
      <c r="AD347" s="308"/>
      <c r="AE347" s="575"/>
      <c r="AF347" s="308"/>
      <c r="AG347" s="575"/>
      <c r="AH347" s="308"/>
      <c r="AI347" s="575"/>
      <c r="AJ347" s="308"/>
      <c r="AK347" s="305"/>
      <c r="AL347" s="577"/>
      <c r="AM347" s="306"/>
      <c r="AN347" s="308"/>
      <c r="AO347" s="573"/>
      <c r="AP347" s="305"/>
      <c r="AQ347" s="308"/>
      <c r="AR347" s="573"/>
      <c r="AS347" s="578"/>
      <c r="AT347" s="577"/>
      <c r="AU347" s="579"/>
      <c r="AV347" s="578"/>
      <c r="AW347" s="308"/>
      <c r="AX347" s="307"/>
      <c r="AY347" s="307"/>
      <c r="AZ347" s="307"/>
      <c r="BA347" s="307"/>
      <c r="BB347" s="307"/>
      <c r="BC347" s="305"/>
      <c r="BD347" s="292"/>
      <c r="BE347" s="297"/>
      <c r="BF347" s="297"/>
      <c r="BG347" s="569"/>
      <c r="BH347" s="570"/>
      <c r="BI347" s="570"/>
      <c r="BJ347" s="570"/>
      <c r="BK347" s="570"/>
      <c r="BL347" s="570"/>
      <c r="BM347" s="570"/>
      <c r="BN347" s="570"/>
      <c r="BO347" s="570"/>
      <c r="BP347" s="570"/>
      <c r="BQ347" s="570"/>
      <c r="BR347" s="570"/>
      <c r="BS347" s="570"/>
      <c r="BT347" s="570"/>
      <c r="BU347" s="570"/>
      <c r="BV347" s="570"/>
      <c r="BW347" s="570"/>
      <c r="BX347" s="570"/>
      <c r="BY347" s="570"/>
      <c r="BZ347" s="571"/>
      <c r="CA347" s="571"/>
    </row>
    <row r="348" spans="2:79">
      <c r="B348" s="566">
        <v>333</v>
      </c>
      <c r="C348" s="308"/>
      <c r="D348" s="307"/>
      <c r="E348" s="307"/>
      <c r="F348" s="305"/>
      <c r="G348" s="305"/>
      <c r="H348" s="292"/>
      <c r="I348" s="574"/>
      <c r="J348" s="573"/>
      <c r="K348" s="307"/>
      <c r="L348" s="292"/>
      <c r="M348" s="308"/>
      <c r="N348" s="292"/>
      <c r="O348" s="308"/>
      <c r="P348" s="575"/>
      <c r="Q348" s="576"/>
      <c r="R348" s="308"/>
      <c r="S348" s="575"/>
      <c r="T348" s="576"/>
      <c r="U348" s="308"/>
      <c r="V348" s="575"/>
      <c r="W348" s="576"/>
      <c r="X348" s="308"/>
      <c r="Y348" s="575"/>
      <c r="Z348" s="576"/>
      <c r="AA348" s="308"/>
      <c r="AB348" s="575"/>
      <c r="AC348" s="576"/>
      <c r="AD348" s="308"/>
      <c r="AE348" s="575"/>
      <c r="AF348" s="308"/>
      <c r="AG348" s="575"/>
      <c r="AH348" s="308"/>
      <c r="AI348" s="575"/>
      <c r="AJ348" s="308"/>
      <c r="AK348" s="305"/>
      <c r="AL348" s="577"/>
      <c r="AM348" s="306"/>
      <c r="AN348" s="308"/>
      <c r="AO348" s="573"/>
      <c r="AP348" s="305"/>
      <c r="AQ348" s="308"/>
      <c r="AR348" s="573"/>
      <c r="AS348" s="578"/>
      <c r="AT348" s="577"/>
      <c r="AU348" s="579"/>
      <c r="AV348" s="578"/>
      <c r="AW348" s="308"/>
      <c r="AX348" s="307"/>
      <c r="AY348" s="307"/>
      <c r="AZ348" s="307"/>
      <c r="BA348" s="307"/>
      <c r="BB348" s="307"/>
      <c r="BC348" s="305"/>
      <c r="BD348" s="292"/>
      <c r="BE348" s="297"/>
      <c r="BF348" s="297"/>
      <c r="BG348" s="569"/>
      <c r="BH348" s="570"/>
      <c r="BI348" s="570"/>
      <c r="BJ348" s="570"/>
      <c r="BK348" s="570"/>
      <c r="BL348" s="570"/>
      <c r="BM348" s="570"/>
      <c r="BN348" s="570"/>
      <c r="BO348" s="570"/>
      <c r="BP348" s="570"/>
      <c r="BQ348" s="570"/>
      <c r="BR348" s="570"/>
      <c r="BS348" s="570"/>
      <c r="BT348" s="570"/>
      <c r="BU348" s="570"/>
      <c r="BV348" s="570"/>
      <c r="BW348" s="570"/>
      <c r="BX348" s="570"/>
      <c r="BY348" s="570"/>
      <c r="BZ348" s="571"/>
      <c r="CA348" s="571"/>
    </row>
    <row r="349" spans="2:79">
      <c r="B349" s="572">
        <v>334</v>
      </c>
      <c r="C349" s="308"/>
      <c r="D349" s="307"/>
      <c r="E349" s="307"/>
      <c r="F349" s="305"/>
      <c r="G349" s="305"/>
      <c r="H349" s="292"/>
      <c r="I349" s="574"/>
      <c r="J349" s="573"/>
      <c r="K349" s="307"/>
      <c r="L349" s="292"/>
      <c r="M349" s="308"/>
      <c r="N349" s="292"/>
      <c r="O349" s="308"/>
      <c r="P349" s="575"/>
      <c r="Q349" s="576"/>
      <c r="R349" s="308"/>
      <c r="S349" s="575"/>
      <c r="T349" s="576"/>
      <c r="U349" s="308"/>
      <c r="V349" s="575"/>
      <c r="W349" s="576"/>
      <c r="X349" s="308"/>
      <c r="Y349" s="575"/>
      <c r="Z349" s="576"/>
      <c r="AA349" s="308"/>
      <c r="AB349" s="575"/>
      <c r="AC349" s="576"/>
      <c r="AD349" s="308"/>
      <c r="AE349" s="575"/>
      <c r="AF349" s="308"/>
      <c r="AG349" s="575"/>
      <c r="AH349" s="308"/>
      <c r="AI349" s="575"/>
      <c r="AJ349" s="308"/>
      <c r="AK349" s="305"/>
      <c r="AL349" s="577"/>
      <c r="AM349" s="306"/>
      <c r="AN349" s="308"/>
      <c r="AO349" s="573"/>
      <c r="AP349" s="305"/>
      <c r="AQ349" s="308"/>
      <c r="AR349" s="573"/>
      <c r="AS349" s="578"/>
      <c r="AT349" s="577"/>
      <c r="AU349" s="579"/>
      <c r="AV349" s="578"/>
      <c r="AW349" s="308"/>
      <c r="AX349" s="307"/>
      <c r="AY349" s="307"/>
      <c r="AZ349" s="307"/>
      <c r="BA349" s="307"/>
      <c r="BB349" s="307"/>
      <c r="BC349" s="305"/>
      <c r="BD349" s="292"/>
      <c r="BE349" s="297"/>
      <c r="BF349" s="297"/>
      <c r="BG349" s="569"/>
      <c r="BH349" s="570"/>
      <c r="BI349" s="570"/>
      <c r="BJ349" s="570"/>
      <c r="BK349" s="570"/>
      <c r="BL349" s="570"/>
      <c r="BM349" s="570"/>
      <c r="BN349" s="570"/>
      <c r="BO349" s="570"/>
      <c r="BP349" s="570"/>
      <c r="BQ349" s="570"/>
      <c r="BR349" s="570"/>
      <c r="BS349" s="570"/>
      <c r="BT349" s="570"/>
      <c r="BU349" s="570"/>
      <c r="BV349" s="570"/>
      <c r="BW349" s="570"/>
      <c r="BX349" s="570"/>
      <c r="BY349" s="570"/>
      <c r="BZ349" s="571"/>
      <c r="CA349" s="571"/>
    </row>
    <row r="350" spans="2:79">
      <c r="B350" s="566">
        <v>335</v>
      </c>
      <c r="C350" s="308"/>
      <c r="D350" s="307"/>
      <c r="E350" s="307"/>
      <c r="F350" s="305"/>
      <c r="G350" s="305"/>
      <c r="H350" s="292"/>
      <c r="I350" s="574"/>
      <c r="J350" s="573"/>
      <c r="K350" s="307"/>
      <c r="L350" s="292"/>
      <c r="M350" s="308"/>
      <c r="N350" s="292"/>
      <c r="O350" s="308"/>
      <c r="P350" s="575"/>
      <c r="Q350" s="576"/>
      <c r="R350" s="308"/>
      <c r="S350" s="575"/>
      <c r="T350" s="576"/>
      <c r="U350" s="308"/>
      <c r="V350" s="575"/>
      <c r="W350" s="576"/>
      <c r="X350" s="308"/>
      <c r="Y350" s="575"/>
      <c r="Z350" s="576"/>
      <c r="AA350" s="308"/>
      <c r="AB350" s="575"/>
      <c r="AC350" s="576"/>
      <c r="AD350" s="308"/>
      <c r="AE350" s="575"/>
      <c r="AF350" s="308"/>
      <c r="AG350" s="575"/>
      <c r="AH350" s="308"/>
      <c r="AI350" s="575"/>
      <c r="AJ350" s="308"/>
      <c r="AK350" s="305"/>
      <c r="AL350" s="577"/>
      <c r="AM350" s="306"/>
      <c r="AN350" s="308"/>
      <c r="AO350" s="573"/>
      <c r="AP350" s="305"/>
      <c r="AQ350" s="308"/>
      <c r="AR350" s="573"/>
      <c r="AS350" s="578"/>
      <c r="AT350" s="577"/>
      <c r="AU350" s="579"/>
      <c r="AV350" s="578"/>
      <c r="AW350" s="308"/>
      <c r="AX350" s="307"/>
      <c r="AY350" s="307"/>
      <c r="AZ350" s="307"/>
      <c r="BA350" s="307"/>
      <c r="BB350" s="307"/>
      <c r="BC350" s="305"/>
      <c r="BD350" s="292"/>
      <c r="BE350" s="297"/>
      <c r="BF350" s="297"/>
      <c r="BG350" s="569"/>
      <c r="BH350" s="570"/>
      <c r="BI350" s="570"/>
      <c r="BJ350" s="570"/>
      <c r="BK350" s="570"/>
      <c r="BL350" s="570"/>
      <c r="BM350" s="570"/>
      <c r="BN350" s="570"/>
      <c r="BO350" s="570"/>
      <c r="BP350" s="570"/>
      <c r="BQ350" s="570"/>
      <c r="BR350" s="570"/>
      <c r="BS350" s="570"/>
      <c r="BT350" s="570"/>
      <c r="BU350" s="570"/>
      <c r="BV350" s="570"/>
      <c r="BW350" s="570"/>
      <c r="BX350" s="570"/>
      <c r="BY350" s="570"/>
      <c r="BZ350" s="571"/>
      <c r="CA350" s="571"/>
    </row>
    <row r="351" spans="2:79">
      <c r="B351" s="572">
        <v>336</v>
      </c>
      <c r="C351" s="308"/>
      <c r="D351" s="307"/>
      <c r="E351" s="307"/>
      <c r="F351" s="305"/>
      <c r="G351" s="305"/>
      <c r="H351" s="292"/>
      <c r="I351" s="574"/>
      <c r="J351" s="573"/>
      <c r="K351" s="307"/>
      <c r="L351" s="292"/>
      <c r="M351" s="308"/>
      <c r="N351" s="292"/>
      <c r="O351" s="308"/>
      <c r="P351" s="575"/>
      <c r="Q351" s="576"/>
      <c r="R351" s="308"/>
      <c r="S351" s="575"/>
      <c r="T351" s="576"/>
      <c r="U351" s="308"/>
      <c r="V351" s="575"/>
      <c r="W351" s="576"/>
      <c r="X351" s="308"/>
      <c r="Y351" s="575"/>
      <c r="Z351" s="576"/>
      <c r="AA351" s="308"/>
      <c r="AB351" s="575"/>
      <c r="AC351" s="576"/>
      <c r="AD351" s="308"/>
      <c r="AE351" s="575"/>
      <c r="AF351" s="308"/>
      <c r="AG351" s="575"/>
      <c r="AH351" s="308"/>
      <c r="AI351" s="575"/>
      <c r="AJ351" s="308"/>
      <c r="AK351" s="305"/>
      <c r="AL351" s="577"/>
      <c r="AM351" s="306"/>
      <c r="AN351" s="308"/>
      <c r="AO351" s="573"/>
      <c r="AP351" s="305"/>
      <c r="AQ351" s="308"/>
      <c r="AR351" s="573"/>
      <c r="AS351" s="578"/>
      <c r="AT351" s="577"/>
      <c r="AU351" s="579"/>
      <c r="AV351" s="578"/>
      <c r="AW351" s="308"/>
      <c r="AX351" s="307"/>
      <c r="AY351" s="307"/>
      <c r="AZ351" s="307"/>
      <c r="BA351" s="307"/>
      <c r="BB351" s="307"/>
      <c r="BC351" s="305"/>
      <c r="BD351" s="292"/>
      <c r="BE351" s="297"/>
      <c r="BF351" s="297"/>
      <c r="BG351" s="569"/>
      <c r="BH351" s="570"/>
      <c r="BI351" s="570"/>
      <c r="BJ351" s="570"/>
      <c r="BK351" s="570"/>
      <c r="BL351" s="570"/>
      <c r="BM351" s="570"/>
      <c r="BN351" s="570"/>
      <c r="BO351" s="570"/>
      <c r="BP351" s="570"/>
      <c r="BQ351" s="570"/>
      <c r="BR351" s="570"/>
      <c r="BS351" s="570"/>
      <c r="BT351" s="570"/>
      <c r="BU351" s="570"/>
      <c r="BV351" s="570"/>
      <c r="BW351" s="570"/>
      <c r="BX351" s="570"/>
      <c r="BY351" s="570"/>
      <c r="BZ351" s="571"/>
      <c r="CA351" s="571"/>
    </row>
    <row r="352" spans="2:79">
      <c r="B352" s="566">
        <v>337</v>
      </c>
      <c r="C352" s="308"/>
      <c r="D352" s="307"/>
      <c r="E352" s="307"/>
      <c r="F352" s="305"/>
      <c r="G352" s="305"/>
      <c r="H352" s="292"/>
      <c r="I352" s="574"/>
      <c r="J352" s="573"/>
      <c r="K352" s="307"/>
      <c r="L352" s="292"/>
      <c r="M352" s="308"/>
      <c r="N352" s="292"/>
      <c r="O352" s="308"/>
      <c r="P352" s="575"/>
      <c r="Q352" s="576"/>
      <c r="R352" s="308"/>
      <c r="S352" s="575"/>
      <c r="T352" s="576"/>
      <c r="U352" s="308"/>
      <c r="V352" s="575"/>
      <c r="W352" s="576"/>
      <c r="X352" s="308"/>
      <c r="Y352" s="575"/>
      <c r="Z352" s="576"/>
      <c r="AA352" s="308"/>
      <c r="AB352" s="575"/>
      <c r="AC352" s="576"/>
      <c r="AD352" s="308"/>
      <c r="AE352" s="575"/>
      <c r="AF352" s="308"/>
      <c r="AG352" s="575"/>
      <c r="AH352" s="308"/>
      <c r="AI352" s="575"/>
      <c r="AJ352" s="308"/>
      <c r="AK352" s="305"/>
      <c r="AL352" s="577"/>
      <c r="AM352" s="306"/>
      <c r="AN352" s="308"/>
      <c r="AO352" s="573"/>
      <c r="AP352" s="305"/>
      <c r="AQ352" s="308"/>
      <c r="AR352" s="573"/>
      <c r="AS352" s="578"/>
      <c r="AT352" s="577"/>
      <c r="AU352" s="579"/>
      <c r="AV352" s="578"/>
      <c r="AW352" s="308"/>
      <c r="AX352" s="307"/>
      <c r="AY352" s="307"/>
      <c r="AZ352" s="307"/>
      <c r="BA352" s="307"/>
      <c r="BB352" s="307"/>
      <c r="BC352" s="305"/>
      <c r="BD352" s="292"/>
      <c r="BE352" s="297"/>
      <c r="BF352" s="297"/>
      <c r="BG352" s="569"/>
      <c r="BH352" s="570"/>
      <c r="BI352" s="570"/>
      <c r="BJ352" s="570"/>
      <c r="BK352" s="570"/>
      <c r="BL352" s="570"/>
      <c r="BM352" s="570"/>
      <c r="BN352" s="570"/>
      <c r="BO352" s="570"/>
      <c r="BP352" s="570"/>
      <c r="BQ352" s="570"/>
      <c r="BR352" s="570"/>
      <c r="BS352" s="570"/>
      <c r="BT352" s="570"/>
      <c r="BU352" s="570"/>
      <c r="BV352" s="570"/>
      <c r="BW352" s="570"/>
      <c r="BX352" s="570"/>
      <c r="BY352" s="570"/>
      <c r="BZ352" s="571"/>
      <c r="CA352" s="571"/>
    </row>
    <row r="353" spans="2:79">
      <c r="B353" s="572">
        <v>338</v>
      </c>
      <c r="C353" s="308"/>
      <c r="D353" s="307"/>
      <c r="E353" s="307"/>
      <c r="F353" s="305"/>
      <c r="G353" s="305"/>
      <c r="H353" s="292"/>
      <c r="I353" s="574"/>
      <c r="J353" s="573"/>
      <c r="K353" s="307"/>
      <c r="L353" s="292"/>
      <c r="M353" s="308"/>
      <c r="N353" s="292"/>
      <c r="O353" s="308"/>
      <c r="P353" s="575"/>
      <c r="Q353" s="576"/>
      <c r="R353" s="308"/>
      <c r="S353" s="575"/>
      <c r="T353" s="576"/>
      <c r="U353" s="308"/>
      <c r="V353" s="575"/>
      <c r="W353" s="576"/>
      <c r="X353" s="308"/>
      <c r="Y353" s="575"/>
      <c r="Z353" s="576"/>
      <c r="AA353" s="308"/>
      <c r="AB353" s="575"/>
      <c r="AC353" s="576"/>
      <c r="AD353" s="308"/>
      <c r="AE353" s="575"/>
      <c r="AF353" s="308"/>
      <c r="AG353" s="575"/>
      <c r="AH353" s="308"/>
      <c r="AI353" s="575"/>
      <c r="AJ353" s="308"/>
      <c r="AK353" s="305"/>
      <c r="AL353" s="577"/>
      <c r="AM353" s="306"/>
      <c r="AN353" s="308"/>
      <c r="AO353" s="573"/>
      <c r="AP353" s="305"/>
      <c r="AQ353" s="308"/>
      <c r="AR353" s="573"/>
      <c r="AS353" s="578"/>
      <c r="AT353" s="577"/>
      <c r="AU353" s="579"/>
      <c r="AV353" s="578"/>
      <c r="AW353" s="308"/>
      <c r="AX353" s="307"/>
      <c r="AY353" s="307"/>
      <c r="AZ353" s="307"/>
      <c r="BA353" s="307"/>
      <c r="BB353" s="307"/>
      <c r="BC353" s="305"/>
      <c r="BD353" s="292"/>
      <c r="BE353" s="297"/>
      <c r="BF353" s="297"/>
      <c r="BG353" s="569"/>
      <c r="BH353" s="570"/>
      <c r="BI353" s="570"/>
      <c r="BJ353" s="570"/>
      <c r="BK353" s="570"/>
      <c r="BL353" s="570"/>
      <c r="BM353" s="570"/>
      <c r="BN353" s="570"/>
      <c r="BO353" s="570"/>
      <c r="BP353" s="570"/>
      <c r="BQ353" s="570"/>
      <c r="BR353" s="570"/>
      <c r="BS353" s="570"/>
      <c r="BT353" s="570"/>
      <c r="BU353" s="570"/>
      <c r="BV353" s="570"/>
      <c r="BW353" s="570"/>
      <c r="BX353" s="570"/>
      <c r="BY353" s="570"/>
      <c r="BZ353" s="571"/>
      <c r="CA353" s="571"/>
    </row>
    <row r="354" spans="2:79">
      <c r="B354" s="566">
        <v>339</v>
      </c>
      <c r="C354" s="308"/>
      <c r="D354" s="307"/>
      <c r="E354" s="307"/>
      <c r="F354" s="305"/>
      <c r="G354" s="305"/>
      <c r="H354" s="292"/>
      <c r="I354" s="574"/>
      <c r="J354" s="573"/>
      <c r="K354" s="307"/>
      <c r="L354" s="292"/>
      <c r="M354" s="308"/>
      <c r="N354" s="292"/>
      <c r="O354" s="308"/>
      <c r="P354" s="575"/>
      <c r="Q354" s="576"/>
      <c r="R354" s="308"/>
      <c r="S354" s="575"/>
      <c r="T354" s="576"/>
      <c r="U354" s="308"/>
      <c r="V354" s="575"/>
      <c r="W354" s="576"/>
      <c r="X354" s="308"/>
      <c r="Y354" s="575"/>
      <c r="Z354" s="576"/>
      <c r="AA354" s="308"/>
      <c r="AB354" s="575"/>
      <c r="AC354" s="576"/>
      <c r="AD354" s="308"/>
      <c r="AE354" s="575"/>
      <c r="AF354" s="308"/>
      <c r="AG354" s="575"/>
      <c r="AH354" s="308"/>
      <c r="AI354" s="575"/>
      <c r="AJ354" s="308"/>
      <c r="AK354" s="305"/>
      <c r="AL354" s="577"/>
      <c r="AM354" s="306"/>
      <c r="AN354" s="308"/>
      <c r="AO354" s="573"/>
      <c r="AP354" s="305"/>
      <c r="AQ354" s="308"/>
      <c r="AR354" s="573"/>
      <c r="AS354" s="578"/>
      <c r="AT354" s="577"/>
      <c r="AU354" s="579"/>
      <c r="AV354" s="578"/>
      <c r="AW354" s="308"/>
      <c r="AX354" s="307"/>
      <c r="AY354" s="307"/>
      <c r="AZ354" s="307"/>
      <c r="BA354" s="307"/>
      <c r="BB354" s="307"/>
      <c r="BC354" s="305"/>
      <c r="BD354" s="292"/>
      <c r="BE354" s="297"/>
      <c r="BF354" s="297"/>
      <c r="BG354" s="569"/>
      <c r="BH354" s="570"/>
      <c r="BI354" s="570"/>
      <c r="BJ354" s="803"/>
      <c r="BK354" s="803"/>
      <c r="BL354" s="803"/>
      <c r="BM354" s="803"/>
      <c r="BN354" s="803"/>
      <c r="BO354" s="803"/>
      <c r="BP354" s="803"/>
      <c r="BQ354" s="803"/>
      <c r="BR354" s="803"/>
      <c r="BS354" s="803"/>
      <c r="BT354" s="803"/>
      <c r="BU354" s="803"/>
      <c r="BV354" s="803"/>
      <c r="BW354" s="803"/>
      <c r="BX354" s="803"/>
      <c r="BY354" s="803"/>
      <c r="BZ354" s="804"/>
      <c r="CA354" s="804"/>
    </row>
    <row r="355" spans="2:79">
      <c r="B355" s="572">
        <v>340</v>
      </c>
      <c r="C355" s="308"/>
      <c r="D355" s="307"/>
      <c r="E355" s="307"/>
      <c r="F355" s="305"/>
      <c r="G355" s="305"/>
      <c r="H355" s="292"/>
      <c r="I355" s="574"/>
      <c r="J355" s="573"/>
      <c r="K355" s="307"/>
      <c r="L355" s="292"/>
      <c r="M355" s="308"/>
      <c r="N355" s="292"/>
      <c r="O355" s="308"/>
      <c r="P355" s="575"/>
      <c r="Q355" s="576"/>
      <c r="R355" s="308"/>
      <c r="S355" s="575"/>
      <c r="T355" s="576"/>
      <c r="U355" s="308"/>
      <c r="V355" s="575"/>
      <c r="W355" s="576"/>
      <c r="X355" s="308"/>
      <c r="Y355" s="575"/>
      <c r="Z355" s="576"/>
      <c r="AA355" s="308"/>
      <c r="AB355" s="575"/>
      <c r="AC355" s="576"/>
      <c r="AD355" s="308"/>
      <c r="AE355" s="575"/>
      <c r="AF355" s="308"/>
      <c r="AG355" s="575"/>
      <c r="AH355" s="308"/>
      <c r="AI355" s="575"/>
      <c r="AJ355" s="308"/>
      <c r="AK355" s="305"/>
      <c r="AL355" s="577"/>
      <c r="AM355" s="306"/>
      <c r="AN355" s="308"/>
      <c r="AO355" s="573"/>
      <c r="AP355" s="305"/>
      <c r="AQ355" s="308"/>
      <c r="AR355" s="573"/>
      <c r="AS355" s="578"/>
      <c r="AT355" s="577"/>
      <c r="AU355" s="579"/>
      <c r="AV355" s="578"/>
      <c r="AW355" s="308"/>
      <c r="AX355" s="307"/>
      <c r="AY355" s="307"/>
      <c r="AZ355" s="307"/>
      <c r="BA355" s="307"/>
      <c r="BB355" s="307"/>
      <c r="BC355" s="305"/>
      <c r="BD355" s="292"/>
      <c r="BE355" s="297"/>
      <c r="BF355" s="297"/>
      <c r="BG355" s="569"/>
      <c r="BH355" s="570"/>
      <c r="BI355" s="570"/>
      <c r="BJ355" s="570"/>
      <c r="BK355" s="570"/>
      <c r="BL355" s="570"/>
      <c r="BM355" s="570"/>
      <c r="BN355" s="570"/>
      <c r="BO355" s="570"/>
      <c r="BP355" s="570"/>
      <c r="BQ355" s="570"/>
      <c r="BR355" s="570"/>
      <c r="BS355" s="570"/>
      <c r="BT355" s="570"/>
      <c r="BU355" s="570"/>
      <c r="BV355" s="570"/>
      <c r="BW355" s="570"/>
      <c r="BX355" s="570"/>
      <c r="BY355" s="570"/>
      <c r="BZ355" s="571"/>
      <c r="CA355" s="571"/>
    </row>
    <row r="356" spans="2:79">
      <c r="B356" s="566">
        <v>341</v>
      </c>
      <c r="C356" s="308"/>
      <c r="D356" s="307"/>
      <c r="E356" s="307"/>
      <c r="F356" s="305"/>
      <c r="G356" s="305"/>
      <c r="H356" s="292"/>
      <c r="I356" s="574"/>
      <c r="J356" s="573"/>
      <c r="K356" s="307"/>
      <c r="L356" s="292"/>
      <c r="M356" s="308"/>
      <c r="N356" s="292"/>
      <c r="O356" s="308"/>
      <c r="P356" s="575"/>
      <c r="Q356" s="576"/>
      <c r="R356" s="308"/>
      <c r="S356" s="575"/>
      <c r="T356" s="576"/>
      <c r="U356" s="308"/>
      <c r="V356" s="575"/>
      <c r="W356" s="576"/>
      <c r="X356" s="308"/>
      <c r="Y356" s="575"/>
      <c r="Z356" s="576"/>
      <c r="AA356" s="308"/>
      <c r="AB356" s="575"/>
      <c r="AC356" s="576"/>
      <c r="AD356" s="308"/>
      <c r="AE356" s="575"/>
      <c r="AF356" s="308"/>
      <c r="AG356" s="575"/>
      <c r="AH356" s="308"/>
      <c r="AI356" s="575"/>
      <c r="AJ356" s="308"/>
      <c r="AK356" s="305"/>
      <c r="AL356" s="577"/>
      <c r="AM356" s="306"/>
      <c r="AN356" s="308"/>
      <c r="AO356" s="573"/>
      <c r="AP356" s="305"/>
      <c r="AQ356" s="308"/>
      <c r="AR356" s="573"/>
      <c r="AS356" s="578"/>
      <c r="AT356" s="577"/>
      <c r="AU356" s="579"/>
      <c r="AV356" s="578"/>
      <c r="AW356" s="308"/>
      <c r="AX356" s="307"/>
      <c r="AY356" s="307"/>
      <c r="AZ356" s="307"/>
      <c r="BA356" s="307"/>
      <c r="BB356" s="307"/>
      <c r="BC356" s="305"/>
      <c r="BD356" s="292"/>
      <c r="BE356" s="297"/>
      <c r="BF356" s="297"/>
      <c r="BG356" s="569"/>
      <c r="BH356" s="570"/>
      <c r="BI356" s="570"/>
      <c r="BJ356" s="570"/>
      <c r="BK356" s="570"/>
      <c r="BL356" s="570"/>
      <c r="BM356" s="570"/>
      <c r="BN356" s="570"/>
      <c r="BO356" s="570"/>
      <c r="BP356" s="570"/>
      <c r="BQ356" s="570"/>
      <c r="BR356" s="570"/>
      <c r="BS356" s="570"/>
      <c r="BT356" s="570"/>
      <c r="BU356" s="570"/>
      <c r="BV356" s="570"/>
      <c r="BW356" s="570"/>
      <c r="BX356" s="570"/>
      <c r="BY356" s="570"/>
      <c r="BZ356" s="571"/>
      <c r="CA356" s="571"/>
    </row>
    <row r="357" spans="2:79">
      <c r="B357" s="572">
        <v>342</v>
      </c>
      <c r="C357" s="308"/>
      <c r="D357" s="307"/>
      <c r="E357" s="307"/>
      <c r="F357" s="305"/>
      <c r="G357" s="305"/>
      <c r="H357" s="292"/>
      <c r="I357" s="574"/>
      <c r="J357" s="573"/>
      <c r="K357" s="307"/>
      <c r="L357" s="292"/>
      <c r="M357" s="308"/>
      <c r="N357" s="292"/>
      <c r="O357" s="308"/>
      <c r="P357" s="575"/>
      <c r="Q357" s="576"/>
      <c r="R357" s="308"/>
      <c r="S357" s="575"/>
      <c r="T357" s="576"/>
      <c r="U357" s="308"/>
      <c r="V357" s="575"/>
      <c r="W357" s="576"/>
      <c r="X357" s="308"/>
      <c r="Y357" s="575"/>
      <c r="Z357" s="576"/>
      <c r="AA357" s="308"/>
      <c r="AB357" s="575"/>
      <c r="AC357" s="576"/>
      <c r="AD357" s="308"/>
      <c r="AE357" s="575"/>
      <c r="AF357" s="308"/>
      <c r="AG357" s="575"/>
      <c r="AH357" s="308"/>
      <c r="AI357" s="575"/>
      <c r="AJ357" s="308"/>
      <c r="AK357" s="305"/>
      <c r="AL357" s="577"/>
      <c r="AM357" s="306"/>
      <c r="AN357" s="308"/>
      <c r="AO357" s="573"/>
      <c r="AP357" s="305"/>
      <c r="AQ357" s="308"/>
      <c r="AR357" s="573"/>
      <c r="AS357" s="578"/>
      <c r="AT357" s="577"/>
      <c r="AU357" s="579"/>
      <c r="AV357" s="578"/>
      <c r="AW357" s="308"/>
      <c r="AX357" s="307"/>
      <c r="AY357" s="307"/>
      <c r="AZ357" s="307"/>
      <c r="BA357" s="307"/>
      <c r="BB357" s="307"/>
      <c r="BC357" s="305"/>
      <c r="BD357" s="292"/>
      <c r="BE357" s="297"/>
      <c r="BF357" s="297"/>
      <c r="BG357" s="569"/>
      <c r="BH357" s="570"/>
      <c r="BI357" s="570"/>
      <c r="BJ357" s="570"/>
      <c r="BK357" s="570"/>
      <c r="BL357" s="570"/>
      <c r="BM357" s="570"/>
      <c r="BN357" s="570"/>
      <c r="BO357" s="570"/>
      <c r="BP357" s="570"/>
      <c r="BQ357" s="570"/>
      <c r="BR357" s="570"/>
      <c r="BS357" s="570"/>
      <c r="BT357" s="570"/>
      <c r="BU357" s="570"/>
      <c r="BV357" s="570"/>
      <c r="BW357" s="570"/>
      <c r="BX357" s="570"/>
      <c r="BY357" s="570"/>
      <c r="BZ357" s="571"/>
      <c r="CA357" s="571"/>
    </row>
    <row r="358" spans="2:79">
      <c r="B358" s="566">
        <v>343</v>
      </c>
      <c r="C358" s="308"/>
      <c r="D358" s="307"/>
      <c r="E358" s="307"/>
      <c r="F358" s="305"/>
      <c r="G358" s="305"/>
      <c r="H358" s="292"/>
      <c r="I358" s="574"/>
      <c r="J358" s="573"/>
      <c r="K358" s="307"/>
      <c r="L358" s="292"/>
      <c r="M358" s="308"/>
      <c r="N358" s="292"/>
      <c r="O358" s="308"/>
      <c r="P358" s="575"/>
      <c r="Q358" s="576"/>
      <c r="R358" s="308"/>
      <c r="S358" s="575"/>
      <c r="T358" s="576"/>
      <c r="U358" s="308"/>
      <c r="V358" s="575"/>
      <c r="W358" s="576"/>
      <c r="X358" s="308"/>
      <c r="Y358" s="575"/>
      <c r="Z358" s="576"/>
      <c r="AA358" s="308"/>
      <c r="AB358" s="575"/>
      <c r="AC358" s="576"/>
      <c r="AD358" s="308"/>
      <c r="AE358" s="575"/>
      <c r="AF358" s="308"/>
      <c r="AG358" s="575"/>
      <c r="AH358" s="308"/>
      <c r="AI358" s="575"/>
      <c r="AJ358" s="308"/>
      <c r="AK358" s="305"/>
      <c r="AL358" s="577"/>
      <c r="AM358" s="306"/>
      <c r="AN358" s="308"/>
      <c r="AO358" s="573"/>
      <c r="AP358" s="305"/>
      <c r="AQ358" s="308"/>
      <c r="AR358" s="573"/>
      <c r="AS358" s="578"/>
      <c r="AT358" s="577"/>
      <c r="AU358" s="579"/>
      <c r="AV358" s="578"/>
      <c r="AW358" s="308"/>
      <c r="AX358" s="307"/>
      <c r="AY358" s="307"/>
      <c r="AZ358" s="307"/>
      <c r="BA358" s="307"/>
      <c r="BB358" s="307"/>
      <c r="BC358" s="305"/>
      <c r="BD358" s="292"/>
      <c r="BE358" s="297"/>
      <c r="BF358" s="297"/>
      <c r="BG358" s="569"/>
      <c r="BH358" s="570"/>
      <c r="BI358" s="570"/>
      <c r="BJ358" s="570"/>
      <c r="BK358" s="570"/>
      <c r="BL358" s="570"/>
      <c r="BM358" s="570"/>
      <c r="BN358" s="570"/>
      <c r="BO358" s="570"/>
      <c r="BP358" s="570"/>
      <c r="BQ358" s="570"/>
      <c r="BR358" s="570"/>
      <c r="BS358" s="570"/>
      <c r="BT358" s="570"/>
      <c r="BU358" s="570"/>
      <c r="BV358" s="570"/>
      <c r="BW358" s="570"/>
      <c r="BX358" s="570"/>
      <c r="BY358" s="570"/>
      <c r="BZ358" s="571"/>
      <c r="CA358" s="571"/>
    </row>
    <row r="359" spans="2:79">
      <c r="B359" s="572">
        <v>344</v>
      </c>
      <c r="C359" s="308"/>
      <c r="D359" s="307"/>
      <c r="E359" s="307"/>
      <c r="F359" s="305"/>
      <c r="G359" s="305"/>
      <c r="H359" s="292"/>
      <c r="I359" s="574"/>
      <c r="J359" s="573"/>
      <c r="K359" s="307"/>
      <c r="L359" s="292"/>
      <c r="M359" s="308"/>
      <c r="N359" s="292"/>
      <c r="O359" s="308"/>
      <c r="P359" s="575"/>
      <c r="Q359" s="576"/>
      <c r="R359" s="308"/>
      <c r="S359" s="575"/>
      <c r="T359" s="576"/>
      <c r="U359" s="308"/>
      <c r="V359" s="575"/>
      <c r="W359" s="576"/>
      <c r="X359" s="308"/>
      <c r="Y359" s="575"/>
      <c r="Z359" s="576"/>
      <c r="AA359" s="308"/>
      <c r="AB359" s="575"/>
      <c r="AC359" s="576"/>
      <c r="AD359" s="308"/>
      <c r="AE359" s="575"/>
      <c r="AF359" s="308"/>
      <c r="AG359" s="575"/>
      <c r="AH359" s="308"/>
      <c r="AI359" s="575"/>
      <c r="AJ359" s="308"/>
      <c r="AK359" s="305"/>
      <c r="AL359" s="577"/>
      <c r="AM359" s="306"/>
      <c r="AN359" s="308"/>
      <c r="AO359" s="573"/>
      <c r="AP359" s="305"/>
      <c r="AQ359" s="308"/>
      <c r="AR359" s="573"/>
      <c r="AS359" s="578"/>
      <c r="AT359" s="577"/>
      <c r="AU359" s="579"/>
      <c r="AV359" s="578"/>
      <c r="AW359" s="308"/>
      <c r="AX359" s="307"/>
      <c r="AY359" s="307"/>
      <c r="AZ359" s="307"/>
      <c r="BA359" s="307"/>
      <c r="BB359" s="307"/>
      <c r="BC359" s="305"/>
      <c r="BD359" s="292"/>
      <c r="BE359" s="297"/>
      <c r="BF359" s="297"/>
      <c r="BG359" s="569"/>
      <c r="BH359" s="570"/>
      <c r="BI359" s="570"/>
      <c r="BJ359" s="570"/>
      <c r="BK359" s="570"/>
      <c r="BL359" s="570"/>
      <c r="BM359" s="570"/>
      <c r="BN359" s="570"/>
      <c r="BO359" s="570"/>
      <c r="BP359" s="570"/>
      <c r="BQ359" s="570"/>
      <c r="BR359" s="570"/>
      <c r="BS359" s="570"/>
      <c r="BT359" s="570"/>
      <c r="BU359" s="570"/>
      <c r="BV359" s="570"/>
      <c r="BW359" s="570"/>
      <c r="BX359" s="570"/>
      <c r="BY359" s="570"/>
      <c r="BZ359" s="571"/>
      <c r="CA359" s="571"/>
    </row>
    <row r="360" spans="2:79">
      <c r="B360" s="566">
        <v>345</v>
      </c>
      <c r="C360" s="308"/>
      <c r="D360" s="307"/>
      <c r="E360" s="307"/>
      <c r="F360" s="305"/>
      <c r="G360" s="305"/>
      <c r="H360" s="292"/>
      <c r="I360" s="574"/>
      <c r="J360" s="573"/>
      <c r="K360" s="307"/>
      <c r="L360" s="292"/>
      <c r="M360" s="308"/>
      <c r="N360" s="292"/>
      <c r="O360" s="308"/>
      <c r="P360" s="575"/>
      <c r="Q360" s="576"/>
      <c r="R360" s="308"/>
      <c r="S360" s="575"/>
      <c r="T360" s="576"/>
      <c r="U360" s="308"/>
      <c r="V360" s="575"/>
      <c r="W360" s="576"/>
      <c r="X360" s="308"/>
      <c r="Y360" s="575"/>
      <c r="Z360" s="576"/>
      <c r="AA360" s="308"/>
      <c r="AB360" s="575"/>
      <c r="AC360" s="576"/>
      <c r="AD360" s="308"/>
      <c r="AE360" s="575"/>
      <c r="AF360" s="308"/>
      <c r="AG360" s="575"/>
      <c r="AH360" s="308"/>
      <c r="AI360" s="575"/>
      <c r="AJ360" s="308"/>
      <c r="AK360" s="305"/>
      <c r="AL360" s="577"/>
      <c r="AM360" s="306"/>
      <c r="AN360" s="308"/>
      <c r="AO360" s="573"/>
      <c r="AP360" s="305"/>
      <c r="AQ360" s="308"/>
      <c r="AR360" s="573"/>
      <c r="AS360" s="578"/>
      <c r="AT360" s="577"/>
      <c r="AU360" s="579"/>
      <c r="AV360" s="578"/>
      <c r="AW360" s="308"/>
      <c r="AX360" s="307"/>
      <c r="AY360" s="307"/>
      <c r="AZ360" s="307"/>
      <c r="BA360" s="307"/>
      <c r="BB360" s="307"/>
      <c r="BC360" s="305"/>
      <c r="BD360" s="292"/>
      <c r="BE360" s="297"/>
      <c r="BF360" s="297"/>
      <c r="BG360" s="569"/>
      <c r="BH360" s="570"/>
      <c r="BI360" s="570"/>
      <c r="BJ360" s="570"/>
      <c r="BK360" s="570"/>
      <c r="BL360" s="570"/>
      <c r="BM360" s="570"/>
      <c r="BN360" s="570"/>
      <c r="BO360" s="570"/>
      <c r="BP360" s="570"/>
      <c r="BQ360" s="570"/>
      <c r="BR360" s="570"/>
      <c r="BS360" s="570"/>
      <c r="BT360" s="570"/>
      <c r="BU360" s="570"/>
      <c r="BV360" s="570"/>
      <c r="BW360" s="570"/>
      <c r="BX360" s="570"/>
      <c r="BY360" s="570"/>
      <c r="BZ360" s="571"/>
      <c r="CA360" s="571"/>
    </row>
    <row r="361" spans="2:79">
      <c r="B361" s="572">
        <v>346</v>
      </c>
      <c r="C361" s="308"/>
      <c r="D361" s="307"/>
      <c r="E361" s="307"/>
      <c r="F361" s="305"/>
      <c r="G361" s="305"/>
      <c r="H361" s="292"/>
      <c r="I361" s="574"/>
      <c r="J361" s="573"/>
      <c r="K361" s="307"/>
      <c r="L361" s="292"/>
      <c r="M361" s="308"/>
      <c r="N361" s="292"/>
      <c r="O361" s="308"/>
      <c r="P361" s="575"/>
      <c r="Q361" s="576"/>
      <c r="R361" s="308"/>
      <c r="S361" s="575"/>
      <c r="T361" s="576"/>
      <c r="U361" s="308"/>
      <c r="V361" s="575"/>
      <c r="W361" s="576"/>
      <c r="X361" s="308"/>
      <c r="Y361" s="575"/>
      <c r="Z361" s="576"/>
      <c r="AA361" s="308"/>
      <c r="AB361" s="575"/>
      <c r="AC361" s="576"/>
      <c r="AD361" s="308"/>
      <c r="AE361" s="575"/>
      <c r="AF361" s="308"/>
      <c r="AG361" s="575"/>
      <c r="AH361" s="308"/>
      <c r="AI361" s="575"/>
      <c r="AJ361" s="308"/>
      <c r="AK361" s="305"/>
      <c r="AL361" s="577"/>
      <c r="AM361" s="306"/>
      <c r="AN361" s="308"/>
      <c r="AO361" s="573"/>
      <c r="AP361" s="305"/>
      <c r="AQ361" s="308"/>
      <c r="AR361" s="573"/>
      <c r="AS361" s="578"/>
      <c r="AT361" s="577"/>
      <c r="AU361" s="579"/>
      <c r="AV361" s="578"/>
      <c r="AW361" s="308"/>
      <c r="AX361" s="307"/>
      <c r="AY361" s="307"/>
      <c r="AZ361" s="307"/>
      <c r="BA361" s="307"/>
      <c r="BB361" s="307"/>
      <c r="BC361" s="305"/>
      <c r="BD361" s="292"/>
      <c r="BE361" s="297"/>
      <c r="BF361" s="297"/>
      <c r="BG361" s="569"/>
      <c r="BH361" s="570"/>
      <c r="BI361" s="570"/>
      <c r="BJ361" s="570"/>
      <c r="BK361" s="570"/>
      <c r="BL361" s="570"/>
      <c r="BM361" s="570"/>
      <c r="BN361" s="570"/>
      <c r="BO361" s="570"/>
      <c r="BP361" s="570"/>
      <c r="BQ361" s="570"/>
      <c r="BR361" s="570"/>
      <c r="BS361" s="570"/>
      <c r="BT361" s="570"/>
      <c r="BU361" s="570"/>
      <c r="BV361" s="570"/>
      <c r="BW361" s="570"/>
      <c r="BX361" s="570"/>
      <c r="BY361" s="570"/>
      <c r="BZ361" s="571"/>
      <c r="CA361" s="571"/>
    </row>
    <row r="362" spans="2:79">
      <c r="B362" s="566">
        <v>347</v>
      </c>
      <c r="C362" s="308"/>
      <c r="D362" s="307"/>
      <c r="E362" s="307"/>
      <c r="F362" s="305"/>
      <c r="G362" s="305"/>
      <c r="H362" s="292"/>
      <c r="I362" s="574"/>
      <c r="J362" s="573"/>
      <c r="K362" s="307"/>
      <c r="L362" s="292"/>
      <c r="M362" s="308"/>
      <c r="N362" s="292"/>
      <c r="O362" s="308"/>
      <c r="P362" s="575"/>
      <c r="Q362" s="576"/>
      <c r="R362" s="308"/>
      <c r="S362" s="575"/>
      <c r="T362" s="576"/>
      <c r="U362" s="308"/>
      <c r="V362" s="575"/>
      <c r="W362" s="576"/>
      <c r="X362" s="308"/>
      <c r="Y362" s="575"/>
      <c r="Z362" s="576"/>
      <c r="AA362" s="308"/>
      <c r="AB362" s="575"/>
      <c r="AC362" s="576"/>
      <c r="AD362" s="308"/>
      <c r="AE362" s="575"/>
      <c r="AF362" s="308"/>
      <c r="AG362" s="575"/>
      <c r="AH362" s="308"/>
      <c r="AI362" s="575"/>
      <c r="AJ362" s="308"/>
      <c r="AK362" s="305"/>
      <c r="AL362" s="577"/>
      <c r="AM362" s="306"/>
      <c r="AN362" s="308"/>
      <c r="AO362" s="573"/>
      <c r="AP362" s="305"/>
      <c r="AQ362" s="308"/>
      <c r="AR362" s="573"/>
      <c r="AS362" s="578"/>
      <c r="AT362" s="577"/>
      <c r="AU362" s="579"/>
      <c r="AV362" s="578"/>
      <c r="AW362" s="308"/>
      <c r="AX362" s="307"/>
      <c r="AY362" s="307"/>
      <c r="AZ362" s="307"/>
      <c r="BA362" s="307"/>
      <c r="BB362" s="307"/>
      <c r="BC362" s="305"/>
      <c r="BD362" s="292"/>
      <c r="BE362" s="297"/>
      <c r="BF362" s="297"/>
      <c r="BG362" s="569"/>
      <c r="BH362" s="570"/>
      <c r="BI362" s="570"/>
      <c r="BJ362" s="570"/>
      <c r="BK362" s="570"/>
      <c r="BL362" s="570"/>
      <c r="BM362" s="570"/>
      <c r="BN362" s="570"/>
      <c r="BO362" s="570"/>
      <c r="BP362" s="570"/>
      <c r="BQ362" s="570"/>
      <c r="BR362" s="570"/>
      <c r="BS362" s="570"/>
      <c r="BT362" s="570"/>
      <c r="BU362" s="570"/>
      <c r="BV362" s="570"/>
      <c r="BW362" s="570"/>
      <c r="BX362" s="570"/>
      <c r="BY362" s="570"/>
      <c r="BZ362" s="571"/>
      <c r="CA362" s="571"/>
    </row>
    <row r="363" spans="2:79">
      <c r="B363" s="572">
        <v>348</v>
      </c>
      <c r="C363" s="308"/>
      <c r="D363" s="307"/>
      <c r="E363" s="307"/>
      <c r="F363" s="305"/>
      <c r="G363" s="305"/>
      <c r="H363" s="292"/>
      <c r="I363" s="574"/>
      <c r="J363" s="573"/>
      <c r="K363" s="307"/>
      <c r="L363" s="292"/>
      <c r="M363" s="308"/>
      <c r="N363" s="292"/>
      <c r="O363" s="308"/>
      <c r="P363" s="575"/>
      <c r="Q363" s="576"/>
      <c r="R363" s="308"/>
      <c r="S363" s="575"/>
      <c r="T363" s="576"/>
      <c r="U363" s="308"/>
      <c r="V363" s="575"/>
      <c r="W363" s="576"/>
      <c r="X363" s="308"/>
      <c r="Y363" s="575"/>
      <c r="Z363" s="576"/>
      <c r="AA363" s="308"/>
      <c r="AB363" s="575"/>
      <c r="AC363" s="576"/>
      <c r="AD363" s="308"/>
      <c r="AE363" s="575"/>
      <c r="AF363" s="308"/>
      <c r="AG363" s="575"/>
      <c r="AH363" s="308"/>
      <c r="AI363" s="575"/>
      <c r="AJ363" s="308"/>
      <c r="AK363" s="305"/>
      <c r="AL363" s="577"/>
      <c r="AM363" s="306"/>
      <c r="AN363" s="308"/>
      <c r="AO363" s="573"/>
      <c r="AP363" s="305"/>
      <c r="AQ363" s="308"/>
      <c r="AR363" s="573"/>
      <c r="AS363" s="578"/>
      <c r="AT363" s="577"/>
      <c r="AU363" s="579"/>
      <c r="AV363" s="578"/>
      <c r="AW363" s="308"/>
      <c r="AX363" s="307"/>
      <c r="AY363" s="307"/>
      <c r="AZ363" s="307"/>
      <c r="BA363" s="307"/>
      <c r="BB363" s="307"/>
      <c r="BC363" s="305"/>
      <c r="BD363" s="292"/>
      <c r="BE363" s="297"/>
      <c r="BF363" s="297"/>
      <c r="BG363" s="569"/>
      <c r="BH363" s="570"/>
      <c r="BI363" s="570"/>
      <c r="BJ363" s="570"/>
      <c r="BK363" s="570"/>
      <c r="BL363" s="570"/>
      <c r="BM363" s="570"/>
      <c r="BN363" s="570"/>
      <c r="BO363" s="570"/>
      <c r="BP363" s="570"/>
      <c r="BQ363" s="570"/>
      <c r="BR363" s="570"/>
      <c r="BS363" s="570"/>
      <c r="BT363" s="570"/>
      <c r="BU363" s="570"/>
      <c r="BV363" s="570"/>
      <c r="BW363" s="570"/>
      <c r="BX363" s="570"/>
      <c r="BY363" s="570"/>
      <c r="BZ363" s="571"/>
      <c r="CA363" s="571"/>
    </row>
    <row r="364" spans="2:79">
      <c r="B364" s="566">
        <v>349</v>
      </c>
      <c r="C364" s="308"/>
      <c r="D364" s="307"/>
      <c r="E364" s="307"/>
      <c r="F364" s="305"/>
      <c r="G364" s="305"/>
      <c r="H364" s="292"/>
      <c r="I364" s="574"/>
      <c r="J364" s="573"/>
      <c r="K364" s="307"/>
      <c r="L364" s="292"/>
      <c r="M364" s="308"/>
      <c r="N364" s="292"/>
      <c r="O364" s="308"/>
      <c r="P364" s="575"/>
      <c r="Q364" s="576"/>
      <c r="R364" s="308"/>
      <c r="S364" s="575"/>
      <c r="T364" s="576"/>
      <c r="U364" s="308"/>
      <c r="V364" s="575"/>
      <c r="W364" s="576"/>
      <c r="X364" s="308"/>
      <c r="Y364" s="575"/>
      <c r="Z364" s="576"/>
      <c r="AA364" s="308"/>
      <c r="AB364" s="575"/>
      <c r="AC364" s="576"/>
      <c r="AD364" s="308"/>
      <c r="AE364" s="575"/>
      <c r="AF364" s="308"/>
      <c r="AG364" s="575"/>
      <c r="AH364" s="308"/>
      <c r="AI364" s="575"/>
      <c r="AJ364" s="308"/>
      <c r="AK364" s="305"/>
      <c r="AL364" s="577"/>
      <c r="AM364" s="306"/>
      <c r="AN364" s="308"/>
      <c r="AO364" s="573"/>
      <c r="AP364" s="305"/>
      <c r="AQ364" s="308"/>
      <c r="AR364" s="573"/>
      <c r="AS364" s="578"/>
      <c r="AT364" s="577"/>
      <c r="AU364" s="579"/>
      <c r="AV364" s="578"/>
      <c r="AW364" s="308"/>
      <c r="AX364" s="307"/>
      <c r="AY364" s="307"/>
      <c r="AZ364" s="307"/>
      <c r="BA364" s="307"/>
      <c r="BB364" s="307"/>
      <c r="BC364" s="305"/>
      <c r="BD364" s="292"/>
      <c r="BE364" s="297"/>
      <c r="BF364" s="297"/>
      <c r="BG364" s="569"/>
      <c r="BH364" s="570"/>
      <c r="BI364" s="570"/>
      <c r="BJ364" s="570"/>
      <c r="BK364" s="570"/>
      <c r="BL364" s="570"/>
      <c r="BM364" s="570"/>
      <c r="BN364" s="570"/>
      <c r="BO364" s="570"/>
      <c r="BP364" s="570"/>
      <c r="BQ364" s="570"/>
      <c r="BR364" s="570"/>
      <c r="BS364" s="570"/>
      <c r="BT364" s="570"/>
      <c r="BU364" s="570"/>
      <c r="BV364" s="570"/>
      <c r="BW364" s="570"/>
      <c r="BX364" s="570"/>
      <c r="BY364" s="570"/>
      <c r="BZ364" s="571"/>
      <c r="CA364" s="571"/>
    </row>
    <row r="365" spans="2:79">
      <c r="B365" s="572">
        <v>350</v>
      </c>
      <c r="C365" s="308"/>
      <c r="D365" s="307"/>
      <c r="E365" s="307"/>
      <c r="F365" s="305"/>
      <c r="G365" s="305"/>
      <c r="H365" s="292"/>
      <c r="I365" s="574"/>
      <c r="J365" s="573"/>
      <c r="K365" s="307"/>
      <c r="L365" s="292"/>
      <c r="M365" s="308"/>
      <c r="N365" s="292"/>
      <c r="O365" s="308"/>
      <c r="P365" s="575"/>
      <c r="Q365" s="576"/>
      <c r="R365" s="308"/>
      <c r="S365" s="575"/>
      <c r="T365" s="576"/>
      <c r="U365" s="308"/>
      <c r="V365" s="575"/>
      <c r="W365" s="576"/>
      <c r="X365" s="308"/>
      <c r="Y365" s="575"/>
      <c r="Z365" s="576"/>
      <c r="AA365" s="308"/>
      <c r="AB365" s="575"/>
      <c r="AC365" s="576"/>
      <c r="AD365" s="308"/>
      <c r="AE365" s="575"/>
      <c r="AF365" s="308"/>
      <c r="AG365" s="575"/>
      <c r="AH365" s="308"/>
      <c r="AI365" s="575"/>
      <c r="AJ365" s="308"/>
      <c r="AK365" s="305"/>
      <c r="AL365" s="577"/>
      <c r="AM365" s="306"/>
      <c r="AN365" s="308"/>
      <c r="AO365" s="573"/>
      <c r="AP365" s="305"/>
      <c r="AQ365" s="308"/>
      <c r="AR365" s="573"/>
      <c r="AS365" s="578"/>
      <c r="AT365" s="577"/>
      <c r="AU365" s="579"/>
      <c r="AV365" s="578"/>
      <c r="AW365" s="308"/>
      <c r="AX365" s="307"/>
      <c r="AY365" s="307"/>
      <c r="AZ365" s="307"/>
      <c r="BA365" s="307"/>
      <c r="BB365" s="307"/>
      <c r="BC365" s="305"/>
      <c r="BD365" s="292"/>
      <c r="BE365" s="297"/>
      <c r="BF365" s="297"/>
      <c r="BG365" s="569"/>
      <c r="BH365" s="570"/>
      <c r="BI365" s="570"/>
      <c r="BJ365" s="570"/>
      <c r="BK365" s="570"/>
      <c r="BL365" s="570"/>
      <c r="BM365" s="570"/>
      <c r="BN365" s="570"/>
      <c r="BO365" s="570"/>
      <c r="BP365" s="570"/>
      <c r="BQ365" s="570"/>
      <c r="BR365" s="570"/>
      <c r="BS365" s="570"/>
      <c r="BT365" s="570"/>
      <c r="BU365" s="570"/>
      <c r="BV365" s="570"/>
      <c r="BW365" s="570"/>
      <c r="BX365" s="570"/>
      <c r="BY365" s="570"/>
      <c r="BZ365" s="571"/>
      <c r="CA365" s="571"/>
    </row>
    <row r="366" spans="2:79">
      <c r="B366" s="566">
        <v>351</v>
      </c>
      <c r="C366" s="308"/>
      <c r="D366" s="307"/>
      <c r="E366" s="307"/>
      <c r="F366" s="305"/>
      <c r="G366" s="305"/>
      <c r="H366" s="292"/>
      <c r="I366" s="574"/>
      <c r="J366" s="573"/>
      <c r="K366" s="307"/>
      <c r="L366" s="292"/>
      <c r="M366" s="308"/>
      <c r="N366" s="292"/>
      <c r="O366" s="308"/>
      <c r="P366" s="575"/>
      <c r="Q366" s="576"/>
      <c r="R366" s="308"/>
      <c r="S366" s="575"/>
      <c r="T366" s="576"/>
      <c r="U366" s="308"/>
      <c r="V366" s="575"/>
      <c r="W366" s="576"/>
      <c r="X366" s="308"/>
      <c r="Y366" s="575"/>
      <c r="Z366" s="576"/>
      <c r="AA366" s="308"/>
      <c r="AB366" s="575"/>
      <c r="AC366" s="576"/>
      <c r="AD366" s="308"/>
      <c r="AE366" s="575"/>
      <c r="AF366" s="308"/>
      <c r="AG366" s="575"/>
      <c r="AH366" s="308"/>
      <c r="AI366" s="575"/>
      <c r="AJ366" s="308"/>
      <c r="AK366" s="305"/>
      <c r="AL366" s="577"/>
      <c r="AM366" s="306"/>
      <c r="AN366" s="308"/>
      <c r="AO366" s="573"/>
      <c r="AP366" s="305"/>
      <c r="AQ366" s="308"/>
      <c r="AR366" s="573"/>
      <c r="AS366" s="578"/>
      <c r="AT366" s="577"/>
      <c r="AU366" s="579"/>
      <c r="AV366" s="578"/>
      <c r="AW366" s="308"/>
      <c r="AX366" s="307"/>
      <c r="AY366" s="307"/>
      <c r="AZ366" s="307"/>
      <c r="BA366" s="307"/>
      <c r="BB366" s="307"/>
      <c r="BC366" s="305"/>
      <c r="BD366" s="292"/>
      <c r="BE366" s="297"/>
      <c r="BF366" s="297"/>
      <c r="BG366" s="569"/>
      <c r="BH366" s="570"/>
      <c r="BI366" s="570"/>
      <c r="BJ366" s="570"/>
      <c r="BK366" s="570"/>
      <c r="BL366" s="570"/>
      <c r="BM366" s="570"/>
      <c r="BN366" s="570"/>
      <c r="BO366" s="570"/>
      <c r="BP366" s="570"/>
      <c r="BQ366" s="570"/>
      <c r="BR366" s="570"/>
      <c r="BS366" s="570"/>
      <c r="BT366" s="570"/>
      <c r="BU366" s="570"/>
      <c r="BV366" s="570"/>
      <c r="BW366" s="570"/>
      <c r="BX366" s="570"/>
      <c r="BY366" s="570"/>
      <c r="BZ366" s="571"/>
      <c r="CA366" s="571"/>
    </row>
    <row r="367" spans="2:79">
      <c r="B367" s="572">
        <v>352</v>
      </c>
      <c r="C367" s="308"/>
      <c r="D367" s="307"/>
      <c r="E367" s="307"/>
      <c r="F367" s="305"/>
      <c r="G367" s="305"/>
      <c r="H367" s="292"/>
      <c r="I367" s="574"/>
      <c r="J367" s="573"/>
      <c r="K367" s="307"/>
      <c r="L367" s="292"/>
      <c r="M367" s="308"/>
      <c r="N367" s="292"/>
      <c r="O367" s="308"/>
      <c r="P367" s="575"/>
      <c r="Q367" s="576"/>
      <c r="R367" s="308"/>
      <c r="S367" s="575"/>
      <c r="T367" s="576"/>
      <c r="U367" s="308"/>
      <c r="V367" s="575"/>
      <c r="W367" s="576"/>
      <c r="X367" s="308"/>
      <c r="Y367" s="575"/>
      <c r="Z367" s="576"/>
      <c r="AA367" s="308"/>
      <c r="AB367" s="575"/>
      <c r="AC367" s="576"/>
      <c r="AD367" s="308"/>
      <c r="AE367" s="575"/>
      <c r="AF367" s="308"/>
      <c r="AG367" s="575"/>
      <c r="AH367" s="308"/>
      <c r="AI367" s="575"/>
      <c r="AJ367" s="308"/>
      <c r="AK367" s="305"/>
      <c r="AL367" s="577"/>
      <c r="AM367" s="306"/>
      <c r="AN367" s="308"/>
      <c r="AO367" s="573"/>
      <c r="AP367" s="305"/>
      <c r="AQ367" s="308"/>
      <c r="AR367" s="573"/>
      <c r="AS367" s="578"/>
      <c r="AT367" s="577"/>
      <c r="AU367" s="579"/>
      <c r="AV367" s="578"/>
      <c r="AW367" s="308"/>
      <c r="AX367" s="307"/>
      <c r="AY367" s="307"/>
      <c r="AZ367" s="307"/>
      <c r="BA367" s="307"/>
      <c r="BB367" s="307"/>
      <c r="BC367" s="305"/>
      <c r="BD367" s="292"/>
      <c r="BE367" s="297"/>
      <c r="BF367" s="297"/>
      <c r="BG367" s="569"/>
      <c r="BH367" s="570"/>
      <c r="BI367" s="570"/>
      <c r="BJ367" s="570"/>
      <c r="BK367" s="570"/>
      <c r="BL367" s="570"/>
      <c r="BM367" s="570"/>
      <c r="BN367" s="570"/>
      <c r="BO367" s="570"/>
      <c r="BP367" s="570"/>
      <c r="BQ367" s="570"/>
      <c r="BR367" s="570"/>
      <c r="BS367" s="570"/>
      <c r="BT367" s="570"/>
      <c r="BU367" s="570"/>
      <c r="BV367" s="570"/>
      <c r="BW367" s="570"/>
      <c r="BX367" s="570"/>
      <c r="BY367" s="570"/>
      <c r="BZ367" s="571"/>
      <c r="CA367" s="571"/>
    </row>
    <row r="368" spans="2:79">
      <c r="B368" s="566">
        <v>353</v>
      </c>
      <c r="C368" s="308"/>
      <c r="D368" s="307"/>
      <c r="E368" s="307"/>
      <c r="F368" s="305"/>
      <c r="G368" s="305"/>
      <c r="H368" s="292"/>
      <c r="I368" s="574"/>
      <c r="J368" s="573"/>
      <c r="K368" s="307"/>
      <c r="L368" s="292"/>
      <c r="M368" s="308"/>
      <c r="N368" s="292"/>
      <c r="O368" s="308"/>
      <c r="P368" s="575"/>
      <c r="Q368" s="576"/>
      <c r="R368" s="308"/>
      <c r="S368" s="575"/>
      <c r="T368" s="576"/>
      <c r="U368" s="308"/>
      <c r="V368" s="575"/>
      <c r="W368" s="576"/>
      <c r="X368" s="308"/>
      <c r="Y368" s="575"/>
      <c r="Z368" s="576"/>
      <c r="AA368" s="308"/>
      <c r="AB368" s="575"/>
      <c r="AC368" s="576"/>
      <c r="AD368" s="308"/>
      <c r="AE368" s="575"/>
      <c r="AF368" s="308"/>
      <c r="AG368" s="575"/>
      <c r="AH368" s="308"/>
      <c r="AI368" s="575"/>
      <c r="AJ368" s="308"/>
      <c r="AK368" s="305"/>
      <c r="AL368" s="577"/>
      <c r="AM368" s="306"/>
      <c r="AN368" s="308"/>
      <c r="AO368" s="573"/>
      <c r="AP368" s="305"/>
      <c r="AQ368" s="308"/>
      <c r="AR368" s="573"/>
      <c r="AS368" s="578"/>
      <c r="AT368" s="577"/>
      <c r="AU368" s="579"/>
      <c r="AV368" s="578"/>
      <c r="AW368" s="308"/>
      <c r="AX368" s="307"/>
      <c r="AY368" s="307"/>
      <c r="AZ368" s="307"/>
      <c r="BA368" s="307"/>
      <c r="BB368" s="307"/>
      <c r="BC368" s="305"/>
      <c r="BD368" s="292"/>
      <c r="BE368" s="297"/>
      <c r="BF368" s="297"/>
      <c r="BG368" s="569"/>
      <c r="BH368" s="570"/>
      <c r="BI368" s="570"/>
      <c r="BJ368" s="570"/>
      <c r="BK368" s="570"/>
      <c r="BL368" s="570"/>
      <c r="BM368" s="570"/>
      <c r="BN368" s="570"/>
      <c r="BO368" s="570"/>
      <c r="BP368" s="570"/>
      <c r="BQ368" s="570"/>
      <c r="BR368" s="570"/>
      <c r="BS368" s="570"/>
      <c r="BT368" s="570"/>
      <c r="BU368" s="570"/>
      <c r="BV368" s="570"/>
      <c r="BW368" s="570"/>
      <c r="BX368" s="570"/>
      <c r="BY368" s="570"/>
      <c r="BZ368" s="571"/>
      <c r="CA368" s="571"/>
    </row>
    <row r="369" spans="2:79">
      <c r="B369" s="572">
        <v>354</v>
      </c>
      <c r="C369" s="308"/>
      <c r="D369" s="307"/>
      <c r="E369" s="307"/>
      <c r="F369" s="305"/>
      <c r="G369" s="305"/>
      <c r="H369" s="292"/>
      <c r="I369" s="574"/>
      <c r="J369" s="573"/>
      <c r="K369" s="307"/>
      <c r="L369" s="292"/>
      <c r="M369" s="308"/>
      <c r="N369" s="292"/>
      <c r="O369" s="308"/>
      <c r="P369" s="575"/>
      <c r="Q369" s="576"/>
      <c r="R369" s="308"/>
      <c r="S369" s="575"/>
      <c r="T369" s="576"/>
      <c r="U369" s="308"/>
      <c r="V369" s="575"/>
      <c r="W369" s="576"/>
      <c r="X369" s="308"/>
      <c r="Y369" s="575"/>
      <c r="Z369" s="576"/>
      <c r="AA369" s="308"/>
      <c r="AB369" s="575"/>
      <c r="AC369" s="576"/>
      <c r="AD369" s="308"/>
      <c r="AE369" s="575"/>
      <c r="AF369" s="308"/>
      <c r="AG369" s="575"/>
      <c r="AH369" s="308"/>
      <c r="AI369" s="575"/>
      <c r="AJ369" s="308"/>
      <c r="AK369" s="305"/>
      <c r="AL369" s="577"/>
      <c r="AM369" s="306"/>
      <c r="AN369" s="308"/>
      <c r="AO369" s="573"/>
      <c r="AP369" s="305"/>
      <c r="AQ369" s="308"/>
      <c r="AR369" s="573"/>
      <c r="AS369" s="578"/>
      <c r="AT369" s="577"/>
      <c r="AU369" s="579"/>
      <c r="AV369" s="578"/>
      <c r="AW369" s="308"/>
      <c r="AX369" s="307"/>
      <c r="AY369" s="307"/>
      <c r="AZ369" s="307"/>
      <c r="BA369" s="307"/>
      <c r="BB369" s="307"/>
      <c r="BC369" s="305"/>
      <c r="BD369" s="292"/>
      <c r="BE369" s="297"/>
      <c r="BF369" s="297"/>
      <c r="BG369" s="569"/>
      <c r="BH369" s="570"/>
      <c r="BI369" s="570"/>
      <c r="BJ369" s="570"/>
      <c r="BK369" s="570"/>
      <c r="BL369" s="570"/>
      <c r="BM369" s="570"/>
      <c r="BN369" s="570"/>
      <c r="BO369" s="570"/>
      <c r="BP369" s="570"/>
      <c r="BQ369" s="570"/>
      <c r="BR369" s="570"/>
      <c r="BS369" s="570"/>
      <c r="BT369" s="570"/>
      <c r="BU369" s="570"/>
      <c r="BV369" s="570"/>
      <c r="BW369" s="570"/>
      <c r="BX369" s="570"/>
      <c r="BY369" s="570"/>
      <c r="BZ369" s="571"/>
      <c r="CA369" s="571"/>
    </row>
    <row r="370" spans="2:79">
      <c r="B370" s="566">
        <v>355</v>
      </c>
      <c r="C370" s="308"/>
      <c r="D370" s="307"/>
      <c r="E370" s="307"/>
      <c r="F370" s="305"/>
      <c r="G370" s="305"/>
      <c r="H370" s="292"/>
      <c r="I370" s="574"/>
      <c r="J370" s="573"/>
      <c r="K370" s="307"/>
      <c r="L370" s="292"/>
      <c r="M370" s="308"/>
      <c r="N370" s="292"/>
      <c r="O370" s="308"/>
      <c r="P370" s="575"/>
      <c r="Q370" s="576"/>
      <c r="R370" s="308"/>
      <c r="S370" s="575"/>
      <c r="T370" s="576"/>
      <c r="U370" s="308"/>
      <c r="V370" s="575"/>
      <c r="W370" s="576"/>
      <c r="X370" s="308"/>
      <c r="Y370" s="575"/>
      <c r="Z370" s="576"/>
      <c r="AA370" s="308"/>
      <c r="AB370" s="575"/>
      <c r="AC370" s="576"/>
      <c r="AD370" s="308"/>
      <c r="AE370" s="575"/>
      <c r="AF370" s="308"/>
      <c r="AG370" s="575"/>
      <c r="AH370" s="308"/>
      <c r="AI370" s="575"/>
      <c r="AJ370" s="308"/>
      <c r="AK370" s="305"/>
      <c r="AL370" s="577"/>
      <c r="AM370" s="306"/>
      <c r="AN370" s="308"/>
      <c r="AO370" s="573"/>
      <c r="AP370" s="305"/>
      <c r="AQ370" s="308"/>
      <c r="AR370" s="573"/>
      <c r="AS370" s="578"/>
      <c r="AT370" s="577"/>
      <c r="AU370" s="579"/>
      <c r="AV370" s="578"/>
      <c r="AW370" s="308"/>
      <c r="AX370" s="307"/>
      <c r="AY370" s="307"/>
      <c r="AZ370" s="307"/>
      <c r="BA370" s="307"/>
      <c r="BB370" s="307"/>
      <c r="BC370" s="305"/>
      <c r="BD370" s="292"/>
      <c r="BE370" s="297"/>
      <c r="BF370" s="297"/>
      <c r="BG370" s="569"/>
      <c r="BH370" s="570"/>
      <c r="BI370" s="570"/>
      <c r="BJ370" s="570"/>
      <c r="BK370" s="570"/>
      <c r="BL370" s="570"/>
      <c r="BM370" s="570"/>
      <c r="BN370" s="570"/>
      <c r="BO370" s="570"/>
      <c r="BP370" s="570"/>
      <c r="BQ370" s="570"/>
      <c r="BR370" s="570"/>
      <c r="BS370" s="570"/>
      <c r="BT370" s="570"/>
      <c r="BU370" s="570"/>
      <c r="BV370" s="570"/>
      <c r="BW370" s="570"/>
      <c r="BX370" s="570"/>
      <c r="BY370" s="570"/>
      <c r="BZ370" s="571"/>
      <c r="CA370" s="571"/>
    </row>
    <row r="371" spans="2:79">
      <c r="B371" s="572">
        <v>356</v>
      </c>
      <c r="C371" s="308"/>
      <c r="D371" s="307"/>
      <c r="E371" s="307"/>
      <c r="F371" s="305"/>
      <c r="G371" s="305"/>
      <c r="H371" s="292"/>
      <c r="I371" s="574"/>
      <c r="J371" s="573"/>
      <c r="K371" s="307"/>
      <c r="L371" s="292"/>
      <c r="M371" s="308"/>
      <c r="N371" s="292"/>
      <c r="O371" s="308"/>
      <c r="P371" s="575"/>
      <c r="Q371" s="576"/>
      <c r="R371" s="308"/>
      <c r="S371" s="575"/>
      <c r="T371" s="576"/>
      <c r="U371" s="308"/>
      <c r="V371" s="575"/>
      <c r="W371" s="576"/>
      <c r="X371" s="308"/>
      <c r="Y371" s="575"/>
      <c r="Z371" s="576"/>
      <c r="AA371" s="308"/>
      <c r="AB371" s="575"/>
      <c r="AC371" s="576"/>
      <c r="AD371" s="308"/>
      <c r="AE371" s="575"/>
      <c r="AF371" s="308"/>
      <c r="AG371" s="575"/>
      <c r="AH371" s="308"/>
      <c r="AI371" s="575"/>
      <c r="AJ371" s="308"/>
      <c r="AK371" s="305"/>
      <c r="AL371" s="577"/>
      <c r="AM371" s="306"/>
      <c r="AN371" s="308"/>
      <c r="AO371" s="573"/>
      <c r="AP371" s="305"/>
      <c r="AQ371" s="308"/>
      <c r="AR371" s="573"/>
      <c r="AS371" s="578"/>
      <c r="AT371" s="577"/>
      <c r="AU371" s="579"/>
      <c r="AV371" s="578"/>
      <c r="AW371" s="308"/>
      <c r="AX371" s="307"/>
      <c r="AY371" s="307"/>
      <c r="AZ371" s="307"/>
      <c r="BA371" s="307"/>
      <c r="BB371" s="307"/>
      <c r="BC371" s="305"/>
      <c r="BD371" s="292"/>
      <c r="BE371" s="297"/>
      <c r="BF371" s="297"/>
      <c r="BG371" s="569"/>
      <c r="BH371" s="570"/>
      <c r="BI371" s="570"/>
      <c r="BJ371" s="570"/>
      <c r="BK371" s="570"/>
      <c r="BL371" s="570"/>
      <c r="BM371" s="570"/>
      <c r="BN371" s="570"/>
      <c r="BO371" s="570"/>
      <c r="BP371" s="570"/>
      <c r="BQ371" s="570"/>
      <c r="BR371" s="570"/>
      <c r="BS371" s="570"/>
      <c r="BT371" s="570"/>
      <c r="BU371" s="570"/>
      <c r="BV371" s="570"/>
      <c r="BW371" s="570"/>
      <c r="BX371" s="570"/>
      <c r="BY371" s="570"/>
      <c r="BZ371" s="571"/>
      <c r="CA371" s="571"/>
    </row>
    <row r="372" spans="2:79">
      <c r="B372" s="566">
        <v>357</v>
      </c>
      <c r="C372" s="308"/>
      <c r="D372" s="307"/>
      <c r="E372" s="307"/>
      <c r="F372" s="305"/>
      <c r="G372" s="305"/>
      <c r="H372" s="292"/>
      <c r="I372" s="574"/>
      <c r="J372" s="573"/>
      <c r="K372" s="307"/>
      <c r="L372" s="292"/>
      <c r="M372" s="308"/>
      <c r="N372" s="292"/>
      <c r="O372" s="308"/>
      <c r="P372" s="575"/>
      <c r="Q372" s="576"/>
      <c r="R372" s="308"/>
      <c r="S372" s="575"/>
      <c r="T372" s="576"/>
      <c r="U372" s="308"/>
      <c r="V372" s="575"/>
      <c r="W372" s="576"/>
      <c r="X372" s="308"/>
      <c r="Y372" s="575"/>
      <c r="Z372" s="576"/>
      <c r="AA372" s="308"/>
      <c r="AB372" s="575"/>
      <c r="AC372" s="576"/>
      <c r="AD372" s="308"/>
      <c r="AE372" s="575"/>
      <c r="AF372" s="308"/>
      <c r="AG372" s="575"/>
      <c r="AH372" s="308"/>
      <c r="AI372" s="575"/>
      <c r="AJ372" s="308"/>
      <c r="AK372" s="305"/>
      <c r="AL372" s="577"/>
      <c r="AM372" s="306"/>
      <c r="AN372" s="308"/>
      <c r="AO372" s="573"/>
      <c r="AP372" s="305"/>
      <c r="AQ372" s="308"/>
      <c r="AR372" s="573"/>
      <c r="AS372" s="578"/>
      <c r="AT372" s="577"/>
      <c r="AU372" s="579"/>
      <c r="AV372" s="578"/>
      <c r="AW372" s="308"/>
      <c r="AX372" s="307"/>
      <c r="AY372" s="307"/>
      <c r="AZ372" s="307"/>
      <c r="BA372" s="307"/>
      <c r="BB372" s="307"/>
      <c r="BC372" s="305"/>
      <c r="BD372" s="292"/>
      <c r="BE372" s="297"/>
      <c r="BF372" s="297"/>
      <c r="BG372" s="569"/>
      <c r="BH372" s="570"/>
      <c r="BI372" s="570"/>
      <c r="BJ372" s="570"/>
      <c r="BK372" s="570"/>
      <c r="BL372" s="570"/>
      <c r="BM372" s="570"/>
      <c r="BN372" s="570"/>
      <c r="BO372" s="570"/>
      <c r="BP372" s="570"/>
      <c r="BQ372" s="570"/>
      <c r="BR372" s="570"/>
      <c r="BS372" s="570"/>
      <c r="BT372" s="570"/>
      <c r="BU372" s="570"/>
      <c r="BV372" s="570"/>
      <c r="BW372" s="570"/>
      <c r="BX372" s="570"/>
      <c r="BY372" s="570"/>
      <c r="BZ372" s="571"/>
      <c r="CA372" s="571"/>
    </row>
    <row r="373" spans="2:79">
      <c r="B373" s="572">
        <v>358</v>
      </c>
      <c r="C373" s="308"/>
      <c r="D373" s="307"/>
      <c r="E373" s="307"/>
      <c r="F373" s="305"/>
      <c r="G373" s="305"/>
      <c r="H373" s="292"/>
      <c r="I373" s="574"/>
      <c r="J373" s="573"/>
      <c r="K373" s="307"/>
      <c r="L373" s="292"/>
      <c r="M373" s="308"/>
      <c r="N373" s="292"/>
      <c r="O373" s="308"/>
      <c r="P373" s="575"/>
      <c r="Q373" s="576"/>
      <c r="R373" s="308"/>
      <c r="S373" s="575"/>
      <c r="T373" s="576"/>
      <c r="U373" s="308"/>
      <c r="V373" s="575"/>
      <c r="W373" s="576"/>
      <c r="X373" s="308"/>
      <c r="Y373" s="575"/>
      <c r="Z373" s="576"/>
      <c r="AA373" s="308"/>
      <c r="AB373" s="575"/>
      <c r="AC373" s="576"/>
      <c r="AD373" s="308"/>
      <c r="AE373" s="575"/>
      <c r="AF373" s="308"/>
      <c r="AG373" s="575"/>
      <c r="AH373" s="308"/>
      <c r="AI373" s="575"/>
      <c r="AJ373" s="308"/>
      <c r="AK373" s="305"/>
      <c r="AL373" s="577"/>
      <c r="AM373" s="306"/>
      <c r="AN373" s="308"/>
      <c r="AO373" s="573"/>
      <c r="AP373" s="305"/>
      <c r="AQ373" s="308"/>
      <c r="AR373" s="573"/>
      <c r="AS373" s="578"/>
      <c r="AT373" s="577"/>
      <c r="AU373" s="579"/>
      <c r="AV373" s="578"/>
      <c r="AW373" s="308"/>
      <c r="AX373" s="307"/>
      <c r="AY373" s="307"/>
      <c r="AZ373" s="307"/>
      <c r="BA373" s="307"/>
      <c r="BB373" s="307"/>
      <c r="BC373" s="305"/>
      <c r="BD373" s="292"/>
      <c r="BE373" s="297"/>
      <c r="BF373" s="297"/>
      <c r="BG373" s="569"/>
      <c r="BH373" s="570"/>
      <c r="BI373" s="570"/>
      <c r="BJ373" s="570"/>
      <c r="BK373" s="570"/>
      <c r="BL373" s="570"/>
      <c r="BM373" s="570"/>
      <c r="BN373" s="570"/>
      <c r="BO373" s="570"/>
      <c r="BP373" s="570"/>
      <c r="BQ373" s="570"/>
      <c r="BR373" s="570"/>
      <c r="BS373" s="570"/>
      <c r="BT373" s="570"/>
      <c r="BU373" s="570"/>
      <c r="BV373" s="570"/>
      <c r="BW373" s="570"/>
      <c r="BX373" s="570"/>
      <c r="BY373" s="570"/>
      <c r="BZ373" s="571"/>
      <c r="CA373" s="571"/>
    </row>
    <row r="374" spans="2:79">
      <c r="B374" s="566">
        <v>359</v>
      </c>
      <c r="C374" s="308"/>
      <c r="D374" s="307"/>
      <c r="E374" s="307"/>
      <c r="F374" s="305"/>
      <c r="G374" s="305"/>
      <c r="H374" s="292"/>
      <c r="I374" s="574"/>
      <c r="J374" s="573"/>
      <c r="K374" s="307"/>
      <c r="L374" s="292"/>
      <c r="M374" s="308"/>
      <c r="N374" s="292"/>
      <c r="O374" s="308"/>
      <c r="P374" s="575"/>
      <c r="Q374" s="576"/>
      <c r="R374" s="308"/>
      <c r="S374" s="575"/>
      <c r="T374" s="576"/>
      <c r="U374" s="308"/>
      <c r="V374" s="575"/>
      <c r="W374" s="576"/>
      <c r="X374" s="308"/>
      <c r="Y374" s="575"/>
      <c r="Z374" s="576"/>
      <c r="AA374" s="308"/>
      <c r="AB374" s="575"/>
      <c r="AC374" s="576"/>
      <c r="AD374" s="308"/>
      <c r="AE374" s="575"/>
      <c r="AF374" s="308"/>
      <c r="AG374" s="575"/>
      <c r="AH374" s="308"/>
      <c r="AI374" s="575"/>
      <c r="AJ374" s="308"/>
      <c r="AK374" s="305"/>
      <c r="AL374" s="577"/>
      <c r="AM374" s="306"/>
      <c r="AN374" s="308"/>
      <c r="AO374" s="573"/>
      <c r="AP374" s="305"/>
      <c r="AQ374" s="308"/>
      <c r="AR374" s="573"/>
      <c r="AS374" s="578"/>
      <c r="AT374" s="577"/>
      <c r="AU374" s="579"/>
      <c r="AV374" s="578"/>
      <c r="AW374" s="308"/>
      <c r="AX374" s="307"/>
      <c r="AY374" s="307"/>
      <c r="AZ374" s="307"/>
      <c r="BA374" s="307"/>
      <c r="BB374" s="307"/>
      <c r="BC374" s="305"/>
      <c r="BD374" s="292"/>
      <c r="BE374" s="297"/>
      <c r="BF374" s="297"/>
      <c r="BG374" s="569"/>
      <c r="BH374" s="570"/>
      <c r="BI374" s="570"/>
      <c r="BJ374" s="570"/>
      <c r="BK374" s="570"/>
      <c r="BL374" s="570"/>
      <c r="BM374" s="570"/>
      <c r="BN374" s="570"/>
      <c r="BO374" s="570"/>
      <c r="BP374" s="570"/>
      <c r="BQ374" s="570"/>
      <c r="BR374" s="570"/>
      <c r="BS374" s="570"/>
      <c r="BT374" s="570"/>
      <c r="BU374" s="570"/>
      <c r="BV374" s="570"/>
      <c r="BW374" s="570"/>
      <c r="BX374" s="570"/>
      <c r="BY374" s="570"/>
      <c r="BZ374" s="571"/>
      <c r="CA374" s="571"/>
    </row>
    <row r="375" spans="2:79">
      <c r="B375" s="572">
        <v>360</v>
      </c>
      <c r="C375" s="308"/>
      <c r="D375" s="307"/>
      <c r="E375" s="307"/>
      <c r="F375" s="305"/>
      <c r="G375" s="305"/>
      <c r="H375" s="292"/>
      <c r="I375" s="574"/>
      <c r="J375" s="573"/>
      <c r="K375" s="307"/>
      <c r="L375" s="292"/>
      <c r="M375" s="308"/>
      <c r="N375" s="292"/>
      <c r="O375" s="308"/>
      <c r="P375" s="575"/>
      <c r="Q375" s="576"/>
      <c r="R375" s="308"/>
      <c r="S375" s="575"/>
      <c r="T375" s="576"/>
      <c r="U375" s="308"/>
      <c r="V375" s="575"/>
      <c r="W375" s="576"/>
      <c r="X375" s="308"/>
      <c r="Y375" s="575"/>
      <c r="Z375" s="576"/>
      <c r="AA375" s="308"/>
      <c r="AB375" s="575"/>
      <c r="AC375" s="576"/>
      <c r="AD375" s="308"/>
      <c r="AE375" s="575"/>
      <c r="AF375" s="308"/>
      <c r="AG375" s="575"/>
      <c r="AH375" s="308"/>
      <c r="AI375" s="575"/>
      <c r="AJ375" s="308"/>
      <c r="AK375" s="305"/>
      <c r="AL375" s="577"/>
      <c r="AM375" s="306"/>
      <c r="AN375" s="308"/>
      <c r="AO375" s="573"/>
      <c r="AP375" s="305"/>
      <c r="AQ375" s="308"/>
      <c r="AR375" s="573"/>
      <c r="AS375" s="578"/>
      <c r="AT375" s="577"/>
      <c r="AU375" s="579"/>
      <c r="AV375" s="578"/>
      <c r="AW375" s="308"/>
      <c r="AX375" s="307"/>
      <c r="AY375" s="307"/>
      <c r="AZ375" s="307"/>
      <c r="BA375" s="307"/>
      <c r="BB375" s="307"/>
      <c r="BC375" s="305"/>
      <c r="BD375" s="292"/>
      <c r="BE375" s="297"/>
      <c r="BF375" s="297"/>
      <c r="BG375" s="569"/>
      <c r="BH375" s="570"/>
      <c r="BI375" s="570"/>
      <c r="BJ375" s="570"/>
      <c r="BK375" s="570"/>
      <c r="BL375" s="570"/>
      <c r="BM375" s="570"/>
      <c r="BN375" s="570"/>
      <c r="BO375" s="570"/>
      <c r="BP375" s="570"/>
      <c r="BQ375" s="570"/>
      <c r="BR375" s="570"/>
      <c r="BS375" s="570"/>
      <c r="BT375" s="570"/>
      <c r="BU375" s="570"/>
      <c r="BV375" s="570"/>
      <c r="BW375" s="570"/>
      <c r="BX375" s="570"/>
      <c r="BY375" s="570"/>
      <c r="BZ375" s="571"/>
      <c r="CA375" s="571"/>
    </row>
    <row r="376" spans="2:79">
      <c r="B376" s="566">
        <v>361</v>
      </c>
      <c r="C376" s="308"/>
      <c r="D376" s="307"/>
      <c r="E376" s="307"/>
      <c r="F376" s="305"/>
      <c r="G376" s="305"/>
      <c r="H376" s="292"/>
      <c r="I376" s="574"/>
      <c r="J376" s="573"/>
      <c r="K376" s="307"/>
      <c r="L376" s="292"/>
      <c r="M376" s="308"/>
      <c r="N376" s="292"/>
      <c r="O376" s="308"/>
      <c r="P376" s="575"/>
      <c r="Q376" s="576"/>
      <c r="R376" s="308"/>
      <c r="S376" s="575"/>
      <c r="T376" s="576"/>
      <c r="U376" s="308"/>
      <c r="V376" s="575"/>
      <c r="W376" s="576"/>
      <c r="X376" s="308"/>
      <c r="Y376" s="575"/>
      <c r="Z376" s="576"/>
      <c r="AA376" s="308"/>
      <c r="AB376" s="575"/>
      <c r="AC376" s="576"/>
      <c r="AD376" s="308"/>
      <c r="AE376" s="575"/>
      <c r="AF376" s="308"/>
      <c r="AG376" s="575"/>
      <c r="AH376" s="308"/>
      <c r="AI376" s="575"/>
      <c r="AJ376" s="308"/>
      <c r="AK376" s="305"/>
      <c r="AL376" s="577"/>
      <c r="AM376" s="306"/>
      <c r="AN376" s="308"/>
      <c r="AO376" s="573"/>
      <c r="AP376" s="305"/>
      <c r="AQ376" s="308"/>
      <c r="AR376" s="573"/>
      <c r="AS376" s="578"/>
      <c r="AT376" s="577"/>
      <c r="AU376" s="579"/>
      <c r="AV376" s="578"/>
      <c r="AW376" s="308"/>
      <c r="AX376" s="307"/>
      <c r="AY376" s="307"/>
      <c r="AZ376" s="307"/>
      <c r="BA376" s="307"/>
      <c r="BB376" s="307"/>
      <c r="BC376" s="305"/>
      <c r="BD376" s="292"/>
      <c r="BE376" s="297"/>
      <c r="BF376" s="297"/>
      <c r="BG376" s="569"/>
      <c r="BH376" s="570"/>
      <c r="BI376" s="570"/>
      <c r="BJ376" s="570"/>
      <c r="BK376" s="570"/>
      <c r="BL376" s="570"/>
      <c r="BM376" s="570"/>
      <c r="BN376" s="570"/>
      <c r="BO376" s="570"/>
      <c r="BP376" s="570"/>
      <c r="BQ376" s="570"/>
      <c r="BR376" s="570"/>
      <c r="BS376" s="570"/>
      <c r="BT376" s="570"/>
      <c r="BU376" s="570"/>
      <c r="BV376" s="570"/>
      <c r="BW376" s="570"/>
      <c r="BX376" s="570"/>
      <c r="BY376" s="570"/>
      <c r="BZ376" s="571"/>
      <c r="CA376" s="571"/>
    </row>
    <row r="377" spans="2:79">
      <c r="B377" s="572">
        <v>362</v>
      </c>
      <c r="C377" s="308"/>
      <c r="D377" s="307"/>
      <c r="E377" s="307"/>
      <c r="F377" s="305"/>
      <c r="G377" s="305"/>
      <c r="H377" s="292"/>
      <c r="I377" s="574"/>
      <c r="J377" s="573"/>
      <c r="K377" s="307"/>
      <c r="L377" s="292"/>
      <c r="M377" s="308"/>
      <c r="N377" s="292"/>
      <c r="O377" s="308"/>
      <c r="P377" s="575"/>
      <c r="Q377" s="576"/>
      <c r="R377" s="308"/>
      <c r="S377" s="575"/>
      <c r="T377" s="576"/>
      <c r="U377" s="308"/>
      <c r="V377" s="575"/>
      <c r="W377" s="576"/>
      <c r="X377" s="308"/>
      <c r="Y377" s="575"/>
      <c r="Z377" s="576"/>
      <c r="AA377" s="308"/>
      <c r="AB377" s="575"/>
      <c r="AC377" s="576"/>
      <c r="AD377" s="308"/>
      <c r="AE377" s="575"/>
      <c r="AF377" s="308"/>
      <c r="AG377" s="575"/>
      <c r="AH377" s="308"/>
      <c r="AI377" s="575"/>
      <c r="AJ377" s="308"/>
      <c r="AK377" s="305"/>
      <c r="AL377" s="577"/>
      <c r="AM377" s="306"/>
      <c r="AN377" s="308"/>
      <c r="AO377" s="573"/>
      <c r="AP377" s="305"/>
      <c r="AQ377" s="308"/>
      <c r="AR377" s="573"/>
      <c r="AS377" s="578"/>
      <c r="AT377" s="577"/>
      <c r="AU377" s="579"/>
      <c r="AV377" s="578"/>
      <c r="AW377" s="308"/>
      <c r="AX377" s="307"/>
      <c r="AY377" s="307"/>
      <c r="AZ377" s="307"/>
      <c r="BA377" s="307"/>
      <c r="BB377" s="307"/>
      <c r="BC377" s="305"/>
      <c r="BD377" s="292"/>
      <c r="BE377" s="297"/>
      <c r="BF377" s="297"/>
      <c r="BG377" s="569"/>
      <c r="BH377" s="570"/>
      <c r="BI377" s="570"/>
      <c r="BJ377" s="570"/>
      <c r="BK377" s="570"/>
      <c r="BL377" s="570"/>
      <c r="BM377" s="570"/>
      <c r="BN377" s="570"/>
      <c r="BO377" s="570"/>
      <c r="BP377" s="570"/>
      <c r="BQ377" s="570"/>
      <c r="BR377" s="570"/>
      <c r="BS377" s="570"/>
      <c r="BT377" s="570"/>
      <c r="BU377" s="570"/>
      <c r="BV377" s="570"/>
      <c r="BW377" s="570"/>
      <c r="BX377" s="570"/>
      <c r="BY377" s="570"/>
      <c r="BZ377" s="571"/>
      <c r="CA377" s="571"/>
    </row>
    <row r="378" spans="2:79">
      <c r="B378" s="566">
        <v>363</v>
      </c>
      <c r="C378" s="308"/>
      <c r="D378" s="307"/>
      <c r="E378" s="307"/>
      <c r="F378" s="305"/>
      <c r="G378" s="305"/>
      <c r="H378" s="292"/>
      <c r="I378" s="574"/>
      <c r="J378" s="573"/>
      <c r="K378" s="307"/>
      <c r="L378" s="292"/>
      <c r="M378" s="308"/>
      <c r="N378" s="292"/>
      <c r="O378" s="308"/>
      <c r="P378" s="575"/>
      <c r="Q378" s="576"/>
      <c r="R378" s="308"/>
      <c r="S378" s="575"/>
      <c r="T378" s="576"/>
      <c r="U378" s="308"/>
      <c r="V378" s="575"/>
      <c r="W378" s="576"/>
      <c r="X378" s="308"/>
      <c r="Y378" s="575"/>
      <c r="Z378" s="576"/>
      <c r="AA378" s="308"/>
      <c r="AB378" s="575"/>
      <c r="AC378" s="576"/>
      <c r="AD378" s="308"/>
      <c r="AE378" s="575"/>
      <c r="AF378" s="308"/>
      <c r="AG378" s="575"/>
      <c r="AH378" s="308"/>
      <c r="AI378" s="575"/>
      <c r="AJ378" s="308"/>
      <c r="AK378" s="305"/>
      <c r="AL378" s="577"/>
      <c r="AM378" s="306"/>
      <c r="AN378" s="308"/>
      <c r="AO378" s="573"/>
      <c r="AP378" s="305"/>
      <c r="AQ378" s="308"/>
      <c r="AR378" s="573"/>
      <c r="AS378" s="578"/>
      <c r="AT378" s="577"/>
      <c r="AU378" s="579"/>
      <c r="AV378" s="578"/>
      <c r="AW378" s="308"/>
      <c r="AX378" s="307"/>
      <c r="AY378" s="307"/>
      <c r="AZ378" s="307"/>
      <c r="BA378" s="307"/>
      <c r="BB378" s="307"/>
      <c r="BC378" s="305"/>
      <c r="BD378" s="292"/>
      <c r="BE378" s="297"/>
      <c r="BF378" s="297"/>
      <c r="BG378" s="569"/>
      <c r="BH378" s="570"/>
      <c r="BI378" s="570"/>
      <c r="BJ378" s="570"/>
      <c r="BK378" s="570"/>
      <c r="BL378" s="570"/>
      <c r="BM378" s="570"/>
      <c r="BN378" s="570"/>
      <c r="BO378" s="570"/>
      <c r="BP378" s="570"/>
      <c r="BQ378" s="570"/>
      <c r="BR378" s="570"/>
      <c r="BS378" s="570"/>
      <c r="BT378" s="570"/>
      <c r="BU378" s="570"/>
      <c r="BV378" s="570"/>
      <c r="BW378" s="570"/>
      <c r="BX378" s="570"/>
      <c r="BY378" s="570"/>
      <c r="BZ378" s="571"/>
      <c r="CA378" s="571"/>
    </row>
    <row r="379" spans="2:79">
      <c r="B379" s="572">
        <v>364</v>
      </c>
      <c r="C379" s="308"/>
      <c r="D379" s="307"/>
      <c r="E379" s="307"/>
      <c r="F379" s="305"/>
      <c r="G379" s="305"/>
      <c r="H379" s="292"/>
      <c r="I379" s="574"/>
      <c r="J379" s="573"/>
      <c r="K379" s="307"/>
      <c r="L379" s="292"/>
      <c r="M379" s="308"/>
      <c r="N379" s="292"/>
      <c r="O379" s="308"/>
      <c r="P379" s="575"/>
      <c r="Q379" s="576"/>
      <c r="R379" s="308"/>
      <c r="S379" s="575"/>
      <c r="T379" s="576"/>
      <c r="U379" s="308"/>
      <c r="V379" s="575"/>
      <c r="W379" s="576"/>
      <c r="X379" s="308"/>
      <c r="Y379" s="575"/>
      <c r="Z379" s="576"/>
      <c r="AA379" s="308"/>
      <c r="AB379" s="575"/>
      <c r="AC379" s="576"/>
      <c r="AD379" s="308"/>
      <c r="AE379" s="575"/>
      <c r="AF379" s="308"/>
      <c r="AG379" s="575"/>
      <c r="AH379" s="308"/>
      <c r="AI379" s="575"/>
      <c r="AJ379" s="308"/>
      <c r="AK379" s="305"/>
      <c r="AL379" s="577"/>
      <c r="AM379" s="306"/>
      <c r="AN379" s="308"/>
      <c r="AO379" s="573"/>
      <c r="AP379" s="305"/>
      <c r="AQ379" s="308"/>
      <c r="AR379" s="573"/>
      <c r="AS379" s="578"/>
      <c r="AT379" s="577"/>
      <c r="AU379" s="579"/>
      <c r="AV379" s="578"/>
      <c r="AW379" s="308"/>
      <c r="AX379" s="307"/>
      <c r="AY379" s="307"/>
      <c r="AZ379" s="307"/>
      <c r="BA379" s="307"/>
      <c r="BB379" s="307"/>
      <c r="BC379" s="305"/>
      <c r="BD379" s="292"/>
      <c r="BE379" s="297"/>
      <c r="BF379" s="297"/>
      <c r="BG379" s="569"/>
      <c r="BH379" s="570"/>
      <c r="BI379" s="570"/>
      <c r="BJ379" s="570"/>
      <c r="BK379" s="570"/>
      <c r="BL379" s="570"/>
      <c r="BM379" s="570"/>
      <c r="BN379" s="570"/>
      <c r="BO379" s="570"/>
      <c r="BP379" s="570"/>
      <c r="BQ379" s="570"/>
      <c r="BR379" s="570"/>
      <c r="BS379" s="570"/>
      <c r="BT379" s="570"/>
      <c r="BU379" s="570"/>
      <c r="BV379" s="570"/>
      <c r="BW379" s="570"/>
      <c r="BX379" s="570"/>
      <c r="BY379" s="570"/>
      <c r="BZ379" s="571"/>
      <c r="CA379" s="571"/>
    </row>
    <row r="380" spans="2:79">
      <c r="B380" s="566">
        <v>365</v>
      </c>
      <c r="C380" s="308"/>
      <c r="D380" s="307"/>
      <c r="E380" s="307"/>
      <c r="F380" s="305"/>
      <c r="G380" s="305"/>
      <c r="H380" s="292"/>
      <c r="I380" s="574"/>
      <c r="J380" s="573"/>
      <c r="K380" s="307"/>
      <c r="L380" s="292"/>
      <c r="M380" s="308"/>
      <c r="N380" s="292"/>
      <c r="O380" s="308"/>
      <c r="P380" s="575"/>
      <c r="Q380" s="576"/>
      <c r="R380" s="308"/>
      <c r="S380" s="575"/>
      <c r="T380" s="576"/>
      <c r="U380" s="308"/>
      <c r="V380" s="575"/>
      <c r="W380" s="576"/>
      <c r="X380" s="308"/>
      <c r="Y380" s="575"/>
      <c r="Z380" s="576"/>
      <c r="AA380" s="308"/>
      <c r="AB380" s="575"/>
      <c r="AC380" s="576"/>
      <c r="AD380" s="308"/>
      <c r="AE380" s="575"/>
      <c r="AF380" s="308"/>
      <c r="AG380" s="575"/>
      <c r="AH380" s="308"/>
      <c r="AI380" s="575"/>
      <c r="AJ380" s="308"/>
      <c r="AK380" s="305"/>
      <c r="AL380" s="577"/>
      <c r="AM380" s="306"/>
      <c r="AN380" s="308"/>
      <c r="AO380" s="573"/>
      <c r="AP380" s="305"/>
      <c r="AQ380" s="308"/>
      <c r="AR380" s="573"/>
      <c r="AS380" s="578"/>
      <c r="AT380" s="577"/>
      <c r="AU380" s="579"/>
      <c r="AV380" s="578"/>
      <c r="AW380" s="308"/>
      <c r="AX380" s="307"/>
      <c r="AY380" s="307"/>
      <c r="AZ380" s="307"/>
      <c r="BA380" s="307"/>
      <c r="BB380" s="307"/>
      <c r="BC380" s="305"/>
      <c r="BD380" s="292"/>
      <c r="BE380" s="297"/>
      <c r="BF380" s="297"/>
      <c r="BG380" s="569"/>
      <c r="BH380" s="570"/>
      <c r="BI380" s="570"/>
      <c r="BJ380" s="570"/>
      <c r="BK380" s="570"/>
      <c r="BL380" s="570"/>
      <c r="BM380" s="570"/>
      <c r="BN380" s="570"/>
      <c r="BO380" s="570"/>
      <c r="BP380" s="570"/>
      <c r="BQ380" s="570"/>
      <c r="BR380" s="570"/>
      <c r="BS380" s="570"/>
      <c r="BT380" s="570"/>
      <c r="BU380" s="570"/>
      <c r="BV380" s="570"/>
      <c r="BW380" s="570"/>
      <c r="BX380" s="570"/>
      <c r="BY380" s="570"/>
      <c r="BZ380" s="571"/>
      <c r="CA380" s="571"/>
    </row>
    <row r="381" spans="2:79">
      <c r="B381" s="572">
        <v>366</v>
      </c>
      <c r="C381" s="308"/>
      <c r="D381" s="307"/>
      <c r="E381" s="307"/>
      <c r="F381" s="305"/>
      <c r="G381" s="305"/>
      <c r="H381" s="292"/>
      <c r="I381" s="574"/>
      <c r="J381" s="573"/>
      <c r="K381" s="307"/>
      <c r="L381" s="292"/>
      <c r="M381" s="308"/>
      <c r="N381" s="292"/>
      <c r="O381" s="308"/>
      <c r="P381" s="575"/>
      <c r="Q381" s="576"/>
      <c r="R381" s="308"/>
      <c r="S381" s="575"/>
      <c r="T381" s="576"/>
      <c r="U381" s="308"/>
      <c r="V381" s="575"/>
      <c r="W381" s="576"/>
      <c r="X381" s="308"/>
      <c r="Y381" s="575"/>
      <c r="Z381" s="576"/>
      <c r="AA381" s="308"/>
      <c r="AB381" s="575"/>
      <c r="AC381" s="576"/>
      <c r="AD381" s="308"/>
      <c r="AE381" s="575"/>
      <c r="AF381" s="308"/>
      <c r="AG381" s="575"/>
      <c r="AH381" s="308"/>
      <c r="AI381" s="575"/>
      <c r="AJ381" s="308"/>
      <c r="AK381" s="305"/>
      <c r="AL381" s="577"/>
      <c r="AM381" s="306"/>
      <c r="AN381" s="308"/>
      <c r="AO381" s="573"/>
      <c r="AP381" s="305"/>
      <c r="AQ381" s="308"/>
      <c r="AR381" s="573"/>
      <c r="AS381" s="578"/>
      <c r="AT381" s="577"/>
      <c r="AU381" s="579"/>
      <c r="AV381" s="578"/>
      <c r="AW381" s="308"/>
      <c r="AX381" s="307"/>
      <c r="AY381" s="307"/>
      <c r="AZ381" s="307"/>
      <c r="BA381" s="307"/>
      <c r="BB381" s="307"/>
      <c r="BC381" s="305"/>
      <c r="BD381" s="292"/>
      <c r="BE381" s="297"/>
      <c r="BF381" s="297"/>
      <c r="BG381" s="569"/>
      <c r="BH381" s="570"/>
      <c r="BI381" s="570"/>
      <c r="BJ381" s="570"/>
      <c r="BK381" s="570"/>
      <c r="BL381" s="570"/>
      <c r="BM381" s="570"/>
      <c r="BN381" s="570"/>
      <c r="BO381" s="570"/>
      <c r="BP381" s="570"/>
      <c r="BQ381" s="570"/>
      <c r="BR381" s="570"/>
      <c r="BS381" s="570"/>
      <c r="BT381" s="570"/>
      <c r="BU381" s="570"/>
      <c r="BV381" s="570"/>
      <c r="BW381" s="570"/>
      <c r="BX381" s="570"/>
      <c r="BY381" s="570"/>
      <c r="BZ381" s="571"/>
      <c r="CA381" s="571"/>
    </row>
    <row r="382" spans="2:79">
      <c r="B382" s="566">
        <v>367</v>
      </c>
      <c r="C382" s="308"/>
      <c r="D382" s="307"/>
      <c r="E382" s="307"/>
      <c r="F382" s="305"/>
      <c r="G382" s="305"/>
      <c r="H382" s="292"/>
      <c r="I382" s="574"/>
      <c r="J382" s="573"/>
      <c r="K382" s="307"/>
      <c r="L382" s="292"/>
      <c r="M382" s="308"/>
      <c r="N382" s="292"/>
      <c r="O382" s="308"/>
      <c r="P382" s="575"/>
      <c r="Q382" s="576"/>
      <c r="R382" s="308"/>
      <c r="S382" s="575"/>
      <c r="T382" s="576"/>
      <c r="U382" s="308"/>
      <c r="V382" s="575"/>
      <c r="W382" s="576"/>
      <c r="X382" s="308"/>
      <c r="Y382" s="575"/>
      <c r="Z382" s="576"/>
      <c r="AA382" s="308"/>
      <c r="AB382" s="575"/>
      <c r="AC382" s="576"/>
      <c r="AD382" s="308"/>
      <c r="AE382" s="575"/>
      <c r="AF382" s="308"/>
      <c r="AG382" s="575"/>
      <c r="AH382" s="308"/>
      <c r="AI382" s="575"/>
      <c r="AJ382" s="308"/>
      <c r="AK382" s="305"/>
      <c r="AL382" s="577"/>
      <c r="AM382" s="306"/>
      <c r="AN382" s="308"/>
      <c r="AO382" s="573"/>
      <c r="AP382" s="305"/>
      <c r="AQ382" s="308"/>
      <c r="AR382" s="573"/>
      <c r="AS382" s="578"/>
      <c r="AT382" s="577"/>
      <c r="AU382" s="579"/>
      <c r="AV382" s="578"/>
      <c r="AW382" s="308"/>
      <c r="AX382" s="307"/>
      <c r="AY382" s="307"/>
      <c r="AZ382" s="307"/>
      <c r="BA382" s="307"/>
      <c r="BB382" s="307"/>
      <c r="BC382" s="305"/>
      <c r="BD382" s="292"/>
      <c r="BE382" s="297"/>
      <c r="BF382" s="297"/>
      <c r="BG382" s="569"/>
      <c r="BH382" s="570"/>
      <c r="BI382" s="570"/>
      <c r="BJ382" s="570"/>
      <c r="BK382" s="570"/>
      <c r="BL382" s="570"/>
      <c r="BM382" s="570"/>
      <c r="BN382" s="570"/>
      <c r="BO382" s="570"/>
      <c r="BP382" s="570"/>
      <c r="BQ382" s="570"/>
      <c r="BR382" s="570"/>
      <c r="BS382" s="570"/>
      <c r="BT382" s="570"/>
      <c r="BU382" s="570"/>
      <c r="BV382" s="570"/>
      <c r="BW382" s="570"/>
      <c r="BX382" s="570"/>
      <c r="BY382" s="570"/>
      <c r="BZ382" s="571"/>
      <c r="CA382" s="571"/>
    </row>
    <row r="383" spans="2:79">
      <c r="B383" s="572">
        <v>368</v>
      </c>
      <c r="C383" s="308"/>
      <c r="D383" s="307"/>
      <c r="E383" s="307"/>
      <c r="F383" s="305"/>
      <c r="G383" s="305"/>
      <c r="H383" s="292"/>
      <c r="I383" s="574"/>
      <c r="J383" s="573"/>
      <c r="K383" s="307"/>
      <c r="L383" s="292"/>
      <c r="M383" s="308"/>
      <c r="N383" s="292"/>
      <c r="O383" s="308"/>
      <c r="P383" s="575"/>
      <c r="Q383" s="576"/>
      <c r="R383" s="308"/>
      <c r="S383" s="575"/>
      <c r="T383" s="576"/>
      <c r="U383" s="308"/>
      <c r="V383" s="575"/>
      <c r="W383" s="576"/>
      <c r="X383" s="308"/>
      <c r="Y383" s="575"/>
      <c r="Z383" s="576"/>
      <c r="AA383" s="308"/>
      <c r="AB383" s="575"/>
      <c r="AC383" s="576"/>
      <c r="AD383" s="308"/>
      <c r="AE383" s="575"/>
      <c r="AF383" s="308"/>
      <c r="AG383" s="575"/>
      <c r="AH383" s="308"/>
      <c r="AI383" s="575"/>
      <c r="AJ383" s="308"/>
      <c r="AK383" s="305"/>
      <c r="AL383" s="577"/>
      <c r="AM383" s="306"/>
      <c r="AN383" s="308"/>
      <c r="AO383" s="573"/>
      <c r="AP383" s="305"/>
      <c r="AQ383" s="308"/>
      <c r="AR383" s="573"/>
      <c r="AS383" s="578"/>
      <c r="AT383" s="577"/>
      <c r="AU383" s="579"/>
      <c r="AV383" s="578"/>
      <c r="AW383" s="308"/>
      <c r="AX383" s="307"/>
      <c r="AY383" s="307"/>
      <c r="AZ383" s="307"/>
      <c r="BA383" s="307"/>
      <c r="BB383" s="307"/>
      <c r="BC383" s="305"/>
      <c r="BD383" s="292"/>
      <c r="BE383" s="297"/>
      <c r="BF383" s="297"/>
      <c r="BG383" s="569"/>
      <c r="BH383" s="570"/>
      <c r="BI383" s="570"/>
      <c r="BJ383" s="570"/>
      <c r="BK383" s="570"/>
      <c r="BL383" s="570"/>
      <c r="BM383" s="570"/>
      <c r="BN383" s="570"/>
      <c r="BO383" s="570"/>
      <c r="BP383" s="570"/>
      <c r="BQ383" s="570"/>
      <c r="BR383" s="570"/>
      <c r="BS383" s="570"/>
      <c r="BT383" s="570"/>
      <c r="BU383" s="570"/>
      <c r="BV383" s="570"/>
      <c r="BW383" s="570"/>
      <c r="BX383" s="570"/>
      <c r="BY383" s="570"/>
      <c r="BZ383" s="571"/>
      <c r="CA383" s="571"/>
    </row>
    <row r="384" spans="2:79">
      <c r="B384" s="566">
        <v>369</v>
      </c>
      <c r="C384" s="308"/>
      <c r="D384" s="307"/>
      <c r="E384" s="307"/>
      <c r="F384" s="305"/>
      <c r="G384" s="305"/>
      <c r="H384" s="292"/>
      <c r="I384" s="574"/>
      <c r="J384" s="573"/>
      <c r="K384" s="307"/>
      <c r="L384" s="292"/>
      <c r="M384" s="308"/>
      <c r="N384" s="292"/>
      <c r="O384" s="308"/>
      <c r="P384" s="575"/>
      <c r="Q384" s="576"/>
      <c r="R384" s="308"/>
      <c r="S384" s="575"/>
      <c r="T384" s="576"/>
      <c r="U384" s="308"/>
      <c r="V384" s="575"/>
      <c r="W384" s="576"/>
      <c r="X384" s="308"/>
      <c r="Y384" s="575"/>
      <c r="Z384" s="576"/>
      <c r="AA384" s="308"/>
      <c r="AB384" s="575"/>
      <c r="AC384" s="576"/>
      <c r="AD384" s="308"/>
      <c r="AE384" s="575"/>
      <c r="AF384" s="308"/>
      <c r="AG384" s="575"/>
      <c r="AH384" s="308"/>
      <c r="AI384" s="575"/>
      <c r="AJ384" s="308"/>
      <c r="AK384" s="305"/>
      <c r="AL384" s="577"/>
      <c r="AM384" s="306"/>
      <c r="AN384" s="308"/>
      <c r="AO384" s="573"/>
      <c r="AP384" s="305"/>
      <c r="AQ384" s="308"/>
      <c r="AR384" s="573"/>
      <c r="AS384" s="578"/>
      <c r="AT384" s="577"/>
      <c r="AU384" s="579"/>
      <c r="AV384" s="578"/>
      <c r="AW384" s="308"/>
      <c r="AX384" s="307"/>
      <c r="AY384" s="307"/>
      <c r="AZ384" s="307"/>
      <c r="BA384" s="307"/>
      <c r="BB384" s="307"/>
      <c r="BC384" s="305"/>
      <c r="BD384" s="292"/>
      <c r="BE384" s="297"/>
      <c r="BF384" s="297"/>
      <c r="BG384" s="569"/>
      <c r="BH384" s="570"/>
      <c r="BI384" s="570"/>
      <c r="BJ384" s="570"/>
      <c r="BK384" s="570"/>
      <c r="BL384" s="570"/>
      <c r="BM384" s="570"/>
      <c r="BN384" s="570"/>
      <c r="BO384" s="570"/>
      <c r="BP384" s="570"/>
      <c r="BQ384" s="570"/>
      <c r="BR384" s="570"/>
      <c r="BS384" s="570"/>
      <c r="BT384" s="570"/>
      <c r="BU384" s="570"/>
      <c r="BV384" s="570"/>
      <c r="BW384" s="570"/>
      <c r="BX384" s="570"/>
      <c r="BY384" s="570"/>
      <c r="BZ384" s="571"/>
      <c r="CA384" s="571"/>
    </row>
    <row r="385" spans="2:79">
      <c r="B385" s="572">
        <v>370</v>
      </c>
      <c r="C385" s="308"/>
      <c r="D385" s="307"/>
      <c r="E385" s="307"/>
      <c r="F385" s="305"/>
      <c r="G385" s="305"/>
      <c r="H385" s="292"/>
      <c r="I385" s="574"/>
      <c r="J385" s="573"/>
      <c r="K385" s="307"/>
      <c r="L385" s="292"/>
      <c r="M385" s="308"/>
      <c r="N385" s="292"/>
      <c r="O385" s="308"/>
      <c r="P385" s="575"/>
      <c r="Q385" s="576"/>
      <c r="R385" s="308"/>
      <c r="S385" s="575"/>
      <c r="T385" s="576"/>
      <c r="U385" s="308"/>
      <c r="V385" s="575"/>
      <c r="W385" s="576"/>
      <c r="X385" s="308"/>
      <c r="Y385" s="575"/>
      <c r="Z385" s="576"/>
      <c r="AA385" s="308"/>
      <c r="AB385" s="575"/>
      <c r="AC385" s="576"/>
      <c r="AD385" s="308"/>
      <c r="AE385" s="575"/>
      <c r="AF385" s="308"/>
      <c r="AG385" s="575"/>
      <c r="AH385" s="308"/>
      <c r="AI385" s="575"/>
      <c r="AJ385" s="308"/>
      <c r="AK385" s="305"/>
      <c r="AL385" s="577"/>
      <c r="AM385" s="306"/>
      <c r="AN385" s="308"/>
      <c r="AO385" s="573"/>
      <c r="AP385" s="305"/>
      <c r="AQ385" s="308"/>
      <c r="AR385" s="573"/>
      <c r="AS385" s="578"/>
      <c r="AT385" s="577"/>
      <c r="AU385" s="579"/>
      <c r="AV385" s="578"/>
      <c r="AW385" s="308"/>
      <c r="AX385" s="307"/>
      <c r="AY385" s="307"/>
      <c r="AZ385" s="307"/>
      <c r="BA385" s="307"/>
      <c r="BB385" s="307"/>
      <c r="BC385" s="305"/>
      <c r="BD385" s="292"/>
      <c r="BE385" s="297"/>
      <c r="BF385" s="297"/>
      <c r="BG385" s="569"/>
      <c r="BH385" s="570"/>
      <c r="BI385" s="570"/>
      <c r="BJ385" s="570"/>
      <c r="BK385" s="570"/>
      <c r="BL385" s="570"/>
      <c r="BM385" s="570"/>
      <c r="BN385" s="570"/>
      <c r="BO385" s="570"/>
      <c r="BP385" s="570"/>
      <c r="BQ385" s="570"/>
      <c r="BR385" s="570"/>
      <c r="BS385" s="570"/>
      <c r="BT385" s="570"/>
      <c r="BU385" s="570"/>
      <c r="BV385" s="570"/>
      <c r="BW385" s="570"/>
      <c r="BX385" s="570"/>
      <c r="BY385" s="570"/>
      <c r="BZ385" s="571"/>
      <c r="CA385" s="571"/>
    </row>
    <row r="386" spans="2:79">
      <c r="B386" s="566">
        <v>371</v>
      </c>
      <c r="C386" s="308"/>
      <c r="D386" s="307"/>
      <c r="E386" s="307"/>
      <c r="F386" s="305"/>
      <c r="G386" s="305"/>
      <c r="H386" s="292"/>
      <c r="I386" s="574"/>
      <c r="J386" s="573"/>
      <c r="K386" s="307"/>
      <c r="L386" s="292"/>
      <c r="M386" s="308"/>
      <c r="N386" s="292"/>
      <c r="O386" s="308"/>
      <c r="P386" s="575"/>
      <c r="Q386" s="576"/>
      <c r="R386" s="308"/>
      <c r="S386" s="575"/>
      <c r="T386" s="576"/>
      <c r="U386" s="308"/>
      <c r="V386" s="575"/>
      <c r="W386" s="576"/>
      <c r="X386" s="308"/>
      <c r="Y386" s="575"/>
      <c r="Z386" s="576"/>
      <c r="AA386" s="308"/>
      <c r="AB386" s="575"/>
      <c r="AC386" s="576"/>
      <c r="AD386" s="308"/>
      <c r="AE386" s="575"/>
      <c r="AF386" s="308"/>
      <c r="AG386" s="575"/>
      <c r="AH386" s="308"/>
      <c r="AI386" s="575"/>
      <c r="AJ386" s="308"/>
      <c r="AK386" s="305"/>
      <c r="AL386" s="577"/>
      <c r="AM386" s="306"/>
      <c r="AN386" s="308"/>
      <c r="AO386" s="573"/>
      <c r="AP386" s="305"/>
      <c r="AQ386" s="308"/>
      <c r="AR386" s="573"/>
      <c r="AS386" s="578"/>
      <c r="AT386" s="577"/>
      <c r="AU386" s="579"/>
      <c r="AV386" s="578"/>
      <c r="AW386" s="308"/>
      <c r="AX386" s="307"/>
      <c r="AY386" s="307"/>
      <c r="AZ386" s="307"/>
      <c r="BA386" s="307"/>
      <c r="BB386" s="307"/>
      <c r="BC386" s="305"/>
      <c r="BD386" s="292"/>
      <c r="BE386" s="297"/>
      <c r="BF386" s="297"/>
      <c r="BG386" s="569"/>
      <c r="BH386" s="570"/>
      <c r="BI386" s="570"/>
      <c r="BJ386" s="570"/>
      <c r="BK386" s="570"/>
      <c r="BL386" s="570"/>
      <c r="BM386" s="570"/>
      <c r="BN386" s="570"/>
      <c r="BO386" s="570"/>
      <c r="BP386" s="570"/>
      <c r="BQ386" s="570"/>
      <c r="BR386" s="570"/>
      <c r="BS386" s="570"/>
      <c r="BT386" s="570"/>
      <c r="BU386" s="570"/>
      <c r="BV386" s="570"/>
      <c r="BW386" s="570"/>
      <c r="BX386" s="570"/>
      <c r="BY386" s="570"/>
      <c r="BZ386" s="571"/>
      <c r="CA386" s="571"/>
    </row>
    <row r="387" spans="2:79">
      <c r="B387" s="572">
        <v>372</v>
      </c>
      <c r="C387" s="308"/>
      <c r="D387" s="307"/>
      <c r="E387" s="307"/>
      <c r="F387" s="305"/>
      <c r="G387" s="305"/>
      <c r="H387" s="292"/>
      <c r="I387" s="574"/>
      <c r="J387" s="573"/>
      <c r="K387" s="307"/>
      <c r="L387" s="292"/>
      <c r="M387" s="308"/>
      <c r="N387" s="292"/>
      <c r="O387" s="308"/>
      <c r="P387" s="575"/>
      <c r="Q387" s="576"/>
      <c r="R387" s="308"/>
      <c r="S387" s="575"/>
      <c r="T387" s="576"/>
      <c r="U387" s="308"/>
      <c r="V387" s="575"/>
      <c r="W387" s="576"/>
      <c r="X387" s="308"/>
      <c r="Y387" s="575"/>
      <c r="Z387" s="576"/>
      <c r="AA387" s="308"/>
      <c r="AB387" s="575"/>
      <c r="AC387" s="576"/>
      <c r="AD387" s="308"/>
      <c r="AE387" s="575"/>
      <c r="AF387" s="308"/>
      <c r="AG387" s="575"/>
      <c r="AH387" s="308"/>
      <c r="AI387" s="575"/>
      <c r="AJ387" s="308"/>
      <c r="AK387" s="305"/>
      <c r="AL387" s="577"/>
      <c r="AM387" s="306"/>
      <c r="AN387" s="308"/>
      <c r="AO387" s="573"/>
      <c r="AP387" s="305"/>
      <c r="AQ387" s="308"/>
      <c r="AR387" s="573"/>
      <c r="AS387" s="578"/>
      <c r="AT387" s="577"/>
      <c r="AU387" s="579"/>
      <c r="AV387" s="578"/>
      <c r="AW387" s="308"/>
      <c r="AX387" s="307"/>
      <c r="AY387" s="307"/>
      <c r="AZ387" s="307"/>
      <c r="BA387" s="307"/>
      <c r="BB387" s="307"/>
      <c r="BC387" s="305"/>
      <c r="BD387" s="292"/>
      <c r="BE387" s="297"/>
      <c r="BF387" s="297"/>
      <c r="BG387" s="569"/>
      <c r="BH387" s="570"/>
      <c r="BI387" s="570"/>
      <c r="BJ387" s="570"/>
      <c r="BK387" s="570"/>
      <c r="BL387" s="570"/>
      <c r="BM387" s="570"/>
      <c r="BN387" s="570"/>
      <c r="BO387" s="570"/>
      <c r="BP387" s="570"/>
      <c r="BQ387" s="570"/>
      <c r="BR387" s="570"/>
      <c r="BS387" s="570"/>
      <c r="BT387" s="570"/>
      <c r="BU387" s="570"/>
      <c r="BV387" s="570"/>
      <c r="BW387" s="570"/>
      <c r="BX387" s="570"/>
      <c r="BY387" s="570"/>
      <c r="BZ387" s="571"/>
      <c r="CA387" s="571"/>
    </row>
    <row r="388" spans="2:79">
      <c r="B388" s="566">
        <v>373</v>
      </c>
      <c r="C388" s="308"/>
      <c r="D388" s="307"/>
      <c r="E388" s="307"/>
      <c r="F388" s="305"/>
      <c r="G388" s="305"/>
      <c r="H388" s="292"/>
      <c r="I388" s="574"/>
      <c r="J388" s="573"/>
      <c r="K388" s="307"/>
      <c r="L388" s="292"/>
      <c r="M388" s="308"/>
      <c r="N388" s="292"/>
      <c r="O388" s="308"/>
      <c r="P388" s="575"/>
      <c r="Q388" s="576"/>
      <c r="R388" s="308"/>
      <c r="S388" s="575"/>
      <c r="T388" s="576"/>
      <c r="U388" s="308"/>
      <c r="V388" s="575"/>
      <c r="W388" s="576"/>
      <c r="X388" s="308"/>
      <c r="Y388" s="575"/>
      <c r="Z388" s="576"/>
      <c r="AA388" s="308"/>
      <c r="AB388" s="575"/>
      <c r="AC388" s="576"/>
      <c r="AD388" s="308"/>
      <c r="AE388" s="575"/>
      <c r="AF388" s="308"/>
      <c r="AG388" s="575"/>
      <c r="AH388" s="308"/>
      <c r="AI388" s="575"/>
      <c r="AJ388" s="308"/>
      <c r="AK388" s="305"/>
      <c r="AL388" s="577"/>
      <c r="AM388" s="306"/>
      <c r="AN388" s="308"/>
      <c r="AO388" s="573"/>
      <c r="AP388" s="305"/>
      <c r="AQ388" s="308"/>
      <c r="AR388" s="573"/>
      <c r="AS388" s="578"/>
      <c r="AT388" s="577"/>
      <c r="AU388" s="579"/>
      <c r="AV388" s="578"/>
      <c r="AW388" s="308"/>
      <c r="AX388" s="307"/>
      <c r="AY388" s="307"/>
      <c r="AZ388" s="307"/>
      <c r="BA388" s="307"/>
      <c r="BB388" s="307"/>
      <c r="BC388" s="305"/>
      <c r="BD388" s="292"/>
      <c r="BE388" s="297"/>
      <c r="BF388" s="297"/>
      <c r="BG388" s="569"/>
      <c r="BH388" s="570"/>
      <c r="BI388" s="570"/>
      <c r="BJ388" s="570"/>
      <c r="BK388" s="570"/>
      <c r="BL388" s="570"/>
      <c r="BM388" s="570"/>
      <c r="BN388" s="570"/>
      <c r="BO388" s="570"/>
      <c r="BP388" s="570"/>
      <c r="BQ388" s="570"/>
      <c r="BR388" s="570"/>
      <c r="BS388" s="570"/>
      <c r="BT388" s="570"/>
      <c r="BU388" s="570"/>
      <c r="BV388" s="570"/>
      <c r="BW388" s="570"/>
      <c r="BX388" s="570"/>
      <c r="BY388" s="570"/>
      <c r="BZ388" s="571"/>
      <c r="CA388" s="571"/>
    </row>
    <row r="389" spans="2:79">
      <c r="B389" s="572">
        <v>374</v>
      </c>
      <c r="C389" s="308"/>
      <c r="D389" s="307"/>
      <c r="E389" s="307"/>
      <c r="F389" s="305"/>
      <c r="G389" s="305"/>
      <c r="H389" s="292"/>
      <c r="I389" s="574"/>
      <c r="J389" s="573"/>
      <c r="K389" s="307"/>
      <c r="L389" s="292"/>
      <c r="M389" s="308"/>
      <c r="N389" s="292"/>
      <c r="O389" s="308"/>
      <c r="P389" s="575"/>
      <c r="Q389" s="576"/>
      <c r="R389" s="308"/>
      <c r="S389" s="575"/>
      <c r="T389" s="576"/>
      <c r="U389" s="308"/>
      <c r="V389" s="575"/>
      <c r="W389" s="576"/>
      <c r="X389" s="308"/>
      <c r="Y389" s="575"/>
      <c r="Z389" s="576"/>
      <c r="AA389" s="308"/>
      <c r="AB389" s="575"/>
      <c r="AC389" s="576"/>
      <c r="AD389" s="308"/>
      <c r="AE389" s="575"/>
      <c r="AF389" s="308"/>
      <c r="AG389" s="575"/>
      <c r="AH389" s="308"/>
      <c r="AI389" s="575"/>
      <c r="AJ389" s="308"/>
      <c r="AK389" s="305"/>
      <c r="AL389" s="577"/>
      <c r="AM389" s="306"/>
      <c r="AN389" s="308"/>
      <c r="AO389" s="573"/>
      <c r="AP389" s="305"/>
      <c r="AQ389" s="308"/>
      <c r="AR389" s="573"/>
      <c r="AS389" s="578"/>
      <c r="AT389" s="577"/>
      <c r="AU389" s="579"/>
      <c r="AV389" s="578"/>
      <c r="AW389" s="308"/>
      <c r="AX389" s="307"/>
      <c r="AY389" s="307"/>
      <c r="AZ389" s="307"/>
      <c r="BA389" s="307"/>
      <c r="BB389" s="307"/>
      <c r="BC389" s="305"/>
      <c r="BD389" s="292"/>
      <c r="BE389" s="297"/>
      <c r="BF389" s="297"/>
      <c r="BG389" s="569"/>
      <c r="BH389" s="570"/>
      <c r="BI389" s="570"/>
      <c r="BJ389" s="570"/>
      <c r="BK389" s="570"/>
      <c r="BL389" s="570"/>
      <c r="BM389" s="570"/>
      <c r="BN389" s="570"/>
      <c r="BO389" s="570"/>
      <c r="BP389" s="570"/>
      <c r="BQ389" s="570"/>
      <c r="BR389" s="570"/>
      <c r="BS389" s="570"/>
      <c r="BT389" s="570"/>
      <c r="BU389" s="570"/>
      <c r="BV389" s="570"/>
      <c r="BW389" s="570"/>
      <c r="BX389" s="570"/>
      <c r="BY389" s="570"/>
      <c r="BZ389" s="571"/>
      <c r="CA389" s="571"/>
    </row>
    <row r="390" spans="2:79">
      <c r="B390" s="566">
        <v>375</v>
      </c>
      <c r="C390" s="308"/>
      <c r="D390" s="307"/>
      <c r="E390" s="307"/>
      <c r="F390" s="305"/>
      <c r="G390" s="305"/>
      <c r="H390" s="292"/>
      <c r="I390" s="574"/>
      <c r="J390" s="573"/>
      <c r="K390" s="307"/>
      <c r="L390" s="292"/>
      <c r="M390" s="308"/>
      <c r="N390" s="292"/>
      <c r="O390" s="308"/>
      <c r="P390" s="575"/>
      <c r="Q390" s="576"/>
      <c r="R390" s="308"/>
      <c r="S390" s="575"/>
      <c r="T390" s="576"/>
      <c r="U390" s="308"/>
      <c r="V390" s="575"/>
      <c r="W390" s="576"/>
      <c r="X390" s="308"/>
      <c r="Y390" s="575"/>
      <c r="Z390" s="576"/>
      <c r="AA390" s="308"/>
      <c r="AB390" s="575"/>
      <c r="AC390" s="576"/>
      <c r="AD390" s="308"/>
      <c r="AE390" s="575"/>
      <c r="AF390" s="308"/>
      <c r="AG390" s="575"/>
      <c r="AH390" s="308"/>
      <c r="AI390" s="575"/>
      <c r="AJ390" s="308"/>
      <c r="AK390" s="305"/>
      <c r="AL390" s="577"/>
      <c r="AM390" s="306"/>
      <c r="AN390" s="308"/>
      <c r="AO390" s="573"/>
      <c r="AP390" s="305"/>
      <c r="AQ390" s="308"/>
      <c r="AR390" s="573"/>
      <c r="AS390" s="578"/>
      <c r="AT390" s="577"/>
      <c r="AU390" s="579"/>
      <c r="AV390" s="578"/>
      <c r="AW390" s="308"/>
      <c r="AX390" s="307"/>
      <c r="AY390" s="307"/>
      <c r="AZ390" s="307"/>
      <c r="BA390" s="307"/>
      <c r="BB390" s="307"/>
      <c r="BC390" s="305"/>
      <c r="BD390" s="292"/>
      <c r="BE390" s="297"/>
      <c r="BF390" s="297"/>
      <c r="BG390" s="569"/>
      <c r="BH390" s="570"/>
      <c r="BI390" s="570"/>
      <c r="BJ390" s="570"/>
      <c r="BK390" s="570"/>
      <c r="BL390" s="570"/>
      <c r="BM390" s="570"/>
      <c r="BN390" s="570"/>
      <c r="BO390" s="570"/>
      <c r="BP390" s="570"/>
      <c r="BQ390" s="570"/>
      <c r="BR390" s="570"/>
      <c r="BS390" s="570"/>
      <c r="BT390" s="570"/>
      <c r="BU390" s="570"/>
      <c r="BV390" s="570"/>
      <c r="BW390" s="570"/>
      <c r="BX390" s="570"/>
      <c r="BY390" s="570"/>
      <c r="BZ390" s="571"/>
      <c r="CA390" s="571"/>
    </row>
    <row r="391" spans="2:79">
      <c r="B391" s="572">
        <v>376</v>
      </c>
      <c r="C391" s="308"/>
      <c r="D391" s="307"/>
      <c r="E391" s="307"/>
      <c r="F391" s="305"/>
      <c r="G391" s="305"/>
      <c r="H391" s="292"/>
      <c r="I391" s="574"/>
      <c r="J391" s="573"/>
      <c r="K391" s="307"/>
      <c r="L391" s="292"/>
      <c r="M391" s="308"/>
      <c r="N391" s="292"/>
      <c r="O391" s="308"/>
      <c r="P391" s="575"/>
      <c r="Q391" s="576"/>
      <c r="R391" s="308"/>
      <c r="S391" s="575"/>
      <c r="T391" s="576"/>
      <c r="U391" s="308"/>
      <c r="V391" s="575"/>
      <c r="W391" s="576"/>
      <c r="X391" s="308"/>
      <c r="Y391" s="575"/>
      <c r="Z391" s="576"/>
      <c r="AA391" s="308"/>
      <c r="AB391" s="575"/>
      <c r="AC391" s="576"/>
      <c r="AD391" s="308"/>
      <c r="AE391" s="575"/>
      <c r="AF391" s="308"/>
      <c r="AG391" s="575"/>
      <c r="AH391" s="308"/>
      <c r="AI391" s="575"/>
      <c r="AJ391" s="308"/>
      <c r="AK391" s="305"/>
      <c r="AL391" s="577"/>
      <c r="AM391" s="306"/>
      <c r="AN391" s="308"/>
      <c r="AO391" s="573"/>
      <c r="AP391" s="305"/>
      <c r="AQ391" s="308"/>
      <c r="AR391" s="573"/>
      <c r="AS391" s="578"/>
      <c r="AT391" s="577"/>
      <c r="AU391" s="579"/>
      <c r="AV391" s="578"/>
      <c r="AW391" s="308"/>
      <c r="AX391" s="307"/>
      <c r="AY391" s="307"/>
      <c r="AZ391" s="307"/>
      <c r="BA391" s="307"/>
      <c r="BB391" s="307"/>
      <c r="BC391" s="305"/>
      <c r="BD391" s="292"/>
      <c r="BE391" s="297"/>
      <c r="BF391" s="297"/>
      <c r="BG391" s="569"/>
      <c r="BH391" s="570"/>
      <c r="BI391" s="570"/>
      <c r="BJ391" s="570"/>
      <c r="BK391" s="570"/>
      <c r="BL391" s="570"/>
      <c r="BM391" s="570"/>
      <c r="BN391" s="570"/>
      <c r="BO391" s="570"/>
      <c r="BP391" s="570"/>
      <c r="BQ391" s="570"/>
      <c r="BR391" s="570"/>
      <c r="BS391" s="570"/>
      <c r="BT391" s="570"/>
      <c r="BU391" s="570"/>
      <c r="BV391" s="570"/>
      <c r="BW391" s="570"/>
      <c r="BX391" s="570"/>
      <c r="BY391" s="570"/>
      <c r="BZ391" s="571"/>
      <c r="CA391" s="571"/>
    </row>
    <row r="392" spans="2:79">
      <c r="B392" s="566">
        <v>377</v>
      </c>
      <c r="C392" s="308"/>
      <c r="D392" s="307"/>
      <c r="E392" s="307"/>
      <c r="F392" s="305"/>
      <c r="G392" s="305"/>
      <c r="H392" s="292"/>
      <c r="I392" s="574"/>
      <c r="J392" s="573"/>
      <c r="K392" s="307"/>
      <c r="L392" s="292"/>
      <c r="M392" s="308"/>
      <c r="N392" s="292"/>
      <c r="O392" s="308"/>
      <c r="P392" s="575"/>
      <c r="Q392" s="576"/>
      <c r="R392" s="308"/>
      <c r="S392" s="575"/>
      <c r="T392" s="576"/>
      <c r="U392" s="308"/>
      <c r="V392" s="575"/>
      <c r="W392" s="576"/>
      <c r="X392" s="308"/>
      <c r="Y392" s="575"/>
      <c r="Z392" s="576"/>
      <c r="AA392" s="308"/>
      <c r="AB392" s="575"/>
      <c r="AC392" s="576"/>
      <c r="AD392" s="308"/>
      <c r="AE392" s="575"/>
      <c r="AF392" s="308"/>
      <c r="AG392" s="575"/>
      <c r="AH392" s="308"/>
      <c r="AI392" s="575"/>
      <c r="AJ392" s="308"/>
      <c r="AK392" s="305"/>
      <c r="AL392" s="577"/>
      <c r="AM392" s="306"/>
      <c r="AN392" s="308"/>
      <c r="AO392" s="573"/>
      <c r="AP392" s="305"/>
      <c r="AQ392" s="308"/>
      <c r="AR392" s="573"/>
      <c r="AS392" s="578"/>
      <c r="AT392" s="577"/>
      <c r="AU392" s="579"/>
      <c r="AV392" s="578"/>
      <c r="AW392" s="308"/>
      <c r="AX392" s="307"/>
      <c r="AY392" s="307"/>
      <c r="AZ392" s="307"/>
      <c r="BA392" s="307"/>
      <c r="BB392" s="307"/>
      <c r="BC392" s="305"/>
      <c r="BD392" s="292"/>
      <c r="BE392" s="297"/>
      <c r="BF392" s="297"/>
      <c r="BG392" s="569"/>
      <c r="BH392" s="570"/>
      <c r="BI392" s="570"/>
      <c r="BJ392" s="570"/>
      <c r="BK392" s="570"/>
      <c r="BL392" s="570"/>
      <c r="BM392" s="570"/>
      <c r="BN392" s="570"/>
      <c r="BO392" s="570"/>
      <c r="BP392" s="570"/>
      <c r="BQ392" s="570"/>
      <c r="BR392" s="570"/>
      <c r="BS392" s="570"/>
      <c r="BT392" s="570"/>
      <c r="BU392" s="570"/>
      <c r="BV392" s="570"/>
      <c r="BW392" s="570"/>
      <c r="BX392" s="570"/>
      <c r="BY392" s="570"/>
      <c r="BZ392" s="571"/>
      <c r="CA392" s="571"/>
    </row>
    <row r="393" spans="2:79">
      <c r="B393" s="572">
        <v>378</v>
      </c>
      <c r="C393" s="308"/>
      <c r="D393" s="307"/>
      <c r="E393" s="307"/>
      <c r="F393" s="305"/>
      <c r="G393" s="305"/>
      <c r="H393" s="292"/>
      <c r="I393" s="574"/>
      <c r="J393" s="573"/>
      <c r="K393" s="307"/>
      <c r="L393" s="292"/>
      <c r="M393" s="308"/>
      <c r="N393" s="292"/>
      <c r="O393" s="308"/>
      <c r="P393" s="575"/>
      <c r="Q393" s="576"/>
      <c r="R393" s="308"/>
      <c r="S393" s="575"/>
      <c r="T393" s="576"/>
      <c r="U393" s="308"/>
      <c r="V393" s="575"/>
      <c r="W393" s="576"/>
      <c r="X393" s="308"/>
      <c r="Y393" s="575"/>
      <c r="Z393" s="576"/>
      <c r="AA393" s="308"/>
      <c r="AB393" s="575"/>
      <c r="AC393" s="576"/>
      <c r="AD393" s="308"/>
      <c r="AE393" s="575"/>
      <c r="AF393" s="308"/>
      <c r="AG393" s="575"/>
      <c r="AH393" s="308"/>
      <c r="AI393" s="575"/>
      <c r="AJ393" s="308"/>
      <c r="AK393" s="305"/>
      <c r="AL393" s="577"/>
      <c r="AM393" s="306"/>
      <c r="AN393" s="308"/>
      <c r="AO393" s="573"/>
      <c r="AP393" s="305"/>
      <c r="AQ393" s="308"/>
      <c r="AR393" s="573"/>
      <c r="AS393" s="578"/>
      <c r="AT393" s="577"/>
      <c r="AU393" s="579"/>
      <c r="AV393" s="578"/>
      <c r="AW393" s="308"/>
      <c r="AX393" s="307"/>
      <c r="AY393" s="307"/>
      <c r="AZ393" s="307"/>
      <c r="BA393" s="307"/>
      <c r="BB393" s="307"/>
      <c r="BC393" s="305"/>
      <c r="BD393" s="292"/>
      <c r="BE393" s="297"/>
      <c r="BF393" s="297"/>
      <c r="BG393" s="569"/>
      <c r="BH393" s="570"/>
      <c r="BI393" s="570"/>
      <c r="BJ393" s="570"/>
      <c r="BK393" s="570"/>
      <c r="BL393" s="570"/>
      <c r="BM393" s="570"/>
      <c r="BN393" s="570"/>
      <c r="BO393" s="570"/>
      <c r="BP393" s="570"/>
      <c r="BQ393" s="570"/>
      <c r="BR393" s="570"/>
      <c r="BS393" s="570"/>
      <c r="BT393" s="570"/>
      <c r="BU393" s="570"/>
      <c r="BV393" s="570"/>
      <c r="BW393" s="570"/>
      <c r="BX393" s="570"/>
      <c r="BY393" s="570"/>
      <c r="BZ393" s="571"/>
      <c r="CA393" s="571"/>
    </row>
    <row r="394" spans="2:79">
      <c r="B394" s="566">
        <v>379</v>
      </c>
      <c r="C394" s="308"/>
      <c r="D394" s="307"/>
      <c r="E394" s="307"/>
      <c r="F394" s="305"/>
      <c r="G394" s="305"/>
      <c r="H394" s="292"/>
      <c r="I394" s="574"/>
      <c r="J394" s="573"/>
      <c r="K394" s="307"/>
      <c r="L394" s="292"/>
      <c r="M394" s="308"/>
      <c r="N394" s="292"/>
      <c r="O394" s="308"/>
      <c r="P394" s="575"/>
      <c r="Q394" s="576"/>
      <c r="R394" s="308"/>
      <c r="S394" s="575"/>
      <c r="T394" s="576"/>
      <c r="U394" s="308"/>
      <c r="V394" s="575"/>
      <c r="W394" s="576"/>
      <c r="X394" s="308"/>
      <c r="Y394" s="575"/>
      <c r="Z394" s="576"/>
      <c r="AA394" s="308"/>
      <c r="AB394" s="575"/>
      <c r="AC394" s="576"/>
      <c r="AD394" s="308"/>
      <c r="AE394" s="575"/>
      <c r="AF394" s="308"/>
      <c r="AG394" s="575"/>
      <c r="AH394" s="308"/>
      <c r="AI394" s="575"/>
      <c r="AJ394" s="308"/>
      <c r="AK394" s="305"/>
      <c r="AL394" s="577"/>
      <c r="AM394" s="306"/>
      <c r="AN394" s="308"/>
      <c r="AO394" s="573"/>
      <c r="AP394" s="305"/>
      <c r="AQ394" s="308"/>
      <c r="AR394" s="573"/>
      <c r="AS394" s="578"/>
      <c r="AT394" s="577"/>
      <c r="AU394" s="579"/>
      <c r="AV394" s="578"/>
      <c r="AW394" s="308"/>
      <c r="AX394" s="307"/>
      <c r="AY394" s="307"/>
      <c r="AZ394" s="307"/>
      <c r="BA394" s="307"/>
      <c r="BB394" s="307"/>
      <c r="BC394" s="305"/>
      <c r="BD394" s="292"/>
      <c r="BE394" s="297"/>
      <c r="BF394" s="297"/>
      <c r="BG394" s="569"/>
      <c r="BH394" s="570"/>
      <c r="BI394" s="570"/>
      <c r="BJ394" s="570"/>
      <c r="BK394" s="570"/>
      <c r="BL394" s="570"/>
      <c r="BM394" s="570"/>
      <c r="BN394" s="570"/>
      <c r="BO394" s="570"/>
      <c r="BP394" s="570"/>
      <c r="BQ394" s="570"/>
      <c r="BR394" s="570"/>
      <c r="BS394" s="570"/>
      <c r="BT394" s="570"/>
      <c r="BU394" s="570"/>
      <c r="BV394" s="570"/>
      <c r="BW394" s="570"/>
      <c r="BX394" s="570"/>
      <c r="BY394" s="570"/>
      <c r="BZ394" s="571"/>
      <c r="CA394" s="571"/>
    </row>
    <row r="395" spans="2:79">
      <c r="B395" s="572">
        <v>380</v>
      </c>
      <c r="C395" s="308"/>
      <c r="D395" s="307"/>
      <c r="E395" s="307"/>
      <c r="F395" s="305"/>
      <c r="G395" s="305"/>
      <c r="H395" s="292"/>
      <c r="I395" s="574"/>
      <c r="J395" s="573"/>
      <c r="K395" s="307"/>
      <c r="L395" s="292"/>
      <c r="M395" s="308"/>
      <c r="N395" s="292"/>
      <c r="O395" s="308"/>
      <c r="P395" s="575"/>
      <c r="Q395" s="576"/>
      <c r="R395" s="308"/>
      <c r="S395" s="575"/>
      <c r="T395" s="576"/>
      <c r="U395" s="308"/>
      <c r="V395" s="575"/>
      <c r="W395" s="576"/>
      <c r="X395" s="308"/>
      <c r="Y395" s="575"/>
      <c r="Z395" s="576"/>
      <c r="AA395" s="308"/>
      <c r="AB395" s="575"/>
      <c r="AC395" s="576"/>
      <c r="AD395" s="308"/>
      <c r="AE395" s="575"/>
      <c r="AF395" s="308"/>
      <c r="AG395" s="575"/>
      <c r="AH395" s="308"/>
      <c r="AI395" s="575"/>
      <c r="AJ395" s="308"/>
      <c r="AK395" s="305"/>
      <c r="AL395" s="577"/>
      <c r="AM395" s="306"/>
      <c r="AN395" s="308"/>
      <c r="AO395" s="573"/>
      <c r="AP395" s="305"/>
      <c r="AQ395" s="308"/>
      <c r="AR395" s="573"/>
      <c r="AS395" s="578"/>
      <c r="AT395" s="577"/>
      <c r="AU395" s="579"/>
      <c r="AV395" s="578"/>
      <c r="AW395" s="308"/>
      <c r="AX395" s="307"/>
      <c r="AY395" s="307"/>
      <c r="AZ395" s="307"/>
      <c r="BA395" s="307"/>
      <c r="BB395" s="307"/>
      <c r="BC395" s="305"/>
      <c r="BD395" s="292"/>
      <c r="BE395" s="297"/>
      <c r="BF395" s="297"/>
      <c r="BG395" s="569"/>
      <c r="BH395" s="570"/>
      <c r="BI395" s="570"/>
      <c r="BJ395" s="570"/>
      <c r="BK395" s="570"/>
      <c r="BL395" s="570"/>
      <c r="BM395" s="570"/>
      <c r="BN395" s="570"/>
      <c r="BO395" s="570"/>
      <c r="BP395" s="570"/>
      <c r="BQ395" s="570"/>
      <c r="BR395" s="570"/>
      <c r="BS395" s="570"/>
      <c r="BT395" s="570"/>
      <c r="BU395" s="570"/>
      <c r="BV395" s="570"/>
      <c r="BW395" s="570"/>
      <c r="BX395" s="570"/>
      <c r="BY395" s="570"/>
      <c r="BZ395" s="571"/>
      <c r="CA395" s="571"/>
    </row>
    <row r="396" spans="2:79">
      <c r="B396" s="566">
        <v>381</v>
      </c>
      <c r="C396" s="308"/>
      <c r="D396" s="307"/>
      <c r="E396" s="307"/>
      <c r="F396" s="305"/>
      <c r="G396" s="305"/>
      <c r="H396" s="292"/>
      <c r="I396" s="574"/>
      <c r="J396" s="573"/>
      <c r="K396" s="307"/>
      <c r="L396" s="292"/>
      <c r="M396" s="308"/>
      <c r="N396" s="292"/>
      <c r="O396" s="308"/>
      <c r="P396" s="575"/>
      <c r="Q396" s="576"/>
      <c r="R396" s="308"/>
      <c r="S396" s="575"/>
      <c r="T396" s="576"/>
      <c r="U396" s="308"/>
      <c r="V396" s="575"/>
      <c r="W396" s="576"/>
      <c r="X396" s="308"/>
      <c r="Y396" s="575"/>
      <c r="Z396" s="576"/>
      <c r="AA396" s="308"/>
      <c r="AB396" s="575"/>
      <c r="AC396" s="576"/>
      <c r="AD396" s="308"/>
      <c r="AE396" s="575"/>
      <c r="AF396" s="308"/>
      <c r="AG396" s="575"/>
      <c r="AH396" s="308"/>
      <c r="AI396" s="575"/>
      <c r="AJ396" s="308"/>
      <c r="AK396" s="305"/>
      <c r="AL396" s="577"/>
      <c r="AM396" s="306"/>
      <c r="AN396" s="308"/>
      <c r="AO396" s="573"/>
      <c r="AP396" s="305"/>
      <c r="AQ396" s="308"/>
      <c r="AR396" s="573"/>
      <c r="AS396" s="578"/>
      <c r="AT396" s="577"/>
      <c r="AU396" s="579"/>
      <c r="AV396" s="578"/>
      <c r="AW396" s="308"/>
      <c r="AX396" s="307"/>
      <c r="AY396" s="307"/>
      <c r="AZ396" s="307"/>
      <c r="BA396" s="307"/>
      <c r="BB396" s="307"/>
      <c r="BC396" s="305"/>
      <c r="BD396" s="292"/>
      <c r="BE396" s="297"/>
      <c r="BF396" s="297"/>
      <c r="BG396" s="569"/>
      <c r="BH396" s="570"/>
      <c r="BI396" s="570"/>
      <c r="BJ396" s="570"/>
      <c r="BK396" s="570"/>
      <c r="BL396" s="570"/>
      <c r="BM396" s="570"/>
      <c r="BN396" s="570"/>
      <c r="BO396" s="570"/>
      <c r="BP396" s="570"/>
      <c r="BQ396" s="570"/>
      <c r="BR396" s="570"/>
      <c r="BS396" s="570"/>
      <c r="BT396" s="570"/>
      <c r="BU396" s="570"/>
      <c r="BV396" s="570"/>
      <c r="BW396" s="570"/>
      <c r="BX396" s="570"/>
      <c r="BY396" s="570"/>
      <c r="BZ396" s="571"/>
      <c r="CA396" s="571"/>
    </row>
    <row r="397" spans="2:79">
      <c r="B397" s="572">
        <v>382</v>
      </c>
      <c r="C397" s="308"/>
      <c r="D397" s="307"/>
      <c r="E397" s="307"/>
      <c r="F397" s="305"/>
      <c r="G397" s="305"/>
      <c r="H397" s="292"/>
      <c r="I397" s="574"/>
      <c r="J397" s="573"/>
      <c r="K397" s="307"/>
      <c r="L397" s="292"/>
      <c r="M397" s="308"/>
      <c r="N397" s="292"/>
      <c r="O397" s="308"/>
      <c r="P397" s="575"/>
      <c r="Q397" s="576"/>
      <c r="R397" s="308"/>
      <c r="S397" s="575"/>
      <c r="T397" s="576"/>
      <c r="U397" s="308"/>
      <c r="V397" s="575"/>
      <c r="W397" s="576"/>
      <c r="X397" s="308"/>
      <c r="Y397" s="575"/>
      <c r="Z397" s="576"/>
      <c r="AA397" s="308"/>
      <c r="AB397" s="575"/>
      <c r="AC397" s="576"/>
      <c r="AD397" s="308"/>
      <c r="AE397" s="575"/>
      <c r="AF397" s="308"/>
      <c r="AG397" s="575"/>
      <c r="AH397" s="308"/>
      <c r="AI397" s="575"/>
      <c r="AJ397" s="308"/>
      <c r="AK397" s="305"/>
      <c r="AL397" s="577"/>
      <c r="AM397" s="306"/>
      <c r="AN397" s="308"/>
      <c r="AO397" s="573"/>
      <c r="AP397" s="305"/>
      <c r="AQ397" s="308"/>
      <c r="AR397" s="573"/>
      <c r="AS397" s="578"/>
      <c r="AT397" s="577"/>
      <c r="AU397" s="579"/>
      <c r="AV397" s="578"/>
      <c r="AW397" s="308"/>
      <c r="AX397" s="307"/>
      <c r="AY397" s="307"/>
      <c r="AZ397" s="307"/>
      <c r="BA397" s="307"/>
      <c r="BB397" s="307"/>
      <c r="BC397" s="305"/>
      <c r="BD397" s="292"/>
      <c r="BE397" s="297"/>
      <c r="BF397" s="297"/>
      <c r="BG397" s="569"/>
      <c r="BH397" s="570"/>
      <c r="BI397" s="570"/>
      <c r="BJ397" s="570"/>
      <c r="BK397" s="570"/>
      <c r="BL397" s="570"/>
      <c r="BM397" s="570"/>
      <c r="BN397" s="570"/>
      <c r="BO397" s="570"/>
      <c r="BP397" s="570"/>
      <c r="BQ397" s="570"/>
      <c r="BR397" s="570"/>
      <c r="BS397" s="570"/>
      <c r="BT397" s="570"/>
      <c r="BU397" s="570"/>
      <c r="BV397" s="570"/>
      <c r="BW397" s="570"/>
      <c r="BX397" s="570"/>
      <c r="BY397" s="570"/>
      <c r="BZ397" s="571"/>
      <c r="CA397" s="571"/>
    </row>
    <row r="398" spans="2:79">
      <c r="B398" s="566">
        <v>383</v>
      </c>
      <c r="C398" s="308"/>
      <c r="D398" s="307"/>
      <c r="E398" s="307"/>
      <c r="F398" s="305"/>
      <c r="G398" s="305"/>
      <c r="H398" s="292"/>
      <c r="I398" s="574"/>
      <c r="J398" s="573"/>
      <c r="K398" s="307"/>
      <c r="L398" s="292"/>
      <c r="M398" s="308"/>
      <c r="N398" s="292"/>
      <c r="O398" s="308"/>
      <c r="P398" s="575"/>
      <c r="Q398" s="576"/>
      <c r="R398" s="308"/>
      <c r="S398" s="575"/>
      <c r="T398" s="576"/>
      <c r="U398" s="308"/>
      <c r="V398" s="575"/>
      <c r="W398" s="576"/>
      <c r="X398" s="308"/>
      <c r="Y398" s="575"/>
      <c r="Z398" s="576"/>
      <c r="AA398" s="308"/>
      <c r="AB398" s="575"/>
      <c r="AC398" s="576"/>
      <c r="AD398" s="308"/>
      <c r="AE398" s="575"/>
      <c r="AF398" s="308"/>
      <c r="AG398" s="575"/>
      <c r="AH398" s="308"/>
      <c r="AI398" s="575"/>
      <c r="AJ398" s="308"/>
      <c r="AK398" s="305"/>
      <c r="AL398" s="577"/>
      <c r="AM398" s="306"/>
      <c r="AN398" s="308"/>
      <c r="AO398" s="573"/>
      <c r="AP398" s="305"/>
      <c r="AQ398" s="308"/>
      <c r="AR398" s="573"/>
      <c r="AS398" s="578"/>
      <c r="AT398" s="577"/>
      <c r="AU398" s="579"/>
      <c r="AV398" s="578"/>
      <c r="AW398" s="308"/>
      <c r="AX398" s="307"/>
      <c r="AY398" s="307"/>
      <c r="AZ398" s="307"/>
      <c r="BA398" s="307"/>
      <c r="BB398" s="307"/>
      <c r="BC398" s="305"/>
      <c r="BD398" s="292"/>
      <c r="BE398" s="297"/>
      <c r="BF398" s="297"/>
      <c r="BG398" s="569"/>
      <c r="BH398" s="570"/>
      <c r="BI398" s="570"/>
      <c r="BJ398" s="570"/>
      <c r="BK398" s="570"/>
      <c r="BL398" s="570"/>
      <c r="BM398" s="570"/>
      <c r="BN398" s="570"/>
      <c r="BO398" s="570"/>
      <c r="BP398" s="570"/>
      <c r="BQ398" s="570"/>
      <c r="BR398" s="570"/>
      <c r="BS398" s="570"/>
      <c r="BT398" s="570"/>
      <c r="BU398" s="570"/>
      <c r="BV398" s="570"/>
      <c r="BW398" s="570"/>
      <c r="BX398" s="570"/>
      <c r="BY398" s="570"/>
      <c r="BZ398" s="571"/>
      <c r="CA398" s="571"/>
    </row>
    <row r="399" spans="2:79">
      <c r="B399" s="572">
        <v>384</v>
      </c>
      <c r="C399" s="308"/>
      <c r="D399" s="307"/>
      <c r="E399" s="307"/>
      <c r="F399" s="305"/>
      <c r="G399" s="305"/>
      <c r="H399" s="292"/>
      <c r="I399" s="574"/>
      <c r="J399" s="573"/>
      <c r="K399" s="307"/>
      <c r="L399" s="292"/>
      <c r="M399" s="308"/>
      <c r="N399" s="292"/>
      <c r="O399" s="308"/>
      <c r="P399" s="575"/>
      <c r="Q399" s="576"/>
      <c r="R399" s="308"/>
      <c r="S399" s="575"/>
      <c r="T399" s="576"/>
      <c r="U399" s="308"/>
      <c r="V399" s="575"/>
      <c r="W399" s="576"/>
      <c r="X399" s="308"/>
      <c r="Y399" s="575"/>
      <c r="Z399" s="576"/>
      <c r="AA399" s="308"/>
      <c r="AB399" s="575"/>
      <c r="AC399" s="576"/>
      <c r="AD399" s="308"/>
      <c r="AE399" s="575"/>
      <c r="AF399" s="308"/>
      <c r="AG399" s="575"/>
      <c r="AH399" s="308"/>
      <c r="AI399" s="575"/>
      <c r="AJ399" s="308"/>
      <c r="AK399" s="305"/>
      <c r="AL399" s="577"/>
      <c r="AM399" s="306"/>
      <c r="AN399" s="308"/>
      <c r="AO399" s="573"/>
      <c r="AP399" s="305"/>
      <c r="AQ399" s="308"/>
      <c r="AR399" s="573"/>
      <c r="AS399" s="578"/>
      <c r="AT399" s="577"/>
      <c r="AU399" s="579"/>
      <c r="AV399" s="578"/>
      <c r="AW399" s="308"/>
      <c r="AX399" s="307"/>
      <c r="AY399" s="307"/>
      <c r="AZ399" s="307"/>
      <c r="BA399" s="307"/>
      <c r="BB399" s="307"/>
      <c r="BC399" s="305"/>
      <c r="BD399" s="292"/>
      <c r="BE399" s="297"/>
      <c r="BF399" s="297"/>
      <c r="BG399" s="569"/>
      <c r="BH399" s="570"/>
      <c r="BI399" s="570"/>
      <c r="BJ399" s="570"/>
      <c r="BK399" s="570"/>
      <c r="BL399" s="570"/>
      <c r="BM399" s="570"/>
      <c r="BN399" s="570"/>
      <c r="BO399" s="570"/>
      <c r="BP399" s="570"/>
      <c r="BQ399" s="570"/>
      <c r="BR399" s="570"/>
      <c r="BS399" s="570"/>
      <c r="BT399" s="570"/>
      <c r="BU399" s="570"/>
      <c r="BV399" s="570"/>
      <c r="BW399" s="570"/>
      <c r="BX399" s="570"/>
      <c r="BY399" s="570"/>
      <c r="BZ399" s="571"/>
      <c r="CA399" s="571"/>
    </row>
    <row r="400" spans="2:79">
      <c r="B400" s="566">
        <v>385</v>
      </c>
      <c r="C400" s="308"/>
      <c r="D400" s="307"/>
      <c r="E400" s="307"/>
      <c r="F400" s="305"/>
      <c r="G400" s="305"/>
      <c r="H400" s="292"/>
      <c r="I400" s="574"/>
      <c r="J400" s="573"/>
      <c r="K400" s="307"/>
      <c r="L400" s="292"/>
      <c r="M400" s="308"/>
      <c r="N400" s="292"/>
      <c r="O400" s="308"/>
      <c r="P400" s="575"/>
      <c r="Q400" s="576"/>
      <c r="R400" s="308"/>
      <c r="S400" s="575"/>
      <c r="T400" s="576"/>
      <c r="U400" s="308"/>
      <c r="V400" s="575"/>
      <c r="W400" s="576"/>
      <c r="X400" s="308"/>
      <c r="Y400" s="575"/>
      <c r="Z400" s="576"/>
      <c r="AA400" s="308"/>
      <c r="AB400" s="575"/>
      <c r="AC400" s="576"/>
      <c r="AD400" s="308"/>
      <c r="AE400" s="575"/>
      <c r="AF400" s="308"/>
      <c r="AG400" s="575"/>
      <c r="AH400" s="308"/>
      <c r="AI400" s="575"/>
      <c r="AJ400" s="308"/>
      <c r="AK400" s="305"/>
      <c r="AL400" s="577"/>
      <c r="AM400" s="306"/>
      <c r="AN400" s="308"/>
      <c r="AO400" s="573"/>
      <c r="AP400" s="305"/>
      <c r="AQ400" s="308"/>
      <c r="AR400" s="573"/>
      <c r="AS400" s="578"/>
      <c r="AT400" s="577"/>
      <c r="AU400" s="579"/>
      <c r="AV400" s="578"/>
      <c r="AW400" s="308"/>
      <c r="AX400" s="307"/>
      <c r="AY400" s="307"/>
      <c r="AZ400" s="307"/>
      <c r="BA400" s="307"/>
      <c r="BB400" s="307"/>
      <c r="BC400" s="305"/>
      <c r="BD400" s="292"/>
      <c r="BE400" s="297"/>
      <c r="BF400" s="297"/>
      <c r="BG400" s="569"/>
      <c r="BH400" s="570"/>
      <c r="BI400" s="570"/>
      <c r="BJ400" s="570"/>
      <c r="BK400" s="570"/>
      <c r="BL400" s="570"/>
      <c r="BM400" s="570"/>
      <c r="BN400" s="570"/>
      <c r="BO400" s="570"/>
      <c r="BP400" s="570"/>
      <c r="BQ400" s="570"/>
      <c r="BR400" s="570"/>
      <c r="BS400" s="570"/>
      <c r="BT400" s="570"/>
      <c r="BU400" s="570"/>
      <c r="BV400" s="570"/>
      <c r="BW400" s="570"/>
      <c r="BX400" s="570"/>
      <c r="BY400" s="570"/>
      <c r="BZ400" s="571"/>
      <c r="CA400" s="571"/>
    </row>
    <row r="401" spans="2:79">
      <c r="B401" s="572">
        <v>386</v>
      </c>
      <c r="C401" s="308"/>
      <c r="D401" s="307"/>
      <c r="E401" s="307"/>
      <c r="F401" s="305"/>
      <c r="G401" s="305"/>
      <c r="H401" s="292"/>
      <c r="I401" s="574"/>
      <c r="J401" s="573"/>
      <c r="K401" s="307"/>
      <c r="L401" s="292"/>
      <c r="M401" s="308"/>
      <c r="N401" s="292"/>
      <c r="O401" s="308"/>
      <c r="P401" s="575"/>
      <c r="Q401" s="576"/>
      <c r="R401" s="308"/>
      <c r="S401" s="575"/>
      <c r="T401" s="576"/>
      <c r="U401" s="308"/>
      <c r="V401" s="575"/>
      <c r="W401" s="576"/>
      <c r="X401" s="308"/>
      <c r="Y401" s="575"/>
      <c r="Z401" s="576"/>
      <c r="AA401" s="308"/>
      <c r="AB401" s="575"/>
      <c r="AC401" s="576"/>
      <c r="AD401" s="308"/>
      <c r="AE401" s="575"/>
      <c r="AF401" s="308"/>
      <c r="AG401" s="575"/>
      <c r="AH401" s="308"/>
      <c r="AI401" s="575"/>
      <c r="AJ401" s="308"/>
      <c r="AK401" s="305"/>
      <c r="AL401" s="577"/>
      <c r="AM401" s="306"/>
      <c r="AN401" s="308"/>
      <c r="AO401" s="573"/>
      <c r="AP401" s="305"/>
      <c r="AQ401" s="308"/>
      <c r="AR401" s="573"/>
      <c r="AS401" s="578"/>
      <c r="AT401" s="577"/>
      <c r="AU401" s="579"/>
      <c r="AV401" s="578"/>
      <c r="AW401" s="308"/>
      <c r="AX401" s="307"/>
      <c r="AY401" s="307"/>
      <c r="AZ401" s="307"/>
      <c r="BA401" s="307"/>
      <c r="BB401" s="307"/>
      <c r="BC401" s="305"/>
      <c r="BD401" s="292"/>
      <c r="BE401" s="297"/>
      <c r="BF401" s="297"/>
      <c r="BG401" s="569"/>
      <c r="BH401" s="570"/>
      <c r="BI401" s="570"/>
      <c r="BJ401" s="570"/>
      <c r="BK401" s="570"/>
      <c r="BL401" s="570"/>
      <c r="BM401" s="570"/>
      <c r="BN401" s="570"/>
      <c r="BO401" s="570"/>
      <c r="BP401" s="570"/>
      <c r="BQ401" s="570"/>
      <c r="BR401" s="570"/>
      <c r="BS401" s="570"/>
      <c r="BT401" s="570"/>
      <c r="BU401" s="570"/>
      <c r="BV401" s="570"/>
      <c r="BW401" s="570"/>
      <c r="BX401" s="570"/>
      <c r="BY401" s="570"/>
      <c r="BZ401" s="571"/>
      <c r="CA401" s="571"/>
    </row>
    <row r="402" spans="2:79">
      <c r="B402" s="566">
        <v>387</v>
      </c>
      <c r="C402" s="308"/>
      <c r="D402" s="307"/>
      <c r="E402" s="307"/>
      <c r="F402" s="305"/>
      <c r="G402" s="305"/>
      <c r="H402" s="292"/>
      <c r="I402" s="574"/>
      <c r="J402" s="573"/>
      <c r="K402" s="307"/>
      <c r="L402" s="292"/>
      <c r="M402" s="308"/>
      <c r="N402" s="292"/>
      <c r="O402" s="308"/>
      <c r="P402" s="575"/>
      <c r="Q402" s="576"/>
      <c r="R402" s="308"/>
      <c r="S402" s="575"/>
      <c r="T402" s="576"/>
      <c r="U402" s="308"/>
      <c r="V402" s="575"/>
      <c r="W402" s="576"/>
      <c r="X402" s="308"/>
      <c r="Y402" s="575"/>
      <c r="Z402" s="576"/>
      <c r="AA402" s="308"/>
      <c r="AB402" s="575"/>
      <c r="AC402" s="576"/>
      <c r="AD402" s="308"/>
      <c r="AE402" s="575"/>
      <c r="AF402" s="308"/>
      <c r="AG402" s="575"/>
      <c r="AH402" s="308"/>
      <c r="AI402" s="575"/>
      <c r="AJ402" s="308"/>
      <c r="AK402" s="305"/>
      <c r="AL402" s="577"/>
      <c r="AM402" s="306"/>
      <c r="AN402" s="308"/>
      <c r="AO402" s="573"/>
      <c r="AP402" s="305"/>
      <c r="AQ402" s="308"/>
      <c r="AR402" s="573"/>
      <c r="AS402" s="578"/>
      <c r="AT402" s="577"/>
      <c r="AU402" s="579"/>
      <c r="AV402" s="578"/>
      <c r="AW402" s="308"/>
      <c r="AX402" s="307"/>
      <c r="AY402" s="307"/>
      <c r="AZ402" s="307"/>
      <c r="BA402" s="307"/>
      <c r="BB402" s="307"/>
      <c r="BC402" s="305"/>
      <c r="BD402" s="292"/>
      <c r="BE402" s="297"/>
      <c r="BF402" s="297"/>
      <c r="BG402" s="569"/>
      <c r="BH402" s="570"/>
      <c r="BI402" s="570"/>
      <c r="BJ402" s="570"/>
      <c r="BK402" s="570"/>
      <c r="BL402" s="570"/>
      <c r="BM402" s="570"/>
      <c r="BN402" s="570"/>
      <c r="BO402" s="570"/>
      <c r="BP402" s="570"/>
      <c r="BQ402" s="570"/>
      <c r="BR402" s="570"/>
      <c r="BS402" s="570"/>
      <c r="BT402" s="570"/>
      <c r="BU402" s="570"/>
      <c r="BV402" s="570"/>
      <c r="BW402" s="570"/>
      <c r="BX402" s="570"/>
      <c r="BY402" s="570"/>
      <c r="BZ402" s="571"/>
      <c r="CA402" s="571"/>
    </row>
    <row r="403" spans="2:79">
      <c r="B403" s="572">
        <v>388</v>
      </c>
      <c r="C403" s="308"/>
      <c r="D403" s="307"/>
      <c r="E403" s="307"/>
      <c r="F403" s="305"/>
      <c r="G403" s="305"/>
      <c r="H403" s="292"/>
      <c r="I403" s="574"/>
      <c r="J403" s="573"/>
      <c r="K403" s="307"/>
      <c r="L403" s="292"/>
      <c r="M403" s="308"/>
      <c r="N403" s="292"/>
      <c r="O403" s="308"/>
      <c r="P403" s="575"/>
      <c r="Q403" s="576"/>
      <c r="R403" s="308"/>
      <c r="S403" s="575"/>
      <c r="T403" s="576"/>
      <c r="U403" s="308"/>
      <c r="V403" s="575"/>
      <c r="W403" s="576"/>
      <c r="X403" s="308"/>
      <c r="Y403" s="575"/>
      <c r="Z403" s="576"/>
      <c r="AA403" s="308"/>
      <c r="AB403" s="575"/>
      <c r="AC403" s="576"/>
      <c r="AD403" s="308"/>
      <c r="AE403" s="575"/>
      <c r="AF403" s="308"/>
      <c r="AG403" s="575"/>
      <c r="AH403" s="308"/>
      <c r="AI403" s="575"/>
      <c r="AJ403" s="308"/>
      <c r="AK403" s="305"/>
      <c r="AL403" s="577"/>
      <c r="AM403" s="306"/>
      <c r="AN403" s="308"/>
      <c r="AO403" s="573"/>
      <c r="AP403" s="305"/>
      <c r="AQ403" s="308"/>
      <c r="AR403" s="573"/>
      <c r="AS403" s="578"/>
      <c r="AT403" s="577"/>
      <c r="AU403" s="579"/>
      <c r="AV403" s="578"/>
      <c r="AW403" s="308"/>
      <c r="AX403" s="307"/>
      <c r="AY403" s="307"/>
      <c r="AZ403" s="307"/>
      <c r="BA403" s="307"/>
      <c r="BB403" s="307"/>
      <c r="BC403" s="305"/>
      <c r="BD403" s="292"/>
      <c r="BE403" s="297"/>
      <c r="BF403" s="297"/>
      <c r="BG403" s="569"/>
      <c r="BH403" s="570"/>
      <c r="BI403" s="570"/>
      <c r="BJ403" s="570"/>
      <c r="BK403" s="570"/>
      <c r="BL403" s="570"/>
      <c r="BM403" s="570"/>
      <c r="BN403" s="570"/>
      <c r="BO403" s="570"/>
      <c r="BP403" s="570"/>
      <c r="BQ403" s="570"/>
      <c r="BR403" s="570"/>
      <c r="BS403" s="570"/>
      <c r="BT403" s="570"/>
      <c r="BU403" s="570"/>
      <c r="BV403" s="570"/>
      <c r="BW403" s="570"/>
      <c r="BX403" s="570"/>
      <c r="BY403" s="570"/>
      <c r="BZ403" s="571"/>
      <c r="CA403" s="571"/>
    </row>
    <row r="404" spans="2:79">
      <c r="B404" s="566">
        <v>389</v>
      </c>
      <c r="C404" s="308"/>
      <c r="D404" s="307"/>
      <c r="E404" s="307"/>
      <c r="F404" s="305"/>
      <c r="G404" s="305"/>
      <c r="H404" s="292"/>
      <c r="I404" s="574"/>
      <c r="J404" s="573"/>
      <c r="K404" s="307"/>
      <c r="L404" s="292"/>
      <c r="M404" s="308"/>
      <c r="N404" s="292"/>
      <c r="O404" s="308"/>
      <c r="P404" s="575"/>
      <c r="Q404" s="576"/>
      <c r="R404" s="308"/>
      <c r="S404" s="575"/>
      <c r="T404" s="576"/>
      <c r="U404" s="308"/>
      <c r="V404" s="575"/>
      <c r="W404" s="576"/>
      <c r="X404" s="308"/>
      <c r="Y404" s="575"/>
      <c r="Z404" s="576"/>
      <c r="AA404" s="308"/>
      <c r="AB404" s="575"/>
      <c r="AC404" s="576"/>
      <c r="AD404" s="308"/>
      <c r="AE404" s="575"/>
      <c r="AF404" s="308"/>
      <c r="AG404" s="575"/>
      <c r="AH404" s="308"/>
      <c r="AI404" s="575"/>
      <c r="AJ404" s="308"/>
      <c r="AK404" s="305"/>
      <c r="AL404" s="577"/>
      <c r="AM404" s="306"/>
      <c r="AN404" s="308"/>
      <c r="AO404" s="573"/>
      <c r="AP404" s="305"/>
      <c r="AQ404" s="308"/>
      <c r="AR404" s="573"/>
      <c r="AS404" s="578"/>
      <c r="AT404" s="577"/>
      <c r="AU404" s="579"/>
      <c r="AV404" s="578"/>
      <c r="AW404" s="308"/>
      <c r="AX404" s="307"/>
      <c r="AY404" s="307"/>
      <c r="AZ404" s="307"/>
      <c r="BA404" s="307"/>
      <c r="BB404" s="307"/>
      <c r="BC404" s="305"/>
      <c r="BD404" s="292"/>
      <c r="BE404" s="297"/>
      <c r="BF404" s="297"/>
      <c r="BG404" s="569"/>
      <c r="BH404" s="570"/>
      <c r="BI404" s="570"/>
      <c r="BJ404" s="570"/>
      <c r="BK404" s="570"/>
      <c r="BL404" s="570"/>
      <c r="BM404" s="570"/>
      <c r="BN404" s="570"/>
      <c r="BO404" s="570"/>
      <c r="BP404" s="570"/>
      <c r="BQ404" s="570"/>
      <c r="BR404" s="570"/>
      <c r="BS404" s="570"/>
      <c r="BT404" s="570"/>
      <c r="BU404" s="570"/>
      <c r="BV404" s="570"/>
      <c r="BW404" s="570"/>
      <c r="BX404" s="570"/>
      <c r="BY404" s="570"/>
      <c r="BZ404" s="571"/>
      <c r="CA404" s="571"/>
    </row>
    <row r="405" spans="2:79">
      <c r="B405" s="572">
        <v>390</v>
      </c>
      <c r="C405" s="308"/>
      <c r="D405" s="307"/>
      <c r="E405" s="307"/>
      <c r="F405" s="305"/>
      <c r="G405" s="305"/>
      <c r="H405" s="292"/>
      <c r="I405" s="574"/>
      <c r="J405" s="573"/>
      <c r="K405" s="307"/>
      <c r="L405" s="292"/>
      <c r="M405" s="308"/>
      <c r="N405" s="292"/>
      <c r="O405" s="308"/>
      <c r="P405" s="575"/>
      <c r="Q405" s="576"/>
      <c r="R405" s="308"/>
      <c r="S405" s="575"/>
      <c r="T405" s="576"/>
      <c r="U405" s="308"/>
      <c r="V405" s="575"/>
      <c r="W405" s="576"/>
      <c r="X405" s="308"/>
      <c r="Y405" s="575"/>
      <c r="Z405" s="576"/>
      <c r="AA405" s="308"/>
      <c r="AB405" s="575"/>
      <c r="AC405" s="576"/>
      <c r="AD405" s="308"/>
      <c r="AE405" s="575"/>
      <c r="AF405" s="308"/>
      <c r="AG405" s="575"/>
      <c r="AH405" s="308"/>
      <c r="AI405" s="575"/>
      <c r="AJ405" s="308"/>
      <c r="AK405" s="305"/>
      <c r="AL405" s="577"/>
      <c r="AM405" s="306"/>
      <c r="AN405" s="308"/>
      <c r="AO405" s="573"/>
      <c r="AP405" s="305"/>
      <c r="AQ405" s="308"/>
      <c r="AR405" s="573"/>
      <c r="AS405" s="578"/>
      <c r="AT405" s="577"/>
      <c r="AU405" s="579"/>
      <c r="AV405" s="578"/>
      <c r="AW405" s="308"/>
      <c r="AX405" s="307"/>
      <c r="AY405" s="307"/>
      <c r="AZ405" s="307"/>
      <c r="BA405" s="307"/>
      <c r="BB405" s="307"/>
      <c r="BC405" s="305"/>
      <c r="BD405" s="292"/>
      <c r="BE405" s="297"/>
      <c r="BF405" s="297"/>
      <c r="BG405" s="569"/>
      <c r="BH405" s="570"/>
      <c r="BI405" s="570"/>
      <c r="BJ405" s="570"/>
      <c r="BK405" s="570"/>
      <c r="BL405" s="570"/>
      <c r="BM405" s="570"/>
      <c r="BN405" s="570"/>
      <c r="BO405" s="570"/>
      <c r="BP405" s="570"/>
      <c r="BQ405" s="570"/>
      <c r="BR405" s="570"/>
      <c r="BS405" s="570"/>
      <c r="BT405" s="570"/>
      <c r="BU405" s="570"/>
      <c r="BV405" s="570"/>
      <c r="BW405" s="570"/>
      <c r="BX405" s="570"/>
      <c r="BY405" s="570"/>
      <c r="BZ405" s="571"/>
      <c r="CA405" s="571"/>
    </row>
    <row r="406" spans="2:79">
      <c r="B406" s="566">
        <v>391</v>
      </c>
      <c r="C406" s="308"/>
      <c r="D406" s="307"/>
      <c r="E406" s="307"/>
      <c r="F406" s="305"/>
      <c r="G406" s="305"/>
      <c r="H406" s="292"/>
      <c r="I406" s="574"/>
      <c r="J406" s="573"/>
      <c r="K406" s="307"/>
      <c r="L406" s="292"/>
      <c r="M406" s="308"/>
      <c r="N406" s="292"/>
      <c r="O406" s="308"/>
      <c r="P406" s="575"/>
      <c r="Q406" s="576"/>
      <c r="R406" s="308"/>
      <c r="S406" s="575"/>
      <c r="T406" s="576"/>
      <c r="U406" s="308"/>
      <c r="V406" s="575"/>
      <c r="W406" s="576"/>
      <c r="X406" s="308"/>
      <c r="Y406" s="575"/>
      <c r="Z406" s="576"/>
      <c r="AA406" s="308"/>
      <c r="AB406" s="575"/>
      <c r="AC406" s="576"/>
      <c r="AD406" s="308"/>
      <c r="AE406" s="575"/>
      <c r="AF406" s="308"/>
      <c r="AG406" s="575"/>
      <c r="AH406" s="308"/>
      <c r="AI406" s="575"/>
      <c r="AJ406" s="308"/>
      <c r="AK406" s="305"/>
      <c r="AL406" s="577"/>
      <c r="AM406" s="306"/>
      <c r="AN406" s="308"/>
      <c r="AO406" s="573"/>
      <c r="AP406" s="305"/>
      <c r="AQ406" s="308"/>
      <c r="AR406" s="573"/>
      <c r="AS406" s="578"/>
      <c r="AT406" s="577"/>
      <c r="AU406" s="579"/>
      <c r="AV406" s="578"/>
      <c r="AW406" s="308"/>
      <c r="AX406" s="307"/>
      <c r="AY406" s="307"/>
      <c r="AZ406" s="307"/>
      <c r="BA406" s="307"/>
      <c r="BB406" s="307"/>
      <c r="BC406" s="305"/>
      <c r="BD406" s="292"/>
      <c r="BE406" s="297"/>
      <c r="BF406" s="297"/>
      <c r="BG406" s="569"/>
      <c r="BH406" s="570"/>
      <c r="BI406" s="570"/>
      <c r="BJ406" s="570"/>
      <c r="BK406" s="570"/>
      <c r="BL406" s="570"/>
      <c r="BM406" s="570"/>
      <c r="BN406" s="570"/>
      <c r="BO406" s="570"/>
      <c r="BP406" s="570"/>
      <c r="BQ406" s="570"/>
      <c r="BR406" s="570"/>
      <c r="BS406" s="570"/>
      <c r="BT406" s="570"/>
      <c r="BU406" s="570"/>
      <c r="BV406" s="570"/>
      <c r="BW406" s="570"/>
      <c r="BX406" s="570"/>
      <c r="BY406" s="570"/>
      <c r="BZ406" s="571"/>
      <c r="CA406" s="571"/>
    </row>
    <row r="407" spans="2:79">
      <c r="B407" s="572">
        <v>392</v>
      </c>
      <c r="C407" s="308"/>
      <c r="D407" s="307"/>
      <c r="E407" s="307"/>
      <c r="F407" s="305"/>
      <c r="G407" s="305"/>
      <c r="H407" s="292"/>
      <c r="I407" s="574"/>
      <c r="J407" s="573"/>
      <c r="K407" s="307"/>
      <c r="L407" s="292"/>
      <c r="M407" s="308"/>
      <c r="N407" s="292"/>
      <c r="O407" s="308"/>
      <c r="P407" s="575"/>
      <c r="Q407" s="576"/>
      <c r="R407" s="308"/>
      <c r="S407" s="575"/>
      <c r="T407" s="576"/>
      <c r="U407" s="308"/>
      <c r="V407" s="575"/>
      <c r="W407" s="576"/>
      <c r="X407" s="308"/>
      <c r="Y407" s="575"/>
      <c r="Z407" s="576"/>
      <c r="AA407" s="308"/>
      <c r="AB407" s="575"/>
      <c r="AC407" s="576"/>
      <c r="AD407" s="308"/>
      <c r="AE407" s="575"/>
      <c r="AF407" s="308"/>
      <c r="AG407" s="575"/>
      <c r="AH407" s="308"/>
      <c r="AI407" s="575"/>
      <c r="AJ407" s="308"/>
      <c r="AK407" s="305"/>
      <c r="AL407" s="577"/>
      <c r="AM407" s="306"/>
      <c r="AN407" s="308"/>
      <c r="AO407" s="573"/>
      <c r="AP407" s="305"/>
      <c r="AQ407" s="308"/>
      <c r="AR407" s="573"/>
      <c r="AS407" s="578"/>
      <c r="AT407" s="577"/>
      <c r="AU407" s="579"/>
      <c r="AV407" s="578"/>
      <c r="AW407" s="308"/>
      <c r="AX407" s="307"/>
      <c r="AY407" s="307"/>
      <c r="AZ407" s="307"/>
      <c r="BA407" s="307"/>
      <c r="BB407" s="307"/>
      <c r="BC407" s="305"/>
      <c r="BD407" s="292"/>
      <c r="BE407" s="297"/>
      <c r="BF407" s="297"/>
      <c r="BG407" s="569"/>
      <c r="BH407" s="570"/>
      <c r="BI407" s="570"/>
      <c r="BJ407" s="570"/>
      <c r="BK407" s="570"/>
      <c r="BL407" s="570"/>
      <c r="BM407" s="570"/>
      <c r="BN407" s="570"/>
      <c r="BO407" s="570"/>
      <c r="BP407" s="570"/>
      <c r="BQ407" s="570"/>
      <c r="BR407" s="570"/>
      <c r="BS407" s="570"/>
      <c r="BT407" s="570"/>
      <c r="BU407" s="570"/>
      <c r="BV407" s="570"/>
      <c r="BW407" s="570"/>
      <c r="BX407" s="570"/>
      <c r="BY407" s="570"/>
      <c r="BZ407" s="571"/>
      <c r="CA407" s="571"/>
    </row>
    <row r="408" spans="2:79">
      <c r="B408" s="566">
        <v>393</v>
      </c>
      <c r="C408" s="308"/>
      <c r="D408" s="307"/>
      <c r="E408" s="307"/>
      <c r="F408" s="305"/>
      <c r="G408" s="305"/>
      <c r="H408" s="292"/>
      <c r="I408" s="574"/>
      <c r="J408" s="573"/>
      <c r="K408" s="307"/>
      <c r="L408" s="292"/>
      <c r="M408" s="308"/>
      <c r="N408" s="292"/>
      <c r="O408" s="308"/>
      <c r="P408" s="575"/>
      <c r="Q408" s="576"/>
      <c r="R408" s="308"/>
      <c r="S408" s="575"/>
      <c r="T408" s="576"/>
      <c r="U408" s="308"/>
      <c r="V408" s="575"/>
      <c r="W408" s="576"/>
      <c r="X408" s="308"/>
      <c r="Y408" s="575"/>
      <c r="Z408" s="576"/>
      <c r="AA408" s="308"/>
      <c r="AB408" s="575"/>
      <c r="AC408" s="576"/>
      <c r="AD408" s="308"/>
      <c r="AE408" s="575"/>
      <c r="AF408" s="308"/>
      <c r="AG408" s="575"/>
      <c r="AH408" s="308"/>
      <c r="AI408" s="575"/>
      <c r="AJ408" s="308"/>
      <c r="AK408" s="305"/>
      <c r="AL408" s="577"/>
      <c r="AM408" s="306"/>
      <c r="AN408" s="308"/>
      <c r="AO408" s="573"/>
      <c r="AP408" s="305"/>
      <c r="AQ408" s="308"/>
      <c r="AR408" s="573"/>
      <c r="AS408" s="578"/>
      <c r="AT408" s="577"/>
      <c r="AU408" s="579"/>
      <c r="AV408" s="578"/>
      <c r="AW408" s="308"/>
      <c r="AX408" s="307"/>
      <c r="AY408" s="307"/>
      <c r="AZ408" s="307"/>
      <c r="BA408" s="307"/>
      <c r="BB408" s="307"/>
      <c r="BC408" s="305"/>
      <c r="BD408" s="292"/>
      <c r="BE408" s="297"/>
      <c r="BF408" s="297"/>
      <c r="BG408" s="569"/>
      <c r="BH408" s="570"/>
      <c r="BI408" s="570"/>
      <c r="BJ408" s="570"/>
      <c r="BK408" s="570"/>
      <c r="BL408" s="570"/>
      <c r="BM408" s="570"/>
      <c r="BN408" s="570"/>
      <c r="BO408" s="570"/>
      <c r="BP408" s="570"/>
      <c r="BQ408" s="570"/>
      <c r="BR408" s="570"/>
      <c r="BS408" s="570"/>
      <c r="BT408" s="570"/>
      <c r="BU408" s="570"/>
      <c r="BV408" s="570"/>
      <c r="BW408" s="570"/>
      <c r="BX408" s="570"/>
      <c r="BY408" s="570"/>
      <c r="BZ408" s="571"/>
      <c r="CA408" s="571"/>
    </row>
    <row r="409" spans="2:79">
      <c r="B409" s="572">
        <v>394</v>
      </c>
      <c r="C409" s="308"/>
      <c r="D409" s="307"/>
      <c r="E409" s="307"/>
      <c r="F409" s="305"/>
      <c r="G409" s="305"/>
      <c r="H409" s="292"/>
      <c r="I409" s="574"/>
      <c r="J409" s="573"/>
      <c r="K409" s="307"/>
      <c r="L409" s="292"/>
      <c r="M409" s="308"/>
      <c r="N409" s="292"/>
      <c r="O409" s="308"/>
      <c r="P409" s="575"/>
      <c r="Q409" s="576"/>
      <c r="R409" s="308"/>
      <c r="S409" s="575"/>
      <c r="T409" s="576"/>
      <c r="U409" s="308"/>
      <c r="V409" s="575"/>
      <c r="W409" s="576"/>
      <c r="X409" s="308"/>
      <c r="Y409" s="575"/>
      <c r="Z409" s="576"/>
      <c r="AA409" s="308"/>
      <c r="AB409" s="575"/>
      <c r="AC409" s="576"/>
      <c r="AD409" s="308"/>
      <c r="AE409" s="575"/>
      <c r="AF409" s="308"/>
      <c r="AG409" s="575"/>
      <c r="AH409" s="308"/>
      <c r="AI409" s="575"/>
      <c r="AJ409" s="308"/>
      <c r="AK409" s="305"/>
      <c r="AL409" s="577"/>
      <c r="AM409" s="306"/>
      <c r="AN409" s="308"/>
      <c r="AO409" s="573"/>
      <c r="AP409" s="305"/>
      <c r="AQ409" s="308"/>
      <c r="AR409" s="573"/>
      <c r="AS409" s="578"/>
      <c r="AT409" s="577"/>
      <c r="AU409" s="579"/>
      <c r="AV409" s="578"/>
      <c r="AW409" s="308"/>
      <c r="AX409" s="307"/>
      <c r="AY409" s="307"/>
      <c r="AZ409" s="307"/>
      <c r="BA409" s="307"/>
      <c r="BB409" s="307"/>
      <c r="BC409" s="305"/>
      <c r="BD409" s="292"/>
      <c r="BE409" s="297"/>
      <c r="BF409" s="297"/>
      <c r="BG409" s="569"/>
      <c r="BH409" s="570"/>
      <c r="BI409" s="570"/>
      <c r="BJ409" s="570"/>
      <c r="BK409" s="570"/>
      <c r="BL409" s="570"/>
      <c r="BM409" s="570"/>
      <c r="BN409" s="570"/>
      <c r="BO409" s="570"/>
      <c r="BP409" s="570"/>
      <c r="BQ409" s="570"/>
      <c r="BR409" s="570"/>
      <c r="BS409" s="570"/>
      <c r="BT409" s="570"/>
      <c r="BU409" s="570"/>
      <c r="BV409" s="570"/>
      <c r="BW409" s="570"/>
      <c r="BX409" s="570"/>
      <c r="BY409" s="570"/>
      <c r="BZ409" s="571"/>
      <c r="CA409" s="571"/>
    </row>
    <row r="410" spans="2:79">
      <c r="B410" s="566">
        <v>395</v>
      </c>
      <c r="C410" s="308"/>
      <c r="D410" s="307"/>
      <c r="E410" s="307"/>
      <c r="F410" s="305"/>
      <c r="G410" s="305"/>
      <c r="H410" s="292"/>
      <c r="I410" s="574"/>
      <c r="J410" s="573"/>
      <c r="K410" s="307"/>
      <c r="L410" s="292"/>
      <c r="M410" s="308"/>
      <c r="N410" s="292"/>
      <c r="O410" s="308"/>
      <c r="P410" s="575"/>
      <c r="Q410" s="576"/>
      <c r="R410" s="308"/>
      <c r="S410" s="575"/>
      <c r="T410" s="576"/>
      <c r="U410" s="308"/>
      <c r="V410" s="575"/>
      <c r="W410" s="576"/>
      <c r="X410" s="308"/>
      <c r="Y410" s="575"/>
      <c r="Z410" s="576"/>
      <c r="AA410" s="308"/>
      <c r="AB410" s="575"/>
      <c r="AC410" s="576"/>
      <c r="AD410" s="308"/>
      <c r="AE410" s="575"/>
      <c r="AF410" s="308"/>
      <c r="AG410" s="575"/>
      <c r="AH410" s="308"/>
      <c r="AI410" s="575"/>
      <c r="AJ410" s="308"/>
      <c r="AK410" s="305"/>
      <c r="AL410" s="577"/>
      <c r="AM410" s="306"/>
      <c r="AN410" s="308"/>
      <c r="AO410" s="573"/>
      <c r="AP410" s="305"/>
      <c r="AQ410" s="308"/>
      <c r="AR410" s="573"/>
      <c r="AS410" s="578"/>
      <c r="AT410" s="577"/>
      <c r="AU410" s="579"/>
      <c r="AV410" s="578"/>
      <c r="AW410" s="308"/>
      <c r="AX410" s="307"/>
      <c r="AY410" s="307"/>
      <c r="AZ410" s="307"/>
      <c r="BA410" s="307"/>
      <c r="BB410" s="307"/>
      <c r="BC410" s="305"/>
      <c r="BD410" s="292"/>
      <c r="BE410" s="297"/>
      <c r="BF410" s="297"/>
      <c r="BG410" s="569"/>
      <c r="BH410" s="570"/>
      <c r="BI410" s="570"/>
      <c r="BJ410" s="570"/>
      <c r="BK410" s="570"/>
      <c r="BL410" s="570"/>
      <c r="BM410" s="570"/>
      <c r="BN410" s="570"/>
      <c r="BO410" s="570"/>
      <c r="BP410" s="570"/>
      <c r="BQ410" s="570"/>
      <c r="BR410" s="570"/>
      <c r="BS410" s="570"/>
      <c r="BT410" s="570"/>
      <c r="BU410" s="570"/>
      <c r="BV410" s="570"/>
      <c r="BW410" s="570"/>
      <c r="BX410" s="570"/>
      <c r="BY410" s="570"/>
      <c r="BZ410" s="571"/>
      <c r="CA410" s="571"/>
    </row>
    <row r="411" spans="2:79">
      <c r="B411" s="572">
        <v>396</v>
      </c>
      <c r="C411" s="308"/>
      <c r="D411" s="307"/>
      <c r="E411" s="307"/>
      <c r="F411" s="305"/>
      <c r="G411" s="305"/>
      <c r="H411" s="292"/>
      <c r="I411" s="574"/>
      <c r="J411" s="573"/>
      <c r="K411" s="307"/>
      <c r="L411" s="292"/>
      <c r="M411" s="308"/>
      <c r="N411" s="292"/>
      <c r="O411" s="308"/>
      <c r="P411" s="575"/>
      <c r="Q411" s="576"/>
      <c r="R411" s="308"/>
      <c r="S411" s="575"/>
      <c r="T411" s="576"/>
      <c r="U411" s="308"/>
      <c r="V411" s="575"/>
      <c r="W411" s="576"/>
      <c r="X411" s="308"/>
      <c r="Y411" s="575"/>
      <c r="Z411" s="576"/>
      <c r="AA411" s="308"/>
      <c r="AB411" s="575"/>
      <c r="AC411" s="576"/>
      <c r="AD411" s="308"/>
      <c r="AE411" s="575"/>
      <c r="AF411" s="308"/>
      <c r="AG411" s="575"/>
      <c r="AH411" s="308"/>
      <c r="AI411" s="575"/>
      <c r="AJ411" s="308"/>
      <c r="AK411" s="305"/>
      <c r="AL411" s="577"/>
      <c r="AM411" s="306"/>
      <c r="AN411" s="308"/>
      <c r="AO411" s="573"/>
      <c r="AP411" s="305"/>
      <c r="AQ411" s="308"/>
      <c r="AR411" s="573"/>
      <c r="AS411" s="578"/>
      <c r="AT411" s="577"/>
      <c r="AU411" s="579"/>
      <c r="AV411" s="578"/>
      <c r="AW411" s="308"/>
      <c r="AX411" s="307"/>
      <c r="AY411" s="307"/>
      <c r="AZ411" s="307"/>
      <c r="BA411" s="307"/>
      <c r="BB411" s="307"/>
      <c r="BC411" s="305"/>
      <c r="BD411" s="292"/>
      <c r="BE411" s="297"/>
      <c r="BF411" s="297"/>
      <c r="BG411" s="569"/>
      <c r="BH411" s="570"/>
      <c r="BI411" s="570"/>
      <c r="BJ411" s="570"/>
      <c r="BK411" s="570"/>
      <c r="BL411" s="570"/>
      <c r="BM411" s="570"/>
      <c r="BN411" s="570"/>
      <c r="BO411" s="570"/>
      <c r="BP411" s="570"/>
      <c r="BQ411" s="570"/>
      <c r="BR411" s="570"/>
      <c r="BS411" s="570"/>
      <c r="BT411" s="570"/>
      <c r="BU411" s="570"/>
      <c r="BV411" s="570"/>
      <c r="BW411" s="570"/>
      <c r="BX411" s="570"/>
      <c r="BY411" s="570"/>
      <c r="BZ411" s="571"/>
      <c r="CA411" s="571"/>
    </row>
    <row r="412" spans="2:79">
      <c r="B412" s="566">
        <v>397</v>
      </c>
      <c r="C412" s="308"/>
      <c r="D412" s="307"/>
      <c r="E412" s="307"/>
      <c r="F412" s="305"/>
      <c r="G412" s="305"/>
      <c r="H412" s="292"/>
      <c r="I412" s="574"/>
      <c r="J412" s="573"/>
      <c r="K412" s="307"/>
      <c r="L412" s="292"/>
      <c r="M412" s="308"/>
      <c r="N412" s="292"/>
      <c r="O412" s="308"/>
      <c r="P412" s="575"/>
      <c r="Q412" s="576"/>
      <c r="R412" s="308"/>
      <c r="S412" s="575"/>
      <c r="T412" s="576"/>
      <c r="U412" s="308"/>
      <c r="V412" s="575"/>
      <c r="W412" s="576"/>
      <c r="X412" s="308"/>
      <c r="Y412" s="575"/>
      <c r="Z412" s="576"/>
      <c r="AA412" s="308"/>
      <c r="AB412" s="575"/>
      <c r="AC412" s="576"/>
      <c r="AD412" s="308"/>
      <c r="AE412" s="575"/>
      <c r="AF412" s="308"/>
      <c r="AG412" s="575"/>
      <c r="AH412" s="308"/>
      <c r="AI412" s="575"/>
      <c r="AJ412" s="308"/>
      <c r="AK412" s="305"/>
      <c r="AL412" s="577"/>
      <c r="AM412" s="306"/>
      <c r="AN412" s="308"/>
      <c r="AO412" s="573"/>
      <c r="AP412" s="305"/>
      <c r="AQ412" s="308"/>
      <c r="AR412" s="573"/>
      <c r="AS412" s="578"/>
      <c r="AT412" s="577"/>
      <c r="AU412" s="579"/>
      <c r="AV412" s="578"/>
      <c r="AW412" s="308"/>
      <c r="AX412" s="307"/>
      <c r="AY412" s="307"/>
      <c r="AZ412" s="307"/>
      <c r="BA412" s="307"/>
      <c r="BB412" s="307"/>
      <c r="BC412" s="305"/>
      <c r="BD412" s="292"/>
      <c r="BE412" s="297"/>
      <c r="BF412" s="297"/>
      <c r="BG412" s="569"/>
      <c r="BH412" s="570"/>
      <c r="BI412" s="570"/>
      <c r="BJ412" s="570"/>
      <c r="BK412" s="570"/>
      <c r="BL412" s="570"/>
      <c r="BM412" s="570"/>
      <c r="BN412" s="570"/>
      <c r="BO412" s="570"/>
      <c r="BP412" s="570"/>
      <c r="BQ412" s="570"/>
      <c r="BR412" s="570"/>
      <c r="BS412" s="570"/>
      <c r="BT412" s="570"/>
      <c r="BU412" s="570"/>
      <c r="BV412" s="570"/>
      <c r="BW412" s="570"/>
      <c r="BX412" s="570"/>
      <c r="BY412" s="570"/>
      <c r="BZ412" s="571"/>
      <c r="CA412" s="571"/>
    </row>
    <row r="413" spans="2:79">
      <c r="B413" s="572">
        <v>398</v>
      </c>
      <c r="C413" s="308"/>
      <c r="D413" s="307"/>
      <c r="E413" s="307"/>
      <c r="F413" s="305"/>
      <c r="G413" s="305"/>
      <c r="H413" s="292"/>
      <c r="I413" s="574"/>
      <c r="J413" s="573"/>
      <c r="K413" s="307"/>
      <c r="L413" s="292"/>
      <c r="M413" s="308"/>
      <c r="N413" s="292"/>
      <c r="O413" s="308"/>
      <c r="P413" s="575"/>
      <c r="Q413" s="576"/>
      <c r="R413" s="308"/>
      <c r="S413" s="575"/>
      <c r="T413" s="576"/>
      <c r="U413" s="308"/>
      <c r="V413" s="575"/>
      <c r="W413" s="576"/>
      <c r="X413" s="308"/>
      <c r="Y413" s="575"/>
      <c r="Z413" s="576"/>
      <c r="AA413" s="308"/>
      <c r="AB413" s="575"/>
      <c r="AC413" s="576"/>
      <c r="AD413" s="308"/>
      <c r="AE413" s="575"/>
      <c r="AF413" s="308"/>
      <c r="AG413" s="575"/>
      <c r="AH413" s="308"/>
      <c r="AI413" s="575"/>
      <c r="AJ413" s="308"/>
      <c r="AK413" s="305"/>
      <c r="AL413" s="577"/>
      <c r="AM413" s="306"/>
      <c r="AN413" s="308"/>
      <c r="AO413" s="573"/>
      <c r="AP413" s="305"/>
      <c r="AQ413" s="308"/>
      <c r="AR413" s="573"/>
      <c r="AS413" s="578"/>
      <c r="AT413" s="577"/>
      <c r="AU413" s="579"/>
      <c r="AV413" s="578"/>
      <c r="AW413" s="308"/>
      <c r="AX413" s="307"/>
      <c r="AY413" s="307"/>
      <c r="AZ413" s="307"/>
      <c r="BA413" s="307"/>
      <c r="BB413" s="307"/>
      <c r="BC413" s="305"/>
      <c r="BD413" s="292"/>
      <c r="BE413" s="297"/>
      <c r="BF413" s="297"/>
      <c r="BG413" s="569"/>
      <c r="BH413" s="570"/>
      <c r="BI413" s="570"/>
      <c r="BJ413" s="570"/>
      <c r="BK413" s="570"/>
      <c r="BL413" s="570"/>
      <c r="BM413" s="570"/>
      <c r="BN413" s="570"/>
      <c r="BO413" s="570"/>
      <c r="BP413" s="570"/>
      <c r="BQ413" s="570"/>
      <c r="BR413" s="570"/>
      <c r="BS413" s="570"/>
      <c r="BT413" s="570"/>
      <c r="BU413" s="570"/>
      <c r="BV413" s="570"/>
      <c r="BW413" s="570"/>
      <c r="BX413" s="570"/>
      <c r="BY413" s="570"/>
      <c r="BZ413" s="571"/>
      <c r="CA413" s="571"/>
    </row>
    <row r="414" spans="2:79">
      <c r="B414" s="566">
        <v>399</v>
      </c>
      <c r="C414" s="308"/>
      <c r="D414" s="307"/>
      <c r="E414" s="307"/>
      <c r="F414" s="305"/>
      <c r="G414" s="305"/>
      <c r="H414" s="292"/>
      <c r="I414" s="574"/>
      <c r="J414" s="573"/>
      <c r="K414" s="307"/>
      <c r="L414" s="292"/>
      <c r="M414" s="308"/>
      <c r="N414" s="292"/>
      <c r="O414" s="308"/>
      <c r="P414" s="575"/>
      <c r="Q414" s="576"/>
      <c r="R414" s="308"/>
      <c r="S414" s="575"/>
      <c r="T414" s="576"/>
      <c r="U414" s="308"/>
      <c r="V414" s="575"/>
      <c r="W414" s="576"/>
      <c r="X414" s="308"/>
      <c r="Y414" s="575"/>
      <c r="Z414" s="576"/>
      <c r="AA414" s="308"/>
      <c r="AB414" s="575"/>
      <c r="AC414" s="576"/>
      <c r="AD414" s="308"/>
      <c r="AE414" s="575"/>
      <c r="AF414" s="308"/>
      <c r="AG414" s="575"/>
      <c r="AH414" s="308"/>
      <c r="AI414" s="575"/>
      <c r="AJ414" s="308"/>
      <c r="AK414" s="305"/>
      <c r="AL414" s="577"/>
      <c r="AM414" s="306"/>
      <c r="AN414" s="308"/>
      <c r="AO414" s="573"/>
      <c r="AP414" s="305"/>
      <c r="AQ414" s="308"/>
      <c r="AR414" s="573"/>
      <c r="AS414" s="578"/>
      <c r="AT414" s="577"/>
      <c r="AU414" s="579"/>
      <c r="AV414" s="578"/>
      <c r="AW414" s="308"/>
      <c r="AX414" s="307"/>
      <c r="AY414" s="307"/>
      <c r="AZ414" s="307"/>
      <c r="BA414" s="307"/>
      <c r="BB414" s="307"/>
      <c r="BC414" s="305"/>
      <c r="BD414" s="292"/>
      <c r="BE414" s="297"/>
      <c r="BF414" s="297"/>
      <c r="BG414" s="569"/>
      <c r="BH414" s="570"/>
      <c r="BI414" s="570"/>
      <c r="BJ414" s="570"/>
      <c r="BK414" s="570"/>
      <c r="BL414" s="570"/>
      <c r="BM414" s="570"/>
      <c r="BN414" s="570"/>
      <c r="BO414" s="570"/>
      <c r="BP414" s="570"/>
      <c r="BQ414" s="570"/>
      <c r="BR414" s="570"/>
      <c r="BS414" s="570"/>
      <c r="BT414" s="570"/>
      <c r="BU414" s="570"/>
      <c r="BV414" s="570"/>
      <c r="BW414" s="570"/>
      <c r="BX414" s="570"/>
      <c r="BY414" s="570"/>
      <c r="BZ414" s="571"/>
      <c r="CA414" s="571"/>
    </row>
    <row r="415" spans="2:79">
      <c r="B415" s="572">
        <v>400</v>
      </c>
      <c r="C415" s="308"/>
      <c r="D415" s="307"/>
      <c r="E415" s="307"/>
      <c r="F415" s="305"/>
      <c r="G415" s="305"/>
      <c r="H415" s="292"/>
      <c r="I415" s="574"/>
      <c r="J415" s="573"/>
      <c r="K415" s="307"/>
      <c r="L415" s="292"/>
      <c r="M415" s="308"/>
      <c r="N415" s="292"/>
      <c r="O415" s="308"/>
      <c r="P415" s="575"/>
      <c r="Q415" s="576"/>
      <c r="R415" s="308"/>
      <c r="S415" s="575"/>
      <c r="T415" s="576"/>
      <c r="U415" s="308"/>
      <c r="V415" s="575"/>
      <c r="W415" s="576"/>
      <c r="X415" s="308"/>
      <c r="Y415" s="575"/>
      <c r="Z415" s="576"/>
      <c r="AA415" s="308"/>
      <c r="AB415" s="575"/>
      <c r="AC415" s="576"/>
      <c r="AD415" s="308"/>
      <c r="AE415" s="575"/>
      <c r="AF415" s="308"/>
      <c r="AG415" s="575"/>
      <c r="AH415" s="308"/>
      <c r="AI415" s="575"/>
      <c r="AJ415" s="308"/>
      <c r="AK415" s="305"/>
      <c r="AL415" s="577"/>
      <c r="AM415" s="306"/>
      <c r="AN415" s="308"/>
      <c r="AO415" s="573"/>
      <c r="AP415" s="305"/>
      <c r="AQ415" s="308"/>
      <c r="AR415" s="573"/>
      <c r="AS415" s="578"/>
      <c r="AT415" s="577"/>
      <c r="AU415" s="579"/>
      <c r="AV415" s="578"/>
      <c r="AW415" s="308"/>
      <c r="AX415" s="307"/>
      <c r="AY415" s="307"/>
      <c r="AZ415" s="307"/>
      <c r="BA415" s="307"/>
      <c r="BB415" s="307"/>
      <c r="BC415" s="305"/>
      <c r="BD415" s="292"/>
      <c r="BE415" s="297"/>
      <c r="BF415" s="297"/>
      <c r="BG415" s="569"/>
      <c r="BH415" s="570"/>
      <c r="BI415" s="570"/>
      <c r="BJ415" s="570"/>
      <c r="BK415" s="570"/>
      <c r="BL415" s="570"/>
      <c r="BM415" s="570"/>
      <c r="BN415" s="570"/>
      <c r="BO415" s="570"/>
      <c r="BP415" s="570"/>
      <c r="BQ415" s="570"/>
      <c r="BR415" s="570"/>
      <c r="BS415" s="570"/>
      <c r="BT415" s="570"/>
      <c r="BU415" s="570"/>
      <c r="BV415" s="570"/>
      <c r="BW415" s="570"/>
      <c r="BX415" s="570"/>
      <c r="BY415" s="570"/>
      <c r="BZ415" s="571"/>
      <c r="CA415" s="571"/>
    </row>
    <row r="416" spans="2:79">
      <c r="B416" s="566">
        <v>401</v>
      </c>
      <c r="C416" s="308"/>
      <c r="D416" s="307"/>
      <c r="E416" s="307"/>
      <c r="F416" s="305"/>
      <c r="G416" s="305"/>
      <c r="H416" s="292"/>
      <c r="I416" s="574"/>
      <c r="J416" s="573"/>
      <c r="K416" s="307"/>
      <c r="L416" s="292"/>
      <c r="M416" s="308"/>
      <c r="N416" s="292"/>
      <c r="O416" s="308"/>
      <c r="P416" s="575"/>
      <c r="Q416" s="576"/>
      <c r="R416" s="308"/>
      <c r="S416" s="575"/>
      <c r="T416" s="576"/>
      <c r="U416" s="308"/>
      <c r="V416" s="575"/>
      <c r="W416" s="576"/>
      <c r="X416" s="308"/>
      <c r="Y416" s="575"/>
      <c r="Z416" s="576"/>
      <c r="AA416" s="308"/>
      <c r="AB416" s="575"/>
      <c r="AC416" s="576"/>
      <c r="AD416" s="308"/>
      <c r="AE416" s="575"/>
      <c r="AF416" s="308"/>
      <c r="AG416" s="575"/>
      <c r="AH416" s="308"/>
      <c r="AI416" s="575"/>
      <c r="AJ416" s="308"/>
      <c r="AK416" s="305"/>
      <c r="AL416" s="577"/>
      <c r="AM416" s="306"/>
      <c r="AN416" s="308"/>
      <c r="AO416" s="573"/>
      <c r="AP416" s="305"/>
      <c r="AQ416" s="308"/>
      <c r="AR416" s="573"/>
      <c r="AS416" s="578"/>
      <c r="AT416" s="577"/>
      <c r="AU416" s="579"/>
      <c r="AV416" s="578"/>
      <c r="AW416" s="308"/>
      <c r="AX416" s="307"/>
      <c r="AY416" s="307"/>
      <c r="AZ416" s="307"/>
      <c r="BA416" s="307"/>
      <c r="BB416" s="307"/>
      <c r="BC416" s="305"/>
      <c r="BD416" s="292"/>
      <c r="BE416" s="297"/>
      <c r="BF416" s="297"/>
      <c r="BG416" s="569"/>
      <c r="BH416" s="570"/>
      <c r="BI416" s="570"/>
      <c r="BJ416" s="570"/>
      <c r="BK416" s="570"/>
      <c r="BL416" s="570"/>
      <c r="BM416" s="570"/>
      <c r="BN416" s="570"/>
      <c r="BO416" s="570"/>
      <c r="BP416" s="570"/>
      <c r="BQ416" s="570"/>
      <c r="BR416" s="570"/>
      <c r="BS416" s="570"/>
      <c r="BT416" s="570"/>
      <c r="BU416" s="570"/>
      <c r="BV416" s="570"/>
      <c r="BW416" s="570"/>
      <c r="BX416" s="570"/>
      <c r="BY416" s="570"/>
      <c r="BZ416" s="571"/>
      <c r="CA416" s="571"/>
    </row>
    <row r="417" spans="2:79">
      <c r="B417" s="572">
        <v>402</v>
      </c>
      <c r="C417" s="308"/>
      <c r="D417" s="307"/>
      <c r="E417" s="307"/>
      <c r="F417" s="305"/>
      <c r="G417" s="305"/>
      <c r="H417" s="292"/>
      <c r="I417" s="574"/>
      <c r="J417" s="573"/>
      <c r="K417" s="307"/>
      <c r="L417" s="292"/>
      <c r="M417" s="308"/>
      <c r="N417" s="292"/>
      <c r="O417" s="308"/>
      <c r="P417" s="575"/>
      <c r="Q417" s="576"/>
      <c r="R417" s="308"/>
      <c r="S417" s="575"/>
      <c r="T417" s="576"/>
      <c r="U417" s="308"/>
      <c r="V417" s="575"/>
      <c r="W417" s="576"/>
      <c r="X417" s="308"/>
      <c r="Y417" s="575"/>
      <c r="Z417" s="576"/>
      <c r="AA417" s="308"/>
      <c r="AB417" s="575"/>
      <c r="AC417" s="576"/>
      <c r="AD417" s="308"/>
      <c r="AE417" s="575"/>
      <c r="AF417" s="308"/>
      <c r="AG417" s="575"/>
      <c r="AH417" s="308"/>
      <c r="AI417" s="575"/>
      <c r="AJ417" s="308"/>
      <c r="AK417" s="305"/>
      <c r="AL417" s="577"/>
      <c r="AM417" s="306"/>
      <c r="AN417" s="308"/>
      <c r="AO417" s="573"/>
      <c r="AP417" s="305"/>
      <c r="AQ417" s="308"/>
      <c r="AR417" s="573"/>
      <c r="AS417" s="578"/>
      <c r="AT417" s="577"/>
      <c r="AU417" s="579"/>
      <c r="AV417" s="578"/>
      <c r="AW417" s="308"/>
      <c r="AX417" s="307"/>
      <c r="AY417" s="307"/>
      <c r="AZ417" s="307"/>
      <c r="BA417" s="307"/>
      <c r="BB417" s="307"/>
      <c r="BC417" s="305"/>
      <c r="BD417" s="292"/>
      <c r="BE417" s="297"/>
      <c r="BF417" s="297"/>
      <c r="BG417" s="569"/>
      <c r="BH417" s="570"/>
      <c r="BI417" s="570"/>
      <c r="BJ417" s="570"/>
      <c r="BK417" s="570"/>
      <c r="BL417" s="570"/>
      <c r="BM417" s="570"/>
      <c r="BN417" s="570"/>
      <c r="BO417" s="570"/>
      <c r="BP417" s="570"/>
      <c r="BQ417" s="570"/>
      <c r="BR417" s="570"/>
      <c r="BS417" s="570"/>
      <c r="BT417" s="570"/>
      <c r="BU417" s="570"/>
      <c r="BV417" s="570"/>
      <c r="BW417" s="570"/>
      <c r="BX417" s="570"/>
      <c r="BY417" s="570"/>
      <c r="BZ417" s="571"/>
      <c r="CA417" s="571"/>
    </row>
    <row r="418" spans="2:79">
      <c r="B418" s="566">
        <v>403</v>
      </c>
      <c r="C418" s="308"/>
      <c r="D418" s="307"/>
      <c r="E418" s="307"/>
      <c r="F418" s="305"/>
      <c r="G418" s="305"/>
      <c r="H418" s="292"/>
      <c r="I418" s="574"/>
      <c r="J418" s="573"/>
      <c r="K418" s="307"/>
      <c r="L418" s="292"/>
      <c r="M418" s="308"/>
      <c r="N418" s="292"/>
      <c r="O418" s="308"/>
      <c r="P418" s="575"/>
      <c r="Q418" s="576"/>
      <c r="R418" s="308"/>
      <c r="S418" s="575"/>
      <c r="T418" s="576"/>
      <c r="U418" s="308"/>
      <c r="V418" s="575"/>
      <c r="W418" s="576"/>
      <c r="X418" s="308"/>
      <c r="Y418" s="575"/>
      <c r="Z418" s="576"/>
      <c r="AA418" s="308"/>
      <c r="AB418" s="575"/>
      <c r="AC418" s="576"/>
      <c r="AD418" s="308"/>
      <c r="AE418" s="575"/>
      <c r="AF418" s="308"/>
      <c r="AG418" s="575"/>
      <c r="AH418" s="308"/>
      <c r="AI418" s="575"/>
      <c r="AJ418" s="308"/>
      <c r="AK418" s="305"/>
      <c r="AL418" s="577"/>
      <c r="AM418" s="306"/>
      <c r="AN418" s="308"/>
      <c r="AO418" s="573"/>
      <c r="AP418" s="305"/>
      <c r="AQ418" s="308"/>
      <c r="AR418" s="573"/>
      <c r="AS418" s="578"/>
      <c r="AT418" s="577"/>
      <c r="AU418" s="579"/>
      <c r="AV418" s="578"/>
      <c r="AW418" s="308"/>
      <c r="AX418" s="307"/>
      <c r="AY418" s="307"/>
      <c r="AZ418" s="307"/>
      <c r="BA418" s="307"/>
      <c r="BB418" s="307"/>
      <c r="BC418" s="305"/>
      <c r="BD418" s="292"/>
      <c r="BE418" s="297"/>
      <c r="BF418" s="297"/>
      <c r="BG418" s="569"/>
      <c r="BH418" s="570"/>
      <c r="BI418" s="570"/>
      <c r="BJ418" s="570"/>
      <c r="BK418" s="570"/>
      <c r="BL418" s="570"/>
      <c r="BM418" s="570"/>
      <c r="BN418" s="570"/>
      <c r="BO418" s="570"/>
      <c r="BP418" s="570"/>
      <c r="BQ418" s="570"/>
      <c r="BR418" s="570"/>
      <c r="BS418" s="570"/>
      <c r="BT418" s="570"/>
      <c r="BU418" s="570"/>
      <c r="BV418" s="570"/>
      <c r="BW418" s="570"/>
      <c r="BX418" s="570"/>
      <c r="BY418" s="570"/>
      <c r="BZ418" s="571"/>
      <c r="CA418" s="571"/>
    </row>
    <row r="419" spans="2:79">
      <c r="B419" s="572">
        <v>404</v>
      </c>
      <c r="C419" s="308"/>
      <c r="D419" s="307"/>
      <c r="E419" s="307"/>
      <c r="F419" s="305"/>
      <c r="G419" s="305"/>
      <c r="H419" s="292"/>
      <c r="I419" s="574"/>
      <c r="J419" s="573"/>
      <c r="K419" s="307"/>
      <c r="L419" s="292"/>
      <c r="M419" s="308"/>
      <c r="N419" s="292"/>
      <c r="O419" s="308"/>
      <c r="P419" s="575"/>
      <c r="Q419" s="576"/>
      <c r="R419" s="308"/>
      <c r="S419" s="575"/>
      <c r="T419" s="576"/>
      <c r="U419" s="308"/>
      <c r="V419" s="575"/>
      <c r="W419" s="576"/>
      <c r="X419" s="308"/>
      <c r="Y419" s="575"/>
      <c r="Z419" s="576"/>
      <c r="AA419" s="308"/>
      <c r="AB419" s="575"/>
      <c r="AC419" s="576"/>
      <c r="AD419" s="308"/>
      <c r="AE419" s="575"/>
      <c r="AF419" s="308"/>
      <c r="AG419" s="575"/>
      <c r="AH419" s="308"/>
      <c r="AI419" s="575"/>
      <c r="AJ419" s="308"/>
      <c r="AK419" s="305"/>
      <c r="AL419" s="577"/>
      <c r="AM419" s="306"/>
      <c r="AN419" s="308"/>
      <c r="AO419" s="573"/>
      <c r="AP419" s="305"/>
      <c r="AQ419" s="308"/>
      <c r="AR419" s="573"/>
      <c r="AS419" s="578"/>
      <c r="AT419" s="577"/>
      <c r="AU419" s="579"/>
      <c r="AV419" s="578"/>
      <c r="AW419" s="308"/>
      <c r="AX419" s="307"/>
      <c r="AY419" s="307"/>
      <c r="AZ419" s="307"/>
      <c r="BA419" s="307"/>
      <c r="BB419" s="307"/>
      <c r="BC419" s="305"/>
      <c r="BD419" s="292"/>
      <c r="BE419" s="297"/>
      <c r="BF419" s="297"/>
      <c r="BG419" s="569"/>
      <c r="BH419" s="570"/>
      <c r="BI419" s="570"/>
      <c r="BJ419" s="570"/>
      <c r="BK419" s="570"/>
      <c r="BL419" s="570"/>
      <c r="BM419" s="570"/>
      <c r="BN419" s="570"/>
      <c r="BO419" s="570"/>
      <c r="BP419" s="570"/>
      <c r="BQ419" s="570"/>
      <c r="BR419" s="570"/>
      <c r="BS419" s="570"/>
      <c r="BT419" s="570"/>
      <c r="BU419" s="570"/>
      <c r="BV419" s="570"/>
      <c r="BW419" s="570"/>
      <c r="BX419" s="570"/>
      <c r="BY419" s="570"/>
      <c r="BZ419" s="571"/>
      <c r="CA419" s="571"/>
    </row>
    <row r="420" spans="2:79">
      <c r="B420" s="566">
        <v>405</v>
      </c>
      <c r="C420" s="308"/>
      <c r="D420" s="307"/>
      <c r="E420" s="307"/>
      <c r="F420" s="305"/>
      <c r="G420" s="305"/>
      <c r="H420" s="292"/>
      <c r="I420" s="574"/>
      <c r="J420" s="573"/>
      <c r="K420" s="307"/>
      <c r="L420" s="292"/>
      <c r="M420" s="308"/>
      <c r="N420" s="292"/>
      <c r="O420" s="308"/>
      <c r="P420" s="575"/>
      <c r="Q420" s="576"/>
      <c r="R420" s="308"/>
      <c r="S420" s="575"/>
      <c r="T420" s="576"/>
      <c r="U420" s="308"/>
      <c r="V420" s="575"/>
      <c r="W420" s="576"/>
      <c r="X420" s="308"/>
      <c r="Y420" s="575"/>
      <c r="Z420" s="576"/>
      <c r="AA420" s="308"/>
      <c r="AB420" s="575"/>
      <c r="AC420" s="576"/>
      <c r="AD420" s="308"/>
      <c r="AE420" s="575"/>
      <c r="AF420" s="308"/>
      <c r="AG420" s="575"/>
      <c r="AH420" s="308"/>
      <c r="AI420" s="575"/>
      <c r="AJ420" s="308"/>
      <c r="AK420" s="305"/>
      <c r="AL420" s="577"/>
      <c r="AM420" s="306"/>
      <c r="AN420" s="308"/>
      <c r="AO420" s="573"/>
      <c r="AP420" s="305"/>
      <c r="AQ420" s="308"/>
      <c r="AR420" s="573"/>
      <c r="AS420" s="578"/>
      <c r="AT420" s="577"/>
      <c r="AU420" s="579"/>
      <c r="AV420" s="578"/>
      <c r="AW420" s="308"/>
      <c r="AX420" s="307"/>
      <c r="AY420" s="307"/>
      <c r="AZ420" s="307"/>
      <c r="BA420" s="307"/>
      <c r="BB420" s="307"/>
      <c r="BC420" s="305"/>
      <c r="BD420" s="292"/>
      <c r="BE420" s="297"/>
      <c r="BF420" s="297"/>
      <c r="BG420" s="569"/>
      <c r="BH420" s="570"/>
      <c r="BI420" s="570"/>
      <c r="BJ420" s="570"/>
      <c r="BK420" s="570"/>
      <c r="BL420" s="570"/>
      <c r="BM420" s="570"/>
      <c r="BN420" s="570"/>
      <c r="BO420" s="570"/>
      <c r="BP420" s="570"/>
      <c r="BQ420" s="570"/>
      <c r="BR420" s="570"/>
      <c r="BS420" s="570"/>
      <c r="BT420" s="570"/>
      <c r="BU420" s="570"/>
      <c r="BV420" s="570"/>
      <c r="BW420" s="570"/>
      <c r="BX420" s="570"/>
      <c r="BY420" s="570"/>
      <c r="BZ420" s="571"/>
      <c r="CA420" s="571"/>
    </row>
    <row r="421" spans="2:79">
      <c r="B421" s="572">
        <v>406</v>
      </c>
      <c r="C421" s="308"/>
      <c r="D421" s="307"/>
      <c r="E421" s="307"/>
      <c r="F421" s="305"/>
      <c r="G421" s="305"/>
      <c r="H421" s="292"/>
      <c r="I421" s="574"/>
      <c r="J421" s="573"/>
      <c r="K421" s="307"/>
      <c r="L421" s="292"/>
      <c r="M421" s="308"/>
      <c r="N421" s="292"/>
      <c r="O421" s="308"/>
      <c r="P421" s="575"/>
      <c r="Q421" s="576"/>
      <c r="R421" s="308"/>
      <c r="S421" s="575"/>
      <c r="T421" s="576"/>
      <c r="U421" s="308"/>
      <c r="V421" s="575"/>
      <c r="W421" s="576"/>
      <c r="X421" s="308"/>
      <c r="Y421" s="575"/>
      <c r="Z421" s="576"/>
      <c r="AA421" s="308"/>
      <c r="AB421" s="575"/>
      <c r="AC421" s="576"/>
      <c r="AD421" s="308"/>
      <c r="AE421" s="575"/>
      <c r="AF421" s="308"/>
      <c r="AG421" s="575"/>
      <c r="AH421" s="308"/>
      <c r="AI421" s="575"/>
      <c r="AJ421" s="308"/>
      <c r="AK421" s="305"/>
      <c r="AL421" s="577"/>
      <c r="AM421" s="306"/>
      <c r="AN421" s="308"/>
      <c r="AO421" s="573"/>
      <c r="AP421" s="305"/>
      <c r="AQ421" s="308"/>
      <c r="AR421" s="573"/>
      <c r="AS421" s="578"/>
      <c r="AT421" s="577"/>
      <c r="AU421" s="579"/>
      <c r="AV421" s="578"/>
      <c r="AW421" s="308"/>
      <c r="AX421" s="307"/>
      <c r="AY421" s="307"/>
      <c r="AZ421" s="307"/>
      <c r="BA421" s="307"/>
      <c r="BB421" s="307"/>
      <c r="BC421" s="305"/>
      <c r="BD421" s="292"/>
      <c r="BE421" s="297"/>
      <c r="BF421" s="297"/>
      <c r="BG421" s="569"/>
      <c r="BH421" s="570"/>
      <c r="BI421" s="570"/>
      <c r="BJ421" s="570"/>
      <c r="BK421" s="570"/>
      <c r="BL421" s="570"/>
      <c r="BM421" s="570"/>
      <c r="BN421" s="570"/>
      <c r="BO421" s="570"/>
      <c r="BP421" s="570"/>
      <c r="BQ421" s="570"/>
      <c r="BR421" s="570"/>
      <c r="BS421" s="570"/>
      <c r="BT421" s="570"/>
      <c r="BU421" s="570"/>
      <c r="BV421" s="570"/>
      <c r="BW421" s="570"/>
      <c r="BX421" s="570"/>
      <c r="BY421" s="570"/>
      <c r="BZ421" s="571"/>
      <c r="CA421" s="571"/>
    </row>
    <row r="422" spans="2:79">
      <c r="B422" s="566">
        <v>407</v>
      </c>
      <c r="C422" s="308"/>
      <c r="D422" s="307"/>
      <c r="E422" s="307"/>
      <c r="F422" s="305"/>
      <c r="G422" s="305"/>
      <c r="H422" s="292"/>
      <c r="I422" s="574"/>
      <c r="J422" s="573"/>
      <c r="K422" s="307"/>
      <c r="L422" s="292"/>
      <c r="M422" s="308"/>
      <c r="N422" s="292"/>
      <c r="O422" s="308"/>
      <c r="P422" s="575"/>
      <c r="Q422" s="576"/>
      <c r="R422" s="308"/>
      <c r="S422" s="575"/>
      <c r="T422" s="576"/>
      <c r="U422" s="308"/>
      <c r="V422" s="575"/>
      <c r="W422" s="576"/>
      <c r="X422" s="308"/>
      <c r="Y422" s="575"/>
      <c r="Z422" s="576"/>
      <c r="AA422" s="308"/>
      <c r="AB422" s="575"/>
      <c r="AC422" s="576"/>
      <c r="AD422" s="308"/>
      <c r="AE422" s="575"/>
      <c r="AF422" s="308"/>
      <c r="AG422" s="575"/>
      <c r="AH422" s="308"/>
      <c r="AI422" s="575"/>
      <c r="AJ422" s="308"/>
      <c r="AK422" s="305"/>
      <c r="AL422" s="577"/>
      <c r="AM422" s="306"/>
      <c r="AN422" s="308"/>
      <c r="AO422" s="573"/>
      <c r="AP422" s="305"/>
      <c r="AQ422" s="308"/>
      <c r="AR422" s="573"/>
      <c r="AS422" s="578"/>
      <c r="AT422" s="577"/>
      <c r="AU422" s="579"/>
      <c r="AV422" s="578"/>
      <c r="AW422" s="308"/>
      <c r="AX422" s="307"/>
      <c r="AY422" s="307"/>
      <c r="AZ422" s="307"/>
      <c r="BA422" s="307"/>
      <c r="BB422" s="307"/>
      <c r="BC422" s="305"/>
      <c r="BD422" s="292"/>
      <c r="BE422" s="297"/>
      <c r="BF422" s="297"/>
      <c r="BG422" s="569"/>
      <c r="BH422" s="570"/>
      <c r="BI422" s="570"/>
      <c r="BJ422" s="570"/>
      <c r="BK422" s="570"/>
      <c r="BL422" s="570"/>
      <c r="BM422" s="570"/>
      <c r="BN422" s="570"/>
      <c r="BO422" s="570"/>
      <c r="BP422" s="570"/>
      <c r="BQ422" s="570"/>
      <c r="BR422" s="570"/>
      <c r="BS422" s="570"/>
      <c r="BT422" s="570"/>
      <c r="BU422" s="570"/>
      <c r="BV422" s="570"/>
      <c r="BW422" s="570"/>
      <c r="BX422" s="570"/>
      <c r="BY422" s="570"/>
      <c r="BZ422" s="571"/>
      <c r="CA422" s="571"/>
    </row>
    <row r="423" spans="2:79">
      <c r="B423" s="572">
        <v>408</v>
      </c>
      <c r="C423" s="308"/>
      <c r="D423" s="307"/>
      <c r="E423" s="307"/>
      <c r="F423" s="305"/>
      <c r="G423" s="305"/>
      <c r="H423" s="292"/>
      <c r="I423" s="574"/>
      <c r="J423" s="573"/>
      <c r="K423" s="307"/>
      <c r="L423" s="292"/>
      <c r="M423" s="308"/>
      <c r="N423" s="292"/>
      <c r="O423" s="308"/>
      <c r="P423" s="575"/>
      <c r="Q423" s="576"/>
      <c r="R423" s="308"/>
      <c r="S423" s="575"/>
      <c r="T423" s="576"/>
      <c r="U423" s="308"/>
      <c r="V423" s="575"/>
      <c r="W423" s="576"/>
      <c r="X423" s="308"/>
      <c r="Y423" s="575"/>
      <c r="Z423" s="576"/>
      <c r="AA423" s="308"/>
      <c r="AB423" s="575"/>
      <c r="AC423" s="576"/>
      <c r="AD423" s="308"/>
      <c r="AE423" s="575"/>
      <c r="AF423" s="308"/>
      <c r="AG423" s="575"/>
      <c r="AH423" s="308"/>
      <c r="AI423" s="575"/>
      <c r="AJ423" s="308"/>
      <c r="AK423" s="305"/>
      <c r="AL423" s="577"/>
      <c r="AM423" s="306"/>
      <c r="AN423" s="308"/>
      <c r="AO423" s="573"/>
      <c r="AP423" s="305"/>
      <c r="AQ423" s="308"/>
      <c r="AR423" s="573"/>
      <c r="AS423" s="578"/>
      <c r="AT423" s="577"/>
      <c r="AU423" s="579"/>
      <c r="AV423" s="578"/>
      <c r="AW423" s="308"/>
      <c r="AX423" s="307"/>
      <c r="AY423" s="307"/>
      <c r="AZ423" s="307"/>
      <c r="BA423" s="307"/>
      <c r="BB423" s="307"/>
      <c r="BC423" s="305"/>
      <c r="BD423" s="292"/>
      <c r="BE423" s="297"/>
      <c r="BF423" s="297"/>
      <c r="BG423" s="569"/>
      <c r="BH423" s="570"/>
      <c r="BI423" s="570"/>
      <c r="BJ423" s="570"/>
      <c r="BK423" s="570"/>
      <c r="BL423" s="570"/>
      <c r="BM423" s="570"/>
      <c r="BN423" s="570"/>
      <c r="BO423" s="570"/>
      <c r="BP423" s="570"/>
      <c r="BQ423" s="570"/>
      <c r="BR423" s="570"/>
      <c r="BS423" s="570"/>
      <c r="BT423" s="570"/>
      <c r="BU423" s="570"/>
      <c r="BV423" s="570"/>
      <c r="BW423" s="570"/>
      <c r="BX423" s="570"/>
      <c r="BY423" s="570"/>
      <c r="BZ423" s="571"/>
      <c r="CA423" s="571"/>
    </row>
    <row r="424" spans="2:79">
      <c r="B424" s="566">
        <v>409</v>
      </c>
      <c r="C424" s="308"/>
      <c r="D424" s="307"/>
      <c r="E424" s="307"/>
      <c r="F424" s="305"/>
      <c r="G424" s="305"/>
      <c r="H424" s="292"/>
      <c r="I424" s="574"/>
      <c r="J424" s="573"/>
      <c r="K424" s="307"/>
      <c r="L424" s="292"/>
      <c r="M424" s="308"/>
      <c r="N424" s="292"/>
      <c r="O424" s="308"/>
      <c r="P424" s="575"/>
      <c r="Q424" s="576"/>
      <c r="R424" s="308"/>
      <c r="S424" s="575"/>
      <c r="T424" s="576"/>
      <c r="U424" s="308"/>
      <c r="V424" s="575"/>
      <c r="W424" s="576"/>
      <c r="X424" s="308"/>
      <c r="Y424" s="575"/>
      <c r="Z424" s="576"/>
      <c r="AA424" s="308"/>
      <c r="AB424" s="575"/>
      <c r="AC424" s="576"/>
      <c r="AD424" s="308"/>
      <c r="AE424" s="575"/>
      <c r="AF424" s="308"/>
      <c r="AG424" s="575"/>
      <c r="AH424" s="308"/>
      <c r="AI424" s="575"/>
      <c r="AJ424" s="308"/>
      <c r="AK424" s="305"/>
      <c r="AL424" s="577"/>
      <c r="AM424" s="306"/>
      <c r="AN424" s="308"/>
      <c r="AO424" s="573"/>
      <c r="AP424" s="305"/>
      <c r="AQ424" s="308"/>
      <c r="AR424" s="573"/>
      <c r="AS424" s="578"/>
      <c r="AT424" s="577"/>
      <c r="AU424" s="579"/>
      <c r="AV424" s="578"/>
      <c r="AW424" s="308"/>
      <c r="AX424" s="307"/>
      <c r="AY424" s="307"/>
      <c r="AZ424" s="307"/>
      <c r="BA424" s="307"/>
      <c r="BB424" s="307"/>
      <c r="BC424" s="305"/>
      <c r="BD424" s="292"/>
      <c r="BE424" s="297"/>
      <c r="BF424" s="297"/>
      <c r="BG424" s="569"/>
      <c r="BH424" s="570"/>
      <c r="BI424" s="570"/>
      <c r="BJ424" s="570"/>
      <c r="BK424" s="570"/>
      <c r="BL424" s="570"/>
      <c r="BM424" s="570"/>
      <c r="BN424" s="570"/>
      <c r="BO424" s="570"/>
      <c r="BP424" s="570"/>
      <c r="BQ424" s="570"/>
      <c r="BR424" s="570"/>
      <c r="BS424" s="570"/>
      <c r="BT424" s="570"/>
      <c r="BU424" s="570"/>
      <c r="BV424" s="570"/>
      <c r="BW424" s="570"/>
      <c r="BX424" s="570"/>
      <c r="BY424" s="570"/>
      <c r="BZ424" s="571"/>
      <c r="CA424" s="571"/>
    </row>
    <row r="425" spans="2:79">
      <c r="B425" s="572">
        <v>410</v>
      </c>
      <c r="C425" s="308"/>
      <c r="D425" s="307"/>
      <c r="E425" s="307"/>
      <c r="F425" s="305"/>
      <c r="G425" s="305"/>
      <c r="H425" s="292"/>
      <c r="I425" s="574"/>
      <c r="J425" s="573"/>
      <c r="K425" s="307"/>
      <c r="L425" s="292"/>
      <c r="M425" s="308"/>
      <c r="N425" s="292"/>
      <c r="O425" s="308"/>
      <c r="P425" s="575"/>
      <c r="Q425" s="576"/>
      <c r="R425" s="308"/>
      <c r="S425" s="575"/>
      <c r="T425" s="576"/>
      <c r="U425" s="308"/>
      <c r="V425" s="575"/>
      <c r="W425" s="576"/>
      <c r="X425" s="308"/>
      <c r="Y425" s="575"/>
      <c r="Z425" s="576"/>
      <c r="AA425" s="308"/>
      <c r="AB425" s="575"/>
      <c r="AC425" s="576"/>
      <c r="AD425" s="308"/>
      <c r="AE425" s="575"/>
      <c r="AF425" s="308"/>
      <c r="AG425" s="575"/>
      <c r="AH425" s="308"/>
      <c r="AI425" s="575"/>
      <c r="AJ425" s="308"/>
      <c r="AK425" s="305"/>
      <c r="AL425" s="577"/>
      <c r="AM425" s="306"/>
      <c r="AN425" s="308"/>
      <c r="AO425" s="573"/>
      <c r="AP425" s="305"/>
      <c r="AQ425" s="308"/>
      <c r="AR425" s="573"/>
      <c r="AS425" s="578"/>
      <c r="AT425" s="577"/>
      <c r="AU425" s="579"/>
      <c r="AV425" s="578"/>
      <c r="AW425" s="308"/>
      <c r="AX425" s="307"/>
      <c r="AY425" s="307"/>
      <c r="AZ425" s="307"/>
      <c r="BA425" s="307"/>
      <c r="BB425" s="307"/>
      <c r="BC425" s="305"/>
      <c r="BD425" s="292"/>
      <c r="BE425" s="297"/>
      <c r="BF425" s="297"/>
      <c r="BG425" s="569"/>
      <c r="BH425" s="570"/>
      <c r="BI425" s="570"/>
      <c r="BJ425" s="570"/>
      <c r="BK425" s="570"/>
      <c r="BL425" s="570"/>
      <c r="BM425" s="570"/>
      <c r="BN425" s="570"/>
      <c r="BO425" s="570"/>
      <c r="BP425" s="570"/>
      <c r="BQ425" s="570"/>
      <c r="BR425" s="570"/>
      <c r="BS425" s="570"/>
      <c r="BT425" s="570"/>
      <c r="BU425" s="570"/>
      <c r="BV425" s="570"/>
      <c r="BW425" s="570"/>
      <c r="BX425" s="570"/>
      <c r="BY425" s="570"/>
      <c r="BZ425" s="571"/>
      <c r="CA425" s="571"/>
    </row>
    <row r="426" spans="2:79">
      <c r="B426" s="566">
        <v>411</v>
      </c>
      <c r="C426" s="308"/>
      <c r="D426" s="307"/>
      <c r="E426" s="307"/>
      <c r="F426" s="305"/>
      <c r="G426" s="305"/>
      <c r="H426" s="292"/>
      <c r="I426" s="574"/>
      <c r="J426" s="573"/>
      <c r="K426" s="307"/>
      <c r="L426" s="292"/>
      <c r="M426" s="308"/>
      <c r="N426" s="292"/>
      <c r="O426" s="308"/>
      <c r="P426" s="575"/>
      <c r="Q426" s="576"/>
      <c r="R426" s="308"/>
      <c r="S426" s="575"/>
      <c r="T426" s="576"/>
      <c r="U426" s="308"/>
      <c r="V426" s="575"/>
      <c r="W426" s="576"/>
      <c r="X426" s="308"/>
      <c r="Y426" s="575"/>
      <c r="Z426" s="576"/>
      <c r="AA426" s="308"/>
      <c r="AB426" s="575"/>
      <c r="AC426" s="576"/>
      <c r="AD426" s="308"/>
      <c r="AE426" s="575"/>
      <c r="AF426" s="308"/>
      <c r="AG426" s="575"/>
      <c r="AH426" s="308"/>
      <c r="AI426" s="575"/>
      <c r="AJ426" s="308"/>
      <c r="AK426" s="305"/>
      <c r="AL426" s="577"/>
      <c r="AM426" s="306"/>
      <c r="AN426" s="308"/>
      <c r="AO426" s="573"/>
      <c r="AP426" s="305"/>
      <c r="AQ426" s="308"/>
      <c r="AR426" s="573"/>
      <c r="AS426" s="578"/>
      <c r="AT426" s="577"/>
      <c r="AU426" s="579"/>
      <c r="AV426" s="578"/>
      <c r="AW426" s="308"/>
      <c r="AX426" s="307"/>
      <c r="AY426" s="307"/>
      <c r="AZ426" s="307"/>
      <c r="BA426" s="307"/>
      <c r="BB426" s="307"/>
      <c r="BC426" s="305"/>
      <c r="BD426" s="292"/>
      <c r="BE426" s="297"/>
      <c r="BF426" s="297"/>
      <c r="BG426" s="569"/>
      <c r="BH426" s="570"/>
      <c r="BI426" s="570"/>
      <c r="BJ426" s="570"/>
      <c r="BK426" s="570"/>
      <c r="BL426" s="570"/>
      <c r="BM426" s="570"/>
      <c r="BN426" s="570"/>
      <c r="BO426" s="570"/>
      <c r="BP426" s="570"/>
      <c r="BQ426" s="570"/>
      <c r="BR426" s="570"/>
      <c r="BS426" s="570"/>
      <c r="BT426" s="570"/>
      <c r="BU426" s="570"/>
      <c r="BV426" s="570"/>
      <c r="BW426" s="570"/>
      <c r="BX426" s="570"/>
      <c r="BY426" s="570"/>
      <c r="BZ426" s="571"/>
      <c r="CA426" s="571"/>
    </row>
    <row r="427" spans="2:79">
      <c r="B427" s="572">
        <v>412</v>
      </c>
      <c r="C427" s="308"/>
      <c r="D427" s="307"/>
      <c r="E427" s="307"/>
      <c r="F427" s="305"/>
      <c r="G427" s="305"/>
      <c r="H427" s="292"/>
      <c r="I427" s="574"/>
      <c r="J427" s="573"/>
      <c r="K427" s="307"/>
      <c r="L427" s="292"/>
      <c r="M427" s="308"/>
      <c r="N427" s="292"/>
      <c r="O427" s="308"/>
      <c r="P427" s="575"/>
      <c r="Q427" s="576"/>
      <c r="R427" s="308"/>
      <c r="S427" s="575"/>
      <c r="T427" s="576"/>
      <c r="U427" s="308"/>
      <c r="V427" s="575"/>
      <c r="W427" s="576"/>
      <c r="X427" s="308"/>
      <c r="Y427" s="575"/>
      <c r="Z427" s="576"/>
      <c r="AA427" s="308"/>
      <c r="AB427" s="575"/>
      <c r="AC427" s="576"/>
      <c r="AD427" s="308"/>
      <c r="AE427" s="575"/>
      <c r="AF427" s="308"/>
      <c r="AG427" s="575"/>
      <c r="AH427" s="308"/>
      <c r="AI427" s="575"/>
      <c r="AJ427" s="308"/>
      <c r="AK427" s="305"/>
      <c r="AL427" s="577"/>
      <c r="AM427" s="306"/>
      <c r="AN427" s="308"/>
      <c r="AO427" s="573"/>
      <c r="AP427" s="305"/>
      <c r="AQ427" s="308"/>
      <c r="AR427" s="573"/>
      <c r="AS427" s="578"/>
      <c r="AT427" s="577"/>
      <c r="AU427" s="579"/>
      <c r="AV427" s="578"/>
      <c r="AW427" s="308"/>
      <c r="AX427" s="307"/>
      <c r="AY427" s="307"/>
      <c r="AZ427" s="307"/>
      <c r="BA427" s="307"/>
      <c r="BB427" s="307"/>
      <c r="BC427" s="305"/>
      <c r="BD427" s="292"/>
      <c r="BE427" s="297"/>
      <c r="BF427" s="297"/>
      <c r="BG427" s="569"/>
      <c r="BH427" s="570"/>
      <c r="BI427" s="570"/>
      <c r="BJ427" s="570"/>
      <c r="BK427" s="570"/>
      <c r="BL427" s="570"/>
      <c r="BM427" s="570"/>
      <c r="BN427" s="570"/>
      <c r="BO427" s="570"/>
      <c r="BP427" s="570"/>
      <c r="BQ427" s="570"/>
      <c r="BR427" s="570"/>
      <c r="BS427" s="570"/>
      <c r="BT427" s="570"/>
      <c r="BU427" s="570"/>
      <c r="BV427" s="570"/>
      <c r="BW427" s="570"/>
      <c r="BX427" s="570"/>
      <c r="BY427" s="570"/>
      <c r="BZ427" s="571"/>
      <c r="CA427" s="571"/>
    </row>
    <row r="428" spans="2:79">
      <c r="B428" s="566">
        <v>413</v>
      </c>
      <c r="C428" s="308"/>
      <c r="D428" s="307"/>
      <c r="E428" s="307"/>
      <c r="F428" s="305"/>
      <c r="G428" s="305"/>
      <c r="H428" s="292"/>
      <c r="I428" s="574"/>
      <c r="J428" s="573"/>
      <c r="K428" s="307"/>
      <c r="L428" s="292"/>
      <c r="M428" s="308"/>
      <c r="N428" s="292"/>
      <c r="O428" s="308"/>
      <c r="P428" s="575"/>
      <c r="Q428" s="576"/>
      <c r="R428" s="308"/>
      <c r="S428" s="575"/>
      <c r="T428" s="576"/>
      <c r="U428" s="308"/>
      <c r="V428" s="575"/>
      <c r="W428" s="576"/>
      <c r="X428" s="308"/>
      <c r="Y428" s="575"/>
      <c r="Z428" s="576"/>
      <c r="AA428" s="308"/>
      <c r="AB428" s="575"/>
      <c r="AC428" s="576"/>
      <c r="AD428" s="308"/>
      <c r="AE428" s="575"/>
      <c r="AF428" s="308"/>
      <c r="AG428" s="575"/>
      <c r="AH428" s="308"/>
      <c r="AI428" s="575"/>
      <c r="AJ428" s="308"/>
      <c r="AK428" s="305"/>
      <c r="AL428" s="577"/>
      <c r="AM428" s="306"/>
      <c r="AN428" s="308"/>
      <c r="AO428" s="573"/>
      <c r="AP428" s="305"/>
      <c r="AQ428" s="308"/>
      <c r="AR428" s="573"/>
      <c r="AS428" s="578"/>
      <c r="AT428" s="577"/>
      <c r="AU428" s="579"/>
      <c r="AV428" s="578"/>
      <c r="AW428" s="308"/>
      <c r="AX428" s="307"/>
      <c r="AY428" s="307"/>
      <c r="AZ428" s="307"/>
      <c r="BA428" s="307"/>
      <c r="BB428" s="307"/>
      <c r="BC428" s="305"/>
      <c r="BD428" s="292"/>
      <c r="BE428" s="297"/>
      <c r="BF428" s="297"/>
      <c r="BG428" s="569"/>
      <c r="BH428" s="570"/>
      <c r="BI428" s="570"/>
      <c r="BJ428" s="570"/>
      <c r="BK428" s="570"/>
      <c r="BL428" s="570"/>
      <c r="BM428" s="570"/>
      <c r="BN428" s="570"/>
      <c r="BO428" s="570"/>
      <c r="BP428" s="570"/>
      <c r="BQ428" s="570"/>
      <c r="BR428" s="570"/>
      <c r="BS428" s="570"/>
      <c r="BT428" s="570"/>
      <c r="BU428" s="570"/>
      <c r="BV428" s="570"/>
      <c r="BW428" s="570"/>
      <c r="BX428" s="570"/>
      <c r="BY428" s="570"/>
      <c r="BZ428" s="571"/>
      <c r="CA428" s="571"/>
    </row>
    <row r="429" spans="2:79">
      <c r="B429" s="572">
        <v>414</v>
      </c>
      <c r="C429" s="308"/>
      <c r="D429" s="307"/>
      <c r="E429" s="307"/>
      <c r="F429" s="305"/>
      <c r="G429" s="305"/>
      <c r="H429" s="292"/>
      <c r="I429" s="574"/>
      <c r="J429" s="573"/>
      <c r="K429" s="307"/>
      <c r="L429" s="292"/>
      <c r="M429" s="308"/>
      <c r="N429" s="292"/>
      <c r="O429" s="308"/>
      <c r="P429" s="575"/>
      <c r="Q429" s="576"/>
      <c r="R429" s="308"/>
      <c r="S429" s="575"/>
      <c r="T429" s="576"/>
      <c r="U429" s="308"/>
      <c r="V429" s="575"/>
      <c r="W429" s="576"/>
      <c r="X429" s="308"/>
      <c r="Y429" s="575"/>
      <c r="Z429" s="576"/>
      <c r="AA429" s="308"/>
      <c r="AB429" s="575"/>
      <c r="AC429" s="576"/>
      <c r="AD429" s="308"/>
      <c r="AE429" s="575"/>
      <c r="AF429" s="308"/>
      <c r="AG429" s="575"/>
      <c r="AH429" s="308"/>
      <c r="AI429" s="575"/>
      <c r="AJ429" s="308"/>
      <c r="AK429" s="305"/>
      <c r="AL429" s="577"/>
      <c r="AM429" s="306"/>
      <c r="AN429" s="308"/>
      <c r="AO429" s="573"/>
      <c r="AP429" s="305"/>
      <c r="AQ429" s="308"/>
      <c r="AR429" s="573"/>
      <c r="AS429" s="578"/>
      <c r="AT429" s="577"/>
      <c r="AU429" s="579"/>
      <c r="AV429" s="578"/>
      <c r="AW429" s="308"/>
      <c r="AX429" s="307"/>
      <c r="AY429" s="307"/>
      <c r="AZ429" s="307"/>
      <c r="BA429" s="307"/>
      <c r="BB429" s="307"/>
      <c r="BC429" s="305"/>
      <c r="BD429" s="292"/>
      <c r="BE429" s="297"/>
      <c r="BF429" s="297"/>
      <c r="BG429" s="569"/>
      <c r="BH429" s="570"/>
      <c r="BI429" s="570"/>
      <c r="BJ429" s="570"/>
      <c r="BK429" s="570"/>
      <c r="BL429" s="570"/>
      <c r="BM429" s="570"/>
      <c r="BN429" s="570"/>
      <c r="BO429" s="570"/>
      <c r="BP429" s="570"/>
      <c r="BQ429" s="570"/>
      <c r="BR429" s="570"/>
      <c r="BS429" s="570"/>
      <c r="BT429" s="570"/>
      <c r="BU429" s="570"/>
      <c r="BV429" s="570"/>
      <c r="BW429" s="570"/>
      <c r="BX429" s="570"/>
      <c r="BY429" s="570"/>
      <c r="BZ429" s="571"/>
      <c r="CA429" s="571"/>
    </row>
    <row r="430" spans="2:79">
      <c r="B430" s="566">
        <v>415</v>
      </c>
      <c r="C430" s="308"/>
      <c r="D430" s="307"/>
      <c r="E430" s="307"/>
      <c r="F430" s="305"/>
      <c r="G430" s="305"/>
      <c r="H430" s="292"/>
      <c r="I430" s="574"/>
      <c r="J430" s="573"/>
      <c r="K430" s="307"/>
      <c r="L430" s="292"/>
      <c r="M430" s="308"/>
      <c r="N430" s="292"/>
      <c r="O430" s="308"/>
      <c r="P430" s="575"/>
      <c r="Q430" s="576"/>
      <c r="R430" s="308"/>
      <c r="S430" s="575"/>
      <c r="T430" s="576"/>
      <c r="U430" s="308"/>
      <c r="V430" s="575"/>
      <c r="W430" s="576"/>
      <c r="X430" s="308"/>
      <c r="Y430" s="575"/>
      <c r="Z430" s="576"/>
      <c r="AA430" s="308"/>
      <c r="AB430" s="575"/>
      <c r="AC430" s="576"/>
      <c r="AD430" s="308"/>
      <c r="AE430" s="575"/>
      <c r="AF430" s="308"/>
      <c r="AG430" s="575"/>
      <c r="AH430" s="308"/>
      <c r="AI430" s="575"/>
      <c r="AJ430" s="308"/>
      <c r="AK430" s="305"/>
      <c r="AL430" s="577"/>
      <c r="AM430" s="306"/>
      <c r="AN430" s="308"/>
      <c r="AO430" s="573"/>
      <c r="AP430" s="305"/>
      <c r="AQ430" s="308"/>
      <c r="AR430" s="573"/>
      <c r="AS430" s="578"/>
      <c r="AT430" s="577"/>
      <c r="AU430" s="579"/>
      <c r="AV430" s="578"/>
      <c r="AW430" s="308"/>
      <c r="AX430" s="307"/>
      <c r="AY430" s="307"/>
      <c r="AZ430" s="307"/>
      <c r="BA430" s="307"/>
      <c r="BB430" s="307"/>
      <c r="BC430" s="305"/>
      <c r="BD430" s="292"/>
      <c r="BE430" s="297"/>
      <c r="BF430" s="297"/>
      <c r="BG430" s="569"/>
      <c r="BH430" s="570"/>
      <c r="BI430" s="570"/>
      <c r="BJ430" s="570"/>
      <c r="BK430" s="570"/>
      <c r="BL430" s="570"/>
      <c r="BM430" s="570"/>
      <c r="BN430" s="570"/>
      <c r="BO430" s="570"/>
      <c r="BP430" s="570"/>
      <c r="BQ430" s="570"/>
      <c r="BR430" s="570"/>
      <c r="BS430" s="570"/>
      <c r="BT430" s="570"/>
      <c r="BU430" s="570"/>
      <c r="BV430" s="570"/>
      <c r="BW430" s="570"/>
      <c r="BX430" s="570"/>
      <c r="BY430" s="570"/>
      <c r="BZ430" s="571"/>
      <c r="CA430" s="571"/>
    </row>
    <row r="431" spans="2:79">
      <c r="B431" s="572">
        <v>416</v>
      </c>
      <c r="C431" s="308"/>
      <c r="D431" s="307"/>
      <c r="E431" s="307"/>
      <c r="F431" s="305"/>
      <c r="G431" s="305"/>
      <c r="H431" s="292"/>
      <c r="I431" s="574"/>
      <c r="J431" s="573"/>
      <c r="K431" s="307"/>
      <c r="L431" s="292"/>
      <c r="M431" s="308"/>
      <c r="N431" s="292"/>
      <c r="O431" s="308"/>
      <c r="P431" s="575"/>
      <c r="Q431" s="576"/>
      <c r="R431" s="308"/>
      <c r="S431" s="575"/>
      <c r="T431" s="576"/>
      <c r="U431" s="308"/>
      <c r="V431" s="575"/>
      <c r="W431" s="576"/>
      <c r="X431" s="308"/>
      <c r="Y431" s="575"/>
      <c r="Z431" s="576"/>
      <c r="AA431" s="308"/>
      <c r="AB431" s="575"/>
      <c r="AC431" s="576"/>
      <c r="AD431" s="308"/>
      <c r="AE431" s="575"/>
      <c r="AF431" s="308"/>
      <c r="AG431" s="575"/>
      <c r="AH431" s="308"/>
      <c r="AI431" s="575"/>
      <c r="AJ431" s="308"/>
      <c r="AK431" s="305"/>
      <c r="AL431" s="577"/>
      <c r="AM431" s="306"/>
      <c r="AN431" s="308"/>
      <c r="AO431" s="573"/>
      <c r="AP431" s="305"/>
      <c r="AQ431" s="308"/>
      <c r="AR431" s="573"/>
      <c r="AS431" s="578"/>
      <c r="AT431" s="577"/>
      <c r="AU431" s="579"/>
      <c r="AV431" s="578"/>
      <c r="AW431" s="308"/>
      <c r="AX431" s="307"/>
      <c r="AY431" s="307"/>
      <c r="AZ431" s="307"/>
      <c r="BA431" s="307"/>
      <c r="BB431" s="307"/>
      <c r="BC431" s="305"/>
      <c r="BD431" s="292"/>
      <c r="BE431" s="297"/>
      <c r="BF431" s="297"/>
      <c r="BG431" s="569"/>
      <c r="BH431" s="570"/>
      <c r="BI431" s="570"/>
      <c r="BJ431" s="570"/>
      <c r="BK431" s="570"/>
      <c r="BL431" s="570"/>
      <c r="BM431" s="570"/>
      <c r="BN431" s="570"/>
      <c r="BO431" s="570"/>
      <c r="BP431" s="570"/>
      <c r="BQ431" s="570"/>
      <c r="BR431" s="570"/>
      <c r="BS431" s="570"/>
      <c r="BT431" s="570"/>
      <c r="BU431" s="570"/>
      <c r="BV431" s="570"/>
      <c r="BW431" s="570"/>
      <c r="BX431" s="570"/>
      <c r="BY431" s="570"/>
      <c r="BZ431" s="571"/>
      <c r="CA431" s="571"/>
    </row>
    <row r="432" spans="2:79">
      <c r="B432" s="566">
        <v>417</v>
      </c>
      <c r="C432" s="308"/>
      <c r="D432" s="307"/>
      <c r="E432" s="307"/>
      <c r="F432" s="305"/>
      <c r="G432" s="305"/>
      <c r="H432" s="292"/>
      <c r="I432" s="574"/>
      <c r="J432" s="573"/>
      <c r="K432" s="307"/>
      <c r="L432" s="292"/>
      <c r="M432" s="308"/>
      <c r="N432" s="292"/>
      <c r="O432" s="308"/>
      <c r="P432" s="575"/>
      <c r="Q432" s="576"/>
      <c r="R432" s="308"/>
      <c r="S432" s="575"/>
      <c r="T432" s="576"/>
      <c r="U432" s="308"/>
      <c r="V432" s="575"/>
      <c r="W432" s="576"/>
      <c r="X432" s="308"/>
      <c r="Y432" s="575"/>
      <c r="Z432" s="576"/>
      <c r="AA432" s="308"/>
      <c r="AB432" s="575"/>
      <c r="AC432" s="576"/>
      <c r="AD432" s="308"/>
      <c r="AE432" s="575"/>
      <c r="AF432" s="308"/>
      <c r="AG432" s="575"/>
      <c r="AH432" s="308"/>
      <c r="AI432" s="575"/>
      <c r="AJ432" s="308"/>
      <c r="AK432" s="305"/>
      <c r="AL432" s="577"/>
      <c r="AM432" s="306"/>
      <c r="AN432" s="308"/>
      <c r="AO432" s="573"/>
      <c r="AP432" s="305"/>
      <c r="AQ432" s="308"/>
      <c r="AR432" s="573"/>
      <c r="AS432" s="578"/>
      <c r="AT432" s="577"/>
      <c r="AU432" s="579"/>
      <c r="AV432" s="578"/>
      <c r="AW432" s="308"/>
      <c r="AX432" s="307"/>
      <c r="AY432" s="307"/>
      <c r="AZ432" s="307"/>
      <c r="BA432" s="307"/>
      <c r="BB432" s="307"/>
      <c r="BC432" s="305"/>
      <c r="BD432" s="292"/>
      <c r="BE432" s="297"/>
      <c r="BF432" s="297"/>
      <c r="BG432" s="569"/>
      <c r="BH432" s="570"/>
      <c r="BI432" s="570"/>
      <c r="BJ432" s="570"/>
      <c r="BK432" s="570"/>
      <c r="BL432" s="570"/>
      <c r="BM432" s="570"/>
      <c r="BN432" s="570"/>
      <c r="BO432" s="570"/>
      <c r="BP432" s="570"/>
      <c r="BQ432" s="570"/>
      <c r="BR432" s="570"/>
      <c r="BS432" s="570"/>
      <c r="BT432" s="570"/>
      <c r="BU432" s="570"/>
      <c r="BV432" s="570"/>
      <c r="BW432" s="570"/>
      <c r="BX432" s="570"/>
      <c r="BY432" s="570"/>
      <c r="BZ432" s="571"/>
      <c r="CA432" s="571"/>
    </row>
    <row r="433" spans="2:79">
      <c r="B433" s="572">
        <v>418</v>
      </c>
      <c r="C433" s="308"/>
      <c r="D433" s="307"/>
      <c r="E433" s="307"/>
      <c r="F433" s="305"/>
      <c r="G433" s="305"/>
      <c r="H433" s="292"/>
      <c r="I433" s="574"/>
      <c r="J433" s="573"/>
      <c r="K433" s="307"/>
      <c r="L433" s="292"/>
      <c r="M433" s="308"/>
      <c r="N433" s="292"/>
      <c r="O433" s="308"/>
      <c r="P433" s="575"/>
      <c r="Q433" s="576"/>
      <c r="R433" s="308"/>
      <c r="S433" s="575"/>
      <c r="T433" s="576"/>
      <c r="U433" s="308"/>
      <c r="V433" s="575"/>
      <c r="W433" s="576"/>
      <c r="X433" s="308"/>
      <c r="Y433" s="575"/>
      <c r="Z433" s="576"/>
      <c r="AA433" s="308"/>
      <c r="AB433" s="575"/>
      <c r="AC433" s="576"/>
      <c r="AD433" s="308"/>
      <c r="AE433" s="575"/>
      <c r="AF433" s="308"/>
      <c r="AG433" s="575"/>
      <c r="AH433" s="308"/>
      <c r="AI433" s="575"/>
      <c r="AJ433" s="308"/>
      <c r="AK433" s="305"/>
      <c r="AL433" s="577"/>
      <c r="AM433" s="306"/>
      <c r="AN433" s="308"/>
      <c r="AO433" s="573"/>
      <c r="AP433" s="305"/>
      <c r="AQ433" s="308"/>
      <c r="AR433" s="573"/>
      <c r="AS433" s="578"/>
      <c r="AT433" s="577"/>
      <c r="AU433" s="579"/>
      <c r="AV433" s="578"/>
      <c r="AW433" s="308"/>
      <c r="AX433" s="307"/>
      <c r="AY433" s="307"/>
      <c r="AZ433" s="307"/>
      <c r="BA433" s="307"/>
      <c r="BB433" s="307"/>
      <c r="BC433" s="305"/>
      <c r="BD433" s="292"/>
      <c r="BE433" s="297"/>
      <c r="BF433" s="297"/>
      <c r="BG433" s="569"/>
      <c r="BH433" s="570"/>
      <c r="BI433" s="570"/>
      <c r="BJ433" s="570"/>
      <c r="BK433" s="570"/>
      <c r="BL433" s="570"/>
      <c r="BM433" s="570"/>
      <c r="BN433" s="570"/>
      <c r="BO433" s="570"/>
      <c r="BP433" s="570"/>
      <c r="BQ433" s="570"/>
      <c r="BR433" s="570"/>
      <c r="BS433" s="570"/>
      <c r="BT433" s="570"/>
      <c r="BU433" s="570"/>
      <c r="BV433" s="570"/>
      <c r="BW433" s="570"/>
      <c r="BX433" s="570"/>
      <c r="BY433" s="570"/>
      <c r="BZ433" s="571"/>
      <c r="CA433" s="571"/>
    </row>
    <row r="434" spans="2:79">
      <c r="B434" s="566">
        <v>419</v>
      </c>
      <c r="C434" s="308"/>
      <c r="D434" s="307"/>
      <c r="E434" s="307"/>
      <c r="F434" s="305"/>
      <c r="G434" s="305"/>
      <c r="H434" s="292"/>
      <c r="I434" s="574"/>
      <c r="J434" s="573"/>
      <c r="K434" s="307"/>
      <c r="L434" s="292"/>
      <c r="M434" s="308"/>
      <c r="N434" s="292"/>
      <c r="O434" s="308"/>
      <c r="P434" s="575"/>
      <c r="Q434" s="576"/>
      <c r="R434" s="308"/>
      <c r="S434" s="575"/>
      <c r="T434" s="576"/>
      <c r="U434" s="308"/>
      <c r="V434" s="575"/>
      <c r="W434" s="576"/>
      <c r="X434" s="308"/>
      <c r="Y434" s="575"/>
      <c r="Z434" s="576"/>
      <c r="AA434" s="308"/>
      <c r="AB434" s="575"/>
      <c r="AC434" s="576"/>
      <c r="AD434" s="308"/>
      <c r="AE434" s="575"/>
      <c r="AF434" s="308"/>
      <c r="AG434" s="575"/>
      <c r="AH434" s="308"/>
      <c r="AI434" s="575"/>
      <c r="AJ434" s="308"/>
      <c r="AK434" s="305"/>
      <c r="AL434" s="577"/>
      <c r="AM434" s="306"/>
      <c r="AN434" s="308"/>
      <c r="AO434" s="573"/>
      <c r="AP434" s="305"/>
      <c r="AQ434" s="308"/>
      <c r="AR434" s="573"/>
      <c r="AS434" s="578"/>
      <c r="AT434" s="577"/>
      <c r="AU434" s="579"/>
      <c r="AV434" s="578"/>
      <c r="AW434" s="308"/>
      <c r="AX434" s="307"/>
      <c r="AY434" s="307"/>
      <c r="AZ434" s="307"/>
      <c r="BA434" s="307"/>
      <c r="BB434" s="307"/>
      <c r="BC434" s="305"/>
      <c r="BD434" s="292"/>
      <c r="BE434" s="297"/>
      <c r="BF434" s="297"/>
      <c r="BG434" s="569"/>
      <c r="BH434" s="570"/>
      <c r="BI434" s="570"/>
      <c r="BJ434" s="570"/>
      <c r="BK434" s="570"/>
      <c r="BL434" s="570"/>
      <c r="BM434" s="570"/>
      <c r="BN434" s="570"/>
      <c r="BO434" s="570"/>
      <c r="BP434" s="570"/>
      <c r="BQ434" s="570"/>
      <c r="BR434" s="570"/>
      <c r="BS434" s="570"/>
      <c r="BT434" s="570"/>
      <c r="BU434" s="570"/>
      <c r="BV434" s="570"/>
      <c r="BW434" s="570"/>
      <c r="BX434" s="570"/>
      <c r="BY434" s="570"/>
      <c r="BZ434" s="571"/>
      <c r="CA434" s="571"/>
    </row>
    <row r="435" spans="2:79">
      <c r="B435" s="572">
        <v>420</v>
      </c>
      <c r="C435" s="308"/>
      <c r="D435" s="307"/>
      <c r="E435" s="307"/>
      <c r="F435" s="305"/>
      <c r="G435" s="305"/>
      <c r="H435" s="292"/>
      <c r="I435" s="574"/>
      <c r="J435" s="573"/>
      <c r="K435" s="307"/>
      <c r="L435" s="292"/>
      <c r="M435" s="308"/>
      <c r="N435" s="292"/>
      <c r="O435" s="308"/>
      <c r="P435" s="575"/>
      <c r="Q435" s="576"/>
      <c r="R435" s="308"/>
      <c r="S435" s="575"/>
      <c r="T435" s="576"/>
      <c r="U435" s="308"/>
      <c r="V435" s="575"/>
      <c r="W435" s="576"/>
      <c r="X435" s="308"/>
      <c r="Y435" s="575"/>
      <c r="Z435" s="576"/>
      <c r="AA435" s="308"/>
      <c r="AB435" s="575"/>
      <c r="AC435" s="576"/>
      <c r="AD435" s="308"/>
      <c r="AE435" s="575"/>
      <c r="AF435" s="308"/>
      <c r="AG435" s="575"/>
      <c r="AH435" s="308"/>
      <c r="AI435" s="575"/>
      <c r="AJ435" s="308"/>
      <c r="AK435" s="305"/>
      <c r="AL435" s="577"/>
      <c r="AM435" s="306"/>
      <c r="AN435" s="308"/>
      <c r="AO435" s="573"/>
      <c r="AP435" s="305"/>
      <c r="AQ435" s="308"/>
      <c r="AR435" s="573"/>
      <c r="AS435" s="578"/>
      <c r="AT435" s="577"/>
      <c r="AU435" s="579"/>
      <c r="AV435" s="578"/>
      <c r="AW435" s="308"/>
      <c r="AX435" s="307"/>
      <c r="AY435" s="307"/>
      <c r="AZ435" s="307"/>
      <c r="BA435" s="307"/>
      <c r="BB435" s="307"/>
      <c r="BC435" s="305"/>
      <c r="BD435" s="292"/>
      <c r="BE435" s="297"/>
      <c r="BF435" s="297"/>
      <c r="BG435" s="569"/>
      <c r="BH435" s="570"/>
      <c r="BI435" s="570"/>
      <c r="BJ435" s="570"/>
      <c r="BK435" s="570"/>
      <c r="BL435" s="570"/>
      <c r="BM435" s="570"/>
      <c r="BN435" s="570"/>
      <c r="BO435" s="570"/>
      <c r="BP435" s="570"/>
      <c r="BQ435" s="570"/>
      <c r="BR435" s="570"/>
      <c r="BS435" s="570"/>
      <c r="BT435" s="570"/>
      <c r="BU435" s="570"/>
      <c r="BV435" s="570"/>
      <c r="BW435" s="570"/>
      <c r="BX435" s="570"/>
      <c r="BY435" s="570"/>
      <c r="BZ435" s="571"/>
      <c r="CA435" s="571"/>
    </row>
    <row r="436" spans="2:79">
      <c r="B436" s="566">
        <v>421</v>
      </c>
      <c r="C436" s="308"/>
      <c r="D436" s="307"/>
      <c r="E436" s="307"/>
      <c r="F436" s="305"/>
      <c r="G436" s="305"/>
      <c r="H436" s="292"/>
      <c r="I436" s="574"/>
      <c r="J436" s="573"/>
      <c r="K436" s="307"/>
      <c r="L436" s="292"/>
      <c r="M436" s="308"/>
      <c r="N436" s="292"/>
      <c r="O436" s="308"/>
      <c r="P436" s="575"/>
      <c r="Q436" s="576"/>
      <c r="R436" s="308"/>
      <c r="S436" s="575"/>
      <c r="T436" s="576"/>
      <c r="U436" s="308"/>
      <c r="V436" s="575"/>
      <c r="W436" s="576"/>
      <c r="X436" s="308"/>
      <c r="Y436" s="575"/>
      <c r="Z436" s="576"/>
      <c r="AA436" s="308"/>
      <c r="AB436" s="575"/>
      <c r="AC436" s="576"/>
      <c r="AD436" s="308"/>
      <c r="AE436" s="575"/>
      <c r="AF436" s="308"/>
      <c r="AG436" s="575"/>
      <c r="AH436" s="308"/>
      <c r="AI436" s="575"/>
      <c r="AJ436" s="308"/>
      <c r="AK436" s="305"/>
      <c r="AL436" s="577"/>
      <c r="AM436" s="306"/>
      <c r="AN436" s="308"/>
      <c r="AO436" s="573"/>
      <c r="AP436" s="305"/>
      <c r="AQ436" s="308"/>
      <c r="AR436" s="573"/>
      <c r="AS436" s="578"/>
      <c r="AT436" s="577"/>
      <c r="AU436" s="579"/>
      <c r="AV436" s="578"/>
      <c r="AW436" s="308"/>
      <c r="AX436" s="307"/>
      <c r="AY436" s="307"/>
      <c r="AZ436" s="307"/>
      <c r="BA436" s="307"/>
      <c r="BB436" s="307"/>
      <c r="BC436" s="305"/>
      <c r="BD436" s="292"/>
      <c r="BE436" s="297"/>
      <c r="BF436" s="297"/>
      <c r="BG436" s="569"/>
      <c r="BH436" s="570"/>
      <c r="BI436" s="570"/>
      <c r="BJ436" s="570"/>
      <c r="BK436" s="570"/>
      <c r="BL436" s="570"/>
      <c r="BM436" s="570"/>
      <c r="BN436" s="570"/>
      <c r="BO436" s="570"/>
      <c r="BP436" s="570"/>
      <c r="BQ436" s="570"/>
      <c r="BR436" s="570"/>
      <c r="BS436" s="570"/>
      <c r="BT436" s="570"/>
      <c r="BU436" s="570"/>
      <c r="BV436" s="570"/>
      <c r="BW436" s="570"/>
      <c r="BX436" s="570"/>
      <c r="BY436" s="570"/>
      <c r="BZ436" s="571"/>
      <c r="CA436" s="571"/>
    </row>
    <row r="437" spans="2:79">
      <c r="B437" s="572">
        <v>422</v>
      </c>
      <c r="C437" s="308"/>
      <c r="D437" s="307"/>
      <c r="E437" s="307"/>
      <c r="F437" s="305"/>
      <c r="G437" s="305"/>
      <c r="H437" s="292"/>
      <c r="I437" s="574"/>
      <c r="J437" s="573"/>
      <c r="K437" s="307"/>
      <c r="L437" s="292"/>
      <c r="M437" s="308"/>
      <c r="N437" s="292"/>
      <c r="O437" s="308"/>
      <c r="P437" s="575"/>
      <c r="Q437" s="576"/>
      <c r="R437" s="308"/>
      <c r="S437" s="575"/>
      <c r="T437" s="576"/>
      <c r="U437" s="308"/>
      <c r="V437" s="575"/>
      <c r="W437" s="576"/>
      <c r="X437" s="308"/>
      <c r="Y437" s="575"/>
      <c r="Z437" s="576"/>
      <c r="AA437" s="308"/>
      <c r="AB437" s="575"/>
      <c r="AC437" s="576"/>
      <c r="AD437" s="308"/>
      <c r="AE437" s="575"/>
      <c r="AF437" s="308"/>
      <c r="AG437" s="575"/>
      <c r="AH437" s="308"/>
      <c r="AI437" s="575"/>
      <c r="AJ437" s="308"/>
      <c r="AK437" s="305"/>
      <c r="AL437" s="577"/>
      <c r="AM437" s="306"/>
      <c r="AN437" s="308"/>
      <c r="AO437" s="573"/>
      <c r="AP437" s="305"/>
      <c r="AQ437" s="308"/>
      <c r="AR437" s="573"/>
      <c r="AS437" s="578"/>
      <c r="AT437" s="577"/>
      <c r="AU437" s="579"/>
      <c r="AV437" s="578"/>
      <c r="AW437" s="308"/>
      <c r="AX437" s="307"/>
      <c r="AY437" s="307"/>
      <c r="AZ437" s="307"/>
      <c r="BA437" s="307"/>
      <c r="BB437" s="307"/>
      <c r="BC437" s="305"/>
      <c r="BD437" s="292"/>
      <c r="BE437" s="297"/>
      <c r="BF437" s="297"/>
      <c r="BG437" s="569"/>
      <c r="BH437" s="570"/>
      <c r="BI437" s="570"/>
      <c r="BJ437" s="570"/>
      <c r="BK437" s="570"/>
      <c r="BL437" s="570"/>
      <c r="BM437" s="570"/>
      <c r="BN437" s="570"/>
      <c r="BO437" s="570"/>
      <c r="BP437" s="570"/>
      <c r="BQ437" s="570"/>
      <c r="BR437" s="570"/>
      <c r="BS437" s="570"/>
      <c r="BT437" s="570"/>
      <c r="BU437" s="570"/>
      <c r="BV437" s="570"/>
      <c r="BW437" s="570"/>
      <c r="BX437" s="570"/>
      <c r="BY437" s="570"/>
      <c r="BZ437" s="571"/>
      <c r="CA437" s="571"/>
    </row>
    <row r="438" spans="2:79">
      <c r="B438" s="566">
        <v>423</v>
      </c>
      <c r="C438" s="308"/>
      <c r="D438" s="307"/>
      <c r="E438" s="307"/>
      <c r="F438" s="305"/>
      <c r="G438" s="305"/>
      <c r="H438" s="292"/>
      <c r="I438" s="574"/>
      <c r="J438" s="573"/>
      <c r="K438" s="307"/>
      <c r="L438" s="292"/>
      <c r="M438" s="308"/>
      <c r="N438" s="292"/>
      <c r="O438" s="308"/>
      <c r="P438" s="575"/>
      <c r="Q438" s="576"/>
      <c r="R438" s="308"/>
      <c r="S438" s="575"/>
      <c r="T438" s="576"/>
      <c r="U438" s="308"/>
      <c r="V438" s="575"/>
      <c r="W438" s="576"/>
      <c r="X438" s="308"/>
      <c r="Y438" s="575"/>
      <c r="Z438" s="576"/>
      <c r="AA438" s="308"/>
      <c r="AB438" s="575"/>
      <c r="AC438" s="576"/>
      <c r="AD438" s="308"/>
      <c r="AE438" s="575"/>
      <c r="AF438" s="308"/>
      <c r="AG438" s="575"/>
      <c r="AH438" s="308"/>
      <c r="AI438" s="575"/>
      <c r="AJ438" s="308"/>
      <c r="AK438" s="305"/>
      <c r="AL438" s="577"/>
      <c r="AM438" s="306"/>
      <c r="AN438" s="308"/>
      <c r="AO438" s="573"/>
      <c r="AP438" s="305"/>
      <c r="AQ438" s="308"/>
      <c r="AR438" s="573"/>
      <c r="AS438" s="578"/>
      <c r="AT438" s="577"/>
      <c r="AU438" s="579"/>
      <c r="AV438" s="578"/>
      <c r="AW438" s="308"/>
      <c r="AX438" s="307"/>
      <c r="AY438" s="307"/>
      <c r="AZ438" s="307"/>
      <c r="BA438" s="307"/>
      <c r="BB438" s="307"/>
      <c r="BC438" s="305"/>
      <c r="BD438" s="292"/>
      <c r="BE438" s="297"/>
      <c r="BF438" s="297"/>
      <c r="BG438" s="569"/>
      <c r="BH438" s="570"/>
      <c r="BI438" s="570"/>
      <c r="BJ438" s="570"/>
      <c r="BK438" s="570"/>
      <c r="BL438" s="570"/>
      <c r="BM438" s="570"/>
      <c r="BN438" s="570"/>
      <c r="BO438" s="570"/>
      <c r="BP438" s="570"/>
      <c r="BQ438" s="570"/>
      <c r="BR438" s="570"/>
      <c r="BS438" s="570"/>
      <c r="BT438" s="570"/>
      <c r="BU438" s="570"/>
      <c r="BV438" s="570"/>
      <c r="BW438" s="570"/>
      <c r="BX438" s="570"/>
      <c r="BY438" s="570"/>
      <c r="BZ438" s="571"/>
      <c r="CA438" s="571"/>
    </row>
    <row r="439" spans="2:79">
      <c r="B439" s="572">
        <v>424</v>
      </c>
      <c r="C439" s="308"/>
      <c r="D439" s="307"/>
      <c r="E439" s="307"/>
      <c r="F439" s="305"/>
      <c r="G439" s="305"/>
      <c r="H439" s="292"/>
      <c r="I439" s="574"/>
      <c r="J439" s="573"/>
      <c r="K439" s="307"/>
      <c r="L439" s="292"/>
      <c r="M439" s="308"/>
      <c r="N439" s="292"/>
      <c r="O439" s="308"/>
      <c r="P439" s="575"/>
      <c r="Q439" s="576"/>
      <c r="R439" s="308"/>
      <c r="S439" s="575"/>
      <c r="T439" s="576"/>
      <c r="U439" s="308"/>
      <c r="V439" s="575"/>
      <c r="W439" s="576"/>
      <c r="X439" s="308"/>
      <c r="Y439" s="575"/>
      <c r="Z439" s="576"/>
      <c r="AA439" s="308"/>
      <c r="AB439" s="575"/>
      <c r="AC439" s="576"/>
      <c r="AD439" s="308"/>
      <c r="AE439" s="575"/>
      <c r="AF439" s="308"/>
      <c r="AG439" s="575"/>
      <c r="AH439" s="308"/>
      <c r="AI439" s="575"/>
      <c r="AJ439" s="308"/>
      <c r="AK439" s="305"/>
      <c r="AL439" s="577"/>
      <c r="AM439" s="306"/>
      <c r="AN439" s="308"/>
      <c r="AO439" s="573"/>
      <c r="AP439" s="305"/>
      <c r="AQ439" s="308"/>
      <c r="AR439" s="573"/>
      <c r="AS439" s="578"/>
      <c r="AT439" s="577"/>
      <c r="AU439" s="579"/>
      <c r="AV439" s="578"/>
      <c r="AW439" s="308"/>
      <c r="AX439" s="307"/>
      <c r="AY439" s="307"/>
      <c r="AZ439" s="307"/>
      <c r="BA439" s="307"/>
      <c r="BB439" s="307"/>
      <c r="BC439" s="305"/>
      <c r="BD439" s="292"/>
      <c r="BE439" s="297"/>
      <c r="BF439" s="297"/>
      <c r="BG439" s="569"/>
      <c r="BH439" s="570"/>
      <c r="BI439" s="570"/>
      <c r="BJ439" s="570"/>
      <c r="BK439" s="570"/>
      <c r="BL439" s="570"/>
      <c r="BM439" s="570"/>
      <c r="BN439" s="570"/>
      <c r="BO439" s="570"/>
      <c r="BP439" s="570"/>
      <c r="BQ439" s="570"/>
      <c r="BR439" s="570"/>
      <c r="BS439" s="570"/>
      <c r="BT439" s="570"/>
      <c r="BU439" s="570"/>
      <c r="BV439" s="570"/>
      <c r="BW439" s="570"/>
      <c r="BX439" s="570"/>
      <c r="BY439" s="570"/>
      <c r="BZ439" s="571"/>
      <c r="CA439" s="571"/>
    </row>
    <row r="440" spans="2:79">
      <c r="B440" s="566">
        <v>425</v>
      </c>
      <c r="C440" s="308"/>
      <c r="D440" s="307"/>
      <c r="E440" s="307"/>
      <c r="F440" s="305"/>
      <c r="G440" s="305"/>
      <c r="H440" s="292"/>
      <c r="I440" s="574"/>
      <c r="J440" s="573"/>
      <c r="K440" s="307"/>
      <c r="L440" s="292"/>
      <c r="M440" s="308"/>
      <c r="N440" s="292"/>
      <c r="O440" s="308"/>
      <c r="P440" s="575"/>
      <c r="Q440" s="576"/>
      <c r="R440" s="308"/>
      <c r="S440" s="575"/>
      <c r="T440" s="576"/>
      <c r="U440" s="308"/>
      <c r="V440" s="575"/>
      <c r="W440" s="576"/>
      <c r="X440" s="308"/>
      <c r="Y440" s="575"/>
      <c r="Z440" s="576"/>
      <c r="AA440" s="308"/>
      <c r="AB440" s="575"/>
      <c r="AC440" s="576"/>
      <c r="AD440" s="308"/>
      <c r="AE440" s="575"/>
      <c r="AF440" s="308"/>
      <c r="AG440" s="575"/>
      <c r="AH440" s="308"/>
      <c r="AI440" s="575"/>
      <c r="AJ440" s="308"/>
      <c r="AK440" s="305"/>
      <c r="AL440" s="577"/>
      <c r="AM440" s="306"/>
      <c r="AN440" s="308"/>
      <c r="AO440" s="573"/>
      <c r="AP440" s="305"/>
      <c r="AQ440" s="308"/>
      <c r="AR440" s="573"/>
      <c r="AS440" s="578"/>
      <c r="AT440" s="577"/>
      <c r="AU440" s="579"/>
      <c r="AV440" s="578"/>
      <c r="AW440" s="308"/>
      <c r="AX440" s="307"/>
      <c r="AY440" s="307"/>
      <c r="AZ440" s="307"/>
      <c r="BA440" s="307"/>
      <c r="BB440" s="307"/>
      <c r="BC440" s="305"/>
      <c r="BD440" s="292"/>
      <c r="BE440" s="297"/>
      <c r="BF440" s="297"/>
      <c r="BG440" s="569"/>
      <c r="BH440" s="570"/>
      <c r="BI440" s="570"/>
      <c r="BJ440" s="570"/>
      <c r="BK440" s="570"/>
      <c r="BL440" s="570"/>
      <c r="BM440" s="570"/>
      <c r="BN440" s="570"/>
      <c r="BO440" s="570"/>
      <c r="BP440" s="570"/>
      <c r="BQ440" s="570"/>
      <c r="BR440" s="570"/>
      <c r="BS440" s="570"/>
      <c r="BT440" s="570"/>
      <c r="BU440" s="570"/>
      <c r="BV440" s="570"/>
      <c r="BW440" s="570"/>
      <c r="BX440" s="570"/>
      <c r="BY440" s="570"/>
      <c r="BZ440" s="571"/>
      <c r="CA440" s="571"/>
    </row>
    <row r="441" spans="2:79">
      <c r="B441" s="572">
        <v>426</v>
      </c>
      <c r="C441" s="308"/>
      <c r="D441" s="307"/>
      <c r="E441" s="307"/>
      <c r="F441" s="305"/>
      <c r="G441" s="305"/>
      <c r="H441" s="292"/>
      <c r="I441" s="574"/>
      <c r="J441" s="573"/>
      <c r="K441" s="307"/>
      <c r="L441" s="292"/>
      <c r="M441" s="308"/>
      <c r="N441" s="292"/>
      <c r="O441" s="308"/>
      <c r="P441" s="575"/>
      <c r="Q441" s="576"/>
      <c r="R441" s="308"/>
      <c r="S441" s="575"/>
      <c r="T441" s="576"/>
      <c r="U441" s="308"/>
      <c r="V441" s="575"/>
      <c r="W441" s="576"/>
      <c r="X441" s="308"/>
      <c r="Y441" s="575"/>
      <c r="Z441" s="576"/>
      <c r="AA441" s="308"/>
      <c r="AB441" s="575"/>
      <c r="AC441" s="576"/>
      <c r="AD441" s="308"/>
      <c r="AE441" s="575"/>
      <c r="AF441" s="308"/>
      <c r="AG441" s="575"/>
      <c r="AH441" s="308"/>
      <c r="AI441" s="575"/>
      <c r="AJ441" s="308"/>
      <c r="AK441" s="305"/>
      <c r="AL441" s="577"/>
      <c r="AM441" s="306"/>
      <c r="AN441" s="308"/>
      <c r="AO441" s="573"/>
      <c r="AP441" s="305"/>
      <c r="AQ441" s="308"/>
      <c r="AR441" s="573"/>
      <c r="AS441" s="578"/>
      <c r="AT441" s="577"/>
      <c r="AU441" s="579"/>
      <c r="AV441" s="578"/>
      <c r="AW441" s="308"/>
      <c r="AX441" s="307"/>
      <c r="AY441" s="307"/>
      <c r="AZ441" s="307"/>
      <c r="BA441" s="307"/>
      <c r="BB441" s="307"/>
      <c r="BC441" s="305"/>
      <c r="BD441" s="292"/>
      <c r="BE441" s="297"/>
      <c r="BF441" s="297"/>
      <c r="BG441" s="569"/>
      <c r="BH441" s="570"/>
      <c r="BI441" s="570"/>
      <c r="BJ441" s="570"/>
      <c r="BK441" s="570"/>
      <c r="BL441" s="570"/>
      <c r="BM441" s="570"/>
      <c r="BN441" s="570"/>
      <c r="BO441" s="570"/>
      <c r="BP441" s="570"/>
      <c r="BQ441" s="570"/>
      <c r="BR441" s="570"/>
      <c r="BS441" s="570"/>
      <c r="BT441" s="570"/>
      <c r="BU441" s="570"/>
      <c r="BV441" s="570"/>
      <c r="BW441" s="570"/>
      <c r="BX441" s="570"/>
      <c r="BY441" s="570"/>
      <c r="BZ441" s="571"/>
      <c r="CA441" s="571"/>
    </row>
    <row r="442" spans="2:79">
      <c r="B442" s="566">
        <v>427</v>
      </c>
      <c r="C442" s="308"/>
      <c r="D442" s="307"/>
      <c r="E442" s="307"/>
      <c r="F442" s="305"/>
      <c r="G442" s="305"/>
      <c r="H442" s="292"/>
      <c r="I442" s="574"/>
      <c r="J442" s="573"/>
      <c r="K442" s="307"/>
      <c r="L442" s="292"/>
      <c r="M442" s="308"/>
      <c r="N442" s="292"/>
      <c r="O442" s="308"/>
      <c r="P442" s="575"/>
      <c r="Q442" s="576"/>
      <c r="R442" s="308"/>
      <c r="S442" s="575"/>
      <c r="T442" s="576"/>
      <c r="U442" s="308"/>
      <c r="V442" s="575"/>
      <c r="W442" s="576"/>
      <c r="X442" s="308"/>
      <c r="Y442" s="575"/>
      <c r="Z442" s="576"/>
      <c r="AA442" s="308"/>
      <c r="AB442" s="575"/>
      <c r="AC442" s="576"/>
      <c r="AD442" s="308"/>
      <c r="AE442" s="575"/>
      <c r="AF442" s="308"/>
      <c r="AG442" s="575"/>
      <c r="AH442" s="308"/>
      <c r="AI442" s="575"/>
      <c r="AJ442" s="308"/>
      <c r="AK442" s="305"/>
      <c r="AL442" s="577"/>
      <c r="AM442" s="306"/>
      <c r="AN442" s="308"/>
      <c r="AO442" s="573"/>
      <c r="AP442" s="305"/>
      <c r="AQ442" s="308"/>
      <c r="AR442" s="573"/>
      <c r="AS442" s="578"/>
      <c r="AT442" s="577"/>
      <c r="AU442" s="579"/>
      <c r="AV442" s="578"/>
      <c r="AW442" s="308"/>
      <c r="AX442" s="307"/>
      <c r="AY442" s="307"/>
      <c r="AZ442" s="307"/>
      <c r="BA442" s="307"/>
      <c r="BB442" s="307"/>
      <c r="BC442" s="305"/>
      <c r="BD442" s="292"/>
      <c r="BE442" s="297"/>
      <c r="BF442" s="297"/>
      <c r="BG442" s="569"/>
      <c r="BH442" s="570"/>
      <c r="BI442" s="570"/>
      <c r="BJ442" s="570"/>
      <c r="BK442" s="570"/>
      <c r="BL442" s="570"/>
      <c r="BM442" s="570"/>
      <c r="BN442" s="570"/>
      <c r="BO442" s="570"/>
      <c r="BP442" s="570"/>
      <c r="BQ442" s="570"/>
      <c r="BR442" s="570"/>
      <c r="BS442" s="570"/>
      <c r="BT442" s="570"/>
      <c r="BU442" s="570"/>
      <c r="BV442" s="570"/>
      <c r="BW442" s="570"/>
      <c r="BX442" s="570"/>
      <c r="BY442" s="570"/>
      <c r="BZ442" s="571"/>
      <c r="CA442" s="571"/>
    </row>
    <row r="443" spans="2:79">
      <c r="B443" s="572">
        <v>428</v>
      </c>
      <c r="C443" s="308"/>
      <c r="D443" s="307"/>
      <c r="E443" s="307"/>
      <c r="F443" s="305"/>
      <c r="G443" s="305"/>
      <c r="H443" s="292"/>
      <c r="I443" s="574"/>
      <c r="J443" s="573"/>
      <c r="K443" s="307"/>
      <c r="L443" s="292"/>
      <c r="M443" s="308"/>
      <c r="N443" s="292"/>
      <c r="O443" s="308"/>
      <c r="P443" s="575"/>
      <c r="Q443" s="576"/>
      <c r="R443" s="308"/>
      <c r="S443" s="575"/>
      <c r="T443" s="576"/>
      <c r="U443" s="308"/>
      <c r="V443" s="575"/>
      <c r="W443" s="576"/>
      <c r="X443" s="308"/>
      <c r="Y443" s="575"/>
      <c r="Z443" s="576"/>
      <c r="AA443" s="308"/>
      <c r="AB443" s="575"/>
      <c r="AC443" s="576"/>
      <c r="AD443" s="308"/>
      <c r="AE443" s="575"/>
      <c r="AF443" s="308"/>
      <c r="AG443" s="575"/>
      <c r="AH443" s="308"/>
      <c r="AI443" s="575"/>
      <c r="AJ443" s="308"/>
      <c r="AK443" s="305"/>
      <c r="AL443" s="577"/>
      <c r="AM443" s="306"/>
      <c r="AN443" s="308"/>
      <c r="AO443" s="573"/>
      <c r="AP443" s="305"/>
      <c r="AQ443" s="308"/>
      <c r="AR443" s="573"/>
      <c r="AS443" s="578"/>
      <c r="AT443" s="577"/>
      <c r="AU443" s="579"/>
      <c r="AV443" s="578"/>
      <c r="AW443" s="308"/>
      <c r="AX443" s="307"/>
      <c r="AY443" s="307"/>
      <c r="AZ443" s="307"/>
      <c r="BA443" s="307"/>
      <c r="BB443" s="307"/>
      <c r="BC443" s="305"/>
      <c r="BD443" s="292"/>
      <c r="BE443" s="297"/>
      <c r="BF443" s="297"/>
      <c r="BG443" s="569"/>
      <c r="BH443" s="570"/>
      <c r="BI443" s="570"/>
      <c r="BJ443" s="570"/>
      <c r="BK443" s="570"/>
      <c r="BL443" s="570"/>
      <c r="BM443" s="570"/>
      <c r="BN443" s="570"/>
      <c r="BO443" s="570"/>
      <c r="BP443" s="570"/>
      <c r="BQ443" s="570"/>
      <c r="BR443" s="570"/>
      <c r="BS443" s="570"/>
      <c r="BT443" s="570"/>
      <c r="BU443" s="570"/>
      <c r="BV443" s="570"/>
      <c r="BW443" s="570"/>
      <c r="BX443" s="570"/>
      <c r="BY443" s="570"/>
      <c r="BZ443" s="571"/>
      <c r="CA443" s="571"/>
    </row>
    <row r="444" spans="2:79">
      <c r="B444" s="566">
        <v>429</v>
      </c>
      <c r="C444" s="308"/>
      <c r="D444" s="307"/>
      <c r="E444" s="307"/>
      <c r="F444" s="305"/>
      <c r="G444" s="305"/>
      <c r="H444" s="292"/>
      <c r="I444" s="574"/>
      <c r="J444" s="573"/>
      <c r="K444" s="307"/>
      <c r="L444" s="292"/>
      <c r="M444" s="308"/>
      <c r="N444" s="292"/>
      <c r="O444" s="308"/>
      <c r="P444" s="575"/>
      <c r="Q444" s="576"/>
      <c r="R444" s="308"/>
      <c r="S444" s="575"/>
      <c r="T444" s="576"/>
      <c r="U444" s="308"/>
      <c r="V444" s="575"/>
      <c r="W444" s="576"/>
      <c r="X444" s="308"/>
      <c r="Y444" s="575"/>
      <c r="Z444" s="576"/>
      <c r="AA444" s="308"/>
      <c r="AB444" s="575"/>
      <c r="AC444" s="576"/>
      <c r="AD444" s="308"/>
      <c r="AE444" s="575"/>
      <c r="AF444" s="308"/>
      <c r="AG444" s="575"/>
      <c r="AH444" s="308"/>
      <c r="AI444" s="575"/>
      <c r="AJ444" s="308"/>
      <c r="AK444" s="305"/>
      <c r="AL444" s="577"/>
      <c r="AM444" s="306"/>
      <c r="AN444" s="308"/>
      <c r="AO444" s="573"/>
      <c r="AP444" s="305"/>
      <c r="AQ444" s="308"/>
      <c r="AR444" s="573"/>
      <c r="AS444" s="578"/>
      <c r="AT444" s="577"/>
      <c r="AU444" s="579"/>
      <c r="AV444" s="578"/>
      <c r="AW444" s="308"/>
      <c r="AX444" s="307"/>
      <c r="AY444" s="307"/>
      <c r="AZ444" s="307"/>
      <c r="BA444" s="307"/>
      <c r="BB444" s="307"/>
      <c r="BC444" s="305"/>
      <c r="BD444" s="292"/>
      <c r="BE444" s="297"/>
      <c r="BF444" s="297"/>
      <c r="BG444" s="569"/>
      <c r="BH444" s="570"/>
      <c r="BI444" s="570"/>
      <c r="BJ444" s="570"/>
      <c r="BK444" s="570"/>
      <c r="BL444" s="570"/>
      <c r="BM444" s="570"/>
      <c r="BN444" s="570"/>
      <c r="BO444" s="570"/>
      <c r="BP444" s="570"/>
      <c r="BQ444" s="570"/>
      <c r="BR444" s="570"/>
      <c r="BS444" s="570"/>
      <c r="BT444" s="570"/>
      <c r="BU444" s="570"/>
      <c r="BV444" s="570"/>
      <c r="BW444" s="570"/>
      <c r="BX444" s="570"/>
      <c r="BY444" s="570"/>
      <c r="BZ444" s="571"/>
      <c r="CA444" s="571"/>
    </row>
    <row r="445" spans="2:79">
      <c r="B445" s="572">
        <v>430</v>
      </c>
      <c r="C445" s="308"/>
      <c r="D445" s="307"/>
      <c r="E445" s="307"/>
      <c r="F445" s="305"/>
      <c r="G445" s="305"/>
      <c r="H445" s="292"/>
      <c r="I445" s="574"/>
      <c r="J445" s="573"/>
      <c r="K445" s="307"/>
      <c r="L445" s="292"/>
      <c r="M445" s="308"/>
      <c r="N445" s="292"/>
      <c r="O445" s="308"/>
      <c r="P445" s="575"/>
      <c r="Q445" s="576"/>
      <c r="R445" s="308"/>
      <c r="S445" s="575"/>
      <c r="T445" s="576"/>
      <c r="U445" s="308"/>
      <c r="V445" s="575"/>
      <c r="W445" s="576"/>
      <c r="X445" s="308"/>
      <c r="Y445" s="575"/>
      <c r="Z445" s="576"/>
      <c r="AA445" s="308"/>
      <c r="AB445" s="575"/>
      <c r="AC445" s="576"/>
      <c r="AD445" s="308"/>
      <c r="AE445" s="575"/>
      <c r="AF445" s="308"/>
      <c r="AG445" s="575"/>
      <c r="AH445" s="308"/>
      <c r="AI445" s="575"/>
      <c r="AJ445" s="308"/>
      <c r="AK445" s="305"/>
      <c r="AL445" s="577"/>
      <c r="AM445" s="306"/>
      <c r="AN445" s="308"/>
      <c r="AO445" s="573"/>
      <c r="AP445" s="305"/>
      <c r="AQ445" s="308"/>
      <c r="AR445" s="573"/>
      <c r="AS445" s="578"/>
      <c r="AT445" s="577"/>
      <c r="AU445" s="579"/>
      <c r="AV445" s="578"/>
      <c r="AW445" s="308"/>
      <c r="AX445" s="307"/>
      <c r="AY445" s="307"/>
      <c r="AZ445" s="307"/>
      <c r="BA445" s="307"/>
      <c r="BB445" s="307"/>
      <c r="BC445" s="305"/>
      <c r="BD445" s="292"/>
      <c r="BE445" s="297"/>
      <c r="BF445" s="297"/>
      <c r="BG445" s="569"/>
      <c r="BH445" s="570"/>
      <c r="BI445" s="570"/>
      <c r="BJ445" s="570"/>
      <c r="BK445" s="570"/>
      <c r="BL445" s="570"/>
      <c r="BM445" s="570"/>
      <c r="BN445" s="570"/>
      <c r="BO445" s="570"/>
      <c r="BP445" s="570"/>
      <c r="BQ445" s="570"/>
      <c r="BR445" s="570"/>
      <c r="BS445" s="570"/>
      <c r="BT445" s="570"/>
      <c r="BU445" s="570"/>
      <c r="BV445" s="570"/>
      <c r="BW445" s="570"/>
      <c r="BX445" s="570"/>
      <c r="BY445" s="570"/>
      <c r="BZ445" s="571"/>
      <c r="CA445" s="571"/>
    </row>
    <row r="446" spans="2:79">
      <c r="B446" s="566">
        <v>431</v>
      </c>
      <c r="C446" s="308"/>
      <c r="D446" s="307"/>
      <c r="E446" s="307"/>
      <c r="F446" s="305"/>
      <c r="G446" s="305"/>
      <c r="H446" s="292"/>
      <c r="I446" s="574"/>
      <c r="J446" s="573"/>
      <c r="K446" s="307"/>
      <c r="L446" s="292"/>
      <c r="M446" s="308"/>
      <c r="N446" s="292"/>
      <c r="O446" s="308"/>
      <c r="P446" s="575"/>
      <c r="Q446" s="576"/>
      <c r="R446" s="308"/>
      <c r="S446" s="575"/>
      <c r="T446" s="576"/>
      <c r="U446" s="308"/>
      <c r="V446" s="575"/>
      <c r="W446" s="576"/>
      <c r="X446" s="308"/>
      <c r="Y446" s="575"/>
      <c r="Z446" s="576"/>
      <c r="AA446" s="308"/>
      <c r="AB446" s="575"/>
      <c r="AC446" s="576"/>
      <c r="AD446" s="308"/>
      <c r="AE446" s="575"/>
      <c r="AF446" s="308"/>
      <c r="AG446" s="575"/>
      <c r="AH446" s="308"/>
      <c r="AI446" s="575"/>
      <c r="AJ446" s="308"/>
      <c r="AK446" s="305"/>
      <c r="AL446" s="577"/>
      <c r="AM446" s="306"/>
      <c r="AN446" s="308"/>
      <c r="AO446" s="573"/>
      <c r="AP446" s="305"/>
      <c r="AQ446" s="308"/>
      <c r="AR446" s="573"/>
      <c r="AS446" s="578"/>
      <c r="AT446" s="577"/>
      <c r="AU446" s="579"/>
      <c r="AV446" s="578"/>
      <c r="AW446" s="308"/>
      <c r="AX446" s="307"/>
      <c r="AY446" s="307"/>
      <c r="AZ446" s="307"/>
      <c r="BA446" s="307"/>
      <c r="BB446" s="307"/>
      <c r="BC446" s="305"/>
      <c r="BD446" s="292"/>
      <c r="BE446" s="297"/>
      <c r="BF446" s="297"/>
      <c r="BG446" s="569"/>
      <c r="BH446" s="570"/>
      <c r="BI446" s="570"/>
      <c r="BJ446" s="570"/>
      <c r="BK446" s="570"/>
      <c r="BL446" s="570"/>
      <c r="BM446" s="570"/>
      <c r="BN446" s="570"/>
      <c r="BO446" s="570"/>
      <c r="BP446" s="570"/>
      <c r="BQ446" s="570"/>
      <c r="BR446" s="570"/>
      <c r="BS446" s="570"/>
      <c r="BT446" s="570"/>
      <c r="BU446" s="570"/>
      <c r="BV446" s="570"/>
      <c r="BW446" s="570"/>
      <c r="BX446" s="570"/>
      <c r="BY446" s="570"/>
      <c r="BZ446" s="571"/>
      <c r="CA446" s="571"/>
    </row>
    <row r="447" spans="2:79">
      <c r="B447" s="572">
        <v>432</v>
      </c>
      <c r="C447" s="308"/>
      <c r="D447" s="307"/>
      <c r="E447" s="307"/>
      <c r="F447" s="305"/>
      <c r="G447" s="305"/>
      <c r="H447" s="292"/>
      <c r="I447" s="574"/>
      <c r="J447" s="573"/>
      <c r="K447" s="307"/>
      <c r="L447" s="292"/>
      <c r="M447" s="308"/>
      <c r="N447" s="292"/>
      <c r="O447" s="308"/>
      <c r="P447" s="575"/>
      <c r="Q447" s="576"/>
      <c r="R447" s="308"/>
      <c r="S447" s="575"/>
      <c r="T447" s="576"/>
      <c r="U447" s="308"/>
      <c r="V447" s="575"/>
      <c r="W447" s="576"/>
      <c r="X447" s="308"/>
      <c r="Y447" s="575"/>
      <c r="Z447" s="576"/>
      <c r="AA447" s="308"/>
      <c r="AB447" s="575"/>
      <c r="AC447" s="576"/>
      <c r="AD447" s="308"/>
      <c r="AE447" s="575"/>
      <c r="AF447" s="308"/>
      <c r="AG447" s="575"/>
      <c r="AH447" s="308"/>
      <c r="AI447" s="575"/>
      <c r="AJ447" s="308"/>
      <c r="AK447" s="305"/>
      <c r="AL447" s="577"/>
      <c r="AM447" s="306"/>
      <c r="AN447" s="308"/>
      <c r="AO447" s="573"/>
      <c r="AP447" s="305"/>
      <c r="AQ447" s="308"/>
      <c r="AR447" s="573"/>
      <c r="AS447" s="578"/>
      <c r="AT447" s="577"/>
      <c r="AU447" s="579"/>
      <c r="AV447" s="578"/>
      <c r="AW447" s="308"/>
      <c r="AX447" s="307"/>
      <c r="AY447" s="307"/>
      <c r="AZ447" s="307"/>
      <c r="BA447" s="307"/>
      <c r="BB447" s="307"/>
      <c r="BC447" s="305"/>
      <c r="BD447" s="292"/>
      <c r="BE447" s="297"/>
      <c r="BF447" s="297"/>
      <c r="BG447" s="569"/>
      <c r="BH447" s="570"/>
      <c r="BI447" s="570"/>
      <c r="BJ447" s="570"/>
      <c r="BK447" s="570"/>
      <c r="BL447" s="570"/>
      <c r="BM447" s="570"/>
      <c r="BN447" s="570"/>
      <c r="BO447" s="570"/>
      <c r="BP447" s="570"/>
      <c r="BQ447" s="570"/>
      <c r="BR447" s="570"/>
      <c r="BS447" s="570"/>
      <c r="BT447" s="570"/>
      <c r="BU447" s="570"/>
      <c r="BV447" s="570"/>
      <c r="BW447" s="570"/>
      <c r="BX447" s="570"/>
      <c r="BY447" s="570"/>
      <c r="BZ447" s="571"/>
      <c r="CA447" s="571"/>
    </row>
    <row r="448" spans="2:79">
      <c r="B448" s="566">
        <v>433</v>
      </c>
      <c r="C448" s="308"/>
      <c r="D448" s="307"/>
      <c r="E448" s="307"/>
      <c r="F448" s="305"/>
      <c r="G448" s="305"/>
      <c r="H448" s="292"/>
      <c r="I448" s="574"/>
      <c r="J448" s="573"/>
      <c r="K448" s="307"/>
      <c r="L448" s="292"/>
      <c r="M448" s="308"/>
      <c r="N448" s="292"/>
      <c r="O448" s="308"/>
      <c r="P448" s="575"/>
      <c r="Q448" s="576"/>
      <c r="R448" s="308"/>
      <c r="S448" s="575"/>
      <c r="T448" s="576"/>
      <c r="U448" s="308"/>
      <c r="V448" s="575"/>
      <c r="W448" s="576"/>
      <c r="X448" s="308"/>
      <c r="Y448" s="575"/>
      <c r="Z448" s="576"/>
      <c r="AA448" s="308"/>
      <c r="AB448" s="575"/>
      <c r="AC448" s="576"/>
      <c r="AD448" s="308"/>
      <c r="AE448" s="575"/>
      <c r="AF448" s="308"/>
      <c r="AG448" s="575"/>
      <c r="AH448" s="308"/>
      <c r="AI448" s="575"/>
      <c r="AJ448" s="308"/>
      <c r="AK448" s="305"/>
      <c r="AL448" s="577"/>
      <c r="AM448" s="306"/>
      <c r="AN448" s="308"/>
      <c r="AO448" s="573"/>
      <c r="AP448" s="305"/>
      <c r="AQ448" s="308"/>
      <c r="AR448" s="573"/>
      <c r="AS448" s="578"/>
      <c r="AT448" s="577"/>
      <c r="AU448" s="579"/>
      <c r="AV448" s="578"/>
      <c r="AW448" s="308"/>
      <c r="AX448" s="307"/>
      <c r="AY448" s="307"/>
      <c r="AZ448" s="307"/>
      <c r="BA448" s="307"/>
      <c r="BB448" s="307"/>
      <c r="BC448" s="305"/>
      <c r="BD448" s="292"/>
      <c r="BE448" s="297"/>
      <c r="BF448" s="297"/>
      <c r="BG448" s="569"/>
      <c r="BH448" s="570"/>
      <c r="BI448" s="570"/>
      <c r="BJ448" s="570"/>
      <c r="BK448" s="570"/>
      <c r="BL448" s="570"/>
      <c r="BM448" s="570"/>
      <c r="BN448" s="570"/>
      <c r="BO448" s="570"/>
      <c r="BP448" s="570"/>
      <c r="BQ448" s="570"/>
      <c r="BR448" s="570"/>
      <c r="BS448" s="570"/>
      <c r="BT448" s="570"/>
      <c r="BU448" s="570"/>
      <c r="BV448" s="570"/>
      <c r="BW448" s="570"/>
      <c r="BX448" s="570"/>
      <c r="BY448" s="570"/>
      <c r="BZ448" s="571"/>
      <c r="CA448" s="571"/>
    </row>
    <row r="449" spans="2:79">
      <c r="B449" s="572">
        <v>434</v>
      </c>
      <c r="C449" s="308"/>
      <c r="D449" s="307"/>
      <c r="E449" s="307"/>
      <c r="F449" s="305"/>
      <c r="G449" s="305"/>
      <c r="H449" s="292"/>
      <c r="I449" s="574"/>
      <c r="J449" s="573"/>
      <c r="K449" s="307"/>
      <c r="L449" s="292"/>
      <c r="M449" s="308"/>
      <c r="N449" s="292"/>
      <c r="O449" s="308"/>
      <c r="P449" s="575"/>
      <c r="Q449" s="576"/>
      <c r="R449" s="308"/>
      <c r="S449" s="575"/>
      <c r="T449" s="576"/>
      <c r="U449" s="308"/>
      <c r="V449" s="575"/>
      <c r="W449" s="576"/>
      <c r="X449" s="308"/>
      <c r="Y449" s="575"/>
      <c r="Z449" s="576"/>
      <c r="AA449" s="308"/>
      <c r="AB449" s="575"/>
      <c r="AC449" s="576"/>
      <c r="AD449" s="308"/>
      <c r="AE449" s="575"/>
      <c r="AF449" s="308"/>
      <c r="AG449" s="575"/>
      <c r="AH449" s="308"/>
      <c r="AI449" s="575"/>
      <c r="AJ449" s="308"/>
      <c r="AK449" s="305"/>
      <c r="AL449" s="577"/>
      <c r="AM449" s="306"/>
      <c r="AN449" s="308"/>
      <c r="AO449" s="573"/>
      <c r="AP449" s="305"/>
      <c r="AQ449" s="308"/>
      <c r="AR449" s="573"/>
      <c r="AS449" s="578"/>
      <c r="AT449" s="577"/>
      <c r="AU449" s="579"/>
      <c r="AV449" s="578"/>
      <c r="AW449" s="308"/>
      <c r="AX449" s="307"/>
      <c r="AY449" s="307"/>
      <c r="AZ449" s="307"/>
      <c r="BA449" s="307"/>
      <c r="BB449" s="307"/>
      <c r="BC449" s="305"/>
      <c r="BD449" s="292"/>
      <c r="BE449" s="297"/>
      <c r="BF449" s="297"/>
      <c r="BG449" s="569"/>
      <c r="BH449" s="570"/>
      <c r="BI449" s="570"/>
      <c r="BJ449" s="570"/>
      <c r="BK449" s="570"/>
      <c r="BL449" s="570"/>
      <c r="BM449" s="570"/>
      <c r="BN449" s="570"/>
      <c r="BO449" s="570"/>
      <c r="BP449" s="570"/>
      <c r="BQ449" s="570"/>
      <c r="BR449" s="570"/>
      <c r="BS449" s="570"/>
      <c r="BT449" s="570"/>
      <c r="BU449" s="570"/>
      <c r="BV449" s="570"/>
      <c r="BW449" s="570"/>
      <c r="BX449" s="570"/>
      <c r="BY449" s="570"/>
      <c r="BZ449" s="571"/>
      <c r="CA449" s="571"/>
    </row>
    <row r="450" spans="2:79">
      <c r="B450" s="566">
        <v>435</v>
      </c>
      <c r="C450" s="308"/>
      <c r="D450" s="307"/>
      <c r="E450" s="307"/>
      <c r="F450" s="305"/>
      <c r="G450" s="305"/>
      <c r="H450" s="292"/>
      <c r="I450" s="574"/>
      <c r="J450" s="573"/>
      <c r="K450" s="307"/>
      <c r="L450" s="292"/>
      <c r="M450" s="308"/>
      <c r="N450" s="292"/>
      <c r="O450" s="308"/>
      <c r="P450" s="575"/>
      <c r="Q450" s="576"/>
      <c r="R450" s="308"/>
      <c r="S450" s="575"/>
      <c r="T450" s="576"/>
      <c r="U450" s="308"/>
      <c r="V450" s="575"/>
      <c r="W450" s="576"/>
      <c r="X450" s="308"/>
      <c r="Y450" s="575"/>
      <c r="Z450" s="576"/>
      <c r="AA450" s="308"/>
      <c r="AB450" s="575"/>
      <c r="AC450" s="576"/>
      <c r="AD450" s="308"/>
      <c r="AE450" s="575"/>
      <c r="AF450" s="308"/>
      <c r="AG450" s="575"/>
      <c r="AH450" s="308"/>
      <c r="AI450" s="575"/>
      <c r="AJ450" s="308"/>
      <c r="AK450" s="305"/>
      <c r="AL450" s="577"/>
      <c r="AM450" s="306"/>
      <c r="AN450" s="308"/>
      <c r="AO450" s="573"/>
      <c r="AP450" s="305"/>
      <c r="AQ450" s="308"/>
      <c r="AR450" s="573"/>
      <c r="AS450" s="578"/>
      <c r="AT450" s="577"/>
      <c r="AU450" s="579"/>
      <c r="AV450" s="578"/>
      <c r="AW450" s="308"/>
      <c r="AX450" s="307"/>
      <c r="AY450" s="307"/>
      <c r="AZ450" s="307"/>
      <c r="BA450" s="307"/>
      <c r="BB450" s="307"/>
      <c r="BC450" s="305"/>
      <c r="BD450" s="292"/>
      <c r="BE450" s="297"/>
      <c r="BF450" s="297"/>
      <c r="BG450" s="569"/>
      <c r="BH450" s="570"/>
      <c r="BI450" s="570"/>
      <c r="BJ450" s="570"/>
      <c r="BK450" s="570"/>
      <c r="BL450" s="570"/>
      <c r="BM450" s="570"/>
      <c r="BN450" s="570"/>
      <c r="BO450" s="570"/>
      <c r="BP450" s="570"/>
      <c r="BQ450" s="570"/>
      <c r="BR450" s="570"/>
      <c r="BS450" s="570"/>
      <c r="BT450" s="570"/>
      <c r="BU450" s="570"/>
      <c r="BV450" s="570"/>
      <c r="BW450" s="570"/>
      <c r="BX450" s="570"/>
      <c r="BY450" s="570"/>
      <c r="BZ450" s="571"/>
      <c r="CA450" s="571"/>
    </row>
    <row r="451" spans="2:79">
      <c r="B451" s="572">
        <v>436</v>
      </c>
      <c r="C451" s="308"/>
      <c r="D451" s="307"/>
      <c r="E451" s="307"/>
      <c r="F451" s="305"/>
      <c r="G451" s="305"/>
      <c r="H451" s="292"/>
      <c r="I451" s="574"/>
      <c r="J451" s="573"/>
      <c r="K451" s="307"/>
      <c r="L451" s="292"/>
      <c r="M451" s="308"/>
      <c r="N451" s="292"/>
      <c r="O451" s="308"/>
      <c r="P451" s="575"/>
      <c r="Q451" s="576"/>
      <c r="R451" s="308"/>
      <c r="S451" s="575"/>
      <c r="T451" s="576"/>
      <c r="U451" s="308"/>
      <c r="V451" s="575"/>
      <c r="W451" s="576"/>
      <c r="X451" s="308"/>
      <c r="Y451" s="575"/>
      <c r="Z451" s="576"/>
      <c r="AA451" s="308"/>
      <c r="AB451" s="575"/>
      <c r="AC451" s="576"/>
      <c r="AD451" s="308"/>
      <c r="AE451" s="575"/>
      <c r="AF451" s="308"/>
      <c r="AG451" s="575"/>
      <c r="AH451" s="308"/>
      <c r="AI451" s="575"/>
      <c r="AJ451" s="308"/>
      <c r="AK451" s="305"/>
      <c r="AL451" s="577"/>
      <c r="AM451" s="306"/>
      <c r="AN451" s="308"/>
      <c r="AO451" s="573"/>
      <c r="AP451" s="305"/>
      <c r="AQ451" s="308"/>
      <c r="AR451" s="573"/>
      <c r="AS451" s="578"/>
      <c r="AT451" s="577"/>
      <c r="AU451" s="579"/>
      <c r="AV451" s="578"/>
      <c r="AW451" s="308"/>
      <c r="AX451" s="307"/>
      <c r="AY451" s="307"/>
      <c r="AZ451" s="307"/>
      <c r="BA451" s="307"/>
      <c r="BB451" s="307"/>
      <c r="BC451" s="305"/>
      <c r="BD451" s="292"/>
      <c r="BE451" s="297"/>
      <c r="BF451" s="297"/>
      <c r="BG451" s="569"/>
      <c r="BH451" s="570"/>
      <c r="BI451" s="570"/>
      <c r="BJ451" s="570"/>
      <c r="BK451" s="570"/>
      <c r="BL451" s="570"/>
      <c r="BM451" s="570"/>
      <c r="BN451" s="570"/>
      <c r="BO451" s="570"/>
      <c r="BP451" s="570"/>
      <c r="BQ451" s="570"/>
      <c r="BR451" s="570"/>
      <c r="BS451" s="570"/>
      <c r="BT451" s="570"/>
      <c r="BU451" s="570"/>
      <c r="BV451" s="570"/>
      <c r="BW451" s="570"/>
      <c r="BX451" s="570"/>
      <c r="BY451" s="570"/>
      <c r="BZ451" s="571"/>
      <c r="CA451" s="571"/>
    </row>
    <row r="452" spans="2:79">
      <c r="B452" s="566">
        <v>437</v>
      </c>
      <c r="C452" s="308"/>
      <c r="D452" s="307"/>
      <c r="E452" s="307"/>
      <c r="F452" s="305"/>
      <c r="G452" s="305"/>
      <c r="H452" s="292"/>
      <c r="I452" s="574"/>
      <c r="J452" s="573"/>
      <c r="K452" s="307"/>
      <c r="L452" s="292"/>
      <c r="M452" s="308"/>
      <c r="N452" s="292"/>
      <c r="O452" s="308"/>
      <c r="P452" s="575"/>
      <c r="Q452" s="576"/>
      <c r="R452" s="308"/>
      <c r="S452" s="575"/>
      <c r="T452" s="576"/>
      <c r="U452" s="308"/>
      <c r="V452" s="575"/>
      <c r="W452" s="576"/>
      <c r="X452" s="308"/>
      <c r="Y452" s="575"/>
      <c r="Z452" s="576"/>
      <c r="AA452" s="308"/>
      <c r="AB452" s="575"/>
      <c r="AC452" s="576"/>
      <c r="AD452" s="308"/>
      <c r="AE452" s="575"/>
      <c r="AF452" s="308"/>
      <c r="AG452" s="575"/>
      <c r="AH452" s="308"/>
      <c r="AI452" s="575"/>
      <c r="AJ452" s="308"/>
      <c r="AK452" s="305"/>
      <c r="AL452" s="577"/>
      <c r="AM452" s="306"/>
      <c r="AN452" s="308"/>
      <c r="AO452" s="573"/>
      <c r="AP452" s="305"/>
      <c r="AQ452" s="308"/>
      <c r="AR452" s="573"/>
      <c r="AS452" s="578"/>
      <c r="AT452" s="577"/>
      <c r="AU452" s="579"/>
      <c r="AV452" s="578"/>
      <c r="AW452" s="308"/>
      <c r="AX452" s="307"/>
      <c r="AY452" s="307"/>
      <c r="AZ452" s="307"/>
      <c r="BA452" s="307"/>
      <c r="BB452" s="307"/>
      <c r="BC452" s="305"/>
      <c r="BD452" s="292"/>
      <c r="BE452" s="297"/>
      <c r="BF452" s="297"/>
      <c r="BG452" s="569"/>
      <c r="BH452" s="570"/>
      <c r="BI452" s="570"/>
      <c r="BJ452" s="570"/>
      <c r="BK452" s="570"/>
      <c r="BL452" s="570"/>
      <c r="BM452" s="570"/>
      <c r="BN452" s="570"/>
      <c r="BO452" s="570"/>
      <c r="BP452" s="570"/>
      <c r="BQ452" s="570"/>
      <c r="BR452" s="570"/>
      <c r="BS452" s="570"/>
      <c r="BT452" s="570"/>
      <c r="BU452" s="570"/>
      <c r="BV452" s="570"/>
      <c r="BW452" s="570"/>
      <c r="BX452" s="570"/>
      <c r="BY452" s="570"/>
      <c r="BZ452" s="571"/>
      <c r="CA452" s="571"/>
    </row>
    <row r="453" spans="2:79">
      <c r="B453" s="572">
        <v>438</v>
      </c>
      <c r="C453" s="308"/>
      <c r="D453" s="307"/>
      <c r="E453" s="307"/>
      <c r="F453" s="305"/>
      <c r="G453" s="305"/>
      <c r="H453" s="292"/>
      <c r="I453" s="574"/>
      <c r="J453" s="573"/>
      <c r="K453" s="307"/>
      <c r="L453" s="292"/>
      <c r="M453" s="308"/>
      <c r="N453" s="292"/>
      <c r="O453" s="308"/>
      <c r="P453" s="575"/>
      <c r="Q453" s="576"/>
      <c r="R453" s="308"/>
      <c r="S453" s="575"/>
      <c r="T453" s="576"/>
      <c r="U453" s="308"/>
      <c r="V453" s="575"/>
      <c r="W453" s="576"/>
      <c r="X453" s="308"/>
      <c r="Y453" s="575"/>
      <c r="Z453" s="576"/>
      <c r="AA453" s="308"/>
      <c r="AB453" s="575"/>
      <c r="AC453" s="576"/>
      <c r="AD453" s="308"/>
      <c r="AE453" s="575"/>
      <c r="AF453" s="308"/>
      <c r="AG453" s="575"/>
      <c r="AH453" s="308"/>
      <c r="AI453" s="575"/>
      <c r="AJ453" s="308"/>
      <c r="AK453" s="305"/>
      <c r="AL453" s="577"/>
      <c r="AM453" s="306"/>
      <c r="AN453" s="308"/>
      <c r="AO453" s="573"/>
      <c r="AP453" s="305"/>
      <c r="AQ453" s="308"/>
      <c r="AR453" s="573"/>
      <c r="AS453" s="578"/>
      <c r="AT453" s="577"/>
      <c r="AU453" s="579"/>
      <c r="AV453" s="578"/>
      <c r="AW453" s="308"/>
      <c r="AX453" s="307"/>
      <c r="AY453" s="307"/>
      <c r="AZ453" s="307"/>
      <c r="BA453" s="307"/>
      <c r="BB453" s="307"/>
      <c r="BC453" s="305"/>
      <c r="BD453" s="292"/>
      <c r="BE453" s="297"/>
      <c r="BF453" s="297"/>
      <c r="BG453" s="569"/>
      <c r="BH453" s="570"/>
      <c r="BI453" s="570"/>
      <c r="BJ453" s="570"/>
      <c r="BK453" s="570"/>
      <c r="BL453" s="570"/>
      <c r="BM453" s="570"/>
      <c r="BN453" s="570"/>
      <c r="BO453" s="570"/>
      <c r="BP453" s="570"/>
      <c r="BQ453" s="570"/>
      <c r="BR453" s="570"/>
      <c r="BS453" s="570"/>
      <c r="BT453" s="570"/>
      <c r="BU453" s="570"/>
      <c r="BV453" s="570"/>
      <c r="BW453" s="570"/>
      <c r="BX453" s="570"/>
      <c r="BY453" s="570"/>
      <c r="BZ453" s="571"/>
      <c r="CA453" s="571"/>
    </row>
    <row r="454" spans="2:79">
      <c r="B454" s="566">
        <v>439</v>
      </c>
      <c r="C454" s="308"/>
      <c r="D454" s="307"/>
      <c r="E454" s="307"/>
      <c r="F454" s="305"/>
      <c r="G454" s="305"/>
      <c r="H454" s="292"/>
      <c r="I454" s="574"/>
      <c r="J454" s="573"/>
      <c r="K454" s="307"/>
      <c r="L454" s="292"/>
      <c r="M454" s="308"/>
      <c r="N454" s="292"/>
      <c r="O454" s="308"/>
      <c r="P454" s="575"/>
      <c r="Q454" s="576"/>
      <c r="R454" s="308"/>
      <c r="S454" s="575"/>
      <c r="T454" s="576"/>
      <c r="U454" s="308"/>
      <c r="V454" s="575"/>
      <c r="W454" s="576"/>
      <c r="X454" s="308"/>
      <c r="Y454" s="575"/>
      <c r="Z454" s="576"/>
      <c r="AA454" s="308"/>
      <c r="AB454" s="575"/>
      <c r="AC454" s="576"/>
      <c r="AD454" s="308"/>
      <c r="AE454" s="575"/>
      <c r="AF454" s="308"/>
      <c r="AG454" s="575"/>
      <c r="AH454" s="308"/>
      <c r="AI454" s="575"/>
      <c r="AJ454" s="308"/>
      <c r="AK454" s="305"/>
      <c r="AL454" s="577"/>
      <c r="AM454" s="306"/>
      <c r="AN454" s="308"/>
      <c r="AO454" s="573"/>
      <c r="AP454" s="305"/>
      <c r="AQ454" s="308"/>
      <c r="AR454" s="573"/>
      <c r="AS454" s="578"/>
      <c r="AT454" s="577"/>
      <c r="AU454" s="579"/>
      <c r="AV454" s="578"/>
      <c r="AW454" s="308"/>
      <c r="AX454" s="307"/>
      <c r="AY454" s="307"/>
      <c r="AZ454" s="307"/>
      <c r="BA454" s="307"/>
      <c r="BB454" s="307"/>
      <c r="BC454" s="305"/>
      <c r="BD454" s="292"/>
      <c r="BE454" s="297"/>
      <c r="BF454" s="297"/>
      <c r="BG454" s="569"/>
      <c r="BH454" s="570"/>
      <c r="BI454" s="570"/>
      <c r="BJ454" s="570"/>
      <c r="BK454" s="570"/>
      <c r="BL454" s="570"/>
      <c r="BM454" s="570"/>
      <c r="BN454" s="570"/>
      <c r="BO454" s="570"/>
      <c r="BP454" s="570"/>
      <c r="BQ454" s="570"/>
      <c r="BR454" s="570"/>
      <c r="BS454" s="570"/>
      <c r="BT454" s="570"/>
      <c r="BU454" s="570"/>
      <c r="BV454" s="570"/>
      <c r="BW454" s="570"/>
      <c r="BX454" s="570"/>
      <c r="BY454" s="570"/>
      <c r="BZ454" s="571"/>
      <c r="CA454" s="571"/>
    </row>
    <row r="455" spans="2:79">
      <c r="B455" s="572">
        <v>440</v>
      </c>
      <c r="C455" s="308"/>
      <c r="D455" s="307"/>
      <c r="E455" s="307"/>
      <c r="F455" s="305"/>
      <c r="G455" s="305"/>
      <c r="H455" s="292"/>
      <c r="I455" s="574"/>
      <c r="J455" s="573"/>
      <c r="K455" s="307"/>
      <c r="L455" s="292"/>
      <c r="M455" s="308"/>
      <c r="N455" s="292"/>
      <c r="O455" s="308"/>
      <c r="P455" s="575"/>
      <c r="Q455" s="576"/>
      <c r="R455" s="308"/>
      <c r="S455" s="575"/>
      <c r="T455" s="576"/>
      <c r="U455" s="308"/>
      <c r="V455" s="575"/>
      <c r="W455" s="576"/>
      <c r="X455" s="308"/>
      <c r="Y455" s="575"/>
      <c r="Z455" s="576"/>
      <c r="AA455" s="308"/>
      <c r="AB455" s="575"/>
      <c r="AC455" s="576"/>
      <c r="AD455" s="308"/>
      <c r="AE455" s="575"/>
      <c r="AF455" s="308"/>
      <c r="AG455" s="575"/>
      <c r="AH455" s="308"/>
      <c r="AI455" s="575"/>
      <c r="AJ455" s="308"/>
      <c r="AK455" s="305"/>
      <c r="AL455" s="577"/>
      <c r="AM455" s="306"/>
      <c r="AN455" s="308"/>
      <c r="AO455" s="573"/>
      <c r="AP455" s="305"/>
      <c r="AQ455" s="308"/>
      <c r="AR455" s="573"/>
      <c r="AS455" s="578"/>
      <c r="AT455" s="577"/>
      <c r="AU455" s="579"/>
      <c r="AV455" s="578"/>
      <c r="AW455" s="308"/>
      <c r="AX455" s="307"/>
      <c r="AY455" s="307"/>
      <c r="AZ455" s="307"/>
      <c r="BA455" s="307"/>
      <c r="BB455" s="307"/>
      <c r="BC455" s="305"/>
      <c r="BD455" s="292"/>
      <c r="BE455" s="297"/>
      <c r="BF455" s="297"/>
      <c r="BG455" s="569"/>
      <c r="BH455" s="570"/>
      <c r="BI455" s="570"/>
      <c r="BJ455" s="570"/>
      <c r="BK455" s="570"/>
      <c r="BL455" s="570"/>
      <c r="BM455" s="570"/>
      <c r="BN455" s="570"/>
      <c r="BO455" s="570"/>
      <c r="BP455" s="570"/>
      <c r="BQ455" s="570"/>
      <c r="BR455" s="570"/>
      <c r="BS455" s="570"/>
      <c r="BT455" s="570"/>
      <c r="BU455" s="570"/>
      <c r="BV455" s="570"/>
      <c r="BW455" s="570"/>
      <c r="BX455" s="570"/>
      <c r="BY455" s="570"/>
      <c r="BZ455" s="571"/>
      <c r="CA455" s="571"/>
    </row>
    <row r="456" spans="2:79">
      <c r="B456" s="566">
        <v>441</v>
      </c>
      <c r="C456" s="308"/>
      <c r="D456" s="307"/>
      <c r="E456" s="307"/>
      <c r="F456" s="305"/>
      <c r="G456" s="305"/>
      <c r="H456" s="292"/>
      <c r="I456" s="574"/>
      <c r="J456" s="573"/>
      <c r="K456" s="307"/>
      <c r="L456" s="292"/>
      <c r="M456" s="308"/>
      <c r="N456" s="292"/>
      <c r="O456" s="308"/>
      <c r="P456" s="575"/>
      <c r="Q456" s="576"/>
      <c r="R456" s="308"/>
      <c r="S456" s="575"/>
      <c r="T456" s="576"/>
      <c r="U456" s="308"/>
      <c r="V456" s="575"/>
      <c r="W456" s="576"/>
      <c r="X456" s="308"/>
      <c r="Y456" s="575"/>
      <c r="Z456" s="576"/>
      <c r="AA456" s="308"/>
      <c r="AB456" s="575"/>
      <c r="AC456" s="576"/>
      <c r="AD456" s="308"/>
      <c r="AE456" s="575"/>
      <c r="AF456" s="308"/>
      <c r="AG456" s="575"/>
      <c r="AH456" s="308"/>
      <c r="AI456" s="575"/>
      <c r="AJ456" s="308"/>
      <c r="AK456" s="305"/>
      <c r="AL456" s="577"/>
      <c r="AM456" s="306"/>
      <c r="AN456" s="308"/>
      <c r="AO456" s="573"/>
      <c r="AP456" s="305"/>
      <c r="AQ456" s="308"/>
      <c r="AR456" s="573"/>
      <c r="AS456" s="578"/>
      <c r="AT456" s="577"/>
      <c r="AU456" s="579"/>
      <c r="AV456" s="578"/>
      <c r="AW456" s="308"/>
      <c r="AX456" s="307"/>
      <c r="AY456" s="307"/>
      <c r="AZ456" s="307"/>
      <c r="BA456" s="307"/>
      <c r="BB456" s="307"/>
      <c r="BC456" s="305"/>
      <c r="BD456" s="292"/>
      <c r="BE456" s="297"/>
      <c r="BF456" s="297"/>
      <c r="BG456" s="569"/>
      <c r="BH456" s="570"/>
      <c r="BI456" s="570"/>
      <c r="BJ456" s="570"/>
      <c r="BK456" s="570"/>
      <c r="BL456" s="570"/>
      <c r="BM456" s="570"/>
      <c r="BN456" s="570"/>
      <c r="BO456" s="570"/>
      <c r="BP456" s="570"/>
      <c r="BQ456" s="570"/>
      <c r="BR456" s="570"/>
      <c r="BS456" s="570"/>
      <c r="BT456" s="570"/>
      <c r="BU456" s="570"/>
      <c r="BV456" s="570"/>
      <c r="BW456" s="570"/>
      <c r="BX456" s="570"/>
      <c r="BY456" s="570"/>
      <c r="BZ456" s="571"/>
      <c r="CA456" s="571"/>
    </row>
    <row r="457" spans="2:79">
      <c r="B457" s="572">
        <v>442</v>
      </c>
      <c r="C457" s="308"/>
      <c r="D457" s="307"/>
      <c r="E457" s="307"/>
      <c r="F457" s="305"/>
      <c r="G457" s="305"/>
      <c r="H457" s="292"/>
      <c r="I457" s="574"/>
      <c r="J457" s="573"/>
      <c r="K457" s="307"/>
      <c r="L457" s="292"/>
      <c r="M457" s="308"/>
      <c r="N457" s="292"/>
      <c r="O457" s="308"/>
      <c r="P457" s="575"/>
      <c r="Q457" s="576"/>
      <c r="R457" s="308"/>
      <c r="S457" s="575"/>
      <c r="T457" s="576"/>
      <c r="U457" s="308"/>
      <c r="V457" s="575"/>
      <c r="W457" s="576"/>
      <c r="X457" s="308"/>
      <c r="Y457" s="575"/>
      <c r="Z457" s="576"/>
      <c r="AA457" s="308"/>
      <c r="AB457" s="575"/>
      <c r="AC457" s="576"/>
      <c r="AD457" s="308"/>
      <c r="AE457" s="575"/>
      <c r="AF457" s="308"/>
      <c r="AG457" s="575"/>
      <c r="AH457" s="308"/>
      <c r="AI457" s="575"/>
      <c r="AJ457" s="308"/>
      <c r="AK457" s="305"/>
      <c r="AL457" s="577"/>
      <c r="AM457" s="306"/>
      <c r="AN457" s="308"/>
      <c r="AO457" s="573"/>
      <c r="AP457" s="305"/>
      <c r="AQ457" s="308"/>
      <c r="AR457" s="573"/>
      <c r="AS457" s="578"/>
      <c r="AT457" s="577"/>
      <c r="AU457" s="579"/>
      <c r="AV457" s="578"/>
      <c r="AW457" s="308"/>
      <c r="AX457" s="307"/>
      <c r="AY457" s="307"/>
      <c r="AZ457" s="307"/>
      <c r="BA457" s="307"/>
      <c r="BB457" s="307"/>
      <c r="BC457" s="305"/>
      <c r="BD457" s="292"/>
      <c r="BE457" s="297"/>
      <c r="BF457" s="297"/>
      <c r="BG457" s="569"/>
      <c r="BH457" s="570"/>
      <c r="BI457" s="570"/>
      <c r="BJ457" s="570"/>
      <c r="BK457" s="570"/>
      <c r="BL457" s="570"/>
      <c r="BM457" s="570"/>
      <c r="BN457" s="570"/>
      <c r="BO457" s="570"/>
      <c r="BP457" s="570"/>
      <c r="BQ457" s="570"/>
      <c r="BR457" s="570"/>
      <c r="BS457" s="570"/>
      <c r="BT457" s="570"/>
      <c r="BU457" s="570"/>
      <c r="BV457" s="570"/>
      <c r="BW457" s="570"/>
      <c r="BX457" s="570"/>
      <c r="BY457" s="570"/>
      <c r="BZ457" s="571"/>
      <c r="CA457" s="571"/>
    </row>
    <row r="458" spans="2:79">
      <c r="B458" s="566">
        <v>443</v>
      </c>
      <c r="C458" s="308"/>
      <c r="D458" s="307"/>
      <c r="E458" s="307"/>
      <c r="F458" s="305"/>
      <c r="G458" s="305"/>
      <c r="H458" s="292"/>
      <c r="I458" s="574"/>
      <c r="J458" s="573"/>
      <c r="K458" s="307"/>
      <c r="L458" s="292"/>
      <c r="M458" s="308"/>
      <c r="N458" s="292"/>
      <c r="O458" s="308"/>
      <c r="P458" s="575"/>
      <c r="Q458" s="576"/>
      <c r="R458" s="308"/>
      <c r="S458" s="575"/>
      <c r="T458" s="576"/>
      <c r="U458" s="308"/>
      <c r="V458" s="575"/>
      <c r="W458" s="576"/>
      <c r="X458" s="308"/>
      <c r="Y458" s="575"/>
      <c r="Z458" s="576"/>
      <c r="AA458" s="308"/>
      <c r="AB458" s="575"/>
      <c r="AC458" s="576"/>
      <c r="AD458" s="308"/>
      <c r="AE458" s="575"/>
      <c r="AF458" s="308"/>
      <c r="AG458" s="575"/>
      <c r="AH458" s="308"/>
      <c r="AI458" s="575"/>
      <c r="AJ458" s="308"/>
      <c r="AK458" s="305"/>
      <c r="AL458" s="577"/>
      <c r="AM458" s="306"/>
      <c r="AN458" s="308"/>
      <c r="AO458" s="573"/>
      <c r="AP458" s="305"/>
      <c r="AQ458" s="308"/>
      <c r="AR458" s="573"/>
      <c r="AS458" s="578"/>
      <c r="AT458" s="577"/>
      <c r="AU458" s="579"/>
      <c r="AV458" s="578"/>
      <c r="AW458" s="308"/>
      <c r="AX458" s="307"/>
      <c r="AY458" s="307"/>
      <c r="AZ458" s="307"/>
      <c r="BA458" s="307"/>
      <c r="BB458" s="307"/>
      <c r="BC458" s="305"/>
      <c r="BD458" s="292"/>
      <c r="BE458" s="297"/>
      <c r="BF458" s="297"/>
      <c r="BG458" s="569"/>
      <c r="BH458" s="570"/>
      <c r="BI458" s="570"/>
      <c r="BJ458" s="570"/>
      <c r="BK458" s="570"/>
      <c r="BL458" s="570"/>
      <c r="BM458" s="570"/>
      <c r="BN458" s="570"/>
      <c r="BO458" s="570"/>
      <c r="BP458" s="570"/>
      <c r="BQ458" s="570"/>
      <c r="BR458" s="570"/>
      <c r="BS458" s="570"/>
      <c r="BT458" s="570"/>
      <c r="BU458" s="570"/>
      <c r="BV458" s="570"/>
      <c r="BW458" s="570"/>
      <c r="BX458" s="570"/>
      <c r="BY458" s="570"/>
      <c r="BZ458" s="571"/>
      <c r="CA458" s="571"/>
    </row>
    <row r="459" spans="2:79">
      <c r="B459" s="572">
        <v>444</v>
      </c>
      <c r="C459" s="308"/>
      <c r="D459" s="307"/>
      <c r="E459" s="307"/>
      <c r="F459" s="305"/>
      <c r="G459" s="305"/>
      <c r="H459" s="292"/>
      <c r="I459" s="574"/>
      <c r="J459" s="573"/>
      <c r="K459" s="307"/>
      <c r="L459" s="292"/>
      <c r="M459" s="308"/>
      <c r="N459" s="292"/>
      <c r="O459" s="308"/>
      <c r="P459" s="575"/>
      <c r="Q459" s="576"/>
      <c r="R459" s="308"/>
      <c r="S459" s="575"/>
      <c r="T459" s="576"/>
      <c r="U459" s="308"/>
      <c r="V459" s="575"/>
      <c r="W459" s="576"/>
      <c r="X459" s="308"/>
      <c r="Y459" s="575"/>
      <c r="Z459" s="576"/>
      <c r="AA459" s="308"/>
      <c r="AB459" s="575"/>
      <c r="AC459" s="576"/>
      <c r="AD459" s="308"/>
      <c r="AE459" s="575"/>
      <c r="AF459" s="308"/>
      <c r="AG459" s="575"/>
      <c r="AH459" s="308"/>
      <c r="AI459" s="575"/>
      <c r="AJ459" s="308"/>
      <c r="AK459" s="305"/>
      <c r="AL459" s="577"/>
      <c r="AM459" s="306"/>
      <c r="AN459" s="308"/>
      <c r="AO459" s="573"/>
      <c r="AP459" s="305"/>
      <c r="AQ459" s="308"/>
      <c r="AR459" s="573"/>
      <c r="AS459" s="578"/>
      <c r="AT459" s="577"/>
      <c r="AU459" s="579"/>
      <c r="AV459" s="578"/>
      <c r="AW459" s="308"/>
      <c r="AX459" s="307"/>
      <c r="AY459" s="307"/>
      <c r="AZ459" s="307"/>
      <c r="BA459" s="307"/>
      <c r="BB459" s="307"/>
      <c r="BC459" s="305"/>
      <c r="BD459" s="292"/>
      <c r="BE459" s="297"/>
      <c r="BF459" s="297"/>
      <c r="BG459" s="569"/>
      <c r="BH459" s="570"/>
      <c r="BI459" s="570"/>
      <c r="BJ459" s="570"/>
      <c r="BK459" s="570"/>
      <c r="BL459" s="570"/>
      <c r="BM459" s="570"/>
      <c r="BN459" s="570"/>
      <c r="BO459" s="570"/>
      <c r="BP459" s="570"/>
      <c r="BQ459" s="570"/>
      <c r="BR459" s="570"/>
      <c r="BS459" s="570"/>
      <c r="BT459" s="570"/>
      <c r="BU459" s="570"/>
      <c r="BV459" s="570"/>
      <c r="BW459" s="570"/>
      <c r="BX459" s="570"/>
      <c r="BY459" s="570"/>
      <c r="BZ459" s="571"/>
      <c r="CA459" s="571"/>
    </row>
    <row r="460" spans="2:79">
      <c r="B460" s="566">
        <v>445</v>
      </c>
      <c r="C460" s="308"/>
      <c r="D460" s="307"/>
      <c r="E460" s="307"/>
      <c r="F460" s="305"/>
      <c r="G460" s="305"/>
      <c r="H460" s="292"/>
      <c r="I460" s="574"/>
      <c r="J460" s="573"/>
      <c r="K460" s="307"/>
      <c r="L460" s="292"/>
      <c r="M460" s="308"/>
      <c r="N460" s="292"/>
      <c r="O460" s="308"/>
      <c r="P460" s="575"/>
      <c r="Q460" s="576"/>
      <c r="R460" s="308"/>
      <c r="S460" s="575"/>
      <c r="T460" s="576"/>
      <c r="U460" s="308"/>
      <c r="V460" s="575"/>
      <c r="W460" s="576"/>
      <c r="X460" s="308"/>
      <c r="Y460" s="575"/>
      <c r="Z460" s="576"/>
      <c r="AA460" s="308"/>
      <c r="AB460" s="575"/>
      <c r="AC460" s="576"/>
      <c r="AD460" s="308"/>
      <c r="AE460" s="575"/>
      <c r="AF460" s="308"/>
      <c r="AG460" s="575"/>
      <c r="AH460" s="308"/>
      <c r="AI460" s="575"/>
      <c r="AJ460" s="308"/>
      <c r="AK460" s="305"/>
      <c r="AL460" s="577"/>
      <c r="AM460" s="306"/>
      <c r="AN460" s="308"/>
      <c r="AO460" s="573"/>
      <c r="AP460" s="305"/>
      <c r="AQ460" s="308"/>
      <c r="AR460" s="573"/>
      <c r="AS460" s="578"/>
      <c r="AT460" s="577"/>
      <c r="AU460" s="579"/>
      <c r="AV460" s="578"/>
      <c r="AW460" s="308"/>
      <c r="AX460" s="307"/>
      <c r="AY460" s="307"/>
      <c r="AZ460" s="307"/>
      <c r="BA460" s="307"/>
      <c r="BB460" s="307"/>
      <c r="BC460" s="305"/>
      <c r="BD460" s="292"/>
      <c r="BE460" s="297"/>
      <c r="BF460" s="297"/>
      <c r="BG460" s="569"/>
      <c r="BH460" s="570"/>
      <c r="BI460" s="570"/>
      <c r="BJ460" s="570"/>
      <c r="BK460" s="570"/>
      <c r="BL460" s="570"/>
      <c r="BM460" s="570"/>
      <c r="BN460" s="570"/>
      <c r="BO460" s="570"/>
      <c r="BP460" s="570"/>
      <c r="BQ460" s="570"/>
      <c r="BR460" s="570"/>
      <c r="BS460" s="570"/>
      <c r="BT460" s="570"/>
      <c r="BU460" s="570"/>
      <c r="BV460" s="570"/>
      <c r="BW460" s="570"/>
      <c r="BX460" s="570"/>
      <c r="BY460" s="570"/>
      <c r="BZ460" s="571"/>
      <c r="CA460" s="571"/>
    </row>
    <row r="461" spans="2:79">
      <c r="B461" s="572">
        <v>446</v>
      </c>
      <c r="C461" s="308"/>
      <c r="D461" s="307"/>
      <c r="E461" s="307"/>
      <c r="F461" s="305"/>
      <c r="G461" s="305"/>
      <c r="H461" s="292"/>
      <c r="I461" s="574"/>
      <c r="J461" s="573"/>
      <c r="K461" s="307"/>
      <c r="L461" s="292"/>
      <c r="M461" s="308"/>
      <c r="N461" s="292"/>
      <c r="O461" s="308"/>
      <c r="P461" s="575"/>
      <c r="Q461" s="576"/>
      <c r="R461" s="308"/>
      <c r="S461" s="575"/>
      <c r="T461" s="576"/>
      <c r="U461" s="308"/>
      <c r="V461" s="575"/>
      <c r="W461" s="576"/>
      <c r="X461" s="308"/>
      <c r="Y461" s="575"/>
      <c r="Z461" s="576"/>
      <c r="AA461" s="308"/>
      <c r="AB461" s="575"/>
      <c r="AC461" s="576"/>
      <c r="AD461" s="308"/>
      <c r="AE461" s="575"/>
      <c r="AF461" s="308"/>
      <c r="AG461" s="575"/>
      <c r="AH461" s="308"/>
      <c r="AI461" s="575"/>
      <c r="AJ461" s="308"/>
      <c r="AK461" s="305"/>
      <c r="AL461" s="577"/>
      <c r="AM461" s="306"/>
      <c r="AN461" s="308"/>
      <c r="AO461" s="573"/>
      <c r="AP461" s="305"/>
      <c r="AQ461" s="308"/>
      <c r="AR461" s="573"/>
      <c r="AS461" s="578"/>
      <c r="AT461" s="577"/>
      <c r="AU461" s="579"/>
      <c r="AV461" s="578"/>
      <c r="AW461" s="308"/>
      <c r="AX461" s="307"/>
      <c r="AY461" s="307"/>
      <c r="AZ461" s="307"/>
      <c r="BA461" s="307"/>
      <c r="BB461" s="307"/>
      <c r="BC461" s="305"/>
      <c r="BD461" s="292"/>
      <c r="BE461" s="297"/>
      <c r="BF461" s="297"/>
      <c r="BG461" s="569"/>
      <c r="BH461" s="570"/>
      <c r="BI461" s="570"/>
      <c r="BJ461" s="570"/>
      <c r="BK461" s="570"/>
      <c r="BL461" s="570"/>
      <c r="BM461" s="570"/>
      <c r="BN461" s="570"/>
      <c r="BO461" s="570"/>
      <c r="BP461" s="570"/>
      <c r="BQ461" s="570"/>
      <c r="BR461" s="570"/>
      <c r="BS461" s="570"/>
      <c r="BT461" s="570"/>
      <c r="BU461" s="570"/>
      <c r="BV461" s="570"/>
      <c r="BW461" s="570"/>
      <c r="BX461" s="570"/>
      <c r="BY461" s="570"/>
      <c r="BZ461" s="571"/>
      <c r="CA461" s="571"/>
    </row>
    <row r="462" spans="2:79">
      <c r="B462" s="566">
        <v>447</v>
      </c>
      <c r="C462" s="308"/>
      <c r="D462" s="307"/>
      <c r="E462" s="307"/>
      <c r="F462" s="305"/>
      <c r="G462" s="305"/>
      <c r="H462" s="292"/>
      <c r="I462" s="574"/>
      <c r="J462" s="573"/>
      <c r="K462" s="307"/>
      <c r="L462" s="292"/>
      <c r="M462" s="308"/>
      <c r="N462" s="292"/>
      <c r="O462" s="308"/>
      <c r="P462" s="575"/>
      <c r="Q462" s="576"/>
      <c r="R462" s="308"/>
      <c r="S462" s="575"/>
      <c r="T462" s="576"/>
      <c r="U462" s="308"/>
      <c r="V462" s="575"/>
      <c r="W462" s="576"/>
      <c r="X462" s="308"/>
      <c r="Y462" s="575"/>
      <c r="Z462" s="576"/>
      <c r="AA462" s="308"/>
      <c r="AB462" s="575"/>
      <c r="AC462" s="576"/>
      <c r="AD462" s="308"/>
      <c r="AE462" s="575"/>
      <c r="AF462" s="308"/>
      <c r="AG462" s="575"/>
      <c r="AH462" s="308"/>
      <c r="AI462" s="575"/>
      <c r="AJ462" s="308"/>
      <c r="AK462" s="305"/>
      <c r="AL462" s="577"/>
      <c r="AM462" s="306"/>
      <c r="AN462" s="308"/>
      <c r="AO462" s="573"/>
      <c r="AP462" s="305"/>
      <c r="AQ462" s="308"/>
      <c r="AR462" s="573"/>
      <c r="AS462" s="578"/>
      <c r="AT462" s="577"/>
      <c r="AU462" s="579"/>
      <c r="AV462" s="578"/>
      <c r="AW462" s="308"/>
      <c r="AX462" s="307"/>
      <c r="AY462" s="307"/>
      <c r="AZ462" s="307"/>
      <c r="BA462" s="307"/>
      <c r="BB462" s="307"/>
      <c r="BC462" s="305"/>
      <c r="BD462" s="292"/>
      <c r="BE462" s="297"/>
      <c r="BF462" s="297"/>
      <c r="BG462" s="569"/>
      <c r="BH462" s="570"/>
      <c r="BI462" s="570"/>
      <c r="BJ462" s="570"/>
      <c r="BK462" s="570"/>
      <c r="BL462" s="570"/>
      <c r="BM462" s="570"/>
      <c r="BN462" s="570"/>
      <c r="BO462" s="570"/>
      <c r="BP462" s="570"/>
      <c r="BQ462" s="570"/>
      <c r="BR462" s="570"/>
      <c r="BS462" s="570"/>
      <c r="BT462" s="570"/>
      <c r="BU462" s="570"/>
      <c r="BV462" s="570"/>
      <c r="BW462" s="570"/>
      <c r="BX462" s="570"/>
      <c r="BY462" s="570"/>
      <c r="BZ462" s="571"/>
      <c r="CA462" s="571"/>
    </row>
    <row r="463" spans="2:79">
      <c r="B463" s="572">
        <v>448</v>
      </c>
      <c r="C463" s="308"/>
      <c r="D463" s="307"/>
      <c r="E463" s="307"/>
      <c r="F463" s="305"/>
      <c r="G463" s="305"/>
      <c r="H463" s="292"/>
      <c r="I463" s="574"/>
      <c r="J463" s="573"/>
      <c r="K463" s="307"/>
      <c r="L463" s="292"/>
      <c r="M463" s="308"/>
      <c r="N463" s="292"/>
      <c r="O463" s="308"/>
      <c r="P463" s="575"/>
      <c r="Q463" s="576"/>
      <c r="R463" s="308"/>
      <c r="S463" s="575"/>
      <c r="T463" s="576"/>
      <c r="U463" s="308"/>
      <c r="V463" s="575"/>
      <c r="W463" s="576"/>
      <c r="X463" s="308"/>
      <c r="Y463" s="575"/>
      <c r="Z463" s="576"/>
      <c r="AA463" s="308"/>
      <c r="AB463" s="575"/>
      <c r="AC463" s="576"/>
      <c r="AD463" s="308"/>
      <c r="AE463" s="575"/>
      <c r="AF463" s="308"/>
      <c r="AG463" s="575"/>
      <c r="AH463" s="308"/>
      <c r="AI463" s="575"/>
      <c r="AJ463" s="308"/>
      <c r="AK463" s="305"/>
      <c r="AL463" s="577"/>
      <c r="AM463" s="306"/>
      <c r="AN463" s="308"/>
      <c r="AO463" s="573"/>
      <c r="AP463" s="305"/>
      <c r="AQ463" s="308"/>
      <c r="AR463" s="573"/>
      <c r="AS463" s="578"/>
      <c r="AT463" s="577"/>
      <c r="AU463" s="579"/>
      <c r="AV463" s="578"/>
      <c r="AW463" s="308"/>
      <c r="AX463" s="307"/>
      <c r="AY463" s="307"/>
      <c r="AZ463" s="307"/>
      <c r="BA463" s="307"/>
      <c r="BB463" s="307"/>
      <c r="BC463" s="305"/>
      <c r="BD463" s="292"/>
      <c r="BE463" s="297"/>
      <c r="BF463" s="297"/>
      <c r="BG463" s="569"/>
      <c r="BH463" s="570"/>
      <c r="BI463" s="570"/>
      <c r="BJ463" s="570"/>
      <c r="BK463" s="570"/>
      <c r="BL463" s="570"/>
      <c r="BM463" s="570"/>
      <c r="BN463" s="570"/>
      <c r="BO463" s="570"/>
      <c r="BP463" s="570"/>
      <c r="BQ463" s="570"/>
      <c r="BR463" s="570"/>
      <c r="BS463" s="570"/>
      <c r="BT463" s="570"/>
      <c r="BU463" s="570"/>
      <c r="BV463" s="570"/>
      <c r="BW463" s="570"/>
      <c r="BX463" s="570"/>
      <c r="BY463" s="570"/>
      <c r="BZ463" s="571"/>
      <c r="CA463" s="571"/>
    </row>
    <row r="464" spans="2:79">
      <c r="B464" s="566">
        <v>449</v>
      </c>
      <c r="C464" s="308"/>
      <c r="D464" s="307"/>
      <c r="E464" s="307"/>
      <c r="F464" s="305"/>
      <c r="G464" s="305"/>
      <c r="H464" s="292"/>
      <c r="I464" s="574"/>
      <c r="J464" s="573"/>
      <c r="K464" s="307"/>
      <c r="L464" s="292"/>
      <c r="M464" s="308"/>
      <c r="N464" s="292"/>
      <c r="O464" s="308"/>
      <c r="P464" s="575"/>
      <c r="Q464" s="576"/>
      <c r="R464" s="308"/>
      <c r="S464" s="575"/>
      <c r="T464" s="576"/>
      <c r="U464" s="308"/>
      <c r="V464" s="575"/>
      <c r="W464" s="576"/>
      <c r="X464" s="308"/>
      <c r="Y464" s="575"/>
      <c r="Z464" s="576"/>
      <c r="AA464" s="308"/>
      <c r="AB464" s="575"/>
      <c r="AC464" s="576"/>
      <c r="AD464" s="308"/>
      <c r="AE464" s="575"/>
      <c r="AF464" s="308"/>
      <c r="AG464" s="575"/>
      <c r="AH464" s="308"/>
      <c r="AI464" s="575"/>
      <c r="AJ464" s="308"/>
      <c r="AK464" s="305"/>
      <c r="AL464" s="577"/>
      <c r="AM464" s="306"/>
      <c r="AN464" s="308"/>
      <c r="AO464" s="573"/>
      <c r="AP464" s="305"/>
      <c r="AQ464" s="308"/>
      <c r="AR464" s="573"/>
      <c r="AS464" s="578"/>
      <c r="AT464" s="577"/>
      <c r="AU464" s="579"/>
      <c r="AV464" s="578"/>
      <c r="AW464" s="308"/>
      <c r="AX464" s="307"/>
      <c r="AY464" s="307"/>
      <c r="AZ464" s="307"/>
      <c r="BA464" s="307"/>
      <c r="BB464" s="307"/>
      <c r="BC464" s="305"/>
      <c r="BD464" s="292"/>
      <c r="BE464" s="297"/>
      <c r="BF464" s="297"/>
      <c r="BG464" s="569"/>
      <c r="BH464" s="570"/>
      <c r="BI464" s="570"/>
      <c r="BJ464" s="570"/>
      <c r="BK464" s="570"/>
      <c r="BL464" s="570"/>
      <c r="BM464" s="570"/>
      <c r="BN464" s="570"/>
      <c r="BO464" s="570"/>
      <c r="BP464" s="570"/>
      <c r="BQ464" s="570"/>
      <c r="BR464" s="570"/>
      <c r="BS464" s="570"/>
      <c r="BT464" s="570"/>
      <c r="BU464" s="570"/>
      <c r="BV464" s="570"/>
      <c r="BW464" s="570"/>
      <c r="BX464" s="570"/>
      <c r="BY464" s="570"/>
      <c r="BZ464" s="571"/>
      <c r="CA464" s="571"/>
    </row>
    <row r="465" spans="2:79">
      <c r="B465" s="572">
        <v>450</v>
      </c>
      <c r="C465" s="308"/>
      <c r="D465" s="307"/>
      <c r="E465" s="307"/>
      <c r="F465" s="305"/>
      <c r="G465" s="305"/>
      <c r="H465" s="292"/>
      <c r="I465" s="574"/>
      <c r="J465" s="573"/>
      <c r="K465" s="307"/>
      <c r="L465" s="292"/>
      <c r="M465" s="308"/>
      <c r="N465" s="292"/>
      <c r="O465" s="308"/>
      <c r="P465" s="575"/>
      <c r="Q465" s="576"/>
      <c r="R465" s="308"/>
      <c r="S465" s="575"/>
      <c r="T465" s="576"/>
      <c r="U465" s="308"/>
      <c r="V465" s="575"/>
      <c r="W465" s="576"/>
      <c r="X465" s="308"/>
      <c r="Y465" s="575"/>
      <c r="Z465" s="576"/>
      <c r="AA465" s="308"/>
      <c r="AB465" s="575"/>
      <c r="AC465" s="576"/>
      <c r="AD465" s="308"/>
      <c r="AE465" s="575"/>
      <c r="AF465" s="308"/>
      <c r="AG465" s="575"/>
      <c r="AH465" s="308"/>
      <c r="AI465" s="575"/>
      <c r="AJ465" s="308"/>
      <c r="AK465" s="305"/>
      <c r="AL465" s="577"/>
      <c r="AM465" s="306"/>
      <c r="AN465" s="308"/>
      <c r="AO465" s="573"/>
      <c r="AP465" s="305"/>
      <c r="AQ465" s="308"/>
      <c r="AR465" s="573"/>
      <c r="AS465" s="578"/>
      <c r="AT465" s="577"/>
      <c r="AU465" s="579"/>
      <c r="AV465" s="578"/>
      <c r="AW465" s="308"/>
      <c r="AX465" s="307"/>
      <c r="AY465" s="307"/>
      <c r="AZ465" s="307"/>
      <c r="BA465" s="307"/>
      <c r="BB465" s="307"/>
      <c r="BC465" s="305"/>
      <c r="BD465" s="292"/>
      <c r="BE465" s="297"/>
      <c r="BF465" s="297"/>
      <c r="BG465" s="569"/>
      <c r="BH465" s="570"/>
      <c r="BI465" s="570"/>
      <c r="BJ465" s="570"/>
      <c r="BK465" s="570"/>
      <c r="BL465" s="570"/>
      <c r="BM465" s="570"/>
      <c r="BN465" s="570"/>
      <c r="BO465" s="570"/>
      <c r="BP465" s="570"/>
      <c r="BQ465" s="570"/>
      <c r="BR465" s="570"/>
      <c r="BS465" s="570"/>
      <c r="BT465" s="570"/>
      <c r="BU465" s="570"/>
      <c r="BV465" s="570"/>
      <c r="BW465" s="570"/>
      <c r="BX465" s="570"/>
      <c r="BY465" s="570"/>
      <c r="BZ465" s="571"/>
      <c r="CA465" s="571"/>
    </row>
    <row r="466" spans="2:79">
      <c r="B466" s="566">
        <v>451</v>
      </c>
      <c r="C466" s="308"/>
      <c r="D466" s="307"/>
      <c r="E466" s="307"/>
      <c r="F466" s="305"/>
      <c r="G466" s="305"/>
      <c r="H466" s="292"/>
      <c r="I466" s="574"/>
      <c r="J466" s="573"/>
      <c r="K466" s="307"/>
      <c r="L466" s="292"/>
      <c r="M466" s="308"/>
      <c r="N466" s="292"/>
      <c r="O466" s="308"/>
      <c r="P466" s="575"/>
      <c r="Q466" s="576"/>
      <c r="R466" s="308"/>
      <c r="S466" s="575"/>
      <c r="T466" s="576"/>
      <c r="U466" s="308"/>
      <c r="V466" s="575"/>
      <c r="W466" s="576"/>
      <c r="X466" s="308"/>
      <c r="Y466" s="575"/>
      <c r="Z466" s="576"/>
      <c r="AA466" s="308"/>
      <c r="AB466" s="575"/>
      <c r="AC466" s="576"/>
      <c r="AD466" s="308"/>
      <c r="AE466" s="575"/>
      <c r="AF466" s="308"/>
      <c r="AG466" s="575"/>
      <c r="AH466" s="308"/>
      <c r="AI466" s="575"/>
      <c r="AJ466" s="308"/>
      <c r="AK466" s="305"/>
      <c r="AL466" s="577"/>
      <c r="AM466" s="306"/>
      <c r="AN466" s="308"/>
      <c r="AO466" s="573"/>
      <c r="AP466" s="305"/>
      <c r="AQ466" s="308"/>
      <c r="AR466" s="573"/>
      <c r="AS466" s="578"/>
      <c r="AT466" s="577"/>
      <c r="AU466" s="579"/>
      <c r="AV466" s="578"/>
      <c r="AW466" s="308"/>
      <c r="AX466" s="307"/>
      <c r="AY466" s="307"/>
      <c r="AZ466" s="307"/>
      <c r="BA466" s="307"/>
      <c r="BB466" s="307"/>
      <c r="BC466" s="305"/>
      <c r="BD466" s="292"/>
      <c r="BE466" s="297"/>
      <c r="BF466" s="297"/>
      <c r="BG466" s="569"/>
      <c r="BH466" s="570"/>
      <c r="BI466" s="570"/>
      <c r="BJ466" s="570"/>
      <c r="BK466" s="570"/>
      <c r="BL466" s="570"/>
      <c r="BM466" s="570"/>
      <c r="BN466" s="570"/>
      <c r="BO466" s="570"/>
      <c r="BP466" s="570"/>
      <c r="BQ466" s="570"/>
      <c r="BR466" s="570"/>
      <c r="BS466" s="570"/>
      <c r="BT466" s="570"/>
      <c r="BU466" s="570"/>
      <c r="BV466" s="570"/>
      <c r="BW466" s="570"/>
      <c r="BX466" s="570"/>
      <c r="BY466" s="570"/>
      <c r="BZ466" s="571"/>
      <c r="CA466" s="571"/>
    </row>
    <row r="467" spans="2:79">
      <c r="B467" s="572">
        <v>452</v>
      </c>
      <c r="C467" s="308"/>
      <c r="D467" s="307"/>
      <c r="E467" s="307"/>
      <c r="F467" s="305"/>
      <c r="G467" s="305"/>
      <c r="H467" s="292"/>
      <c r="I467" s="574"/>
      <c r="J467" s="573"/>
      <c r="K467" s="307"/>
      <c r="L467" s="292"/>
      <c r="M467" s="308"/>
      <c r="N467" s="292"/>
      <c r="O467" s="308"/>
      <c r="P467" s="575"/>
      <c r="Q467" s="576"/>
      <c r="R467" s="308"/>
      <c r="S467" s="575"/>
      <c r="T467" s="576"/>
      <c r="U467" s="308"/>
      <c r="V467" s="575"/>
      <c r="W467" s="576"/>
      <c r="X467" s="308"/>
      <c r="Y467" s="575"/>
      <c r="Z467" s="576"/>
      <c r="AA467" s="308"/>
      <c r="AB467" s="575"/>
      <c r="AC467" s="576"/>
      <c r="AD467" s="308"/>
      <c r="AE467" s="575"/>
      <c r="AF467" s="308"/>
      <c r="AG467" s="575"/>
      <c r="AH467" s="308"/>
      <c r="AI467" s="575"/>
      <c r="AJ467" s="308"/>
      <c r="AK467" s="305"/>
      <c r="AL467" s="577"/>
      <c r="AM467" s="306"/>
      <c r="AN467" s="308"/>
      <c r="AO467" s="573"/>
      <c r="AP467" s="305"/>
      <c r="AQ467" s="308"/>
      <c r="AR467" s="573"/>
      <c r="AS467" s="578"/>
      <c r="AT467" s="577"/>
      <c r="AU467" s="579"/>
      <c r="AV467" s="578"/>
      <c r="AW467" s="308"/>
      <c r="AX467" s="307"/>
      <c r="AY467" s="307"/>
      <c r="AZ467" s="307"/>
      <c r="BA467" s="307"/>
      <c r="BB467" s="307"/>
      <c r="BC467" s="305"/>
      <c r="BD467" s="292"/>
      <c r="BE467" s="297"/>
      <c r="BF467" s="297"/>
      <c r="BG467" s="569"/>
      <c r="BH467" s="570"/>
      <c r="BI467" s="570"/>
      <c r="BJ467" s="570"/>
      <c r="BK467" s="570"/>
      <c r="BL467" s="570"/>
      <c r="BM467" s="570"/>
      <c r="BN467" s="570"/>
      <c r="BO467" s="570"/>
      <c r="BP467" s="570"/>
      <c r="BQ467" s="570"/>
      <c r="BR467" s="570"/>
      <c r="BS467" s="570"/>
      <c r="BT467" s="570"/>
      <c r="BU467" s="570"/>
      <c r="BV467" s="570"/>
      <c r="BW467" s="570"/>
      <c r="BX467" s="570"/>
      <c r="BY467" s="570"/>
      <c r="BZ467" s="571"/>
      <c r="CA467" s="571"/>
    </row>
    <row r="468" spans="2:79">
      <c r="B468" s="566">
        <v>453</v>
      </c>
      <c r="C468" s="308"/>
      <c r="D468" s="307"/>
      <c r="E468" s="307"/>
      <c r="F468" s="305"/>
      <c r="G468" s="305"/>
      <c r="H468" s="292"/>
      <c r="I468" s="574"/>
      <c r="J468" s="573"/>
      <c r="K468" s="307"/>
      <c r="L468" s="292"/>
      <c r="M468" s="308"/>
      <c r="N468" s="292"/>
      <c r="O468" s="308"/>
      <c r="P468" s="575"/>
      <c r="Q468" s="576"/>
      <c r="R468" s="308"/>
      <c r="S468" s="575"/>
      <c r="T468" s="576"/>
      <c r="U468" s="308"/>
      <c r="V468" s="575"/>
      <c r="W468" s="576"/>
      <c r="X468" s="308"/>
      <c r="Y468" s="575"/>
      <c r="Z468" s="576"/>
      <c r="AA468" s="308"/>
      <c r="AB468" s="575"/>
      <c r="AC468" s="576"/>
      <c r="AD468" s="308"/>
      <c r="AE468" s="575"/>
      <c r="AF468" s="308"/>
      <c r="AG468" s="575"/>
      <c r="AH468" s="308"/>
      <c r="AI468" s="575"/>
      <c r="AJ468" s="308"/>
      <c r="AK468" s="305"/>
      <c r="AL468" s="577"/>
      <c r="AM468" s="306"/>
      <c r="AN468" s="308"/>
      <c r="AO468" s="573"/>
      <c r="AP468" s="305"/>
      <c r="AQ468" s="308"/>
      <c r="AR468" s="573"/>
      <c r="AS468" s="578"/>
      <c r="AT468" s="577"/>
      <c r="AU468" s="579"/>
      <c r="AV468" s="578"/>
      <c r="AW468" s="308"/>
      <c r="AX468" s="307"/>
      <c r="AY468" s="307"/>
      <c r="AZ468" s="307"/>
      <c r="BA468" s="307"/>
      <c r="BB468" s="307"/>
      <c r="BC468" s="305"/>
      <c r="BD468" s="292"/>
      <c r="BE468" s="297"/>
      <c r="BF468" s="297"/>
      <c r="BG468" s="569"/>
      <c r="BH468" s="570"/>
      <c r="BI468" s="570"/>
      <c r="BJ468" s="570"/>
      <c r="BK468" s="570"/>
      <c r="BL468" s="570"/>
      <c r="BM468" s="570"/>
      <c r="BN468" s="570"/>
      <c r="BO468" s="570"/>
      <c r="BP468" s="570"/>
      <c r="BQ468" s="570"/>
      <c r="BR468" s="570"/>
      <c r="BS468" s="570"/>
      <c r="BT468" s="570"/>
      <c r="BU468" s="570"/>
      <c r="BV468" s="570"/>
      <c r="BW468" s="570"/>
      <c r="BX468" s="570"/>
      <c r="BY468" s="570"/>
      <c r="BZ468" s="571"/>
      <c r="CA468" s="571"/>
    </row>
    <row r="469" spans="2:79">
      <c r="B469" s="572">
        <v>454</v>
      </c>
      <c r="C469" s="308"/>
      <c r="D469" s="307"/>
      <c r="E469" s="307"/>
      <c r="F469" s="305"/>
      <c r="G469" s="305"/>
      <c r="H469" s="292"/>
      <c r="I469" s="574"/>
      <c r="J469" s="573"/>
      <c r="K469" s="307"/>
      <c r="L469" s="292"/>
      <c r="M469" s="308"/>
      <c r="N469" s="292"/>
      <c r="O469" s="308"/>
      <c r="P469" s="575"/>
      <c r="Q469" s="576"/>
      <c r="R469" s="308"/>
      <c r="S469" s="575"/>
      <c r="T469" s="576"/>
      <c r="U469" s="308"/>
      <c r="V469" s="575"/>
      <c r="W469" s="576"/>
      <c r="X469" s="308"/>
      <c r="Y469" s="575"/>
      <c r="Z469" s="576"/>
      <c r="AA469" s="308"/>
      <c r="AB469" s="575"/>
      <c r="AC469" s="576"/>
      <c r="AD469" s="308"/>
      <c r="AE469" s="575"/>
      <c r="AF469" s="308"/>
      <c r="AG469" s="575"/>
      <c r="AH469" s="308"/>
      <c r="AI469" s="575"/>
      <c r="AJ469" s="308"/>
      <c r="AK469" s="305"/>
      <c r="AL469" s="577"/>
      <c r="AM469" s="306"/>
      <c r="AN469" s="308"/>
      <c r="AO469" s="573"/>
      <c r="AP469" s="305"/>
      <c r="AQ469" s="308"/>
      <c r="AR469" s="573"/>
      <c r="AS469" s="578"/>
      <c r="AT469" s="577"/>
      <c r="AU469" s="579"/>
      <c r="AV469" s="578"/>
      <c r="AW469" s="308"/>
      <c r="AX469" s="307"/>
      <c r="AY469" s="307"/>
      <c r="AZ469" s="307"/>
      <c r="BA469" s="307"/>
      <c r="BB469" s="307"/>
      <c r="BC469" s="305"/>
      <c r="BD469" s="292"/>
      <c r="BE469" s="297"/>
      <c r="BF469" s="297"/>
      <c r="BG469" s="569"/>
      <c r="BH469" s="570"/>
      <c r="BI469" s="570"/>
      <c r="BJ469" s="570"/>
      <c r="BK469" s="570"/>
      <c r="BL469" s="570"/>
      <c r="BM469" s="570"/>
      <c r="BN469" s="570"/>
      <c r="BO469" s="570"/>
      <c r="BP469" s="570"/>
      <c r="BQ469" s="570"/>
      <c r="BR469" s="570"/>
      <c r="BS469" s="570"/>
      <c r="BT469" s="570"/>
      <c r="BU469" s="570"/>
      <c r="BV469" s="570"/>
      <c r="BW469" s="570"/>
      <c r="BX469" s="570"/>
      <c r="BY469" s="570"/>
      <c r="BZ469" s="571"/>
      <c r="CA469" s="571"/>
    </row>
    <row r="470" spans="2:79">
      <c r="B470" s="566">
        <v>455</v>
      </c>
      <c r="C470" s="308"/>
      <c r="D470" s="307"/>
      <c r="E470" s="307"/>
      <c r="F470" s="305"/>
      <c r="G470" s="305"/>
      <c r="H470" s="292"/>
      <c r="I470" s="574"/>
      <c r="J470" s="573"/>
      <c r="K470" s="307"/>
      <c r="L470" s="292"/>
      <c r="M470" s="308"/>
      <c r="N470" s="292"/>
      <c r="O470" s="308"/>
      <c r="P470" s="575"/>
      <c r="Q470" s="576"/>
      <c r="R470" s="308"/>
      <c r="S470" s="575"/>
      <c r="T470" s="576"/>
      <c r="U470" s="308"/>
      <c r="V470" s="575"/>
      <c r="W470" s="576"/>
      <c r="X470" s="308"/>
      <c r="Y470" s="575"/>
      <c r="Z470" s="576"/>
      <c r="AA470" s="308"/>
      <c r="AB470" s="575"/>
      <c r="AC470" s="576"/>
      <c r="AD470" s="308"/>
      <c r="AE470" s="575"/>
      <c r="AF470" s="308"/>
      <c r="AG470" s="575"/>
      <c r="AH470" s="308"/>
      <c r="AI470" s="575"/>
      <c r="AJ470" s="308"/>
      <c r="AK470" s="305"/>
      <c r="AL470" s="577"/>
      <c r="AM470" s="306"/>
      <c r="AN470" s="308"/>
      <c r="AO470" s="573"/>
      <c r="AP470" s="305"/>
      <c r="AQ470" s="308"/>
      <c r="AR470" s="573"/>
      <c r="AS470" s="578"/>
      <c r="AT470" s="577"/>
      <c r="AU470" s="579"/>
      <c r="AV470" s="578"/>
      <c r="AW470" s="308"/>
      <c r="AX470" s="307"/>
      <c r="AY470" s="307"/>
      <c r="AZ470" s="307"/>
      <c r="BA470" s="307"/>
      <c r="BB470" s="307"/>
      <c r="BC470" s="305"/>
      <c r="BD470" s="292"/>
      <c r="BE470" s="297"/>
      <c r="BF470" s="297"/>
      <c r="BG470" s="569"/>
      <c r="BH470" s="570"/>
      <c r="BI470" s="570"/>
      <c r="BJ470" s="570"/>
      <c r="BK470" s="570"/>
      <c r="BL470" s="570"/>
      <c r="BM470" s="570"/>
      <c r="BN470" s="570"/>
      <c r="BO470" s="570"/>
      <c r="BP470" s="570"/>
      <c r="BQ470" s="570"/>
      <c r="BR470" s="570"/>
      <c r="BS470" s="570"/>
      <c r="BT470" s="570"/>
      <c r="BU470" s="570"/>
      <c r="BV470" s="570"/>
      <c r="BW470" s="570"/>
      <c r="BX470" s="570"/>
      <c r="BY470" s="570"/>
      <c r="BZ470" s="571"/>
      <c r="CA470" s="571"/>
    </row>
    <row r="471" spans="2:79">
      <c r="B471" s="572">
        <v>456</v>
      </c>
      <c r="C471" s="308"/>
      <c r="D471" s="307"/>
      <c r="E471" s="307"/>
      <c r="F471" s="305"/>
      <c r="G471" s="305"/>
      <c r="H471" s="292"/>
      <c r="I471" s="574"/>
      <c r="J471" s="573"/>
      <c r="K471" s="307"/>
      <c r="L471" s="292"/>
      <c r="M471" s="308"/>
      <c r="N471" s="292"/>
      <c r="O471" s="308"/>
      <c r="P471" s="575"/>
      <c r="Q471" s="576"/>
      <c r="R471" s="308"/>
      <c r="S471" s="575"/>
      <c r="T471" s="576"/>
      <c r="U471" s="308"/>
      <c r="V471" s="575"/>
      <c r="W471" s="576"/>
      <c r="X471" s="308"/>
      <c r="Y471" s="575"/>
      <c r="Z471" s="576"/>
      <c r="AA471" s="308"/>
      <c r="AB471" s="575"/>
      <c r="AC471" s="576"/>
      <c r="AD471" s="308"/>
      <c r="AE471" s="575"/>
      <c r="AF471" s="308"/>
      <c r="AG471" s="575"/>
      <c r="AH471" s="308"/>
      <c r="AI471" s="575"/>
      <c r="AJ471" s="308"/>
      <c r="AK471" s="305"/>
      <c r="AL471" s="577"/>
      <c r="AM471" s="306"/>
      <c r="AN471" s="308"/>
      <c r="AO471" s="573"/>
      <c r="AP471" s="305"/>
      <c r="AQ471" s="308"/>
      <c r="AR471" s="573"/>
      <c r="AS471" s="578"/>
      <c r="AT471" s="577"/>
      <c r="AU471" s="579"/>
      <c r="AV471" s="578"/>
      <c r="AW471" s="308"/>
      <c r="AX471" s="307"/>
      <c r="AY471" s="307"/>
      <c r="AZ471" s="307"/>
      <c r="BA471" s="307"/>
      <c r="BB471" s="307"/>
      <c r="BC471" s="305"/>
      <c r="BD471" s="292"/>
      <c r="BE471" s="297"/>
      <c r="BF471" s="297"/>
      <c r="BG471" s="569"/>
      <c r="BH471" s="570"/>
      <c r="BI471" s="570"/>
      <c r="BJ471" s="570"/>
      <c r="BK471" s="570"/>
      <c r="BL471" s="570"/>
      <c r="BM471" s="570"/>
      <c r="BN471" s="570"/>
      <c r="BO471" s="570"/>
      <c r="BP471" s="570"/>
      <c r="BQ471" s="570"/>
      <c r="BR471" s="570"/>
      <c r="BS471" s="570"/>
      <c r="BT471" s="570"/>
      <c r="BU471" s="570"/>
      <c r="BV471" s="570"/>
      <c r="BW471" s="570"/>
      <c r="BX471" s="570"/>
      <c r="BY471" s="570"/>
      <c r="BZ471" s="571"/>
      <c r="CA471" s="571"/>
    </row>
    <row r="472" spans="2:79">
      <c r="B472" s="566">
        <v>457</v>
      </c>
      <c r="C472" s="308"/>
      <c r="D472" s="307"/>
      <c r="E472" s="307"/>
      <c r="F472" s="305"/>
      <c r="G472" s="305"/>
      <c r="H472" s="292"/>
      <c r="I472" s="574"/>
      <c r="J472" s="573"/>
      <c r="K472" s="307"/>
      <c r="L472" s="292"/>
      <c r="M472" s="308"/>
      <c r="N472" s="292"/>
      <c r="O472" s="308"/>
      <c r="P472" s="575"/>
      <c r="Q472" s="576"/>
      <c r="R472" s="308"/>
      <c r="S472" s="575"/>
      <c r="T472" s="576"/>
      <c r="U472" s="308"/>
      <c r="V472" s="575"/>
      <c r="W472" s="576"/>
      <c r="X472" s="308"/>
      <c r="Y472" s="575"/>
      <c r="Z472" s="576"/>
      <c r="AA472" s="308"/>
      <c r="AB472" s="575"/>
      <c r="AC472" s="576"/>
      <c r="AD472" s="308"/>
      <c r="AE472" s="575"/>
      <c r="AF472" s="308"/>
      <c r="AG472" s="575"/>
      <c r="AH472" s="308"/>
      <c r="AI472" s="575"/>
      <c r="AJ472" s="308"/>
      <c r="AK472" s="305"/>
      <c r="AL472" s="577"/>
      <c r="AM472" s="306"/>
      <c r="AN472" s="308"/>
      <c r="AO472" s="573"/>
      <c r="AP472" s="305"/>
      <c r="AQ472" s="308"/>
      <c r="AR472" s="573"/>
      <c r="AS472" s="578"/>
      <c r="AT472" s="577"/>
      <c r="AU472" s="579"/>
      <c r="AV472" s="578"/>
      <c r="AW472" s="308"/>
      <c r="AX472" s="307"/>
      <c r="AY472" s="307"/>
      <c r="AZ472" s="307"/>
      <c r="BA472" s="307"/>
      <c r="BB472" s="307"/>
      <c r="BC472" s="305"/>
      <c r="BD472" s="292"/>
      <c r="BE472" s="297"/>
      <c r="BF472" s="297"/>
      <c r="BG472" s="569"/>
      <c r="BH472" s="570"/>
      <c r="BI472" s="570"/>
      <c r="BJ472" s="570"/>
      <c r="BK472" s="570"/>
      <c r="BL472" s="570"/>
      <c r="BM472" s="570"/>
      <c r="BN472" s="570"/>
      <c r="BO472" s="570"/>
      <c r="BP472" s="570"/>
      <c r="BQ472" s="570"/>
      <c r="BR472" s="570"/>
      <c r="BS472" s="570"/>
      <c r="BT472" s="570"/>
      <c r="BU472" s="570"/>
      <c r="BV472" s="570"/>
      <c r="BW472" s="570"/>
      <c r="BX472" s="570"/>
      <c r="BY472" s="570"/>
      <c r="BZ472" s="571"/>
      <c r="CA472" s="571"/>
    </row>
    <row r="473" spans="2:79">
      <c r="B473" s="572">
        <v>458</v>
      </c>
      <c r="C473" s="308"/>
      <c r="D473" s="307"/>
      <c r="E473" s="307"/>
      <c r="F473" s="305"/>
      <c r="G473" s="305"/>
      <c r="H473" s="292"/>
      <c r="I473" s="574"/>
      <c r="J473" s="573"/>
      <c r="K473" s="307"/>
      <c r="L473" s="292"/>
      <c r="M473" s="308"/>
      <c r="N473" s="292"/>
      <c r="O473" s="308"/>
      <c r="P473" s="575"/>
      <c r="Q473" s="576"/>
      <c r="R473" s="308"/>
      <c r="S473" s="575"/>
      <c r="T473" s="576"/>
      <c r="U473" s="308"/>
      <c r="V473" s="575"/>
      <c r="W473" s="576"/>
      <c r="X473" s="308"/>
      <c r="Y473" s="575"/>
      <c r="Z473" s="576"/>
      <c r="AA473" s="308"/>
      <c r="AB473" s="575"/>
      <c r="AC473" s="576"/>
      <c r="AD473" s="308"/>
      <c r="AE473" s="575"/>
      <c r="AF473" s="308"/>
      <c r="AG473" s="575"/>
      <c r="AH473" s="308"/>
      <c r="AI473" s="575"/>
      <c r="AJ473" s="308"/>
      <c r="AK473" s="305"/>
      <c r="AL473" s="577"/>
      <c r="AM473" s="306"/>
      <c r="AN473" s="308"/>
      <c r="AO473" s="573"/>
      <c r="AP473" s="305"/>
      <c r="AQ473" s="308"/>
      <c r="AR473" s="573"/>
      <c r="AS473" s="578"/>
      <c r="AT473" s="577"/>
      <c r="AU473" s="579"/>
      <c r="AV473" s="578"/>
      <c r="AW473" s="308"/>
      <c r="AX473" s="307"/>
      <c r="AY473" s="307"/>
      <c r="AZ473" s="307"/>
      <c r="BA473" s="307"/>
      <c r="BB473" s="307"/>
      <c r="BC473" s="305"/>
      <c r="BD473" s="292"/>
      <c r="BE473" s="297"/>
      <c r="BF473" s="297"/>
      <c r="BG473" s="569"/>
      <c r="BH473" s="570"/>
      <c r="BI473" s="570"/>
      <c r="BJ473" s="570"/>
      <c r="BK473" s="570"/>
      <c r="BL473" s="570"/>
      <c r="BM473" s="570"/>
      <c r="BN473" s="570"/>
      <c r="BO473" s="570"/>
      <c r="BP473" s="570"/>
      <c r="BQ473" s="570"/>
      <c r="BR473" s="570"/>
      <c r="BS473" s="570"/>
      <c r="BT473" s="570"/>
      <c r="BU473" s="570"/>
      <c r="BV473" s="570"/>
      <c r="BW473" s="570"/>
      <c r="BX473" s="570"/>
      <c r="BY473" s="570"/>
      <c r="BZ473" s="571"/>
      <c r="CA473" s="571"/>
    </row>
    <row r="474" spans="2:79">
      <c r="B474" s="566">
        <v>459</v>
      </c>
      <c r="C474" s="308"/>
      <c r="D474" s="307"/>
      <c r="E474" s="307"/>
      <c r="F474" s="305"/>
      <c r="G474" s="305"/>
      <c r="H474" s="292"/>
      <c r="I474" s="574"/>
      <c r="J474" s="573"/>
      <c r="K474" s="307"/>
      <c r="L474" s="292"/>
      <c r="M474" s="308"/>
      <c r="N474" s="292"/>
      <c r="O474" s="308"/>
      <c r="P474" s="575"/>
      <c r="Q474" s="576"/>
      <c r="R474" s="308"/>
      <c r="S474" s="575"/>
      <c r="T474" s="576"/>
      <c r="U474" s="308"/>
      <c r="V474" s="575"/>
      <c r="W474" s="576"/>
      <c r="X474" s="308"/>
      <c r="Y474" s="575"/>
      <c r="Z474" s="576"/>
      <c r="AA474" s="308"/>
      <c r="AB474" s="575"/>
      <c r="AC474" s="576"/>
      <c r="AD474" s="308"/>
      <c r="AE474" s="575"/>
      <c r="AF474" s="308"/>
      <c r="AG474" s="575"/>
      <c r="AH474" s="308"/>
      <c r="AI474" s="575"/>
      <c r="AJ474" s="308"/>
      <c r="AK474" s="305"/>
      <c r="AL474" s="577"/>
      <c r="AM474" s="306"/>
      <c r="AN474" s="308"/>
      <c r="AO474" s="573"/>
      <c r="AP474" s="305"/>
      <c r="AQ474" s="308"/>
      <c r="AR474" s="573"/>
      <c r="AS474" s="578"/>
      <c r="AT474" s="577"/>
      <c r="AU474" s="579"/>
      <c r="AV474" s="578"/>
      <c r="AW474" s="308"/>
      <c r="AX474" s="307"/>
      <c r="AY474" s="307"/>
      <c r="AZ474" s="307"/>
      <c r="BA474" s="307"/>
      <c r="BB474" s="307"/>
      <c r="BC474" s="305"/>
      <c r="BD474" s="292"/>
      <c r="BE474" s="297"/>
      <c r="BF474" s="297"/>
      <c r="BG474" s="569"/>
      <c r="BH474" s="570"/>
      <c r="BI474" s="570"/>
      <c r="BJ474" s="570"/>
      <c r="BK474" s="570"/>
      <c r="BL474" s="570"/>
      <c r="BM474" s="570"/>
      <c r="BN474" s="570"/>
      <c r="BO474" s="570"/>
      <c r="BP474" s="570"/>
      <c r="BQ474" s="570"/>
      <c r="BR474" s="570"/>
      <c r="BS474" s="570"/>
      <c r="BT474" s="570"/>
      <c r="BU474" s="570"/>
      <c r="BV474" s="570"/>
      <c r="BW474" s="570"/>
      <c r="BX474" s="570"/>
      <c r="BY474" s="570"/>
      <c r="BZ474" s="571"/>
      <c r="CA474" s="571"/>
    </row>
    <row r="475" spans="2:79">
      <c r="B475" s="572">
        <v>460</v>
      </c>
      <c r="C475" s="308"/>
      <c r="D475" s="307"/>
      <c r="E475" s="307"/>
      <c r="F475" s="305"/>
      <c r="G475" s="305"/>
      <c r="H475" s="292"/>
      <c r="I475" s="574"/>
      <c r="J475" s="573"/>
      <c r="K475" s="307"/>
      <c r="L475" s="292"/>
      <c r="M475" s="308"/>
      <c r="N475" s="292"/>
      <c r="O475" s="308"/>
      <c r="P475" s="575"/>
      <c r="Q475" s="576"/>
      <c r="R475" s="308"/>
      <c r="S475" s="575"/>
      <c r="T475" s="576"/>
      <c r="U475" s="308"/>
      <c r="V475" s="575"/>
      <c r="W475" s="576"/>
      <c r="X475" s="308"/>
      <c r="Y475" s="575"/>
      <c r="Z475" s="576"/>
      <c r="AA475" s="308"/>
      <c r="AB475" s="575"/>
      <c r="AC475" s="576"/>
      <c r="AD475" s="308"/>
      <c r="AE475" s="575"/>
      <c r="AF475" s="308"/>
      <c r="AG475" s="575"/>
      <c r="AH475" s="308"/>
      <c r="AI475" s="575"/>
      <c r="AJ475" s="308"/>
      <c r="AK475" s="305"/>
      <c r="AL475" s="577"/>
      <c r="AM475" s="306"/>
      <c r="AN475" s="308"/>
      <c r="AO475" s="573"/>
      <c r="AP475" s="305"/>
      <c r="AQ475" s="308"/>
      <c r="AR475" s="573"/>
      <c r="AS475" s="578"/>
      <c r="AT475" s="577"/>
      <c r="AU475" s="579"/>
      <c r="AV475" s="578"/>
      <c r="AW475" s="308"/>
      <c r="AX475" s="307"/>
      <c r="AY475" s="307"/>
      <c r="AZ475" s="307"/>
      <c r="BA475" s="307"/>
      <c r="BB475" s="307"/>
      <c r="BC475" s="305"/>
      <c r="BD475" s="292"/>
      <c r="BE475" s="297"/>
      <c r="BF475" s="297"/>
      <c r="BG475" s="569"/>
      <c r="BH475" s="570"/>
      <c r="BI475" s="570"/>
      <c r="BJ475" s="570"/>
      <c r="BK475" s="570"/>
      <c r="BL475" s="570"/>
      <c r="BM475" s="570"/>
      <c r="BN475" s="570"/>
      <c r="BO475" s="570"/>
      <c r="BP475" s="570"/>
      <c r="BQ475" s="570"/>
      <c r="BR475" s="570"/>
      <c r="BS475" s="570"/>
      <c r="BT475" s="570"/>
      <c r="BU475" s="570"/>
      <c r="BV475" s="570"/>
      <c r="BW475" s="570"/>
      <c r="BX475" s="570"/>
      <c r="BY475" s="570"/>
      <c r="BZ475" s="571"/>
      <c r="CA475" s="571"/>
    </row>
    <row r="476" spans="2:79">
      <c r="B476" s="566">
        <v>461</v>
      </c>
      <c r="C476" s="308"/>
      <c r="D476" s="307"/>
      <c r="E476" s="307"/>
      <c r="F476" s="305"/>
      <c r="G476" s="305"/>
      <c r="H476" s="292"/>
      <c r="I476" s="574"/>
      <c r="J476" s="573"/>
      <c r="K476" s="307"/>
      <c r="L476" s="292"/>
      <c r="M476" s="308"/>
      <c r="N476" s="292"/>
      <c r="O476" s="308"/>
      <c r="P476" s="575"/>
      <c r="Q476" s="576"/>
      <c r="R476" s="308"/>
      <c r="S476" s="575"/>
      <c r="T476" s="576"/>
      <c r="U476" s="308"/>
      <c r="V476" s="575"/>
      <c r="W476" s="576"/>
      <c r="X476" s="308"/>
      <c r="Y476" s="575"/>
      <c r="Z476" s="576"/>
      <c r="AA476" s="308"/>
      <c r="AB476" s="575"/>
      <c r="AC476" s="576"/>
      <c r="AD476" s="308"/>
      <c r="AE476" s="575"/>
      <c r="AF476" s="308"/>
      <c r="AG476" s="575"/>
      <c r="AH476" s="308"/>
      <c r="AI476" s="575"/>
      <c r="AJ476" s="308"/>
      <c r="AK476" s="305"/>
      <c r="AL476" s="577"/>
      <c r="AM476" s="306"/>
      <c r="AN476" s="308"/>
      <c r="AO476" s="573"/>
      <c r="AP476" s="305"/>
      <c r="AQ476" s="308"/>
      <c r="AR476" s="573"/>
      <c r="AS476" s="578"/>
      <c r="AT476" s="577"/>
      <c r="AU476" s="579"/>
      <c r="AV476" s="578"/>
      <c r="AW476" s="308"/>
      <c r="AX476" s="307"/>
      <c r="AY476" s="307"/>
      <c r="AZ476" s="307"/>
      <c r="BA476" s="307"/>
      <c r="BB476" s="307"/>
      <c r="BC476" s="305"/>
      <c r="BD476" s="292"/>
      <c r="BE476" s="297"/>
      <c r="BF476" s="297"/>
      <c r="BG476" s="569"/>
      <c r="BH476" s="570"/>
      <c r="BI476" s="570"/>
      <c r="BJ476" s="570"/>
      <c r="BK476" s="570"/>
      <c r="BL476" s="570"/>
      <c r="BM476" s="570"/>
      <c r="BN476" s="570"/>
      <c r="BO476" s="570"/>
      <c r="BP476" s="570"/>
      <c r="BQ476" s="570"/>
      <c r="BR476" s="570"/>
      <c r="BS476" s="570"/>
      <c r="BT476" s="570"/>
      <c r="BU476" s="570"/>
      <c r="BV476" s="570"/>
      <c r="BW476" s="570"/>
      <c r="BX476" s="570"/>
      <c r="BY476" s="570"/>
      <c r="BZ476" s="571"/>
      <c r="CA476" s="571"/>
    </row>
    <row r="477" spans="2:79">
      <c r="B477" s="572">
        <v>462</v>
      </c>
      <c r="C477" s="308"/>
      <c r="D477" s="307"/>
      <c r="E477" s="307"/>
      <c r="F477" s="305"/>
      <c r="G477" s="305"/>
      <c r="H477" s="292"/>
      <c r="I477" s="574"/>
      <c r="J477" s="573"/>
      <c r="K477" s="307"/>
      <c r="L477" s="292"/>
      <c r="M477" s="308"/>
      <c r="N477" s="292"/>
      <c r="O477" s="308"/>
      <c r="P477" s="575"/>
      <c r="Q477" s="576"/>
      <c r="R477" s="308"/>
      <c r="S477" s="575"/>
      <c r="T477" s="576"/>
      <c r="U477" s="308"/>
      <c r="V477" s="575"/>
      <c r="W477" s="576"/>
      <c r="X477" s="308"/>
      <c r="Y477" s="575"/>
      <c r="Z477" s="576"/>
      <c r="AA477" s="308"/>
      <c r="AB477" s="575"/>
      <c r="AC477" s="576"/>
      <c r="AD477" s="308"/>
      <c r="AE477" s="575"/>
      <c r="AF477" s="308"/>
      <c r="AG477" s="575"/>
      <c r="AH477" s="308"/>
      <c r="AI477" s="575"/>
      <c r="AJ477" s="308"/>
      <c r="AK477" s="305"/>
      <c r="AL477" s="577"/>
      <c r="AM477" s="306"/>
      <c r="AN477" s="308"/>
      <c r="AO477" s="573"/>
      <c r="AP477" s="305"/>
      <c r="AQ477" s="308"/>
      <c r="AR477" s="573"/>
      <c r="AS477" s="578"/>
      <c r="AT477" s="577"/>
      <c r="AU477" s="579"/>
      <c r="AV477" s="578"/>
      <c r="AW477" s="308"/>
      <c r="AX477" s="307"/>
      <c r="AY477" s="307"/>
      <c r="AZ477" s="307"/>
      <c r="BA477" s="307"/>
      <c r="BB477" s="307"/>
      <c r="BC477" s="305"/>
      <c r="BD477" s="292"/>
      <c r="BE477" s="297"/>
      <c r="BF477" s="297"/>
      <c r="BG477" s="569"/>
      <c r="BH477" s="570"/>
      <c r="BI477" s="570"/>
      <c r="BJ477" s="570"/>
      <c r="BK477" s="570"/>
      <c r="BL477" s="570"/>
      <c r="BM477" s="570"/>
      <c r="BN477" s="570"/>
      <c r="BO477" s="570"/>
      <c r="BP477" s="570"/>
      <c r="BQ477" s="570"/>
      <c r="BR477" s="570"/>
      <c r="BS477" s="570"/>
      <c r="BT477" s="570"/>
      <c r="BU477" s="570"/>
      <c r="BV477" s="570"/>
      <c r="BW477" s="570"/>
      <c r="BX477" s="570"/>
      <c r="BY477" s="570"/>
      <c r="BZ477" s="571"/>
      <c r="CA477" s="571"/>
    </row>
    <row r="478" spans="2:79">
      <c r="B478" s="566">
        <v>463</v>
      </c>
      <c r="C478" s="308"/>
      <c r="D478" s="307"/>
      <c r="E478" s="307"/>
      <c r="F478" s="305"/>
      <c r="G478" s="305"/>
      <c r="H478" s="292"/>
      <c r="I478" s="574"/>
      <c r="J478" s="573"/>
      <c r="K478" s="307"/>
      <c r="L478" s="292"/>
      <c r="M478" s="308"/>
      <c r="N478" s="292"/>
      <c r="O478" s="308"/>
      <c r="P478" s="575"/>
      <c r="Q478" s="576"/>
      <c r="R478" s="308"/>
      <c r="S478" s="575"/>
      <c r="T478" s="576"/>
      <c r="U478" s="308"/>
      <c r="V478" s="575"/>
      <c r="W478" s="576"/>
      <c r="X478" s="308"/>
      <c r="Y478" s="575"/>
      <c r="Z478" s="576"/>
      <c r="AA478" s="308"/>
      <c r="AB478" s="575"/>
      <c r="AC478" s="576"/>
      <c r="AD478" s="308"/>
      <c r="AE478" s="575"/>
      <c r="AF478" s="308"/>
      <c r="AG478" s="575"/>
      <c r="AH478" s="308"/>
      <c r="AI478" s="575"/>
      <c r="AJ478" s="308"/>
      <c r="AK478" s="305"/>
      <c r="AL478" s="577"/>
      <c r="AM478" s="306"/>
      <c r="AN478" s="308"/>
      <c r="AO478" s="573"/>
      <c r="AP478" s="305"/>
      <c r="AQ478" s="308"/>
      <c r="AR478" s="573"/>
      <c r="AS478" s="578"/>
      <c r="AT478" s="577"/>
      <c r="AU478" s="579"/>
      <c r="AV478" s="578"/>
      <c r="AW478" s="308"/>
      <c r="AX478" s="307"/>
      <c r="AY478" s="307"/>
      <c r="AZ478" s="307"/>
      <c r="BA478" s="307"/>
      <c r="BB478" s="307"/>
      <c r="BC478" s="305"/>
      <c r="BD478" s="292"/>
      <c r="BE478" s="297"/>
      <c r="BF478" s="297"/>
      <c r="BG478" s="569"/>
      <c r="BH478" s="570"/>
      <c r="BI478" s="570"/>
      <c r="BJ478" s="570"/>
      <c r="BK478" s="570"/>
      <c r="BL478" s="570"/>
      <c r="BM478" s="570"/>
      <c r="BN478" s="570"/>
      <c r="BO478" s="570"/>
      <c r="BP478" s="570"/>
      <c r="BQ478" s="570"/>
      <c r="BR478" s="570"/>
      <c r="BS478" s="570"/>
      <c r="BT478" s="570"/>
      <c r="BU478" s="570"/>
      <c r="BV478" s="570"/>
      <c r="BW478" s="570"/>
      <c r="BX478" s="570"/>
      <c r="BY478" s="570"/>
      <c r="BZ478" s="571"/>
      <c r="CA478" s="571"/>
    </row>
    <row r="479" spans="2:79">
      <c r="B479" s="572">
        <v>464</v>
      </c>
      <c r="C479" s="308"/>
      <c r="D479" s="307"/>
      <c r="E479" s="307"/>
      <c r="F479" s="305"/>
      <c r="G479" s="305"/>
      <c r="H479" s="292"/>
      <c r="I479" s="574"/>
      <c r="J479" s="573"/>
      <c r="K479" s="307"/>
      <c r="L479" s="292"/>
      <c r="M479" s="308"/>
      <c r="N479" s="292"/>
      <c r="O479" s="308"/>
      <c r="P479" s="575"/>
      <c r="Q479" s="576"/>
      <c r="R479" s="308"/>
      <c r="S479" s="575"/>
      <c r="T479" s="576"/>
      <c r="U479" s="308"/>
      <c r="V479" s="575"/>
      <c r="W479" s="576"/>
      <c r="X479" s="308"/>
      <c r="Y479" s="575"/>
      <c r="Z479" s="576"/>
      <c r="AA479" s="308"/>
      <c r="AB479" s="575"/>
      <c r="AC479" s="576"/>
      <c r="AD479" s="308"/>
      <c r="AE479" s="575"/>
      <c r="AF479" s="308"/>
      <c r="AG479" s="575"/>
      <c r="AH479" s="308"/>
      <c r="AI479" s="575"/>
      <c r="AJ479" s="308"/>
      <c r="AK479" s="305"/>
      <c r="AL479" s="577"/>
      <c r="AM479" s="306"/>
      <c r="AN479" s="308"/>
      <c r="AO479" s="573"/>
      <c r="AP479" s="305"/>
      <c r="AQ479" s="308"/>
      <c r="AR479" s="573"/>
      <c r="AS479" s="578"/>
      <c r="AT479" s="577"/>
      <c r="AU479" s="579"/>
      <c r="AV479" s="578"/>
      <c r="AW479" s="308"/>
      <c r="AX479" s="307"/>
      <c r="AY479" s="307"/>
      <c r="AZ479" s="307"/>
      <c r="BA479" s="307"/>
      <c r="BB479" s="307"/>
      <c r="BC479" s="305"/>
      <c r="BD479" s="292"/>
      <c r="BE479" s="297"/>
      <c r="BF479" s="297"/>
      <c r="BG479" s="569"/>
      <c r="BH479" s="570"/>
      <c r="BI479" s="570"/>
      <c r="BJ479" s="570"/>
      <c r="BK479" s="570"/>
      <c r="BL479" s="570"/>
      <c r="BM479" s="570"/>
      <c r="BN479" s="570"/>
      <c r="BO479" s="570"/>
      <c r="BP479" s="570"/>
      <c r="BQ479" s="570"/>
      <c r="BR479" s="570"/>
      <c r="BS479" s="570"/>
      <c r="BT479" s="570"/>
      <c r="BU479" s="570"/>
      <c r="BV479" s="570"/>
      <c r="BW479" s="570"/>
      <c r="BX479" s="570"/>
      <c r="BY479" s="570"/>
      <c r="BZ479" s="571"/>
      <c r="CA479" s="571"/>
    </row>
    <row r="480" spans="2:79">
      <c r="B480" s="566">
        <v>465</v>
      </c>
      <c r="C480" s="308"/>
      <c r="D480" s="307"/>
      <c r="E480" s="307"/>
      <c r="F480" s="305"/>
      <c r="G480" s="305"/>
      <c r="H480" s="292"/>
      <c r="I480" s="574"/>
      <c r="J480" s="573"/>
      <c r="K480" s="307"/>
      <c r="L480" s="292"/>
      <c r="M480" s="308"/>
      <c r="N480" s="292"/>
      <c r="O480" s="308"/>
      <c r="P480" s="575"/>
      <c r="Q480" s="576"/>
      <c r="R480" s="308"/>
      <c r="S480" s="575"/>
      <c r="T480" s="576"/>
      <c r="U480" s="308"/>
      <c r="V480" s="575"/>
      <c r="W480" s="576"/>
      <c r="X480" s="308"/>
      <c r="Y480" s="575"/>
      <c r="Z480" s="576"/>
      <c r="AA480" s="308"/>
      <c r="AB480" s="575"/>
      <c r="AC480" s="576"/>
      <c r="AD480" s="308"/>
      <c r="AE480" s="575"/>
      <c r="AF480" s="308"/>
      <c r="AG480" s="575"/>
      <c r="AH480" s="308"/>
      <c r="AI480" s="575"/>
      <c r="AJ480" s="308"/>
      <c r="AK480" s="305"/>
      <c r="AL480" s="577"/>
      <c r="AM480" s="306"/>
      <c r="AN480" s="308"/>
      <c r="AO480" s="573"/>
      <c r="AP480" s="305"/>
      <c r="AQ480" s="308"/>
      <c r="AR480" s="573"/>
      <c r="AS480" s="578"/>
      <c r="AT480" s="577"/>
      <c r="AU480" s="579"/>
      <c r="AV480" s="578"/>
      <c r="AW480" s="308"/>
      <c r="AX480" s="307"/>
      <c r="AY480" s="307"/>
      <c r="AZ480" s="307"/>
      <c r="BA480" s="307"/>
      <c r="BB480" s="307"/>
      <c r="BC480" s="305"/>
      <c r="BD480" s="292"/>
      <c r="BE480" s="297"/>
      <c r="BF480" s="297"/>
      <c r="BG480" s="569"/>
      <c r="BH480" s="570"/>
      <c r="BI480" s="570"/>
      <c r="BJ480" s="570"/>
      <c r="BK480" s="570"/>
      <c r="BL480" s="570"/>
      <c r="BM480" s="570"/>
      <c r="BN480" s="570"/>
      <c r="BO480" s="570"/>
      <c r="BP480" s="570"/>
      <c r="BQ480" s="570"/>
      <c r="BR480" s="570"/>
      <c r="BS480" s="570"/>
      <c r="BT480" s="570"/>
      <c r="BU480" s="570"/>
      <c r="BV480" s="570"/>
      <c r="BW480" s="570"/>
      <c r="BX480" s="570"/>
      <c r="BY480" s="570"/>
      <c r="BZ480" s="571"/>
      <c r="CA480" s="571"/>
    </row>
    <row r="481" spans="2:79">
      <c r="B481" s="572">
        <v>466</v>
      </c>
      <c r="C481" s="308"/>
      <c r="D481" s="307"/>
      <c r="E481" s="307"/>
      <c r="F481" s="305"/>
      <c r="G481" s="305"/>
      <c r="H481" s="292"/>
      <c r="I481" s="574"/>
      <c r="J481" s="573"/>
      <c r="K481" s="307"/>
      <c r="L481" s="292"/>
      <c r="M481" s="308"/>
      <c r="N481" s="292"/>
      <c r="O481" s="308"/>
      <c r="P481" s="575"/>
      <c r="Q481" s="576"/>
      <c r="R481" s="308"/>
      <c r="S481" s="575"/>
      <c r="T481" s="576"/>
      <c r="U481" s="308"/>
      <c r="V481" s="575"/>
      <c r="W481" s="576"/>
      <c r="X481" s="308"/>
      <c r="Y481" s="575"/>
      <c r="Z481" s="576"/>
      <c r="AA481" s="308"/>
      <c r="AB481" s="575"/>
      <c r="AC481" s="576"/>
      <c r="AD481" s="308"/>
      <c r="AE481" s="575"/>
      <c r="AF481" s="308"/>
      <c r="AG481" s="575"/>
      <c r="AH481" s="308"/>
      <c r="AI481" s="575"/>
      <c r="AJ481" s="308"/>
      <c r="AK481" s="305"/>
      <c r="AL481" s="577"/>
      <c r="AM481" s="306"/>
      <c r="AN481" s="308"/>
      <c r="AO481" s="573"/>
      <c r="AP481" s="305"/>
      <c r="AQ481" s="308"/>
      <c r="AR481" s="573"/>
      <c r="AS481" s="578"/>
      <c r="AT481" s="577"/>
      <c r="AU481" s="579"/>
      <c r="AV481" s="578"/>
      <c r="AW481" s="308"/>
      <c r="AX481" s="307"/>
      <c r="AY481" s="307"/>
      <c r="AZ481" s="307"/>
      <c r="BA481" s="307"/>
      <c r="BB481" s="307"/>
      <c r="BC481" s="305"/>
      <c r="BD481" s="292"/>
      <c r="BE481" s="297"/>
      <c r="BF481" s="297"/>
      <c r="BG481" s="569"/>
      <c r="BH481" s="570"/>
      <c r="BI481" s="570"/>
      <c r="BJ481" s="570"/>
      <c r="BK481" s="570"/>
      <c r="BL481" s="570"/>
      <c r="BM481" s="570"/>
      <c r="BN481" s="570"/>
      <c r="BO481" s="570"/>
      <c r="BP481" s="570"/>
      <c r="BQ481" s="570"/>
      <c r="BR481" s="570"/>
      <c r="BS481" s="570"/>
      <c r="BT481" s="570"/>
      <c r="BU481" s="570"/>
      <c r="BV481" s="570"/>
      <c r="BW481" s="570"/>
      <c r="BX481" s="570"/>
      <c r="BY481" s="570"/>
      <c r="BZ481" s="571"/>
      <c r="CA481" s="571"/>
    </row>
    <row r="482" spans="2:79">
      <c r="B482" s="566">
        <v>467</v>
      </c>
      <c r="C482" s="308"/>
      <c r="D482" s="307"/>
      <c r="E482" s="307"/>
      <c r="F482" s="305"/>
      <c r="G482" s="305"/>
      <c r="H482" s="292"/>
      <c r="I482" s="574"/>
      <c r="J482" s="573"/>
      <c r="K482" s="307"/>
      <c r="L482" s="292"/>
      <c r="M482" s="308"/>
      <c r="N482" s="292"/>
      <c r="O482" s="308"/>
      <c r="P482" s="575"/>
      <c r="Q482" s="576"/>
      <c r="R482" s="308"/>
      <c r="S482" s="575"/>
      <c r="T482" s="576"/>
      <c r="U482" s="308"/>
      <c r="V482" s="575"/>
      <c r="W482" s="576"/>
      <c r="X482" s="308"/>
      <c r="Y482" s="575"/>
      <c r="Z482" s="576"/>
      <c r="AA482" s="308"/>
      <c r="AB482" s="575"/>
      <c r="AC482" s="576"/>
      <c r="AD482" s="308"/>
      <c r="AE482" s="575"/>
      <c r="AF482" s="308"/>
      <c r="AG482" s="575"/>
      <c r="AH482" s="308"/>
      <c r="AI482" s="575"/>
      <c r="AJ482" s="308"/>
      <c r="AK482" s="305"/>
      <c r="AL482" s="577"/>
      <c r="AM482" s="306"/>
      <c r="AN482" s="308"/>
      <c r="AO482" s="573"/>
      <c r="AP482" s="305"/>
      <c r="AQ482" s="308"/>
      <c r="AR482" s="573"/>
      <c r="AS482" s="578"/>
      <c r="AT482" s="577"/>
      <c r="AU482" s="579"/>
      <c r="AV482" s="578"/>
      <c r="AW482" s="308"/>
      <c r="AX482" s="307"/>
      <c r="AY482" s="307"/>
      <c r="AZ482" s="307"/>
      <c r="BA482" s="307"/>
      <c r="BB482" s="307"/>
      <c r="BC482" s="305"/>
      <c r="BD482" s="292"/>
      <c r="BE482" s="297"/>
      <c r="BF482" s="297"/>
      <c r="BG482" s="569"/>
      <c r="BH482" s="570"/>
      <c r="BI482" s="570"/>
      <c r="BJ482" s="570"/>
      <c r="BK482" s="570"/>
      <c r="BL482" s="570"/>
      <c r="BM482" s="570"/>
      <c r="BN482" s="570"/>
      <c r="BO482" s="570"/>
      <c r="BP482" s="570"/>
      <c r="BQ482" s="570"/>
      <c r="BR482" s="570"/>
      <c r="BS482" s="570"/>
      <c r="BT482" s="570"/>
      <c r="BU482" s="570"/>
      <c r="BV482" s="570"/>
      <c r="BW482" s="570"/>
      <c r="BX482" s="570"/>
      <c r="BY482" s="570"/>
      <c r="BZ482" s="571"/>
      <c r="CA482" s="571"/>
    </row>
    <row r="483" spans="2:79">
      <c r="B483" s="572">
        <v>468</v>
      </c>
      <c r="C483" s="308"/>
      <c r="D483" s="307"/>
      <c r="E483" s="307"/>
      <c r="F483" s="305"/>
      <c r="G483" s="305"/>
      <c r="H483" s="292"/>
      <c r="I483" s="574"/>
      <c r="J483" s="573"/>
      <c r="K483" s="307"/>
      <c r="L483" s="292"/>
      <c r="M483" s="308"/>
      <c r="N483" s="292"/>
      <c r="O483" s="308"/>
      <c r="P483" s="575"/>
      <c r="Q483" s="576"/>
      <c r="R483" s="308"/>
      <c r="S483" s="575"/>
      <c r="T483" s="576"/>
      <c r="U483" s="308"/>
      <c r="V483" s="575"/>
      <c r="W483" s="576"/>
      <c r="X483" s="308"/>
      <c r="Y483" s="575"/>
      <c r="Z483" s="576"/>
      <c r="AA483" s="308"/>
      <c r="AB483" s="575"/>
      <c r="AC483" s="576"/>
      <c r="AD483" s="308"/>
      <c r="AE483" s="575"/>
      <c r="AF483" s="308"/>
      <c r="AG483" s="575"/>
      <c r="AH483" s="308"/>
      <c r="AI483" s="575"/>
      <c r="AJ483" s="308"/>
      <c r="AK483" s="305"/>
      <c r="AL483" s="577"/>
      <c r="AM483" s="306"/>
      <c r="AN483" s="308"/>
      <c r="AO483" s="573"/>
      <c r="AP483" s="305"/>
      <c r="AQ483" s="308"/>
      <c r="AR483" s="573"/>
      <c r="AS483" s="578"/>
      <c r="AT483" s="577"/>
      <c r="AU483" s="579"/>
      <c r="AV483" s="578"/>
      <c r="AW483" s="308"/>
      <c r="AX483" s="307"/>
      <c r="AY483" s="307"/>
      <c r="AZ483" s="307"/>
      <c r="BA483" s="307"/>
      <c r="BB483" s="307"/>
      <c r="BC483" s="305"/>
      <c r="BD483" s="292"/>
      <c r="BE483" s="297"/>
      <c r="BF483" s="297"/>
      <c r="BG483" s="569"/>
      <c r="BH483" s="570"/>
      <c r="BI483" s="570"/>
      <c r="BJ483" s="570"/>
      <c r="BK483" s="570"/>
      <c r="BL483" s="570"/>
      <c r="BM483" s="570"/>
      <c r="BN483" s="570"/>
      <c r="BO483" s="570"/>
      <c r="BP483" s="570"/>
      <c r="BQ483" s="570"/>
      <c r="BR483" s="570"/>
      <c r="BS483" s="570"/>
      <c r="BT483" s="570"/>
      <c r="BU483" s="570"/>
      <c r="BV483" s="570"/>
      <c r="BW483" s="570"/>
      <c r="BX483" s="570"/>
      <c r="BY483" s="570"/>
      <c r="BZ483" s="571"/>
      <c r="CA483" s="571"/>
    </row>
    <row r="484" spans="2:79">
      <c r="B484" s="566">
        <v>469</v>
      </c>
      <c r="C484" s="308"/>
      <c r="D484" s="307"/>
      <c r="E484" s="307"/>
      <c r="F484" s="305"/>
      <c r="G484" s="305"/>
      <c r="H484" s="292"/>
      <c r="I484" s="574"/>
      <c r="J484" s="573"/>
      <c r="K484" s="307"/>
      <c r="L484" s="292"/>
      <c r="M484" s="308"/>
      <c r="N484" s="292"/>
      <c r="O484" s="308"/>
      <c r="P484" s="575"/>
      <c r="Q484" s="576"/>
      <c r="R484" s="308"/>
      <c r="S484" s="575"/>
      <c r="T484" s="576"/>
      <c r="U484" s="308"/>
      <c r="V484" s="575"/>
      <c r="W484" s="576"/>
      <c r="X484" s="308"/>
      <c r="Y484" s="575"/>
      <c r="Z484" s="576"/>
      <c r="AA484" s="308"/>
      <c r="AB484" s="575"/>
      <c r="AC484" s="576"/>
      <c r="AD484" s="308"/>
      <c r="AE484" s="575"/>
      <c r="AF484" s="308"/>
      <c r="AG484" s="575"/>
      <c r="AH484" s="308"/>
      <c r="AI484" s="575"/>
      <c r="AJ484" s="308"/>
      <c r="AK484" s="305"/>
      <c r="AL484" s="577"/>
      <c r="AM484" s="306"/>
      <c r="AN484" s="308"/>
      <c r="AO484" s="573"/>
      <c r="AP484" s="305"/>
      <c r="AQ484" s="308"/>
      <c r="AR484" s="573"/>
      <c r="AS484" s="578"/>
      <c r="AT484" s="577"/>
      <c r="AU484" s="579"/>
      <c r="AV484" s="578"/>
      <c r="AW484" s="308"/>
      <c r="AX484" s="307"/>
      <c r="AY484" s="307"/>
      <c r="AZ484" s="307"/>
      <c r="BA484" s="307"/>
      <c r="BB484" s="307"/>
      <c r="BC484" s="305"/>
      <c r="BD484" s="292"/>
      <c r="BE484" s="297"/>
      <c r="BF484" s="297"/>
      <c r="BG484" s="569"/>
      <c r="BH484" s="570"/>
      <c r="BI484" s="570"/>
      <c r="BJ484" s="570"/>
      <c r="BK484" s="570"/>
      <c r="BL484" s="570"/>
      <c r="BM484" s="570"/>
      <c r="BN484" s="570"/>
      <c r="BO484" s="570"/>
      <c r="BP484" s="570"/>
      <c r="BQ484" s="570"/>
      <c r="BR484" s="570"/>
      <c r="BS484" s="570"/>
      <c r="BT484" s="570"/>
      <c r="BU484" s="570"/>
      <c r="BV484" s="570"/>
      <c r="BW484" s="570"/>
      <c r="BX484" s="570"/>
      <c r="BY484" s="570"/>
      <c r="BZ484" s="571"/>
      <c r="CA484" s="571"/>
    </row>
    <row r="485" spans="2:79">
      <c r="B485" s="572">
        <v>470</v>
      </c>
      <c r="C485" s="308"/>
      <c r="D485" s="307"/>
      <c r="E485" s="307"/>
      <c r="F485" s="305"/>
      <c r="G485" s="305"/>
      <c r="H485" s="292"/>
      <c r="I485" s="574"/>
      <c r="J485" s="573"/>
      <c r="K485" s="307"/>
      <c r="L485" s="292"/>
      <c r="M485" s="308"/>
      <c r="N485" s="292"/>
      <c r="O485" s="308"/>
      <c r="P485" s="575"/>
      <c r="Q485" s="576"/>
      <c r="R485" s="308"/>
      <c r="S485" s="575"/>
      <c r="T485" s="576"/>
      <c r="U485" s="308"/>
      <c r="V485" s="575"/>
      <c r="W485" s="576"/>
      <c r="X485" s="308"/>
      <c r="Y485" s="575"/>
      <c r="Z485" s="576"/>
      <c r="AA485" s="308"/>
      <c r="AB485" s="575"/>
      <c r="AC485" s="576"/>
      <c r="AD485" s="308"/>
      <c r="AE485" s="575"/>
      <c r="AF485" s="308"/>
      <c r="AG485" s="575"/>
      <c r="AH485" s="308"/>
      <c r="AI485" s="575"/>
      <c r="AJ485" s="308"/>
      <c r="AK485" s="305"/>
      <c r="AL485" s="577"/>
      <c r="AM485" s="306"/>
      <c r="AN485" s="308"/>
      <c r="AO485" s="573"/>
      <c r="AP485" s="305"/>
      <c r="AQ485" s="308"/>
      <c r="AR485" s="573"/>
      <c r="AS485" s="578"/>
      <c r="AT485" s="577"/>
      <c r="AU485" s="579"/>
      <c r="AV485" s="578"/>
      <c r="AW485" s="308"/>
      <c r="AX485" s="307"/>
      <c r="AY485" s="307"/>
      <c r="AZ485" s="307"/>
      <c r="BA485" s="307"/>
      <c r="BB485" s="307"/>
      <c r="BC485" s="305"/>
      <c r="BD485" s="292"/>
      <c r="BE485" s="297"/>
      <c r="BF485" s="297"/>
      <c r="BG485" s="569"/>
      <c r="BH485" s="570"/>
      <c r="BI485" s="570"/>
      <c r="BJ485" s="570"/>
      <c r="BK485" s="570"/>
      <c r="BL485" s="570"/>
      <c r="BM485" s="570"/>
      <c r="BN485" s="570"/>
      <c r="BO485" s="570"/>
      <c r="BP485" s="570"/>
      <c r="BQ485" s="570"/>
      <c r="BR485" s="570"/>
      <c r="BS485" s="570"/>
      <c r="BT485" s="570"/>
      <c r="BU485" s="570"/>
      <c r="BV485" s="570"/>
      <c r="BW485" s="570"/>
      <c r="BX485" s="570"/>
      <c r="BY485" s="570"/>
      <c r="BZ485" s="571"/>
      <c r="CA485" s="571"/>
    </row>
    <row r="486" spans="2:79">
      <c r="B486" s="566">
        <v>471</v>
      </c>
      <c r="C486" s="308"/>
      <c r="D486" s="307"/>
      <c r="E486" s="307"/>
      <c r="F486" s="305"/>
      <c r="G486" s="305"/>
      <c r="H486" s="292"/>
      <c r="I486" s="574"/>
      <c r="J486" s="573"/>
      <c r="K486" s="307"/>
      <c r="L486" s="292"/>
      <c r="M486" s="308"/>
      <c r="N486" s="292"/>
      <c r="O486" s="308"/>
      <c r="P486" s="575"/>
      <c r="Q486" s="576"/>
      <c r="R486" s="308"/>
      <c r="S486" s="575"/>
      <c r="T486" s="576"/>
      <c r="U486" s="308"/>
      <c r="V486" s="575"/>
      <c r="W486" s="576"/>
      <c r="X486" s="308"/>
      <c r="Y486" s="575"/>
      <c r="Z486" s="576"/>
      <c r="AA486" s="308"/>
      <c r="AB486" s="575"/>
      <c r="AC486" s="576"/>
      <c r="AD486" s="308"/>
      <c r="AE486" s="575"/>
      <c r="AF486" s="308"/>
      <c r="AG486" s="575"/>
      <c r="AH486" s="308"/>
      <c r="AI486" s="575"/>
      <c r="AJ486" s="308"/>
      <c r="AK486" s="305"/>
      <c r="AL486" s="577"/>
      <c r="AM486" s="306"/>
      <c r="AN486" s="308"/>
      <c r="AO486" s="573"/>
      <c r="AP486" s="305"/>
      <c r="AQ486" s="308"/>
      <c r="AR486" s="573"/>
      <c r="AS486" s="578"/>
      <c r="AT486" s="577"/>
      <c r="AU486" s="579"/>
      <c r="AV486" s="578"/>
      <c r="AW486" s="308"/>
      <c r="AX486" s="307"/>
      <c r="AY486" s="307"/>
      <c r="AZ486" s="307"/>
      <c r="BA486" s="307"/>
      <c r="BB486" s="307"/>
      <c r="BC486" s="305"/>
      <c r="BD486" s="292"/>
      <c r="BE486" s="297"/>
      <c r="BF486" s="297"/>
      <c r="BG486" s="569"/>
      <c r="BH486" s="570"/>
      <c r="BI486" s="570"/>
      <c r="BJ486" s="570"/>
      <c r="BK486" s="570"/>
      <c r="BL486" s="570"/>
      <c r="BM486" s="570"/>
      <c r="BN486" s="570"/>
      <c r="BO486" s="570"/>
      <c r="BP486" s="570"/>
      <c r="BQ486" s="570"/>
      <c r="BR486" s="570"/>
      <c r="BS486" s="570"/>
      <c r="BT486" s="570"/>
      <c r="BU486" s="570"/>
      <c r="BV486" s="570"/>
      <c r="BW486" s="570"/>
      <c r="BX486" s="570"/>
      <c r="BY486" s="570"/>
      <c r="BZ486" s="571"/>
      <c r="CA486" s="571"/>
    </row>
    <row r="487" spans="2:79">
      <c r="B487" s="572">
        <v>472</v>
      </c>
      <c r="C487" s="308"/>
      <c r="D487" s="307"/>
      <c r="E487" s="307"/>
      <c r="F487" s="305"/>
      <c r="G487" s="305"/>
      <c r="H487" s="292"/>
      <c r="I487" s="574"/>
      <c r="J487" s="573"/>
      <c r="K487" s="307"/>
      <c r="L487" s="292"/>
      <c r="M487" s="308"/>
      <c r="N487" s="292"/>
      <c r="O487" s="308"/>
      <c r="P487" s="575"/>
      <c r="Q487" s="576"/>
      <c r="R487" s="308"/>
      <c r="S487" s="575"/>
      <c r="T487" s="576"/>
      <c r="U487" s="308"/>
      <c r="V487" s="575"/>
      <c r="W487" s="576"/>
      <c r="X487" s="308"/>
      <c r="Y487" s="575"/>
      <c r="Z487" s="576"/>
      <c r="AA487" s="308"/>
      <c r="AB487" s="575"/>
      <c r="AC487" s="576"/>
      <c r="AD487" s="308"/>
      <c r="AE487" s="575"/>
      <c r="AF487" s="308"/>
      <c r="AG487" s="575"/>
      <c r="AH487" s="308"/>
      <c r="AI487" s="575"/>
      <c r="AJ487" s="308"/>
      <c r="AK487" s="305"/>
      <c r="AL487" s="577"/>
      <c r="AM487" s="306"/>
      <c r="AN487" s="308"/>
      <c r="AO487" s="573"/>
      <c r="AP487" s="305"/>
      <c r="AQ487" s="308"/>
      <c r="AR487" s="573"/>
      <c r="AS487" s="578"/>
      <c r="AT487" s="577"/>
      <c r="AU487" s="579"/>
      <c r="AV487" s="578"/>
      <c r="AW487" s="308"/>
      <c r="AX487" s="307"/>
      <c r="AY487" s="307"/>
      <c r="AZ487" s="307"/>
      <c r="BA487" s="307"/>
      <c r="BB487" s="307"/>
      <c r="BC487" s="305"/>
      <c r="BD487" s="292"/>
      <c r="BE487" s="297"/>
      <c r="BF487" s="297"/>
      <c r="BG487" s="569"/>
      <c r="BH487" s="570"/>
      <c r="BI487" s="570"/>
      <c r="BJ487" s="570"/>
      <c r="BK487" s="570"/>
      <c r="BL487" s="570"/>
      <c r="BM487" s="570"/>
      <c r="BN487" s="570"/>
      <c r="BO487" s="570"/>
      <c r="BP487" s="570"/>
      <c r="BQ487" s="570"/>
      <c r="BR487" s="570"/>
      <c r="BS487" s="570"/>
      <c r="BT487" s="570"/>
      <c r="BU487" s="570"/>
      <c r="BV487" s="570"/>
      <c r="BW487" s="570"/>
      <c r="BX487" s="570"/>
      <c r="BY487" s="570"/>
      <c r="BZ487" s="571"/>
      <c r="CA487" s="571"/>
    </row>
    <row r="488" spans="2:79">
      <c r="B488" s="566">
        <v>473</v>
      </c>
      <c r="C488" s="308"/>
      <c r="D488" s="307"/>
      <c r="E488" s="307"/>
      <c r="F488" s="305"/>
      <c r="G488" s="305"/>
      <c r="H488" s="292"/>
      <c r="I488" s="574"/>
      <c r="J488" s="573"/>
      <c r="K488" s="307"/>
      <c r="L488" s="292"/>
      <c r="M488" s="308"/>
      <c r="N488" s="292"/>
      <c r="O488" s="308"/>
      <c r="P488" s="575"/>
      <c r="Q488" s="576"/>
      <c r="R488" s="308"/>
      <c r="S488" s="575"/>
      <c r="T488" s="576"/>
      <c r="U488" s="308"/>
      <c r="V488" s="575"/>
      <c r="W488" s="576"/>
      <c r="X488" s="308"/>
      <c r="Y488" s="575"/>
      <c r="Z488" s="576"/>
      <c r="AA488" s="308"/>
      <c r="AB488" s="575"/>
      <c r="AC488" s="576"/>
      <c r="AD488" s="308"/>
      <c r="AE488" s="575"/>
      <c r="AF488" s="308"/>
      <c r="AG488" s="575"/>
      <c r="AH488" s="308"/>
      <c r="AI488" s="575"/>
      <c r="AJ488" s="308"/>
      <c r="AK488" s="305"/>
      <c r="AL488" s="577"/>
      <c r="AM488" s="306"/>
      <c r="AN488" s="308"/>
      <c r="AO488" s="573"/>
      <c r="AP488" s="305"/>
      <c r="AQ488" s="308"/>
      <c r="AR488" s="573"/>
      <c r="AS488" s="578"/>
      <c r="AT488" s="577"/>
      <c r="AU488" s="579"/>
      <c r="AV488" s="578"/>
      <c r="AW488" s="308"/>
      <c r="AX488" s="307"/>
      <c r="AY488" s="307"/>
      <c r="AZ488" s="307"/>
      <c r="BA488" s="307"/>
      <c r="BB488" s="307"/>
      <c r="BC488" s="305"/>
      <c r="BD488" s="292"/>
      <c r="BE488" s="297"/>
      <c r="BF488" s="297"/>
      <c r="BG488" s="569"/>
      <c r="BH488" s="570"/>
      <c r="BI488" s="570"/>
      <c r="BJ488" s="570"/>
      <c r="BK488" s="570"/>
      <c r="BL488" s="570"/>
      <c r="BM488" s="570"/>
      <c r="BN488" s="570"/>
      <c r="BO488" s="570"/>
      <c r="BP488" s="570"/>
      <c r="BQ488" s="570"/>
      <c r="BR488" s="570"/>
      <c r="BS488" s="570"/>
      <c r="BT488" s="570"/>
      <c r="BU488" s="570"/>
      <c r="BV488" s="570"/>
      <c r="BW488" s="570"/>
      <c r="BX488" s="570"/>
      <c r="BY488" s="570"/>
      <c r="BZ488" s="571"/>
      <c r="CA488" s="571"/>
    </row>
    <row r="489" spans="2:79">
      <c r="B489" s="572">
        <v>474</v>
      </c>
      <c r="C489" s="308"/>
      <c r="D489" s="307"/>
      <c r="E489" s="307"/>
      <c r="F489" s="305"/>
      <c r="G489" s="305"/>
      <c r="H489" s="292"/>
      <c r="I489" s="574"/>
      <c r="J489" s="573"/>
      <c r="K489" s="307"/>
      <c r="L489" s="292"/>
      <c r="M489" s="308"/>
      <c r="N489" s="292"/>
      <c r="O489" s="308"/>
      <c r="P489" s="575"/>
      <c r="Q489" s="576"/>
      <c r="R489" s="308"/>
      <c r="S489" s="575"/>
      <c r="T489" s="576"/>
      <c r="U489" s="308"/>
      <c r="V489" s="575"/>
      <c r="W489" s="576"/>
      <c r="X489" s="308"/>
      <c r="Y489" s="575"/>
      <c r="Z489" s="576"/>
      <c r="AA489" s="308"/>
      <c r="AB489" s="575"/>
      <c r="AC489" s="576"/>
      <c r="AD489" s="308"/>
      <c r="AE489" s="575"/>
      <c r="AF489" s="308"/>
      <c r="AG489" s="575"/>
      <c r="AH489" s="308"/>
      <c r="AI489" s="575"/>
      <c r="AJ489" s="308"/>
      <c r="AK489" s="305"/>
      <c r="AL489" s="577"/>
      <c r="AM489" s="306"/>
      <c r="AN489" s="308"/>
      <c r="AO489" s="573"/>
      <c r="AP489" s="305"/>
      <c r="AQ489" s="308"/>
      <c r="AR489" s="573"/>
      <c r="AS489" s="578"/>
      <c r="AT489" s="577"/>
      <c r="AU489" s="579"/>
      <c r="AV489" s="578"/>
      <c r="AW489" s="308"/>
      <c r="AX489" s="307"/>
      <c r="AY489" s="307"/>
      <c r="AZ489" s="307"/>
      <c r="BA489" s="307"/>
      <c r="BB489" s="307"/>
      <c r="BC489" s="305"/>
      <c r="BD489" s="292"/>
      <c r="BE489" s="297"/>
      <c r="BF489" s="297"/>
      <c r="BG489" s="569"/>
      <c r="BH489" s="570"/>
      <c r="BI489" s="570"/>
      <c r="BJ489" s="570"/>
      <c r="BK489" s="570"/>
      <c r="BL489" s="570"/>
      <c r="BM489" s="570"/>
      <c r="BN489" s="570"/>
      <c r="BO489" s="570"/>
      <c r="BP489" s="570"/>
      <c r="BQ489" s="570"/>
      <c r="BR489" s="570"/>
      <c r="BS489" s="570"/>
      <c r="BT489" s="570"/>
      <c r="BU489" s="570"/>
      <c r="BV489" s="570"/>
      <c r="BW489" s="570"/>
      <c r="BX489" s="570"/>
      <c r="BY489" s="570"/>
      <c r="BZ489" s="571"/>
      <c r="CA489" s="571"/>
    </row>
    <row r="490" spans="2:79">
      <c r="B490" s="566">
        <v>475</v>
      </c>
      <c r="C490" s="308"/>
      <c r="D490" s="307"/>
      <c r="E490" s="307"/>
      <c r="F490" s="305"/>
      <c r="G490" s="305"/>
      <c r="H490" s="292"/>
      <c r="I490" s="574"/>
      <c r="J490" s="573"/>
      <c r="K490" s="307"/>
      <c r="L490" s="292"/>
      <c r="M490" s="308"/>
      <c r="N490" s="292"/>
      <c r="O490" s="308"/>
      <c r="P490" s="575"/>
      <c r="Q490" s="576"/>
      <c r="R490" s="308"/>
      <c r="S490" s="575"/>
      <c r="T490" s="576"/>
      <c r="U490" s="308"/>
      <c r="V490" s="575"/>
      <c r="W490" s="576"/>
      <c r="X490" s="308"/>
      <c r="Y490" s="575"/>
      <c r="Z490" s="576"/>
      <c r="AA490" s="308"/>
      <c r="AB490" s="575"/>
      <c r="AC490" s="576"/>
      <c r="AD490" s="308"/>
      <c r="AE490" s="575"/>
      <c r="AF490" s="308"/>
      <c r="AG490" s="575"/>
      <c r="AH490" s="308"/>
      <c r="AI490" s="575"/>
      <c r="AJ490" s="308"/>
      <c r="AK490" s="305"/>
      <c r="AL490" s="577"/>
      <c r="AM490" s="306"/>
      <c r="AN490" s="308"/>
      <c r="AO490" s="573"/>
      <c r="AP490" s="305"/>
      <c r="AQ490" s="308"/>
      <c r="AR490" s="573"/>
      <c r="AS490" s="578"/>
      <c r="AT490" s="577"/>
      <c r="AU490" s="579"/>
      <c r="AV490" s="578"/>
      <c r="AW490" s="308"/>
      <c r="AX490" s="307"/>
      <c r="AY490" s="307"/>
      <c r="AZ490" s="307"/>
      <c r="BA490" s="307"/>
      <c r="BB490" s="307"/>
      <c r="BC490" s="305"/>
      <c r="BD490" s="292"/>
      <c r="BE490" s="297"/>
      <c r="BF490" s="297"/>
      <c r="BG490" s="569"/>
      <c r="BH490" s="570"/>
      <c r="BI490" s="570"/>
      <c r="BJ490" s="570"/>
      <c r="BK490" s="570"/>
      <c r="BL490" s="570"/>
      <c r="BM490" s="570"/>
      <c r="BN490" s="570"/>
      <c r="BO490" s="570"/>
      <c r="BP490" s="570"/>
      <c r="BQ490" s="570"/>
      <c r="BR490" s="570"/>
      <c r="BS490" s="570"/>
      <c r="BT490" s="570"/>
      <c r="BU490" s="570"/>
      <c r="BV490" s="570"/>
      <c r="BW490" s="570"/>
      <c r="BX490" s="570"/>
      <c r="BY490" s="570"/>
      <c r="BZ490" s="571"/>
      <c r="CA490" s="571"/>
    </row>
    <row r="491" spans="2:79">
      <c r="B491" s="572">
        <v>476</v>
      </c>
      <c r="C491" s="308"/>
      <c r="D491" s="307"/>
      <c r="E491" s="307"/>
      <c r="F491" s="305"/>
      <c r="G491" s="305"/>
      <c r="H491" s="292"/>
      <c r="I491" s="574"/>
      <c r="J491" s="573"/>
      <c r="K491" s="307"/>
      <c r="L491" s="292"/>
      <c r="M491" s="308"/>
      <c r="N491" s="292"/>
      <c r="O491" s="308"/>
      <c r="P491" s="575"/>
      <c r="Q491" s="576"/>
      <c r="R491" s="308"/>
      <c r="S491" s="575"/>
      <c r="T491" s="576"/>
      <c r="U491" s="308"/>
      <c r="V491" s="575"/>
      <c r="W491" s="576"/>
      <c r="X491" s="308"/>
      <c r="Y491" s="575"/>
      <c r="Z491" s="576"/>
      <c r="AA491" s="308"/>
      <c r="AB491" s="575"/>
      <c r="AC491" s="576"/>
      <c r="AD491" s="308"/>
      <c r="AE491" s="575"/>
      <c r="AF491" s="308"/>
      <c r="AG491" s="575"/>
      <c r="AH491" s="308"/>
      <c r="AI491" s="575"/>
      <c r="AJ491" s="308"/>
      <c r="AK491" s="305"/>
      <c r="AL491" s="577"/>
      <c r="AM491" s="306"/>
      <c r="AN491" s="308"/>
      <c r="AO491" s="573"/>
      <c r="AP491" s="305"/>
      <c r="AQ491" s="308"/>
      <c r="AR491" s="573"/>
      <c r="AS491" s="578"/>
      <c r="AT491" s="577"/>
      <c r="AU491" s="579"/>
      <c r="AV491" s="578"/>
      <c r="AW491" s="308"/>
      <c r="AX491" s="307"/>
      <c r="AY491" s="307"/>
      <c r="AZ491" s="307"/>
      <c r="BA491" s="307"/>
      <c r="BB491" s="307"/>
      <c r="BC491" s="305"/>
      <c r="BD491" s="292"/>
      <c r="BE491" s="297"/>
      <c r="BF491" s="297"/>
      <c r="BG491" s="569"/>
      <c r="BH491" s="570"/>
      <c r="BI491" s="570"/>
      <c r="BJ491" s="570"/>
      <c r="BK491" s="570"/>
      <c r="BL491" s="570"/>
      <c r="BM491" s="570"/>
      <c r="BN491" s="570"/>
      <c r="BO491" s="570"/>
      <c r="BP491" s="570"/>
      <c r="BQ491" s="570"/>
      <c r="BR491" s="570"/>
      <c r="BS491" s="570"/>
      <c r="BT491" s="570"/>
      <c r="BU491" s="570"/>
      <c r="BV491" s="570"/>
      <c r="BW491" s="570"/>
      <c r="BX491" s="570"/>
      <c r="BY491" s="570"/>
      <c r="BZ491" s="571"/>
      <c r="CA491" s="571"/>
    </row>
    <row r="492" spans="2:79">
      <c r="B492" s="566">
        <v>477</v>
      </c>
      <c r="C492" s="308"/>
      <c r="D492" s="307"/>
      <c r="E492" s="307"/>
      <c r="F492" s="305"/>
      <c r="G492" s="305"/>
      <c r="H492" s="292"/>
      <c r="I492" s="574"/>
      <c r="J492" s="573"/>
      <c r="K492" s="307"/>
      <c r="L492" s="292"/>
      <c r="M492" s="308"/>
      <c r="N492" s="292"/>
      <c r="O492" s="308"/>
      <c r="P492" s="575"/>
      <c r="Q492" s="576"/>
      <c r="R492" s="308"/>
      <c r="S492" s="575"/>
      <c r="T492" s="576"/>
      <c r="U492" s="308"/>
      <c r="V492" s="575"/>
      <c r="W492" s="576"/>
      <c r="X492" s="308"/>
      <c r="Y492" s="575"/>
      <c r="Z492" s="576"/>
      <c r="AA492" s="308"/>
      <c r="AB492" s="575"/>
      <c r="AC492" s="576"/>
      <c r="AD492" s="308"/>
      <c r="AE492" s="575"/>
      <c r="AF492" s="308"/>
      <c r="AG492" s="575"/>
      <c r="AH492" s="308"/>
      <c r="AI492" s="575"/>
      <c r="AJ492" s="308"/>
      <c r="AK492" s="305"/>
      <c r="AL492" s="577"/>
      <c r="AM492" s="306"/>
      <c r="AN492" s="308"/>
      <c r="AO492" s="573"/>
      <c r="AP492" s="305"/>
      <c r="AQ492" s="308"/>
      <c r="AR492" s="573"/>
      <c r="AS492" s="578"/>
      <c r="AT492" s="577"/>
      <c r="AU492" s="579"/>
      <c r="AV492" s="578"/>
      <c r="AW492" s="308"/>
      <c r="AX492" s="307"/>
      <c r="AY492" s="307"/>
      <c r="AZ492" s="307"/>
      <c r="BA492" s="307"/>
      <c r="BB492" s="307"/>
      <c r="BC492" s="305"/>
      <c r="BD492" s="292"/>
      <c r="BE492" s="297"/>
      <c r="BF492" s="297"/>
      <c r="BG492" s="569"/>
      <c r="BH492" s="570"/>
      <c r="BI492" s="570"/>
      <c r="BJ492" s="570"/>
      <c r="BK492" s="570"/>
      <c r="BL492" s="570"/>
      <c r="BM492" s="570"/>
      <c r="BN492" s="570"/>
      <c r="BO492" s="570"/>
      <c r="BP492" s="570"/>
      <c r="BQ492" s="570"/>
      <c r="BR492" s="570"/>
      <c r="BS492" s="570"/>
      <c r="BT492" s="570"/>
      <c r="BU492" s="570"/>
      <c r="BV492" s="570"/>
      <c r="BW492" s="570"/>
      <c r="BX492" s="570"/>
      <c r="BY492" s="570"/>
      <c r="BZ492" s="571"/>
      <c r="CA492" s="571"/>
    </row>
    <row r="493" spans="2:79">
      <c r="B493" s="572">
        <v>478</v>
      </c>
      <c r="C493" s="308"/>
      <c r="D493" s="307"/>
      <c r="E493" s="307"/>
      <c r="F493" s="305"/>
      <c r="G493" s="305"/>
      <c r="H493" s="292"/>
      <c r="I493" s="574"/>
      <c r="J493" s="573"/>
      <c r="K493" s="307"/>
      <c r="L493" s="292"/>
      <c r="M493" s="308"/>
      <c r="N493" s="292"/>
      <c r="O493" s="308"/>
      <c r="P493" s="575"/>
      <c r="Q493" s="576"/>
      <c r="R493" s="308"/>
      <c r="S493" s="575"/>
      <c r="T493" s="576"/>
      <c r="U493" s="308"/>
      <c r="V493" s="575"/>
      <c r="W493" s="576"/>
      <c r="X493" s="308"/>
      <c r="Y493" s="575"/>
      <c r="Z493" s="576"/>
      <c r="AA493" s="308"/>
      <c r="AB493" s="575"/>
      <c r="AC493" s="576"/>
      <c r="AD493" s="308"/>
      <c r="AE493" s="575"/>
      <c r="AF493" s="308"/>
      <c r="AG493" s="575"/>
      <c r="AH493" s="308"/>
      <c r="AI493" s="575"/>
      <c r="AJ493" s="308"/>
      <c r="AK493" s="305"/>
      <c r="AL493" s="577"/>
      <c r="AM493" s="306"/>
      <c r="AN493" s="308"/>
      <c r="AO493" s="573"/>
      <c r="AP493" s="305"/>
      <c r="AQ493" s="308"/>
      <c r="AR493" s="573"/>
      <c r="AS493" s="578"/>
      <c r="AT493" s="577"/>
      <c r="AU493" s="579"/>
      <c r="AV493" s="578"/>
      <c r="AW493" s="308"/>
      <c r="AX493" s="307"/>
      <c r="AY493" s="307"/>
      <c r="AZ493" s="307"/>
      <c r="BA493" s="307"/>
      <c r="BB493" s="307"/>
      <c r="BC493" s="305"/>
      <c r="BD493" s="292"/>
      <c r="BE493" s="297"/>
      <c r="BF493" s="297"/>
      <c r="BG493" s="569"/>
      <c r="BH493" s="570"/>
      <c r="BI493" s="570"/>
      <c r="BJ493" s="570"/>
      <c r="BK493" s="570"/>
      <c r="BL493" s="570"/>
      <c r="BM493" s="570"/>
      <c r="BN493" s="570"/>
      <c r="BO493" s="570"/>
      <c r="BP493" s="570"/>
      <c r="BQ493" s="570"/>
      <c r="BR493" s="570"/>
      <c r="BS493" s="570"/>
      <c r="BT493" s="570"/>
      <c r="BU493" s="570"/>
      <c r="BV493" s="570"/>
      <c r="BW493" s="570"/>
      <c r="BX493" s="570"/>
      <c r="BY493" s="570"/>
      <c r="BZ493" s="571"/>
      <c r="CA493" s="571"/>
    </row>
    <row r="494" spans="2:79">
      <c r="B494" s="566">
        <v>479</v>
      </c>
      <c r="C494" s="308"/>
      <c r="D494" s="307"/>
      <c r="E494" s="307"/>
      <c r="F494" s="305"/>
      <c r="G494" s="305"/>
      <c r="H494" s="292"/>
      <c r="I494" s="574"/>
      <c r="J494" s="573"/>
      <c r="K494" s="307"/>
      <c r="L494" s="292"/>
      <c r="M494" s="308"/>
      <c r="N494" s="292"/>
      <c r="O494" s="308"/>
      <c r="P494" s="575"/>
      <c r="Q494" s="576"/>
      <c r="R494" s="308"/>
      <c r="S494" s="575"/>
      <c r="T494" s="576"/>
      <c r="U494" s="308"/>
      <c r="V494" s="575"/>
      <c r="W494" s="576"/>
      <c r="X494" s="308"/>
      <c r="Y494" s="575"/>
      <c r="Z494" s="576"/>
      <c r="AA494" s="308"/>
      <c r="AB494" s="575"/>
      <c r="AC494" s="576"/>
      <c r="AD494" s="308"/>
      <c r="AE494" s="575"/>
      <c r="AF494" s="308"/>
      <c r="AG494" s="575"/>
      <c r="AH494" s="308"/>
      <c r="AI494" s="575"/>
      <c r="AJ494" s="308"/>
      <c r="AK494" s="305"/>
      <c r="AL494" s="577"/>
      <c r="AM494" s="306"/>
      <c r="AN494" s="308"/>
      <c r="AO494" s="573"/>
      <c r="AP494" s="305"/>
      <c r="AQ494" s="308"/>
      <c r="AR494" s="573"/>
      <c r="AS494" s="578"/>
      <c r="AT494" s="577"/>
      <c r="AU494" s="579"/>
      <c r="AV494" s="578"/>
      <c r="AW494" s="308"/>
      <c r="AX494" s="307"/>
      <c r="AY494" s="307"/>
      <c r="AZ494" s="307"/>
      <c r="BA494" s="307"/>
      <c r="BB494" s="307"/>
      <c r="BC494" s="305"/>
      <c r="BD494" s="292"/>
      <c r="BE494" s="297"/>
      <c r="BF494" s="297"/>
      <c r="BG494" s="569"/>
      <c r="BH494" s="570"/>
      <c r="BI494" s="570"/>
      <c r="BJ494" s="570"/>
      <c r="BK494" s="570"/>
      <c r="BL494" s="570"/>
      <c r="BM494" s="570"/>
      <c r="BN494" s="570"/>
      <c r="BO494" s="570"/>
      <c r="BP494" s="570"/>
      <c r="BQ494" s="570"/>
      <c r="BR494" s="570"/>
      <c r="BS494" s="570"/>
      <c r="BT494" s="570"/>
      <c r="BU494" s="570"/>
      <c r="BV494" s="570"/>
      <c r="BW494" s="570"/>
      <c r="BX494" s="570"/>
      <c r="BY494" s="570"/>
      <c r="BZ494" s="571"/>
      <c r="CA494" s="571"/>
    </row>
    <row r="495" spans="2:79">
      <c r="B495" s="572">
        <v>480</v>
      </c>
      <c r="C495" s="308"/>
      <c r="D495" s="307"/>
      <c r="E495" s="307"/>
      <c r="F495" s="305"/>
      <c r="G495" s="305"/>
      <c r="H495" s="292"/>
      <c r="I495" s="574"/>
      <c r="J495" s="573"/>
      <c r="K495" s="307"/>
      <c r="L495" s="292"/>
      <c r="M495" s="308"/>
      <c r="N495" s="292"/>
      <c r="O495" s="308"/>
      <c r="P495" s="575"/>
      <c r="Q495" s="576"/>
      <c r="R495" s="308"/>
      <c r="S495" s="575"/>
      <c r="T495" s="576"/>
      <c r="U495" s="308"/>
      <c r="V495" s="575"/>
      <c r="W495" s="576"/>
      <c r="X495" s="308"/>
      <c r="Y495" s="575"/>
      <c r="Z495" s="576"/>
      <c r="AA495" s="308"/>
      <c r="AB495" s="575"/>
      <c r="AC495" s="576"/>
      <c r="AD495" s="308"/>
      <c r="AE495" s="575"/>
      <c r="AF495" s="308"/>
      <c r="AG495" s="575"/>
      <c r="AH495" s="308"/>
      <c r="AI495" s="575"/>
      <c r="AJ495" s="308"/>
      <c r="AK495" s="305"/>
      <c r="AL495" s="577"/>
      <c r="AM495" s="306"/>
      <c r="AN495" s="308"/>
      <c r="AO495" s="573"/>
      <c r="AP495" s="305"/>
      <c r="AQ495" s="308"/>
      <c r="AR495" s="573"/>
      <c r="AS495" s="578"/>
      <c r="AT495" s="577"/>
      <c r="AU495" s="579"/>
      <c r="AV495" s="578"/>
      <c r="AW495" s="308"/>
      <c r="AX495" s="307"/>
      <c r="AY495" s="307"/>
      <c r="AZ495" s="307"/>
      <c r="BA495" s="307"/>
      <c r="BB495" s="307"/>
      <c r="BC495" s="305"/>
      <c r="BD495" s="292"/>
      <c r="BE495" s="297"/>
      <c r="BF495" s="297"/>
      <c r="BG495" s="569"/>
      <c r="BH495" s="570"/>
      <c r="BI495" s="570"/>
      <c r="BJ495" s="570"/>
      <c r="BK495" s="570"/>
      <c r="BL495" s="570"/>
      <c r="BM495" s="570"/>
      <c r="BN495" s="570"/>
      <c r="BO495" s="570"/>
      <c r="BP495" s="570"/>
      <c r="BQ495" s="570"/>
      <c r="BR495" s="570"/>
      <c r="BS495" s="570"/>
      <c r="BT495" s="570"/>
      <c r="BU495" s="570"/>
      <c r="BV495" s="570"/>
      <c r="BW495" s="570"/>
      <c r="BX495" s="570"/>
      <c r="BY495" s="570"/>
      <c r="BZ495" s="571"/>
      <c r="CA495" s="571"/>
    </row>
    <row r="496" spans="2:79">
      <c r="B496" s="566">
        <v>481</v>
      </c>
      <c r="C496" s="308"/>
      <c r="D496" s="307"/>
      <c r="E496" s="307"/>
      <c r="F496" s="305"/>
      <c r="G496" s="305"/>
      <c r="H496" s="292"/>
      <c r="I496" s="574"/>
      <c r="J496" s="573"/>
      <c r="K496" s="307"/>
      <c r="L496" s="292"/>
      <c r="M496" s="308"/>
      <c r="N496" s="292"/>
      <c r="O496" s="308"/>
      <c r="P496" s="575"/>
      <c r="Q496" s="576"/>
      <c r="R496" s="308"/>
      <c r="S496" s="575"/>
      <c r="T496" s="576"/>
      <c r="U496" s="308"/>
      <c r="V496" s="575"/>
      <c r="W496" s="576"/>
      <c r="X496" s="308"/>
      <c r="Y496" s="575"/>
      <c r="Z496" s="576"/>
      <c r="AA496" s="308"/>
      <c r="AB496" s="575"/>
      <c r="AC496" s="576"/>
      <c r="AD496" s="308"/>
      <c r="AE496" s="575"/>
      <c r="AF496" s="308"/>
      <c r="AG496" s="575"/>
      <c r="AH496" s="308"/>
      <c r="AI496" s="575"/>
      <c r="AJ496" s="308"/>
      <c r="AK496" s="305"/>
      <c r="AL496" s="577"/>
      <c r="AM496" s="306"/>
      <c r="AN496" s="308"/>
      <c r="AO496" s="573"/>
      <c r="AP496" s="305"/>
      <c r="AQ496" s="308"/>
      <c r="AR496" s="573"/>
      <c r="AS496" s="578"/>
      <c r="AT496" s="577"/>
      <c r="AU496" s="579"/>
      <c r="AV496" s="578"/>
      <c r="AW496" s="308"/>
      <c r="AX496" s="307"/>
      <c r="AY496" s="307"/>
      <c r="AZ496" s="307"/>
      <c r="BA496" s="307"/>
      <c r="BB496" s="307"/>
      <c r="BC496" s="305"/>
      <c r="BD496" s="292"/>
      <c r="BE496" s="297"/>
      <c r="BF496" s="297"/>
      <c r="BG496" s="569"/>
      <c r="BH496" s="570"/>
      <c r="BI496" s="570"/>
      <c r="BJ496" s="570"/>
      <c r="BK496" s="570"/>
      <c r="BL496" s="570"/>
      <c r="BM496" s="570"/>
      <c r="BN496" s="570"/>
      <c r="BO496" s="570"/>
      <c r="BP496" s="570"/>
      <c r="BQ496" s="570"/>
      <c r="BR496" s="570"/>
      <c r="BS496" s="570"/>
      <c r="BT496" s="570"/>
      <c r="BU496" s="570"/>
      <c r="BV496" s="570"/>
      <c r="BW496" s="570"/>
      <c r="BX496" s="570"/>
      <c r="BY496" s="570"/>
      <c r="BZ496" s="571"/>
      <c r="CA496" s="571"/>
    </row>
    <row r="497" spans="2:79">
      <c r="B497" s="572">
        <v>482</v>
      </c>
      <c r="C497" s="308"/>
      <c r="D497" s="307"/>
      <c r="E497" s="307"/>
      <c r="F497" s="305"/>
      <c r="G497" s="305"/>
      <c r="H497" s="292"/>
      <c r="I497" s="574"/>
      <c r="J497" s="573"/>
      <c r="K497" s="307"/>
      <c r="L497" s="292"/>
      <c r="M497" s="308"/>
      <c r="N497" s="292"/>
      <c r="O497" s="308"/>
      <c r="P497" s="575"/>
      <c r="Q497" s="576"/>
      <c r="R497" s="308"/>
      <c r="S497" s="575"/>
      <c r="T497" s="576"/>
      <c r="U497" s="308"/>
      <c r="V497" s="575"/>
      <c r="W497" s="576"/>
      <c r="X497" s="308"/>
      <c r="Y497" s="575"/>
      <c r="Z497" s="576"/>
      <c r="AA497" s="308"/>
      <c r="AB497" s="575"/>
      <c r="AC497" s="576"/>
      <c r="AD497" s="308"/>
      <c r="AE497" s="575"/>
      <c r="AF497" s="308"/>
      <c r="AG497" s="575"/>
      <c r="AH497" s="308"/>
      <c r="AI497" s="575"/>
      <c r="AJ497" s="308"/>
      <c r="AK497" s="305"/>
      <c r="AL497" s="577"/>
      <c r="AM497" s="306"/>
      <c r="AN497" s="308"/>
      <c r="AO497" s="573"/>
      <c r="AP497" s="305"/>
      <c r="AQ497" s="308"/>
      <c r="AR497" s="573"/>
      <c r="AS497" s="578"/>
      <c r="AT497" s="577"/>
      <c r="AU497" s="579"/>
      <c r="AV497" s="578"/>
      <c r="AW497" s="308"/>
      <c r="AX497" s="307"/>
      <c r="AY497" s="307"/>
      <c r="AZ497" s="307"/>
      <c r="BA497" s="307"/>
      <c r="BB497" s="307"/>
      <c r="BC497" s="305"/>
      <c r="BD497" s="292"/>
      <c r="BE497" s="297"/>
      <c r="BF497" s="297"/>
      <c r="BG497" s="569"/>
      <c r="BH497" s="570"/>
      <c r="BI497" s="570"/>
      <c r="BJ497" s="570"/>
      <c r="BK497" s="570"/>
      <c r="BL497" s="570"/>
      <c r="BM497" s="570"/>
      <c r="BN497" s="570"/>
      <c r="BO497" s="570"/>
      <c r="BP497" s="570"/>
      <c r="BQ497" s="570"/>
      <c r="BR497" s="570"/>
      <c r="BS497" s="570"/>
      <c r="BT497" s="570"/>
      <c r="BU497" s="570"/>
      <c r="BV497" s="570"/>
      <c r="BW497" s="570"/>
      <c r="BX497" s="570"/>
      <c r="BY497" s="570"/>
      <c r="BZ497" s="571"/>
      <c r="CA497" s="571"/>
    </row>
    <row r="498" spans="2:79">
      <c r="B498" s="566">
        <v>483</v>
      </c>
      <c r="C498" s="308"/>
      <c r="D498" s="307"/>
      <c r="E498" s="307"/>
      <c r="F498" s="305"/>
      <c r="G498" s="305"/>
      <c r="H498" s="292"/>
      <c r="I498" s="574"/>
      <c r="J498" s="573"/>
      <c r="K498" s="307"/>
      <c r="L498" s="292"/>
      <c r="M498" s="308"/>
      <c r="N498" s="292"/>
      <c r="O498" s="308"/>
      <c r="P498" s="575"/>
      <c r="Q498" s="576"/>
      <c r="R498" s="308"/>
      <c r="S498" s="575"/>
      <c r="T498" s="576"/>
      <c r="U498" s="308"/>
      <c r="V498" s="575"/>
      <c r="W498" s="576"/>
      <c r="X498" s="308"/>
      <c r="Y498" s="575"/>
      <c r="Z498" s="576"/>
      <c r="AA498" s="308"/>
      <c r="AB498" s="575"/>
      <c r="AC498" s="576"/>
      <c r="AD498" s="308"/>
      <c r="AE498" s="575"/>
      <c r="AF498" s="308"/>
      <c r="AG498" s="575"/>
      <c r="AH498" s="308"/>
      <c r="AI498" s="575"/>
      <c r="AJ498" s="308"/>
      <c r="AK498" s="305"/>
      <c r="AL498" s="577"/>
      <c r="AM498" s="306"/>
      <c r="AN498" s="308"/>
      <c r="AO498" s="573"/>
      <c r="AP498" s="305"/>
      <c r="AQ498" s="308"/>
      <c r="AR498" s="573"/>
      <c r="AS498" s="578"/>
      <c r="AT498" s="577"/>
      <c r="AU498" s="579"/>
      <c r="AV498" s="578"/>
      <c r="AW498" s="308"/>
      <c r="AX498" s="307"/>
      <c r="AY498" s="307"/>
      <c r="AZ498" s="307"/>
      <c r="BA498" s="307"/>
      <c r="BB498" s="307"/>
      <c r="BC498" s="305"/>
      <c r="BD498" s="292"/>
      <c r="BE498" s="297"/>
      <c r="BF498" s="297"/>
      <c r="BG498" s="569"/>
      <c r="BH498" s="570"/>
      <c r="BI498" s="570"/>
      <c r="BJ498" s="570"/>
      <c r="BK498" s="570"/>
      <c r="BL498" s="570"/>
      <c r="BM498" s="570"/>
      <c r="BN498" s="570"/>
      <c r="BO498" s="570"/>
      <c r="BP498" s="570"/>
      <c r="BQ498" s="570"/>
      <c r="BR498" s="570"/>
      <c r="BS498" s="570"/>
      <c r="BT498" s="570"/>
      <c r="BU498" s="570"/>
      <c r="BV498" s="570"/>
      <c r="BW498" s="570"/>
      <c r="BX498" s="570"/>
      <c r="BY498" s="570"/>
      <c r="BZ498" s="571"/>
      <c r="CA498" s="571"/>
    </row>
    <row r="499" spans="2:79">
      <c r="B499" s="572">
        <v>484</v>
      </c>
      <c r="C499" s="308"/>
      <c r="D499" s="307"/>
      <c r="E499" s="307"/>
      <c r="F499" s="305"/>
      <c r="G499" s="305"/>
      <c r="H499" s="292"/>
      <c r="I499" s="574"/>
      <c r="J499" s="573"/>
      <c r="K499" s="307"/>
      <c r="L499" s="292"/>
      <c r="M499" s="308"/>
      <c r="N499" s="292"/>
      <c r="O499" s="308"/>
      <c r="P499" s="575"/>
      <c r="Q499" s="576"/>
      <c r="R499" s="308"/>
      <c r="S499" s="575"/>
      <c r="T499" s="576"/>
      <c r="U499" s="308"/>
      <c r="V499" s="575"/>
      <c r="W499" s="576"/>
      <c r="X499" s="308"/>
      <c r="Y499" s="575"/>
      <c r="Z499" s="576"/>
      <c r="AA499" s="308"/>
      <c r="AB499" s="575"/>
      <c r="AC499" s="576"/>
      <c r="AD499" s="308"/>
      <c r="AE499" s="575"/>
      <c r="AF499" s="308"/>
      <c r="AG499" s="575"/>
      <c r="AH499" s="308"/>
      <c r="AI499" s="575"/>
      <c r="AJ499" s="308"/>
      <c r="AK499" s="305"/>
      <c r="AL499" s="577"/>
      <c r="AM499" s="306"/>
      <c r="AN499" s="308"/>
      <c r="AO499" s="573"/>
      <c r="AP499" s="305"/>
      <c r="AQ499" s="308"/>
      <c r="AR499" s="573"/>
      <c r="AS499" s="578"/>
      <c r="AT499" s="577"/>
      <c r="AU499" s="579"/>
      <c r="AV499" s="578"/>
      <c r="AW499" s="308"/>
      <c r="AX499" s="307"/>
      <c r="AY499" s="307"/>
      <c r="AZ499" s="307"/>
      <c r="BA499" s="307"/>
      <c r="BB499" s="307"/>
      <c r="BC499" s="305"/>
      <c r="BD499" s="292"/>
      <c r="BE499" s="297"/>
      <c r="BF499" s="297"/>
      <c r="BG499" s="569"/>
      <c r="BH499" s="570"/>
      <c r="BI499" s="570"/>
      <c r="BJ499" s="570"/>
      <c r="BK499" s="570"/>
      <c r="BL499" s="570"/>
      <c r="BM499" s="570"/>
      <c r="BN499" s="570"/>
      <c r="BO499" s="570"/>
      <c r="BP499" s="570"/>
      <c r="BQ499" s="570"/>
      <c r="BR499" s="570"/>
      <c r="BS499" s="570"/>
      <c r="BT499" s="570"/>
      <c r="BU499" s="570"/>
      <c r="BV499" s="570"/>
      <c r="BW499" s="570"/>
      <c r="BX499" s="570"/>
      <c r="BY499" s="570"/>
      <c r="BZ499" s="571"/>
      <c r="CA499" s="571"/>
    </row>
    <row r="500" spans="2:79">
      <c r="B500" s="566">
        <v>485</v>
      </c>
      <c r="C500" s="308"/>
      <c r="D500" s="307"/>
      <c r="E500" s="307"/>
      <c r="F500" s="305"/>
      <c r="G500" s="305"/>
      <c r="H500" s="292"/>
      <c r="I500" s="574"/>
      <c r="J500" s="573"/>
      <c r="K500" s="307"/>
      <c r="L500" s="292"/>
      <c r="M500" s="308"/>
      <c r="N500" s="292"/>
      <c r="O500" s="308"/>
      <c r="P500" s="575"/>
      <c r="Q500" s="576"/>
      <c r="R500" s="308"/>
      <c r="S500" s="575"/>
      <c r="T500" s="576"/>
      <c r="U500" s="308"/>
      <c r="V500" s="575"/>
      <c r="W500" s="576"/>
      <c r="X500" s="308"/>
      <c r="Y500" s="575"/>
      <c r="Z500" s="576"/>
      <c r="AA500" s="308"/>
      <c r="AB500" s="575"/>
      <c r="AC500" s="576"/>
      <c r="AD500" s="308"/>
      <c r="AE500" s="575"/>
      <c r="AF500" s="308"/>
      <c r="AG500" s="575"/>
      <c r="AH500" s="308"/>
      <c r="AI500" s="575"/>
      <c r="AJ500" s="308"/>
      <c r="AK500" s="305"/>
      <c r="AL500" s="577"/>
      <c r="AM500" s="306"/>
      <c r="AN500" s="308"/>
      <c r="AO500" s="573"/>
      <c r="AP500" s="305"/>
      <c r="AQ500" s="308"/>
      <c r="AR500" s="573"/>
      <c r="AS500" s="578"/>
      <c r="AT500" s="577"/>
      <c r="AU500" s="579"/>
      <c r="AV500" s="578"/>
      <c r="AW500" s="308"/>
      <c r="AX500" s="307"/>
      <c r="AY500" s="307"/>
      <c r="AZ500" s="307"/>
      <c r="BA500" s="307"/>
      <c r="BB500" s="307"/>
      <c r="BC500" s="305"/>
      <c r="BD500" s="292"/>
      <c r="BE500" s="297"/>
      <c r="BF500" s="297"/>
      <c r="BG500" s="569"/>
      <c r="BH500" s="570"/>
      <c r="BI500" s="570"/>
      <c r="BJ500" s="570"/>
      <c r="BK500" s="570"/>
      <c r="BL500" s="570"/>
      <c r="BM500" s="570"/>
      <c r="BN500" s="570"/>
      <c r="BO500" s="570"/>
      <c r="BP500" s="570"/>
      <c r="BQ500" s="570"/>
      <c r="BR500" s="570"/>
      <c r="BS500" s="570"/>
      <c r="BT500" s="570"/>
      <c r="BU500" s="570"/>
      <c r="BV500" s="570"/>
      <c r="BW500" s="570"/>
      <c r="BX500" s="570"/>
      <c r="BY500" s="570"/>
      <c r="BZ500" s="571"/>
      <c r="CA500" s="571"/>
    </row>
    <row r="501" spans="2:79">
      <c r="B501" s="572">
        <v>486</v>
      </c>
      <c r="C501" s="308"/>
      <c r="D501" s="307"/>
      <c r="E501" s="307"/>
      <c r="F501" s="305"/>
      <c r="G501" s="305"/>
      <c r="H501" s="292"/>
      <c r="I501" s="574"/>
      <c r="J501" s="573"/>
      <c r="K501" s="307"/>
      <c r="L501" s="292"/>
      <c r="M501" s="308"/>
      <c r="N501" s="292"/>
      <c r="O501" s="308"/>
      <c r="P501" s="575"/>
      <c r="Q501" s="576"/>
      <c r="R501" s="308"/>
      <c r="S501" s="575"/>
      <c r="T501" s="576"/>
      <c r="U501" s="308"/>
      <c r="V501" s="575"/>
      <c r="W501" s="576"/>
      <c r="X501" s="308"/>
      <c r="Y501" s="575"/>
      <c r="Z501" s="576"/>
      <c r="AA501" s="308"/>
      <c r="AB501" s="575"/>
      <c r="AC501" s="576"/>
      <c r="AD501" s="308"/>
      <c r="AE501" s="575"/>
      <c r="AF501" s="308"/>
      <c r="AG501" s="575"/>
      <c r="AH501" s="308"/>
      <c r="AI501" s="575"/>
      <c r="AJ501" s="308"/>
      <c r="AK501" s="305"/>
      <c r="AL501" s="577"/>
      <c r="AM501" s="306"/>
      <c r="AN501" s="308"/>
      <c r="AO501" s="573"/>
      <c r="AP501" s="305"/>
      <c r="AQ501" s="308"/>
      <c r="AR501" s="573"/>
      <c r="AS501" s="578"/>
      <c r="AT501" s="577"/>
      <c r="AU501" s="579"/>
      <c r="AV501" s="578"/>
      <c r="AW501" s="308"/>
      <c r="AX501" s="307"/>
      <c r="AY501" s="307"/>
      <c r="AZ501" s="307"/>
      <c r="BA501" s="307"/>
      <c r="BB501" s="307"/>
      <c r="BC501" s="305"/>
      <c r="BD501" s="292"/>
      <c r="BE501" s="297"/>
      <c r="BF501" s="297"/>
      <c r="BG501" s="569"/>
      <c r="BH501" s="570"/>
      <c r="BI501" s="570"/>
      <c r="BJ501" s="570"/>
      <c r="BK501" s="570"/>
      <c r="BL501" s="570"/>
      <c r="BM501" s="570"/>
      <c r="BN501" s="570"/>
      <c r="BO501" s="570"/>
      <c r="BP501" s="570"/>
      <c r="BQ501" s="570"/>
      <c r="BR501" s="570"/>
      <c r="BS501" s="570"/>
      <c r="BT501" s="570"/>
      <c r="BU501" s="570"/>
      <c r="BV501" s="570"/>
      <c r="BW501" s="570"/>
      <c r="BX501" s="570"/>
      <c r="BY501" s="570"/>
      <c r="BZ501" s="571"/>
      <c r="CA501" s="571"/>
    </row>
    <row r="502" spans="2:79">
      <c r="B502" s="566">
        <v>487</v>
      </c>
      <c r="C502" s="308"/>
      <c r="D502" s="307"/>
      <c r="E502" s="307"/>
      <c r="F502" s="305"/>
      <c r="G502" s="305"/>
      <c r="H502" s="292"/>
      <c r="I502" s="574"/>
      <c r="J502" s="573"/>
      <c r="K502" s="307"/>
      <c r="L502" s="292"/>
      <c r="M502" s="308"/>
      <c r="N502" s="292"/>
      <c r="O502" s="308"/>
      <c r="P502" s="575"/>
      <c r="Q502" s="576"/>
      <c r="R502" s="308"/>
      <c r="S502" s="575"/>
      <c r="T502" s="576"/>
      <c r="U502" s="308"/>
      <c r="V502" s="575"/>
      <c r="W502" s="576"/>
      <c r="X502" s="308"/>
      <c r="Y502" s="575"/>
      <c r="Z502" s="576"/>
      <c r="AA502" s="308"/>
      <c r="AB502" s="575"/>
      <c r="AC502" s="576"/>
      <c r="AD502" s="308"/>
      <c r="AE502" s="575"/>
      <c r="AF502" s="308"/>
      <c r="AG502" s="575"/>
      <c r="AH502" s="308"/>
      <c r="AI502" s="575"/>
      <c r="AJ502" s="308"/>
      <c r="AK502" s="305"/>
      <c r="AL502" s="577"/>
      <c r="AM502" s="306"/>
      <c r="AN502" s="308"/>
      <c r="AO502" s="573"/>
      <c r="AP502" s="305"/>
      <c r="AQ502" s="308"/>
      <c r="AR502" s="573"/>
      <c r="AS502" s="578"/>
      <c r="AT502" s="577"/>
      <c r="AU502" s="579"/>
      <c r="AV502" s="578"/>
      <c r="AW502" s="308"/>
      <c r="AX502" s="307"/>
      <c r="AY502" s="307"/>
      <c r="AZ502" s="307"/>
      <c r="BA502" s="307"/>
      <c r="BB502" s="307"/>
      <c r="BC502" s="305"/>
      <c r="BD502" s="292"/>
      <c r="BE502" s="297"/>
      <c r="BF502" s="297"/>
      <c r="BG502" s="569"/>
      <c r="BH502" s="570"/>
      <c r="BI502" s="570"/>
      <c r="BJ502" s="570"/>
      <c r="BK502" s="570"/>
      <c r="BL502" s="570"/>
      <c r="BM502" s="570"/>
      <c r="BN502" s="570"/>
      <c r="BO502" s="570"/>
      <c r="BP502" s="570"/>
      <c r="BQ502" s="570"/>
      <c r="BR502" s="570"/>
      <c r="BS502" s="570"/>
      <c r="BT502" s="570"/>
      <c r="BU502" s="570"/>
      <c r="BV502" s="570"/>
      <c r="BW502" s="570"/>
      <c r="BX502" s="570"/>
      <c r="BY502" s="570"/>
      <c r="BZ502" s="571"/>
      <c r="CA502" s="571"/>
    </row>
    <row r="503" spans="2:79">
      <c r="B503" s="572">
        <v>488</v>
      </c>
      <c r="C503" s="308"/>
      <c r="D503" s="307"/>
      <c r="E503" s="307"/>
      <c r="F503" s="305"/>
      <c r="G503" s="305"/>
      <c r="H503" s="292"/>
      <c r="I503" s="574"/>
      <c r="J503" s="573"/>
      <c r="K503" s="307"/>
      <c r="L503" s="292"/>
      <c r="M503" s="308"/>
      <c r="N503" s="292"/>
      <c r="O503" s="308"/>
      <c r="P503" s="575"/>
      <c r="Q503" s="576"/>
      <c r="R503" s="308"/>
      <c r="S503" s="575"/>
      <c r="T503" s="576"/>
      <c r="U503" s="308"/>
      <c r="V503" s="575"/>
      <c r="W503" s="576"/>
      <c r="X503" s="308"/>
      <c r="Y503" s="575"/>
      <c r="Z503" s="576"/>
      <c r="AA503" s="308"/>
      <c r="AB503" s="575"/>
      <c r="AC503" s="576"/>
      <c r="AD503" s="308"/>
      <c r="AE503" s="575"/>
      <c r="AF503" s="308"/>
      <c r="AG503" s="575"/>
      <c r="AH503" s="308"/>
      <c r="AI503" s="575"/>
      <c r="AJ503" s="308"/>
      <c r="AK503" s="305"/>
      <c r="AL503" s="577"/>
      <c r="AM503" s="306"/>
      <c r="AN503" s="308"/>
      <c r="AO503" s="573"/>
      <c r="AP503" s="305"/>
      <c r="AQ503" s="308"/>
      <c r="AR503" s="573"/>
      <c r="AS503" s="578"/>
      <c r="AT503" s="577"/>
      <c r="AU503" s="579"/>
      <c r="AV503" s="578"/>
      <c r="AW503" s="308"/>
      <c r="AX503" s="307"/>
      <c r="AY503" s="307"/>
      <c r="AZ503" s="307"/>
      <c r="BA503" s="307"/>
      <c r="BB503" s="307"/>
      <c r="BC503" s="305"/>
      <c r="BD503" s="292"/>
      <c r="BE503" s="297"/>
      <c r="BF503" s="297"/>
      <c r="BG503" s="569"/>
      <c r="BH503" s="570"/>
      <c r="BI503" s="570"/>
      <c r="BJ503" s="570"/>
      <c r="BK503" s="570"/>
      <c r="BL503" s="570"/>
      <c r="BM503" s="570"/>
      <c r="BN503" s="570"/>
      <c r="BO503" s="570"/>
      <c r="BP503" s="570"/>
      <c r="BQ503" s="570"/>
      <c r="BR503" s="570"/>
      <c r="BS503" s="570"/>
      <c r="BT503" s="570"/>
      <c r="BU503" s="570"/>
      <c r="BV503" s="570"/>
      <c r="BW503" s="570"/>
      <c r="BX503" s="570"/>
      <c r="BY503" s="570"/>
      <c r="BZ503" s="571"/>
      <c r="CA503" s="571"/>
    </row>
    <row r="504" spans="2:79">
      <c r="B504" s="566">
        <v>489</v>
      </c>
      <c r="C504" s="308"/>
      <c r="D504" s="307"/>
      <c r="E504" s="307"/>
      <c r="F504" s="305"/>
      <c r="G504" s="305"/>
      <c r="H504" s="292"/>
      <c r="I504" s="574"/>
      <c r="J504" s="573"/>
      <c r="K504" s="307"/>
      <c r="L504" s="292"/>
      <c r="M504" s="308"/>
      <c r="N504" s="292"/>
      <c r="O504" s="308"/>
      <c r="P504" s="575"/>
      <c r="Q504" s="576"/>
      <c r="R504" s="308"/>
      <c r="S504" s="575"/>
      <c r="T504" s="576"/>
      <c r="U504" s="308"/>
      <c r="V504" s="575"/>
      <c r="W504" s="576"/>
      <c r="X504" s="308"/>
      <c r="Y504" s="575"/>
      <c r="Z504" s="576"/>
      <c r="AA504" s="308"/>
      <c r="AB504" s="575"/>
      <c r="AC504" s="576"/>
      <c r="AD504" s="308"/>
      <c r="AE504" s="575"/>
      <c r="AF504" s="308"/>
      <c r="AG504" s="575"/>
      <c r="AH504" s="308"/>
      <c r="AI504" s="575"/>
      <c r="AJ504" s="308"/>
      <c r="AK504" s="305"/>
      <c r="AL504" s="577"/>
      <c r="AM504" s="306"/>
      <c r="AN504" s="308"/>
      <c r="AO504" s="573"/>
      <c r="AP504" s="305"/>
      <c r="AQ504" s="308"/>
      <c r="AR504" s="573"/>
      <c r="AS504" s="578"/>
      <c r="AT504" s="577"/>
      <c r="AU504" s="579"/>
      <c r="AV504" s="578"/>
      <c r="AW504" s="308"/>
      <c r="AX504" s="307"/>
      <c r="AY504" s="307"/>
      <c r="AZ504" s="307"/>
      <c r="BA504" s="307"/>
      <c r="BB504" s="307"/>
      <c r="BC504" s="305"/>
      <c r="BD504" s="292"/>
      <c r="BE504" s="297"/>
      <c r="BF504" s="297"/>
      <c r="BG504" s="569"/>
      <c r="BH504" s="570"/>
      <c r="BI504" s="570"/>
      <c r="BJ504" s="570"/>
      <c r="BK504" s="570"/>
      <c r="BL504" s="570"/>
      <c r="BM504" s="570"/>
      <c r="BN504" s="570"/>
      <c r="BO504" s="570"/>
      <c r="BP504" s="570"/>
      <c r="BQ504" s="570"/>
      <c r="BR504" s="570"/>
      <c r="BS504" s="570"/>
      <c r="BT504" s="570"/>
      <c r="BU504" s="570"/>
      <c r="BV504" s="570"/>
      <c r="BW504" s="570"/>
      <c r="BX504" s="570"/>
      <c r="BY504" s="570"/>
      <c r="BZ504" s="571"/>
      <c r="CA504" s="571"/>
    </row>
    <row r="505" spans="2:79">
      <c r="B505" s="572">
        <v>490</v>
      </c>
      <c r="C505" s="308"/>
      <c r="D505" s="307"/>
      <c r="E505" s="307"/>
      <c r="F505" s="305"/>
      <c r="G505" s="305"/>
      <c r="H505" s="292"/>
      <c r="I505" s="574"/>
      <c r="J505" s="573"/>
      <c r="K505" s="307"/>
      <c r="L505" s="292"/>
      <c r="M505" s="308"/>
      <c r="N505" s="292"/>
      <c r="O505" s="308"/>
      <c r="P505" s="575"/>
      <c r="Q505" s="576"/>
      <c r="R505" s="308"/>
      <c r="S505" s="575"/>
      <c r="T505" s="576"/>
      <c r="U505" s="308"/>
      <c r="V505" s="575"/>
      <c r="W505" s="576"/>
      <c r="X505" s="308"/>
      <c r="Y505" s="575"/>
      <c r="Z505" s="576"/>
      <c r="AA505" s="308"/>
      <c r="AB505" s="575"/>
      <c r="AC505" s="576"/>
      <c r="AD505" s="308"/>
      <c r="AE505" s="575"/>
      <c r="AF505" s="308"/>
      <c r="AG505" s="575"/>
      <c r="AH505" s="308"/>
      <c r="AI505" s="575"/>
      <c r="AJ505" s="308"/>
      <c r="AK505" s="305"/>
      <c r="AL505" s="577"/>
      <c r="AM505" s="306"/>
      <c r="AN505" s="308"/>
      <c r="AO505" s="573"/>
      <c r="AP505" s="305"/>
      <c r="AQ505" s="308"/>
      <c r="AR505" s="573"/>
      <c r="AS505" s="578"/>
      <c r="AT505" s="577"/>
      <c r="AU505" s="579"/>
      <c r="AV505" s="578"/>
      <c r="AW505" s="308"/>
      <c r="AX505" s="307"/>
      <c r="AY505" s="307"/>
      <c r="AZ505" s="307"/>
      <c r="BA505" s="307"/>
      <c r="BB505" s="307"/>
      <c r="BC505" s="305"/>
      <c r="BD505" s="292"/>
      <c r="BE505" s="297"/>
      <c r="BF505" s="297"/>
      <c r="BG505" s="569"/>
      <c r="BH505" s="570"/>
      <c r="BI505" s="570"/>
      <c r="BJ505" s="570"/>
      <c r="BK505" s="570"/>
      <c r="BL505" s="570"/>
      <c r="BM505" s="570"/>
      <c r="BN505" s="570"/>
      <c r="BO505" s="570"/>
      <c r="BP505" s="570"/>
      <c r="BQ505" s="570"/>
      <c r="BR505" s="570"/>
      <c r="BS505" s="570"/>
      <c r="BT505" s="570"/>
      <c r="BU505" s="570"/>
      <c r="BV505" s="570"/>
      <c r="BW505" s="570"/>
      <c r="BX505" s="570"/>
      <c r="BY505" s="570"/>
      <c r="BZ505" s="571"/>
      <c r="CA505" s="571"/>
    </row>
    <row r="506" spans="2:79">
      <c r="B506" s="566">
        <v>491</v>
      </c>
      <c r="C506" s="308"/>
      <c r="D506" s="307"/>
      <c r="E506" s="307"/>
      <c r="F506" s="305"/>
      <c r="G506" s="305"/>
      <c r="H506" s="292"/>
      <c r="I506" s="574"/>
      <c r="J506" s="573"/>
      <c r="K506" s="307"/>
      <c r="L506" s="292"/>
      <c r="M506" s="308"/>
      <c r="N506" s="292"/>
      <c r="O506" s="308"/>
      <c r="P506" s="575"/>
      <c r="Q506" s="576"/>
      <c r="R506" s="308"/>
      <c r="S506" s="575"/>
      <c r="T506" s="576"/>
      <c r="U506" s="308"/>
      <c r="V506" s="575"/>
      <c r="W506" s="576"/>
      <c r="X506" s="308"/>
      <c r="Y506" s="575"/>
      <c r="Z506" s="576"/>
      <c r="AA506" s="308"/>
      <c r="AB506" s="575"/>
      <c r="AC506" s="576"/>
      <c r="AD506" s="308"/>
      <c r="AE506" s="575"/>
      <c r="AF506" s="308"/>
      <c r="AG506" s="575"/>
      <c r="AH506" s="308"/>
      <c r="AI506" s="575"/>
      <c r="AJ506" s="308"/>
      <c r="AK506" s="305"/>
      <c r="AL506" s="577"/>
      <c r="AM506" s="306"/>
      <c r="AN506" s="308"/>
      <c r="AO506" s="573"/>
      <c r="AP506" s="305"/>
      <c r="AQ506" s="308"/>
      <c r="AR506" s="573"/>
      <c r="AS506" s="578"/>
      <c r="AT506" s="577"/>
      <c r="AU506" s="579"/>
      <c r="AV506" s="578"/>
      <c r="AW506" s="308"/>
      <c r="AX506" s="307"/>
      <c r="AY506" s="307"/>
      <c r="AZ506" s="307"/>
      <c r="BA506" s="307"/>
      <c r="BB506" s="307"/>
      <c r="BC506" s="305"/>
      <c r="BD506" s="292"/>
      <c r="BE506" s="297"/>
      <c r="BF506" s="297"/>
      <c r="BG506" s="569"/>
      <c r="BH506" s="570"/>
      <c r="BI506" s="570"/>
      <c r="BJ506" s="570"/>
      <c r="BK506" s="570"/>
      <c r="BL506" s="570"/>
      <c r="BM506" s="570"/>
      <c r="BN506" s="570"/>
      <c r="BO506" s="570"/>
      <c r="BP506" s="570"/>
      <c r="BQ506" s="570"/>
      <c r="BR506" s="570"/>
      <c r="BS506" s="570"/>
      <c r="BT506" s="570"/>
      <c r="BU506" s="570"/>
      <c r="BV506" s="570"/>
      <c r="BW506" s="570"/>
      <c r="BX506" s="570"/>
      <c r="BY506" s="570"/>
      <c r="BZ506" s="571"/>
      <c r="CA506" s="571"/>
    </row>
    <row r="507" spans="2:79">
      <c r="B507" s="572">
        <v>492</v>
      </c>
      <c r="C507" s="308"/>
      <c r="D507" s="307"/>
      <c r="E507" s="307"/>
      <c r="F507" s="305"/>
      <c r="G507" s="305"/>
      <c r="H507" s="292"/>
      <c r="I507" s="574"/>
      <c r="J507" s="573"/>
      <c r="K507" s="307"/>
      <c r="L507" s="292"/>
      <c r="M507" s="308"/>
      <c r="N507" s="292"/>
      <c r="O507" s="308"/>
      <c r="P507" s="575"/>
      <c r="Q507" s="576"/>
      <c r="R507" s="308"/>
      <c r="S507" s="575"/>
      <c r="T507" s="576"/>
      <c r="U507" s="308"/>
      <c r="V507" s="575"/>
      <c r="W507" s="576"/>
      <c r="X507" s="308"/>
      <c r="Y507" s="575"/>
      <c r="Z507" s="576"/>
      <c r="AA507" s="308"/>
      <c r="AB507" s="575"/>
      <c r="AC507" s="576"/>
      <c r="AD507" s="308"/>
      <c r="AE507" s="575"/>
      <c r="AF507" s="308"/>
      <c r="AG507" s="575"/>
      <c r="AH507" s="308"/>
      <c r="AI507" s="575"/>
      <c r="AJ507" s="308"/>
      <c r="AK507" s="305"/>
      <c r="AL507" s="577"/>
      <c r="AM507" s="306"/>
      <c r="AN507" s="308"/>
      <c r="AO507" s="573"/>
      <c r="AP507" s="305"/>
      <c r="AQ507" s="308"/>
      <c r="AR507" s="573"/>
      <c r="AS507" s="578"/>
      <c r="AT507" s="577"/>
      <c r="AU507" s="579"/>
      <c r="AV507" s="578"/>
      <c r="AW507" s="308"/>
      <c r="AX507" s="307"/>
      <c r="AY507" s="307"/>
      <c r="AZ507" s="307"/>
      <c r="BA507" s="307"/>
      <c r="BB507" s="307"/>
      <c r="BC507" s="305"/>
      <c r="BD507" s="292"/>
      <c r="BE507" s="297"/>
      <c r="BF507" s="297"/>
      <c r="BG507" s="569"/>
      <c r="BH507" s="570"/>
      <c r="BI507" s="570"/>
      <c r="BJ507" s="570"/>
      <c r="BK507" s="570"/>
      <c r="BL507" s="570"/>
      <c r="BM507" s="570"/>
      <c r="BN507" s="570"/>
      <c r="BO507" s="570"/>
      <c r="BP507" s="570"/>
      <c r="BQ507" s="570"/>
      <c r="BR507" s="570"/>
      <c r="BS507" s="570"/>
      <c r="BT507" s="570"/>
      <c r="BU507" s="570"/>
      <c r="BV507" s="570"/>
      <c r="BW507" s="570"/>
      <c r="BX507" s="570"/>
      <c r="BY507" s="570"/>
      <c r="BZ507" s="571"/>
      <c r="CA507" s="571"/>
    </row>
    <row r="508" spans="2:79">
      <c r="B508" s="566">
        <v>493</v>
      </c>
      <c r="C508" s="308"/>
      <c r="D508" s="307"/>
      <c r="E508" s="307"/>
      <c r="F508" s="305"/>
      <c r="G508" s="305"/>
      <c r="H508" s="292"/>
      <c r="I508" s="574"/>
      <c r="J508" s="573"/>
      <c r="K508" s="307"/>
      <c r="L508" s="292"/>
      <c r="M508" s="308"/>
      <c r="N508" s="292"/>
      <c r="O508" s="308"/>
      <c r="P508" s="575"/>
      <c r="Q508" s="576"/>
      <c r="R508" s="308"/>
      <c r="S508" s="575"/>
      <c r="T508" s="576"/>
      <c r="U508" s="308"/>
      <c r="V508" s="575"/>
      <c r="W508" s="576"/>
      <c r="X508" s="308"/>
      <c r="Y508" s="575"/>
      <c r="Z508" s="576"/>
      <c r="AA508" s="308"/>
      <c r="AB508" s="575"/>
      <c r="AC508" s="576"/>
      <c r="AD508" s="308"/>
      <c r="AE508" s="575"/>
      <c r="AF508" s="308"/>
      <c r="AG508" s="575"/>
      <c r="AH508" s="308"/>
      <c r="AI508" s="575"/>
      <c r="AJ508" s="308"/>
      <c r="AK508" s="305"/>
      <c r="AL508" s="577"/>
      <c r="AM508" s="306"/>
      <c r="AN508" s="308"/>
      <c r="AO508" s="573"/>
      <c r="AP508" s="305"/>
      <c r="AQ508" s="308"/>
      <c r="AR508" s="573"/>
      <c r="AS508" s="578"/>
      <c r="AT508" s="577"/>
      <c r="AU508" s="579"/>
      <c r="AV508" s="578"/>
      <c r="AW508" s="308"/>
      <c r="AX508" s="307"/>
      <c r="AY508" s="307"/>
      <c r="AZ508" s="307"/>
      <c r="BA508" s="307"/>
      <c r="BB508" s="307"/>
      <c r="BC508" s="305"/>
      <c r="BD508" s="292"/>
      <c r="BE508" s="297"/>
      <c r="BF508" s="297"/>
      <c r="BG508" s="569"/>
      <c r="BH508" s="570"/>
      <c r="BI508" s="570"/>
      <c r="BJ508" s="570"/>
      <c r="BK508" s="570"/>
      <c r="BL508" s="570"/>
      <c r="BM508" s="570"/>
      <c r="BN508" s="570"/>
      <c r="BO508" s="570"/>
      <c r="BP508" s="570"/>
      <c r="BQ508" s="570"/>
      <c r="BR508" s="570"/>
      <c r="BS508" s="570"/>
      <c r="BT508" s="570"/>
      <c r="BU508" s="570"/>
      <c r="BV508" s="570"/>
      <c r="BW508" s="570"/>
      <c r="BX508" s="570"/>
      <c r="BY508" s="570"/>
      <c r="BZ508" s="571"/>
      <c r="CA508" s="571"/>
    </row>
    <row r="509" spans="2:79">
      <c r="B509" s="572">
        <v>494</v>
      </c>
      <c r="C509" s="308"/>
      <c r="D509" s="307"/>
      <c r="E509" s="307"/>
      <c r="F509" s="305"/>
      <c r="G509" s="305"/>
      <c r="H509" s="292"/>
      <c r="I509" s="574"/>
      <c r="J509" s="573"/>
      <c r="K509" s="307"/>
      <c r="L509" s="292"/>
      <c r="M509" s="308"/>
      <c r="N509" s="292"/>
      <c r="O509" s="308"/>
      <c r="P509" s="575"/>
      <c r="Q509" s="576"/>
      <c r="R509" s="308"/>
      <c r="S509" s="575"/>
      <c r="T509" s="576"/>
      <c r="U509" s="308"/>
      <c r="V509" s="575"/>
      <c r="W509" s="576"/>
      <c r="X509" s="308"/>
      <c r="Y509" s="575"/>
      <c r="Z509" s="576"/>
      <c r="AA509" s="308"/>
      <c r="AB509" s="575"/>
      <c r="AC509" s="576"/>
      <c r="AD509" s="308"/>
      <c r="AE509" s="575"/>
      <c r="AF509" s="308"/>
      <c r="AG509" s="575"/>
      <c r="AH509" s="308"/>
      <c r="AI509" s="575"/>
      <c r="AJ509" s="308"/>
      <c r="AK509" s="305"/>
      <c r="AL509" s="577"/>
      <c r="AM509" s="306"/>
      <c r="AN509" s="308"/>
      <c r="AO509" s="573"/>
      <c r="AP509" s="305"/>
      <c r="AQ509" s="308"/>
      <c r="AR509" s="573"/>
      <c r="AS509" s="578"/>
      <c r="AT509" s="577"/>
      <c r="AU509" s="579"/>
      <c r="AV509" s="578"/>
      <c r="AW509" s="308"/>
      <c r="AX509" s="307"/>
      <c r="AY509" s="307"/>
      <c r="AZ509" s="307"/>
      <c r="BA509" s="307"/>
      <c r="BB509" s="307"/>
      <c r="BC509" s="305"/>
      <c r="BD509" s="292"/>
      <c r="BE509" s="297"/>
      <c r="BF509" s="297"/>
      <c r="BG509" s="569"/>
      <c r="BH509" s="570"/>
      <c r="BI509" s="570"/>
      <c r="BJ509" s="570"/>
      <c r="BK509" s="570"/>
      <c r="BL509" s="570"/>
      <c r="BM509" s="570"/>
      <c r="BN509" s="570"/>
      <c r="BO509" s="570"/>
      <c r="BP509" s="570"/>
      <c r="BQ509" s="570"/>
      <c r="BR509" s="570"/>
      <c r="BS509" s="570"/>
      <c r="BT509" s="570"/>
      <c r="BU509" s="570"/>
      <c r="BV509" s="570"/>
      <c r="BW509" s="570"/>
      <c r="BX509" s="570"/>
      <c r="BY509" s="570"/>
      <c r="BZ509" s="571"/>
      <c r="CA509" s="571"/>
    </row>
    <row r="510" spans="2:79">
      <c r="B510" s="566">
        <v>495</v>
      </c>
      <c r="C510" s="308"/>
      <c r="D510" s="307"/>
      <c r="E510" s="307"/>
      <c r="F510" s="305"/>
      <c r="G510" s="305"/>
      <c r="H510" s="292"/>
      <c r="I510" s="574"/>
      <c r="J510" s="573"/>
      <c r="K510" s="307"/>
      <c r="L510" s="292"/>
      <c r="M510" s="308"/>
      <c r="N510" s="292"/>
      <c r="O510" s="308"/>
      <c r="P510" s="575"/>
      <c r="Q510" s="576"/>
      <c r="R510" s="308"/>
      <c r="S510" s="575"/>
      <c r="T510" s="576"/>
      <c r="U510" s="308"/>
      <c r="V510" s="575"/>
      <c r="W510" s="576"/>
      <c r="X510" s="308"/>
      <c r="Y510" s="575"/>
      <c r="Z510" s="576"/>
      <c r="AA510" s="308"/>
      <c r="AB510" s="575"/>
      <c r="AC510" s="576"/>
      <c r="AD510" s="308"/>
      <c r="AE510" s="575"/>
      <c r="AF510" s="308"/>
      <c r="AG510" s="575"/>
      <c r="AH510" s="308"/>
      <c r="AI510" s="575"/>
      <c r="AJ510" s="308"/>
      <c r="AK510" s="305"/>
      <c r="AL510" s="577"/>
      <c r="AM510" s="306"/>
      <c r="AN510" s="308"/>
      <c r="AO510" s="573"/>
      <c r="AP510" s="305"/>
      <c r="AQ510" s="308"/>
      <c r="AR510" s="573"/>
      <c r="AS510" s="578"/>
      <c r="AT510" s="577"/>
      <c r="AU510" s="579"/>
      <c r="AV510" s="578"/>
      <c r="AW510" s="308"/>
      <c r="AX510" s="307"/>
      <c r="AY510" s="307"/>
      <c r="AZ510" s="307"/>
      <c r="BA510" s="307"/>
      <c r="BB510" s="307"/>
      <c r="BC510" s="305"/>
      <c r="BD510" s="292"/>
      <c r="BE510" s="297"/>
      <c r="BF510" s="297"/>
      <c r="BG510" s="569"/>
      <c r="BH510" s="570"/>
      <c r="BI510" s="570"/>
      <c r="BJ510" s="570"/>
      <c r="BK510" s="570"/>
      <c r="BL510" s="570"/>
      <c r="BM510" s="570"/>
      <c r="BN510" s="570"/>
      <c r="BO510" s="570"/>
      <c r="BP510" s="570"/>
      <c r="BQ510" s="570"/>
      <c r="BR510" s="570"/>
      <c r="BS510" s="570"/>
      <c r="BT510" s="570"/>
      <c r="BU510" s="570"/>
      <c r="BV510" s="570"/>
      <c r="BW510" s="570"/>
      <c r="BX510" s="570"/>
      <c r="BY510" s="570"/>
      <c r="BZ510" s="571"/>
      <c r="CA510" s="571"/>
    </row>
    <row r="511" spans="2:79">
      <c r="B511" s="572">
        <v>496</v>
      </c>
      <c r="C511" s="308"/>
      <c r="D511" s="307"/>
      <c r="E511" s="307"/>
      <c r="F511" s="305"/>
      <c r="G511" s="305"/>
      <c r="H511" s="292"/>
      <c r="I511" s="574"/>
      <c r="J511" s="573"/>
      <c r="K511" s="307"/>
      <c r="L511" s="292"/>
      <c r="M511" s="308"/>
      <c r="N511" s="292"/>
      <c r="O511" s="308"/>
      <c r="P511" s="575"/>
      <c r="Q511" s="576"/>
      <c r="R511" s="308"/>
      <c r="S511" s="575"/>
      <c r="T511" s="576"/>
      <c r="U511" s="308"/>
      <c r="V511" s="575"/>
      <c r="W511" s="576"/>
      <c r="X511" s="308"/>
      <c r="Y511" s="575"/>
      <c r="Z511" s="576"/>
      <c r="AA511" s="308"/>
      <c r="AB511" s="575"/>
      <c r="AC511" s="576"/>
      <c r="AD511" s="308"/>
      <c r="AE511" s="575"/>
      <c r="AF511" s="308"/>
      <c r="AG511" s="575"/>
      <c r="AH511" s="308"/>
      <c r="AI511" s="575"/>
      <c r="AJ511" s="308"/>
      <c r="AK511" s="305"/>
      <c r="AL511" s="577"/>
      <c r="AM511" s="306"/>
      <c r="AN511" s="308"/>
      <c r="AO511" s="573"/>
      <c r="AP511" s="305"/>
      <c r="AQ511" s="308"/>
      <c r="AR511" s="573"/>
      <c r="AS511" s="578"/>
      <c r="AT511" s="577"/>
      <c r="AU511" s="579"/>
      <c r="AV511" s="578"/>
      <c r="AW511" s="308"/>
      <c r="AX511" s="307"/>
      <c r="AY511" s="307"/>
      <c r="AZ511" s="307"/>
      <c r="BA511" s="307"/>
      <c r="BB511" s="307"/>
      <c r="BC511" s="305"/>
      <c r="BD511" s="292"/>
      <c r="BE511" s="297"/>
      <c r="BF511" s="297"/>
      <c r="BG511" s="569"/>
      <c r="BH511" s="570"/>
      <c r="BI511" s="570"/>
      <c r="BJ511" s="570"/>
      <c r="BK511" s="570"/>
      <c r="BL511" s="570"/>
      <c r="BM511" s="570"/>
      <c r="BN511" s="570"/>
      <c r="BO511" s="570"/>
      <c r="BP511" s="570"/>
      <c r="BQ511" s="570"/>
      <c r="BR511" s="570"/>
      <c r="BS511" s="570"/>
      <c r="BT511" s="570"/>
      <c r="BU511" s="570"/>
      <c r="BV511" s="570"/>
      <c r="BW511" s="570"/>
      <c r="BX511" s="570"/>
      <c r="BY511" s="570"/>
      <c r="BZ511" s="571"/>
      <c r="CA511" s="571"/>
    </row>
    <row r="512" spans="2:79">
      <c r="B512" s="566">
        <v>497</v>
      </c>
      <c r="C512" s="308"/>
      <c r="D512" s="307"/>
      <c r="E512" s="307"/>
      <c r="F512" s="305"/>
      <c r="G512" s="305"/>
      <c r="H512" s="292"/>
      <c r="I512" s="574"/>
      <c r="J512" s="573"/>
      <c r="K512" s="307"/>
      <c r="L512" s="292"/>
      <c r="M512" s="308"/>
      <c r="N512" s="292"/>
      <c r="O512" s="308"/>
      <c r="P512" s="575"/>
      <c r="Q512" s="576"/>
      <c r="R512" s="308"/>
      <c r="S512" s="575"/>
      <c r="T512" s="576"/>
      <c r="U512" s="308"/>
      <c r="V512" s="575"/>
      <c r="W512" s="576"/>
      <c r="X512" s="308"/>
      <c r="Y512" s="575"/>
      <c r="Z512" s="576"/>
      <c r="AA512" s="308"/>
      <c r="AB512" s="575"/>
      <c r="AC512" s="576"/>
      <c r="AD512" s="308"/>
      <c r="AE512" s="575"/>
      <c r="AF512" s="308"/>
      <c r="AG512" s="575"/>
      <c r="AH512" s="308"/>
      <c r="AI512" s="575"/>
      <c r="AJ512" s="308"/>
      <c r="AK512" s="305"/>
      <c r="AL512" s="577"/>
      <c r="AM512" s="306"/>
      <c r="AN512" s="308"/>
      <c r="AO512" s="573"/>
      <c r="AP512" s="305"/>
      <c r="AQ512" s="308"/>
      <c r="AR512" s="573"/>
      <c r="AS512" s="578"/>
      <c r="AT512" s="577"/>
      <c r="AU512" s="579"/>
      <c r="AV512" s="578"/>
      <c r="AW512" s="308"/>
      <c r="AX512" s="307"/>
      <c r="AY512" s="307"/>
      <c r="AZ512" s="307"/>
      <c r="BA512" s="307"/>
      <c r="BB512" s="307"/>
      <c r="BC512" s="305"/>
      <c r="BD512" s="292"/>
      <c r="BE512" s="297"/>
      <c r="BF512" s="297"/>
      <c r="BG512" s="569"/>
      <c r="BH512" s="570"/>
      <c r="BI512" s="570"/>
      <c r="BJ512" s="570"/>
      <c r="BK512" s="570"/>
      <c r="BL512" s="570"/>
      <c r="BM512" s="570"/>
      <c r="BN512" s="570"/>
      <c r="BO512" s="570"/>
      <c r="BP512" s="570"/>
      <c r="BQ512" s="570"/>
      <c r="BR512" s="570"/>
      <c r="BS512" s="570"/>
      <c r="BT512" s="570"/>
      <c r="BU512" s="570"/>
      <c r="BV512" s="570"/>
      <c r="BW512" s="570"/>
      <c r="BX512" s="570"/>
      <c r="BY512" s="570"/>
      <c r="BZ512" s="571"/>
      <c r="CA512" s="571"/>
    </row>
    <row r="513" spans="2:79">
      <c r="B513" s="572">
        <v>498</v>
      </c>
      <c r="C513" s="308"/>
      <c r="D513" s="307"/>
      <c r="E513" s="307"/>
      <c r="F513" s="305"/>
      <c r="G513" s="305"/>
      <c r="H513" s="292"/>
      <c r="I513" s="574"/>
      <c r="J513" s="573"/>
      <c r="K513" s="307"/>
      <c r="L513" s="292"/>
      <c r="M513" s="308"/>
      <c r="N513" s="292"/>
      <c r="O513" s="308"/>
      <c r="P513" s="575"/>
      <c r="Q513" s="576"/>
      <c r="R513" s="308"/>
      <c r="S513" s="575"/>
      <c r="T513" s="576"/>
      <c r="U513" s="308"/>
      <c r="V513" s="575"/>
      <c r="W513" s="576"/>
      <c r="X513" s="308"/>
      <c r="Y513" s="575"/>
      <c r="Z513" s="576"/>
      <c r="AA513" s="308"/>
      <c r="AB513" s="575"/>
      <c r="AC513" s="576"/>
      <c r="AD513" s="308"/>
      <c r="AE513" s="575"/>
      <c r="AF513" s="308"/>
      <c r="AG513" s="575"/>
      <c r="AH513" s="308"/>
      <c r="AI513" s="575"/>
      <c r="AJ513" s="308"/>
      <c r="AK513" s="305"/>
      <c r="AL513" s="577"/>
      <c r="AM513" s="306"/>
      <c r="AN513" s="308"/>
      <c r="AO513" s="573"/>
      <c r="AP513" s="305"/>
      <c r="AQ513" s="308"/>
      <c r="AR513" s="573"/>
      <c r="AS513" s="578"/>
      <c r="AT513" s="577"/>
      <c r="AU513" s="579"/>
      <c r="AV513" s="578"/>
      <c r="AW513" s="308"/>
      <c r="AX513" s="307"/>
      <c r="AY513" s="307"/>
      <c r="AZ513" s="307"/>
      <c r="BA513" s="307"/>
      <c r="BB513" s="307"/>
      <c r="BC513" s="305"/>
      <c r="BD513" s="292"/>
      <c r="BE513" s="297"/>
      <c r="BF513" s="297"/>
      <c r="BG513" s="569"/>
      <c r="BH513" s="570"/>
      <c r="BI513" s="570"/>
      <c r="BJ513" s="570"/>
      <c r="BK513" s="570"/>
      <c r="BL513" s="570"/>
      <c r="BM513" s="570"/>
      <c r="BN513" s="570"/>
      <c r="BO513" s="570"/>
      <c r="BP513" s="570"/>
      <c r="BQ513" s="570"/>
      <c r="BR513" s="570"/>
      <c r="BS513" s="570"/>
      <c r="BT513" s="570"/>
      <c r="BU513" s="570"/>
      <c r="BV513" s="570"/>
      <c r="BW513" s="570"/>
      <c r="BX513" s="570"/>
      <c r="BY513" s="570"/>
      <c r="BZ513" s="571"/>
      <c r="CA513" s="571"/>
    </row>
    <row r="514" spans="2:79">
      <c r="B514" s="566">
        <v>499</v>
      </c>
      <c r="C514" s="308"/>
      <c r="D514" s="307"/>
      <c r="E514" s="307"/>
      <c r="F514" s="305"/>
      <c r="G514" s="305"/>
      <c r="H514" s="292"/>
      <c r="I514" s="574"/>
      <c r="J514" s="573"/>
      <c r="K514" s="307"/>
      <c r="L514" s="292"/>
      <c r="M514" s="308"/>
      <c r="N514" s="292"/>
      <c r="O514" s="308"/>
      <c r="P514" s="575"/>
      <c r="Q514" s="576"/>
      <c r="R514" s="308"/>
      <c r="S514" s="575"/>
      <c r="T514" s="576"/>
      <c r="U514" s="308"/>
      <c r="V514" s="575"/>
      <c r="W514" s="576"/>
      <c r="X514" s="308"/>
      <c r="Y514" s="575"/>
      <c r="Z514" s="576"/>
      <c r="AA514" s="308"/>
      <c r="AB514" s="575"/>
      <c r="AC514" s="576"/>
      <c r="AD514" s="308"/>
      <c r="AE514" s="575"/>
      <c r="AF514" s="308"/>
      <c r="AG514" s="575"/>
      <c r="AH514" s="308"/>
      <c r="AI514" s="575"/>
      <c r="AJ514" s="308"/>
      <c r="AK514" s="305"/>
      <c r="AL514" s="577"/>
      <c r="AM514" s="306"/>
      <c r="AN514" s="308"/>
      <c r="AO514" s="573"/>
      <c r="AP514" s="305"/>
      <c r="AQ514" s="308"/>
      <c r="AR514" s="573"/>
      <c r="AS514" s="578"/>
      <c r="AT514" s="577"/>
      <c r="AU514" s="579"/>
      <c r="AV514" s="578"/>
      <c r="AW514" s="308"/>
      <c r="AX514" s="307"/>
      <c r="AY514" s="307"/>
      <c r="AZ514" s="307"/>
      <c r="BA514" s="307"/>
      <c r="BB514" s="307"/>
      <c r="BC514" s="305"/>
      <c r="BD514" s="292"/>
      <c r="BE514" s="297"/>
      <c r="BF514" s="297"/>
      <c r="BG514" s="569"/>
      <c r="BH514" s="570"/>
      <c r="BI514" s="570"/>
      <c r="BJ514" s="570"/>
      <c r="BK514" s="570"/>
      <c r="BL514" s="570"/>
      <c r="BM514" s="570"/>
      <c r="BN514" s="570"/>
      <c r="BO514" s="570"/>
      <c r="BP514" s="570"/>
      <c r="BQ514" s="570"/>
      <c r="BR514" s="570"/>
      <c r="BS514" s="570"/>
      <c r="BT514" s="570"/>
      <c r="BU514" s="570"/>
      <c r="BV514" s="570"/>
      <c r="BW514" s="570"/>
      <c r="BX514" s="570"/>
      <c r="BY514" s="570"/>
      <c r="BZ514" s="571"/>
      <c r="CA514" s="571"/>
    </row>
    <row r="515" spans="2:79">
      <c r="B515" s="572">
        <v>500</v>
      </c>
      <c r="C515" s="308"/>
      <c r="D515" s="307"/>
      <c r="E515" s="307"/>
      <c r="F515" s="305"/>
      <c r="G515" s="305"/>
      <c r="H515" s="292"/>
      <c r="I515" s="574"/>
      <c r="J515" s="573"/>
      <c r="K515" s="307"/>
      <c r="L515" s="292"/>
      <c r="M515" s="308"/>
      <c r="N515" s="292"/>
      <c r="O515" s="308"/>
      <c r="P515" s="575"/>
      <c r="Q515" s="576"/>
      <c r="R515" s="308"/>
      <c r="S515" s="575"/>
      <c r="T515" s="576"/>
      <c r="U515" s="308"/>
      <c r="V515" s="575"/>
      <c r="W515" s="576"/>
      <c r="X515" s="308"/>
      <c r="Y515" s="575"/>
      <c r="Z515" s="576"/>
      <c r="AA515" s="308"/>
      <c r="AB515" s="575"/>
      <c r="AC515" s="576"/>
      <c r="AD515" s="308"/>
      <c r="AE515" s="575"/>
      <c r="AF515" s="308"/>
      <c r="AG515" s="575"/>
      <c r="AH515" s="308"/>
      <c r="AI515" s="575"/>
      <c r="AJ515" s="308"/>
      <c r="AK515" s="305"/>
      <c r="AL515" s="577"/>
      <c r="AM515" s="306"/>
      <c r="AN515" s="308"/>
      <c r="AO515" s="573"/>
      <c r="AP515" s="305"/>
      <c r="AQ515" s="308"/>
      <c r="AR515" s="573"/>
      <c r="AS515" s="578"/>
      <c r="AT515" s="577"/>
      <c r="AU515" s="579"/>
      <c r="AV515" s="578"/>
      <c r="AW515" s="308"/>
      <c r="AX515" s="307"/>
      <c r="AY515" s="307"/>
      <c r="AZ515" s="307"/>
      <c r="BA515" s="307"/>
      <c r="BB515" s="307"/>
      <c r="BC515" s="305"/>
      <c r="BD515" s="292"/>
      <c r="BE515" s="297"/>
      <c r="BF515" s="297"/>
      <c r="BG515" s="569"/>
      <c r="BH515" s="570"/>
      <c r="BI515" s="570"/>
      <c r="BJ515" s="570"/>
      <c r="BK515" s="570"/>
      <c r="BL515" s="570"/>
      <c r="BM515" s="570"/>
      <c r="BN515" s="570"/>
      <c r="BO515" s="570"/>
      <c r="BP515" s="570"/>
      <c r="BQ515" s="570"/>
      <c r="BR515" s="570"/>
      <c r="BS515" s="570"/>
      <c r="BT515" s="570"/>
      <c r="BU515" s="570"/>
      <c r="BV515" s="570"/>
      <c r="BW515" s="570"/>
      <c r="BX515" s="570"/>
      <c r="BY515" s="570"/>
      <c r="BZ515" s="571"/>
      <c r="CA515" s="571"/>
    </row>
    <row r="516" spans="2:79">
      <c r="B516" s="566">
        <v>501</v>
      </c>
      <c r="C516" s="308"/>
      <c r="D516" s="307"/>
      <c r="E516" s="307"/>
      <c r="F516" s="305"/>
      <c r="G516" s="305"/>
      <c r="H516" s="292"/>
      <c r="I516" s="574"/>
      <c r="J516" s="573"/>
      <c r="K516" s="307"/>
      <c r="L516" s="292"/>
      <c r="M516" s="308"/>
      <c r="N516" s="292"/>
      <c r="O516" s="308"/>
      <c r="P516" s="575"/>
      <c r="Q516" s="576"/>
      <c r="R516" s="308"/>
      <c r="S516" s="575"/>
      <c r="T516" s="576"/>
      <c r="U516" s="308"/>
      <c r="V516" s="575"/>
      <c r="W516" s="576"/>
      <c r="X516" s="308"/>
      <c r="Y516" s="575"/>
      <c r="Z516" s="576"/>
      <c r="AA516" s="308"/>
      <c r="AB516" s="575"/>
      <c r="AC516" s="576"/>
      <c r="AD516" s="308"/>
      <c r="AE516" s="575"/>
      <c r="AF516" s="308"/>
      <c r="AG516" s="575"/>
      <c r="AH516" s="308"/>
      <c r="AI516" s="575"/>
      <c r="AJ516" s="308"/>
      <c r="AK516" s="305"/>
      <c r="AL516" s="577"/>
      <c r="AM516" s="306"/>
      <c r="AN516" s="308"/>
      <c r="AO516" s="573"/>
      <c r="AP516" s="305"/>
      <c r="AQ516" s="308"/>
      <c r="AR516" s="573"/>
      <c r="AS516" s="578"/>
      <c r="AT516" s="577"/>
      <c r="AU516" s="579"/>
      <c r="AV516" s="578"/>
      <c r="AW516" s="308"/>
      <c r="AX516" s="307"/>
      <c r="AY516" s="307"/>
      <c r="AZ516" s="307"/>
      <c r="BA516" s="307"/>
      <c r="BB516" s="307"/>
      <c r="BC516" s="305"/>
      <c r="BD516" s="292"/>
      <c r="BE516" s="297"/>
      <c r="BF516" s="297"/>
      <c r="BG516" s="569"/>
      <c r="BH516" s="570"/>
      <c r="BI516" s="570"/>
      <c r="BJ516" s="570"/>
      <c r="BK516" s="570"/>
      <c r="BL516" s="570"/>
      <c r="BM516" s="570"/>
      <c r="BN516" s="570"/>
      <c r="BO516" s="570"/>
      <c r="BP516" s="570"/>
      <c r="BQ516" s="570"/>
      <c r="BR516" s="570"/>
      <c r="BS516" s="570"/>
      <c r="BT516" s="570"/>
      <c r="BU516" s="570"/>
      <c r="BV516" s="570"/>
      <c r="BW516" s="570"/>
      <c r="BX516" s="570"/>
      <c r="BY516" s="570"/>
      <c r="BZ516" s="571"/>
      <c r="CA516" s="571"/>
    </row>
    <row r="517" spans="2:79">
      <c r="B517" s="572">
        <v>502</v>
      </c>
      <c r="C517" s="308"/>
      <c r="D517" s="307"/>
      <c r="E517" s="307"/>
      <c r="F517" s="305"/>
      <c r="G517" s="305"/>
      <c r="H517" s="292"/>
      <c r="I517" s="574"/>
      <c r="J517" s="573"/>
      <c r="K517" s="307"/>
      <c r="L517" s="292"/>
      <c r="M517" s="308"/>
      <c r="N517" s="292"/>
      <c r="O517" s="308"/>
      <c r="P517" s="575"/>
      <c r="Q517" s="576"/>
      <c r="R517" s="308"/>
      <c r="S517" s="575"/>
      <c r="T517" s="576"/>
      <c r="U517" s="308"/>
      <c r="V517" s="575"/>
      <c r="W517" s="576"/>
      <c r="X517" s="308"/>
      <c r="Y517" s="575"/>
      <c r="Z517" s="576"/>
      <c r="AA517" s="308"/>
      <c r="AB517" s="575"/>
      <c r="AC517" s="576"/>
      <c r="AD517" s="308"/>
      <c r="AE517" s="575"/>
      <c r="AF517" s="308"/>
      <c r="AG517" s="575"/>
      <c r="AH517" s="308"/>
      <c r="AI517" s="575"/>
      <c r="AJ517" s="308"/>
      <c r="AK517" s="305"/>
      <c r="AL517" s="577"/>
      <c r="AM517" s="306"/>
      <c r="AN517" s="308"/>
      <c r="AO517" s="573"/>
      <c r="AP517" s="305"/>
      <c r="AQ517" s="308"/>
      <c r="AR517" s="573"/>
      <c r="AS517" s="578"/>
      <c r="AT517" s="577"/>
      <c r="AU517" s="579"/>
      <c r="AV517" s="578"/>
      <c r="AW517" s="308"/>
      <c r="AX517" s="307"/>
      <c r="AY517" s="307"/>
      <c r="AZ517" s="307"/>
      <c r="BA517" s="307"/>
      <c r="BB517" s="307"/>
      <c r="BC517" s="305"/>
      <c r="BD517" s="292"/>
      <c r="BE517" s="297"/>
      <c r="BF517" s="297"/>
      <c r="BG517" s="569"/>
      <c r="BH517" s="570"/>
      <c r="BI517" s="570"/>
      <c r="BJ517" s="570"/>
      <c r="BK517" s="570"/>
      <c r="BL517" s="570"/>
      <c r="BM517" s="570"/>
      <c r="BN517" s="570"/>
      <c r="BO517" s="570"/>
      <c r="BP517" s="570"/>
      <c r="BQ517" s="570"/>
      <c r="BR517" s="570"/>
      <c r="BS517" s="570"/>
      <c r="BT517" s="570"/>
      <c r="BU517" s="570"/>
      <c r="BV517" s="570"/>
      <c r="BW517" s="570"/>
      <c r="BX517" s="570"/>
      <c r="BY517" s="570"/>
      <c r="BZ517" s="571"/>
      <c r="CA517" s="571"/>
    </row>
    <row r="518" spans="2:79">
      <c r="B518" s="566">
        <v>503</v>
      </c>
      <c r="C518" s="308"/>
      <c r="D518" s="307"/>
      <c r="E518" s="307"/>
      <c r="F518" s="305"/>
      <c r="G518" s="305"/>
      <c r="H518" s="292"/>
      <c r="I518" s="574"/>
      <c r="J518" s="573"/>
      <c r="K518" s="307"/>
      <c r="L518" s="292"/>
      <c r="M518" s="308"/>
      <c r="N518" s="292"/>
      <c r="O518" s="308"/>
      <c r="P518" s="575"/>
      <c r="Q518" s="576"/>
      <c r="R518" s="308"/>
      <c r="S518" s="575"/>
      <c r="T518" s="576"/>
      <c r="U518" s="308"/>
      <c r="V518" s="575"/>
      <c r="W518" s="576"/>
      <c r="X518" s="308"/>
      <c r="Y518" s="575"/>
      <c r="Z518" s="576"/>
      <c r="AA518" s="308"/>
      <c r="AB518" s="575"/>
      <c r="AC518" s="576"/>
      <c r="AD518" s="308"/>
      <c r="AE518" s="575"/>
      <c r="AF518" s="308"/>
      <c r="AG518" s="575"/>
      <c r="AH518" s="308"/>
      <c r="AI518" s="575"/>
      <c r="AJ518" s="308"/>
      <c r="AK518" s="305"/>
      <c r="AL518" s="577"/>
      <c r="AM518" s="306"/>
      <c r="AN518" s="308"/>
      <c r="AO518" s="573"/>
      <c r="AP518" s="305"/>
      <c r="AQ518" s="308"/>
      <c r="AR518" s="573"/>
      <c r="AS518" s="578"/>
      <c r="AT518" s="577"/>
      <c r="AU518" s="579"/>
      <c r="AV518" s="578"/>
      <c r="AW518" s="308"/>
      <c r="AX518" s="307"/>
      <c r="AY518" s="307"/>
      <c r="AZ518" s="307"/>
      <c r="BA518" s="307"/>
      <c r="BB518" s="307"/>
      <c r="BC518" s="305"/>
      <c r="BD518" s="292"/>
      <c r="BE518" s="297"/>
      <c r="BF518" s="297"/>
      <c r="BG518" s="569"/>
      <c r="BH518" s="570"/>
      <c r="BI518" s="570"/>
      <c r="BJ518" s="570"/>
      <c r="BK518" s="570"/>
      <c r="BL518" s="570"/>
      <c r="BM518" s="570"/>
      <c r="BN518" s="570"/>
      <c r="BO518" s="570"/>
      <c r="BP518" s="570"/>
      <c r="BQ518" s="570"/>
      <c r="BR518" s="570"/>
      <c r="BS518" s="570"/>
      <c r="BT518" s="570"/>
      <c r="BU518" s="570"/>
      <c r="BV518" s="570"/>
      <c r="BW518" s="570"/>
      <c r="BX518" s="570"/>
      <c r="BY518" s="570"/>
      <c r="BZ518" s="571"/>
      <c r="CA518" s="571"/>
    </row>
    <row r="519" spans="2:79">
      <c r="B519" s="572">
        <v>504</v>
      </c>
      <c r="C519" s="308"/>
      <c r="D519" s="307"/>
      <c r="E519" s="307"/>
      <c r="F519" s="305"/>
      <c r="G519" s="305"/>
      <c r="H519" s="292"/>
      <c r="I519" s="574"/>
      <c r="J519" s="573"/>
      <c r="K519" s="307"/>
      <c r="L519" s="292"/>
      <c r="M519" s="308"/>
      <c r="N519" s="292"/>
      <c r="O519" s="308"/>
      <c r="P519" s="575"/>
      <c r="Q519" s="576"/>
      <c r="R519" s="308"/>
      <c r="S519" s="575"/>
      <c r="T519" s="576"/>
      <c r="U519" s="308"/>
      <c r="V519" s="575"/>
      <c r="W519" s="576"/>
      <c r="X519" s="308"/>
      <c r="Y519" s="575"/>
      <c r="Z519" s="576"/>
      <c r="AA519" s="308"/>
      <c r="AB519" s="575"/>
      <c r="AC519" s="576"/>
      <c r="AD519" s="308"/>
      <c r="AE519" s="575"/>
      <c r="AF519" s="308"/>
      <c r="AG519" s="575"/>
      <c r="AH519" s="308"/>
      <c r="AI519" s="575"/>
      <c r="AJ519" s="308"/>
      <c r="AK519" s="305"/>
      <c r="AL519" s="577"/>
      <c r="AM519" s="306"/>
      <c r="AN519" s="308"/>
      <c r="AO519" s="573"/>
      <c r="AP519" s="305"/>
      <c r="AQ519" s="308"/>
      <c r="AR519" s="573"/>
      <c r="AS519" s="578"/>
      <c r="AT519" s="577"/>
      <c r="AU519" s="579"/>
      <c r="AV519" s="578"/>
      <c r="AW519" s="308"/>
      <c r="AX519" s="307"/>
      <c r="AY519" s="307"/>
      <c r="AZ519" s="307"/>
      <c r="BA519" s="307"/>
      <c r="BB519" s="307"/>
      <c r="BC519" s="305"/>
      <c r="BD519" s="292"/>
      <c r="BE519" s="297"/>
      <c r="BF519" s="297"/>
      <c r="BG519" s="569"/>
      <c r="BH519" s="570"/>
      <c r="BI519" s="570"/>
      <c r="BJ519" s="570"/>
      <c r="BK519" s="570"/>
      <c r="BL519" s="570"/>
      <c r="BM519" s="570"/>
      <c r="BN519" s="570"/>
      <c r="BO519" s="570"/>
      <c r="BP519" s="570"/>
      <c r="BQ519" s="570"/>
      <c r="BR519" s="570"/>
      <c r="BS519" s="570"/>
      <c r="BT519" s="570"/>
      <c r="BU519" s="570"/>
      <c r="BV519" s="570"/>
      <c r="BW519" s="570"/>
      <c r="BX519" s="570"/>
      <c r="BY519" s="570"/>
      <c r="BZ519" s="571"/>
      <c r="CA519" s="571"/>
    </row>
    <row r="520" spans="2:79">
      <c r="B520" s="566">
        <v>505</v>
      </c>
      <c r="C520" s="308"/>
      <c r="D520" s="307"/>
      <c r="E520" s="307"/>
      <c r="F520" s="305"/>
      <c r="G520" s="305"/>
      <c r="H520" s="292"/>
      <c r="I520" s="574"/>
      <c r="J520" s="573"/>
      <c r="K520" s="307"/>
      <c r="L520" s="292"/>
      <c r="M520" s="308"/>
      <c r="N520" s="292"/>
      <c r="O520" s="308"/>
      <c r="P520" s="575"/>
      <c r="Q520" s="576"/>
      <c r="R520" s="308"/>
      <c r="S520" s="575"/>
      <c r="T520" s="576"/>
      <c r="U520" s="308"/>
      <c r="V520" s="575"/>
      <c r="W520" s="576"/>
      <c r="X520" s="308"/>
      <c r="Y520" s="575"/>
      <c r="Z520" s="576"/>
      <c r="AA520" s="308"/>
      <c r="AB520" s="575"/>
      <c r="AC520" s="576"/>
      <c r="AD520" s="308"/>
      <c r="AE520" s="575"/>
      <c r="AF520" s="308"/>
      <c r="AG520" s="575"/>
      <c r="AH520" s="308"/>
      <c r="AI520" s="575"/>
      <c r="AJ520" s="308"/>
      <c r="AK520" s="305"/>
      <c r="AL520" s="577"/>
      <c r="AM520" s="306"/>
      <c r="AN520" s="308"/>
      <c r="AO520" s="573"/>
      <c r="AP520" s="305"/>
      <c r="AQ520" s="308"/>
      <c r="AR520" s="573"/>
      <c r="AS520" s="578"/>
      <c r="AT520" s="577"/>
      <c r="AU520" s="579"/>
      <c r="AV520" s="578"/>
      <c r="AW520" s="308"/>
      <c r="AX520" s="307"/>
      <c r="AY520" s="307"/>
      <c r="AZ520" s="307"/>
      <c r="BA520" s="307"/>
      <c r="BB520" s="307"/>
      <c r="BC520" s="305"/>
      <c r="BD520" s="292"/>
      <c r="BE520" s="297"/>
      <c r="BF520" s="297"/>
      <c r="BG520" s="569"/>
      <c r="BH520" s="570"/>
      <c r="BI520" s="570"/>
      <c r="BJ520" s="570"/>
      <c r="BK520" s="570"/>
      <c r="BL520" s="570"/>
      <c r="BM520" s="570"/>
      <c r="BN520" s="570"/>
      <c r="BO520" s="570"/>
      <c r="BP520" s="570"/>
      <c r="BQ520" s="570"/>
      <c r="BR520" s="570"/>
      <c r="BS520" s="570"/>
      <c r="BT520" s="570"/>
      <c r="BU520" s="570"/>
      <c r="BV520" s="570"/>
      <c r="BW520" s="570"/>
      <c r="BX520" s="570"/>
      <c r="BY520" s="570"/>
      <c r="BZ520" s="571"/>
      <c r="CA520" s="571"/>
    </row>
    <row r="521" spans="2:79">
      <c r="B521" s="572">
        <v>506</v>
      </c>
      <c r="C521" s="308"/>
      <c r="D521" s="307"/>
      <c r="E521" s="307"/>
      <c r="F521" s="305"/>
      <c r="G521" s="305"/>
      <c r="H521" s="292"/>
      <c r="I521" s="574"/>
      <c r="J521" s="573"/>
      <c r="K521" s="307"/>
      <c r="L521" s="292"/>
      <c r="M521" s="308"/>
      <c r="N521" s="292"/>
      <c r="O521" s="308"/>
      <c r="P521" s="575"/>
      <c r="Q521" s="576"/>
      <c r="R521" s="308"/>
      <c r="S521" s="575"/>
      <c r="T521" s="576"/>
      <c r="U521" s="308"/>
      <c r="V521" s="575"/>
      <c r="W521" s="576"/>
      <c r="X521" s="308"/>
      <c r="Y521" s="575"/>
      <c r="Z521" s="576"/>
      <c r="AA521" s="308"/>
      <c r="AB521" s="575"/>
      <c r="AC521" s="576"/>
      <c r="AD521" s="308"/>
      <c r="AE521" s="575"/>
      <c r="AF521" s="308"/>
      <c r="AG521" s="575"/>
      <c r="AH521" s="308"/>
      <c r="AI521" s="575"/>
      <c r="AJ521" s="308"/>
      <c r="AK521" s="305"/>
      <c r="AL521" s="577"/>
      <c r="AM521" s="306"/>
      <c r="AN521" s="308"/>
      <c r="AO521" s="573"/>
      <c r="AP521" s="305"/>
      <c r="AQ521" s="308"/>
      <c r="AR521" s="573"/>
      <c r="AS521" s="578"/>
      <c r="AT521" s="577"/>
      <c r="AU521" s="579"/>
      <c r="AV521" s="578"/>
      <c r="AW521" s="308"/>
      <c r="AX521" s="307"/>
      <c r="AY521" s="307"/>
      <c r="AZ521" s="307"/>
      <c r="BA521" s="307"/>
      <c r="BB521" s="307"/>
      <c r="BC521" s="305"/>
      <c r="BD521" s="292"/>
      <c r="BE521" s="297"/>
      <c r="BF521" s="297"/>
      <c r="BG521" s="569"/>
      <c r="BH521" s="570"/>
      <c r="BI521" s="570"/>
      <c r="BJ521" s="570"/>
      <c r="BK521" s="570"/>
      <c r="BL521" s="570"/>
      <c r="BM521" s="570"/>
      <c r="BN521" s="570"/>
      <c r="BO521" s="570"/>
      <c r="BP521" s="570"/>
      <c r="BQ521" s="570"/>
      <c r="BR521" s="570"/>
      <c r="BS521" s="570"/>
      <c r="BT521" s="570"/>
      <c r="BU521" s="570"/>
      <c r="BV521" s="570"/>
      <c r="BW521" s="570"/>
      <c r="BX521" s="570"/>
      <c r="BY521" s="570"/>
      <c r="BZ521" s="571"/>
      <c r="CA521" s="571"/>
    </row>
    <row r="522" spans="2:79">
      <c r="B522" s="566">
        <v>507</v>
      </c>
      <c r="C522" s="308"/>
      <c r="D522" s="307"/>
      <c r="E522" s="307"/>
      <c r="F522" s="305"/>
      <c r="G522" s="305"/>
      <c r="H522" s="292"/>
      <c r="I522" s="574"/>
      <c r="J522" s="573"/>
      <c r="K522" s="307"/>
      <c r="L522" s="292"/>
      <c r="M522" s="308"/>
      <c r="N522" s="292"/>
      <c r="O522" s="308"/>
      <c r="P522" s="575"/>
      <c r="Q522" s="576"/>
      <c r="R522" s="308"/>
      <c r="S522" s="575"/>
      <c r="T522" s="576"/>
      <c r="U522" s="308"/>
      <c r="V522" s="575"/>
      <c r="W522" s="576"/>
      <c r="X522" s="308"/>
      <c r="Y522" s="575"/>
      <c r="Z522" s="576"/>
      <c r="AA522" s="308"/>
      <c r="AB522" s="575"/>
      <c r="AC522" s="576"/>
      <c r="AD522" s="308"/>
      <c r="AE522" s="575"/>
      <c r="AF522" s="308"/>
      <c r="AG522" s="575"/>
      <c r="AH522" s="308"/>
      <c r="AI522" s="575"/>
      <c r="AJ522" s="308"/>
      <c r="AK522" s="305"/>
      <c r="AL522" s="577"/>
      <c r="AM522" s="306"/>
      <c r="AN522" s="308"/>
      <c r="AO522" s="573"/>
      <c r="AP522" s="305"/>
      <c r="AQ522" s="308"/>
      <c r="AR522" s="573"/>
      <c r="AS522" s="578"/>
      <c r="AT522" s="577"/>
      <c r="AU522" s="579"/>
      <c r="AV522" s="578"/>
      <c r="AW522" s="308"/>
      <c r="AX522" s="307"/>
      <c r="AY522" s="307"/>
      <c r="AZ522" s="307"/>
      <c r="BA522" s="307"/>
      <c r="BB522" s="307"/>
      <c r="BC522" s="305"/>
      <c r="BD522" s="292"/>
      <c r="BE522" s="297"/>
      <c r="BF522" s="297"/>
      <c r="BG522" s="569"/>
      <c r="BH522" s="570"/>
      <c r="BI522" s="570"/>
      <c r="BJ522" s="570"/>
      <c r="BK522" s="570"/>
      <c r="BL522" s="570"/>
      <c r="BM522" s="570"/>
      <c r="BN522" s="570"/>
      <c r="BO522" s="570"/>
      <c r="BP522" s="570"/>
      <c r="BQ522" s="570"/>
      <c r="BR522" s="570"/>
      <c r="BS522" s="570"/>
      <c r="BT522" s="570"/>
      <c r="BU522" s="570"/>
      <c r="BV522" s="570"/>
      <c r="BW522" s="570"/>
      <c r="BX522" s="570"/>
      <c r="BY522" s="570"/>
      <c r="BZ522" s="571"/>
      <c r="CA522" s="571"/>
    </row>
    <row r="523" spans="2:79">
      <c r="B523" s="572">
        <v>508</v>
      </c>
      <c r="C523" s="308"/>
      <c r="D523" s="307"/>
      <c r="E523" s="307"/>
      <c r="F523" s="305"/>
      <c r="G523" s="305"/>
      <c r="H523" s="292"/>
      <c r="I523" s="574"/>
      <c r="J523" s="573"/>
      <c r="K523" s="307"/>
      <c r="L523" s="292"/>
      <c r="M523" s="308"/>
      <c r="N523" s="292"/>
      <c r="O523" s="308"/>
      <c r="P523" s="575"/>
      <c r="Q523" s="576"/>
      <c r="R523" s="308"/>
      <c r="S523" s="575"/>
      <c r="T523" s="576"/>
      <c r="U523" s="308"/>
      <c r="V523" s="575"/>
      <c r="W523" s="576"/>
      <c r="X523" s="308"/>
      <c r="Y523" s="575"/>
      <c r="Z523" s="576"/>
      <c r="AA523" s="308"/>
      <c r="AB523" s="575"/>
      <c r="AC523" s="576"/>
      <c r="AD523" s="308"/>
      <c r="AE523" s="575"/>
      <c r="AF523" s="308"/>
      <c r="AG523" s="575"/>
      <c r="AH523" s="308"/>
      <c r="AI523" s="575"/>
      <c r="AJ523" s="308"/>
      <c r="AK523" s="305"/>
      <c r="AL523" s="577"/>
      <c r="AM523" s="306"/>
      <c r="AN523" s="308"/>
      <c r="AO523" s="573"/>
      <c r="AP523" s="305"/>
      <c r="AQ523" s="308"/>
      <c r="AR523" s="573"/>
      <c r="AS523" s="578"/>
      <c r="AT523" s="577"/>
      <c r="AU523" s="579"/>
      <c r="AV523" s="578"/>
      <c r="AW523" s="308"/>
      <c r="AX523" s="307"/>
      <c r="AY523" s="307"/>
      <c r="AZ523" s="307"/>
      <c r="BA523" s="307"/>
      <c r="BB523" s="307"/>
      <c r="BC523" s="305"/>
      <c r="BD523" s="292"/>
      <c r="BE523" s="297"/>
      <c r="BF523" s="297"/>
      <c r="BG523" s="569"/>
      <c r="BH523" s="570"/>
      <c r="BI523" s="570"/>
      <c r="BJ523" s="570"/>
      <c r="BK523" s="570"/>
      <c r="BL523" s="570"/>
      <c r="BM523" s="570"/>
      <c r="BN523" s="570"/>
      <c r="BO523" s="570"/>
      <c r="BP523" s="570"/>
      <c r="BQ523" s="570"/>
      <c r="BR523" s="570"/>
      <c r="BS523" s="570"/>
      <c r="BT523" s="570"/>
      <c r="BU523" s="570"/>
      <c r="BV523" s="570"/>
      <c r="BW523" s="570"/>
      <c r="BX523" s="570"/>
      <c r="BY523" s="570"/>
      <c r="BZ523" s="571"/>
      <c r="CA523" s="571"/>
    </row>
    <row r="524" spans="2:79">
      <c r="B524" s="566">
        <v>509</v>
      </c>
      <c r="C524" s="308"/>
      <c r="D524" s="307"/>
      <c r="E524" s="307"/>
      <c r="F524" s="305"/>
      <c r="G524" s="305"/>
      <c r="H524" s="292"/>
      <c r="I524" s="574"/>
      <c r="J524" s="573"/>
      <c r="K524" s="307"/>
      <c r="L524" s="292"/>
      <c r="M524" s="308"/>
      <c r="N524" s="292"/>
      <c r="O524" s="308"/>
      <c r="P524" s="575"/>
      <c r="Q524" s="576"/>
      <c r="R524" s="308"/>
      <c r="S524" s="575"/>
      <c r="T524" s="576"/>
      <c r="U524" s="308"/>
      <c r="V524" s="575"/>
      <c r="W524" s="576"/>
      <c r="X524" s="308"/>
      <c r="Y524" s="575"/>
      <c r="Z524" s="576"/>
      <c r="AA524" s="308"/>
      <c r="AB524" s="575"/>
      <c r="AC524" s="576"/>
      <c r="AD524" s="308"/>
      <c r="AE524" s="575"/>
      <c r="AF524" s="308"/>
      <c r="AG524" s="575"/>
      <c r="AH524" s="308"/>
      <c r="AI524" s="575"/>
      <c r="AJ524" s="308"/>
      <c r="AK524" s="305"/>
      <c r="AL524" s="577"/>
      <c r="AM524" s="306"/>
      <c r="AN524" s="308"/>
      <c r="AO524" s="573"/>
      <c r="AP524" s="305"/>
      <c r="AQ524" s="308"/>
      <c r="AR524" s="573"/>
      <c r="AS524" s="578"/>
      <c r="AT524" s="577"/>
      <c r="AU524" s="579"/>
      <c r="AV524" s="578"/>
      <c r="AW524" s="308"/>
      <c r="AX524" s="307"/>
      <c r="AY524" s="307"/>
      <c r="AZ524" s="307"/>
      <c r="BA524" s="307"/>
      <c r="BB524" s="307"/>
      <c r="BC524" s="305"/>
      <c r="BD524" s="292"/>
      <c r="BE524" s="297"/>
      <c r="BF524" s="297"/>
      <c r="BG524" s="569"/>
      <c r="BH524" s="570"/>
      <c r="BI524" s="570"/>
      <c r="BJ524" s="570"/>
      <c r="BK524" s="570"/>
      <c r="BL524" s="570"/>
      <c r="BM524" s="570"/>
      <c r="BN524" s="570"/>
      <c r="BO524" s="570"/>
      <c r="BP524" s="570"/>
      <c r="BQ524" s="570"/>
      <c r="BR524" s="570"/>
      <c r="BS524" s="570"/>
      <c r="BT524" s="570"/>
      <c r="BU524" s="570"/>
      <c r="BV524" s="570"/>
      <c r="BW524" s="570"/>
      <c r="BX524" s="570"/>
      <c r="BY524" s="570"/>
      <c r="BZ524" s="571"/>
      <c r="CA524" s="571"/>
    </row>
    <row r="525" spans="2:79">
      <c r="B525" s="572">
        <v>510</v>
      </c>
      <c r="C525" s="308"/>
      <c r="D525" s="307"/>
      <c r="E525" s="307"/>
      <c r="F525" s="305"/>
      <c r="G525" s="305"/>
      <c r="H525" s="292"/>
      <c r="I525" s="574"/>
      <c r="J525" s="573"/>
      <c r="K525" s="307"/>
      <c r="L525" s="292"/>
      <c r="M525" s="308"/>
      <c r="N525" s="292"/>
      <c r="O525" s="308"/>
      <c r="P525" s="575"/>
      <c r="Q525" s="576"/>
      <c r="R525" s="308"/>
      <c r="S525" s="575"/>
      <c r="T525" s="576"/>
      <c r="U525" s="308"/>
      <c r="V525" s="575"/>
      <c r="W525" s="576"/>
      <c r="X525" s="308"/>
      <c r="Y525" s="575"/>
      <c r="Z525" s="576"/>
      <c r="AA525" s="308"/>
      <c r="AB525" s="575"/>
      <c r="AC525" s="576"/>
      <c r="AD525" s="308"/>
      <c r="AE525" s="575"/>
      <c r="AF525" s="308"/>
      <c r="AG525" s="575"/>
      <c r="AH525" s="308"/>
      <c r="AI525" s="575"/>
      <c r="AJ525" s="308"/>
      <c r="AK525" s="305"/>
      <c r="AL525" s="577"/>
      <c r="AM525" s="306"/>
      <c r="AN525" s="308"/>
      <c r="AO525" s="573"/>
      <c r="AP525" s="305"/>
      <c r="AQ525" s="308"/>
      <c r="AR525" s="573"/>
      <c r="AS525" s="578"/>
      <c r="AT525" s="577"/>
      <c r="AU525" s="579"/>
      <c r="AV525" s="578"/>
      <c r="AW525" s="308"/>
      <c r="AX525" s="307"/>
      <c r="AY525" s="307"/>
      <c r="AZ525" s="307"/>
      <c r="BA525" s="307"/>
      <c r="BB525" s="307"/>
      <c r="BC525" s="305"/>
      <c r="BD525" s="292"/>
      <c r="BE525" s="297"/>
      <c r="BF525" s="297"/>
      <c r="BG525" s="569"/>
      <c r="BH525" s="570"/>
      <c r="BI525" s="570"/>
      <c r="BJ525" s="570"/>
      <c r="BK525" s="570"/>
      <c r="BL525" s="570"/>
      <c r="BM525" s="570"/>
      <c r="BN525" s="570"/>
      <c r="BO525" s="570"/>
      <c r="BP525" s="570"/>
      <c r="BQ525" s="570"/>
      <c r="BR525" s="570"/>
      <c r="BS525" s="570"/>
      <c r="BT525" s="570"/>
      <c r="BU525" s="570"/>
      <c r="BV525" s="570"/>
      <c r="BW525" s="570"/>
      <c r="BX525" s="570"/>
      <c r="BY525" s="570"/>
      <c r="BZ525" s="571"/>
      <c r="CA525" s="571"/>
    </row>
    <row r="526" spans="2:79">
      <c r="B526" s="566">
        <v>511</v>
      </c>
      <c r="C526" s="308"/>
      <c r="D526" s="307"/>
      <c r="E526" s="307"/>
      <c r="F526" s="305"/>
      <c r="G526" s="305"/>
      <c r="H526" s="292"/>
      <c r="I526" s="574"/>
      <c r="J526" s="573"/>
      <c r="K526" s="307"/>
      <c r="L526" s="292"/>
      <c r="M526" s="308"/>
      <c r="N526" s="292"/>
      <c r="O526" s="308"/>
      <c r="P526" s="575"/>
      <c r="Q526" s="576"/>
      <c r="R526" s="308"/>
      <c r="S526" s="575"/>
      <c r="T526" s="576"/>
      <c r="U526" s="308"/>
      <c r="V526" s="575"/>
      <c r="W526" s="576"/>
      <c r="X526" s="308"/>
      <c r="Y526" s="575"/>
      <c r="Z526" s="576"/>
      <c r="AA526" s="308"/>
      <c r="AB526" s="575"/>
      <c r="AC526" s="576"/>
      <c r="AD526" s="308"/>
      <c r="AE526" s="575"/>
      <c r="AF526" s="308"/>
      <c r="AG526" s="575"/>
      <c r="AH526" s="308"/>
      <c r="AI526" s="575"/>
      <c r="AJ526" s="308"/>
      <c r="AK526" s="305"/>
      <c r="AL526" s="577"/>
      <c r="AM526" s="306"/>
      <c r="AN526" s="308"/>
      <c r="AO526" s="573"/>
      <c r="AP526" s="305"/>
      <c r="AQ526" s="308"/>
      <c r="AR526" s="573"/>
      <c r="AS526" s="578"/>
      <c r="AT526" s="577"/>
      <c r="AU526" s="579"/>
      <c r="AV526" s="578"/>
      <c r="AW526" s="308"/>
      <c r="AX526" s="307"/>
      <c r="AY526" s="307"/>
      <c r="AZ526" s="307"/>
      <c r="BA526" s="307"/>
      <c r="BB526" s="307"/>
      <c r="BC526" s="305"/>
      <c r="BD526" s="292"/>
      <c r="BE526" s="297"/>
      <c r="BF526" s="297"/>
      <c r="BG526" s="569"/>
      <c r="BH526" s="570"/>
      <c r="BI526" s="570"/>
      <c r="BJ526" s="570"/>
      <c r="BK526" s="570"/>
      <c r="BL526" s="570"/>
      <c r="BM526" s="570"/>
      <c r="BN526" s="570"/>
      <c r="BO526" s="570"/>
      <c r="BP526" s="570"/>
      <c r="BQ526" s="570"/>
      <c r="BR526" s="570"/>
      <c r="BS526" s="570"/>
      <c r="BT526" s="570"/>
      <c r="BU526" s="570"/>
      <c r="BV526" s="570"/>
      <c r="BW526" s="570"/>
      <c r="BX526" s="570"/>
      <c r="BY526" s="570"/>
      <c r="BZ526" s="571"/>
      <c r="CA526" s="571"/>
    </row>
    <row r="527" spans="2:79">
      <c r="B527" s="572">
        <v>512</v>
      </c>
      <c r="C527" s="308"/>
      <c r="D527" s="307"/>
      <c r="E527" s="307"/>
      <c r="F527" s="305"/>
      <c r="G527" s="305"/>
      <c r="H527" s="292"/>
      <c r="I527" s="574"/>
      <c r="J527" s="573"/>
      <c r="K527" s="307"/>
      <c r="L527" s="292"/>
      <c r="M527" s="308"/>
      <c r="N527" s="292"/>
      <c r="O527" s="308"/>
      <c r="P527" s="575"/>
      <c r="Q527" s="576"/>
      <c r="R527" s="308"/>
      <c r="S527" s="575"/>
      <c r="T527" s="576"/>
      <c r="U527" s="308"/>
      <c r="V527" s="575"/>
      <c r="W527" s="576"/>
      <c r="X527" s="308"/>
      <c r="Y527" s="575"/>
      <c r="Z527" s="576"/>
      <c r="AA527" s="308"/>
      <c r="AB527" s="575"/>
      <c r="AC527" s="576"/>
      <c r="AD527" s="308"/>
      <c r="AE527" s="575"/>
      <c r="AF527" s="308"/>
      <c r="AG527" s="575"/>
      <c r="AH527" s="308"/>
      <c r="AI527" s="575"/>
      <c r="AJ527" s="308"/>
      <c r="AK527" s="305"/>
      <c r="AL527" s="577"/>
      <c r="AM527" s="306"/>
      <c r="AN527" s="308"/>
      <c r="AO527" s="573"/>
      <c r="AP527" s="305"/>
      <c r="AQ527" s="308"/>
      <c r="AR527" s="573"/>
      <c r="AS527" s="578"/>
      <c r="AT527" s="577"/>
      <c r="AU527" s="579"/>
      <c r="AV527" s="578"/>
      <c r="AW527" s="308"/>
      <c r="AX527" s="307"/>
      <c r="AY527" s="307"/>
      <c r="AZ527" s="307"/>
      <c r="BA527" s="307"/>
      <c r="BB527" s="307"/>
      <c r="BC527" s="305"/>
      <c r="BD527" s="292"/>
      <c r="BE527" s="297"/>
      <c r="BF527" s="297"/>
      <c r="BG527" s="569"/>
      <c r="BH527" s="570"/>
      <c r="BI527" s="570"/>
      <c r="BJ527" s="570"/>
      <c r="BK527" s="570"/>
      <c r="BL527" s="570"/>
      <c r="BM527" s="570"/>
      <c r="BN527" s="570"/>
      <c r="BO527" s="570"/>
      <c r="BP527" s="570"/>
      <c r="BQ527" s="570"/>
      <c r="BR527" s="570"/>
      <c r="BS527" s="570"/>
      <c r="BT527" s="570"/>
      <c r="BU527" s="570"/>
      <c r="BV527" s="570"/>
      <c r="BW527" s="570"/>
      <c r="BX527" s="570"/>
      <c r="BY527" s="570"/>
      <c r="BZ527" s="571"/>
      <c r="CA527" s="571"/>
    </row>
    <row r="528" spans="2:79">
      <c r="B528" s="566">
        <v>513</v>
      </c>
      <c r="C528" s="308"/>
      <c r="D528" s="307"/>
      <c r="E528" s="307"/>
      <c r="F528" s="305"/>
      <c r="G528" s="305"/>
      <c r="H528" s="292"/>
      <c r="I528" s="574"/>
      <c r="J528" s="573"/>
      <c r="K528" s="307"/>
      <c r="L528" s="292"/>
      <c r="M528" s="308"/>
      <c r="N528" s="292"/>
      <c r="O528" s="308"/>
      <c r="P528" s="575"/>
      <c r="Q528" s="576"/>
      <c r="R528" s="308"/>
      <c r="S528" s="575"/>
      <c r="T528" s="576"/>
      <c r="U528" s="308"/>
      <c r="V528" s="575"/>
      <c r="W528" s="576"/>
      <c r="X528" s="308"/>
      <c r="Y528" s="575"/>
      <c r="Z528" s="576"/>
      <c r="AA528" s="308"/>
      <c r="AB528" s="575"/>
      <c r="AC528" s="576"/>
      <c r="AD528" s="308"/>
      <c r="AE528" s="575"/>
      <c r="AF528" s="308"/>
      <c r="AG528" s="575"/>
      <c r="AH528" s="308"/>
      <c r="AI528" s="575"/>
      <c r="AJ528" s="308"/>
      <c r="AK528" s="305"/>
      <c r="AL528" s="577"/>
      <c r="AM528" s="306"/>
      <c r="AN528" s="308"/>
      <c r="AO528" s="573"/>
      <c r="AP528" s="305"/>
      <c r="AQ528" s="308"/>
      <c r="AR528" s="573"/>
      <c r="AS528" s="578"/>
      <c r="AT528" s="577"/>
      <c r="AU528" s="579"/>
      <c r="AV528" s="578"/>
      <c r="AW528" s="308"/>
      <c r="AX528" s="307"/>
      <c r="AY528" s="307"/>
      <c r="AZ528" s="307"/>
      <c r="BA528" s="307"/>
      <c r="BB528" s="307"/>
      <c r="BC528" s="305"/>
      <c r="BD528" s="292"/>
      <c r="BE528" s="297"/>
      <c r="BF528" s="297"/>
      <c r="BG528" s="569"/>
      <c r="BH528" s="570"/>
      <c r="BI528" s="570"/>
      <c r="BJ528" s="570"/>
      <c r="BK528" s="570"/>
      <c r="BL528" s="570"/>
      <c r="BM528" s="570"/>
      <c r="BN528" s="570"/>
      <c r="BO528" s="570"/>
      <c r="BP528" s="570"/>
      <c r="BQ528" s="570"/>
      <c r="BR528" s="570"/>
      <c r="BS528" s="570"/>
      <c r="BT528" s="570"/>
      <c r="BU528" s="570"/>
      <c r="BV528" s="570"/>
      <c r="BW528" s="570"/>
      <c r="BX528" s="570"/>
      <c r="BY528" s="570"/>
      <c r="BZ528" s="571"/>
      <c r="CA528" s="571"/>
    </row>
    <row r="529" spans="2:79">
      <c r="B529" s="572">
        <v>514</v>
      </c>
      <c r="C529" s="308"/>
      <c r="D529" s="307"/>
      <c r="E529" s="307"/>
      <c r="F529" s="305"/>
      <c r="G529" s="305"/>
      <c r="H529" s="292"/>
      <c r="I529" s="574"/>
      <c r="J529" s="573"/>
      <c r="K529" s="307"/>
      <c r="L529" s="292"/>
      <c r="M529" s="308"/>
      <c r="N529" s="292"/>
      <c r="O529" s="308"/>
      <c r="P529" s="575"/>
      <c r="Q529" s="576"/>
      <c r="R529" s="308"/>
      <c r="S529" s="575"/>
      <c r="T529" s="576"/>
      <c r="U529" s="308"/>
      <c r="V529" s="575"/>
      <c r="W529" s="576"/>
      <c r="X529" s="308"/>
      <c r="Y529" s="575"/>
      <c r="Z529" s="576"/>
      <c r="AA529" s="308"/>
      <c r="AB529" s="575"/>
      <c r="AC529" s="576"/>
      <c r="AD529" s="308"/>
      <c r="AE529" s="575"/>
      <c r="AF529" s="308"/>
      <c r="AG529" s="575"/>
      <c r="AH529" s="308"/>
      <c r="AI529" s="575"/>
      <c r="AJ529" s="308"/>
      <c r="AK529" s="305"/>
      <c r="AL529" s="577"/>
      <c r="AM529" s="306"/>
      <c r="AN529" s="308"/>
      <c r="AO529" s="573"/>
      <c r="AP529" s="305"/>
      <c r="AQ529" s="308"/>
      <c r="AR529" s="573"/>
      <c r="AS529" s="578"/>
      <c r="AT529" s="577"/>
      <c r="AU529" s="579"/>
      <c r="AV529" s="578"/>
      <c r="AW529" s="308"/>
      <c r="AX529" s="307"/>
      <c r="AY529" s="307"/>
      <c r="AZ529" s="307"/>
      <c r="BA529" s="307"/>
      <c r="BB529" s="307"/>
      <c r="BC529" s="305"/>
      <c r="BD529" s="292"/>
      <c r="BE529" s="297"/>
      <c r="BF529" s="297"/>
      <c r="BG529" s="569"/>
      <c r="BH529" s="570"/>
      <c r="BI529" s="570"/>
      <c r="BJ529" s="570"/>
      <c r="BK529" s="570"/>
      <c r="BL529" s="570"/>
      <c r="BM529" s="570"/>
      <c r="BN529" s="570"/>
      <c r="BO529" s="570"/>
      <c r="BP529" s="570"/>
      <c r="BQ529" s="570"/>
      <c r="BR529" s="570"/>
      <c r="BS529" s="570"/>
      <c r="BT529" s="570"/>
      <c r="BU529" s="570"/>
      <c r="BV529" s="570"/>
      <c r="BW529" s="570"/>
      <c r="BX529" s="570"/>
      <c r="BY529" s="570"/>
      <c r="BZ529" s="571"/>
      <c r="CA529" s="571"/>
    </row>
    <row r="530" spans="2:79">
      <c r="B530" s="566">
        <v>515</v>
      </c>
      <c r="C530" s="308"/>
      <c r="D530" s="307"/>
      <c r="E530" s="307"/>
      <c r="F530" s="305"/>
      <c r="G530" s="305"/>
      <c r="H530" s="292"/>
      <c r="I530" s="574"/>
      <c r="J530" s="573"/>
      <c r="K530" s="307"/>
      <c r="L530" s="292"/>
      <c r="M530" s="308"/>
      <c r="N530" s="292"/>
      <c r="O530" s="308"/>
      <c r="P530" s="575"/>
      <c r="Q530" s="576"/>
      <c r="R530" s="308"/>
      <c r="S530" s="575"/>
      <c r="T530" s="576"/>
      <c r="U530" s="308"/>
      <c r="V530" s="575"/>
      <c r="W530" s="576"/>
      <c r="X530" s="308"/>
      <c r="Y530" s="575"/>
      <c r="Z530" s="576"/>
      <c r="AA530" s="308"/>
      <c r="AB530" s="575"/>
      <c r="AC530" s="576"/>
      <c r="AD530" s="308"/>
      <c r="AE530" s="575"/>
      <c r="AF530" s="308"/>
      <c r="AG530" s="575"/>
      <c r="AH530" s="308"/>
      <c r="AI530" s="575"/>
      <c r="AJ530" s="308"/>
      <c r="AK530" s="305"/>
      <c r="AL530" s="577"/>
      <c r="AM530" s="306"/>
      <c r="AN530" s="308"/>
      <c r="AO530" s="573"/>
      <c r="AP530" s="305"/>
      <c r="AQ530" s="308"/>
      <c r="AR530" s="573"/>
      <c r="AS530" s="578"/>
      <c r="AT530" s="577"/>
      <c r="AU530" s="579"/>
      <c r="AV530" s="578"/>
      <c r="AW530" s="308"/>
      <c r="AX530" s="307"/>
      <c r="AY530" s="307"/>
      <c r="AZ530" s="307"/>
      <c r="BA530" s="307"/>
      <c r="BB530" s="307"/>
      <c r="BC530" s="305"/>
      <c r="BD530" s="292"/>
      <c r="BE530" s="297"/>
      <c r="BF530" s="297"/>
      <c r="BG530" s="569"/>
      <c r="BH530" s="570"/>
      <c r="BI530" s="570"/>
      <c r="BJ530" s="570"/>
      <c r="BK530" s="570"/>
      <c r="BL530" s="570"/>
      <c r="BM530" s="570"/>
      <c r="BN530" s="570"/>
      <c r="BO530" s="570"/>
      <c r="BP530" s="570"/>
      <c r="BQ530" s="570"/>
      <c r="BR530" s="570"/>
      <c r="BS530" s="570"/>
      <c r="BT530" s="570"/>
      <c r="BU530" s="570"/>
      <c r="BV530" s="570"/>
      <c r="BW530" s="570"/>
      <c r="BX530" s="570"/>
      <c r="BY530" s="570"/>
      <c r="BZ530" s="571"/>
      <c r="CA530" s="571"/>
    </row>
    <row r="531" spans="2:79">
      <c r="B531" s="572">
        <v>516</v>
      </c>
      <c r="C531" s="308"/>
      <c r="D531" s="307"/>
      <c r="E531" s="307"/>
      <c r="F531" s="305"/>
      <c r="G531" s="305"/>
      <c r="H531" s="292"/>
      <c r="I531" s="574"/>
      <c r="J531" s="573"/>
      <c r="K531" s="307"/>
      <c r="L531" s="292"/>
      <c r="M531" s="308"/>
      <c r="N531" s="292"/>
      <c r="O531" s="308"/>
      <c r="P531" s="575"/>
      <c r="Q531" s="576"/>
      <c r="R531" s="308"/>
      <c r="S531" s="575"/>
      <c r="T531" s="576"/>
      <c r="U531" s="308"/>
      <c r="V531" s="575"/>
      <c r="W531" s="576"/>
      <c r="X531" s="308"/>
      <c r="Y531" s="575"/>
      <c r="Z531" s="576"/>
      <c r="AA531" s="308"/>
      <c r="AB531" s="575"/>
      <c r="AC531" s="576"/>
      <c r="AD531" s="308"/>
      <c r="AE531" s="575"/>
      <c r="AF531" s="308"/>
      <c r="AG531" s="575"/>
      <c r="AH531" s="308"/>
      <c r="AI531" s="575"/>
      <c r="AJ531" s="308"/>
      <c r="AK531" s="305"/>
      <c r="AL531" s="577"/>
      <c r="AM531" s="306"/>
      <c r="AN531" s="308"/>
      <c r="AO531" s="573"/>
      <c r="AP531" s="305"/>
      <c r="AQ531" s="308"/>
      <c r="AR531" s="573"/>
      <c r="AS531" s="578"/>
      <c r="AT531" s="577"/>
      <c r="AU531" s="579"/>
      <c r="AV531" s="578"/>
      <c r="AW531" s="308"/>
      <c r="AX531" s="307"/>
      <c r="AY531" s="307"/>
      <c r="AZ531" s="307"/>
      <c r="BA531" s="307"/>
      <c r="BB531" s="307"/>
      <c r="BC531" s="305"/>
      <c r="BD531" s="292"/>
      <c r="BE531" s="297"/>
      <c r="BF531" s="297"/>
      <c r="BG531" s="569"/>
      <c r="BH531" s="570"/>
      <c r="BI531" s="570"/>
      <c r="BJ531" s="570"/>
      <c r="BK531" s="570"/>
      <c r="BL531" s="570"/>
      <c r="BM531" s="570"/>
      <c r="BN531" s="570"/>
      <c r="BO531" s="570"/>
      <c r="BP531" s="570"/>
      <c r="BQ531" s="570"/>
      <c r="BR531" s="570"/>
      <c r="BS531" s="570"/>
      <c r="BT531" s="570"/>
      <c r="BU531" s="570"/>
      <c r="BV531" s="570"/>
      <c r="BW531" s="570"/>
      <c r="BX531" s="570"/>
      <c r="BY531" s="570"/>
      <c r="BZ531" s="571"/>
      <c r="CA531" s="571"/>
    </row>
    <row r="532" spans="2:79">
      <c r="B532" s="566">
        <v>517</v>
      </c>
      <c r="C532" s="308"/>
      <c r="D532" s="307"/>
      <c r="E532" s="307"/>
      <c r="F532" s="305"/>
      <c r="G532" s="305"/>
      <c r="H532" s="292"/>
      <c r="I532" s="574"/>
      <c r="J532" s="573"/>
      <c r="K532" s="307"/>
      <c r="L532" s="292"/>
      <c r="M532" s="308"/>
      <c r="N532" s="292"/>
      <c r="O532" s="308"/>
      <c r="P532" s="575"/>
      <c r="Q532" s="576"/>
      <c r="R532" s="308"/>
      <c r="S532" s="575"/>
      <c r="T532" s="576"/>
      <c r="U532" s="308"/>
      <c r="V532" s="575"/>
      <c r="W532" s="576"/>
      <c r="X532" s="308"/>
      <c r="Y532" s="575"/>
      <c r="Z532" s="576"/>
      <c r="AA532" s="308"/>
      <c r="AB532" s="575"/>
      <c r="AC532" s="576"/>
      <c r="AD532" s="308"/>
      <c r="AE532" s="575"/>
      <c r="AF532" s="308"/>
      <c r="AG532" s="575"/>
      <c r="AH532" s="308"/>
      <c r="AI532" s="575"/>
      <c r="AJ532" s="308"/>
      <c r="AK532" s="305"/>
      <c r="AL532" s="577"/>
      <c r="AM532" s="306"/>
      <c r="AN532" s="308"/>
      <c r="AO532" s="573"/>
      <c r="AP532" s="305"/>
      <c r="AQ532" s="308"/>
      <c r="AR532" s="573"/>
      <c r="AS532" s="578"/>
      <c r="AT532" s="577"/>
      <c r="AU532" s="579"/>
      <c r="AV532" s="578"/>
      <c r="AW532" s="308"/>
      <c r="AX532" s="307"/>
      <c r="AY532" s="307"/>
      <c r="AZ532" s="307"/>
      <c r="BA532" s="307"/>
      <c r="BB532" s="307"/>
      <c r="BC532" s="305"/>
      <c r="BD532" s="292"/>
      <c r="BE532" s="297"/>
      <c r="BF532" s="297"/>
      <c r="BG532" s="569"/>
      <c r="BH532" s="570"/>
      <c r="BI532" s="570"/>
      <c r="BJ532" s="570"/>
      <c r="BK532" s="570"/>
      <c r="BL532" s="570"/>
      <c r="BM532" s="570"/>
      <c r="BN532" s="570"/>
      <c r="BO532" s="570"/>
      <c r="BP532" s="570"/>
      <c r="BQ532" s="570"/>
      <c r="BR532" s="570"/>
      <c r="BS532" s="570"/>
      <c r="BT532" s="570"/>
      <c r="BU532" s="570"/>
      <c r="BV532" s="570"/>
      <c r="BW532" s="570"/>
      <c r="BX532" s="570"/>
      <c r="BY532" s="570"/>
      <c r="BZ532" s="571"/>
      <c r="CA532" s="571"/>
    </row>
    <row r="533" spans="2:79">
      <c r="B533" s="572">
        <v>518</v>
      </c>
      <c r="C533" s="308"/>
      <c r="D533" s="307"/>
      <c r="E533" s="307"/>
      <c r="F533" s="305"/>
      <c r="G533" s="305"/>
      <c r="H533" s="292"/>
      <c r="I533" s="574"/>
      <c r="J533" s="573"/>
      <c r="K533" s="307"/>
      <c r="L533" s="292"/>
      <c r="M533" s="308"/>
      <c r="N533" s="292"/>
      <c r="O533" s="308"/>
      <c r="P533" s="575"/>
      <c r="Q533" s="576"/>
      <c r="R533" s="308"/>
      <c r="S533" s="575"/>
      <c r="T533" s="576"/>
      <c r="U533" s="308"/>
      <c r="V533" s="575"/>
      <c r="W533" s="576"/>
      <c r="X533" s="308"/>
      <c r="Y533" s="575"/>
      <c r="Z533" s="576"/>
      <c r="AA533" s="308"/>
      <c r="AB533" s="575"/>
      <c r="AC533" s="576"/>
      <c r="AD533" s="308"/>
      <c r="AE533" s="575"/>
      <c r="AF533" s="308"/>
      <c r="AG533" s="575"/>
      <c r="AH533" s="308"/>
      <c r="AI533" s="575"/>
      <c r="AJ533" s="308"/>
      <c r="AK533" s="305"/>
      <c r="AL533" s="577"/>
      <c r="AM533" s="306"/>
      <c r="AN533" s="308"/>
      <c r="AO533" s="573"/>
      <c r="AP533" s="305"/>
      <c r="AQ533" s="308"/>
      <c r="AR533" s="573"/>
      <c r="AS533" s="578"/>
      <c r="AT533" s="577"/>
      <c r="AU533" s="579"/>
      <c r="AV533" s="578"/>
      <c r="AW533" s="308"/>
      <c r="AX533" s="307"/>
      <c r="AY533" s="307"/>
      <c r="AZ533" s="307"/>
      <c r="BA533" s="307"/>
      <c r="BB533" s="307"/>
      <c r="BC533" s="305"/>
      <c r="BD533" s="292"/>
      <c r="BE533" s="297"/>
      <c r="BF533" s="297"/>
      <c r="BG533" s="569"/>
      <c r="BH533" s="570"/>
      <c r="BI533" s="570"/>
      <c r="BJ533" s="570"/>
      <c r="BK533" s="570"/>
      <c r="BL533" s="570"/>
      <c r="BM533" s="570"/>
      <c r="BN533" s="570"/>
      <c r="BO533" s="570"/>
      <c r="BP533" s="570"/>
      <c r="BQ533" s="570"/>
      <c r="BR533" s="570"/>
      <c r="BS533" s="570"/>
      <c r="BT533" s="570"/>
      <c r="BU533" s="570"/>
      <c r="BV533" s="570"/>
      <c r="BW533" s="570"/>
      <c r="BX533" s="570"/>
      <c r="BY533" s="570"/>
      <c r="BZ533" s="571"/>
      <c r="CA533" s="571"/>
    </row>
    <row r="534" spans="2:79">
      <c r="B534" s="566">
        <v>519</v>
      </c>
      <c r="C534" s="308"/>
      <c r="D534" s="307"/>
      <c r="E534" s="307"/>
      <c r="F534" s="305"/>
      <c r="G534" s="305"/>
      <c r="H534" s="292"/>
      <c r="I534" s="574"/>
      <c r="J534" s="573"/>
      <c r="K534" s="307"/>
      <c r="L534" s="292"/>
      <c r="M534" s="308"/>
      <c r="N534" s="292"/>
      <c r="O534" s="308"/>
      <c r="P534" s="575"/>
      <c r="Q534" s="576"/>
      <c r="R534" s="308"/>
      <c r="S534" s="575"/>
      <c r="T534" s="576"/>
      <c r="U534" s="308"/>
      <c r="V534" s="575"/>
      <c r="W534" s="576"/>
      <c r="X534" s="308"/>
      <c r="Y534" s="575"/>
      <c r="Z534" s="576"/>
      <c r="AA534" s="308"/>
      <c r="AB534" s="575"/>
      <c r="AC534" s="576"/>
      <c r="AD534" s="308"/>
      <c r="AE534" s="575"/>
      <c r="AF534" s="308"/>
      <c r="AG534" s="575"/>
      <c r="AH534" s="308"/>
      <c r="AI534" s="575"/>
      <c r="AJ534" s="308"/>
      <c r="AK534" s="305"/>
      <c r="AL534" s="577"/>
      <c r="AM534" s="306"/>
      <c r="AN534" s="308"/>
      <c r="AO534" s="573"/>
      <c r="AP534" s="305"/>
      <c r="AQ534" s="308"/>
      <c r="AR534" s="573"/>
      <c r="AS534" s="578"/>
      <c r="AT534" s="577"/>
      <c r="AU534" s="579"/>
      <c r="AV534" s="578"/>
      <c r="AW534" s="308"/>
      <c r="AX534" s="307"/>
      <c r="AY534" s="307"/>
      <c r="AZ534" s="307"/>
      <c r="BA534" s="307"/>
      <c r="BB534" s="307"/>
      <c r="BC534" s="305"/>
      <c r="BD534" s="292"/>
      <c r="BE534" s="297"/>
      <c r="BF534" s="297"/>
      <c r="BG534" s="569"/>
      <c r="BH534" s="570"/>
      <c r="BI534" s="570"/>
      <c r="BJ534" s="570"/>
      <c r="BK534" s="570"/>
      <c r="BL534" s="570"/>
      <c r="BM534" s="570"/>
      <c r="BN534" s="570"/>
      <c r="BO534" s="570"/>
      <c r="BP534" s="570"/>
      <c r="BQ534" s="570"/>
      <c r="BR534" s="570"/>
      <c r="BS534" s="570"/>
      <c r="BT534" s="570"/>
      <c r="BU534" s="570"/>
      <c r="BV534" s="570"/>
      <c r="BW534" s="570"/>
      <c r="BX534" s="570"/>
      <c r="BY534" s="570"/>
      <c r="BZ534" s="571"/>
      <c r="CA534" s="571"/>
    </row>
    <row r="535" spans="2:79">
      <c r="B535" s="572">
        <v>520</v>
      </c>
      <c r="C535" s="308"/>
      <c r="D535" s="307"/>
      <c r="E535" s="307"/>
      <c r="F535" s="305"/>
      <c r="G535" s="305"/>
      <c r="H535" s="292"/>
      <c r="I535" s="574"/>
      <c r="J535" s="573"/>
      <c r="K535" s="307"/>
      <c r="L535" s="292"/>
      <c r="M535" s="308"/>
      <c r="N535" s="292"/>
      <c r="O535" s="308"/>
      <c r="P535" s="575"/>
      <c r="Q535" s="576"/>
      <c r="R535" s="308"/>
      <c r="S535" s="575"/>
      <c r="T535" s="576"/>
      <c r="U535" s="308"/>
      <c r="V535" s="575"/>
      <c r="W535" s="576"/>
      <c r="X535" s="308"/>
      <c r="Y535" s="575"/>
      <c r="Z535" s="576"/>
      <c r="AA535" s="308"/>
      <c r="AB535" s="575"/>
      <c r="AC535" s="576"/>
      <c r="AD535" s="308"/>
      <c r="AE535" s="575"/>
      <c r="AF535" s="308"/>
      <c r="AG535" s="575"/>
      <c r="AH535" s="308"/>
      <c r="AI535" s="575"/>
      <c r="AJ535" s="308"/>
      <c r="AK535" s="305"/>
      <c r="AL535" s="577"/>
      <c r="AM535" s="306"/>
      <c r="AN535" s="308"/>
      <c r="AO535" s="573"/>
      <c r="AP535" s="305"/>
      <c r="AQ535" s="308"/>
      <c r="AR535" s="573"/>
      <c r="AS535" s="578"/>
      <c r="AT535" s="577"/>
      <c r="AU535" s="579"/>
      <c r="AV535" s="578"/>
      <c r="AW535" s="308"/>
      <c r="AX535" s="307"/>
      <c r="AY535" s="307"/>
      <c r="AZ535" s="307"/>
      <c r="BA535" s="307"/>
      <c r="BB535" s="307"/>
      <c r="BC535" s="305"/>
      <c r="BD535" s="292"/>
      <c r="BE535" s="297"/>
      <c r="BF535" s="297"/>
      <c r="BG535" s="569"/>
      <c r="BH535" s="570"/>
      <c r="BI535" s="570"/>
      <c r="BJ535" s="570"/>
      <c r="BK535" s="570"/>
      <c r="BL535" s="570"/>
      <c r="BM535" s="570"/>
      <c r="BN535" s="570"/>
      <c r="BO535" s="570"/>
      <c r="BP535" s="570"/>
      <c r="BQ535" s="570"/>
      <c r="BR535" s="570"/>
      <c r="BS535" s="570"/>
      <c r="BT535" s="570"/>
      <c r="BU535" s="570"/>
      <c r="BV535" s="570"/>
      <c r="BW535" s="570"/>
      <c r="BX535" s="570"/>
      <c r="BY535" s="570"/>
      <c r="BZ535" s="571"/>
      <c r="CA535" s="571"/>
    </row>
    <row r="536" spans="2:79">
      <c r="B536" s="566">
        <v>521</v>
      </c>
      <c r="C536" s="308"/>
      <c r="D536" s="307"/>
      <c r="E536" s="307"/>
      <c r="F536" s="305"/>
      <c r="G536" s="305"/>
      <c r="H536" s="292"/>
      <c r="I536" s="574"/>
      <c r="J536" s="573"/>
      <c r="K536" s="307"/>
      <c r="L536" s="292"/>
      <c r="M536" s="308"/>
      <c r="N536" s="292"/>
      <c r="O536" s="308"/>
      <c r="P536" s="575"/>
      <c r="Q536" s="576"/>
      <c r="R536" s="308"/>
      <c r="S536" s="575"/>
      <c r="T536" s="576"/>
      <c r="U536" s="308"/>
      <c r="V536" s="575"/>
      <c r="W536" s="576"/>
      <c r="X536" s="308"/>
      <c r="Y536" s="575"/>
      <c r="Z536" s="576"/>
      <c r="AA536" s="308"/>
      <c r="AB536" s="575"/>
      <c r="AC536" s="576"/>
      <c r="AD536" s="308"/>
      <c r="AE536" s="575"/>
      <c r="AF536" s="308"/>
      <c r="AG536" s="575"/>
      <c r="AH536" s="308"/>
      <c r="AI536" s="575"/>
      <c r="AJ536" s="308"/>
      <c r="AK536" s="305"/>
      <c r="AL536" s="577"/>
      <c r="AM536" s="306"/>
      <c r="AN536" s="308"/>
      <c r="AO536" s="573"/>
      <c r="AP536" s="305"/>
      <c r="AQ536" s="308"/>
      <c r="AR536" s="573"/>
      <c r="AS536" s="578"/>
      <c r="AT536" s="577"/>
      <c r="AU536" s="579"/>
      <c r="AV536" s="578"/>
      <c r="AW536" s="308"/>
      <c r="AX536" s="307"/>
      <c r="AY536" s="307"/>
      <c r="AZ536" s="307"/>
      <c r="BA536" s="307"/>
      <c r="BB536" s="307"/>
      <c r="BC536" s="305"/>
      <c r="BD536" s="292"/>
      <c r="BE536" s="297"/>
      <c r="BF536" s="297"/>
      <c r="BG536" s="569"/>
      <c r="BH536" s="570"/>
      <c r="BI536" s="570"/>
      <c r="BJ536" s="570"/>
      <c r="BK536" s="570"/>
      <c r="BL536" s="570"/>
      <c r="BM536" s="570"/>
      <c r="BN536" s="570"/>
      <c r="BO536" s="570"/>
      <c r="BP536" s="570"/>
      <c r="BQ536" s="570"/>
      <c r="BR536" s="570"/>
      <c r="BS536" s="570"/>
      <c r="BT536" s="570"/>
      <c r="BU536" s="570"/>
      <c r="BV536" s="570"/>
      <c r="BW536" s="570"/>
      <c r="BX536" s="570"/>
      <c r="BY536" s="570"/>
      <c r="BZ536" s="571"/>
      <c r="CA536" s="571"/>
    </row>
    <row r="537" spans="2:79">
      <c r="B537" s="572">
        <v>522</v>
      </c>
      <c r="C537" s="308"/>
      <c r="D537" s="307"/>
      <c r="E537" s="307"/>
      <c r="F537" s="305"/>
      <c r="G537" s="305"/>
      <c r="H537" s="292"/>
      <c r="I537" s="574"/>
      <c r="J537" s="573"/>
      <c r="K537" s="307"/>
      <c r="L537" s="292"/>
      <c r="M537" s="308"/>
      <c r="N537" s="292"/>
      <c r="O537" s="308"/>
      <c r="P537" s="575"/>
      <c r="Q537" s="576"/>
      <c r="R537" s="308"/>
      <c r="S537" s="575"/>
      <c r="T537" s="576"/>
      <c r="U537" s="308"/>
      <c r="V537" s="575"/>
      <c r="W537" s="576"/>
      <c r="X537" s="308"/>
      <c r="Y537" s="575"/>
      <c r="Z537" s="576"/>
      <c r="AA537" s="308"/>
      <c r="AB537" s="575"/>
      <c r="AC537" s="576"/>
      <c r="AD537" s="308"/>
      <c r="AE537" s="575"/>
      <c r="AF537" s="308"/>
      <c r="AG537" s="575"/>
      <c r="AH537" s="308"/>
      <c r="AI537" s="575"/>
      <c r="AJ537" s="308"/>
      <c r="AK537" s="305"/>
      <c r="AL537" s="577"/>
      <c r="AM537" s="306"/>
      <c r="AN537" s="308"/>
      <c r="AO537" s="573"/>
      <c r="AP537" s="305"/>
      <c r="AQ537" s="308"/>
      <c r="AR537" s="573"/>
      <c r="AS537" s="578"/>
      <c r="AT537" s="577"/>
      <c r="AU537" s="579"/>
      <c r="AV537" s="578"/>
      <c r="AW537" s="308"/>
      <c r="AX537" s="307"/>
      <c r="AY537" s="307"/>
      <c r="AZ537" s="307"/>
      <c r="BA537" s="307"/>
      <c r="BB537" s="307"/>
      <c r="BC537" s="305"/>
      <c r="BD537" s="292"/>
      <c r="BE537" s="297"/>
      <c r="BF537" s="297"/>
      <c r="BG537" s="569"/>
      <c r="BH537" s="570"/>
      <c r="BI537" s="570"/>
      <c r="BJ537" s="570"/>
      <c r="BK537" s="570"/>
      <c r="BL537" s="570"/>
      <c r="BM537" s="570"/>
      <c r="BN537" s="570"/>
      <c r="BO537" s="570"/>
      <c r="BP537" s="570"/>
      <c r="BQ537" s="570"/>
      <c r="BR537" s="570"/>
      <c r="BS537" s="570"/>
      <c r="BT537" s="570"/>
      <c r="BU537" s="570"/>
      <c r="BV537" s="570"/>
      <c r="BW537" s="570"/>
      <c r="BX537" s="570"/>
      <c r="BY537" s="570"/>
      <c r="BZ537" s="571"/>
      <c r="CA537" s="571"/>
    </row>
    <row r="538" spans="2:79">
      <c r="B538" s="566">
        <v>523</v>
      </c>
      <c r="C538" s="308"/>
      <c r="D538" s="307"/>
      <c r="E538" s="307"/>
      <c r="F538" s="305"/>
      <c r="G538" s="305"/>
      <c r="H538" s="292"/>
      <c r="I538" s="574"/>
      <c r="J538" s="573"/>
      <c r="K538" s="307"/>
      <c r="L538" s="292"/>
      <c r="M538" s="308"/>
      <c r="N538" s="292"/>
      <c r="O538" s="308"/>
      <c r="P538" s="575"/>
      <c r="Q538" s="576"/>
      <c r="R538" s="308"/>
      <c r="S538" s="575"/>
      <c r="T538" s="576"/>
      <c r="U538" s="308"/>
      <c r="V538" s="575"/>
      <c r="W538" s="576"/>
      <c r="X538" s="308"/>
      <c r="Y538" s="575"/>
      <c r="Z538" s="576"/>
      <c r="AA538" s="308"/>
      <c r="AB538" s="575"/>
      <c r="AC538" s="576"/>
      <c r="AD538" s="308"/>
      <c r="AE538" s="575"/>
      <c r="AF538" s="308"/>
      <c r="AG538" s="575"/>
      <c r="AH538" s="308"/>
      <c r="AI538" s="575"/>
      <c r="AJ538" s="308"/>
      <c r="AK538" s="305"/>
      <c r="AL538" s="577"/>
      <c r="AM538" s="306"/>
      <c r="AN538" s="308"/>
      <c r="AO538" s="573"/>
      <c r="AP538" s="305"/>
      <c r="AQ538" s="308"/>
      <c r="AR538" s="573"/>
      <c r="AS538" s="578"/>
      <c r="AT538" s="577"/>
      <c r="AU538" s="579"/>
      <c r="AV538" s="578"/>
      <c r="AW538" s="308"/>
      <c r="AX538" s="307"/>
      <c r="AY538" s="307"/>
      <c r="AZ538" s="307"/>
      <c r="BA538" s="307"/>
      <c r="BB538" s="307"/>
      <c r="BC538" s="305"/>
      <c r="BD538" s="292"/>
      <c r="BE538" s="297"/>
      <c r="BF538" s="297"/>
      <c r="BG538" s="569"/>
      <c r="BH538" s="570"/>
      <c r="BI538" s="570"/>
      <c r="BJ538" s="570"/>
      <c r="BK538" s="570"/>
      <c r="BL538" s="570"/>
      <c r="BM538" s="570"/>
      <c r="BN538" s="570"/>
      <c r="BO538" s="570"/>
      <c r="BP538" s="570"/>
      <c r="BQ538" s="570"/>
      <c r="BR538" s="570"/>
      <c r="BS538" s="570"/>
      <c r="BT538" s="570"/>
      <c r="BU538" s="570"/>
      <c r="BV538" s="570"/>
      <c r="BW538" s="570"/>
      <c r="BX538" s="570"/>
      <c r="BY538" s="570"/>
      <c r="BZ538" s="571"/>
      <c r="CA538" s="571"/>
    </row>
    <row r="539" spans="2:79">
      <c r="B539" s="572">
        <v>524</v>
      </c>
      <c r="C539" s="308"/>
      <c r="D539" s="307"/>
      <c r="E539" s="307"/>
      <c r="F539" s="305"/>
      <c r="G539" s="305"/>
      <c r="H539" s="292"/>
      <c r="I539" s="574"/>
      <c r="J539" s="573"/>
      <c r="K539" s="307"/>
      <c r="L539" s="292"/>
      <c r="M539" s="308"/>
      <c r="N539" s="292"/>
      <c r="O539" s="308"/>
      <c r="P539" s="575"/>
      <c r="Q539" s="576"/>
      <c r="R539" s="308"/>
      <c r="S539" s="575"/>
      <c r="T539" s="576"/>
      <c r="U539" s="308"/>
      <c r="V539" s="575"/>
      <c r="W539" s="576"/>
      <c r="X539" s="308"/>
      <c r="Y539" s="575"/>
      <c r="Z539" s="576"/>
      <c r="AA539" s="308"/>
      <c r="AB539" s="575"/>
      <c r="AC539" s="576"/>
      <c r="AD539" s="308"/>
      <c r="AE539" s="575"/>
      <c r="AF539" s="308"/>
      <c r="AG539" s="575"/>
      <c r="AH539" s="308"/>
      <c r="AI539" s="575"/>
      <c r="AJ539" s="308"/>
      <c r="AK539" s="305"/>
      <c r="AL539" s="577"/>
      <c r="AM539" s="306"/>
      <c r="AN539" s="308"/>
      <c r="AO539" s="573"/>
      <c r="AP539" s="305"/>
      <c r="AQ539" s="308"/>
      <c r="AR539" s="573"/>
      <c r="AS539" s="578"/>
      <c r="AT539" s="577"/>
      <c r="AU539" s="579"/>
      <c r="AV539" s="578"/>
      <c r="AW539" s="308"/>
      <c r="AX539" s="307"/>
      <c r="AY539" s="307"/>
      <c r="AZ539" s="307"/>
      <c r="BA539" s="307"/>
      <c r="BB539" s="307"/>
      <c r="BC539" s="305"/>
      <c r="BD539" s="292"/>
      <c r="BE539" s="297"/>
      <c r="BF539" s="297"/>
      <c r="BG539" s="569"/>
      <c r="BH539" s="570"/>
      <c r="BI539" s="570"/>
      <c r="BJ539" s="570"/>
      <c r="BK539" s="570"/>
      <c r="BL539" s="570"/>
      <c r="BM539" s="570"/>
      <c r="BN539" s="570"/>
      <c r="BO539" s="570"/>
      <c r="BP539" s="570"/>
      <c r="BQ539" s="570"/>
      <c r="BR539" s="570"/>
      <c r="BS539" s="570"/>
      <c r="BT539" s="570"/>
      <c r="BU539" s="570"/>
      <c r="BV539" s="570"/>
      <c r="BW539" s="570"/>
      <c r="BX539" s="570"/>
      <c r="BY539" s="570"/>
      <c r="BZ539" s="571"/>
      <c r="CA539" s="571"/>
    </row>
    <row r="540" spans="2:79">
      <c r="B540" s="566">
        <v>525</v>
      </c>
      <c r="C540" s="308"/>
      <c r="D540" s="307"/>
      <c r="E540" s="307"/>
      <c r="F540" s="305"/>
      <c r="G540" s="305"/>
      <c r="H540" s="292"/>
      <c r="I540" s="574"/>
      <c r="J540" s="573"/>
      <c r="K540" s="307"/>
      <c r="L540" s="292"/>
      <c r="M540" s="308"/>
      <c r="N540" s="292"/>
      <c r="O540" s="308"/>
      <c r="P540" s="575"/>
      <c r="Q540" s="576"/>
      <c r="R540" s="308"/>
      <c r="S540" s="575"/>
      <c r="T540" s="576"/>
      <c r="U540" s="308"/>
      <c r="V540" s="575"/>
      <c r="W540" s="576"/>
      <c r="X540" s="308"/>
      <c r="Y540" s="575"/>
      <c r="Z540" s="576"/>
      <c r="AA540" s="308"/>
      <c r="AB540" s="575"/>
      <c r="AC540" s="576"/>
      <c r="AD540" s="308"/>
      <c r="AE540" s="575"/>
      <c r="AF540" s="308"/>
      <c r="AG540" s="575"/>
      <c r="AH540" s="308"/>
      <c r="AI540" s="575"/>
      <c r="AJ540" s="308"/>
      <c r="AK540" s="305"/>
      <c r="AL540" s="577"/>
      <c r="AM540" s="306"/>
      <c r="AN540" s="308"/>
      <c r="AO540" s="573"/>
      <c r="AP540" s="305"/>
      <c r="AQ540" s="308"/>
      <c r="AR540" s="573"/>
      <c r="AS540" s="578"/>
      <c r="AT540" s="577"/>
      <c r="AU540" s="579"/>
      <c r="AV540" s="578"/>
      <c r="AW540" s="308"/>
      <c r="AX540" s="307"/>
      <c r="AY540" s="307"/>
      <c r="AZ540" s="307"/>
      <c r="BA540" s="307"/>
      <c r="BB540" s="307"/>
      <c r="BC540" s="305"/>
      <c r="BD540" s="292"/>
      <c r="BE540" s="297"/>
      <c r="BF540" s="297"/>
      <c r="BG540" s="569"/>
      <c r="BH540" s="570"/>
      <c r="BI540" s="570"/>
      <c r="BJ540" s="570"/>
      <c r="BK540" s="570"/>
      <c r="BL540" s="570"/>
      <c r="BM540" s="570"/>
      <c r="BN540" s="570"/>
      <c r="BO540" s="570"/>
      <c r="BP540" s="570"/>
      <c r="BQ540" s="570"/>
      <c r="BR540" s="570"/>
      <c r="BS540" s="570"/>
      <c r="BT540" s="570"/>
      <c r="BU540" s="570"/>
      <c r="BV540" s="570"/>
      <c r="BW540" s="570"/>
      <c r="BX540" s="570"/>
      <c r="BY540" s="570"/>
      <c r="BZ540" s="571"/>
      <c r="CA540" s="571"/>
    </row>
    <row r="541" spans="2:79">
      <c r="B541" s="572">
        <v>526</v>
      </c>
      <c r="C541" s="308"/>
      <c r="D541" s="307"/>
      <c r="E541" s="307"/>
      <c r="F541" s="305"/>
      <c r="G541" s="305"/>
      <c r="H541" s="292"/>
      <c r="I541" s="574"/>
      <c r="J541" s="573"/>
      <c r="K541" s="307"/>
      <c r="L541" s="292"/>
      <c r="M541" s="308"/>
      <c r="N541" s="292"/>
      <c r="O541" s="308"/>
      <c r="P541" s="575"/>
      <c r="Q541" s="576"/>
      <c r="R541" s="308"/>
      <c r="S541" s="575"/>
      <c r="T541" s="576"/>
      <c r="U541" s="308"/>
      <c r="V541" s="575"/>
      <c r="W541" s="576"/>
      <c r="X541" s="308"/>
      <c r="Y541" s="575"/>
      <c r="Z541" s="576"/>
      <c r="AA541" s="308"/>
      <c r="AB541" s="575"/>
      <c r="AC541" s="576"/>
      <c r="AD541" s="308"/>
      <c r="AE541" s="575"/>
      <c r="AF541" s="308"/>
      <c r="AG541" s="575"/>
      <c r="AH541" s="308"/>
      <c r="AI541" s="575"/>
      <c r="AJ541" s="308"/>
      <c r="AK541" s="305"/>
      <c r="AL541" s="577"/>
      <c r="AM541" s="306"/>
      <c r="AN541" s="308"/>
      <c r="AO541" s="573"/>
      <c r="AP541" s="305"/>
      <c r="AQ541" s="308"/>
      <c r="AR541" s="573"/>
      <c r="AS541" s="578"/>
      <c r="AT541" s="577"/>
      <c r="AU541" s="579"/>
      <c r="AV541" s="578"/>
      <c r="AW541" s="308"/>
      <c r="AX541" s="307"/>
      <c r="AY541" s="307"/>
      <c r="AZ541" s="307"/>
      <c r="BA541" s="307"/>
      <c r="BB541" s="307"/>
      <c r="BC541" s="305"/>
      <c r="BD541" s="292"/>
      <c r="BE541" s="297"/>
      <c r="BF541" s="297"/>
      <c r="BG541" s="569"/>
      <c r="BH541" s="570"/>
      <c r="BI541" s="570"/>
      <c r="BJ541" s="570"/>
      <c r="BK541" s="570"/>
      <c r="BL541" s="570"/>
      <c r="BM541" s="570"/>
      <c r="BN541" s="570"/>
      <c r="BO541" s="570"/>
      <c r="BP541" s="570"/>
      <c r="BQ541" s="570"/>
      <c r="BR541" s="570"/>
      <c r="BS541" s="570"/>
      <c r="BT541" s="570"/>
      <c r="BU541" s="570"/>
      <c r="BV541" s="570"/>
      <c r="BW541" s="570"/>
      <c r="BX541" s="570"/>
      <c r="BY541" s="570"/>
      <c r="BZ541" s="571"/>
      <c r="CA541" s="571"/>
    </row>
    <row r="542" spans="2:79">
      <c r="B542" s="566">
        <v>527</v>
      </c>
      <c r="C542" s="308"/>
      <c r="D542" s="307"/>
      <c r="E542" s="307"/>
      <c r="F542" s="305"/>
      <c r="G542" s="305"/>
      <c r="H542" s="292"/>
      <c r="I542" s="574"/>
      <c r="J542" s="573"/>
      <c r="K542" s="307"/>
      <c r="L542" s="292"/>
      <c r="M542" s="308"/>
      <c r="N542" s="292"/>
      <c r="O542" s="308"/>
      <c r="P542" s="575"/>
      <c r="Q542" s="576"/>
      <c r="R542" s="308"/>
      <c r="S542" s="575"/>
      <c r="T542" s="576"/>
      <c r="U542" s="308"/>
      <c r="V542" s="575"/>
      <c r="W542" s="576"/>
      <c r="X542" s="308"/>
      <c r="Y542" s="575"/>
      <c r="Z542" s="576"/>
      <c r="AA542" s="308"/>
      <c r="AB542" s="575"/>
      <c r="AC542" s="576"/>
      <c r="AD542" s="308"/>
      <c r="AE542" s="575"/>
      <c r="AF542" s="308"/>
      <c r="AG542" s="575"/>
      <c r="AH542" s="308"/>
      <c r="AI542" s="575"/>
      <c r="AJ542" s="308"/>
      <c r="AK542" s="305"/>
      <c r="AL542" s="577"/>
      <c r="AM542" s="306"/>
      <c r="AN542" s="308"/>
      <c r="AO542" s="573"/>
      <c r="AP542" s="305"/>
      <c r="AQ542" s="308"/>
      <c r="AR542" s="573"/>
      <c r="AS542" s="578"/>
      <c r="AT542" s="577"/>
      <c r="AU542" s="579"/>
      <c r="AV542" s="578"/>
      <c r="AW542" s="308"/>
      <c r="AX542" s="307"/>
      <c r="AY542" s="307"/>
      <c r="AZ542" s="307"/>
      <c r="BA542" s="307"/>
      <c r="BB542" s="307"/>
      <c r="BC542" s="305"/>
      <c r="BD542" s="292"/>
      <c r="BE542" s="297"/>
      <c r="BF542" s="297"/>
      <c r="BG542" s="569"/>
      <c r="BH542" s="570"/>
      <c r="BI542" s="570"/>
      <c r="BJ542" s="570"/>
      <c r="BK542" s="570"/>
      <c r="BL542" s="570"/>
      <c r="BM542" s="570"/>
      <c r="BN542" s="570"/>
      <c r="BO542" s="570"/>
      <c r="BP542" s="570"/>
      <c r="BQ542" s="570"/>
      <c r="BR542" s="570"/>
      <c r="BS542" s="570"/>
      <c r="BT542" s="570"/>
      <c r="BU542" s="570"/>
      <c r="BV542" s="570"/>
      <c r="BW542" s="570"/>
      <c r="BX542" s="570"/>
      <c r="BY542" s="570"/>
      <c r="BZ542" s="571"/>
      <c r="CA542" s="571"/>
    </row>
    <row r="543" spans="2:79">
      <c r="B543" s="572">
        <v>528</v>
      </c>
      <c r="C543" s="308"/>
      <c r="D543" s="307"/>
      <c r="E543" s="307"/>
      <c r="F543" s="305"/>
      <c r="G543" s="305"/>
      <c r="H543" s="292"/>
      <c r="I543" s="574"/>
      <c r="J543" s="573"/>
      <c r="K543" s="307"/>
      <c r="L543" s="292"/>
      <c r="M543" s="308"/>
      <c r="N543" s="292"/>
      <c r="O543" s="308"/>
      <c r="P543" s="575"/>
      <c r="Q543" s="576"/>
      <c r="R543" s="308"/>
      <c r="S543" s="575"/>
      <c r="T543" s="576"/>
      <c r="U543" s="308"/>
      <c r="V543" s="575"/>
      <c r="W543" s="576"/>
      <c r="X543" s="308"/>
      <c r="Y543" s="575"/>
      <c r="Z543" s="576"/>
      <c r="AA543" s="308"/>
      <c r="AB543" s="575"/>
      <c r="AC543" s="576"/>
      <c r="AD543" s="308"/>
      <c r="AE543" s="575"/>
      <c r="AF543" s="308"/>
      <c r="AG543" s="575"/>
      <c r="AH543" s="308"/>
      <c r="AI543" s="575"/>
      <c r="AJ543" s="308"/>
      <c r="AK543" s="305"/>
      <c r="AL543" s="577"/>
      <c r="AM543" s="306"/>
      <c r="AN543" s="308"/>
      <c r="AO543" s="573"/>
      <c r="AP543" s="305"/>
      <c r="AQ543" s="308"/>
      <c r="AR543" s="573"/>
      <c r="AS543" s="578"/>
      <c r="AT543" s="577"/>
      <c r="AU543" s="579"/>
      <c r="AV543" s="578"/>
      <c r="AW543" s="308"/>
      <c r="AX543" s="307"/>
      <c r="AY543" s="307"/>
      <c r="AZ543" s="307"/>
      <c r="BA543" s="307"/>
      <c r="BB543" s="307"/>
      <c r="BC543" s="305"/>
      <c r="BD543" s="292"/>
      <c r="BE543" s="297"/>
      <c r="BF543" s="297"/>
      <c r="BG543" s="569"/>
      <c r="BH543" s="570"/>
      <c r="BI543" s="570"/>
      <c r="BJ543" s="570"/>
      <c r="BK543" s="570"/>
      <c r="BL543" s="570"/>
      <c r="BM543" s="570"/>
      <c r="BN543" s="570"/>
      <c r="BO543" s="570"/>
      <c r="BP543" s="570"/>
      <c r="BQ543" s="570"/>
      <c r="BR543" s="570"/>
      <c r="BS543" s="570"/>
      <c r="BT543" s="570"/>
      <c r="BU543" s="570"/>
      <c r="BV543" s="570"/>
      <c r="BW543" s="570"/>
      <c r="BX543" s="570"/>
      <c r="BY543" s="570"/>
      <c r="BZ543" s="571"/>
      <c r="CA543" s="571"/>
    </row>
    <row r="544" spans="2:79">
      <c r="B544" s="566">
        <v>529</v>
      </c>
      <c r="C544" s="308"/>
      <c r="D544" s="307"/>
      <c r="E544" s="307"/>
      <c r="F544" s="305"/>
      <c r="G544" s="305"/>
      <c r="H544" s="292"/>
      <c r="I544" s="574"/>
      <c r="J544" s="573"/>
      <c r="K544" s="307"/>
      <c r="L544" s="292"/>
      <c r="M544" s="308"/>
      <c r="N544" s="292"/>
      <c r="O544" s="308"/>
      <c r="P544" s="575"/>
      <c r="Q544" s="576"/>
      <c r="R544" s="308"/>
      <c r="S544" s="575"/>
      <c r="T544" s="576"/>
      <c r="U544" s="308"/>
      <c r="V544" s="575"/>
      <c r="W544" s="576"/>
      <c r="X544" s="308"/>
      <c r="Y544" s="575"/>
      <c r="Z544" s="576"/>
      <c r="AA544" s="308"/>
      <c r="AB544" s="575"/>
      <c r="AC544" s="576"/>
      <c r="AD544" s="308"/>
      <c r="AE544" s="575"/>
      <c r="AF544" s="308"/>
      <c r="AG544" s="575"/>
      <c r="AH544" s="308"/>
      <c r="AI544" s="575"/>
      <c r="AJ544" s="308"/>
      <c r="AK544" s="305"/>
      <c r="AL544" s="577"/>
      <c r="AM544" s="306"/>
      <c r="AN544" s="308"/>
      <c r="AO544" s="573"/>
      <c r="AP544" s="305"/>
      <c r="AQ544" s="308"/>
      <c r="AR544" s="573"/>
      <c r="AS544" s="578"/>
      <c r="AT544" s="577"/>
      <c r="AU544" s="579"/>
      <c r="AV544" s="578"/>
      <c r="AW544" s="308"/>
      <c r="AX544" s="307"/>
      <c r="AY544" s="307"/>
      <c r="AZ544" s="307"/>
      <c r="BA544" s="307"/>
      <c r="BB544" s="307"/>
      <c r="BC544" s="305"/>
      <c r="BD544" s="292"/>
      <c r="BE544" s="297"/>
      <c r="BF544" s="297"/>
      <c r="BG544" s="569"/>
      <c r="BH544" s="570"/>
      <c r="BI544" s="570"/>
      <c r="BJ544" s="570"/>
      <c r="BK544" s="570"/>
      <c r="BL544" s="570"/>
      <c r="BM544" s="570"/>
      <c r="BN544" s="570"/>
      <c r="BO544" s="570"/>
      <c r="BP544" s="570"/>
      <c r="BQ544" s="570"/>
      <c r="BR544" s="570"/>
      <c r="BS544" s="570"/>
      <c r="BT544" s="570"/>
      <c r="BU544" s="570"/>
      <c r="BV544" s="570"/>
      <c r="BW544" s="570"/>
      <c r="BX544" s="570"/>
      <c r="BY544" s="570"/>
      <c r="BZ544" s="571"/>
      <c r="CA544" s="571"/>
    </row>
    <row r="545" spans="2:79">
      <c r="B545" s="572">
        <v>530</v>
      </c>
      <c r="C545" s="308"/>
      <c r="D545" s="307"/>
      <c r="E545" s="307"/>
      <c r="F545" s="305"/>
      <c r="G545" s="305"/>
      <c r="H545" s="292"/>
      <c r="I545" s="574"/>
      <c r="J545" s="573"/>
      <c r="K545" s="307"/>
      <c r="L545" s="292"/>
      <c r="M545" s="308"/>
      <c r="N545" s="292"/>
      <c r="O545" s="308"/>
      <c r="P545" s="575"/>
      <c r="Q545" s="576"/>
      <c r="R545" s="308"/>
      <c r="S545" s="575"/>
      <c r="T545" s="576"/>
      <c r="U545" s="308"/>
      <c r="V545" s="575"/>
      <c r="W545" s="576"/>
      <c r="X545" s="308"/>
      <c r="Y545" s="575"/>
      <c r="Z545" s="576"/>
      <c r="AA545" s="308"/>
      <c r="AB545" s="575"/>
      <c r="AC545" s="576"/>
      <c r="AD545" s="308"/>
      <c r="AE545" s="575"/>
      <c r="AF545" s="308"/>
      <c r="AG545" s="575"/>
      <c r="AH545" s="308"/>
      <c r="AI545" s="575"/>
      <c r="AJ545" s="308"/>
      <c r="AK545" s="305"/>
      <c r="AL545" s="577"/>
      <c r="AM545" s="306"/>
      <c r="AN545" s="308"/>
      <c r="AO545" s="573"/>
      <c r="AP545" s="305"/>
      <c r="AQ545" s="308"/>
      <c r="AR545" s="573"/>
      <c r="AS545" s="578"/>
      <c r="AT545" s="577"/>
      <c r="AU545" s="579"/>
      <c r="AV545" s="578"/>
      <c r="AW545" s="308"/>
      <c r="AX545" s="307"/>
      <c r="AY545" s="307"/>
      <c r="AZ545" s="307"/>
      <c r="BA545" s="307"/>
      <c r="BB545" s="307"/>
      <c r="BC545" s="305"/>
      <c r="BD545" s="292"/>
      <c r="BE545" s="297"/>
      <c r="BF545" s="297"/>
      <c r="BG545" s="569"/>
      <c r="BH545" s="570"/>
      <c r="BI545" s="570"/>
      <c r="BJ545" s="570"/>
      <c r="BK545" s="570"/>
      <c r="BL545" s="570"/>
      <c r="BM545" s="570"/>
      <c r="BN545" s="570"/>
      <c r="BO545" s="570"/>
      <c r="BP545" s="570"/>
      <c r="BQ545" s="570"/>
      <c r="BR545" s="570"/>
      <c r="BS545" s="570"/>
      <c r="BT545" s="570"/>
      <c r="BU545" s="570"/>
      <c r="BV545" s="570"/>
      <c r="BW545" s="570"/>
      <c r="BX545" s="570"/>
      <c r="BY545" s="570"/>
      <c r="BZ545" s="571"/>
      <c r="CA545" s="571"/>
    </row>
    <row r="546" spans="2:79">
      <c r="B546" s="566">
        <v>531</v>
      </c>
      <c r="C546" s="308"/>
      <c r="D546" s="307"/>
      <c r="E546" s="307"/>
      <c r="F546" s="305"/>
      <c r="G546" s="305"/>
      <c r="H546" s="292"/>
      <c r="I546" s="574"/>
      <c r="J546" s="573"/>
      <c r="K546" s="307"/>
      <c r="L546" s="292"/>
      <c r="M546" s="308"/>
      <c r="N546" s="292"/>
      <c r="O546" s="308"/>
      <c r="P546" s="575"/>
      <c r="Q546" s="576"/>
      <c r="R546" s="308"/>
      <c r="S546" s="575"/>
      <c r="T546" s="576"/>
      <c r="U546" s="308"/>
      <c r="V546" s="575"/>
      <c r="W546" s="576"/>
      <c r="X546" s="308"/>
      <c r="Y546" s="575"/>
      <c r="Z546" s="576"/>
      <c r="AA546" s="308"/>
      <c r="AB546" s="575"/>
      <c r="AC546" s="576"/>
      <c r="AD546" s="308"/>
      <c r="AE546" s="575"/>
      <c r="AF546" s="308"/>
      <c r="AG546" s="575"/>
      <c r="AH546" s="308"/>
      <c r="AI546" s="575"/>
      <c r="AJ546" s="308"/>
      <c r="AK546" s="305"/>
      <c r="AL546" s="577"/>
      <c r="AM546" s="306"/>
      <c r="AN546" s="308"/>
      <c r="AO546" s="573"/>
      <c r="AP546" s="305"/>
      <c r="AQ546" s="308"/>
      <c r="AR546" s="573"/>
      <c r="AS546" s="578"/>
      <c r="AT546" s="577"/>
      <c r="AU546" s="579"/>
      <c r="AV546" s="578"/>
      <c r="AW546" s="308"/>
      <c r="AX546" s="307"/>
      <c r="AY546" s="307"/>
      <c r="AZ546" s="307"/>
      <c r="BA546" s="307"/>
      <c r="BB546" s="307"/>
      <c r="BC546" s="305"/>
      <c r="BD546" s="292"/>
      <c r="BE546" s="297"/>
      <c r="BF546" s="297"/>
      <c r="BG546" s="569"/>
      <c r="BH546" s="570"/>
      <c r="BI546" s="570"/>
      <c r="BJ546" s="570"/>
      <c r="BK546" s="570"/>
      <c r="BL546" s="570"/>
      <c r="BM546" s="570"/>
      <c r="BN546" s="570"/>
      <c r="BO546" s="570"/>
      <c r="BP546" s="570"/>
      <c r="BQ546" s="570"/>
      <c r="BR546" s="570"/>
      <c r="BS546" s="570"/>
      <c r="BT546" s="570"/>
      <c r="BU546" s="570"/>
      <c r="BV546" s="570"/>
      <c r="BW546" s="570"/>
      <c r="BX546" s="570"/>
      <c r="BY546" s="570"/>
      <c r="BZ546" s="571"/>
      <c r="CA546" s="571"/>
    </row>
    <row r="547" spans="2:79">
      <c r="B547" s="572">
        <v>532</v>
      </c>
      <c r="C547" s="308"/>
      <c r="D547" s="307"/>
      <c r="E547" s="307"/>
      <c r="F547" s="305"/>
      <c r="G547" s="305"/>
      <c r="H547" s="292"/>
      <c r="I547" s="574"/>
      <c r="J547" s="573"/>
      <c r="K547" s="307"/>
      <c r="L547" s="292"/>
      <c r="M547" s="308"/>
      <c r="N547" s="292"/>
      <c r="O547" s="308"/>
      <c r="P547" s="575"/>
      <c r="Q547" s="576"/>
      <c r="R547" s="308"/>
      <c r="S547" s="575"/>
      <c r="T547" s="576"/>
      <c r="U547" s="308"/>
      <c r="V547" s="575"/>
      <c r="W547" s="576"/>
      <c r="X547" s="308"/>
      <c r="Y547" s="575"/>
      <c r="Z547" s="576"/>
      <c r="AA547" s="308"/>
      <c r="AB547" s="575"/>
      <c r="AC547" s="576"/>
      <c r="AD547" s="308"/>
      <c r="AE547" s="575"/>
      <c r="AF547" s="308"/>
      <c r="AG547" s="575"/>
      <c r="AH547" s="308"/>
      <c r="AI547" s="575"/>
      <c r="AJ547" s="308"/>
      <c r="AK547" s="305"/>
      <c r="AL547" s="577"/>
      <c r="AM547" s="306"/>
      <c r="AN547" s="308"/>
      <c r="AO547" s="573"/>
      <c r="AP547" s="305"/>
      <c r="AQ547" s="308"/>
      <c r="AR547" s="573"/>
      <c r="AS547" s="578"/>
      <c r="AT547" s="577"/>
      <c r="AU547" s="579"/>
      <c r="AV547" s="578"/>
      <c r="AW547" s="308"/>
      <c r="AX547" s="307"/>
      <c r="AY547" s="307"/>
      <c r="AZ547" s="307"/>
      <c r="BA547" s="307"/>
      <c r="BB547" s="307"/>
      <c r="BC547" s="305"/>
      <c r="BD547" s="292"/>
      <c r="BE547" s="297"/>
      <c r="BF547" s="297"/>
      <c r="BG547" s="569"/>
      <c r="BH547" s="570"/>
      <c r="BI547" s="570"/>
      <c r="BJ547" s="570"/>
      <c r="BK547" s="570"/>
      <c r="BL547" s="570"/>
      <c r="BM547" s="570"/>
      <c r="BN547" s="570"/>
      <c r="BO547" s="570"/>
      <c r="BP547" s="570"/>
      <c r="BQ547" s="570"/>
      <c r="BR547" s="570"/>
      <c r="BS547" s="570"/>
      <c r="BT547" s="570"/>
      <c r="BU547" s="570"/>
      <c r="BV547" s="570"/>
      <c r="BW547" s="570"/>
      <c r="BX547" s="570"/>
      <c r="BY547" s="570"/>
      <c r="BZ547" s="571"/>
      <c r="CA547" s="571"/>
    </row>
    <row r="548" spans="2:79">
      <c r="B548" s="566">
        <v>533</v>
      </c>
      <c r="C548" s="308"/>
      <c r="D548" s="307"/>
      <c r="E548" s="307"/>
      <c r="F548" s="305"/>
      <c r="G548" s="305"/>
      <c r="H548" s="292"/>
      <c r="I548" s="574"/>
      <c r="J548" s="573"/>
      <c r="K548" s="307"/>
      <c r="L548" s="292"/>
      <c r="M548" s="308"/>
      <c r="N548" s="292"/>
      <c r="O548" s="308"/>
      <c r="P548" s="575"/>
      <c r="Q548" s="576"/>
      <c r="R548" s="308"/>
      <c r="S548" s="575"/>
      <c r="T548" s="576"/>
      <c r="U548" s="308"/>
      <c r="V548" s="575"/>
      <c r="W548" s="576"/>
      <c r="X548" s="308"/>
      <c r="Y548" s="575"/>
      <c r="Z548" s="576"/>
      <c r="AA548" s="308"/>
      <c r="AB548" s="575"/>
      <c r="AC548" s="576"/>
      <c r="AD548" s="308"/>
      <c r="AE548" s="575"/>
      <c r="AF548" s="308"/>
      <c r="AG548" s="575"/>
      <c r="AH548" s="308"/>
      <c r="AI548" s="575"/>
      <c r="AJ548" s="308"/>
      <c r="AK548" s="305"/>
      <c r="AL548" s="577"/>
      <c r="AM548" s="306"/>
      <c r="AN548" s="308"/>
      <c r="AO548" s="573"/>
      <c r="AP548" s="305"/>
      <c r="AQ548" s="308"/>
      <c r="AR548" s="573"/>
      <c r="AS548" s="578"/>
      <c r="AT548" s="577"/>
      <c r="AU548" s="579"/>
      <c r="AV548" s="578"/>
      <c r="AW548" s="308"/>
      <c r="AX548" s="307"/>
      <c r="AY548" s="307"/>
      <c r="AZ548" s="307"/>
      <c r="BA548" s="307"/>
      <c r="BB548" s="307"/>
      <c r="BC548" s="305"/>
      <c r="BD548" s="292"/>
      <c r="BE548" s="297"/>
      <c r="BF548" s="297"/>
      <c r="BG548" s="569"/>
      <c r="BH548" s="570"/>
      <c r="BI548" s="570"/>
      <c r="BJ548" s="570"/>
      <c r="BK548" s="570"/>
      <c r="BL548" s="570"/>
      <c r="BM548" s="570"/>
      <c r="BN548" s="570"/>
      <c r="BO548" s="570"/>
      <c r="BP548" s="570"/>
      <c r="BQ548" s="570"/>
      <c r="BR548" s="570"/>
      <c r="BS548" s="570"/>
      <c r="BT548" s="570"/>
      <c r="BU548" s="570"/>
      <c r="BV548" s="570"/>
      <c r="BW548" s="570"/>
      <c r="BX548" s="570"/>
      <c r="BY548" s="570"/>
      <c r="BZ548" s="571"/>
      <c r="CA548" s="571"/>
    </row>
    <row r="549" spans="2:79">
      <c r="B549" s="572">
        <v>534</v>
      </c>
      <c r="C549" s="308"/>
      <c r="D549" s="307"/>
      <c r="E549" s="307"/>
      <c r="F549" s="305"/>
      <c r="G549" s="305"/>
      <c r="H549" s="292"/>
      <c r="I549" s="574"/>
      <c r="J549" s="573"/>
      <c r="K549" s="307"/>
      <c r="L549" s="292"/>
      <c r="M549" s="308"/>
      <c r="N549" s="292"/>
      <c r="O549" s="308"/>
      <c r="P549" s="575"/>
      <c r="Q549" s="576"/>
      <c r="R549" s="308"/>
      <c r="S549" s="575"/>
      <c r="T549" s="576"/>
      <c r="U549" s="308"/>
      <c r="V549" s="575"/>
      <c r="W549" s="576"/>
      <c r="X549" s="308"/>
      <c r="Y549" s="575"/>
      <c r="Z549" s="576"/>
      <c r="AA549" s="308"/>
      <c r="AB549" s="575"/>
      <c r="AC549" s="576"/>
      <c r="AD549" s="308"/>
      <c r="AE549" s="575"/>
      <c r="AF549" s="308"/>
      <c r="AG549" s="575"/>
      <c r="AH549" s="308"/>
      <c r="AI549" s="575"/>
      <c r="AJ549" s="308"/>
      <c r="AK549" s="305"/>
      <c r="AL549" s="577"/>
      <c r="AM549" s="306"/>
      <c r="AN549" s="308"/>
      <c r="AO549" s="573"/>
      <c r="AP549" s="305"/>
      <c r="AQ549" s="308"/>
      <c r="AR549" s="573"/>
      <c r="AS549" s="578"/>
      <c r="AT549" s="577"/>
      <c r="AU549" s="579"/>
      <c r="AV549" s="578"/>
      <c r="AW549" s="308"/>
      <c r="AX549" s="307"/>
      <c r="AY549" s="307"/>
      <c r="AZ549" s="307"/>
      <c r="BA549" s="307"/>
      <c r="BB549" s="307"/>
      <c r="BC549" s="305"/>
      <c r="BD549" s="292"/>
      <c r="BE549" s="297"/>
      <c r="BF549" s="297"/>
      <c r="BG549" s="569"/>
      <c r="BH549" s="570"/>
      <c r="BI549" s="570"/>
      <c r="BJ549" s="570"/>
      <c r="BK549" s="570"/>
      <c r="BL549" s="570"/>
      <c r="BM549" s="570"/>
      <c r="BN549" s="570"/>
      <c r="BO549" s="570"/>
      <c r="BP549" s="570"/>
      <c r="BQ549" s="570"/>
      <c r="BR549" s="570"/>
      <c r="BS549" s="570"/>
      <c r="BT549" s="570"/>
      <c r="BU549" s="570"/>
      <c r="BV549" s="570"/>
      <c r="BW549" s="570"/>
      <c r="BX549" s="570"/>
      <c r="BY549" s="570"/>
      <c r="BZ549" s="571"/>
      <c r="CA549" s="571"/>
    </row>
    <row r="550" spans="2:79">
      <c r="B550" s="566">
        <v>535</v>
      </c>
      <c r="C550" s="308"/>
      <c r="D550" s="307"/>
      <c r="E550" s="307"/>
      <c r="F550" s="305"/>
      <c r="G550" s="305"/>
      <c r="H550" s="292"/>
      <c r="I550" s="574"/>
      <c r="J550" s="573"/>
      <c r="K550" s="307"/>
      <c r="L550" s="292"/>
      <c r="M550" s="308"/>
      <c r="N550" s="292"/>
      <c r="O550" s="308"/>
      <c r="P550" s="575"/>
      <c r="Q550" s="576"/>
      <c r="R550" s="308"/>
      <c r="S550" s="575"/>
      <c r="T550" s="576"/>
      <c r="U550" s="308"/>
      <c r="V550" s="575"/>
      <c r="W550" s="576"/>
      <c r="X550" s="308"/>
      <c r="Y550" s="575"/>
      <c r="Z550" s="576"/>
      <c r="AA550" s="308"/>
      <c r="AB550" s="575"/>
      <c r="AC550" s="576"/>
      <c r="AD550" s="308"/>
      <c r="AE550" s="575"/>
      <c r="AF550" s="308"/>
      <c r="AG550" s="575"/>
      <c r="AH550" s="308"/>
      <c r="AI550" s="575"/>
      <c r="AJ550" s="308"/>
      <c r="AK550" s="305"/>
      <c r="AL550" s="577"/>
      <c r="AM550" s="306"/>
      <c r="AN550" s="308"/>
      <c r="AO550" s="573"/>
      <c r="AP550" s="305"/>
      <c r="AQ550" s="308"/>
      <c r="AR550" s="573"/>
      <c r="AS550" s="578"/>
      <c r="AT550" s="577"/>
      <c r="AU550" s="579"/>
      <c r="AV550" s="578"/>
      <c r="AW550" s="308"/>
      <c r="AX550" s="307"/>
      <c r="AY550" s="307"/>
      <c r="AZ550" s="307"/>
      <c r="BA550" s="307"/>
      <c r="BB550" s="307"/>
      <c r="BC550" s="305"/>
      <c r="BD550" s="292"/>
      <c r="BE550" s="297"/>
      <c r="BF550" s="297"/>
      <c r="BG550" s="569"/>
      <c r="BH550" s="570"/>
      <c r="BI550" s="570"/>
      <c r="BJ550" s="570"/>
      <c r="BK550" s="570"/>
      <c r="BL550" s="570"/>
      <c r="BM550" s="570"/>
      <c r="BN550" s="570"/>
      <c r="BO550" s="570"/>
      <c r="BP550" s="570"/>
      <c r="BQ550" s="570"/>
      <c r="BR550" s="570"/>
      <c r="BS550" s="570"/>
      <c r="BT550" s="570"/>
      <c r="BU550" s="570"/>
      <c r="BV550" s="570"/>
      <c r="BW550" s="570"/>
      <c r="BX550" s="570"/>
      <c r="BY550" s="570"/>
      <c r="BZ550" s="571"/>
      <c r="CA550" s="571"/>
    </row>
    <row r="551" spans="2:79">
      <c r="B551" s="572">
        <v>536</v>
      </c>
      <c r="C551" s="308"/>
      <c r="D551" s="307"/>
      <c r="E551" s="307"/>
      <c r="F551" s="305"/>
      <c r="G551" s="305"/>
      <c r="H551" s="292"/>
      <c r="I551" s="574"/>
      <c r="J551" s="573"/>
      <c r="K551" s="307"/>
      <c r="L551" s="292"/>
      <c r="M551" s="308"/>
      <c r="N551" s="292"/>
      <c r="O551" s="308"/>
      <c r="P551" s="575"/>
      <c r="Q551" s="576"/>
      <c r="R551" s="308"/>
      <c r="S551" s="575"/>
      <c r="T551" s="576"/>
      <c r="U551" s="308"/>
      <c r="V551" s="575"/>
      <c r="W551" s="576"/>
      <c r="X551" s="308"/>
      <c r="Y551" s="575"/>
      <c r="Z551" s="576"/>
      <c r="AA551" s="308"/>
      <c r="AB551" s="575"/>
      <c r="AC551" s="576"/>
      <c r="AD551" s="308"/>
      <c r="AE551" s="575"/>
      <c r="AF551" s="308"/>
      <c r="AG551" s="575"/>
      <c r="AH551" s="308"/>
      <c r="AI551" s="575"/>
      <c r="AJ551" s="308"/>
      <c r="AK551" s="305"/>
      <c r="AL551" s="577"/>
      <c r="AM551" s="306"/>
      <c r="AN551" s="308"/>
      <c r="AO551" s="573"/>
      <c r="AP551" s="305"/>
      <c r="AQ551" s="308"/>
      <c r="AR551" s="573"/>
      <c r="AS551" s="578"/>
      <c r="AT551" s="577"/>
      <c r="AU551" s="579"/>
      <c r="AV551" s="578"/>
      <c r="AW551" s="308"/>
      <c r="AX551" s="307"/>
      <c r="AY551" s="307"/>
      <c r="AZ551" s="307"/>
      <c r="BA551" s="307"/>
      <c r="BB551" s="307"/>
      <c r="BC551" s="305"/>
      <c r="BD551" s="292"/>
      <c r="BE551" s="297"/>
      <c r="BF551" s="297"/>
      <c r="BG551" s="569"/>
      <c r="BH551" s="570"/>
      <c r="BI551" s="570"/>
      <c r="BJ551" s="570"/>
      <c r="BK551" s="570"/>
      <c r="BL551" s="570"/>
      <c r="BM551" s="570"/>
      <c r="BN551" s="570"/>
      <c r="BO551" s="570"/>
      <c r="BP551" s="570"/>
      <c r="BQ551" s="570"/>
      <c r="BR551" s="570"/>
      <c r="BS551" s="570"/>
      <c r="BT551" s="570"/>
      <c r="BU551" s="570"/>
      <c r="BV551" s="570"/>
      <c r="BW551" s="570"/>
      <c r="BX551" s="570"/>
      <c r="BY551" s="570"/>
      <c r="BZ551" s="571"/>
      <c r="CA551" s="571"/>
    </row>
    <row r="552" spans="2:79">
      <c r="B552" s="566">
        <v>537</v>
      </c>
      <c r="C552" s="308"/>
      <c r="D552" s="307"/>
      <c r="E552" s="307"/>
      <c r="F552" s="305"/>
      <c r="G552" s="305"/>
      <c r="H552" s="292"/>
      <c r="I552" s="574"/>
      <c r="J552" s="573"/>
      <c r="K552" s="307"/>
      <c r="L552" s="292"/>
      <c r="M552" s="308"/>
      <c r="N552" s="292"/>
      <c r="O552" s="308"/>
      <c r="P552" s="575"/>
      <c r="Q552" s="576"/>
      <c r="R552" s="308"/>
      <c r="S552" s="575"/>
      <c r="T552" s="576"/>
      <c r="U552" s="308"/>
      <c r="V552" s="575"/>
      <c r="W552" s="576"/>
      <c r="X552" s="308"/>
      <c r="Y552" s="575"/>
      <c r="Z552" s="576"/>
      <c r="AA552" s="308"/>
      <c r="AB552" s="575"/>
      <c r="AC552" s="576"/>
      <c r="AD552" s="308"/>
      <c r="AE552" s="575"/>
      <c r="AF552" s="308"/>
      <c r="AG552" s="575"/>
      <c r="AH552" s="308"/>
      <c r="AI552" s="575"/>
      <c r="AJ552" s="308"/>
      <c r="AK552" s="305"/>
      <c r="AL552" s="577"/>
      <c r="AM552" s="306"/>
      <c r="AN552" s="308"/>
      <c r="AO552" s="573"/>
      <c r="AP552" s="305"/>
      <c r="AQ552" s="308"/>
      <c r="AR552" s="573"/>
      <c r="AS552" s="578"/>
      <c r="AT552" s="577"/>
      <c r="AU552" s="579"/>
      <c r="AV552" s="578"/>
      <c r="AW552" s="308"/>
      <c r="AX552" s="307"/>
      <c r="AY552" s="307"/>
      <c r="AZ552" s="307"/>
      <c r="BA552" s="307"/>
      <c r="BB552" s="307"/>
      <c r="BC552" s="305"/>
      <c r="BD552" s="292"/>
      <c r="BE552" s="297"/>
      <c r="BF552" s="297"/>
      <c r="BG552" s="569"/>
      <c r="BH552" s="570"/>
      <c r="BI552" s="570"/>
      <c r="BJ552" s="570"/>
      <c r="BK552" s="570"/>
      <c r="BL552" s="570"/>
      <c r="BM552" s="570"/>
      <c r="BN552" s="570"/>
      <c r="BO552" s="570"/>
      <c r="BP552" s="570"/>
      <c r="BQ552" s="570"/>
      <c r="BR552" s="570"/>
      <c r="BS552" s="570"/>
      <c r="BT552" s="570"/>
      <c r="BU552" s="570"/>
      <c r="BV552" s="570"/>
      <c r="BW552" s="570"/>
      <c r="BX552" s="570"/>
      <c r="BY552" s="570"/>
      <c r="BZ552" s="571"/>
      <c r="CA552" s="571"/>
    </row>
    <row r="553" spans="2:79">
      <c r="B553" s="572">
        <v>538</v>
      </c>
      <c r="C553" s="308"/>
      <c r="D553" s="307"/>
      <c r="E553" s="307"/>
      <c r="F553" s="305"/>
      <c r="G553" s="305"/>
      <c r="H553" s="292"/>
      <c r="I553" s="574"/>
      <c r="J553" s="573"/>
      <c r="K553" s="307"/>
      <c r="L553" s="292"/>
      <c r="M553" s="308"/>
      <c r="N553" s="292"/>
      <c r="O553" s="308"/>
      <c r="P553" s="575"/>
      <c r="Q553" s="576"/>
      <c r="R553" s="308"/>
      <c r="S553" s="575"/>
      <c r="T553" s="576"/>
      <c r="U553" s="308"/>
      <c r="V553" s="575"/>
      <c r="W553" s="576"/>
      <c r="X553" s="308"/>
      <c r="Y553" s="575"/>
      <c r="Z553" s="576"/>
      <c r="AA553" s="308"/>
      <c r="AB553" s="575"/>
      <c r="AC553" s="576"/>
      <c r="AD553" s="308"/>
      <c r="AE553" s="575"/>
      <c r="AF553" s="308"/>
      <c r="AG553" s="575"/>
      <c r="AH553" s="308"/>
      <c r="AI553" s="575"/>
      <c r="AJ553" s="308"/>
      <c r="AK553" s="305"/>
      <c r="AL553" s="577"/>
      <c r="AM553" s="306"/>
      <c r="AN553" s="308"/>
      <c r="AO553" s="573"/>
      <c r="AP553" s="305"/>
      <c r="AQ553" s="308"/>
      <c r="AR553" s="573"/>
      <c r="AS553" s="578"/>
      <c r="AT553" s="577"/>
      <c r="AU553" s="579"/>
      <c r="AV553" s="578"/>
      <c r="AW553" s="308"/>
      <c r="AX553" s="307"/>
      <c r="AY553" s="307"/>
      <c r="AZ553" s="307"/>
      <c r="BA553" s="307"/>
      <c r="BB553" s="307"/>
      <c r="BC553" s="305"/>
      <c r="BD553" s="292"/>
      <c r="BE553" s="297"/>
      <c r="BF553" s="297"/>
      <c r="BG553" s="569"/>
      <c r="BH553" s="570"/>
      <c r="BI553" s="570"/>
      <c r="BJ553" s="570"/>
      <c r="BK553" s="570"/>
      <c r="BL553" s="570"/>
      <c r="BM553" s="570"/>
      <c r="BN553" s="570"/>
      <c r="BO553" s="570"/>
      <c r="BP553" s="570"/>
      <c r="BQ553" s="570"/>
      <c r="BR553" s="570"/>
      <c r="BS553" s="570"/>
      <c r="BT553" s="570"/>
      <c r="BU553" s="570"/>
      <c r="BV553" s="570"/>
      <c r="BW553" s="570"/>
      <c r="BX553" s="570"/>
      <c r="BY553" s="570"/>
      <c r="BZ553" s="571"/>
      <c r="CA553" s="571"/>
    </row>
    <row r="554" spans="2:79">
      <c r="B554" s="566">
        <v>539</v>
      </c>
      <c r="C554" s="308"/>
      <c r="D554" s="307"/>
      <c r="E554" s="307"/>
      <c r="F554" s="305"/>
      <c r="G554" s="305"/>
      <c r="H554" s="292"/>
      <c r="I554" s="574"/>
      <c r="J554" s="573"/>
      <c r="K554" s="307"/>
      <c r="L554" s="292"/>
      <c r="M554" s="308"/>
      <c r="N554" s="292"/>
      <c r="O554" s="308"/>
      <c r="P554" s="575"/>
      <c r="Q554" s="576"/>
      <c r="R554" s="308"/>
      <c r="S554" s="575"/>
      <c r="T554" s="576"/>
      <c r="U554" s="308"/>
      <c r="V554" s="575"/>
      <c r="W554" s="576"/>
      <c r="X554" s="308"/>
      <c r="Y554" s="575"/>
      <c r="Z554" s="576"/>
      <c r="AA554" s="308"/>
      <c r="AB554" s="575"/>
      <c r="AC554" s="576"/>
      <c r="AD554" s="308"/>
      <c r="AE554" s="575"/>
      <c r="AF554" s="308"/>
      <c r="AG554" s="575"/>
      <c r="AH554" s="308"/>
      <c r="AI554" s="575"/>
      <c r="AJ554" s="308"/>
      <c r="AK554" s="305"/>
      <c r="AL554" s="577"/>
      <c r="AM554" s="306"/>
      <c r="AN554" s="308"/>
      <c r="AO554" s="573"/>
      <c r="AP554" s="305"/>
      <c r="AQ554" s="308"/>
      <c r="AR554" s="573"/>
      <c r="AS554" s="578"/>
      <c r="AT554" s="577"/>
      <c r="AU554" s="579"/>
      <c r="AV554" s="578"/>
      <c r="AW554" s="308"/>
      <c r="AX554" s="307"/>
      <c r="AY554" s="307"/>
      <c r="AZ554" s="307"/>
      <c r="BA554" s="307"/>
      <c r="BB554" s="307"/>
      <c r="BC554" s="305"/>
      <c r="BD554" s="292"/>
      <c r="BE554" s="297"/>
      <c r="BF554" s="297"/>
      <c r="BG554" s="569"/>
      <c r="BH554" s="570"/>
      <c r="BI554" s="570"/>
      <c r="BJ554" s="570"/>
      <c r="BK554" s="570"/>
      <c r="BL554" s="570"/>
      <c r="BM554" s="570"/>
      <c r="BN554" s="570"/>
      <c r="BO554" s="570"/>
      <c r="BP554" s="570"/>
      <c r="BQ554" s="570"/>
      <c r="BR554" s="570"/>
      <c r="BS554" s="570"/>
      <c r="BT554" s="570"/>
      <c r="BU554" s="570"/>
      <c r="BV554" s="570"/>
      <c r="BW554" s="570"/>
      <c r="BX554" s="570"/>
      <c r="BY554" s="570"/>
      <c r="BZ554" s="571"/>
      <c r="CA554" s="571"/>
    </row>
    <row r="555" spans="2:79">
      <c r="B555" s="572">
        <v>540</v>
      </c>
      <c r="C555" s="308"/>
      <c r="D555" s="307"/>
      <c r="E555" s="307"/>
      <c r="F555" s="305"/>
      <c r="G555" s="305"/>
      <c r="H555" s="292"/>
      <c r="I555" s="574"/>
      <c r="J555" s="573"/>
      <c r="K555" s="307"/>
      <c r="L555" s="292"/>
      <c r="M555" s="308"/>
      <c r="N555" s="292"/>
      <c r="O555" s="308"/>
      <c r="P555" s="575"/>
      <c r="Q555" s="576"/>
      <c r="R555" s="308"/>
      <c r="S555" s="575"/>
      <c r="T555" s="576"/>
      <c r="U555" s="308"/>
      <c r="V555" s="575"/>
      <c r="W555" s="576"/>
      <c r="X555" s="308"/>
      <c r="Y555" s="575"/>
      <c r="Z555" s="576"/>
      <c r="AA555" s="308"/>
      <c r="AB555" s="575"/>
      <c r="AC555" s="576"/>
      <c r="AD555" s="308"/>
      <c r="AE555" s="575"/>
      <c r="AF555" s="308"/>
      <c r="AG555" s="575"/>
      <c r="AH555" s="308"/>
      <c r="AI555" s="575"/>
      <c r="AJ555" s="308"/>
      <c r="AK555" s="305"/>
      <c r="AL555" s="577"/>
      <c r="AM555" s="306"/>
      <c r="AN555" s="308"/>
      <c r="AO555" s="573"/>
      <c r="AP555" s="305"/>
      <c r="AQ555" s="308"/>
      <c r="AR555" s="573"/>
      <c r="AS555" s="578"/>
      <c r="AT555" s="577"/>
      <c r="AU555" s="579"/>
      <c r="AV555" s="578"/>
      <c r="AW555" s="308"/>
      <c r="AX555" s="307"/>
      <c r="AY555" s="307"/>
      <c r="AZ555" s="307"/>
      <c r="BA555" s="307"/>
      <c r="BB555" s="307"/>
      <c r="BC555" s="305"/>
      <c r="BD555" s="292"/>
      <c r="BE555" s="297"/>
      <c r="BF555" s="297"/>
      <c r="BG555" s="569"/>
      <c r="BH555" s="570"/>
      <c r="BI555" s="570"/>
      <c r="BJ555" s="570"/>
      <c r="BK555" s="570"/>
      <c r="BL555" s="570"/>
      <c r="BM555" s="570"/>
      <c r="BN555" s="570"/>
      <c r="BO555" s="570"/>
      <c r="BP555" s="570"/>
      <c r="BQ555" s="570"/>
      <c r="BR555" s="570"/>
      <c r="BS555" s="570"/>
      <c r="BT555" s="570"/>
      <c r="BU555" s="570"/>
      <c r="BV555" s="570"/>
      <c r="BW555" s="570"/>
      <c r="BX555" s="570"/>
      <c r="BY555" s="570"/>
      <c r="BZ555" s="571"/>
      <c r="CA555" s="571"/>
    </row>
    <row r="556" spans="2:79">
      <c r="B556" s="566">
        <v>541</v>
      </c>
      <c r="C556" s="308"/>
      <c r="D556" s="307"/>
      <c r="E556" s="307"/>
      <c r="F556" s="305"/>
      <c r="G556" s="305"/>
      <c r="H556" s="292"/>
      <c r="I556" s="574"/>
      <c r="J556" s="573"/>
      <c r="K556" s="307"/>
      <c r="L556" s="292"/>
      <c r="M556" s="308"/>
      <c r="N556" s="292"/>
      <c r="O556" s="308"/>
      <c r="P556" s="575"/>
      <c r="Q556" s="576"/>
      <c r="R556" s="308"/>
      <c r="S556" s="575"/>
      <c r="T556" s="576"/>
      <c r="U556" s="308"/>
      <c r="V556" s="575"/>
      <c r="W556" s="576"/>
      <c r="X556" s="308"/>
      <c r="Y556" s="575"/>
      <c r="Z556" s="576"/>
      <c r="AA556" s="308"/>
      <c r="AB556" s="575"/>
      <c r="AC556" s="576"/>
      <c r="AD556" s="308"/>
      <c r="AE556" s="575"/>
      <c r="AF556" s="308"/>
      <c r="AG556" s="575"/>
      <c r="AH556" s="308"/>
      <c r="AI556" s="575"/>
      <c r="AJ556" s="308"/>
      <c r="AK556" s="305"/>
      <c r="AL556" s="577"/>
      <c r="AM556" s="306"/>
      <c r="AN556" s="308"/>
      <c r="AO556" s="573"/>
      <c r="AP556" s="305"/>
      <c r="AQ556" s="308"/>
      <c r="AR556" s="573"/>
      <c r="AS556" s="578"/>
      <c r="AT556" s="577"/>
      <c r="AU556" s="579"/>
      <c r="AV556" s="578"/>
      <c r="AW556" s="308"/>
      <c r="AX556" s="307"/>
      <c r="AY556" s="307"/>
      <c r="AZ556" s="307"/>
      <c r="BA556" s="307"/>
      <c r="BB556" s="307"/>
      <c r="BC556" s="305"/>
      <c r="BD556" s="292"/>
      <c r="BE556" s="297"/>
      <c r="BF556" s="297"/>
      <c r="BG556" s="569"/>
      <c r="BH556" s="570"/>
      <c r="BI556" s="570"/>
      <c r="BJ556" s="570"/>
      <c r="BK556" s="570"/>
      <c r="BL556" s="570"/>
      <c r="BM556" s="570"/>
      <c r="BN556" s="570"/>
      <c r="BO556" s="570"/>
      <c r="BP556" s="570"/>
      <c r="BQ556" s="570"/>
      <c r="BR556" s="570"/>
      <c r="BS556" s="570"/>
      <c r="BT556" s="570"/>
      <c r="BU556" s="570"/>
      <c r="BV556" s="570"/>
      <c r="BW556" s="570"/>
      <c r="BX556" s="570"/>
      <c r="BY556" s="570"/>
      <c r="BZ556" s="571"/>
      <c r="CA556" s="571"/>
    </row>
    <row r="557" spans="2:79">
      <c r="B557" s="572">
        <v>542</v>
      </c>
      <c r="C557" s="308"/>
      <c r="D557" s="307"/>
      <c r="E557" s="307"/>
      <c r="F557" s="305"/>
      <c r="G557" s="305"/>
      <c r="H557" s="292"/>
      <c r="I557" s="574"/>
      <c r="J557" s="573"/>
      <c r="K557" s="307"/>
      <c r="L557" s="292"/>
      <c r="M557" s="308"/>
      <c r="N557" s="292"/>
      <c r="O557" s="308"/>
      <c r="P557" s="575"/>
      <c r="Q557" s="576"/>
      <c r="R557" s="308"/>
      <c r="S557" s="575"/>
      <c r="T557" s="576"/>
      <c r="U557" s="308"/>
      <c r="V557" s="575"/>
      <c r="W557" s="576"/>
      <c r="X557" s="308"/>
      <c r="Y557" s="575"/>
      <c r="Z557" s="576"/>
      <c r="AA557" s="308"/>
      <c r="AB557" s="575"/>
      <c r="AC557" s="576"/>
      <c r="AD557" s="308"/>
      <c r="AE557" s="575"/>
      <c r="AF557" s="308"/>
      <c r="AG557" s="575"/>
      <c r="AH557" s="308"/>
      <c r="AI557" s="575"/>
      <c r="AJ557" s="308"/>
      <c r="AK557" s="305"/>
      <c r="AL557" s="577"/>
      <c r="AM557" s="306"/>
      <c r="AN557" s="308"/>
      <c r="AO557" s="573"/>
      <c r="AP557" s="305"/>
      <c r="AQ557" s="308"/>
      <c r="AR557" s="573"/>
      <c r="AS557" s="578"/>
      <c r="AT557" s="577"/>
      <c r="AU557" s="579"/>
      <c r="AV557" s="578"/>
      <c r="AW557" s="308"/>
      <c r="AX557" s="307"/>
      <c r="AY557" s="307"/>
      <c r="AZ557" s="307"/>
      <c r="BA557" s="307"/>
      <c r="BB557" s="307"/>
      <c r="BC557" s="305"/>
      <c r="BD557" s="292"/>
      <c r="BE557" s="297"/>
      <c r="BF557" s="297"/>
      <c r="BG557" s="569"/>
      <c r="BH557" s="570"/>
      <c r="BI557" s="570"/>
      <c r="BJ557" s="570"/>
      <c r="BK557" s="570"/>
      <c r="BL557" s="570"/>
      <c r="BM557" s="570"/>
      <c r="BN557" s="570"/>
      <c r="BO557" s="570"/>
      <c r="BP557" s="570"/>
      <c r="BQ557" s="570"/>
      <c r="BR557" s="570"/>
      <c r="BS557" s="570"/>
      <c r="BT557" s="570"/>
      <c r="BU557" s="570"/>
      <c r="BV557" s="570"/>
      <c r="BW557" s="570"/>
      <c r="BX557" s="570"/>
      <c r="BY557" s="570"/>
      <c r="BZ557" s="571"/>
      <c r="CA557" s="571"/>
    </row>
    <row r="558" spans="2:79">
      <c r="B558" s="566">
        <v>543</v>
      </c>
      <c r="C558" s="308"/>
      <c r="D558" s="307"/>
      <c r="E558" s="307"/>
      <c r="F558" s="305"/>
      <c r="G558" s="305"/>
      <c r="H558" s="292"/>
      <c r="I558" s="574"/>
      <c r="J558" s="573"/>
      <c r="K558" s="307"/>
      <c r="L558" s="292"/>
      <c r="M558" s="308"/>
      <c r="N558" s="292"/>
      <c r="O558" s="308"/>
      <c r="P558" s="575"/>
      <c r="Q558" s="576"/>
      <c r="R558" s="308"/>
      <c r="S558" s="575"/>
      <c r="T558" s="576"/>
      <c r="U558" s="308"/>
      <c r="V558" s="575"/>
      <c r="W558" s="576"/>
      <c r="X558" s="308"/>
      <c r="Y558" s="575"/>
      <c r="Z558" s="576"/>
      <c r="AA558" s="308"/>
      <c r="AB558" s="575"/>
      <c r="AC558" s="576"/>
      <c r="AD558" s="308"/>
      <c r="AE558" s="575"/>
      <c r="AF558" s="308"/>
      <c r="AG558" s="575"/>
      <c r="AH558" s="308"/>
      <c r="AI558" s="575"/>
      <c r="AJ558" s="308"/>
      <c r="AK558" s="305"/>
      <c r="AL558" s="577"/>
      <c r="AM558" s="306"/>
      <c r="AN558" s="308"/>
      <c r="AO558" s="573"/>
      <c r="AP558" s="305"/>
      <c r="AQ558" s="308"/>
      <c r="AR558" s="573"/>
      <c r="AS558" s="578"/>
      <c r="AT558" s="577"/>
      <c r="AU558" s="579"/>
      <c r="AV558" s="578"/>
      <c r="AW558" s="308"/>
      <c r="AX558" s="307"/>
      <c r="AY558" s="307"/>
      <c r="AZ558" s="307"/>
      <c r="BA558" s="307"/>
      <c r="BB558" s="307"/>
      <c r="BC558" s="305"/>
      <c r="BD558" s="292"/>
      <c r="BE558" s="297"/>
      <c r="BF558" s="297"/>
      <c r="BG558" s="569"/>
      <c r="BH558" s="570"/>
      <c r="BI558" s="570"/>
      <c r="BJ558" s="570"/>
      <c r="BK558" s="570"/>
      <c r="BL558" s="570"/>
      <c r="BM558" s="570"/>
      <c r="BN558" s="570"/>
      <c r="BO558" s="570"/>
      <c r="BP558" s="570"/>
      <c r="BQ558" s="570"/>
      <c r="BR558" s="570"/>
      <c r="BS558" s="570"/>
      <c r="BT558" s="570"/>
      <c r="BU558" s="570"/>
      <c r="BV558" s="570"/>
      <c r="BW558" s="570"/>
      <c r="BX558" s="570"/>
      <c r="BY558" s="570"/>
      <c r="BZ558" s="571"/>
      <c r="CA558" s="571"/>
    </row>
    <row r="559" spans="2:79">
      <c r="B559" s="572">
        <v>544</v>
      </c>
      <c r="C559" s="308"/>
      <c r="D559" s="307"/>
      <c r="E559" s="307"/>
      <c r="F559" s="305"/>
      <c r="G559" s="305"/>
      <c r="H559" s="292"/>
      <c r="I559" s="574"/>
      <c r="J559" s="573"/>
      <c r="K559" s="307"/>
      <c r="L559" s="292"/>
      <c r="M559" s="308"/>
      <c r="N559" s="292"/>
      <c r="O559" s="308"/>
      <c r="P559" s="575"/>
      <c r="Q559" s="576"/>
      <c r="R559" s="308"/>
      <c r="S559" s="575"/>
      <c r="T559" s="576"/>
      <c r="U559" s="308"/>
      <c r="V559" s="575"/>
      <c r="W559" s="576"/>
      <c r="X559" s="308"/>
      <c r="Y559" s="575"/>
      <c r="Z559" s="576"/>
      <c r="AA559" s="308"/>
      <c r="AB559" s="575"/>
      <c r="AC559" s="576"/>
      <c r="AD559" s="308"/>
      <c r="AE559" s="575"/>
      <c r="AF559" s="308"/>
      <c r="AG559" s="575"/>
      <c r="AH559" s="308"/>
      <c r="AI559" s="575"/>
      <c r="AJ559" s="308"/>
      <c r="AK559" s="305"/>
      <c r="AL559" s="577"/>
      <c r="AM559" s="306"/>
      <c r="AN559" s="308"/>
      <c r="AO559" s="573"/>
      <c r="AP559" s="305"/>
      <c r="AQ559" s="308"/>
      <c r="AR559" s="573"/>
      <c r="AS559" s="578"/>
      <c r="AT559" s="577"/>
      <c r="AU559" s="579"/>
      <c r="AV559" s="578"/>
      <c r="AW559" s="308"/>
      <c r="AX559" s="307"/>
      <c r="AY559" s="307"/>
      <c r="AZ559" s="307"/>
      <c r="BA559" s="307"/>
      <c r="BB559" s="307"/>
      <c r="BC559" s="305"/>
      <c r="BD559" s="292"/>
      <c r="BE559" s="297"/>
      <c r="BF559" s="297"/>
      <c r="BG559" s="569"/>
      <c r="BH559" s="570"/>
      <c r="BI559" s="570"/>
      <c r="BJ559" s="570"/>
      <c r="BK559" s="570"/>
      <c r="BL559" s="570"/>
      <c r="BM559" s="570"/>
      <c r="BN559" s="570"/>
      <c r="BO559" s="570"/>
      <c r="BP559" s="570"/>
      <c r="BQ559" s="570"/>
      <c r="BR559" s="570"/>
      <c r="BS559" s="570"/>
      <c r="BT559" s="570"/>
      <c r="BU559" s="570"/>
      <c r="BV559" s="570"/>
      <c r="BW559" s="570"/>
      <c r="BX559" s="570"/>
      <c r="BY559" s="570"/>
      <c r="BZ559" s="571"/>
      <c r="CA559" s="571"/>
    </row>
    <row r="560" spans="2:79">
      <c r="B560" s="566">
        <v>545</v>
      </c>
      <c r="C560" s="308"/>
      <c r="D560" s="307"/>
      <c r="E560" s="307"/>
      <c r="F560" s="305"/>
      <c r="G560" s="305"/>
      <c r="H560" s="292"/>
      <c r="I560" s="574"/>
      <c r="J560" s="573"/>
      <c r="K560" s="307"/>
      <c r="L560" s="292"/>
      <c r="M560" s="308"/>
      <c r="N560" s="292"/>
      <c r="O560" s="308"/>
      <c r="P560" s="575"/>
      <c r="Q560" s="576"/>
      <c r="R560" s="308"/>
      <c r="S560" s="575"/>
      <c r="T560" s="576"/>
      <c r="U560" s="308"/>
      <c r="V560" s="575"/>
      <c r="W560" s="576"/>
      <c r="X560" s="308"/>
      <c r="Y560" s="575"/>
      <c r="Z560" s="576"/>
      <c r="AA560" s="308"/>
      <c r="AB560" s="575"/>
      <c r="AC560" s="576"/>
      <c r="AD560" s="308"/>
      <c r="AE560" s="575"/>
      <c r="AF560" s="308"/>
      <c r="AG560" s="575"/>
      <c r="AH560" s="308"/>
      <c r="AI560" s="575"/>
      <c r="AJ560" s="308"/>
      <c r="AK560" s="305"/>
      <c r="AL560" s="577"/>
      <c r="AM560" s="306"/>
      <c r="AN560" s="308"/>
      <c r="AO560" s="573"/>
      <c r="AP560" s="305"/>
      <c r="AQ560" s="308"/>
      <c r="AR560" s="573"/>
      <c r="AS560" s="578"/>
      <c r="AT560" s="577"/>
      <c r="AU560" s="579"/>
      <c r="AV560" s="578"/>
      <c r="AW560" s="308"/>
      <c r="AX560" s="307"/>
      <c r="AY560" s="307"/>
      <c r="AZ560" s="307"/>
      <c r="BA560" s="307"/>
      <c r="BB560" s="307"/>
      <c r="BC560" s="305"/>
      <c r="BD560" s="292"/>
      <c r="BE560" s="297"/>
      <c r="BF560" s="297"/>
      <c r="BG560" s="569"/>
      <c r="BH560" s="570"/>
      <c r="BI560" s="570"/>
      <c r="BJ560" s="570"/>
      <c r="BK560" s="570"/>
      <c r="BL560" s="570"/>
      <c r="BM560" s="570"/>
      <c r="BN560" s="570"/>
      <c r="BO560" s="570"/>
      <c r="BP560" s="570"/>
      <c r="BQ560" s="570"/>
      <c r="BR560" s="570"/>
      <c r="BS560" s="570"/>
      <c r="BT560" s="570"/>
      <c r="BU560" s="570"/>
      <c r="BV560" s="570"/>
      <c r="BW560" s="570"/>
      <c r="BX560" s="570"/>
      <c r="BY560" s="570"/>
      <c r="BZ560" s="571"/>
      <c r="CA560" s="571"/>
    </row>
    <row r="561" spans="2:79">
      <c r="B561" s="572">
        <v>546</v>
      </c>
      <c r="C561" s="308"/>
      <c r="D561" s="307"/>
      <c r="E561" s="307"/>
      <c r="F561" s="305"/>
      <c r="G561" s="305"/>
      <c r="H561" s="292"/>
      <c r="I561" s="574"/>
      <c r="J561" s="573"/>
      <c r="K561" s="307"/>
      <c r="L561" s="292"/>
      <c r="M561" s="308"/>
      <c r="N561" s="292"/>
      <c r="O561" s="308"/>
      <c r="P561" s="575"/>
      <c r="Q561" s="576"/>
      <c r="R561" s="308"/>
      <c r="S561" s="575"/>
      <c r="T561" s="576"/>
      <c r="U561" s="308"/>
      <c r="V561" s="575"/>
      <c r="W561" s="576"/>
      <c r="X561" s="308"/>
      <c r="Y561" s="575"/>
      <c r="Z561" s="576"/>
      <c r="AA561" s="308"/>
      <c r="AB561" s="575"/>
      <c r="AC561" s="576"/>
      <c r="AD561" s="308"/>
      <c r="AE561" s="575"/>
      <c r="AF561" s="308"/>
      <c r="AG561" s="575"/>
      <c r="AH561" s="308"/>
      <c r="AI561" s="575"/>
      <c r="AJ561" s="308"/>
      <c r="AK561" s="305"/>
      <c r="AL561" s="577"/>
      <c r="AM561" s="306"/>
      <c r="AN561" s="308"/>
      <c r="AO561" s="573"/>
      <c r="AP561" s="305"/>
      <c r="AQ561" s="308"/>
      <c r="AR561" s="573"/>
      <c r="AS561" s="578"/>
      <c r="AT561" s="577"/>
      <c r="AU561" s="579"/>
      <c r="AV561" s="578"/>
      <c r="AW561" s="308"/>
      <c r="AX561" s="307"/>
      <c r="AY561" s="307"/>
      <c r="AZ561" s="307"/>
      <c r="BA561" s="307"/>
      <c r="BB561" s="307"/>
      <c r="BC561" s="305"/>
      <c r="BD561" s="292"/>
      <c r="BE561" s="297"/>
      <c r="BF561" s="297"/>
      <c r="BG561" s="569"/>
      <c r="BH561" s="570"/>
      <c r="BI561" s="570"/>
      <c r="BJ561" s="570"/>
      <c r="BK561" s="570"/>
      <c r="BL561" s="570"/>
      <c r="BM561" s="570"/>
      <c r="BN561" s="570"/>
      <c r="BO561" s="570"/>
      <c r="BP561" s="570"/>
      <c r="BQ561" s="570"/>
      <c r="BR561" s="570"/>
      <c r="BS561" s="570"/>
      <c r="BT561" s="570"/>
      <c r="BU561" s="570"/>
      <c r="BV561" s="570"/>
      <c r="BW561" s="570"/>
      <c r="BX561" s="570"/>
      <c r="BY561" s="570"/>
      <c r="BZ561" s="571"/>
      <c r="CA561" s="571"/>
    </row>
    <row r="562" spans="2:79">
      <c r="B562" s="566">
        <v>547</v>
      </c>
      <c r="C562" s="308"/>
      <c r="D562" s="307"/>
      <c r="E562" s="307"/>
      <c r="F562" s="305"/>
      <c r="G562" s="305"/>
      <c r="H562" s="292"/>
      <c r="I562" s="574"/>
      <c r="J562" s="573"/>
      <c r="K562" s="307"/>
      <c r="L562" s="292"/>
      <c r="M562" s="308"/>
      <c r="N562" s="292"/>
      <c r="O562" s="308"/>
      <c r="P562" s="575"/>
      <c r="Q562" s="576"/>
      <c r="R562" s="308"/>
      <c r="S562" s="575"/>
      <c r="T562" s="576"/>
      <c r="U562" s="308"/>
      <c r="V562" s="575"/>
      <c r="W562" s="576"/>
      <c r="X562" s="308"/>
      <c r="Y562" s="575"/>
      <c r="Z562" s="576"/>
      <c r="AA562" s="308"/>
      <c r="AB562" s="575"/>
      <c r="AC562" s="576"/>
      <c r="AD562" s="308"/>
      <c r="AE562" s="575"/>
      <c r="AF562" s="308"/>
      <c r="AG562" s="575"/>
      <c r="AH562" s="308"/>
      <c r="AI562" s="575"/>
      <c r="AJ562" s="308"/>
      <c r="AK562" s="305"/>
      <c r="AL562" s="577"/>
      <c r="AM562" s="306"/>
      <c r="AN562" s="308"/>
      <c r="AO562" s="573"/>
      <c r="AP562" s="305"/>
      <c r="AQ562" s="308"/>
      <c r="AR562" s="573"/>
      <c r="AS562" s="578"/>
      <c r="AT562" s="577"/>
      <c r="AU562" s="579"/>
      <c r="AV562" s="578"/>
      <c r="AW562" s="308"/>
      <c r="AX562" s="307"/>
      <c r="AY562" s="307"/>
      <c r="AZ562" s="307"/>
      <c r="BA562" s="307"/>
      <c r="BB562" s="307"/>
      <c r="BC562" s="305"/>
      <c r="BD562" s="292"/>
      <c r="BE562" s="297"/>
      <c r="BF562" s="297"/>
      <c r="BG562" s="569"/>
      <c r="BH562" s="570"/>
      <c r="BI562" s="570"/>
      <c r="BJ562" s="570"/>
      <c r="BK562" s="570"/>
      <c r="BL562" s="570"/>
      <c r="BM562" s="570"/>
      <c r="BN562" s="570"/>
      <c r="BO562" s="570"/>
      <c r="BP562" s="570"/>
      <c r="BQ562" s="570"/>
      <c r="BR562" s="570"/>
      <c r="BS562" s="570"/>
      <c r="BT562" s="570"/>
      <c r="BU562" s="570"/>
      <c r="BV562" s="570"/>
      <c r="BW562" s="570"/>
      <c r="BX562" s="570"/>
      <c r="BY562" s="570"/>
      <c r="BZ562" s="571"/>
      <c r="CA562" s="571"/>
    </row>
    <row r="563" spans="2:79">
      <c r="B563" s="572">
        <v>548</v>
      </c>
      <c r="C563" s="308"/>
      <c r="D563" s="307"/>
      <c r="E563" s="307"/>
      <c r="F563" s="305"/>
      <c r="G563" s="305"/>
      <c r="H563" s="292"/>
      <c r="I563" s="574"/>
      <c r="J563" s="573"/>
      <c r="K563" s="307"/>
      <c r="L563" s="292"/>
      <c r="M563" s="308"/>
      <c r="N563" s="292"/>
      <c r="O563" s="308"/>
      <c r="P563" s="575"/>
      <c r="Q563" s="576"/>
      <c r="R563" s="308"/>
      <c r="S563" s="575"/>
      <c r="T563" s="576"/>
      <c r="U563" s="308"/>
      <c r="V563" s="575"/>
      <c r="W563" s="576"/>
      <c r="X563" s="308"/>
      <c r="Y563" s="575"/>
      <c r="Z563" s="576"/>
      <c r="AA563" s="308"/>
      <c r="AB563" s="575"/>
      <c r="AC563" s="576"/>
      <c r="AD563" s="308"/>
      <c r="AE563" s="575"/>
      <c r="AF563" s="308"/>
      <c r="AG563" s="575"/>
      <c r="AH563" s="308"/>
      <c r="AI563" s="575"/>
      <c r="AJ563" s="308"/>
      <c r="AK563" s="305"/>
      <c r="AL563" s="577"/>
      <c r="AM563" s="306"/>
      <c r="AN563" s="308"/>
      <c r="AO563" s="573"/>
      <c r="AP563" s="305"/>
      <c r="AQ563" s="308"/>
      <c r="AR563" s="573"/>
      <c r="AS563" s="578"/>
      <c r="AT563" s="577"/>
      <c r="AU563" s="579"/>
      <c r="AV563" s="578"/>
      <c r="AW563" s="308"/>
      <c r="AX563" s="307"/>
      <c r="AY563" s="307"/>
      <c r="AZ563" s="307"/>
      <c r="BA563" s="307"/>
      <c r="BB563" s="307"/>
      <c r="BC563" s="305"/>
      <c r="BD563" s="292"/>
      <c r="BE563" s="297"/>
      <c r="BF563" s="297"/>
      <c r="BG563" s="569"/>
      <c r="BH563" s="570"/>
      <c r="BI563" s="570"/>
      <c r="BJ563" s="570"/>
      <c r="BK563" s="570"/>
      <c r="BL563" s="570"/>
      <c r="BM563" s="570"/>
      <c r="BN563" s="570"/>
      <c r="BO563" s="570"/>
      <c r="BP563" s="570"/>
      <c r="BQ563" s="570"/>
      <c r="BR563" s="570"/>
      <c r="BS563" s="570"/>
      <c r="BT563" s="570"/>
      <c r="BU563" s="570"/>
      <c r="BV563" s="570"/>
      <c r="BW563" s="570"/>
      <c r="BX563" s="570"/>
      <c r="BY563" s="570"/>
      <c r="BZ563" s="571"/>
      <c r="CA563" s="571"/>
    </row>
    <row r="564" spans="2:79">
      <c r="B564" s="566">
        <v>549</v>
      </c>
      <c r="C564" s="308"/>
      <c r="D564" s="307"/>
      <c r="E564" s="307"/>
      <c r="F564" s="305"/>
      <c r="G564" s="305"/>
      <c r="H564" s="292"/>
      <c r="I564" s="574"/>
      <c r="J564" s="573"/>
      <c r="K564" s="307"/>
      <c r="L564" s="292"/>
      <c r="M564" s="308"/>
      <c r="N564" s="292"/>
      <c r="O564" s="308"/>
      <c r="P564" s="575"/>
      <c r="Q564" s="576"/>
      <c r="R564" s="308"/>
      <c r="S564" s="575"/>
      <c r="T564" s="576"/>
      <c r="U564" s="308"/>
      <c r="V564" s="575"/>
      <c r="W564" s="576"/>
      <c r="X564" s="308"/>
      <c r="Y564" s="575"/>
      <c r="Z564" s="576"/>
      <c r="AA564" s="308"/>
      <c r="AB564" s="575"/>
      <c r="AC564" s="576"/>
      <c r="AD564" s="308"/>
      <c r="AE564" s="575"/>
      <c r="AF564" s="308"/>
      <c r="AG564" s="575"/>
      <c r="AH564" s="308"/>
      <c r="AI564" s="575"/>
      <c r="AJ564" s="308"/>
      <c r="AK564" s="305"/>
      <c r="AL564" s="577"/>
      <c r="AM564" s="306"/>
      <c r="AN564" s="308"/>
      <c r="AO564" s="573"/>
      <c r="AP564" s="305"/>
      <c r="AQ564" s="308"/>
      <c r="AR564" s="573"/>
      <c r="AS564" s="578"/>
      <c r="AT564" s="577"/>
      <c r="AU564" s="579"/>
      <c r="AV564" s="578"/>
      <c r="AW564" s="308"/>
      <c r="AX564" s="307"/>
      <c r="AY564" s="307"/>
      <c r="AZ564" s="307"/>
      <c r="BA564" s="307"/>
      <c r="BB564" s="307"/>
      <c r="BC564" s="305"/>
      <c r="BD564" s="292"/>
      <c r="BE564" s="297"/>
      <c r="BF564" s="297"/>
      <c r="BG564" s="569"/>
      <c r="BH564" s="570"/>
      <c r="BI564" s="570"/>
      <c r="BJ564" s="570"/>
      <c r="BK564" s="570"/>
      <c r="BL564" s="570"/>
      <c r="BM564" s="570"/>
      <c r="BN564" s="570"/>
      <c r="BO564" s="570"/>
      <c r="BP564" s="570"/>
      <c r="BQ564" s="570"/>
      <c r="BR564" s="570"/>
      <c r="BS564" s="570"/>
      <c r="BT564" s="570"/>
      <c r="BU564" s="570"/>
      <c r="BV564" s="570"/>
      <c r="BW564" s="570"/>
      <c r="BX564" s="570"/>
      <c r="BY564" s="570"/>
      <c r="BZ564" s="571"/>
      <c r="CA564" s="571"/>
    </row>
    <row r="565" spans="2:79">
      <c r="B565" s="572">
        <v>550</v>
      </c>
      <c r="C565" s="308"/>
      <c r="D565" s="307"/>
      <c r="E565" s="307"/>
      <c r="F565" s="305"/>
      <c r="G565" s="305"/>
      <c r="H565" s="292"/>
      <c r="I565" s="574"/>
      <c r="J565" s="573"/>
      <c r="K565" s="307"/>
      <c r="L565" s="292"/>
      <c r="M565" s="308"/>
      <c r="N565" s="292"/>
      <c r="O565" s="308"/>
      <c r="P565" s="575"/>
      <c r="Q565" s="576"/>
      <c r="R565" s="308"/>
      <c r="S565" s="575"/>
      <c r="T565" s="576"/>
      <c r="U565" s="308"/>
      <c r="V565" s="575"/>
      <c r="W565" s="576"/>
      <c r="X565" s="308"/>
      <c r="Y565" s="575"/>
      <c r="Z565" s="576"/>
      <c r="AA565" s="308"/>
      <c r="AB565" s="575"/>
      <c r="AC565" s="576"/>
      <c r="AD565" s="308"/>
      <c r="AE565" s="575"/>
      <c r="AF565" s="308"/>
      <c r="AG565" s="575"/>
      <c r="AH565" s="308"/>
      <c r="AI565" s="575"/>
      <c r="AJ565" s="308"/>
      <c r="AK565" s="305"/>
      <c r="AL565" s="577"/>
      <c r="AM565" s="306"/>
      <c r="AN565" s="308"/>
      <c r="AO565" s="573"/>
      <c r="AP565" s="305"/>
      <c r="AQ565" s="308"/>
      <c r="AR565" s="573"/>
      <c r="AS565" s="578"/>
      <c r="AT565" s="577"/>
      <c r="AU565" s="579"/>
      <c r="AV565" s="578"/>
      <c r="AW565" s="308"/>
      <c r="AX565" s="307"/>
      <c r="AY565" s="307"/>
      <c r="AZ565" s="307"/>
      <c r="BA565" s="307"/>
      <c r="BB565" s="307"/>
      <c r="BC565" s="305"/>
      <c r="BD565" s="292"/>
      <c r="BE565" s="297"/>
      <c r="BF565" s="297"/>
      <c r="BG565" s="569"/>
      <c r="BH565" s="570"/>
      <c r="BI565" s="570"/>
      <c r="BJ565" s="570"/>
      <c r="BK565" s="570"/>
      <c r="BL565" s="570"/>
      <c r="BM565" s="570"/>
      <c r="BN565" s="570"/>
      <c r="BO565" s="570"/>
      <c r="BP565" s="570"/>
      <c r="BQ565" s="570"/>
      <c r="BR565" s="570"/>
      <c r="BS565" s="570"/>
      <c r="BT565" s="570"/>
      <c r="BU565" s="570"/>
      <c r="BV565" s="570"/>
      <c r="BW565" s="570"/>
      <c r="BX565" s="570"/>
      <c r="BY565" s="570"/>
      <c r="BZ565" s="571"/>
      <c r="CA565" s="571"/>
    </row>
    <row r="566" spans="2:79">
      <c r="B566" s="566">
        <v>551</v>
      </c>
      <c r="C566" s="308"/>
      <c r="D566" s="307"/>
      <c r="E566" s="307"/>
      <c r="F566" s="305"/>
      <c r="G566" s="305"/>
      <c r="H566" s="292"/>
      <c r="I566" s="574"/>
      <c r="J566" s="573"/>
      <c r="K566" s="307"/>
      <c r="L566" s="292"/>
      <c r="M566" s="308"/>
      <c r="N566" s="292"/>
      <c r="O566" s="308"/>
      <c r="P566" s="575"/>
      <c r="Q566" s="576"/>
      <c r="R566" s="308"/>
      <c r="S566" s="575"/>
      <c r="T566" s="576"/>
      <c r="U566" s="308"/>
      <c r="V566" s="575"/>
      <c r="W566" s="576"/>
      <c r="X566" s="308"/>
      <c r="Y566" s="575"/>
      <c r="Z566" s="576"/>
      <c r="AA566" s="308"/>
      <c r="AB566" s="575"/>
      <c r="AC566" s="576"/>
      <c r="AD566" s="308"/>
      <c r="AE566" s="575"/>
      <c r="AF566" s="308"/>
      <c r="AG566" s="575"/>
      <c r="AH566" s="308"/>
      <c r="AI566" s="575"/>
      <c r="AJ566" s="308"/>
      <c r="AK566" s="305"/>
      <c r="AL566" s="577"/>
      <c r="AM566" s="306"/>
      <c r="AN566" s="308"/>
      <c r="AO566" s="573"/>
      <c r="AP566" s="305"/>
      <c r="AQ566" s="308"/>
      <c r="AR566" s="573"/>
      <c r="AS566" s="578"/>
      <c r="AT566" s="577"/>
      <c r="AU566" s="579"/>
      <c r="AV566" s="578"/>
      <c r="AW566" s="308"/>
      <c r="AX566" s="307"/>
      <c r="AY566" s="307"/>
      <c r="AZ566" s="307"/>
      <c r="BA566" s="307"/>
      <c r="BB566" s="307"/>
      <c r="BC566" s="305"/>
      <c r="BD566" s="292"/>
      <c r="BE566" s="297"/>
      <c r="BF566" s="297"/>
      <c r="BG566" s="569"/>
      <c r="BH566" s="570"/>
      <c r="BI566" s="570"/>
      <c r="BJ566" s="570"/>
      <c r="BK566" s="570"/>
      <c r="BL566" s="570"/>
      <c r="BM566" s="570"/>
      <c r="BN566" s="570"/>
      <c r="BO566" s="570"/>
      <c r="BP566" s="570"/>
      <c r="BQ566" s="570"/>
      <c r="BR566" s="570"/>
      <c r="BS566" s="570"/>
      <c r="BT566" s="570"/>
      <c r="BU566" s="570"/>
      <c r="BV566" s="570"/>
      <c r="BW566" s="570"/>
      <c r="BX566" s="570"/>
      <c r="BY566" s="570"/>
      <c r="BZ566" s="571"/>
      <c r="CA566" s="571"/>
    </row>
    <row r="567" spans="2:79">
      <c r="B567" s="572">
        <v>552</v>
      </c>
      <c r="C567" s="308"/>
      <c r="D567" s="307"/>
      <c r="E567" s="307"/>
      <c r="F567" s="305"/>
      <c r="G567" s="305"/>
      <c r="H567" s="292"/>
      <c r="I567" s="574"/>
      <c r="J567" s="573"/>
      <c r="K567" s="307"/>
      <c r="L567" s="292"/>
      <c r="M567" s="308"/>
      <c r="N567" s="292"/>
      <c r="O567" s="308"/>
      <c r="P567" s="575"/>
      <c r="Q567" s="576"/>
      <c r="R567" s="308"/>
      <c r="S567" s="575"/>
      <c r="T567" s="576"/>
      <c r="U567" s="308"/>
      <c r="V567" s="575"/>
      <c r="W567" s="576"/>
      <c r="X567" s="308"/>
      <c r="Y567" s="575"/>
      <c r="Z567" s="576"/>
      <c r="AA567" s="308"/>
      <c r="AB567" s="575"/>
      <c r="AC567" s="576"/>
      <c r="AD567" s="308"/>
      <c r="AE567" s="575"/>
      <c r="AF567" s="308"/>
      <c r="AG567" s="575"/>
      <c r="AH567" s="308"/>
      <c r="AI567" s="575"/>
      <c r="AJ567" s="308"/>
      <c r="AK567" s="305"/>
      <c r="AL567" s="577"/>
      <c r="AM567" s="306"/>
      <c r="AN567" s="308"/>
      <c r="AO567" s="573"/>
      <c r="AP567" s="305"/>
      <c r="AQ567" s="308"/>
      <c r="AR567" s="573"/>
      <c r="AS567" s="578"/>
      <c r="AT567" s="577"/>
      <c r="AU567" s="579"/>
      <c r="AV567" s="578"/>
      <c r="AW567" s="308"/>
      <c r="AX567" s="307"/>
      <c r="AY567" s="307"/>
      <c r="AZ567" s="307"/>
      <c r="BA567" s="307"/>
      <c r="BB567" s="307"/>
      <c r="BC567" s="305"/>
      <c r="BD567" s="292"/>
      <c r="BE567" s="297"/>
      <c r="BF567" s="297"/>
      <c r="BG567" s="569"/>
      <c r="BH567" s="570"/>
      <c r="BI567" s="570"/>
      <c r="BJ567" s="570"/>
      <c r="BK567" s="570"/>
      <c r="BL567" s="570"/>
      <c r="BM567" s="570"/>
      <c r="BN567" s="570"/>
      <c r="BO567" s="570"/>
      <c r="BP567" s="570"/>
      <c r="BQ567" s="570"/>
      <c r="BR567" s="570"/>
      <c r="BS567" s="570"/>
      <c r="BT567" s="570"/>
      <c r="BU567" s="570"/>
      <c r="BV567" s="570"/>
      <c r="BW567" s="570"/>
      <c r="BX567" s="570"/>
      <c r="BY567" s="570"/>
      <c r="BZ567" s="571"/>
      <c r="CA567" s="571"/>
    </row>
    <row r="568" spans="2:79">
      <c r="B568" s="566">
        <v>553</v>
      </c>
      <c r="C568" s="308"/>
      <c r="D568" s="307"/>
      <c r="E568" s="307"/>
      <c r="F568" s="305"/>
      <c r="G568" s="305"/>
      <c r="H568" s="292"/>
      <c r="I568" s="574"/>
      <c r="J568" s="573"/>
      <c r="K568" s="307"/>
      <c r="L568" s="292"/>
      <c r="M568" s="308"/>
      <c r="N568" s="292"/>
      <c r="O568" s="308"/>
      <c r="P568" s="575"/>
      <c r="Q568" s="576"/>
      <c r="R568" s="308"/>
      <c r="S568" s="575"/>
      <c r="T568" s="576"/>
      <c r="U568" s="308"/>
      <c r="V568" s="575"/>
      <c r="W568" s="576"/>
      <c r="X568" s="308"/>
      <c r="Y568" s="575"/>
      <c r="Z568" s="576"/>
      <c r="AA568" s="308"/>
      <c r="AB568" s="575"/>
      <c r="AC568" s="576"/>
      <c r="AD568" s="308"/>
      <c r="AE568" s="575"/>
      <c r="AF568" s="308"/>
      <c r="AG568" s="575"/>
      <c r="AH568" s="308"/>
      <c r="AI568" s="575"/>
      <c r="AJ568" s="308"/>
      <c r="AK568" s="305"/>
      <c r="AL568" s="577"/>
      <c r="AM568" s="306"/>
      <c r="AN568" s="308"/>
      <c r="AO568" s="573"/>
      <c r="AP568" s="305"/>
      <c r="AQ568" s="308"/>
      <c r="AR568" s="573"/>
      <c r="AS568" s="578"/>
      <c r="AT568" s="577"/>
      <c r="AU568" s="579"/>
      <c r="AV568" s="578"/>
      <c r="AW568" s="308"/>
      <c r="AX568" s="307"/>
      <c r="AY568" s="307"/>
      <c r="AZ568" s="307"/>
      <c r="BA568" s="307"/>
      <c r="BB568" s="307"/>
      <c r="BC568" s="305"/>
      <c r="BD568" s="292"/>
      <c r="BE568" s="297"/>
      <c r="BF568" s="297"/>
      <c r="BG568" s="569"/>
      <c r="BH568" s="570"/>
      <c r="BI568" s="570"/>
      <c r="BJ568" s="570"/>
      <c r="BK568" s="570"/>
      <c r="BL568" s="570"/>
      <c r="BM568" s="570"/>
      <c r="BN568" s="570"/>
      <c r="BO568" s="570"/>
      <c r="BP568" s="570"/>
      <c r="BQ568" s="570"/>
      <c r="BR568" s="570"/>
      <c r="BS568" s="570"/>
      <c r="BT568" s="570"/>
      <c r="BU568" s="570"/>
      <c r="BV568" s="570"/>
      <c r="BW568" s="570"/>
      <c r="BX568" s="570"/>
      <c r="BY568" s="570"/>
      <c r="BZ568" s="571"/>
      <c r="CA568" s="571"/>
    </row>
    <row r="569" spans="2:79">
      <c r="B569" s="572">
        <v>554</v>
      </c>
      <c r="C569" s="308"/>
      <c r="D569" s="307"/>
      <c r="E569" s="307"/>
      <c r="F569" s="305"/>
      <c r="G569" s="305"/>
      <c r="H569" s="292"/>
      <c r="I569" s="574"/>
      <c r="J569" s="573"/>
      <c r="K569" s="307"/>
      <c r="L569" s="292"/>
      <c r="M569" s="308"/>
      <c r="N569" s="292"/>
      <c r="O569" s="308"/>
      <c r="P569" s="575"/>
      <c r="Q569" s="576"/>
      <c r="R569" s="308"/>
      <c r="S569" s="575"/>
      <c r="T569" s="576"/>
      <c r="U569" s="308"/>
      <c r="V569" s="575"/>
      <c r="W569" s="576"/>
      <c r="X569" s="308"/>
      <c r="Y569" s="575"/>
      <c r="Z569" s="576"/>
      <c r="AA569" s="308"/>
      <c r="AB569" s="575"/>
      <c r="AC569" s="576"/>
      <c r="AD569" s="308"/>
      <c r="AE569" s="575"/>
      <c r="AF569" s="308"/>
      <c r="AG569" s="575"/>
      <c r="AH569" s="308"/>
      <c r="AI569" s="575"/>
      <c r="AJ569" s="308"/>
      <c r="AK569" s="305"/>
      <c r="AL569" s="577"/>
      <c r="AM569" s="306"/>
      <c r="AN569" s="308"/>
      <c r="AO569" s="573"/>
      <c r="AP569" s="305"/>
      <c r="AQ569" s="308"/>
      <c r="AR569" s="573"/>
      <c r="AS569" s="578"/>
      <c r="AT569" s="577"/>
      <c r="AU569" s="579"/>
      <c r="AV569" s="578"/>
      <c r="AW569" s="308"/>
      <c r="AX569" s="307"/>
      <c r="AY569" s="307"/>
      <c r="AZ569" s="307"/>
      <c r="BA569" s="307"/>
      <c r="BB569" s="307"/>
      <c r="BC569" s="305"/>
      <c r="BD569" s="292"/>
      <c r="BE569" s="297"/>
      <c r="BF569" s="297"/>
      <c r="BG569" s="569"/>
      <c r="BH569" s="570"/>
      <c r="BI569" s="570"/>
      <c r="BJ569" s="570"/>
      <c r="BK569" s="570"/>
      <c r="BL569" s="570"/>
      <c r="BM569" s="570"/>
      <c r="BN569" s="570"/>
      <c r="BO569" s="570"/>
      <c r="BP569" s="570"/>
      <c r="BQ569" s="570"/>
      <c r="BR569" s="570"/>
      <c r="BS569" s="570"/>
      <c r="BT569" s="570"/>
      <c r="BU569" s="570"/>
      <c r="BV569" s="570"/>
      <c r="BW569" s="570"/>
      <c r="BX569" s="570"/>
      <c r="BY569" s="570"/>
      <c r="BZ569" s="571"/>
      <c r="CA569" s="571"/>
    </row>
    <row r="570" spans="2:79">
      <c r="B570" s="566">
        <v>555</v>
      </c>
      <c r="C570" s="308"/>
      <c r="D570" s="307"/>
      <c r="E570" s="307"/>
      <c r="F570" s="305"/>
      <c r="G570" s="305"/>
      <c r="H570" s="292"/>
      <c r="I570" s="574"/>
      <c r="J570" s="573"/>
      <c r="K570" s="307"/>
      <c r="L570" s="292"/>
      <c r="M570" s="308"/>
      <c r="N570" s="292"/>
      <c r="O570" s="308"/>
      <c r="P570" s="575"/>
      <c r="Q570" s="576"/>
      <c r="R570" s="308"/>
      <c r="S570" s="575"/>
      <c r="T570" s="576"/>
      <c r="U570" s="308"/>
      <c r="V570" s="575"/>
      <c r="W570" s="576"/>
      <c r="X570" s="308"/>
      <c r="Y570" s="575"/>
      <c r="Z570" s="576"/>
      <c r="AA570" s="308"/>
      <c r="AB570" s="575"/>
      <c r="AC570" s="576"/>
      <c r="AD570" s="308"/>
      <c r="AE570" s="575"/>
      <c r="AF570" s="308"/>
      <c r="AG570" s="575"/>
      <c r="AH570" s="308"/>
      <c r="AI570" s="575"/>
      <c r="AJ570" s="308"/>
      <c r="AK570" s="305"/>
      <c r="AL570" s="577"/>
      <c r="AM570" s="306"/>
      <c r="AN570" s="308"/>
      <c r="AO570" s="573"/>
      <c r="AP570" s="305"/>
      <c r="AQ570" s="308"/>
      <c r="AR570" s="573"/>
      <c r="AS570" s="578"/>
      <c r="AT570" s="577"/>
      <c r="AU570" s="579"/>
      <c r="AV570" s="578"/>
      <c r="AW570" s="308"/>
      <c r="AX570" s="307"/>
      <c r="AY570" s="307"/>
      <c r="AZ570" s="307"/>
      <c r="BA570" s="307"/>
      <c r="BB570" s="307"/>
      <c r="BC570" s="305"/>
      <c r="BD570" s="292"/>
      <c r="BE570" s="297"/>
      <c r="BF570" s="297"/>
      <c r="BG570" s="569"/>
      <c r="BH570" s="570"/>
      <c r="BI570" s="570"/>
      <c r="BJ570" s="570"/>
      <c r="BK570" s="570"/>
      <c r="BL570" s="570"/>
      <c r="BM570" s="570"/>
      <c r="BN570" s="570"/>
      <c r="BO570" s="570"/>
      <c r="BP570" s="570"/>
      <c r="BQ570" s="570"/>
      <c r="BR570" s="570"/>
      <c r="BS570" s="570"/>
      <c r="BT570" s="570"/>
      <c r="BU570" s="570"/>
      <c r="BV570" s="570"/>
      <c r="BW570" s="570"/>
      <c r="BX570" s="570"/>
      <c r="BY570" s="570"/>
      <c r="BZ570" s="571"/>
      <c r="CA570" s="571"/>
    </row>
    <row r="571" spans="2:79">
      <c r="B571" s="572">
        <v>556</v>
      </c>
      <c r="C571" s="308"/>
      <c r="D571" s="307"/>
      <c r="E571" s="307"/>
      <c r="F571" s="305"/>
      <c r="G571" s="305"/>
      <c r="H571" s="292"/>
      <c r="I571" s="574"/>
      <c r="J571" s="573"/>
      <c r="K571" s="307"/>
      <c r="L571" s="292"/>
      <c r="M571" s="308"/>
      <c r="N571" s="292"/>
      <c r="O571" s="308"/>
      <c r="P571" s="575"/>
      <c r="Q571" s="576"/>
      <c r="R571" s="308"/>
      <c r="S571" s="575"/>
      <c r="T571" s="576"/>
      <c r="U571" s="308"/>
      <c r="V571" s="575"/>
      <c r="W571" s="576"/>
      <c r="X571" s="308"/>
      <c r="Y571" s="575"/>
      <c r="Z571" s="576"/>
      <c r="AA571" s="308"/>
      <c r="AB571" s="575"/>
      <c r="AC571" s="576"/>
      <c r="AD571" s="308"/>
      <c r="AE571" s="575"/>
      <c r="AF571" s="308"/>
      <c r="AG571" s="575"/>
      <c r="AH571" s="308"/>
      <c r="AI571" s="575"/>
      <c r="AJ571" s="308"/>
      <c r="AK571" s="305"/>
      <c r="AL571" s="577"/>
      <c r="AM571" s="306"/>
      <c r="AN571" s="308"/>
      <c r="AO571" s="573"/>
      <c r="AP571" s="305"/>
      <c r="AQ571" s="308"/>
      <c r="AR571" s="573"/>
      <c r="AS571" s="578"/>
      <c r="AT571" s="577"/>
      <c r="AU571" s="579"/>
      <c r="AV571" s="578"/>
      <c r="AW571" s="308"/>
      <c r="AX571" s="307"/>
      <c r="AY571" s="307"/>
      <c r="AZ571" s="307"/>
      <c r="BA571" s="307"/>
      <c r="BB571" s="307"/>
      <c r="BC571" s="305"/>
      <c r="BD571" s="292"/>
      <c r="BE571" s="297"/>
      <c r="BF571" s="297"/>
      <c r="BG571" s="569"/>
      <c r="BH571" s="570"/>
      <c r="BI571" s="570"/>
      <c r="BJ571" s="570"/>
      <c r="BK571" s="570"/>
      <c r="BL571" s="570"/>
      <c r="BM571" s="570"/>
      <c r="BN571" s="570"/>
      <c r="BO571" s="570"/>
      <c r="BP571" s="570"/>
      <c r="BQ571" s="570"/>
      <c r="BR571" s="570"/>
      <c r="BS571" s="570"/>
      <c r="BT571" s="570"/>
      <c r="BU571" s="570"/>
      <c r="BV571" s="570"/>
      <c r="BW571" s="570"/>
      <c r="BX571" s="570"/>
      <c r="BY571" s="570"/>
      <c r="BZ571" s="571"/>
      <c r="CA571" s="571"/>
    </row>
    <row r="572" spans="2:79">
      <c r="B572" s="566">
        <v>557</v>
      </c>
      <c r="C572" s="308"/>
      <c r="D572" s="307"/>
      <c r="E572" s="307"/>
      <c r="F572" s="305"/>
      <c r="G572" s="305"/>
      <c r="H572" s="292"/>
      <c r="I572" s="574"/>
      <c r="J572" s="573"/>
      <c r="K572" s="307"/>
      <c r="L572" s="292"/>
      <c r="M572" s="308"/>
      <c r="N572" s="292"/>
      <c r="O572" s="308"/>
      <c r="P572" s="575"/>
      <c r="Q572" s="576"/>
      <c r="R572" s="308"/>
      <c r="S572" s="575"/>
      <c r="T572" s="576"/>
      <c r="U572" s="308"/>
      <c r="V572" s="575"/>
      <c r="W572" s="576"/>
      <c r="X572" s="308"/>
      <c r="Y572" s="575"/>
      <c r="Z572" s="576"/>
      <c r="AA572" s="308"/>
      <c r="AB572" s="575"/>
      <c r="AC572" s="576"/>
      <c r="AD572" s="308"/>
      <c r="AE572" s="575"/>
      <c r="AF572" s="308"/>
      <c r="AG572" s="575"/>
      <c r="AH572" s="308"/>
      <c r="AI572" s="575"/>
      <c r="AJ572" s="308"/>
      <c r="AK572" s="305"/>
      <c r="AL572" s="577"/>
      <c r="AM572" s="306"/>
      <c r="AN572" s="308"/>
      <c r="AO572" s="573"/>
      <c r="AP572" s="305"/>
      <c r="AQ572" s="308"/>
      <c r="AR572" s="573"/>
      <c r="AS572" s="578"/>
      <c r="AT572" s="577"/>
      <c r="AU572" s="579"/>
      <c r="AV572" s="578"/>
      <c r="AW572" s="308"/>
      <c r="AX572" s="307"/>
      <c r="AY572" s="307"/>
      <c r="AZ572" s="307"/>
      <c r="BA572" s="307"/>
      <c r="BB572" s="307"/>
      <c r="BC572" s="305"/>
      <c r="BD572" s="292"/>
      <c r="BE572" s="297"/>
      <c r="BF572" s="297"/>
      <c r="BG572" s="569"/>
      <c r="BH572" s="570"/>
      <c r="BI572" s="570"/>
      <c r="BJ572" s="570"/>
      <c r="BK572" s="570"/>
      <c r="BL572" s="570"/>
      <c r="BM572" s="570"/>
      <c r="BN572" s="570"/>
      <c r="BO572" s="570"/>
      <c r="BP572" s="570"/>
      <c r="BQ572" s="570"/>
      <c r="BR572" s="570"/>
      <c r="BS572" s="570"/>
      <c r="BT572" s="570"/>
      <c r="BU572" s="570"/>
      <c r="BV572" s="570"/>
      <c r="BW572" s="570"/>
      <c r="BX572" s="570"/>
      <c r="BY572" s="570"/>
      <c r="BZ572" s="571"/>
      <c r="CA572" s="571"/>
    </row>
    <row r="573" spans="2:79">
      <c r="B573" s="572">
        <v>558</v>
      </c>
      <c r="C573" s="308"/>
      <c r="D573" s="307"/>
      <c r="E573" s="307"/>
      <c r="F573" s="305"/>
      <c r="G573" s="305"/>
      <c r="H573" s="292"/>
      <c r="I573" s="574"/>
      <c r="J573" s="573"/>
      <c r="K573" s="307"/>
      <c r="L573" s="292"/>
      <c r="M573" s="308"/>
      <c r="N573" s="292"/>
      <c r="O573" s="308"/>
      <c r="P573" s="575"/>
      <c r="Q573" s="576"/>
      <c r="R573" s="308"/>
      <c r="S573" s="575"/>
      <c r="T573" s="576"/>
      <c r="U573" s="308"/>
      <c r="V573" s="575"/>
      <c r="W573" s="576"/>
      <c r="X573" s="308"/>
      <c r="Y573" s="575"/>
      <c r="Z573" s="576"/>
      <c r="AA573" s="308"/>
      <c r="AB573" s="575"/>
      <c r="AC573" s="576"/>
      <c r="AD573" s="308"/>
      <c r="AE573" s="575"/>
      <c r="AF573" s="308"/>
      <c r="AG573" s="575"/>
      <c r="AH573" s="308"/>
      <c r="AI573" s="575"/>
      <c r="AJ573" s="308"/>
      <c r="AK573" s="305"/>
      <c r="AL573" s="577"/>
      <c r="AM573" s="306"/>
      <c r="AN573" s="308"/>
      <c r="AO573" s="573"/>
      <c r="AP573" s="305"/>
      <c r="AQ573" s="308"/>
      <c r="AR573" s="573"/>
      <c r="AS573" s="578"/>
      <c r="AT573" s="577"/>
      <c r="AU573" s="579"/>
      <c r="AV573" s="578"/>
      <c r="AW573" s="308"/>
      <c r="AX573" s="307"/>
      <c r="AY573" s="307"/>
      <c r="AZ573" s="307"/>
      <c r="BA573" s="307"/>
      <c r="BB573" s="307"/>
      <c r="BC573" s="305"/>
      <c r="BD573" s="292"/>
      <c r="BE573" s="297"/>
      <c r="BF573" s="297"/>
      <c r="BG573" s="569"/>
      <c r="BH573" s="570"/>
      <c r="BI573" s="570"/>
      <c r="BJ573" s="570"/>
      <c r="BK573" s="570"/>
      <c r="BL573" s="570"/>
      <c r="BM573" s="570"/>
      <c r="BN573" s="570"/>
      <c r="BO573" s="570"/>
      <c r="BP573" s="570"/>
      <c r="BQ573" s="570"/>
      <c r="BR573" s="570"/>
      <c r="BS573" s="570"/>
      <c r="BT573" s="570"/>
      <c r="BU573" s="570"/>
      <c r="BV573" s="570"/>
      <c r="BW573" s="570"/>
      <c r="BX573" s="570"/>
      <c r="BY573" s="570"/>
      <c r="BZ573" s="571"/>
      <c r="CA573" s="571"/>
    </row>
    <row r="574" spans="2:79">
      <c r="B574" s="566">
        <v>559</v>
      </c>
      <c r="C574" s="308"/>
      <c r="D574" s="307"/>
      <c r="E574" s="307"/>
      <c r="F574" s="305"/>
      <c r="G574" s="305"/>
      <c r="H574" s="292"/>
      <c r="I574" s="574"/>
      <c r="J574" s="573"/>
      <c r="K574" s="307"/>
      <c r="L574" s="292"/>
      <c r="M574" s="308"/>
      <c r="N574" s="292"/>
      <c r="O574" s="308"/>
      <c r="P574" s="575"/>
      <c r="Q574" s="576"/>
      <c r="R574" s="308"/>
      <c r="S574" s="575"/>
      <c r="T574" s="576"/>
      <c r="U574" s="308"/>
      <c r="V574" s="575"/>
      <c r="W574" s="576"/>
      <c r="X574" s="308"/>
      <c r="Y574" s="575"/>
      <c r="Z574" s="576"/>
      <c r="AA574" s="308"/>
      <c r="AB574" s="575"/>
      <c r="AC574" s="576"/>
      <c r="AD574" s="308"/>
      <c r="AE574" s="575"/>
      <c r="AF574" s="308"/>
      <c r="AG574" s="575"/>
      <c r="AH574" s="308"/>
      <c r="AI574" s="575"/>
      <c r="AJ574" s="308"/>
      <c r="AK574" s="305"/>
      <c r="AL574" s="577"/>
      <c r="AM574" s="306"/>
      <c r="AN574" s="308"/>
      <c r="AO574" s="573"/>
      <c r="AP574" s="305"/>
      <c r="AQ574" s="308"/>
      <c r="AR574" s="573"/>
      <c r="AS574" s="578"/>
      <c r="AT574" s="577"/>
      <c r="AU574" s="579"/>
      <c r="AV574" s="578"/>
      <c r="AW574" s="308"/>
      <c r="AX574" s="307"/>
      <c r="AY574" s="307"/>
      <c r="AZ574" s="307"/>
      <c r="BA574" s="307"/>
      <c r="BB574" s="307"/>
      <c r="BC574" s="305"/>
      <c r="BD574" s="292"/>
      <c r="BE574" s="297"/>
      <c r="BF574" s="297"/>
      <c r="BG574" s="569"/>
      <c r="BH574" s="570"/>
      <c r="BI574" s="570"/>
      <c r="BJ574" s="570"/>
      <c r="BK574" s="570"/>
      <c r="BL574" s="570"/>
      <c r="BM574" s="570"/>
      <c r="BN574" s="570"/>
      <c r="BO574" s="570"/>
      <c r="BP574" s="570"/>
      <c r="BQ574" s="570"/>
      <c r="BR574" s="570"/>
      <c r="BS574" s="570"/>
      <c r="BT574" s="570"/>
      <c r="BU574" s="570"/>
      <c r="BV574" s="570"/>
      <c r="BW574" s="570"/>
      <c r="BX574" s="570"/>
      <c r="BY574" s="570"/>
      <c r="BZ574" s="571"/>
      <c r="CA574" s="571"/>
    </row>
    <row r="575" spans="2:79">
      <c r="B575" s="572">
        <v>560</v>
      </c>
      <c r="C575" s="308"/>
      <c r="D575" s="307"/>
      <c r="E575" s="307"/>
      <c r="F575" s="305"/>
      <c r="G575" s="305"/>
      <c r="H575" s="292"/>
      <c r="I575" s="574"/>
      <c r="J575" s="573"/>
      <c r="K575" s="307"/>
      <c r="L575" s="292"/>
      <c r="M575" s="308"/>
      <c r="N575" s="292"/>
      <c r="O575" s="308"/>
      <c r="P575" s="575"/>
      <c r="Q575" s="576"/>
      <c r="R575" s="308"/>
      <c r="S575" s="575"/>
      <c r="T575" s="576"/>
      <c r="U575" s="308"/>
      <c r="V575" s="575"/>
      <c r="W575" s="576"/>
      <c r="X575" s="308"/>
      <c r="Y575" s="575"/>
      <c r="Z575" s="576"/>
      <c r="AA575" s="308"/>
      <c r="AB575" s="575"/>
      <c r="AC575" s="576"/>
      <c r="AD575" s="308"/>
      <c r="AE575" s="575"/>
      <c r="AF575" s="308"/>
      <c r="AG575" s="575"/>
      <c r="AH575" s="308"/>
      <c r="AI575" s="575"/>
      <c r="AJ575" s="308"/>
      <c r="AK575" s="305"/>
      <c r="AL575" s="577"/>
      <c r="AM575" s="306"/>
      <c r="AN575" s="308"/>
      <c r="AO575" s="573"/>
      <c r="AP575" s="305"/>
      <c r="AQ575" s="308"/>
      <c r="AR575" s="573"/>
      <c r="AS575" s="578"/>
      <c r="AT575" s="577"/>
      <c r="AU575" s="579"/>
      <c r="AV575" s="578"/>
      <c r="AW575" s="308"/>
      <c r="AX575" s="307"/>
      <c r="AY575" s="307"/>
      <c r="AZ575" s="307"/>
      <c r="BA575" s="307"/>
      <c r="BB575" s="307"/>
      <c r="BC575" s="305"/>
      <c r="BD575" s="292"/>
      <c r="BE575" s="297"/>
      <c r="BF575" s="297"/>
      <c r="BG575" s="569"/>
      <c r="BH575" s="570"/>
      <c r="BI575" s="570"/>
      <c r="BJ575" s="570"/>
      <c r="BK575" s="570"/>
      <c r="BL575" s="570"/>
      <c r="BM575" s="570"/>
      <c r="BN575" s="570"/>
      <c r="BO575" s="570"/>
      <c r="BP575" s="570"/>
      <c r="BQ575" s="570"/>
      <c r="BR575" s="570"/>
      <c r="BS575" s="570"/>
      <c r="BT575" s="570"/>
      <c r="BU575" s="570"/>
      <c r="BV575" s="570"/>
      <c r="BW575" s="570"/>
      <c r="BX575" s="570"/>
      <c r="BY575" s="570"/>
      <c r="BZ575" s="571"/>
      <c r="CA575" s="571"/>
    </row>
    <row r="576" spans="2:79">
      <c r="B576" s="566">
        <v>561</v>
      </c>
      <c r="C576" s="308"/>
      <c r="D576" s="307"/>
      <c r="E576" s="307"/>
      <c r="F576" s="305"/>
      <c r="G576" s="305"/>
      <c r="H576" s="292"/>
      <c r="I576" s="574"/>
      <c r="J576" s="573"/>
      <c r="K576" s="307"/>
      <c r="L576" s="292"/>
      <c r="M576" s="308"/>
      <c r="N576" s="292"/>
      <c r="O576" s="308"/>
      <c r="P576" s="575"/>
      <c r="Q576" s="576"/>
      <c r="R576" s="308"/>
      <c r="S576" s="575"/>
      <c r="T576" s="576"/>
      <c r="U576" s="308"/>
      <c r="V576" s="575"/>
      <c r="W576" s="576"/>
      <c r="X576" s="308"/>
      <c r="Y576" s="575"/>
      <c r="Z576" s="576"/>
      <c r="AA576" s="308"/>
      <c r="AB576" s="575"/>
      <c r="AC576" s="576"/>
      <c r="AD576" s="308"/>
      <c r="AE576" s="575"/>
      <c r="AF576" s="308"/>
      <c r="AG576" s="575"/>
      <c r="AH576" s="308"/>
      <c r="AI576" s="575"/>
      <c r="AJ576" s="308"/>
      <c r="AK576" s="305"/>
      <c r="AL576" s="577"/>
      <c r="AM576" s="306"/>
      <c r="AN576" s="308"/>
      <c r="AO576" s="573"/>
      <c r="AP576" s="305"/>
      <c r="AQ576" s="308"/>
      <c r="AR576" s="573"/>
      <c r="AS576" s="578"/>
      <c r="AT576" s="577"/>
      <c r="AU576" s="579"/>
      <c r="AV576" s="578"/>
      <c r="AW576" s="308"/>
      <c r="AX576" s="307"/>
      <c r="AY576" s="307"/>
      <c r="AZ576" s="307"/>
      <c r="BA576" s="307"/>
      <c r="BB576" s="307"/>
      <c r="BC576" s="305"/>
      <c r="BD576" s="292"/>
      <c r="BE576" s="297"/>
      <c r="BF576" s="297"/>
      <c r="BG576" s="569"/>
      <c r="BH576" s="570"/>
      <c r="BI576" s="570"/>
      <c r="BJ576" s="570"/>
      <c r="BK576" s="570"/>
      <c r="BL576" s="570"/>
      <c r="BM576" s="570"/>
      <c r="BN576" s="570"/>
      <c r="BO576" s="570"/>
      <c r="BP576" s="570"/>
      <c r="BQ576" s="570"/>
      <c r="BR576" s="570"/>
      <c r="BS576" s="570"/>
      <c r="BT576" s="570"/>
      <c r="BU576" s="570"/>
      <c r="BV576" s="570"/>
      <c r="BW576" s="570"/>
      <c r="BX576" s="570"/>
      <c r="BY576" s="570"/>
      <c r="BZ576" s="571"/>
      <c r="CA576" s="571"/>
    </row>
    <row r="577" spans="2:79">
      <c r="B577" s="572">
        <v>562</v>
      </c>
      <c r="C577" s="308"/>
      <c r="D577" s="307"/>
      <c r="E577" s="307"/>
      <c r="F577" s="305"/>
      <c r="G577" s="305"/>
      <c r="H577" s="292"/>
      <c r="I577" s="574"/>
      <c r="J577" s="573"/>
      <c r="K577" s="307"/>
      <c r="L577" s="292"/>
      <c r="M577" s="308"/>
      <c r="N577" s="292"/>
      <c r="O577" s="308"/>
      <c r="P577" s="575"/>
      <c r="Q577" s="576"/>
      <c r="R577" s="308"/>
      <c r="S577" s="575"/>
      <c r="T577" s="576"/>
      <c r="U577" s="308"/>
      <c r="V577" s="575"/>
      <c r="W577" s="576"/>
      <c r="X577" s="308"/>
      <c r="Y577" s="575"/>
      <c r="Z577" s="576"/>
      <c r="AA577" s="308"/>
      <c r="AB577" s="575"/>
      <c r="AC577" s="576"/>
      <c r="AD577" s="308"/>
      <c r="AE577" s="575"/>
      <c r="AF577" s="308"/>
      <c r="AG577" s="575"/>
      <c r="AH577" s="308"/>
      <c r="AI577" s="575"/>
      <c r="AJ577" s="308"/>
      <c r="AK577" s="305"/>
      <c r="AL577" s="577"/>
      <c r="AM577" s="306"/>
      <c r="AN577" s="308"/>
      <c r="AO577" s="573"/>
      <c r="AP577" s="305"/>
      <c r="AQ577" s="308"/>
      <c r="AR577" s="573"/>
      <c r="AS577" s="578"/>
      <c r="AT577" s="577"/>
      <c r="AU577" s="579"/>
      <c r="AV577" s="578"/>
      <c r="AW577" s="308"/>
      <c r="AX577" s="307"/>
      <c r="AY577" s="307"/>
      <c r="AZ577" s="307"/>
      <c r="BA577" s="307"/>
      <c r="BB577" s="307"/>
      <c r="BC577" s="305"/>
      <c r="BD577" s="292"/>
      <c r="BE577" s="297"/>
      <c r="BF577" s="297"/>
      <c r="BG577" s="569"/>
      <c r="BH577" s="570"/>
      <c r="BI577" s="570"/>
      <c r="BJ577" s="570"/>
      <c r="BK577" s="570"/>
      <c r="BL577" s="570"/>
      <c r="BM577" s="570"/>
      <c r="BN577" s="570"/>
      <c r="BO577" s="570"/>
      <c r="BP577" s="570"/>
      <c r="BQ577" s="570"/>
      <c r="BR577" s="570"/>
      <c r="BS577" s="570"/>
      <c r="BT577" s="570"/>
      <c r="BU577" s="570"/>
      <c r="BV577" s="570"/>
      <c r="BW577" s="570"/>
      <c r="BX577" s="570"/>
      <c r="BY577" s="570"/>
      <c r="BZ577" s="571"/>
      <c r="CA577" s="571"/>
    </row>
    <row r="578" spans="2:79">
      <c r="B578" s="566">
        <v>563</v>
      </c>
      <c r="C578" s="308"/>
      <c r="D578" s="307"/>
      <c r="E578" s="307"/>
      <c r="F578" s="305"/>
      <c r="G578" s="305"/>
      <c r="H578" s="292"/>
      <c r="I578" s="574"/>
      <c r="J578" s="573"/>
      <c r="K578" s="307"/>
      <c r="L578" s="292"/>
      <c r="M578" s="308"/>
      <c r="N578" s="292"/>
      <c r="O578" s="308"/>
      <c r="P578" s="575"/>
      <c r="Q578" s="576"/>
      <c r="R578" s="308"/>
      <c r="S578" s="575"/>
      <c r="T578" s="576"/>
      <c r="U578" s="308"/>
      <c r="V578" s="575"/>
      <c r="W578" s="576"/>
      <c r="X578" s="308"/>
      <c r="Y578" s="575"/>
      <c r="Z578" s="576"/>
      <c r="AA578" s="308"/>
      <c r="AB578" s="575"/>
      <c r="AC578" s="576"/>
      <c r="AD578" s="308"/>
      <c r="AE578" s="575"/>
      <c r="AF578" s="308"/>
      <c r="AG578" s="575"/>
      <c r="AH578" s="308"/>
      <c r="AI578" s="575"/>
      <c r="AJ578" s="308"/>
      <c r="AK578" s="305"/>
      <c r="AL578" s="577"/>
      <c r="AM578" s="306"/>
      <c r="AN578" s="308"/>
      <c r="AO578" s="573"/>
      <c r="AP578" s="305"/>
      <c r="AQ578" s="308"/>
      <c r="AR578" s="573"/>
      <c r="AS578" s="578"/>
      <c r="AT578" s="577"/>
      <c r="AU578" s="579"/>
      <c r="AV578" s="578"/>
      <c r="AW578" s="308"/>
      <c r="AX578" s="307"/>
      <c r="AY578" s="307"/>
      <c r="AZ578" s="307"/>
      <c r="BA578" s="307"/>
      <c r="BB578" s="307"/>
      <c r="BC578" s="305"/>
      <c r="BD578" s="292"/>
      <c r="BE578" s="297"/>
      <c r="BF578" s="297"/>
      <c r="BG578" s="569"/>
      <c r="BH578" s="570"/>
      <c r="BI578" s="570"/>
      <c r="BJ578" s="570"/>
      <c r="BK578" s="570"/>
      <c r="BL578" s="570"/>
      <c r="BM578" s="570"/>
      <c r="BN578" s="570"/>
      <c r="BO578" s="570"/>
      <c r="BP578" s="570"/>
      <c r="BQ578" s="570"/>
      <c r="BR578" s="570"/>
      <c r="BS578" s="570"/>
      <c r="BT578" s="570"/>
      <c r="BU578" s="570"/>
      <c r="BV578" s="570"/>
      <c r="BW578" s="570"/>
      <c r="BX578" s="570"/>
      <c r="BY578" s="570"/>
      <c r="BZ578" s="571"/>
      <c r="CA578" s="571"/>
    </row>
    <row r="579" spans="2:79">
      <c r="B579" s="572">
        <v>564</v>
      </c>
      <c r="C579" s="308"/>
      <c r="D579" s="307"/>
      <c r="E579" s="307"/>
      <c r="F579" s="305"/>
      <c r="G579" s="305"/>
      <c r="H579" s="292"/>
      <c r="I579" s="574"/>
      <c r="J579" s="573"/>
      <c r="K579" s="307"/>
      <c r="L579" s="292"/>
      <c r="M579" s="308"/>
      <c r="N579" s="292"/>
      <c r="O579" s="308"/>
      <c r="P579" s="575"/>
      <c r="Q579" s="576"/>
      <c r="R579" s="308"/>
      <c r="S579" s="575"/>
      <c r="T579" s="576"/>
      <c r="U579" s="308"/>
      <c r="V579" s="575"/>
      <c r="W579" s="576"/>
      <c r="X579" s="308"/>
      <c r="Y579" s="575"/>
      <c r="Z579" s="576"/>
      <c r="AA579" s="308"/>
      <c r="AB579" s="575"/>
      <c r="AC579" s="576"/>
      <c r="AD579" s="308"/>
      <c r="AE579" s="575"/>
      <c r="AF579" s="308"/>
      <c r="AG579" s="575"/>
      <c r="AH579" s="308"/>
      <c r="AI579" s="575"/>
      <c r="AJ579" s="308"/>
      <c r="AK579" s="305"/>
      <c r="AL579" s="577"/>
      <c r="AM579" s="306"/>
      <c r="AN579" s="308"/>
      <c r="AO579" s="573"/>
      <c r="AP579" s="305"/>
      <c r="AQ579" s="308"/>
      <c r="AR579" s="573"/>
      <c r="AS579" s="578"/>
      <c r="AT579" s="577"/>
      <c r="AU579" s="579"/>
      <c r="AV579" s="578"/>
      <c r="AW579" s="308"/>
      <c r="AX579" s="307"/>
      <c r="AY579" s="307"/>
      <c r="AZ579" s="307"/>
      <c r="BA579" s="307"/>
      <c r="BB579" s="307"/>
      <c r="BC579" s="305"/>
      <c r="BD579" s="292"/>
      <c r="BE579" s="297"/>
      <c r="BF579" s="297"/>
      <c r="BG579" s="569"/>
      <c r="BH579" s="570"/>
      <c r="BI579" s="570"/>
      <c r="BJ579" s="570"/>
      <c r="BK579" s="570"/>
      <c r="BL579" s="570"/>
      <c r="BM579" s="570"/>
      <c r="BN579" s="570"/>
      <c r="BO579" s="570"/>
      <c r="BP579" s="570"/>
      <c r="BQ579" s="570"/>
      <c r="BR579" s="570"/>
      <c r="BS579" s="570"/>
      <c r="BT579" s="570"/>
      <c r="BU579" s="570"/>
      <c r="BV579" s="570"/>
      <c r="BW579" s="570"/>
      <c r="BX579" s="570"/>
      <c r="BY579" s="570"/>
      <c r="BZ579" s="571"/>
      <c r="CA579" s="571"/>
    </row>
    <row r="580" spans="2:79">
      <c r="B580" s="566">
        <v>565</v>
      </c>
      <c r="C580" s="308"/>
      <c r="D580" s="307"/>
      <c r="E580" s="307"/>
      <c r="F580" s="305"/>
      <c r="G580" s="305"/>
      <c r="H580" s="292"/>
      <c r="I580" s="574"/>
      <c r="J580" s="573"/>
      <c r="K580" s="307"/>
      <c r="L580" s="292"/>
      <c r="M580" s="308"/>
      <c r="N580" s="292"/>
      <c r="O580" s="308"/>
      <c r="P580" s="575"/>
      <c r="Q580" s="576"/>
      <c r="R580" s="308"/>
      <c r="S580" s="575"/>
      <c r="T580" s="576"/>
      <c r="U580" s="308"/>
      <c r="V580" s="575"/>
      <c r="W580" s="576"/>
      <c r="X580" s="308"/>
      <c r="Y580" s="575"/>
      <c r="Z580" s="576"/>
      <c r="AA580" s="308"/>
      <c r="AB580" s="575"/>
      <c r="AC580" s="576"/>
      <c r="AD580" s="308"/>
      <c r="AE580" s="575"/>
      <c r="AF580" s="308"/>
      <c r="AG580" s="575"/>
      <c r="AH580" s="308"/>
      <c r="AI580" s="575"/>
      <c r="AJ580" s="308"/>
      <c r="AK580" s="305"/>
      <c r="AL580" s="577"/>
      <c r="AM580" s="306"/>
      <c r="AN580" s="308"/>
      <c r="AO580" s="573"/>
      <c r="AP580" s="305"/>
      <c r="AQ580" s="308"/>
      <c r="AR580" s="573"/>
      <c r="AS580" s="578"/>
      <c r="AT580" s="577"/>
      <c r="AU580" s="579"/>
      <c r="AV580" s="578"/>
      <c r="AW580" s="308"/>
      <c r="AX580" s="307"/>
      <c r="AY580" s="307"/>
      <c r="AZ580" s="307"/>
      <c r="BA580" s="307"/>
      <c r="BB580" s="307"/>
      <c r="BC580" s="305"/>
      <c r="BD580" s="292"/>
      <c r="BE580" s="297"/>
      <c r="BF580" s="297"/>
      <c r="BG580" s="569"/>
      <c r="BH580" s="570"/>
      <c r="BI580" s="570"/>
      <c r="BJ580" s="570"/>
      <c r="BK580" s="570"/>
      <c r="BL580" s="570"/>
      <c r="BM580" s="570"/>
      <c r="BN580" s="570"/>
      <c r="BO580" s="570"/>
      <c r="BP580" s="570"/>
      <c r="BQ580" s="570"/>
      <c r="BR580" s="570"/>
      <c r="BS580" s="570"/>
      <c r="BT580" s="570"/>
      <c r="BU580" s="570"/>
      <c r="BV580" s="570"/>
      <c r="BW580" s="570"/>
      <c r="BX580" s="570"/>
      <c r="BY580" s="570"/>
      <c r="BZ580" s="571"/>
      <c r="CA580" s="571"/>
    </row>
    <row r="581" spans="2:79">
      <c r="B581" s="572">
        <v>566</v>
      </c>
      <c r="C581" s="308"/>
      <c r="D581" s="307"/>
      <c r="E581" s="307"/>
      <c r="F581" s="305"/>
      <c r="G581" s="305"/>
      <c r="H581" s="292"/>
      <c r="I581" s="574"/>
      <c r="J581" s="573"/>
      <c r="K581" s="307"/>
      <c r="L581" s="292"/>
      <c r="M581" s="308"/>
      <c r="N581" s="292"/>
      <c r="O581" s="308"/>
      <c r="P581" s="575"/>
      <c r="Q581" s="576"/>
      <c r="R581" s="308"/>
      <c r="S581" s="575"/>
      <c r="T581" s="576"/>
      <c r="U581" s="308"/>
      <c r="V581" s="575"/>
      <c r="W581" s="576"/>
      <c r="X581" s="308"/>
      <c r="Y581" s="575"/>
      <c r="Z581" s="576"/>
      <c r="AA581" s="308"/>
      <c r="AB581" s="575"/>
      <c r="AC581" s="576"/>
      <c r="AD581" s="308"/>
      <c r="AE581" s="575"/>
      <c r="AF581" s="308"/>
      <c r="AG581" s="575"/>
      <c r="AH581" s="308"/>
      <c r="AI581" s="575"/>
      <c r="AJ581" s="308"/>
      <c r="AK581" s="305"/>
      <c r="AL581" s="577"/>
      <c r="AM581" s="306"/>
      <c r="AN581" s="308"/>
      <c r="AO581" s="573"/>
      <c r="AP581" s="305"/>
      <c r="AQ581" s="308"/>
      <c r="AR581" s="573"/>
      <c r="AS581" s="578"/>
      <c r="AT581" s="577"/>
      <c r="AU581" s="579"/>
      <c r="AV581" s="578"/>
      <c r="AW581" s="308"/>
      <c r="AX581" s="307"/>
      <c r="AY581" s="307"/>
      <c r="AZ581" s="307"/>
      <c r="BA581" s="307"/>
      <c r="BB581" s="307"/>
      <c r="BC581" s="305"/>
      <c r="BD581" s="292"/>
      <c r="BE581" s="297"/>
      <c r="BF581" s="297"/>
      <c r="BG581" s="569"/>
      <c r="BH581" s="570"/>
      <c r="BI581" s="570"/>
      <c r="BJ581" s="570"/>
      <c r="BK581" s="570"/>
      <c r="BL581" s="570"/>
      <c r="BM581" s="570"/>
      <c r="BN581" s="570"/>
      <c r="BO581" s="570"/>
      <c r="BP581" s="570"/>
      <c r="BQ581" s="570"/>
      <c r="BR581" s="570"/>
      <c r="BS581" s="570"/>
      <c r="BT581" s="570"/>
      <c r="BU581" s="570"/>
      <c r="BV581" s="570"/>
      <c r="BW581" s="570"/>
      <c r="BX581" s="570"/>
      <c r="BY581" s="570"/>
      <c r="BZ581" s="571"/>
      <c r="CA581" s="571"/>
    </row>
    <row r="582" spans="2:79">
      <c r="B582" s="566">
        <v>567</v>
      </c>
      <c r="C582" s="308"/>
      <c r="D582" s="307"/>
      <c r="E582" s="307"/>
      <c r="F582" s="305"/>
      <c r="G582" s="305"/>
      <c r="H582" s="292"/>
      <c r="I582" s="574"/>
      <c r="J582" s="573"/>
      <c r="K582" s="307"/>
      <c r="L582" s="292"/>
      <c r="M582" s="308"/>
      <c r="N582" s="292"/>
      <c r="O582" s="308"/>
      <c r="P582" s="575"/>
      <c r="Q582" s="576"/>
      <c r="R582" s="308"/>
      <c r="S582" s="575"/>
      <c r="T582" s="576"/>
      <c r="U582" s="308"/>
      <c r="V582" s="575"/>
      <c r="W582" s="576"/>
      <c r="X582" s="308"/>
      <c r="Y582" s="575"/>
      <c r="Z582" s="576"/>
      <c r="AA582" s="308"/>
      <c r="AB582" s="575"/>
      <c r="AC582" s="576"/>
      <c r="AD582" s="308"/>
      <c r="AE582" s="575"/>
      <c r="AF582" s="308"/>
      <c r="AG582" s="575"/>
      <c r="AH582" s="308"/>
      <c r="AI582" s="575"/>
      <c r="AJ582" s="308"/>
      <c r="AK582" s="305"/>
      <c r="AL582" s="577"/>
      <c r="AM582" s="306"/>
      <c r="AN582" s="308"/>
      <c r="AO582" s="573"/>
      <c r="AP582" s="305"/>
      <c r="AQ582" s="308"/>
      <c r="AR582" s="573"/>
      <c r="AS582" s="578"/>
      <c r="AT582" s="577"/>
      <c r="AU582" s="579"/>
      <c r="AV582" s="578"/>
      <c r="AW582" s="308"/>
      <c r="AX582" s="307"/>
      <c r="AY582" s="307"/>
      <c r="AZ582" s="307"/>
      <c r="BA582" s="307"/>
      <c r="BB582" s="307"/>
      <c r="BC582" s="305"/>
      <c r="BD582" s="292"/>
      <c r="BE582" s="297"/>
      <c r="BF582" s="297"/>
      <c r="BG582" s="569"/>
      <c r="BH582" s="570"/>
      <c r="BI582" s="570"/>
      <c r="BJ582" s="570"/>
      <c r="BK582" s="570"/>
      <c r="BL582" s="570"/>
      <c r="BM582" s="570"/>
      <c r="BN582" s="570"/>
      <c r="BO582" s="570"/>
      <c r="BP582" s="570"/>
      <c r="BQ582" s="570"/>
      <c r="BR582" s="570"/>
      <c r="BS582" s="570"/>
      <c r="BT582" s="570"/>
      <c r="BU582" s="570"/>
      <c r="BV582" s="570"/>
      <c r="BW582" s="570"/>
      <c r="BX582" s="570"/>
      <c r="BY582" s="570"/>
      <c r="BZ582" s="571"/>
      <c r="CA582" s="571"/>
    </row>
    <row r="583" spans="2:79">
      <c r="B583" s="572">
        <v>568</v>
      </c>
      <c r="C583" s="308"/>
      <c r="D583" s="307"/>
      <c r="E583" s="307"/>
      <c r="F583" s="305"/>
      <c r="G583" s="305"/>
      <c r="H583" s="292"/>
      <c r="I583" s="574"/>
      <c r="J583" s="573"/>
      <c r="K583" s="307"/>
      <c r="L583" s="292"/>
      <c r="M583" s="308"/>
      <c r="N583" s="292"/>
      <c r="O583" s="308"/>
      <c r="P583" s="575"/>
      <c r="Q583" s="576"/>
      <c r="R583" s="308"/>
      <c r="S583" s="575"/>
      <c r="T583" s="576"/>
      <c r="U583" s="308"/>
      <c r="V583" s="575"/>
      <c r="W583" s="576"/>
      <c r="X583" s="308"/>
      <c r="Y583" s="575"/>
      <c r="Z583" s="576"/>
      <c r="AA583" s="308"/>
      <c r="AB583" s="575"/>
      <c r="AC583" s="576"/>
      <c r="AD583" s="308"/>
      <c r="AE583" s="575"/>
      <c r="AF583" s="308"/>
      <c r="AG583" s="575"/>
      <c r="AH583" s="308"/>
      <c r="AI583" s="575"/>
      <c r="AJ583" s="308"/>
      <c r="AK583" s="305"/>
      <c r="AL583" s="577"/>
      <c r="AM583" s="306"/>
      <c r="AN583" s="308"/>
      <c r="AO583" s="573"/>
      <c r="AP583" s="305"/>
      <c r="AQ583" s="308"/>
      <c r="AR583" s="573"/>
      <c r="AS583" s="578"/>
      <c r="AT583" s="577"/>
      <c r="AU583" s="579"/>
      <c r="AV583" s="578"/>
      <c r="AW583" s="308"/>
      <c r="AX583" s="307"/>
      <c r="AY583" s="307"/>
      <c r="AZ583" s="307"/>
      <c r="BA583" s="307"/>
      <c r="BB583" s="307"/>
      <c r="BC583" s="305"/>
      <c r="BD583" s="292"/>
      <c r="BE583" s="297"/>
      <c r="BF583" s="297"/>
      <c r="BG583" s="569"/>
      <c r="BH583" s="570"/>
      <c r="BI583" s="570"/>
      <c r="BJ583" s="570"/>
      <c r="BK583" s="570"/>
      <c r="BL583" s="570"/>
      <c r="BM583" s="570"/>
      <c r="BN583" s="570"/>
      <c r="BO583" s="570"/>
      <c r="BP583" s="570"/>
      <c r="BQ583" s="570"/>
      <c r="BR583" s="570"/>
      <c r="BS583" s="570"/>
      <c r="BT583" s="570"/>
      <c r="BU583" s="570"/>
      <c r="BV583" s="570"/>
      <c r="BW583" s="570"/>
      <c r="BX583" s="570"/>
      <c r="BY583" s="570"/>
      <c r="BZ583" s="571"/>
      <c r="CA583" s="571"/>
    </row>
    <row r="584" spans="2:79">
      <c r="B584" s="566">
        <v>569</v>
      </c>
      <c r="C584" s="308"/>
      <c r="D584" s="307"/>
      <c r="E584" s="307"/>
      <c r="F584" s="305"/>
      <c r="G584" s="305"/>
      <c r="H584" s="292"/>
      <c r="I584" s="574"/>
      <c r="J584" s="573"/>
      <c r="K584" s="307"/>
      <c r="L584" s="292"/>
      <c r="M584" s="308"/>
      <c r="N584" s="292"/>
      <c r="O584" s="308"/>
      <c r="P584" s="575"/>
      <c r="Q584" s="576"/>
      <c r="R584" s="308"/>
      <c r="S584" s="575"/>
      <c r="T584" s="576"/>
      <c r="U584" s="308"/>
      <c r="V584" s="575"/>
      <c r="W584" s="576"/>
      <c r="X584" s="308"/>
      <c r="Y584" s="575"/>
      <c r="Z584" s="576"/>
      <c r="AA584" s="308"/>
      <c r="AB584" s="575"/>
      <c r="AC584" s="576"/>
      <c r="AD584" s="308"/>
      <c r="AE584" s="575"/>
      <c r="AF584" s="308"/>
      <c r="AG584" s="575"/>
      <c r="AH584" s="308"/>
      <c r="AI584" s="575"/>
      <c r="AJ584" s="308"/>
      <c r="AK584" s="305"/>
      <c r="AL584" s="577"/>
      <c r="AM584" s="306"/>
      <c r="AN584" s="308"/>
      <c r="AO584" s="573"/>
      <c r="AP584" s="305"/>
      <c r="AQ584" s="308"/>
      <c r="AR584" s="573"/>
      <c r="AS584" s="578"/>
      <c r="AT584" s="577"/>
      <c r="AU584" s="579"/>
      <c r="AV584" s="578"/>
      <c r="AW584" s="308"/>
      <c r="AX584" s="307"/>
      <c r="AY584" s="307"/>
      <c r="AZ584" s="307"/>
      <c r="BA584" s="307"/>
      <c r="BB584" s="307"/>
      <c r="BC584" s="305"/>
      <c r="BD584" s="292"/>
      <c r="BE584" s="297"/>
      <c r="BF584" s="297"/>
      <c r="BG584" s="569"/>
      <c r="BH584" s="570"/>
      <c r="BI584" s="570"/>
      <c r="BJ584" s="570"/>
      <c r="BK584" s="570"/>
      <c r="BL584" s="570"/>
      <c r="BM584" s="570"/>
      <c r="BN584" s="570"/>
      <c r="BO584" s="570"/>
      <c r="BP584" s="570"/>
      <c r="BQ584" s="570"/>
      <c r="BR584" s="570"/>
      <c r="BS584" s="570"/>
      <c r="BT584" s="570"/>
      <c r="BU584" s="570"/>
      <c r="BV584" s="570"/>
      <c r="BW584" s="570"/>
      <c r="BX584" s="570"/>
      <c r="BY584" s="570"/>
      <c r="BZ584" s="571"/>
      <c r="CA584" s="571"/>
    </row>
    <row r="585" spans="2:79">
      <c r="B585" s="572">
        <v>570</v>
      </c>
      <c r="C585" s="308"/>
      <c r="D585" s="307"/>
      <c r="E585" s="307"/>
      <c r="F585" s="305"/>
      <c r="G585" s="305"/>
      <c r="H585" s="292"/>
      <c r="I585" s="574"/>
      <c r="J585" s="573"/>
      <c r="K585" s="307"/>
      <c r="L585" s="292"/>
      <c r="M585" s="308"/>
      <c r="N585" s="292"/>
      <c r="O585" s="308"/>
      <c r="P585" s="575"/>
      <c r="Q585" s="576"/>
      <c r="R585" s="308"/>
      <c r="S585" s="575"/>
      <c r="T585" s="576"/>
      <c r="U585" s="308"/>
      <c r="V585" s="575"/>
      <c r="W585" s="576"/>
      <c r="X585" s="308"/>
      <c r="Y585" s="575"/>
      <c r="Z585" s="576"/>
      <c r="AA585" s="308"/>
      <c r="AB585" s="575"/>
      <c r="AC585" s="576"/>
      <c r="AD585" s="308"/>
      <c r="AE585" s="575"/>
      <c r="AF585" s="308"/>
      <c r="AG585" s="575"/>
      <c r="AH585" s="308"/>
      <c r="AI585" s="575"/>
      <c r="AJ585" s="308"/>
      <c r="AK585" s="305"/>
      <c r="AL585" s="577"/>
      <c r="AM585" s="306"/>
      <c r="AN585" s="308"/>
      <c r="AO585" s="573"/>
      <c r="AP585" s="305"/>
      <c r="AQ585" s="308"/>
      <c r="AR585" s="573"/>
      <c r="AS585" s="578"/>
      <c r="AT585" s="577"/>
      <c r="AU585" s="579"/>
      <c r="AV585" s="578"/>
      <c r="AW585" s="308"/>
      <c r="AX585" s="307"/>
      <c r="AY585" s="307"/>
      <c r="AZ585" s="307"/>
      <c r="BA585" s="307"/>
      <c r="BB585" s="307"/>
      <c r="BC585" s="305"/>
      <c r="BD585" s="292"/>
      <c r="BE585" s="297"/>
      <c r="BF585" s="297"/>
      <c r="BG585" s="569"/>
      <c r="BH585" s="570"/>
      <c r="BI585" s="570"/>
      <c r="BJ585" s="570"/>
      <c r="BK585" s="570"/>
      <c r="BL585" s="570"/>
      <c r="BM585" s="570"/>
      <c r="BN585" s="570"/>
      <c r="BO585" s="570"/>
      <c r="BP585" s="570"/>
      <c r="BQ585" s="570"/>
      <c r="BR585" s="570"/>
      <c r="BS585" s="570"/>
      <c r="BT585" s="570"/>
      <c r="BU585" s="570"/>
      <c r="BV585" s="570"/>
      <c r="BW585" s="570"/>
      <c r="BX585" s="570"/>
      <c r="BY585" s="570"/>
      <c r="BZ585" s="571"/>
      <c r="CA585" s="571"/>
    </row>
    <row r="586" spans="2:79">
      <c r="B586" s="566">
        <v>571</v>
      </c>
      <c r="C586" s="308"/>
      <c r="D586" s="307"/>
      <c r="E586" s="307"/>
      <c r="F586" s="305"/>
      <c r="G586" s="305"/>
      <c r="H586" s="292"/>
      <c r="I586" s="574"/>
      <c r="J586" s="573"/>
      <c r="K586" s="307"/>
      <c r="L586" s="292"/>
      <c r="M586" s="308"/>
      <c r="N586" s="292"/>
      <c r="O586" s="308"/>
      <c r="P586" s="575"/>
      <c r="Q586" s="576"/>
      <c r="R586" s="308"/>
      <c r="S586" s="575"/>
      <c r="T586" s="576"/>
      <c r="U586" s="308"/>
      <c r="V586" s="575"/>
      <c r="W586" s="576"/>
      <c r="X586" s="308"/>
      <c r="Y586" s="575"/>
      <c r="Z586" s="576"/>
      <c r="AA586" s="308"/>
      <c r="AB586" s="575"/>
      <c r="AC586" s="576"/>
      <c r="AD586" s="308"/>
      <c r="AE586" s="575"/>
      <c r="AF586" s="308"/>
      <c r="AG586" s="575"/>
      <c r="AH586" s="308"/>
      <c r="AI586" s="575"/>
      <c r="AJ586" s="308"/>
      <c r="AK586" s="305"/>
      <c r="AL586" s="577"/>
      <c r="AM586" s="306"/>
      <c r="AN586" s="308"/>
      <c r="AO586" s="573"/>
      <c r="AP586" s="305"/>
      <c r="AQ586" s="308"/>
      <c r="AR586" s="573"/>
      <c r="AS586" s="578"/>
      <c r="AT586" s="577"/>
      <c r="AU586" s="579"/>
      <c r="AV586" s="578"/>
      <c r="AW586" s="308"/>
      <c r="AX586" s="307"/>
      <c r="AY586" s="307"/>
      <c r="AZ586" s="307"/>
      <c r="BA586" s="307"/>
      <c r="BB586" s="307"/>
      <c r="BC586" s="305"/>
      <c r="BD586" s="292"/>
      <c r="BE586" s="297"/>
      <c r="BF586" s="297"/>
      <c r="BG586" s="569"/>
      <c r="BH586" s="570"/>
      <c r="BI586" s="570"/>
      <c r="BJ586" s="570"/>
      <c r="BK586" s="570"/>
      <c r="BL586" s="570"/>
      <c r="BM586" s="570"/>
      <c r="BN586" s="570"/>
      <c r="BO586" s="570"/>
      <c r="BP586" s="570"/>
      <c r="BQ586" s="570"/>
      <c r="BR586" s="570"/>
      <c r="BS586" s="570"/>
      <c r="BT586" s="570"/>
      <c r="BU586" s="570"/>
      <c r="BV586" s="570"/>
      <c r="BW586" s="570"/>
      <c r="BX586" s="570"/>
      <c r="BY586" s="570"/>
      <c r="BZ586" s="571"/>
      <c r="CA586" s="571"/>
    </row>
    <row r="587" spans="2:79">
      <c r="B587" s="572">
        <v>572</v>
      </c>
      <c r="C587" s="308"/>
      <c r="D587" s="307"/>
      <c r="E587" s="307"/>
      <c r="F587" s="305"/>
      <c r="G587" s="305"/>
      <c r="H587" s="292"/>
      <c r="I587" s="574"/>
      <c r="J587" s="573"/>
      <c r="K587" s="307"/>
      <c r="L587" s="292"/>
      <c r="M587" s="308"/>
      <c r="N587" s="292"/>
      <c r="O587" s="308"/>
      <c r="P587" s="575"/>
      <c r="Q587" s="576"/>
      <c r="R587" s="308"/>
      <c r="S587" s="575"/>
      <c r="T587" s="576"/>
      <c r="U587" s="308"/>
      <c r="V587" s="575"/>
      <c r="W587" s="576"/>
      <c r="X587" s="308"/>
      <c r="Y587" s="575"/>
      <c r="Z587" s="576"/>
      <c r="AA587" s="308"/>
      <c r="AB587" s="575"/>
      <c r="AC587" s="576"/>
      <c r="AD587" s="308"/>
      <c r="AE587" s="575"/>
      <c r="AF587" s="308"/>
      <c r="AG587" s="575"/>
      <c r="AH587" s="308"/>
      <c r="AI587" s="575"/>
      <c r="AJ587" s="308"/>
      <c r="AK587" s="305"/>
      <c r="AL587" s="577"/>
      <c r="AM587" s="306"/>
      <c r="AN587" s="308"/>
      <c r="AO587" s="573"/>
      <c r="AP587" s="305"/>
      <c r="AQ587" s="308"/>
      <c r="AR587" s="573"/>
      <c r="AS587" s="578"/>
      <c r="AT587" s="577"/>
      <c r="AU587" s="579"/>
      <c r="AV587" s="578"/>
      <c r="AW587" s="308"/>
      <c r="AX587" s="307"/>
      <c r="AY587" s="307"/>
      <c r="AZ587" s="307"/>
      <c r="BA587" s="307"/>
      <c r="BB587" s="307"/>
      <c r="BC587" s="305"/>
      <c r="BD587" s="292"/>
      <c r="BE587" s="297"/>
      <c r="BF587" s="297"/>
      <c r="BG587" s="569"/>
      <c r="BH587" s="570"/>
      <c r="BI587" s="570"/>
      <c r="BJ587" s="570"/>
      <c r="BK587" s="570"/>
      <c r="BL587" s="570"/>
      <c r="BM587" s="570"/>
      <c r="BN587" s="570"/>
      <c r="BO587" s="570"/>
      <c r="BP587" s="570"/>
      <c r="BQ587" s="570"/>
      <c r="BR587" s="570"/>
      <c r="BS587" s="570"/>
      <c r="BT587" s="570"/>
      <c r="BU587" s="570"/>
      <c r="BV587" s="570"/>
      <c r="BW587" s="570"/>
      <c r="BX587" s="570"/>
      <c r="BY587" s="570"/>
      <c r="BZ587" s="571"/>
      <c r="CA587" s="571"/>
    </row>
    <row r="588" spans="2:79">
      <c r="B588" s="566">
        <v>573</v>
      </c>
      <c r="C588" s="308"/>
      <c r="D588" s="307"/>
      <c r="E588" s="307"/>
      <c r="F588" s="305"/>
      <c r="G588" s="305"/>
      <c r="H588" s="292"/>
      <c r="I588" s="574"/>
      <c r="J588" s="573"/>
      <c r="K588" s="307"/>
      <c r="L588" s="292"/>
      <c r="M588" s="308"/>
      <c r="N588" s="292"/>
      <c r="O588" s="308"/>
      <c r="P588" s="575"/>
      <c r="Q588" s="576"/>
      <c r="R588" s="308"/>
      <c r="S588" s="575"/>
      <c r="T588" s="576"/>
      <c r="U588" s="308"/>
      <c r="V588" s="575"/>
      <c r="W588" s="576"/>
      <c r="X588" s="308"/>
      <c r="Y588" s="575"/>
      <c r="Z588" s="576"/>
      <c r="AA588" s="308"/>
      <c r="AB588" s="575"/>
      <c r="AC588" s="576"/>
      <c r="AD588" s="308"/>
      <c r="AE588" s="575"/>
      <c r="AF588" s="308"/>
      <c r="AG588" s="575"/>
      <c r="AH588" s="308"/>
      <c r="AI588" s="575"/>
      <c r="AJ588" s="308"/>
      <c r="AK588" s="305"/>
      <c r="AL588" s="577"/>
      <c r="AM588" s="306"/>
      <c r="AN588" s="308"/>
      <c r="AO588" s="573"/>
      <c r="AP588" s="305"/>
      <c r="AQ588" s="308"/>
      <c r="AR588" s="573"/>
      <c r="AS588" s="578"/>
      <c r="AT588" s="577"/>
      <c r="AU588" s="579"/>
      <c r="AV588" s="578"/>
      <c r="AW588" s="308"/>
      <c r="AX588" s="307"/>
      <c r="AY588" s="307"/>
      <c r="AZ588" s="307"/>
      <c r="BA588" s="307"/>
      <c r="BB588" s="307"/>
      <c r="BC588" s="305"/>
      <c r="BD588" s="292"/>
      <c r="BE588" s="297"/>
      <c r="BF588" s="297"/>
      <c r="BG588" s="569"/>
      <c r="BH588" s="570"/>
      <c r="BI588" s="570"/>
      <c r="BJ588" s="570"/>
      <c r="BK588" s="570"/>
      <c r="BL588" s="570"/>
      <c r="BM588" s="570"/>
      <c r="BN588" s="570"/>
      <c r="BO588" s="570"/>
      <c r="BP588" s="570"/>
      <c r="BQ588" s="570"/>
      <c r="BR588" s="570"/>
      <c r="BS588" s="570"/>
      <c r="BT588" s="570"/>
      <c r="BU588" s="570"/>
      <c r="BV588" s="570"/>
      <c r="BW588" s="570"/>
      <c r="BX588" s="570"/>
      <c r="BY588" s="570"/>
      <c r="BZ588" s="571"/>
      <c r="CA588" s="571"/>
    </row>
    <row r="589" spans="2:79">
      <c r="B589" s="572">
        <v>574</v>
      </c>
      <c r="C589" s="308"/>
      <c r="D589" s="307"/>
      <c r="E589" s="307"/>
      <c r="F589" s="305"/>
      <c r="G589" s="305"/>
      <c r="H589" s="292"/>
      <c r="I589" s="574"/>
      <c r="J589" s="573"/>
      <c r="K589" s="307"/>
      <c r="L589" s="292"/>
      <c r="M589" s="308"/>
      <c r="N589" s="292"/>
      <c r="O589" s="308"/>
      <c r="P589" s="575"/>
      <c r="Q589" s="576"/>
      <c r="R589" s="308"/>
      <c r="S589" s="575"/>
      <c r="T589" s="576"/>
      <c r="U589" s="308"/>
      <c r="V589" s="575"/>
      <c r="W589" s="576"/>
      <c r="X589" s="308"/>
      <c r="Y589" s="575"/>
      <c r="Z589" s="576"/>
      <c r="AA589" s="308"/>
      <c r="AB589" s="575"/>
      <c r="AC589" s="576"/>
      <c r="AD589" s="308"/>
      <c r="AE589" s="575"/>
      <c r="AF589" s="308"/>
      <c r="AG589" s="575"/>
      <c r="AH589" s="308"/>
      <c r="AI589" s="575"/>
      <c r="AJ589" s="308"/>
      <c r="AK589" s="305"/>
      <c r="AL589" s="577"/>
      <c r="AM589" s="306"/>
      <c r="AN589" s="308"/>
      <c r="AO589" s="573"/>
      <c r="AP589" s="305"/>
      <c r="AQ589" s="308"/>
      <c r="AR589" s="573"/>
      <c r="AS589" s="578"/>
      <c r="AT589" s="577"/>
      <c r="AU589" s="579"/>
      <c r="AV589" s="578"/>
      <c r="AW589" s="308"/>
      <c r="AX589" s="307"/>
      <c r="AY589" s="307"/>
      <c r="AZ589" s="307"/>
      <c r="BA589" s="307"/>
      <c r="BB589" s="307"/>
      <c r="BC589" s="305"/>
      <c r="BD589" s="292"/>
      <c r="BE589" s="297"/>
      <c r="BF589" s="297"/>
      <c r="BG589" s="569"/>
      <c r="BH589" s="570"/>
      <c r="BI589" s="570"/>
      <c r="BJ589" s="570"/>
      <c r="BK589" s="570"/>
      <c r="BL589" s="570"/>
      <c r="BM589" s="570"/>
      <c r="BN589" s="570"/>
      <c r="BO589" s="570"/>
      <c r="BP589" s="570"/>
      <c r="BQ589" s="570"/>
      <c r="BR589" s="570"/>
      <c r="BS589" s="570"/>
      <c r="BT589" s="570"/>
      <c r="BU589" s="570"/>
      <c r="BV589" s="570"/>
      <c r="BW589" s="570"/>
      <c r="BX589" s="570"/>
      <c r="BY589" s="570"/>
      <c r="BZ589" s="571"/>
      <c r="CA589" s="571"/>
    </row>
    <row r="590" spans="2:79">
      <c r="B590" s="566">
        <v>575</v>
      </c>
      <c r="C590" s="308"/>
      <c r="D590" s="307"/>
      <c r="E590" s="307"/>
      <c r="F590" s="305"/>
      <c r="G590" s="305"/>
      <c r="H590" s="292"/>
      <c r="I590" s="574"/>
      <c r="J590" s="573"/>
      <c r="K590" s="307"/>
      <c r="L590" s="292"/>
      <c r="M590" s="308"/>
      <c r="N590" s="292"/>
      <c r="O590" s="308"/>
      <c r="P590" s="575"/>
      <c r="Q590" s="576"/>
      <c r="R590" s="308"/>
      <c r="S590" s="575"/>
      <c r="T590" s="576"/>
      <c r="U590" s="308"/>
      <c r="V590" s="575"/>
      <c r="W590" s="576"/>
      <c r="X590" s="308"/>
      <c r="Y590" s="575"/>
      <c r="Z590" s="576"/>
      <c r="AA590" s="308"/>
      <c r="AB590" s="575"/>
      <c r="AC590" s="576"/>
      <c r="AD590" s="308"/>
      <c r="AE590" s="575"/>
      <c r="AF590" s="308"/>
      <c r="AG590" s="575"/>
      <c r="AH590" s="308"/>
      <c r="AI590" s="575"/>
      <c r="AJ590" s="308"/>
      <c r="AK590" s="305"/>
      <c r="AL590" s="577"/>
      <c r="AM590" s="306"/>
      <c r="AN590" s="308"/>
      <c r="AO590" s="573"/>
      <c r="AP590" s="305"/>
      <c r="AQ590" s="308"/>
      <c r="AR590" s="573"/>
      <c r="AS590" s="578"/>
      <c r="AT590" s="577"/>
      <c r="AU590" s="579"/>
      <c r="AV590" s="578"/>
      <c r="AW590" s="308"/>
      <c r="AX590" s="307"/>
      <c r="AY590" s="307"/>
      <c r="AZ590" s="307"/>
      <c r="BA590" s="307"/>
      <c r="BB590" s="307"/>
      <c r="BC590" s="305"/>
      <c r="BD590" s="292"/>
      <c r="BE590" s="297"/>
      <c r="BF590" s="297"/>
      <c r="BG590" s="569"/>
      <c r="BH590" s="570"/>
      <c r="BI590" s="570"/>
      <c r="BJ590" s="570"/>
      <c r="BK590" s="570"/>
      <c r="BL590" s="570"/>
      <c r="BM590" s="570"/>
      <c r="BN590" s="570"/>
      <c r="BO590" s="570"/>
      <c r="BP590" s="570"/>
      <c r="BQ590" s="570"/>
      <c r="BR590" s="570"/>
      <c r="BS590" s="570"/>
      <c r="BT590" s="570"/>
      <c r="BU590" s="570"/>
      <c r="BV590" s="570"/>
      <c r="BW590" s="570"/>
      <c r="BX590" s="570"/>
      <c r="BY590" s="570"/>
      <c r="BZ590" s="571"/>
      <c r="CA590" s="571"/>
    </row>
    <row r="591" spans="2:79">
      <c r="B591" s="572">
        <v>576</v>
      </c>
      <c r="C591" s="308"/>
      <c r="D591" s="307"/>
      <c r="E591" s="307"/>
      <c r="F591" s="305"/>
      <c r="G591" s="305"/>
      <c r="H591" s="292"/>
      <c r="I591" s="574"/>
      <c r="J591" s="573"/>
      <c r="K591" s="307"/>
      <c r="L591" s="292"/>
      <c r="M591" s="308"/>
      <c r="N591" s="292"/>
      <c r="O591" s="308"/>
      <c r="P591" s="575"/>
      <c r="Q591" s="576"/>
      <c r="R591" s="308"/>
      <c r="S591" s="575"/>
      <c r="T591" s="576"/>
      <c r="U591" s="308"/>
      <c r="V591" s="575"/>
      <c r="W591" s="576"/>
      <c r="X591" s="308"/>
      <c r="Y591" s="575"/>
      <c r="Z591" s="576"/>
      <c r="AA591" s="308"/>
      <c r="AB591" s="575"/>
      <c r="AC591" s="576"/>
      <c r="AD591" s="308"/>
      <c r="AE591" s="575"/>
      <c r="AF591" s="308"/>
      <c r="AG591" s="575"/>
      <c r="AH591" s="308"/>
      <c r="AI591" s="575"/>
      <c r="AJ591" s="308"/>
      <c r="AK591" s="305"/>
      <c r="AL591" s="577"/>
      <c r="AM591" s="306"/>
      <c r="AN591" s="308"/>
      <c r="AO591" s="573"/>
      <c r="AP591" s="305"/>
      <c r="AQ591" s="308"/>
      <c r="AR591" s="573"/>
      <c r="AS591" s="578"/>
      <c r="AT591" s="577"/>
      <c r="AU591" s="579"/>
      <c r="AV591" s="578"/>
      <c r="AW591" s="308"/>
      <c r="AX591" s="307"/>
      <c r="AY591" s="307"/>
      <c r="AZ591" s="307"/>
      <c r="BA591" s="307"/>
      <c r="BB591" s="307"/>
      <c r="BC591" s="305"/>
      <c r="BD591" s="292"/>
      <c r="BE591" s="297"/>
      <c r="BF591" s="297"/>
      <c r="BG591" s="569"/>
      <c r="BH591" s="570"/>
      <c r="BI591" s="570"/>
      <c r="BJ591" s="570"/>
      <c r="BK591" s="570"/>
      <c r="BL591" s="570"/>
      <c r="BM591" s="570"/>
      <c r="BN591" s="570"/>
      <c r="BO591" s="570"/>
      <c r="BP591" s="570"/>
      <c r="BQ591" s="570"/>
      <c r="BR591" s="570"/>
      <c r="BS591" s="570"/>
      <c r="BT591" s="570"/>
      <c r="BU591" s="570"/>
      <c r="BV591" s="570"/>
      <c r="BW591" s="570"/>
      <c r="BX591" s="570"/>
      <c r="BY591" s="570"/>
      <c r="BZ591" s="571"/>
      <c r="CA591" s="571"/>
    </row>
    <row r="592" spans="2:79">
      <c r="B592" s="566">
        <v>577</v>
      </c>
      <c r="C592" s="308"/>
      <c r="D592" s="307"/>
      <c r="E592" s="307"/>
      <c r="F592" s="305"/>
      <c r="G592" s="305"/>
      <c r="H592" s="292"/>
      <c r="I592" s="574"/>
      <c r="J592" s="573"/>
      <c r="K592" s="307"/>
      <c r="L592" s="292"/>
      <c r="M592" s="308"/>
      <c r="N592" s="292"/>
      <c r="O592" s="308"/>
      <c r="P592" s="575"/>
      <c r="Q592" s="576"/>
      <c r="R592" s="308"/>
      <c r="S592" s="575"/>
      <c r="T592" s="576"/>
      <c r="U592" s="308"/>
      <c r="V592" s="575"/>
      <c r="W592" s="576"/>
      <c r="X592" s="308"/>
      <c r="Y592" s="575"/>
      <c r="Z592" s="576"/>
      <c r="AA592" s="308"/>
      <c r="AB592" s="575"/>
      <c r="AC592" s="576"/>
      <c r="AD592" s="308"/>
      <c r="AE592" s="575"/>
      <c r="AF592" s="308"/>
      <c r="AG592" s="575"/>
      <c r="AH592" s="308"/>
      <c r="AI592" s="575"/>
      <c r="AJ592" s="308"/>
      <c r="AK592" s="305"/>
      <c r="AL592" s="577"/>
      <c r="AM592" s="306"/>
      <c r="AN592" s="308"/>
      <c r="AO592" s="573"/>
      <c r="AP592" s="305"/>
      <c r="AQ592" s="308"/>
      <c r="AR592" s="573"/>
      <c r="AS592" s="578"/>
      <c r="AT592" s="577"/>
      <c r="AU592" s="579"/>
      <c r="AV592" s="578"/>
      <c r="AW592" s="308"/>
      <c r="AX592" s="307"/>
      <c r="AY592" s="307"/>
      <c r="AZ592" s="307"/>
      <c r="BA592" s="307"/>
      <c r="BB592" s="307"/>
      <c r="BC592" s="305"/>
      <c r="BD592" s="292"/>
      <c r="BE592" s="297"/>
      <c r="BF592" s="297"/>
      <c r="BG592" s="569"/>
      <c r="BH592" s="570"/>
      <c r="BI592" s="570"/>
      <c r="BJ592" s="570"/>
      <c r="BK592" s="570"/>
      <c r="BL592" s="570"/>
      <c r="BM592" s="570"/>
      <c r="BN592" s="570"/>
      <c r="BO592" s="570"/>
      <c r="BP592" s="570"/>
      <c r="BQ592" s="570"/>
      <c r="BR592" s="570"/>
      <c r="BS592" s="570"/>
      <c r="BT592" s="570"/>
      <c r="BU592" s="570"/>
      <c r="BV592" s="570"/>
      <c r="BW592" s="570"/>
      <c r="BX592" s="570"/>
      <c r="BY592" s="570"/>
      <c r="BZ592" s="571"/>
      <c r="CA592" s="571"/>
    </row>
    <row r="593" spans="2:79">
      <c r="B593" s="572">
        <v>578</v>
      </c>
      <c r="C593" s="308"/>
      <c r="D593" s="307"/>
      <c r="E593" s="307"/>
      <c r="F593" s="305"/>
      <c r="G593" s="305"/>
      <c r="H593" s="292"/>
      <c r="I593" s="574"/>
      <c r="J593" s="573"/>
      <c r="K593" s="307"/>
      <c r="L593" s="292"/>
      <c r="M593" s="308"/>
      <c r="N593" s="292"/>
      <c r="O593" s="308"/>
      <c r="P593" s="575"/>
      <c r="Q593" s="576"/>
      <c r="R593" s="308"/>
      <c r="S593" s="575"/>
      <c r="T593" s="576"/>
      <c r="U593" s="308"/>
      <c r="V593" s="575"/>
      <c r="W593" s="576"/>
      <c r="X593" s="308"/>
      <c r="Y593" s="575"/>
      <c r="Z593" s="576"/>
      <c r="AA593" s="308"/>
      <c r="AB593" s="575"/>
      <c r="AC593" s="576"/>
      <c r="AD593" s="308"/>
      <c r="AE593" s="575"/>
      <c r="AF593" s="308"/>
      <c r="AG593" s="575"/>
      <c r="AH593" s="308"/>
      <c r="AI593" s="575"/>
      <c r="AJ593" s="308"/>
      <c r="AK593" s="305"/>
      <c r="AL593" s="577"/>
      <c r="AM593" s="306"/>
      <c r="AN593" s="308"/>
      <c r="AO593" s="573"/>
      <c r="AP593" s="305"/>
      <c r="AQ593" s="308"/>
      <c r="AR593" s="573"/>
      <c r="AS593" s="578"/>
      <c r="AT593" s="577"/>
      <c r="AU593" s="579"/>
      <c r="AV593" s="578"/>
      <c r="AW593" s="308"/>
      <c r="AX593" s="307"/>
      <c r="AY593" s="307"/>
      <c r="AZ593" s="307"/>
      <c r="BA593" s="307"/>
      <c r="BB593" s="307"/>
      <c r="BC593" s="305"/>
      <c r="BD593" s="292"/>
      <c r="BE593" s="297"/>
      <c r="BF593" s="297"/>
      <c r="BG593" s="569"/>
      <c r="BH593" s="570"/>
      <c r="BI593" s="570"/>
      <c r="BJ593" s="570"/>
      <c r="BK593" s="570"/>
      <c r="BL593" s="570"/>
      <c r="BM593" s="570"/>
      <c r="BN593" s="570"/>
      <c r="BO593" s="570"/>
      <c r="BP593" s="570"/>
      <c r="BQ593" s="570"/>
      <c r="BR593" s="570"/>
      <c r="BS593" s="570"/>
      <c r="BT593" s="570"/>
      <c r="BU593" s="570"/>
      <c r="BV593" s="570"/>
      <c r="BW593" s="570"/>
      <c r="BX593" s="570"/>
      <c r="BY593" s="570"/>
      <c r="BZ593" s="571"/>
      <c r="CA593" s="571"/>
    </row>
    <row r="594" spans="2:79">
      <c r="B594" s="566">
        <v>579</v>
      </c>
      <c r="C594" s="308"/>
      <c r="D594" s="307"/>
      <c r="E594" s="307"/>
      <c r="F594" s="305"/>
      <c r="G594" s="305"/>
      <c r="H594" s="292"/>
      <c r="I594" s="574"/>
      <c r="J594" s="573"/>
      <c r="K594" s="307"/>
      <c r="L594" s="292"/>
      <c r="M594" s="308"/>
      <c r="N594" s="292"/>
      <c r="O594" s="308"/>
      <c r="P594" s="575"/>
      <c r="Q594" s="576"/>
      <c r="R594" s="308"/>
      <c r="S594" s="575"/>
      <c r="T594" s="576"/>
      <c r="U594" s="308"/>
      <c r="V594" s="575"/>
      <c r="W594" s="576"/>
      <c r="X594" s="308"/>
      <c r="Y594" s="575"/>
      <c r="Z594" s="576"/>
      <c r="AA594" s="308"/>
      <c r="AB594" s="575"/>
      <c r="AC594" s="576"/>
      <c r="AD594" s="308"/>
      <c r="AE594" s="575"/>
      <c r="AF594" s="308"/>
      <c r="AG594" s="575"/>
      <c r="AH594" s="308"/>
      <c r="AI594" s="575"/>
      <c r="AJ594" s="308"/>
      <c r="AK594" s="305"/>
      <c r="AL594" s="577"/>
      <c r="AM594" s="306"/>
      <c r="AN594" s="308"/>
      <c r="AO594" s="573"/>
      <c r="AP594" s="305"/>
      <c r="AQ594" s="308"/>
      <c r="AR594" s="573"/>
      <c r="AS594" s="578"/>
      <c r="AT594" s="577"/>
      <c r="AU594" s="579"/>
      <c r="AV594" s="578"/>
      <c r="AW594" s="308"/>
      <c r="AX594" s="307"/>
      <c r="AY594" s="307"/>
      <c r="AZ594" s="307"/>
      <c r="BA594" s="307"/>
      <c r="BB594" s="307"/>
      <c r="BC594" s="305"/>
      <c r="BD594" s="292"/>
      <c r="BE594" s="297"/>
      <c r="BF594" s="297"/>
      <c r="BG594" s="569"/>
      <c r="BH594" s="570"/>
      <c r="BI594" s="570"/>
      <c r="BJ594" s="570"/>
      <c r="BK594" s="570"/>
      <c r="BL594" s="570"/>
      <c r="BM594" s="570"/>
      <c r="BN594" s="570"/>
      <c r="BO594" s="570"/>
      <c r="BP594" s="570"/>
      <c r="BQ594" s="570"/>
      <c r="BR594" s="570"/>
      <c r="BS594" s="570"/>
      <c r="BT594" s="570"/>
      <c r="BU594" s="570"/>
      <c r="BV594" s="570"/>
      <c r="BW594" s="570"/>
      <c r="BX594" s="570"/>
      <c r="BY594" s="570"/>
      <c r="BZ594" s="571"/>
      <c r="CA594" s="571"/>
    </row>
    <row r="595" spans="2:79">
      <c r="B595" s="572">
        <v>580</v>
      </c>
      <c r="C595" s="308"/>
      <c r="D595" s="307"/>
      <c r="E595" s="307"/>
      <c r="F595" s="305"/>
      <c r="G595" s="305"/>
      <c r="H595" s="292"/>
      <c r="I595" s="574"/>
      <c r="J595" s="573"/>
      <c r="K595" s="307"/>
      <c r="L595" s="292"/>
      <c r="M595" s="308"/>
      <c r="N595" s="292"/>
      <c r="O595" s="308"/>
      <c r="P595" s="575"/>
      <c r="Q595" s="576"/>
      <c r="R595" s="308"/>
      <c r="S595" s="575"/>
      <c r="T595" s="576"/>
      <c r="U595" s="308"/>
      <c r="V595" s="575"/>
      <c r="W595" s="576"/>
      <c r="X595" s="308"/>
      <c r="Y595" s="575"/>
      <c r="Z595" s="576"/>
      <c r="AA595" s="308"/>
      <c r="AB595" s="575"/>
      <c r="AC595" s="576"/>
      <c r="AD595" s="308"/>
      <c r="AE595" s="575"/>
      <c r="AF595" s="308"/>
      <c r="AG595" s="575"/>
      <c r="AH595" s="308"/>
      <c r="AI595" s="575"/>
      <c r="AJ595" s="308"/>
      <c r="AK595" s="305"/>
      <c r="AL595" s="577"/>
      <c r="AM595" s="306"/>
      <c r="AN595" s="308"/>
      <c r="AO595" s="573"/>
      <c r="AP595" s="305"/>
      <c r="AQ595" s="308"/>
      <c r="AR595" s="573"/>
      <c r="AS595" s="578"/>
      <c r="AT595" s="577"/>
      <c r="AU595" s="579"/>
      <c r="AV595" s="578"/>
      <c r="AW595" s="308"/>
      <c r="AX595" s="307"/>
      <c r="AY595" s="307"/>
      <c r="AZ595" s="307"/>
      <c r="BA595" s="307"/>
      <c r="BB595" s="307"/>
      <c r="BC595" s="305"/>
      <c r="BD595" s="292"/>
      <c r="BE595" s="297"/>
      <c r="BF595" s="297"/>
      <c r="BG595" s="569"/>
      <c r="BH595" s="570"/>
      <c r="BI595" s="570"/>
      <c r="BJ595" s="570"/>
      <c r="BK595" s="570"/>
      <c r="BL595" s="570"/>
      <c r="BM595" s="570"/>
      <c r="BN595" s="570"/>
      <c r="BO595" s="570"/>
      <c r="BP595" s="570"/>
      <c r="BQ595" s="570"/>
      <c r="BR595" s="570"/>
      <c r="BS595" s="570"/>
      <c r="BT595" s="570"/>
      <c r="BU595" s="570"/>
      <c r="BV595" s="570"/>
      <c r="BW595" s="570"/>
      <c r="BX595" s="570"/>
      <c r="BY595" s="570"/>
      <c r="BZ595" s="571"/>
      <c r="CA595" s="571"/>
    </row>
    <row r="596" spans="2:79">
      <c r="B596" s="566">
        <v>581</v>
      </c>
      <c r="C596" s="308"/>
      <c r="D596" s="307"/>
      <c r="E596" s="307"/>
      <c r="F596" s="305"/>
      <c r="G596" s="305"/>
      <c r="H596" s="292"/>
      <c r="I596" s="574"/>
      <c r="J596" s="573"/>
      <c r="K596" s="307"/>
      <c r="L596" s="292"/>
      <c r="M596" s="308"/>
      <c r="N596" s="292"/>
      <c r="O596" s="308"/>
      <c r="P596" s="575"/>
      <c r="Q596" s="576"/>
      <c r="R596" s="308"/>
      <c r="S596" s="575"/>
      <c r="T596" s="576"/>
      <c r="U596" s="308"/>
      <c r="V596" s="575"/>
      <c r="W596" s="576"/>
      <c r="X596" s="308"/>
      <c r="Y596" s="575"/>
      <c r="Z596" s="576"/>
      <c r="AA596" s="308"/>
      <c r="AB596" s="575"/>
      <c r="AC596" s="576"/>
      <c r="AD596" s="308"/>
      <c r="AE596" s="575"/>
      <c r="AF596" s="308"/>
      <c r="AG596" s="575"/>
      <c r="AH596" s="308"/>
      <c r="AI596" s="575"/>
      <c r="AJ596" s="308"/>
      <c r="AK596" s="305"/>
      <c r="AL596" s="577"/>
      <c r="AM596" s="306"/>
      <c r="AN596" s="308"/>
      <c r="AO596" s="573"/>
      <c r="AP596" s="305"/>
      <c r="AQ596" s="308"/>
      <c r="AR596" s="573"/>
      <c r="AS596" s="578"/>
      <c r="AT596" s="577"/>
      <c r="AU596" s="579"/>
      <c r="AV596" s="578"/>
      <c r="AW596" s="308"/>
      <c r="AX596" s="307"/>
      <c r="AY596" s="307"/>
      <c r="AZ596" s="307"/>
      <c r="BA596" s="307"/>
      <c r="BB596" s="307"/>
      <c r="BC596" s="305"/>
      <c r="BD596" s="292"/>
      <c r="BE596" s="297"/>
      <c r="BF596" s="297"/>
      <c r="BG596" s="569"/>
      <c r="BH596" s="570"/>
      <c r="BI596" s="570"/>
      <c r="BJ596" s="570"/>
      <c r="BK596" s="570"/>
      <c r="BL596" s="570"/>
      <c r="BM596" s="570"/>
      <c r="BN596" s="570"/>
      <c r="BO596" s="570"/>
      <c r="BP596" s="570"/>
      <c r="BQ596" s="570"/>
      <c r="BR596" s="570"/>
      <c r="BS596" s="570"/>
      <c r="BT596" s="570"/>
      <c r="BU596" s="570"/>
      <c r="BV596" s="570"/>
      <c r="BW596" s="570"/>
      <c r="BX596" s="570"/>
      <c r="BY596" s="570"/>
      <c r="BZ596" s="571"/>
      <c r="CA596" s="571"/>
    </row>
    <row r="597" spans="2:79">
      <c r="B597" s="572">
        <v>582</v>
      </c>
      <c r="C597" s="308"/>
      <c r="D597" s="307"/>
      <c r="E597" s="307"/>
      <c r="F597" s="305"/>
      <c r="G597" s="305"/>
      <c r="H597" s="292"/>
      <c r="I597" s="574"/>
      <c r="J597" s="573"/>
      <c r="K597" s="307"/>
      <c r="L597" s="292"/>
      <c r="M597" s="308"/>
      <c r="N597" s="292"/>
      <c r="O597" s="308"/>
      <c r="P597" s="575"/>
      <c r="Q597" s="576"/>
      <c r="R597" s="308"/>
      <c r="S597" s="575"/>
      <c r="T597" s="576"/>
      <c r="U597" s="308"/>
      <c r="V597" s="575"/>
      <c r="W597" s="576"/>
      <c r="X597" s="308"/>
      <c r="Y597" s="575"/>
      <c r="Z597" s="576"/>
      <c r="AA597" s="308"/>
      <c r="AB597" s="575"/>
      <c r="AC597" s="576"/>
      <c r="AD597" s="308"/>
      <c r="AE597" s="575"/>
      <c r="AF597" s="308"/>
      <c r="AG597" s="575"/>
      <c r="AH597" s="308"/>
      <c r="AI597" s="575"/>
      <c r="AJ597" s="308"/>
      <c r="AK597" s="305"/>
      <c r="AL597" s="577"/>
      <c r="AM597" s="306"/>
      <c r="AN597" s="308"/>
      <c r="AO597" s="573"/>
      <c r="AP597" s="305"/>
      <c r="AQ597" s="308"/>
      <c r="AR597" s="573"/>
      <c r="AS597" s="578"/>
      <c r="AT597" s="577"/>
      <c r="AU597" s="579"/>
      <c r="AV597" s="578"/>
      <c r="AW597" s="308"/>
      <c r="AX597" s="307"/>
      <c r="AY597" s="307"/>
      <c r="AZ597" s="307"/>
      <c r="BA597" s="307"/>
      <c r="BB597" s="307"/>
      <c r="BC597" s="305"/>
      <c r="BD597" s="292"/>
      <c r="BE597" s="297"/>
      <c r="BF597" s="297"/>
      <c r="BG597" s="569"/>
      <c r="BH597" s="570"/>
      <c r="BI597" s="570"/>
      <c r="BJ597" s="570"/>
      <c r="BK597" s="570"/>
      <c r="BL597" s="570"/>
      <c r="BM597" s="570"/>
      <c r="BN597" s="570"/>
      <c r="BO597" s="570"/>
      <c r="BP597" s="570"/>
      <c r="BQ597" s="570"/>
      <c r="BR597" s="570"/>
      <c r="BS597" s="570"/>
      <c r="BT597" s="570"/>
      <c r="BU597" s="570"/>
      <c r="BV597" s="570"/>
      <c r="BW597" s="570"/>
      <c r="BX597" s="570"/>
      <c r="BY597" s="570"/>
      <c r="BZ597" s="571"/>
      <c r="CA597" s="571"/>
    </row>
    <row r="598" spans="2:79">
      <c r="B598" s="566">
        <v>583</v>
      </c>
      <c r="C598" s="308"/>
      <c r="D598" s="307"/>
      <c r="E598" s="307"/>
      <c r="F598" s="305"/>
      <c r="G598" s="305"/>
      <c r="H598" s="292"/>
      <c r="I598" s="574"/>
      <c r="J598" s="573"/>
      <c r="K598" s="307"/>
      <c r="L598" s="292"/>
      <c r="M598" s="308"/>
      <c r="N598" s="292"/>
      <c r="O598" s="308"/>
      <c r="P598" s="575"/>
      <c r="Q598" s="576"/>
      <c r="R598" s="308"/>
      <c r="S598" s="575"/>
      <c r="T598" s="576"/>
      <c r="U598" s="308"/>
      <c r="V598" s="575"/>
      <c r="W598" s="576"/>
      <c r="X598" s="308"/>
      <c r="Y598" s="575"/>
      <c r="Z598" s="576"/>
      <c r="AA598" s="308"/>
      <c r="AB598" s="575"/>
      <c r="AC598" s="576"/>
      <c r="AD598" s="308"/>
      <c r="AE598" s="575"/>
      <c r="AF598" s="308"/>
      <c r="AG598" s="575"/>
      <c r="AH598" s="308"/>
      <c r="AI598" s="575"/>
      <c r="AJ598" s="308"/>
      <c r="AK598" s="305"/>
      <c r="AL598" s="577"/>
      <c r="AM598" s="306"/>
      <c r="AN598" s="308"/>
      <c r="AO598" s="573"/>
      <c r="AP598" s="305"/>
      <c r="AQ598" s="308"/>
      <c r="AR598" s="573"/>
      <c r="AS598" s="578"/>
      <c r="AT598" s="577"/>
      <c r="AU598" s="579"/>
      <c r="AV598" s="578"/>
      <c r="AW598" s="308"/>
      <c r="AX598" s="307"/>
      <c r="AY598" s="307"/>
      <c r="AZ598" s="307"/>
      <c r="BA598" s="307"/>
      <c r="BB598" s="307"/>
      <c r="BC598" s="305"/>
      <c r="BD598" s="292"/>
      <c r="BE598" s="297"/>
      <c r="BF598" s="297"/>
      <c r="BG598" s="569"/>
      <c r="BH598" s="570"/>
      <c r="BI598" s="570"/>
      <c r="BJ598" s="570"/>
      <c r="BK598" s="570"/>
      <c r="BL598" s="570"/>
      <c r="BM598" s="570"/>
      <c r="BN598" s="570"/>
      <c r="BO598" s="570"/>
      <c r="BP598" s="570"/>
      <c r="BQ598" s="570"/>
      <c r="BR598" s="570"/>
      <c r="BS598" s="570"/>
      <c r="BT598" s="570"/>
      <c r="BU598" s="570"/>
      <c r="BV598" s="570"/>
      <c r="BW598" s="570"/>
      <c r="BX598" s="570"/>
      <c r="BY598" s="570"/>
      <c r="BZ598" s="571"/>
      <c r="CA598" s="571"/>
    </row>
    <row r="599" spans="2:79">
      <c r="B599" s="572">
        <v>584</v>
      </c>
      <c r="C599" s="308"/>
      <c r="D599" s="307"/>
      <c r="E599" s="307"/>
      <c r="F599" s="305"/>
      <c r="G599" s="305"/>
      <c r="H599" s="292"/>
      <c r="I599" s="574"/>
      <c r="J599" s="573"/>
      <c r="K599" s="307"/>
      <c r="L599" s="292"/>
      <c r="M599" s="308"/>
      <c r="N599" s="292"/>
      <c r="O599" s="308"/>
      <c r="P599" s="575"/>
      <c r="Q599" s="576"/>
      <c r="R599" s="308"/>
      <c r="S599" s="575"/>
      <c r="T599" s="576"/>
      <c r="U599" s="308"/>
      <c r="V599" s="575"/>
      <c r="W599" s="576"/>
      <c r="X599" s="308"/>
      <c r="Y599" s="575"/>
      <c r="Z599" s="576"/>
      <c r="AA599" s="308"/>
      <c r="AB599" s="575"/>
      <c r="AC599" s="576"/>
      <c r="AD599" s="308"/>
      <c r="AE599" s="575"/>
      <c r="AF599" s="308"/>
      <c r="AG599" s="575"/>
      <c r="AH599" s="308"/>
      <c r="AI599" s="575"/>
      <c r="AJ599" s="308"/>
      <c r="AK599" s="305"/>
      <c r="AL599" s="577"/>
      <c r="AM599" s="306"/>
      <c r="AN599" s="308"/>
      <c r="AO599" s="573"/>
      <c r="AP599" s="305"/>
      <c r="AQ599" s="308"/>
      <c r="AR599" s="573"/>
      <c r="AS599" s="578"/>
      <c r="AT599" s="577"/>
      <c r="AU599" s="579"/>
      <c r="AV599" s="578"/>
      <c r="AW599" s="308"/>
      <c r="AX599" s="307"/>
      <c r="AY599" s="307"/>
      <c r="AZ599" s="307"/>
      <c r="BA599" s="307"/>
      <c r="BB599" s="307"/>
      <c r="BC599" s="305"/>
      <c r="BD599" s="292"/>
      <c r="BE599" s="297"/>
      <c r="BF599" s="297"/>
      <c r="BG599" s="569"/>
      <c r="BH599" s="570"/>
      <c r="BI599" s="570"/>
      <c r="BJ599" s="570"/>
      <c r="BK599" s="570"/>
      <c r="BL599" s="570"/>
      <c r="BM599" s="570"/>
      <c r="BN599" s="570"/>
      <c r="BO599" s="570"/>
      <c r="BP599" s="570"/>
      <c r="BQ599" s="570"/>
      <c r="BR599" s="570"/>
      <c r="BS599" s="570"/>
      <c r="BT599" s="570"/>
      <c r="BU599" s="570"/>
      <c r="BV599" s="570"/>
      <c r="BW599" s="570"/>
      <c r="BX599" s="570"/>
      <c r="BY599" s="570"/>
      <c r="BZ599" s="571"/>
      <c r="CA599" s="571"/>
    </row>
    <row r="600" spans="2:79">
      <c r="B600" s="566">
        <v>585</v>
      </c>
      <c r="C600" s="308"/>
      <c r="D600" s="307"/>
      <c r="E600" s="307"/>
      <c r="F600" s="305"/>
      <c r="G600" s="305"/>
      <c r="H600" s="292"/>
      <c r="I600" s="574"/>
      <c r="J600" s="573"/>
      <c r="K600" s="307"/>
      <c r="L600" s="292"/>
      <c r="M600" s="308"/>
      <c r="N600" s="292"/>
      <c r="O600" s="308"/>
      <c r="P600" s="575"/>
      <c r="Q600" s="576"/>
      <c r="R600" s="308"/>
      <c r="S600" s="575"/>
      <c r="T600" s="576"/>
      <c r="U600" s="308"/>
      <c r="V600" s="575"/>
      <c r="W600" s="576"/>
      <c r="X600" s="308"/>
      <c r="Y600" s="575"/>
      <c r="Z600" s="576"/>
      <c r="AA600" s="308"/>
      <c r="AB600" s="575"/>
      <c r="AC600" s="576"/>
      <c r="AD600" s="308"/>
      <c r="AE600" s="575"/>
      <c r="AF600" s="308"/>
      <c r="AG600" s="575"/>
      <c r="AH600" s="308"/>
      <c r="AI600" s="575"/>
      <c r="AJ600" s="308"/>
      <c r="AK600" s="305"/>
      <c r="AL600" s="577"/>
      <c r="AM600" s="306"/>
      <c r="AN600" s="308"/>
      <c r="AO600" s="573"/>
      <c r="AP600" s="305"/>
      <c r="AQ600" s="308"/>
      <c r="AR600" s="573"/>
      <c r="AS600" s="578"/>
      <c r="AT600" s="577"/>
      <c r="AU600" s="579"/>
      <c r="AV600" s="578"/>
      <c r="AW600" s="308"/>
      <c r="AX600" s="307"/>
      <c r="AY600" s="307"/>
      <c r="AZ600" s="307"/>
      <c r="BA600" s="307"/>
      <c r="BB600" s="307"/>
      <c r="BC600" s="305"/>
      <c r="BD600" s="292"/>
      <c r="BE600" s="297"/>
      <c r="BF600" s="297"/>
      <c r="BG600" s="569"/>
      <c r="BH600" s="570"/>
      <c r="BI600" s="570"/>
      <c r="BJ600" s="570"/>
      <c r="BK600" s="570"/>
      <c r="BL600" s="570"/>
      <c r="BM600" s="570"/>
      <c r="BN600" s="570"/>
      <c r="BO600" s="570"/>
      <c r="BP600" s="570"/>
      <c r="BQ600" s="570"/>
      <c r="BR600" s="570"/>
      <c r="BS600" s="570"/>
      <c r="BT600" s="570"/>
      <c r="BU600" s="570"/>
      <c r="BV600" s="570"/>
      <c r="BW600" s="570"/>
      <c r="BX600" s="570"/>
      <c r="BY600" s="570"/>
      <c r="BZ600" s="571"/>
      <c r="CA600" s="571"/>
    </row>
    <row r="601" spans="2:79">
      <c r="B601" s="572">
        <v>586</v>
      </c>
      <c r="C601" s="308"/>
      <c r="D601" s="307"/>
      <c r="E601" s="307"/>
      <c r="F601" s="305"/>
      <c r="G601" s="305"/>
      <c r="H601" s="292"/>
      <c r="I601" s="574"/>
      <c r="J601" s="573"/>
      <c r="K601" s="307"/>
      <c r="L601" s="292"/>
      <c r="M601" s="308"/>
      <c r="N601" s="292"/>
      <c r="O601" s="308"/>
      <c r="P601" s="575"/>
      <c r="Q601" s="576"/>
      <c r="R601" s="308"/>
      <c r="S601" s="575"/>
      <c r="T601" s="576"/>
      <c r="U601" s="308"/>
      <c r="V601" s="575"/>
      <c r="W601" s="576"/>
      <c r="X601" s="308"/>
      <c r="Y601" s="575"/>
      <c r="Z601" s="576"/>
      <c r="AA601" s="308"/>
      <c r="AB601" s="575"/>
      <c r="AC601" s="576"/>
      <c r="AD601" s="308"/>
      <c r="AE601" s="575"/>
      <c r="AF601" s="308"/>
      <c r="AG601" s="575"/>
      <c r="AH601" s="308"/>
      <c r="AI601" s="575"/>
      <c r="AJ601" s="308"/>
      <c r="AK601" s="305"/>
      <c r="AL601" s="577"/>
      <c r="AM601" s="306"/>
      <c r="AN601" s="308"/>
      <c r="AO601" s="573"/>
      <c r="AP601" s="305"/>
      <c r="AQ601" s="308"/>
      <c r="AR601" s="573"/>
      <c r="AS601" s="578"/>
      <c r="AT601" s="577"/>
      <c r="AU601" s="579"/>
      <c r="AV601" s="578"/>
      <c r="AW601" s="308"/>
      <c r="AX601" s="307"/>
      <c r="AY601" s="307"/>
      <c r="AZ601" s="307"/>
      <c r="BA601" s="307"/>
      <c r="BB601" s="307"/>
      <c r="BC601" s="305"/>
      <c r="BD601" s="292"/>
      <c r="BE601" s="297"/>
      <c r="BF601" s="297"/>
      <c r="BG601" s="569"/>
      <c r="BH601" s="570"/>
      <c r="BI601" s="570"/>
      <c r="BJ601" s="570"/>
      <c r="BK601" s="570"/>
      <c r="BL601" s="570"/>
      <c r="BM601" s="570"/>
      <c r="BN601" s="570"/>
      <c r="BO601" s="570"/>
      <c r="BP601" s="570"/>
      <c r="BQ601" s="570"/>
      <c r="BR601" s="570"/>
      <c r="BS601" s="570"/>
      <c r="BT601" s="570"/>
      <c r="BU601" s="570"/>
      <c r="BV601" s="570"/>
      <c r="BW601" s="570"/>
      <c r="BX601" s="570"/>
      <c r="BY601" s="570"/>
      <c r="BZ601" s="571"/>
      <c r="CA601" s="571"/>
    </row>
    <row r="602" spans="2:79">
      <c r="B602" s="566">
        <v>587</v>
      </c>
      <c r="C602" s="308"/>
      <c r="D602" s="307"/>
      <c r="E602" s="307"/>
      <c r="F602" s="305"/>
      <c r="G602" s="305"/>
      <c r="H602" s="292"/>
      <c r="I602" s="574"/>
      <c r="J602" s="573"/>
      <c r="K602" s="307"/>
      <c r="L602" s="292"/>
      <c r="M602" s="308"/>
      <c r="N602" s="292"/>
      <c r="O602" s="308"/>
      <c r="P602" s="575"/>
      <c r="Q602" s="576"/>
      <c r="R602" s="308"/>
      <c r="S602" s="575"/>
      <c r="T602" s="576"/>
      <c r="U602" s="308"/>
      <c r="V602" s="575"/>
      <c r="W602" s="576"/>
      <c r="X602" s="308"/>
      <c r="Y602" s="575"/>
      <c r="Z602" s="576"/>
      <c r="AA602" s="308"/>
      <c r="AB602" s="575"/>
      <c r="AC602" s="576"/>
      <c r="AD602" s="308"/>
      <c r="AE602" s="575"/>
      <c r="AF602" s="308"/>
      <c r="AG602" s="575"/>
      <c r="AH602" s="308"/>
      <c r="AI602" s="575"/>
      <c r="AJ602" s="308"/>
      <c r="AK602" s="305"/>
      <c r="AL602" s="577"/>
      <c r="AM602" s="306"/>
      <c r="AN602" s="308"/>
      <c r="AO602" s="573"/>
      <c r="AP602" s="305"/>
      <c r="AQ602" s="308"/>
      <c r="AR602" s="573"/>
      <c r="AS602" s="578"/>
      <c r="AT602" s="577"/>
      <c r="AU602" s="579"/>
      <c r="AV602" s="578"/>
      <c r="AW602" s="308"/>
      <c r="AX602" s="307"/>
      <c r="AY602" s="307"/>
      <c r="AZ602" s="307"/>
      <c r="BA602" s="307"/>
      <c r="BB602" s="307"/>
      <c r="BC602" s="305"/>
      <c r="BD602" s="292"/>
      <c r="BE602" s="297"/>
      <c r="BF602" s="297"/>
      <c r="BG602" s="569"/>
      <c r="BH602" s="570"/>
      <c r="BI602" s="570"/>
      <c r="BJ602" s="570"/>
      <c r="BK602" s="570"/>
      <c r="BL602" s="570"/>
      <c r="BM602" s="570"/>
      <c r="BN602" s="570"/>
      <c r="BO602" s="570"/>
      <c r="BP602" s="570"/>
      <c r="BQ602" s="570"/>
      <c r="BR602" s="570"/>
      <c r="BS602" s="570"/>
      <c r="BT602" s="570"/>
      <c r="BU602" s="570"/>
      <c r="BV602" s="570"/>
      <c r="BW602" s="570"/>
      <c r="BX602" s="570"/>
      <c r="BY602" s="570"/>
      <c r="BZ602" s="571"/>
      <c r="CA602" s="571"/>
    </row>
    <row r="603" spans="2:79">
      <c r="B603" s="572">
        <v>588</v>
      </c>
      <c r="C603" s="308"/>
      <c r="D603" s="307"/>
      <c r="E603" s="307"/>
      <c r="F603" s="305"/>
      <c r="G603" s="305"/>
      <c r="H603" s="292"/>
      <c r="I603" s="574"/>
      <c r="J603" s="573"/>
      <c r="K603" s="307"/>
      <c r="L603" s="292"/>
      <c r="M603" s="308"/>
      <c r="N603" s="292"/>
      <c r="O603" s="308"/>
      <c r="P603" s="575"/>
      <c r="Q603" s="576"/>
      <c r="R603" s="308"/>
      <c r="S603" s="575"/>
      <c r="T603" s="576"/>
      <c r="U603" s="308"/>
      <c r="V603" s="575"/>
      <c r="W603" s="576"/>
      <c r="X603" s="308"/>
      <c r="Y603" s="575"/>
      <c r="Z603" s="576"/>
      <c r="AA603" s="308"/>
      <c r="AB603" s="575"/>
      <c r="AC603" s="576"/>
      <c r="AD603" s="308"/>
      <c r="AE603" s="575"/>
      <c r="AF603" s="308"/>
      <c r="AG603" s="575"/>
      <c r="AH603" s="308"/>
      <c r="AI603" s="575"/>
      <c r="AJ603" s="308"/>
      <c r="AK603" s="305"/>
      <c r="AL603" s="577"/>
      <c r="AM603" s="306"/>
      <c r="AN603" s="308"/>
      <c r="AO603" s="573"/>
      <c r="AP603" s="305"/>
      <c r="AQ603" s="308"/>
      <c r="AR603" s="573"/>
      <c r="AS603" s="578"/>
      <c r="AT603" s="577"/>
      <c r="AU603" s="579"/>
      <c r="AV603" s="578"/>
      <c r="AW603" s="308"/>
      <c r="AX603" s="307"/>
      <c r="AY603" s="307"/>
      <c r="AZ603" s="307"/>
      <c r="BA603" s="307"/>
      <c r="BB603" s="307"/>
      <c r="BC603" s="305"/>
      <c r="BD603" s="292"/>
      <c r="BE603" s="297"/>
      <c r="BF603" s="297"/>
      <c r="BG603" s="569"/>
      <c r="BH603" s="570"/>
      <c r="BI603" s="570"/>
      <c r="BJ603" s="570"/>
      <c r="BK603" s="570"/>
      <c r="BL603" s="570"/>
      <c r="BM603" s="570"/>
      <c r="BN603" s="570"/>
      <c r="BO603" s="570"/>
      <c r="BP603" s="570"/>
      <c r="BQ603" s="570"/>
      <c r="BR603" s="570"/>
      <c r="BS603" s="570"/>
      <c r="BT603" s="570"/>
      <c r="BU603" s="570"/>
      <c r="BV603" s="570"/>
      <c r="BW603" s="570"/>
      <c r="BX603" s="570"/>
      <c r="BY603" s="570"/>
      <c r="BZ603" s="571"/>
      <c r="CA603" s="571"/>
    </row>
    <row r="604" spans="2:79">
      <c r="B604" s="566">
        <v>589</v>
      </c>
      <c r="C604" s="308"/>
      <c r="D604" s="307"/>
      <c r="E604" s="307"/>
      <c r="F604" s="305"/>
      <c r="G604" s="305"/>
      <c r="H604" s="292"/>
      <c r="I604" s="574"/>
      <c r="J604" s="573"/>
      <c r="K604" s="307"/>
      <c r="L604" s="292"/>
      <c r="M604" s="308"/>
      <c r="N604" s="292"/>
      <c r="O604" s="308"/>
      <c r="P604" s="575"/>
      <c r="Q604" s="576"/>
      <c r="R604" s="308"/>
      <c r="S604" s="575"/>
      <c r="T604" s="576"/>
      <c r="U604" s="308"/>
      <c r="V604" s="575"/>
      <c r="W604" s="576"/>
      <c r="X604" s="308"/>
      <c r="Y604" s="575"/>
      <c r="Z604" s="576"/>
      <c r="AA604" s="308"/>
      <c r="AB604" s="575"/>
      <c r="AC604" s="576"/>
      <c r="AD604" s="308"/>
      <c r="AE604" s="575"/>
      <c r="AF604" s="308"/>
      <c r="AG604" s="575"/>
      <c r="AH604" s="308"/>
      <c r="AI604" s="575"/>
      <c r="AJ604" s="308"/>
      <c r="AK604" s="305"/>
      <c r="AL604" s="577"/>
      <c r="AM604" s="306"/>
      <c r="AN604" s="308"/>
      <c r="AO604" s="573"/>
      <c r="AP604" s="305"/>
      <c r="AQ604" s="308"/>
      <c r="AR604" s="573"/>
      <c r="AS604" s="578"/>
      <c r="AT604" s="577"/>
      <c r="AU604" s="579"/>
      <c r="AV604" s="578"/>
      <c r="AW604" s="308"/>
      <c r="AX604" s="307"/>
      <c r="AY604" s="307"/>
      <c r="AZ604" s="307"/>
      <c r="BA604" s="307"/>
      <c r="BB604" s="307"/>
      <c r="BC604" s="305"/>
      <c r="BD604" s="292"/>
      <c r="BE604" s="297"/>
      <c r="BF604" s="297"/>
      <c r="BG604" s="569"/>
      <c r="BH604" s="570"/>
      <c r="BI604" s="570"/>
      <c r="BJ604" s="570"/>
      <c r="BK604" s="570"/>
      <c r="BL604" s="570"/>
      <c r="BM604" s="570"/>
      <c r="BN604" s="570"/>
      <c r="BO604" s="570"/>
      <c r="BP604" s="570"/>
      <c r="BQ604" s="570"/>
      <c r="BR604" s="570"/>
      <c r="BS604" s="570"/>
      <c r="BT604" s="570"/>
      <c r="BU604" s="570"/>
      <c r="BV604" s="570"/>
      <c r="BW604" s="570"/>
      <c r="BX604" s="570"/>
      <c r="BY604" s="570"/>
      <c r="BZ604" s="571"/>
      <c r="CA604" s="571"/>
    </row>
    <row r="605" spans="2:79">
      <c r="B605" s="572">
        <v>590</v>
      </c>
      <c r="C605" s="308"/>
      <c r="D605" s="307"/>
      <c r="E605" s="307"/>
      <c r="F605" s="305"/>
      <c r="G605" s="305"/>
      <c r="H605" s="292"/>
      <c r="I605" s="574"/>
      <c r="J605" s="573"/>
      <c r="K605" s="307"/>
      <c r="L605" s="292"/>
      <c r="M605" s="308"/>
      <c r="N605" s="292"/>
      <c r="O605" s="308"/>
      <c r="P605" s="575"/>
      <c r="Q605" s="576"/>
      <c r="R605" s="308"/>
      <c r="S605" s="575"/>
      <c r="T605" s="576"/>
      <c r="U605" s="308"/>
      <c r="V605" s="575"/>
      <c r="W605" s="576"/>
      <c r="X605" s="308"/>
      <c r="Y605" s="575"/>
      <c r="Z605" s="576"/>
      <c r="AA605" s="308"/>
      <c r="AB605" s="575"/>
      <c r="AC605" s="576"/>
      <c r="AD605" s="308"/>
      <c r="AE605" s="575"/>
      <c r="AF605" s="308"/>
      <c r="AG605" s="575"/>
      <c r="AH605" s="308"/>
      <c r="AI605" s="575"/>
      <c r="AJ605" s="308"/>
      <c r="AK605" s="305"/>
      <c r="AL605" s="577"/>
      <c r="AM605" s="306"/>
      <c r="AN605" s="308"/>
      <c r="AO605" s="573"/>
      <c r="AP605" s="305"/>
      <c r="AQ605" s="308"/>
      <c r="AR605" s="573"/>
      <c r="AS605" s="578"/>
      <c r="AT605" s="577"/>
      <c r="AU605" s="579"/>
      <c r="AV605" s="578"/>
      <c r="AW605" s="308"/>
      <c r="AX605" s="307"/>
      <c r="AY605" s="307"/>
      <c r="AZ605" s="307"/>
      <c r="BA605" s="307"/>
      <c r="BB605" s="307"/>
      <c r="BC605" s="305"/>
      <c r="BD605" s="292"/>
      <c r="BE605" s="297"/>
      <c r="BF605" s="297"/>
      <c r="BG605" s="569"/>
      <c r="BH605" s="570"/>
      <c r="BI605" s="570"/>
      <c r="BJ605" s="570"/>
      <c r="BK605" s="570"/>
      <c r="BL605" s="570"/>
      <c r="BM605" s="570"/>
      <c r="BN605" s="570"/>
      <c r="BO605" s="570"/>
      <c r="BP605" s="570"/>
      <c r="BQ605" s="570"/>
      <c r="BR605" s="570"/>
      <c r="BS605" s="570"/>
      <c r="BT605" s="570"/>
      <c r="BU605" s="570"/>
      <c r="BV605" s="570"/>
      <c r="BW605" s="570"/>
      <c r="BX605" s="570"/>
      <c r="BY605" s="570"/>
      <c r="BZ605" s="571"/>
      <c r="CA605" s="571"/>
    </row>
    <row r="606" spans="2:79">
      <c r="B606" s="566">
        <v>591</v>
      </c>
      <c r="C606" s="308"/>
      <c r="D606" s="307"/>
      <c r="E606" s="307"/>
      <c r="F606" s="305"/>
      <c r="G606" s="305"/>
      <c r="H606" s="292"/>
      <c r="I606" s="574"/>
      <c r="J606" s="573"/>
      <c r="K606" s="307"/>
      <c r="L606" s="292"/>
      <c r="M606" s="308"/>
      <c r="N606" s="292"/>
      <c r="O606" s="308"/>
      <c r="P606" s="575"/>
      <c r="Q606" s="576"/>
      <c r="R606" s="308"/>
      <c r="S606" s="575"/>
      <c r="T606" s="576"/>
      <c r="U606" s="308"/>
      <c r="V606" s="575"/>
      <c r="W606" s="576"/>
      <c r="X606" s="308"/>
      <c r="Y606" s="575"/>
      <c r="Z606" s="576"/>
      <c r="AA606" s="308"/>
      <c r="AB606" s="575"/>
      <c r="AC606" s="576"/>
      <c r="AD606" s="308"/>
      <c r="AE606" s="575"/>
      <c r="AF606" s="308"/>
      <c r="AG606" s="575"/>
      <c r="AH606" s="308"/>
      <c r="AI606" s="575"/>
      <c r="AJ606" s="308"/>
      <c r="AK606" s="305"/>
      <c r="AL606" s="577"/>
      <c r="AM606" s="306"/>
      <c r="AN606" s="308"/>
      <c r="AO606" s="573"/>
      <c r="AP606" s="305"/>
      <c r="AQ606" s="308"/>
      <c r="AR606" s="573"/>
      <c r="AS606" s="578"/>
      <c r="AT606" s="577"/>
      <c r="AU606" s="579"/>
      <c r="AV606" s="578"/>
      <c r="AW606" s="308"/>
      <c r="AX606" s="307"/>
      <c r="AY606" s="307"/>
      <c r="AZ606" s="307"/>
      <c r="BA606" s="307"/>
      <c r="BB606" s="307"/>
      <c r="BC606" s="305"/>
      <c r="BD606" s="292"/>
      <c r="BE606" s="297"/>
      <c r="BF606" s="297"/>
      <c r="BG606" s="569"/>
      <c r="BH606" s="570"/>
      <c r="BI606" s="570"/>
      <c r="BJ606" s="570"/>
      <c r="BK606" s="570"/>
      <c r="BL606" s="570"/>
      <c r="BM606" s="570"/>
      <c r="BN606" s="570"/>
      <c r="BO606" s="570"/>
      <c r="BP606" s="570"/>
      <c r="BQ606" s="570"/>
      <c r="BR606" s="570"/>
      <c r="BS606" s="570"/>
      <c r="BT606" s="570"/>
      <c r="BU606" s="570"/>
      <c r="BV606" s="570"/>
      <c r="BW606" s="570"/>
      <c r="BX606" s="570"/>
      <c r="BY606" s="570"/>
      <c r="BZ606" s="571"/>
      <c r="CA606" s="571"/>
    </row>
    <row r="607" spans="2:79">
      <c r="B607" s="572">
        <v>592</v>
      </c>
      <c r="C607" s="308"/>
      <c r="D607" s="307"/>
      <c r="E607" s="307"/>
      <c r="F607" s="305"/>
      <c r="G607" s="305"/>
      <c r="H607" s="292"/>
      <c r="I607" s="574"/>
      <c r="J607" s="573"/>
      <c r="K607" s="307"/>
      <c r="L607" s="292"/>
      <c r="M607" s="308"/>
      <c r="N607" s="292"/>
      <c r="O607" s="308"/>
      <c r="P607" s="575"/>
      <c r="Q607" s="576"/>
      <c r="R607" s="308"/>
      <c r="S607" s="575"/>
      <c r="T607" s="576"/>
      <c r="U607" s="308"/>
      <c r="V607" s="575"/>
      <c r="W607" s="576"/>
      <c r="X607" s="308"/>
      <c r="Y607" s="575"/>
      <c r="Z607" s="576"/>
      <c r="AA607" s="308"/>
      <c r="AB607" s="575"/>
      <c r="AC607" s="576"/>
      <c r="AD607" s="308"/>
      <c r="AE607" s="575"/>
      <c r="AF607" s="308"/>
      <c r="AG607" s="575"/>
      <c r="AH607" s="308"/>
      <c r="AI607" s="575"/>
      <c r="AJ607" s="308"/>
      <c r="AK607" s="305"/>
      <c r="AL607" s="577"/>
      <c r="AM607" s="306"/>
      <c r="AN607" s="308"/>
      <c r="AO607" s="573"/>
      <c r="AP607" s="305"/>
      <c r="AQ607" s="308"/>
      <c r="AR607" s="573"/>
      <c r="AS607" s="578"/>
      <c r="AT607" s="577"/>
      <c r="AU607" s="579"/>
      <c r="AV607" s="578"/>
      <c r="AW607" s="308"/>
      <c r="AX607" s="307"/>
      <c r="AY607" s="307"/>
      <c r="AZ607" s="307"/>
      <c r="BA607" s="307"/>
      <c r="BB607" s="307"/>
      <c r="BC607" s="305"/>
      <c r="BD607" s="292"/>
      <c r="BE607" s="297"/>
      <c r="BF607" s="297"/>
      <c r="BG607" s="569"/>
      <c r="BH607" s="570"/>
      <c r="BI607" s="570"/>
      <c r="BJ607" s="570"/>
      <c r="BK607" s="570"/>
      <c r="BL607" s="570"/>
      <c r="BM607" s="570"/>
      <c r="BN607" s="570"/>
      <c r="BO607" s="570"/>
      <c r="BP607" s="570"/>
      <c r="BQ607" s="570"/>
      <c r="BR607" s="570"/>
      <c r="BS607" s="570"/>
      <c r="BT607" s="570"/>
      <c r="BU607" s="570"/>
      <c r="BV607" s="570"/>
      <c r="BW607" s="570"/>
      <c r="BX607" s="570"/>
      <c r="BY607" s="570"/>
      <c r="BZ607" s="571"/>
      <c r="CA607" s="571"/>
    </row>
    <row r="608" spans="2:79">
      <c r="B608" s="566">
        <v>593</v>
      </c>
      <c r="C608" s="308"/>
      <c r="D608" s="307"/>
      <c r="E608" s="307"/>
      <c r="F608" s="305"/>
      <c r="G608" s="305"/>
      <c r="H608" s="292"/>
      <c r="I608" s="574"/>
      <c r="J608" s="573"/>
      <c r="K608" s="307"/>
      <c r="L608" s="292"/>
      <c r="M608" s="308"/>
      <c r="N608" s="292"/>
      <c r="O608" s="308"/>
      <c r="P608" s="575"/>
      <c r="Q608" s="576"/>
      <c r="R608" s="308"/>
      <c r="S608" s="575"/>
      <c r="T608" s="576"/>
      <c r="U608" s="308"/>
      <c r="V608" s="575"/>
      <c r="W608" s="576"/>
      <c r="X608" s="308"/>
      <c r="Y608" s="575"/>
      <c r="Z608" s="576"/>
      <c r="AA608" s="308"/>
      <c r="AB608" s="575"/>
      <c r="AC608" s="576"/>
      <c r="AD608" s="308"/>
      <c r="AE608" s="575"/>
      <c r="AF608" s="308"/>
      <c r="AG608" s="575"/>
      <c r="AH608" s="308"/>
      <c r="AI608" s="575"/>
      <c r="AJ608" s="308"/>
      <c r="AK608" s="305"/>
      <c r="AL608" s="577"/>
      <c r="AM608" s="306"/>
      <c r="AN608" s="308"/>
      <c r="AO608" s="573"/>
      <c r="AP608" s="305"/>
      <c r="AQ608" s="308"/>
      <c r="AR608" s="573"/>
      <c r="AS608" s="578"/>
      <c r="AT608" s="577"/>
      <c r="AU608" s="579"/>
      <c r="AV608" s="578"/>
      <c r="AW608" s="308"/>
      <c r="AX608" s="307"/>
      <c r="AY608" s="307"/>
      <c r="AZ608" s="307"/>
      <c r="BA608" s="307"/>
      <c r="BB608" s="307"/>
      <c r="BC608" s="305"/>
      <c r="BD608" s="292"/>
      <c r="BE608" s="297"/>
      <c r="BF608" s="297"/>
      <c r="BG608" s="569"/>
      <c r="BH608" s="570"/>
      <c r="BI608" s="570"/>
      <c r="BJ608" s="570"/>
      <c r="BK608" s="570"/>
      <c r="BL608" s="570"/>
      <c r="BM608" s="570"/>
      <c r="BN608" s="570"/>
      <c r="BO608" s="570"/>
      <c r="BP608" s="570"/>
      <c r="BQ608" s="570"/>
      <c r="BR608" s="570"/>
      <c r="BS608" s="570"/>
      <c r="BT608" s="570"/>
      <c r="BU608" s="570"/>
      <c r="BV608" s="570"/>
      <c r="BW608" s="570"/>
      <c r="BX608" s="570"/>
      <c r="BY608" s="570"/>
      <c r="BZ608" s="571"/>
      <c r="CA608" s="571"/>
    </row>
    <row r="609" spans="2:79">
      <c r="B609" s="572">
        <v>594</v>
      </c>
      <c r="C609" s="308"/>
      <c r="D609" s="307"/>
      <c r="E609" s="307"/>
      <c r="F609" s="305"/>
      <c r="G609" s="305"/>
      <c r="H609" s="292"/>
      <c r="I609" s="574"/>
      <c r="J609" s="573"/>
      <c r="K609" s="307"/>
      <c r="L609" s="292"/>
      <c r="M609" s="308"/>
      <c r="N609" s="292"/>
      <c r="O609" s="308"/>
      <c r="P609" s="575"/>
      <c r="Q609" s="576"/>
      <c r="R609" s="308"/>
      <c r="S609" s="575"/>
      <c r="T609" s="576"/>
      <c r="U609" s="308"/>
      <c r="V609" s="575"/>
      <c r="W609" s="576"/>
      <c r="X609" s="308"/>
      <c r="Y609" s="575"/>
      <c r="Z609" s="576"/>
      <c r="AA609" s="308"/>
      <c r="AB609" s="575"/>
      <c r="AC609" s="576"/>
      <c r="AD609" s="308"/>
      <c r="AE609" s="575"/>
      <c r="AF609" s="308"/>
      <c r="AG609" s="575"/>
      <c r="AH609" s="308"/>
      <c r="AI609" s="575"/>
      <c r="AJ609" s="308"/>
      <c r="AK609" s="305"/>
      <c r="AL609" s="577"/>
      <c r="AM609" s="306"/>
      <c r="AN609" s="308"/>
      <c r="AO609" s="573"/>
      <c r="AP609" s="305"/>
      <c r="AQ609" s="308"/>
      <c r="AR609" s="573"/>
      <c r="AS609" s="578"/>
      <c r="AT609" s="577"/>
      <c r="AU609" s="579"/>
      <c r="AV609" s="578"/>
      <c r="AW609" s="308"/>
      <c r="AX609" s="307"/>
      <c r="AY609" s="307"/>
      <c r="AZ609" s="307"/>
      <c r="BA609" s="307"/>
      <c r="BB609" s="307"/>
      <c r="BC609" s="305"/>
      <c r="BD609" s="292"/>
      <c r="BE609" s="297"/>
      <c r="BF609" s="297"/>
      <c r="BG609" s="569"/>
      <c r="BH609" s="570"/>
      <c r="BI609" s="570"/>
      <c r="BJ609" s="570"/>
      <c r="BK609" s="570"/>
      <c r="BL609" s="570"/>
      <c r="BM609" s="570"/>
      <c r="BN609" s="570"/>
      <c r="BO609" s="570"/>
      <c r="BP609" s="570"/>
      <c r="BQ609" s="570"/>
      <c r="BR609" s="570"/>
      <c r="BS609" s="570"/>
      <c r="BT609" s="570"/>
      <c r="BU609" s="570"/>
      <c r="BV609" s="570"/>
      <c r="BW609" s="570"/>
      <c r="BX609" s="570"/>
      <c r="BY609" s="570"/>
      <c r="BZ609" s="571"/>
      <c r="CA609" s="571"/>
    </row>
    <row r="610" spans="2:79">
      <c r="B610" s="566">
        <v>595</v>
      </c>
      <c r="C610" s="308"/>
      <c r="D610" s="307"/>
      <c r="E610" s="307"/>
      <c r="F610" s="305"/>
      <c r="G610" s="305"/>
      <c r="H610" s="292"/>
      <c r="I610" s="574"/>
      <c r="J610" s="573"/>
      <c r="K610" s="307"/>
      <c r="L610" s="292"/>
      <c r="M610" s="308"/>
      <c r="N610" s="292"/>
      <c r="O610" s="308"/>
      <c r="P610" s="575"/>
      <c r="Q610" s="576"/>
      <c r="R610" s="308"/>
      <c r="S610" s="575"/>
      <c r="T610" s="576"/>
      <c r="U610" s="308"/>
      <c r="V610" s="575"/>
      <c r="W610" s="576"/>
      <c r="X610" s="308"/>
      <c r="Y610" s="575"/>
      <c r="Z610" s="576"/>
      <c r="AA610" s="308"/>
      <c r="AB610" s="575"/>
      <c r="AC610" s="576"/>
      <c r="AD610" s="308"/>
      <c r="AE610" s="575"/>
      <c r="AF610" s="308"/>
      <c r="AG610" s="575"/>
      <c r="AH610" s="308"/>
      <c r="AI610" s="575"/>
      <c r="AJ610" s="308"/>
      <c r="AK610" s="305"/>
      <c r="AL610" s="577"/>
      <c r="AM610" s="306"/>
      <c r="AN610" s="308"/>
      <c r="AO610" s="573"/>
      <c r="AP610" s="305"/>
      <c r="AQ610" s="308"/>
      <c r="AR610" s="573"/>
      <c r="AS610" s="578"/>
      <c r="AT610" s="577"/>
      <c r="AU610" s="579"/>
      <c r="AV610" s="578"/>
      <c r="AW610" s="308"/>
      <c r="AX610" s="307"/>
      <c r="AY610" s="307"/>
      <c r="AZ610" s="307"/>
      <c r="BA610" s="307"/>
      <c r="BB610" s="307"/>
      <c r="BC610" s="305"/>
      <c r="BD610" s="292"/>
      <c r="BE610" s="297"/>
      <c r="BF610" s="297"/>
      <c r="BG610" s="569"/>
      <c r="BH610" s="570"/>
      <c r="BI610" s="570"/>
      <c r="BJ610" s="570"/>
      <c r="BK610" s="570"/>
      <c r="BL610" s="570"/>
      <c r="BM610" s="570"/>
      <c r="BN610" s="570"/>
      <c r="BO610" s="570"/>
      <c r="BP610" s="570"/>
      <c r="BQ610" s="570"/>
      <c r="BR610" s="570"/>
      <c r="BS610" s="570"/>
      <c r="BT610" s="570"/>
      <c r="BU610" s="570"/>
      <c r="BV610" s="570"/>
      <c r="BW610" s="570"/>
      <c r="BX610" s="570"/>
      <c r="BY610" s="570"/>
      <c r="BZ610" s="571"/>
      <c r="CA610" s="571"/>
    </row>
    <row r="611" spans="2:79">
      <c r="B611" s="572">
        <v>596</v>
      </c>
      <c r="C611" s="308"/>
      <c r="D611" s="307"/>
      <c r="E611" s="307"/>
      <c r="F611" s="305"/>
      <c r="G611" s="305"/>
      <c r="H611" s="292"/>
      <c r="I611" s="574"/>
      <c r="J611" s="573"/>
      <c r="K611" s="307"/>
      <c r="L611" s="292"/>
      <c r="M611" s="308"/>
      <c r="N611" s="292"/>
      <c r="O611" s="308"/>
      <c r="P611" s="575"/>
      <c r="Q611" s="576"/>
      <c r="R611" s="308"/>
      <c r="S611" s="575"/>
      <c r="T611" s="576"/>
      <c r="U611" s="308"/>
      <c r="V611" s="575"/>
      <c r="W611" s="576"/>
      <c r="X611" s="308"/>
      <c r="Y611" s="575"/>
      <c r="Z611" s="576"/>
      <c r="AA611" s="308"/>
      <c r="AB611" s="575"/>
      <c r="AC611" s="576"/>
      <c r="AD611" s="308"/>
      <c r="AE611" s="575"/>
      <c r="AF611" s="308"/>
      <c r="AG611" s="575"/>
      <c r="AH611" s="308"/>
      <c r="AI611" s="575"/>
      <c r="AJ611" s="308"/>
      <c r="AK611" s="305"/>
      <c r="AL611" s="577"/>
      <c r="AM611" s="306"/>
      <c r="AN611" s="308"/>
      <c r="AO611" s="573"/>
      <c r="AP611" s="305"/>
      <c r="AQ611" s="308"/>
      <c r="AR611" s="573"/>
      <c r="AS611" s="578"/>
      <c r="AT611" s="577"/>
      <c r="AU611" s="579"/>
      <c r="AV611" s="578"/>
      <c r="AW611" s="308"/>
      <c r="AX611" s="307"/>
      <c r="AY611" s="307"/>
      <c r="AZ611" s="307"/>
      <c r="BA611" s="307"/>
      <c r="BB611" s="307"/>
      <c r="BC611" s="305"/>
      <c r="BD611" s="292"/>
      <c r="BE611" s="297"/>
      <c r="BF611" s="297"/>
      <c r="BG611" s="569"/>
      <c r="BH611" s="570"/>
      <c r="BI611" s="570"/>
      <c r="BJ611" s="570"/>
      <c r="BK611" s="570"/>
      <c r="BL611" s="570"/>
      <c r="BM611" s="570"/>
      <c r="BN611" s="570"/>
      <c r="BO611" s="570"/>
      <c r="BP611" s="570"/>
      <c r="BQ611" s="570"/>
      <c r="BR611" s="570"/>
      <c r="BS611" s="570"/>
      <c r="BT611" s="570"/>
      <c r="BU611" s="570"/>
      <c r="BV611" s="570"/>
      <c r="BW611" s="570"/>
      <c r="BX611" s="570"/>
      <c r="BY611" s="570"/>
      <c r="BZ611" s="571"/>
      <c r="CA611" s="571"/>
    </row>
    <row r="612" spans="2:79">
      <c r="B612" s="566">
        <v>597</v>
      </c>
      <c r="C612" s="308"/>
      <c r="D612" s="307"/>
      <c r="E612" s="307"/>
      <c r="F612" s="305"/>
      <c r="G612" s="305"/>
      <c r="H612" s="292"/>
      <c r="I612" s="574"/>
      <c r="J612" s="573"/>
      <c r="K612" s="307"/>
      <c r="L612" s="292"/>
      <c r="M612" s="308"/>
      <c r="N612" s="292"/>
      <c r="O612" s="308"/>
      <c r="P612" s="575"/>
      <c r="Q612" s="576"/>
      <c r="R612" s="308"/>
      <c r="S612" s="575"/>
      <c r="T612" s="576"/>
      <c r="U612" s="308"/>
      <c r="V612" s="575"/>
      <c r="W612" s="576"/>
      <c r="X612" s="308"/>
      <c r="Y612" s="575"/>
      <c r="Z612" s="576"/>
      <c r="AA612" s="308"/>
      <c r="AB612" s="575"/>
      <c r="AC612" s="576"/>
      <c r="AD612" s="308"/>
      <c r="AE612" s="575"/>
      <c r="AF612" s="308"/>
      <c r="AG612" s="575"/>
      <c r="AH612" s="308"/>
      <c r="AI612" s="575"/>
      <c r="AJ612" s="308"/>
      <c r="AK612" s="305"/>
      <c r="AL612" s="577"/>
      <c r="AM612" s="306"/>
      <c r="AN612" s="308"/>
      <c r="AO612" s="573"/>
      <c r="AP612" s="305"/>
      <c r="AQ612" s="308"/>
      <c r="AR612" s="573"/>
      <c r="AS612" s="578"/>
      <c r="AT612" s="577"/>
      <c r="AU612" s="579"/>
      <c r="AV612" s="578"/>
      <c r="AW612" s="308"/>
      <c r="AX612" s="307"/>
      <c r="AY612" s="307"/>
      <c r="AZ612" s="307"/>
      <c r="BA612" s="307"/>
      <c r="BB612" s="307"/>
      <c r="BC612" s="305"/>
      <c r="BD612" s="292"/>
      <c r="BE612" s="297"/>
      <c r="BF612" s="297"/>
      <c r="BG612" s="569"/>
      <c r="BH612" s="570"/>
      <c r="BI612" s="570"/>
      <c r="BJ612" s="570"/>
      <c r="BK612" s="570"/>
      <c r="BL612" s="570"/>
      <c r="BM612" s="570"/>
      <c r="BN612" s="570"/>
      <c r="BO612" s="570"/>
      <c r="BP612" s="570"/>
      <c r="BQ612" s="570"/>
      <c r="BR612" s="570"/>
      <c r="BS612" s="570"/>
      <c r="BT612" s="570"/>
      <c r="BU612" s="570"/>
      <c r="BV612" s="570"/>
      <c r="BW612" s="570"/>
      <c r="BX612" s="570"/>
      <c r="BY612" s="570"/>
      <c r="BZ612" s="571"/>
      <c r="CA612" s="571"/>
    </row>
    <row r="613" spans="2:79">
      <c r="B613" s="572">
        <v>598</v>
      </c>
      <c r="C613" s="308"/>
      <c r="D613" s="307"/>
      <c r="E613" s="307"/>
      <c r="F613" s="305"/>
      <c r="G613" s="305"/>
      <c r="H613" s="292"/>
      <c r="I613" s="574"/>
      <c r="J613" s="573"/>
      <c r="K613" s="307"/>
      <c r="L613" s="292"/>
      <c r="M613" s="308"/>
      <c r="N613" s="292"/>
      <c r="O613" s="308"/>
      <c r="P613" s="575"/>
      <c r="Q613" s="576"/>
      <c r="R613" s="308"/>
      <c r="S613" s="575"/>
      <c r="T613" s="576"/>
      <c r="U613" s="308"/>
      <c r="V613" s="575"/>
      <c r="W613" s="576"/>
      <c r="X613" s="308"/>
      <c r="Y613" s="575"/>
      <c r="Z613" s="576"/>
      <c r="AA613" s="308"/>
      <c r="AB613" s="575"/>
      <c r="AC613" s="576"/>
      <c r="AD613" s="308"/>
      <c r="AE613" s="575"/>
      <c r="AF613" s="308"/>
      <c r="AG613" s="575"/>
      <c r="AH613" s="308"/>
      <c r="AI613" s="575"/>
      <c r="AJ613" s="308"/>
      <c r="AK613" s="305"/>
      <c r="AL613" s="577"/>
      <c r="AM613" s="306"/>
      <c r="AN613" s="308"/>
      <c r="AO613" s="573"/>
      <c r="AP613" s="305"/>
      <c r="AQ613" s="308"/>
      <c r="AR613" s="573"/>
      <c r="AS613" s="578"/>
      <c r="AT613" s="577"/>
      <c r="AU613" s="579"/>
      <c r="AV613" s="578"/>
      <c r="AW613" s="308"/>
      <c r="AX613" s="307"/>
      <c r="AY613" s="307"/>
      <c r="AZ613" s="307"/>
      <c r="BA613" s="307"/>
      <c r="BB613" s="307"/>
      <c r="BC613" s="305"/>
      <c r="BD613" s="292"/>
      <c r="BE613" s="297"/>
      <c r="BF613" s="297"/>
      <c r="BG613" s="569"/>
      <c r="BH613" s="570"/>
      <c r="BI613" s="570"/>
      <c r="BJ613" s="570"/>
      <c r="BK613" s="570"/>
      <c r="BL613" s="570"/>
      <c r="BM613" s="570"/>
      <c r="BN613" s="570"/>
      <c r="BO613" s="570"/>
      <c r="BP613" s="570"/>
      <c r="BQ613" s="570"/>
      <c r="BR613" s="570"/>
      <c r="BS613" s="570"/>
      <c r="BT613" s="570"/>
      <c r="BU613" s="570"/>
      <c r="BV613" s="570"/>
      <c r="BW613" s="570"/>
      <c r="BX613" s="570"/>
      <c r="BY613" s="570"/>
      <c r="BZ613" s="571"/>
      <c r="CA613" s="571"/>
    </row>
    <row r="614" spans="2:79">
      <c r="B614" s="566">
        <v>599</v>
      </c>
      <c r="C614" s="308"/>
      <c r="D614" s="307"/>
      <c r="E614" s="307"/>
      <c r="F614" s="305"/>
      <c r="G614" s="305"/>
      <c r="H614" s="292"/>
      <c r="I614" s="574"/>
      <c r="J614" s="573"/>
      <c r="K614" s="307"/>
      <c r="L614" s="292"/>
      <c r="M614" s="308"/>
      <c r="N614" s="292"/>
      <c r="O614" s="308"/>
      <c r="P614" s="575"/>
      <c r="Q614" s="576"/>
      <c r="R614" s="308"/>
      <c r="S614" s="575"/>
      <c r="T614" s="576"/>
      <c r="U614" s="308"/>
      <c r="V614" s="575"/>
      <c r="W614" s="576"/>
      <c r="X614" s="308"/>
      <c r="Y614" s="575"/>
      <c r="Z614" s="576"/>
      <c r="AA614" s="308"/>
      <c r="AB614" s="575"/>
      <c r="AC614" s="576"/>
      <c r="AD614" s="308"/>
      <c r="AE614" s="575"/>
      <c r="AF614" s="308"/>
      <c r="AG614" s="575"/>
      <c r="AH614" s="308"/>
      <c r="AI614" s="575"/>
      <c r="AJ614" s="308"/>
      <c r="AK614" s="305"/>
      <c r="AL614" s="577"/>
      <c r="AM614" s="306"/>
      <c r="AN614" s="308"/>
      <c r="AO614" s="573"/>
      <c r="AP614" s="305"/>
      <c r="AQ614" s="308"/>
      <c r="AR614" s="573"/>
      <c r="AS614" s="578"/>
      <c r="AT614" s="577"/>
      <c r="AU614" s="579"/>
      <c r="AV614" s="578"/>
      <c r="AW614" s="308"/>
      <c r="AX614" s="307"/>
      <c r="AY614" s="307"/>
      <c r="AZ614" s="307"/>
      <c r="BA614" s="307"/>
      <c r="BB614" s="307"/>
      <c r="BC614" s="305"/>
      <c r="BD614" s="292"/>
      <c r="BE614" s="297"/>
      <c r="BF614" s="297"/>
      <c r="BG614" s="569"/>
      <c r="BH614" s="570"/>
      <c r="BI614" s="570"/>
      <c r="BJ614" s="570"/>
      <c r="BK614" s="570"/>
      <c r="BL614" s="570"/>
      <c r="BM614" s="570"/>
      <c r="BN614" s="570"/>
      <c r="BO614" s="570"/>
      <c r="BP614" s="570"/>
      <c r="BQ614" s="570"/>
      <c r="BR614" s="570"/>
      <c r="BS614" s="570"/>
      <c r="BT614" s="570"/>
      <c r="BU614" s="570"/>
      <c r="BV614" s="570"/>
      <c r="BW614" s="570"/>
      <c r="BX614" s="570"/>
      <c r="BY614" s="570"/>
      <c r="BZ614" s="571"/>
      <c r="CA614" s="571"/>
    </row>
    <row r="615" spans="2:79">
      <c r="B615" s="572">
        <v>600</v>
      </c>
      <c r="C615" s="308"/>
      <c r="D615" s="307"/>
      <c r="E615" s="307"/>
      <c r="F615" s="305"/>
      <c r="G615" s="305"/>
      <c r="H615" s="292"/>
      <c r="I615" s="574"/>
      <c r="J615" s="573"/>
      <c r="K615" s="307"/>
      <c r="L615" s="292"/>
      <c r="M615" s="308"/>
      <c r="N615" s="292"/>
      <c r="O615" s="308"/>
      <c r="P615" s="575"/>
      <c r="Q615" s="576"/>
      <c r="R615" s="308"/>
      <c r="S615" s="575"/>
      <c r="T615" s="576"/>
      <c r="U615" s="308"/>
      <c r="V615" s="575"/>
      <c r="W615" s="576"/>
      <c r="X615" s="308"/>
      <c r="Y615" s="575"/>
      <c r="Z615" s="576"/>
      <c r="AA615" s="308"/>
      <c r="AB615" s="575"/>
      <c r="AC615" s="576"/>
      <c r="AD615" s="308"/>
      <c r="AE615" s="575"/>
      <c r="AF615" s="308"/>
      <c r="AG615" s="575"/>
      <c r="AH615" s="308"/>
      <c r="AI615" s="575"/>
      <c r="AJ615" s="308"/>
      <c r="AK615" s="305"/>
      <c r="AL615" s="577"/>
      <c r="AM615" s="306"/>
      <c r="AN615" s="308"/>
      <c r="AO615" s="573"/>
      <c r="AP615" s="305"/>
      <c r="AQ615" s="308"/>
      <c r="AR615" s="573"/>
      <c r="AS615" s="578"/>
      <c r="AT615" s="577"/>
      <c r="AU615" s="579"/>
      <c r="AV615" s="578"/>
      <c r="AW615" s="308"/>
      <c r="AX615" s="307"/>
      <c r="AY615" s="307"/>
      <c r="AZ615" s="307"/>
      <c r="BA615" s="307"/>
      <c r="BB615" s="307"/>
      <c r="BC615" s="305"/>
      <c r="BD615" s="292"/>
      <c r="BE615" s="297"/>
      <c r="BF615" s="297"/>
      <c r="BG615" s="569"/>
      <c r="BH615" s="570"/>
      <c r="BI615" s="570"/>
      <c r="BJ615" s="570"/>
      <c r="BK615" s="570"/>
      <c r="BL615" s="570"/>
      <c r="BM615" s="570"/>
      <c r="BN615" s="570"/>
      <c r="BO615" s="570"/>
      <c r="BP615" s="570"/>
      <c r="BQ615" s="570"/>
      <c r="BR615" s="570"/>
      <c r="BS615" s="570"/>
      <c r="BT615" s="570"/>
      <c r="BU615" s="570"/>
      <c r="BV615" s="570"/>
      <c r="BW615" s="570"/>
      <c r="BX615" s="570"/>
      <c r="BY615" s="570"/>
      <c r="BZ615" s="571"/>
      <c r="CA615" s="571"/>
    </row>
    <row r="616" spans="2:79">
      <c r="B616" s="566">
        <v>601</v>
      </c>
      <c r="C616" s="308"/>
      <c r="D616" s="307"/>
      <c r="E616" s="307"/>
      <c r="F616" s="305"/>
      <c r="G616" s="305"/>
      <c r="H616" s="292"/>
      <c r="I616" s="574"/>
      <c r="J616" s="573"/>
      <c r="K616" s="307"/>
      <c r="L616" s="292"/>
      <c r="M616" s="308"/>
      <c r="N616" s="292"/>
      <c r="O616" s="308"/>
      <c r="P616" s="575"/>
      <c r="Q616" s="576"/>
      <c r="R616" s="308"/>
      <c r="S616" s="575"/>
      <c r="T616" s="576"/>
      <c r="U616" s="308"/>
      <c r="V616" s="575"/>
      <c r="W616" s="576"/>
      <c r="X616" s="308"/>
      <c r="Y616" s="575"/>
      <c r="Z616" s="576"/>
      <c r="AA616" s="308"/>
      <c r="AB616" s="575"/>
      <c r="AC616" s="576"/>
      <c r="AD616" s="308"/>
      <c r="AE616" s="575"/>
      <c r="AF616" s="308"/>
      <c r="AG616" s="575"/>
      <c r="AH616" s="308"/>
      <c r="AI616" s="575"/>
      <c r="AJ616" s="308"/>
      <c r="AK616" s="305"/>
      <c r="AL616" s="577"/>
      <c r="AM616" s="306"/>
      <c r="AN616" s="308"/>
      <c r="AO616" s="573"/>
      <c r="AP616" s="305"/>
      <c r="AQ616" s="308"/>
      <c r="AR616" s="573"/>
      <c r="AS616" s="578"/>
      <c r="AT616" s="577"/>
      <c r="AU616" s="579"/>
      <c r="AV616" s="578"/>
      <c r="AW616" s="308"/>
      <c r="AX616" s="307"/>
      <c r="AY616" s="307"/>
      <c r="AZ616" s="307"/>
      <c r="BA616" s="307"/>
      <c r="BB616" s="307"/>
      <c r="BC616" s="305"/>
      <c r="BD616" s="292"/>
      <c r="BE616" s="297"/>
      <c r="BF616" s="297"/>
      <c r="BG616" s="569"/>
      <c r="BH616" s="570"/>
      <c r="BI616" s="570"/>
      <c r="BJ616" s="570"/>
      <c r="BK616" s="570"/>
      <c r="BL616" s="570"/>
      <c r="BM616" s="570"/>
      <c r="BN616" s="570"/>
      <c r="BO616" s="570"/>
      <c r="BP616" s="570"/>
      <c r="BQ616" s="570"/>
      <c r="BR616" s="570"/>
      <c r="BS616" s="570"/>
      <c r="BT616" s="570"/>
      <c r="BU616" s="570"/>
      <c r="BV616" s="570"/>
      <c r="BW616" s="570"/>
      <c r="BX616" s="570"/>
      <c r="BY616" s="570"/>
      <c r="BZ616" s="571"/>
      <c r="CA616" s="571"/>
    </row>
    <row r="617" spans="2:79">
      <c r="B617" s="572">
        <v>602</v>
      </c>
      <c r="C617" s="308"/>
      <c r="D617" s="307"/>
      <c r="E617" s="307"/>
      <c r="F617" s="305"/>
      <c r="G617" s="305"/>
      <c r="H617" s="292"/>
      <c r="I617" s="574"/>
      <c r="J617" s="573"/>
      <c r="K617" s="307"/>
      <c r="L617" s="292"/>
      <c r="M617" s="308"/>
      <c r="N617" s="292"/>
      <c r="O617" s="308"/>
      <c r="P617" s="575"/>
      <c r="Q617" s="576"/>
      <c r="R617" s="308"/>
      <c r="S617" s="575"/>
      <c r="T617" s="576"/>
      <c r="U617" s="308"/>
      <c r="V617" s="575"/>
      <c r="W617" s="576"/>
      <c r="X617" s="308"/>
      <c r="Y617" s="575"/>
      <c r="Z617" s="576"/>
      <c r="AA617" s="308"/>
      <c r="AB617" s="575"/>
      <c r="AC617" s="576"/>
      <c r="AD617" s="308"/>
      <c r="AE617" s="575"/>
      <c r="AF617" s="308"/>
      <c r="AG617" s="575"/>
      <c r="AH617" s="308"/>
      <c r="AI617" s="575"/>
      <c r="AJ617" s="308"/>
      <c r="AK617" s="305"/>
      <c r="AL617" s="577"/>
      <c r="AM617" s="306"/>
      <c r="AN617" s="308"/>
      <c r="AO617" s="573"/>
      <c r="AP617" s="305"/>
      <c r="AQ617" s="308"/>
      <c r="AR617" s="573"/>
      <c r="AS617" s="578"/>
      <c r="AT617" s="577"/>
      <c r="AU617" s="579"/>
      <c r="AV617" s="578"/>
      <c r="AW617" s="308"/>
      <c r="AX617" s="307"/>
      <c r="AY617" s="307"/>
      <c r="AZ617" s="307"/>
      <c r="BA617" s="307"/>
      <c r="BB617" s="307"/>
      <c r="BC617" s="305"/>
      <c r="BD617" s="292"/>
      <c r="BE617" s="297"/>
      <c r="BF617" s="297"/>
      <c r="BG617" s="569"/>
      <c r="BH617" s="570"/>
      <c r="BI617" s="570"/>
      <c r="BJ617" s="570"/>
      <c r="BK617" s="570"/>
      <c r="BL617" s="570"/>
      <c r="BM617" s="570"/>
      <c r="BN617" s="570"/>
      <c r="BO617" s="570"/>
      <c r="BP617" s="570"/>
      <c r="BQ617" s="570"/>
      <c r="BR617" s="570"/>
      <c r="BS617" s="570"/>
      <c r="BT617" s="570"/>
      <c r="BU617" s="570"/>
      <c r="BV617" s="570"/>
      <c r="BW617" s="570"/>
      <c r="BX617" s="570"/>
      <c r="BY617" s="570"/>
      <c r="BZ617" s="571"/>
      <c r="CA617" s="571"/>
    </row>
    <row r="618" spans="2:79">
      <c r="B618" s="566">
        <v>603</v>
      </c>
      <c r="C618" s="308"/>
      <c r="D618" s="307"/>
      <c r="E618" s="307"/>
      <c r="F618" s="305"/>
      <c r="G618" s="305"/>
      <c r="H618" s="292"/>
      <c r="I618" s="574"/>
      <c r="J618" s="573"/>
      <c r="K618" s="307"/>
      <c r="L618" s="292"/>
      <c r="M618" s="308"/>
      <c r="N618" s="292"/>
      <c r="O618" s="308"/>
      <c r="P618" s="575"/>
      <c r="Q618" s="576"/>
      <c r="R618" s="308"/>
      <c r="S618" s="575"/>
      <c r="T618" s="576"/>
      <c r="U618" s="308"/>
      <c r="V618" s="575"/>
      <c r="W618" s="576"/>
      <c r="X618" s="308"/>
      <c r="Y618" s="575"/>
      <c r="Z618" s="576"/>
      <c r="AA618" s="308"/>
      <c r="AB618" s="575"/>
      <c r="AC618" s="576"/>
      <c r="AD618" s="308"/>
      <c r="AE618" s="575"/>
      <c r="AF618" s="308"/>
      <c r="AG618" s="575"/>
      <c r="AH618" s="308"/>
      <c r="AI618" s="575"/>
      <c r="AJ618" s="308"/>
      <c r="AK618" s="305"/>
      <c r="AL618" s="577"/>
      <c r="AM618" s="306"/>
      <c r="AN618" s="308"/>
      <c r="AO618" s="573"/>
      <c r="AP618" s="305"/>
      <c r="AQ618" s="308"/>
      <c r="AR618" s="573"/>
      <c r="AS618" s="578"/>
      <c r="AT618" s="577"/>
      <c r="AU618" s="579"/>
      <c r="AV618" s="578"/>
      <c r="AW618" s="308"/>
      <c r="AX618" s="307"/>
      <c r="AY618" s="307"/>
      <c r="AZ618" s="307"/>
      <c r="BA618" s="307"/>
      <c r="BB618" s="307"/>
      <c r="BC618" s="305"/>
      <c r="BD618" s="292"/>
      <c r="BE618" s="297"/>
      <c r="BF618" s="297"/>
      <c r="BG618" s="569"/>
      <c r="BH618" s="570"/>
      <c r="BI618" s="570"/>
      <c r="BJ618" s="570"/>
      <c r="BK618" s="570"/>
      <c r="BL618" s="570"/>
      <c r="BM618" s="570"/>
      <c r="BN618" s="570"/>
      <c r="BO618" s="570"/>
      <c r="BP618" s="570"/>
      <c r="BQ618" s="570"/>
      <c r="BR618" s="570"/>
      <c r="BS618" s="570"/>
      <c r="BT618" s="570"/>
      <c r="BU618" s="570"/>
      <c r="BV618" s="570"/>
      <c r="BW618" s="570"/>
      <c r="BX618" s="570"/>
      <c r="BY618" s="570"/>
      <c r="BZ618" s="571"/>
      <c r="CA618" s="571"/>
    </row>
    <row r="619" spans="2:79">
      <c r="B619" s="572">
        <v>604</v>
      </c>
      <c r="C619" s="308"/>
      <c r="D619" s="307"/>
      <c r="E619" s="307"/>
      <c r="F619" s="305"/>
      <c r="G619" s="305"/>
      <c r="H619" s="292"/>
      <c r="I619" s="574"/>
      <c r="J619" s="573"/>
      <c r="K619" s="307"/>
      <c r="L619" s="292"/>
      <c r="M619" s="308"/>
      <c r="N619" s="292"/>
      <c r="O619" s="308"/>
      <c r="P619" s="575"/>
      <c r="Q619" s="576"/>
      <c r="R619" s="308"/>
      <c r="S619" s="575"/>
      <c r="T619" s="576"/>
      <c r="U619" s="308"/>
      <c r="V619" s="575"/>
      <c r="W619" s="576"/>
      <c r="X619" s="308"/>
      <c r="Y619" s="575"/>
      <c r="Z619" s="576"/>
      <c r="AA619" s="308"/>
      <c r="AB619" s="575"/>
      <c r="AC619" s="576"/>
      <c r="AD619" s="308"/>
      <c r="AE619" s="575"/>
      <c r="AF619" s="308"/>
      <c r="AG619" s="575"/>
      <c r="AH619" s="308"/>
      <c r="AI619" s="575"/>
      <c r="AJ619" s="308"/>
      <c r="AK619" s="305"/>
      <c r="AL619" s="577"/>
      <c r="AM619" s="306"/>
      <c r="AN619" s="308"/>
      <c r="AO619" s="573"/>
      <c r="AP619" s="305"/>
      <c r="AQ619" s="308"/>
      <c r="AR619" s="573"/>
      <c r="AS619" s="578"/>
      <c r="AT619" s="577"/>
      <c r="AU619" s="579"/>
      <c r="AV619" s="578"/>
      <c r="AW619" s="308"/>
      <c r="AX619" s="307"/>
      <c r="AY619" s="307"/>
      <c r="AZ619" s="307"/>
      <c r="BA619" s="307"/>
      <c r="BB619" s="307"/>
      <c r="BC619" s="305"/>
      <c r="BD619" s="292"/>
      <c r="BE619" s="297"/>
      <c r="BF619" s="297"/>
      <c r="BG619" s="569"/>
      <c r="BH619" s="570"/>
      <c r="BI619" s="570"/>
      <c r="BJ619" s="570"/>
      <c r="BK619" s="570"/>
      <c r="BL619" s="570"/>
      <c r="BM619" s="570"/>
      <c r="BN619" s="570"/>
      <c r="BO619" s="570"/>
      <c r="BP619" s="570"/>
      <c r="BQ619" s="570"/>
      <c r="BR619" s="570"/>
      <c r="BS619" s="570"/>
      <c r="BT619" s="570"/>
      <c r="BU619" s="570"/>
      <c r="BV619" s="570"/>
      <c r="BW619" s="570"/>
      <c r="BX619" s="570"/>
      <c r="BY619" s="570"/>
      <c r="BZ619" s="571"/>
      <c r="CA619" s="571"/>
    </row>
    <row r="620" spans="2:79">
      <c r="B620" s="566">
        <v>605</v>
      </c>
      <c r="C620" s="308"/>
      <c r="D620" s="307"/>
      <c r="E620" s="307"/>
      <c r="F620" s="305"/>
      <c r="G620" s="305"/>
      <c r="H620" s="292"/>
      <c r="I620" s="574"/>
      <c r="J620" s="573"/>
      <c r="K620" s="307"/>
      <c r="L620" s="292"/>
      <c r="M620" s="308"/>
      <c r="N620" s="292"/>
      <c r="O620" s="308"/>
      <c r="P620" s="575"/>
      <c r="Q620" s="576"/>
      <c r="R620" s="308"/>
      <c r="S620" s="575"/>
      <c r="T620" s="576"/>
      <c r="U620" s="308"/>
      <c r="V620" s="575"/>
      <c r="W620" s="576"/>
      <c r="X620" s="308"/>
      <c r="Y620" s="575"/>
      <c r="Z620" s="576"/>
      <c r="AA620" s="308"/>
      <c r="AB620" s="575"/>
      <c r="AC620" s="576"/>
      <c r="AD620" s="308"/>
      <c r="AE620" s="575"/>
      <c r="AF620" s="308"/>
      <c r="AG620" s="575"/>
      <c r="AH620" s="308"/>
      <c r="AI620" s="575"/>
      <c r="AJ620" s="308"/>
      <c r="AK620" s="305"/>
      <c r="AL620" s="577"/>
      <c r="AM620" s="306"/>
      <c r="AN620" s="308"/>
      <c r="AO620" s="573"/>
      <c r="AP620" s="305"/>
      <c r="AQ620" s="308"/>
      <c r="AR620" s="573"/>
      <c r="AS620" s="578"/>
      <c r="AT620" s="577"/>
      <c r="AU620" s="579"/>
      <c r="AV620" s="578"/>
      <c r="AW620" s="308"/>
      <c r="AX620" s="307"/>
      <c r="AY620" s="307"/>
      <c r="AZ620" s="307"/>
      <c r="BA620" s="307"/>
      <c r="BB620" s="307"/>
      <c r="BC620" s="305"/>
      <c r="BD620" s="292"/>
      <c r="BE620" s="297"/>
      <c r="BF620" s="297"/>
      <c r="BG620" s="569"/>
      <c r="BH620" s="570"/>
      <c r="BI620" s="570"/>
      <c r="BJ620" s="570"/>
      <c r="BK620" s="570"/>
      <c r="BL620" s="570"/>
      <c r="BM620" s="570"/>
      <c r="BN620" s="570"/>
      <c r="BO620" s="570"/>
      <c r="BP620" s="570"/>
      <c r="BQ620" s="570"/>
      <c r="BR620" s="570"/>
      <c r="BS620" s="570"/>
      <c r="BT620" s="570"/>
      <c r="BU620" s="570"/>
      <c r="BV620" s="570"/>
      <c r="BW620" s="570"/>
      <c r="BX620" s="570"/>
      <c r="BY620" s="570"/>
      <c r="BZ620" s="571"/>
      <c r="CA620" s="571"/>
    </row>
    <row r="621" spans="2:79">
      <c r="B621" s="572">
        <v>606</v>
      </c>
      <c r="C621" s="308"/>
      <c r="D621" s="307"/>
      <c r="E621" s="307"/>
      <c r="F621" s="305"/>
      <c r="G621" s="305"/>
      <c r="H621" s="292"/>
      <c r="I621" s="574"/>
      <c r="J621" s="573"/>
      <c r="K621" s="307"/>
      <c r="L621" s="292"/>
      <c r="M621" s="308"/>
      <c r="N621" s="292"/>
      <c r="O621" s="308"/>
      <c r="P621" s="575"/>
      <c r="Q621" s="576"/>
      <c r="R621" s="308"/>
      <c r="S621" s="575"/>
      <c r="T621" s="576"/>
      <c r="U621" s="308"/>
      <c r="V621" s="575"/>
      <c r="W621" s="576"/>
      <c r="X621" s="308"/>
      <c r="Y621" s="575"/>
      <c r="Z621" s="576"/>
      <c r="AA621" s="308"/>
      <c r="AB621" s="575"/>
      <c r="AC621" s="576"/>
      <c r="AD621" s="308"/>
      <c r="AE621" s="575"/>
      <c r="AF621" s="308"/>
      <c r="AG621" s="575"/>
      <c r="AH621" s="308"/>
      <c r="AI621" s="575"/>
      <c r="AJ621" s="308"/>
      <c r="AK621" s="305"/>
      <c r="AL621" s="577"/>
      <c r="AM621" s="306"/>
      <c r="AN621" s="308"/>
      <c r="AO621" s="573"/>
      <c r="AP621" s="305"/>
      <c r="AQ621" s="308"/>
      <c r="AR621" s="573"/>
      <c r="AS621" s="578"/>
      <c r="AT621" s="577"/>
      <c r="AU621" s="579"/>
      <c r="AV621" s="578"/>
      <c r="AW621" s="308"/>
      <c r="AX621" s="307"/>
      <c r="AY621" s="307"/>
      <c r="AZ621" s="307"/>
      <c r="BA621" s="307"/>
      <c r="BB621" s="307"/>
      <c r="BC621" s="305"/>
      <c r="BD621" s="292"/>
      <c r="BE621" s="297"/>
      <c r="BF621" s="297"/>
      <c r="BG621" s="569"/>
      <c r="BH621" s="570"/>
      <c r="BI621" s="570"/>
      <c r="BJ621" s="570"/>
      <c r="BK621" s="570"/>
      <c r="BL621" s="570"/>
      <c r="BM621" s="570"/>
      <c r="BN621" s="570"/>
      <c r="BO621" s="570"/>
      <c r="BP621" s="570"/>
      <c r="BQ621" s="570"/>
      <c r="BR621" s="570"/>
      <c r="BS621" s="570"/>
      <c r="BT621" s="570"/>
      <c r="BU621" s="570"/>
      <c r="BV621" s="570"/>
      <c r="BW621" s="570"/>
      <c r="BX621" s="570"/>
      <c r="BY621" s="570"/>
      <c r="BZ621" s="571"/>
      <c r="CA621" s="571"/>
    </row>
    <row r="622" spans="2:79">
      <c r="B622" s="566">
        <v>607</v>
      </c>
      <c r="C622" s="308"/>
      <c r="D622" s="307"/>
      <c r="E622" s="307"/>
      <c r="F622" s="305"/>
      <c r="G622" s="305"/>
      <c r="H622" s="292"/>
      <c r="I622" s="574"/>
      <c r="J622" s="573"/>
      <c r="K622" s="307"/>
      <c r="L622" s="292"/>
      <c r="M622" s="308"/>
      <c r="N622" s="292"/>
      <c r="O622" s="308"/>
      <c r="P622" s="575"/>
      <c r="Q622" s="576"/>
      <c r="R622" s="308"/>
      <c r="S622" s="575"/>
      <c r="T622" s="576"/>
      <c r="U622" s="308"/>
      <c r="V622" s="575"/>
      <c r="W622" s="576"/>
      <c r="X622" s="308"/>
      <c r="Y622" s="575"/>
      <c r="Z622" s="576"/>
      <c r="AA622" s="308"/>
      <c r="AB622" s="575"/>
      <c r="AC622" s="576"/>
      <c r="AD622" s="308"/>
      <c r="AE622" s="575"/>
      <c r="AF622" s="308"/>
      <c r="AG622" s="575"/>
      <c r="AH622" s="308"/>
      <c r="AI622" s="575"/>
      <c r="AJ622" s="308"/>
      <c r="AK622" s="305"/>
      <c r="AL622" s="577"/>
      <c r="AM622" s="306"/>
      <c r="AN622" s="308"/>
      <c r="AO622" s="573"/>
      <c r="AP622" s="305"/>
      <c r="AQ622" s="308"/>
      <c r="AR622" s="573"/>
      <c r="AS622" s="578"/>
      <c r="AT622" s="577"/>
      <c r="AU622" s="579"/>
      <c r="AV622" s="578"/>
      <c r="AW622" s="308"/>
      <c r="AX622" s="307"/>
      <c r="AY622" s="307"/>
      <c r="AZ622" s="307"/>
      <c r="BA622" s="307"/>
      <c r="BB622" s="307"/>
      <c r="BC622" s="305"/>
      <c r="BD622" s="292"/>
      <c r="BE622" s="297"/>
      <c r="BF622" s="297"/>
      <c r="BG622" s="569"/>
      <c r="BH622" s="570"/>
      <c r="BI622" s="570"/>
      <c r="BJ622" s="570"/>
      <c r="BK622" s="570"/>
      <c r="BL622" s="570"/>
      <c r="BM622" s="570"/>
      <c r="BN622" s="570"/>
      <c r="BO622" s="570"/>
      <c r="BP622" s="570"/>
      <c r="BQ622" s="570"/>
      <c r="BR622" s="570"/>
      <c r="BS622" s="570"/>
      <c r="BT622" s="570"/>
      <c r="BU622" s="570"/>
      <c r="BV622" s="570"/>
      <c r="BW622" s="570"/>
      <c r="BX622" s="570"/>
      <c r="BY622" s="570"/>
      <c r="BZ622" s="571"/>
      <c r="CA622" s="571"/>
    </row>
    <row r="623" spans="2:79">
      <c r="B623" s="572">
        <v>608</v>
      </c>
      <c r="C623" s="308"/>
      <c r="D623" s="307"/>
      <c r="E623" s="307"/>
      <c r="F623" s="305"/>
      <c r="G623" s="305"/>
      <c r="H623" s="292"/>
      <c r="I623" s="574"/>
      <c r="J623" s="573"/>
      <c r="K623" s="307"/>
      <c r="L623" s="292"/>
      <c r="M623" s="308"/>
      <c r="N623" s="292"/>
      <c r="O623" s="308"/>
      <c r="P623" s="575"/>
      <c r="Q623" s="576"/>
      <c r="R623" s="308"/>
      <c r="S623" s="575"/>
      <c r="T623" s="576"/>
      <c r="U623" s="308"/>
      <c r="V623" s="575"/>
      <c r="W623" s="576"/>
      <c r="X623" s="308"/>
      <c r="Y623" s="575"/>
      <c r="Z623" s="576"/>
      <c r="AA623" s="308"/>
      <c r="AB623" s="575"/>
      <c r="AC623" s="576"/>
      <c r="AD623" s="308"/>
      <c r="AE623" s="575"/>
      <c r="AF623" s="308"/>
      <c r="AG623" s="575"/>
      <c r="AH623" s="308"/>
      <c r="AI623" s="575"/>
      <c r="AJ623" s="308"/>
      <c r="AK623" s="305"/>
      <c r="AL623" s="577"/>
      <c r="AM623" s="306"/>
      <c r="AN623" s="308"/>
      <c r="AO623" s="573"/>
      <c r="AP623" s="305"/>
      <c r="AQ623" s="308"/>
      <c r="AR623" s="573"/>
      <c r="AS623" s="578"/>
      <c r="AT623" s="577"/>
      <c r="AU623" s="579"/>
      <c r="AV623" s="578"/>
      <c r="AW623" s="308"/>
      <c r="AX623" s="307"/>
      <c r="AY623" s="307"/>
      <c r="AZ623" s="307"/>
      <c r="BA623" s="307"/>
      <c r="BB623" s="307"/>
      <c r="BC623" s="305"/>
      <c r="BD623" s="292"/>
      <c r="BE623" s="297"/>
      <c r="BF623" s="297"/>
      <c r="BG623" s="569"/>
      <c r="BH623" s="570"/>
      <c r="BI623" s="570"/>
      <c r="BJ623" s="570"/>
      <c r="BK623" s="570"/>
      <c r="BL623" s="570"/>
      <c r="BM623" s="570"/>
      <c r="BN623" s="570"/>
      <c r="BO623" s="570"/>
      <c r="BP623" s="570"/>
      <c r="BQ623" s="570"/>
      <c r="BR623" s="570"/>
      <c r="BS623" s="570"/>
      <c r="BT623" s="570"/>
      <c r="BU623" s="570"/>
      <c r="BV623" s="570"/>
      <c r="BW623" s="570"/>
      <c r="BX623" s="570"/>
      <c r="BY623" s="570"/>
      <c r="BZ623" s="571"/>
      <c r="CA623" s="571"/>
    </row>
    <row r="624" spans="2:79">
      <c r="B624" s="566">
        <v>609</v>
      </c>
      <c r="C624" s="308"/>
      <c r="D624" s="307"/>
      <c r="E624" s="307"/>
      <c r="F624" s="305"/>
      <c r="G624" s="305"/>
      <c r="H624" s="292"/>
      <c r="I624" s="574"/>
      <c r="J624" s="573"/>
      <c r="K624" s="307"/>
      <c r="L624" s="292"/>
      <c r="M624" s="308"/>
      <c r="N624" s="292"/>
      <c r="O624" s="308"/>
      <c r="P624" s="575"/>
      <c r="Q624" s="576"/>
      <c r="R624" s="308"/>
      <c r="S624" s="575"/>
      <c r="T624" s="576"/>
      <c r="U624" s="308"/>
      <c r="V624" s="575"/>
      <c r="W624" s="576"/>
      <c r="X624" s="308"/>
      <c r="Y624" s="575"/>
      <c r="Z624" s="576"/>
      <c r="AA624" s="308"/>
      <c r="AB624" s="575"/>
      <c r="AC624" s="576"/>
      <c r="AD624" s="308"/>
      <c r="AE624" s="575"/>
      <c r="AF624" s="308"/>
      <c r="AG624" s="575"/>
      <c r="AH624" s="308"/>
      <c r="AI624" s="575"/>
      <c r="AJ624" s="308"/>
      <c r="AK624" s="305"/>
      <c r="AL624" s="577"/>
      <c r="AM624" s="306"/>
      <c r="AN624" s="308"/>
      <c r="AO624" s="573"/>
      <c r="AP624" s="305"/>
      <c r="AQ624" s="308"/>
      <c r="AR624" s="573"/>
      <c r="AS624" s="578"/>
      <c r="AT624" s="577"/>
      <c r="AU624" s="579"/>
      <c r="AV624" s="578"/>
      <c r="AW624" s="308"/>
      <c r="AX624" s="307"/>
      <c r="AY624" s="307"/>
      <c r="AZ624" s="307"/>
      <c r="BA624" s="307"/>
      <c r="BB624" s="307"/>
      <c r="BC624" s="305"/>
      <c r="BD624" s="292"/>
      <c r="BE624" s="297"/>
      <c r="BF624" s="297"/>
      <c r="BG624" s="569"/>
      <c r="BH624" s="570"/>
      <c r="BI624" s="570"/>
      <c r="BJ624" s="570"/>
      <c r="BK624" s="570"/>
      <c r="BL624" s="570"/>
      <c r="BM624" s="570"/>
      <c r="BN624" s="570"/>
      <c r="BO624" s="570"/>
      <c r="BP624" s="570"/>
      <c r="BQ624" s="570"/>
      <c r="BR624" s="570"/>
      <c r="BS624" s="570"/>
      <c r="BT624" s="570"/>
      <c r="BU624" s="570"/>
      <c r="BV624" s="570"/>
      <c r="BW624" s="570"/>
      <c r="BX624" s="570"/>
      <c r="BY624" s="570"/>
      <c r="BZ624" s="571"/>
      <c r="CA624" s="571"/>
    </row>
    <row r="625" spans="2:79">
      <c r="B625" s="572">
        <v>610</v>
      </c>
      <c r="C625" s="308"/>
      <c r="D625" s="307"/>
      <c r="E625" s="307"/>
      <c r="F625" s="305"/>
      <c r="G625" s="305"/>
      <c r="H625" s="292"/>
      <c r="I625" s="574"/>
      <c r="J625" s="573"/>
      <c r="K625" s="307"/>
      <c r="L625" s="292"/>
      <c r="M625" s="308"/>
      <c r="N625" s="292"/>
      <c r="O625" s="308"/>
      <c r="P625" s="575"/>
      <c r="Q625" s="576"/>
      <c r="R625" s="308"/>
      <c r="S625" s="575"/>
      <c r="T625" s="576"/>
      <c r="U625" s="308"/>
      <c r="V625" s="575"/>
      <c r="W625" s="576"/>
      <c r="X625" s="308"/>
      <c r="Y625" s="575"/>
      <c r="Z625" s="576"/>
      <c r="AA625" s="308"/>
      <c r="AB625" s="575"/>
      <c r="AC625" s="576"/>
      <c r="AD625" s="308"/>
      <c r="AE625" s="575"/>
      <c r="AF625" s="308"/>
      <c r="AG625" s="575"/>
      <c r="AH625" s="308"/>
      <c r="AI625" s="575"/>
      <c r="AJ625" s="308"/>
      <c r="AK625" s="305"/>
      <c r="AL625" s="577"/>
      <c r="AM625" s="306"/>
      <c r="AN625" s="308"/>
      <c r="AO625" s="573"/>
      <c r="AP625" s="305"/>
      <c r="AQ625" s="308"/>
      <c r="AR625" s="573"/>
      <c r="AS625" s="578"/>
      <c r="AT625" s="577"/>
      <c r="AU625" s="579"/>
      <c r="AV625" s="578"/>
      <c r="AW625" s="308"/>
      <c r="AX625" s="307"/>
      <c r="AY625" s="307"/>
      <c r="AZ625" s="307"/>
      <c r="BA625" s="307"/>
      <c r="BB625" s="307"/>
      <c r="BC625" s="305"/>
      <c r="BD625" s="292"/>
      <c r="BE625" s="297"/>
      <c r="BF625" s="297"/>
      <c r="BG625" s="569"/>
      <c r="BH625" s="570"/>
      <c r="BI625" s="570"/>
      <c r="BJ625" s="570"/>
      <c r="BK625" s="570"/>
      <c r="BL625" s="570"/>
      <c r="BM625" s="570"/>
      <c r="BN625" s="570"/>
      <c r="BO625" s="570"/>
      <c r="BP625" s="570"/>
      <c r="BQ625" s="570"/>
      <c r="BR625" s="570"/>
      <c r="BS625" s="570"/>
      <c r="BT625" s="570"/>
      <c r="BU625" s="570"/>
      <c r="BV625" s="570"/>
      <c r="BW625" s="570"/>
      <c r="BX625" s="570"/>
      <c r="BY625" s="570"/>
      <c r="BZ625" s="571"/>
      <c r="CA625" s="571"/>
    </row>
    <row r="626" spans="2:79">
      <c r="B626" s="566">
        <v>611</v>
      </c>
      <c r="C626" s="308"/>
      <c r="D626" s="307"/>
      <c r="E626" s="307"/>
      <c r="F626" s="305"/>
      <c r="G626" s="305"/>
      <c r="H626" s="292"/>
      <c r="I626" s="574"/>
      <c r="J626" s="573"/>
      <c r="K626" s="307"/>
      <c r="L626" s="292"/>
      <c r="M626" s="308"/>
      <c r="N626" s="292"/>
      <c r="O626" s="308"/>
      <c r="P626" s="575"/>
      <c r="Q626" s="576"/>
      <c r="R626" s="308"/>
      <c r="S626" s="575"/>
      <c r="T626" s="576"/>
      <c r="U626" s="308"/>
      <c r="V626" s="575"/>
      <c r="W626" s="576"/>
      <c r="X626" s="308"/>
      <c r="Y626" s="575"/>
      <c r="Z626" s="576"/>
      <c r="AA626" s="308"/>
      <c r="AB626" s="575"/>
      <c r="AC626" s="576"/>
      <c r="AD626" s="308"/>
      <c r="AE626" s="575"/>
      <c r="AF626" s="308"/>
      <c r="AG626" s="575"/>
      <c r="AH626" s="308"/>
      <c r="AI626" s="575"/>
      <c r="AJ626" s="308"/>
      <c r="AK626" s="305"/>
      <c r="AL626" s="577"/>
      <c r="AM626" s="306"/>
      <c r="AN626" s="308"/>
      <c r="AO626" s="573"/>
      <c r="AP626" s="305"/>
      <c r="AQ626" s="308"/>
      <c r="AR626" s="573"/>
      <c r="AS626" s="578"/>
      <c r="AT626" s="577"/>
      <c r="AU626" s="579"/>
      <c r="AV626" s="578"/>
      <c r="AW626" s="308"/>
      <c r="AX626" s="307"/>
      <c r="AY626" s="307"/>
      <c r="AZ626" s="307"/>
      <c r="BA626" s="307"/>
      <c r="BB626" s="307"/>
      <c r="BC626" s="305"/>
      <c r="BD626" s="292"/>
      <c r="BE626" s="297"/>
      <c r="BF626" s="297"/>
      <c r="BG626" s="569"/>
      <c r="BH626" s="570"/>
      <c r="BI626" s="570"/>
      <c r="BJ626" s="570"/>
      <c r="BK626" s="570"/>
      <c r="BL626" s="570"/>
      <c r="BM626" s="570"/>
      <c r="BN626" s="570"/>
      <c r="BO626" s="570"/>
      <c r="BP626" s="570"/>
      <c r="BQ626" s="570"/>
      <c r="BR626" s="570"/>
      <c r="BS626" s="570"/>
      <c r="BT626" s="570"/>
      <c r="BU626" s="570"/>
      <c r="BV626" s="570"/>
      <c r="BW626" s="570"/>
      <c r="BX626" s="570"/>
      <c r="BY626" s="570"/>
      <c r="BZ626" s="571"/>
      <c r="CA626" s="571"/>
    </row>
    <row r="627" spans="2:79">
      <c r="B627" s="572">
        <v>612</v>
      </c>
      <c r="C627" s="308"/>
      <c r="D627" s="307"/>
      <c r="E627" s="307"/>
      <c r="F627" s="305"/>
      <c r="G627" s="305"/>
      <c r="H627" s="292"/>
      <c r="I627" s="574"/>
      <c r="J627" s="573"/>
      <c r="K627" s="307"/>
      <c r="L627" s="292"/>
      <c r="M627" s="308"/>
      <c r="N627" s="292"/>
      <c r="O627" s="308"/>
      <c r="P627" s="575"/>
      <c r="Q627" s="576"/>
      <c r="R627" s="308"/>
      <c r="S627" s="575"/>
      <c r="T627" s="576"/>
      <c r="U627" s="308"/>
      <c r="V627" s="575"/>
      <c r="W627" s="576"/>
      <c r="X627" s="308"/>
      <c r="Y627" s="575"/>
      <c r="Z627" s="576"/>
      <c r="AA627" s="308"/>
      <c r="AB627" s="575"/>
      <c r="AC627" s="576"/>
      <c r="AD627" s="308"/>
      <c r="AE627" s="575"/>
      <c r="AF627" s="308"/>
      <c r="AG627" s="575"/>
      <c r="AH627" s="308"/>
      <c r="AI627" s="575"/>
      <c r="AJ627" s="308"/>
      <c r="AK627" s="305"/>
      <c r="AL627" s="577"/>
      <c r="AM627" s="306"/>
      <c r="AN627" s="308"/>
      <c r="AO627" s="573"/>
      <c r="AP627" s="305"/>
      <c r="AQ627" s="308"/>
      <c r="AR627" s="573"/>
      <c r="AS627" s="578"/>
      <c r="AT627" s="577"/>
      <c r="AU627" s="579"/>
      <c r="AV627" s="578"/>
      <c r="AW627" s="308"/>
      <c r="AX627" s="307"/>
      <c r="AY627" s="307"/>
      <c r="AZ627" s="307"/>
      <c r="BA627" s="307"/>
      <c r="BB627" s="307"/>
      <c r="BC627" s="305"/>
      <c r="BD627" s="292"/>
      <c r="BE627" s="297"/>
      <c r="BF627" s="297"/>
      <c r="BG627" s="569"/>
      <c r="BH627" s="570"/>
      <c r="BI627" s="570"/>
      <c r="BJ627" s="570"/>
      <c r="BK627" s="570"/>
      <c r="BL627" s="570"/>
      <c r="BM627" s="570"/>
      <c r="BN627" s="570"/>
      <c r="BO627" s="570"/>
      <c r="BP627" s="570"/>
      <c r="BQ627" s="570"/>
      <c r="BR627" s="570"/>
      <c r="BS627" s="570"/>
      <c r="BT627" s="570"/>
      <c r="BU627" s="570"/>
      <c r="BV627" s="570"/>
      <c r="BW627" s="570"/>
      <c r="BX627" s="570"/>
      <c r="BY627" s="570"/>
      <c r="BZ627" s="571"/>
      <c r="CA627" s="571"/>
    </row>
    <row r="628" spans="2:79">
      <c r="B628" s="566">
        <v>613</v>
      </c>
      <c r="C628" s="308"/>
      <c r="D628" s="307"/>
      <c r="E628" s="307"/>
      <c r="F628" s="305"/>
      <c r="G628" s="305"/>
      <c r="H628" s="292"/>
      <c r="I628" s="574"/>
      <c r="J628" s="573"/>
      <c r="K628" s="307"/>
      <c r="L628" s="292"/>
      <c r="M628" s="308"/>
      <c r="N628" s="292"/>
      <c r="O628" s="308"/>
      <c r="P628" s="575"/>
      <c r="Q628" s="576"/>
      <c r="R628" s="308"/>
      <c r="S628" s="575"/>
      <c r="T628" s="576"/>
      <c r="U628" s="308"/>
      <c r="V628" s="575"/>
      <c r="W628" s="576"/>
      <c r="X628" s="308"/>
      <c r="Y628" s="575"/>
      <c r="Z628" s="576"/>
      <c r="AA628" s="308"/>
      <c r="AB628" s="575"/>
      <c r="AC628" s="576"/>
      <c r="AD628" s="308"/>
      <c r="AE628" s="575"/>
      <c r="AF628" s="308"/>
      <c r="AG628" s="575"/>
      <c r="AH628" s="308"/>
      <c r="AI628" s="575"/>
      <c r="AJ628" s="308"/>
      <c r="AK628" s="305"/>
      <c r="AL628" s="577"/>
      <c r="AM628" s="306"/>
      <c r="AN628" s="308"/>
      <c r="AO628" s="573"/>
      <c r="AP628" s="305"/>
      <c r="AQ628" s="308"/>
      <c r="AR628" s="573"/>
      <c r="AS628" s="578"/>
      <c r="AT628" s="577"/>
      <c r="AU628" s="579"/>
      <c r="AV628" s="578"/>
      <c r="AW628" s="308"/>
      <c r="AX628" s="307"/>
      <c r="AY628" s="307"/>
      <c r="AZ628" s="307"/>
      <c r="BA628" s="307"/>
      <c r="BB628" s="307"/>
      <c r="BC628" s="305"/>
      <c r="BD628" s="292"/>
      <c r="BE628" s="297"/>
      <c r="BF628" s="297"/>
      <c r="BG628" s="569"/>
      <c r="BH628" s="570"/>
      <c r="BI628" s="570"/>
      <c r="BJ628" s="570"/>
      <c r="BK628" s="570"/>
      <c r="BL628" s="570"/>
      <c r="BM628" s="570"/>
      <c r="BN628" s="570"/>
      <c r="BO628" s="570"/>
      <c r="BP628" s="570"/>
      <c r="BQ628" s="570"/>
      <c r="BR628" s="570"/>
      <c r="BS628" s="570"/>
      <c r="BT628" s="570"/>
      <c r="BU628" s="570"/>
      <c r="BV628" s="570"/>
      <c r="BW628" s="570"/>
      <c r="BX628" s="570"/>
      <c r="BY628" s="570"/>
      <c r="BZ628" s="571"/>
      <c r="CA628" s="571"/>
    </row>
    <row r="629" spans="2:79">
      <c r="B629" s="572">
        <v>614</v>
      </c>
      <c r="C629" s="308"/>
      <c r="D629" s="307"/>
      <c r="E629" s="307"/>
      <c r="F629" s="305"/>
      <c r="G629" s="305"/>
      <c r="H629" s="292"/>
      <c r="I629" s="574"/>
      <c r="J629" s="573"/>
      <c r="K629" s="307"/>
      <c r="L629" s="292"/>
      <c r="M629" s="308"/>
      <c r="N629" s="292"/>
      <c r="O629" s="308"/>
      <c r="P629" s="575"/>
      <c r="Q629" s="576"/>
      <c r="R629" s="308"/>
      <c r="S629" s="575"/>
      <c r="T629" s="576"/>
      <c r="U629" s="308"/>
      <c r="V629" s="575"/>
      <c r="W629" s="576"/>
      <c r="X629" s="308"/>
      <c r="Y629" s="575"/>
      <c r="Z629" s="576"/>
      <c r="AA629" s="308"/>
      <c r="AB629" s="575"/>
      <c r="AC629" s="576"/>
      <c r="AD629" s="308"/>
      <c r="AE629" s="575"/>
      <c r="AF629" s="308"/>
      <c r="AG629" s="575"/>
      <c r="AH629" s="308"/>
      <c r="AI629" s="575"/>
      <c r="AJ629" s="308"/>
      <c r="AK629" s="305"/>
      <c r="AL629" s="577"/>
      <c r="AM629" s="306"/>
      <c r="AN629" s="308"/>
      <c r="AO629" s="573"/>
      <c r="AP629" s="305"/>
      <c r="AQ629" s="308"/>
      <c r="AR629" s="573"/>
      <c r="AS629" s="578"/>
      <c r="AT629" s="577"/>
      <c r="AU629" s="579"/>
      <c r="AV629" s="578"/>
      <c r="AW629" s="308"/>
      <c r="AX629" s="307"/>
      <c r="AY629" s="307"/>
      <c r="AZ629" s="307"/>
      <c r="BA629" s="307"/>
      <c r="BB629" s="307"/>
      <c r="BC629" s="305"/>
      <c r="BD629" s="292"/>
      <c r="BE629" s="297"/>
      <c r="BF629" s="297"/>
      <c r="BG629" s="569"/>
      <c r="BH629" s="570"/>
      <c r="BI629" s="570"/>
      <c r="BJ629" s="570"/>
      <c r="BK629" s="570"/>
      <c r="BL629" s="570"/>
      <c r="BM629" s="570"/>
      <c r="BN629" s="570"/>
      <c r="BO629" s="570"/>
      <c r="BP629" s="570"/>
      <c r="BQ629" s="570"/>
      <c r="BR629" s="570"/>
      <c r="BS629" s="570"/>
      <c r="BT629" s="570"/>
      <c r="BU629" s="570"/>
      <c r="BV629" s="570"/>
      <c r="BW629" s="570"/>
      <c r="BX629" s="570"/>
      <c r="BY629" s="570"/>
      <c r="BZ629" s="571"/>
      <c r="CA629" s="571"/>
    </row>
    <row r="630" spans="2:79">
      <c r="B630" s="566">
        <v>615</v>
      </c>
      <c r="C630" s="308"/>
      <c r="D630" s="307"/>
      <c r="E630" s="307"/>
      <c r="F630" s="305"/>
      <c r="G630" s="305"/>
      <c r="H630" s="292"/>
      <c r="I630" s="574"/>
      <c r="J630" s="573"/>
      <c r="K630" s="307"/>
      <c r="L630" s="292"/>
      <c r="M630" s="308"/>
      <c r="N630" s="292"/>
      <c r="O630" s="308"/>
      <c r="P630" s="575"/>
      <c r="Q630" s="576"/>
      <c r="R630" s="308"/>
      <c r="S630" s="575"/>
      <c r="T630" s="576"/>
      <c r="U630" s="308"/>
      <c r="V630" s="575"/>
      <c r="W630" s="576"/>
      <c r="X630" s="308"/>
      <c r="Y630" s="575"/>
      <c r="Z630" s="576"/>
      <c r="AA630" s="308"/>
      <c r="AB630" s="575"/>
      <c r="AC630" s="576"/>
      <c r="AD630" s="308"/>
      <c r="AE630" s="575"/>
      <c r="AF630" s="308"/>
      <c r="AG630" s="575"/>
      <c r="AH630" s="308"/>
      <c r="AI630" s="575"/>
      <c r="AJ630" s="308"/>
      <c r="AK630" s="305"/>
      <c r="AL630" s="577"/>
      <c r="AM630" s="306"/>
      <c r="AN630" s="308"/>
      <c r="AO630" s="573"/>
      <c r="AP630" s="305"/>
      <c r="AQ630" s="308"/>
      <c r="AR630" s="573"/>
      <c r="AS630" s="578"/>
      <c r="AT630" s="577"/>
      <c r="AU630" s="579"/>
      <c r="AV630" s="578"/>
      <c r="AW630" s="308"/>
      <c r="AX630" s="307"/>
      <c r="AY630" s="307"/>
      <c r="AZ630" s="307"/>
      <c r="BA630" s="307"/>
      <c r="BB630" s="307"/>
      <c r="BC630" s="305"/>
      <c r="BD630" s="292"/>
      <c r="BE630" s="297"/>
      <c r="BF630" s="297"/>
      <c r="BG630" s="569"/>
      <c r="BH630" s="570"/>
      <c r="BI630" s="570"/>
      <c r="BJ630" s="570"/>
      <c r="BK630" s="570"/>
      <c r="BL630" s="570"/>
      <c r="BM630" s="570"/>
      <c r="BN630" s="570"/>
      <c r="BO630" s="570"/>
      <c r="BP630" s="570"/>
      <c r="BQ630" s="570"/>
      <c r="BR630" s="570"/>
      <c r="BS630" s="570"/>
      <c r="BT630" s="570"/>
      <c r="BU630" s="570"/>
      <c r="BV630" s="570"/>
      <c r="BW630" s="570"/>
      <c r="BX630" s="570"/>
      <c r="BY630" s="570"/>
      <c r="BZ630" s="571"/>
      <c r="CA630" s="571"/>
    </row>
    <row r="631" spans="2:79">
      <c r="B631" s="572">
        <v>616</v>
      </c>
      <c r="C631" s="308"/>
      <c r="D631" s="307"/>
      <c r="E631" s="307"/>
      <c r="F631" s="305"/>
      <c r="G631" s="305"/>
      <c r="H631" s="292"/>
      <c r="I631" s="574"/>
      <c r="J631" s="573"/>
      <c r="K631" s="307"/>
      <c r="L631" s="292"/>
      <c r="M631" s="308"/>
      <c r="N631" s="292"/>
      <c r="O631" s="308"/>
      <c r="P631" s="575"/>
      <c r="Q631" s="576"/>
      <c r="R631" s="308"/>
      <c r="S631" s="575"/>
      <c r="T631" s="576"/>
      <c r="U631" s="308"/>
      <c r="V631" s="575"/>
      <c r="W631" s="576"/>
      <c r="X631" s="308"/>
      <c r="Y631" s="575"/>
      <c r="Z631" s="576"/>
      <c r="AA631" s="308"/>
      <c r="AB631" s="575"/>
      <c r="AC631" s="576"/>
      <c r="AD631" s="308"/>
      <c r="AE631" s="575"/>
      <c r="AF631" s="308"/>
      <c r="AG631" s="575"/>
      <c r="AH631" s="308"/>
      <c r="AI631" s="575"/>
      <c r="AJ631" s="308"/>
      <c r="AK631" s="305"/>
      <c r="AL631" s="577"/>
      <c r="AM631" s="306"/>
      <c r="AN631" s="308"/>
      <c r="AO631" s="573"/>
      <c r="AP631" s="305"/>
      <c r="AQ631" s="308"/>
      <c r="AR631" s="573"/>
      <c r="AS631" s="578"/>
      <c r="AT631" s="577"/>
      <c r="AU631" s="579"/>
      <c r="AV631" s="578"/>
      <c r="AW631" s="308"/>
      <c r="AX631" s="307"/>
      <c r="AY631" s="307"/>
      <c r="AZ631" s="307"/>
      <c r="BA631" s="307"/>
      <c r="BB631" s="307"/>
      <c r="BC631" s="305"/>
      <c r="BD631" s="292"/>
      <c r="BE631" s="297"/>
      <c r="BF631" s="297"/>
      <c r="BG631" s="569"/>
      <c r="BH631" s="570"/>
      <c r="BI631" s="570"/>
      <c r="BJ631" s="570"/>
      <c r="BK631" s="570"/>
      <c r="BL631" s="570"/>
      <c r="BM631" s="570"/>
      <c r="BN631" s="570"/>
      <c r="BO631" s="570"/>
      <c r="BP631" s="570"/>
      <c r="BQ631" s="570"/>
      <c r="BR631" s="570"/>
      <c r="BS631" s="570"/>
      <c r="BT631" s="570"/>
      <c r="BU631" s="570"/>
      <c r="BV631" s="570"/>
      <c r="BW631" s="570"/>
      <c r="BX631" s="570"/>
      <c r="BY631" s="570"/>
      <c r="BZ631" s="571"/>
      <c r="CA631" s="571"/>
    </row>
    <row r="632" spans="2:79">
      <c r="B632" s="566">
        <v>617</v>
      </c>
      <c r="C632" s="308"/>
      <c r="D632" s="307"/>
      <c r="E632" s="307"/>
      <c r="F632" s="305"/>
      <c r="G632" s="305"/>
      <c r="H632" s="292"/>
      <c r="I632" s="574"/>
      <c r="J632" s="573"/>
      <c r="K632" s="307"/>
      <c r="L632" s="292"/>
      <c r="M632" s="308"/>
      <c r="N632" s="292"/>
      <c r="O632" s="308"/>
      <c r="P632" s="575"/>
      <c r="Q632" s="576"/>
      <c r="R632" s="308"/>
      <c r="S632" s="575"/>
      <c r="T632" s="576"/>
      <c r="U632" s="308"/>
      <c r="V632" s="575"/>
      <c r="W632" s="576"/>
      <c r="X632" s="308"/>
      <c r="Y632" s="575"/>
      <c r="Z632" s="576"/>
      <c r="AA632" s="308"/>
      <c r="AB632" s="575"/>
      <c r="AC632" s="576"/>
      <c r="AD632" s="308"/>
      <c r="AE632" s="575"/>
      <c r="AF632" s="308"/>
      <c r="AG632" s="575"/>
      <c r="AH632" s="308"/>
      <c r="AI632" s="575"/>
      <c r="AJ632" s="308"/>
      <c r="AK632" s="305"/>
      <c r="AL632" s="577"/>
      <c r="AM632" s="306"/>
      <c r="AN632" s="308"/>
      <c r="AO632" s="573"/>
      <c r="AP632" s="305"/>
      <c r="AQ632" s="308"/>
      <c r="AR632" s="573"/>
      <c r="AS632" s="578"/>
      <c r="AT632" s="577"/>
      <c r="AU632" s="579"/>
      <c r="AV632" s="578"/>
      <c r="AW632" s="308"/>
      <c r="AX632" s="307"/>
      <c r="AY632" s="307"/>
      <c r="AZ632" s="307"/>
      <c r="BA632" s="307"/>
      <c r="BB632" s="307"/>
      <c r="BC632" s="305"/>
      <c r="BD632" s="292"/>
      <c r="BE632" s="297"/>
      <c r="BF632" s="297"/>
      <c r="BG632" s="569"/>
      <c r="BH632" s="570"/>
      <c r="BI632" s="570"/>
      <c r="BJ632" s="570"/>
      <c r="BK632" s="570"/>
      <c r="BL632" s="570"/>
      <c r="BM632" s="570"/>
      <c r="BN632" s="570"/>
      <c r="BO632" s="570"/>
      <c r="BP632" s="570"/>
      <c r="BQ632" s="570"/>
      <c r="BR632" s="570"/>
      <c r="BS632" s="570"/>
      <c r="BT632" s="570"/>
      <c r="BU632" s="570"/>
      <c r="BV632" s="570"/>
      <c r="BW632" s="570"/>
      <c r="BX632" s="570"/>
      <c r="BY632" s="570"/>
      <c r="BZ632" s="571"/>
      <c r="CA632" s="571"/>
    </row>
    <row r="633" spans="2:79">
      <c r="B633" s="572">
        <v>618</v>
      </c>
      <c r="C633" s="308"/>
      <c r="D633" s="307"/>
      <c r="E633" s="307"/>
      <c r="F633" s="305"/>
      <c r="G633" s="305"/>
      <c r="H633" s="292"/>
      <c r="I633" s="574"/>
      <c r="J633" s="573"/>
      <c r="K633" s="307"/>
      <c r="L633" s="292"/>
      <c r="M633" s="308"/>
      <c r="N633" s="292"/>
      <c r="O633" s="308"/>
      <c r="P633" s="575"/>
      <c r="Q633" s="576"/>
      <c r="R633" s="308"/>
      <c r="S633" s="575"/>
      <c r="T633" s="576"/>
      <c r="U633" s="308"/>
      <c r="V633" s="575"/>
      <c r="W633" s="576"/>
      <c r="X633" s="308"/>
      <c r="Y633" s="575"/>
      <c r="Z633" s="576"/>
      <c r="AA633" s="308"/>
      <c r="AB633" s="575"/>
      <c r="AC633" s="576"/>
      <c r="AD633" s="308"/>
      <c r="AE633" s="575"/>
      <c r="AF633" s="308"/>
      <c r="AG633" s="575"/>
      <c r="AH633" s="308"/>
      <c r="AI633" s="575"/>
      <c r="AJ633" s="308"/>
      <c r="AK633" s="305"/>
      <c r="AL633" s="577"/>
      <c r="AM633" s="306"/>
      <c r="AN633" s="308"/>
      <c r="AO633" s="573"/>
      <c r="AP633" s="305"/>
      <c r="AQ633" s="308"/>
      <c r="AR633" s="573"/>
      <c r="AS633" s="578"/>
      <c r="AT633" s="577"/>
      <c r="AU633" s="579"/>
      <c r="AV633" s="578"/>
      <c r="AW633" s="308"/>
      <c r="AX633" s="307"/>
      <c r="AY633" s="307"/>
      <c r="AZ633" s="307"/>
      <c r="BA633" s="307"/>
      <c r="BB633" s="307"/>
      <c r="BC633" s="305"/>
      <c r="BD633" s="292"/>
      <c r="BE633" s="297"/>
      <c r="BF633" s="297"/>
      <c r="BG633" s="569"/>
      <c r="BH633" s="570"/>
      <c r="BI633" s="570"/>
      <c r="BJ633" s="570"/>
      <c r="BK633" s="570"/>
      <c r="BL633" s="570"/>
      <c r="BM633" s="570"/>
      <c r="BN633" s="570"/>
      <c r="BO633" s="570"/>
      <c r="BP633" s="570"/>
      <c r="BQ633" s="570"/>
      <c r="BR633" s="570"/>
      <c r="BS633" s="570"/>
      <c r="BT633" s="570"/>
      <c r="BU633" s="570"/>
      <c r="BV633" s="570"/>
      <c r="BW633" s="570"/>
      <c r="BX633" s="570"/>
      <c r="BY633" s="570"/>
      <c r="BZ633" s="571"/>
      <c r="CA633" s="571"/>
    </row>
    <row r="634" spans="2:79">
      <c r="B634" s="566">
        <v>619</v>
      </c>
      <c r="C634" s="308"/>
      <c r="D634" s="307"/>
      <c r="E634" s="307"/>
      <c r="F634" s="305"/>
      <c r="G634" s="305"/>
      <c r="H634" s="292"/>
      <c r="I634" s="574"/>
      <c r="J634" s="573"/>
      <c r="K634" s="307"/>
      <c r="L634" s="292"/>
      <c r="M634" s="308"/>
      <c r="N634" s="292"/>
      <c r="O634" s="308"/>
      <c r="P634" s="575"/>
      <c r="Q634" s="576"/>
      <c r="R634" s="308"/>
      <c r="S634" s="575"/>
      <c r="T634" s="576"/>
      <c r="U634" s="308"/>
      <c r="V634" s="575"/>
      <c r="W634" s="576"/>
      <c r="X634" s="308"/>
      <c r="Y634" s="575"/>
      <c r="Z634" s="576"/>
      <c r="AA634" s="308"/>
      <c r="AB634" s="575"/>
      <c r="AC634" s="576"/>
      <c r="AD634" s="308"/>
      <c r="AE634" s="575"/>
      <c r="AF634" s="308"/>
      <c r="AG634" s="575"/>
      <c r="AH634" s="308"/>
      <c r="AI634" s="575"/>
      <c r="AJ634" s="308"/>
      <c r="AK634" s="305"/>
      <c r="AL634" s="577"/>
      <c r="AM634" s="306"/>
      <c r="AN634" s="308"/>
      <c r="AO634" s="573"/>
      <c r="AP634" s="305"/>
      <c r="AQ634" s="308"/>
      <c r="AR634" s="573"/>
      <c r="AS634" s="578"/>
      <c r="AT634" s="577"/>
      <c r="AU634" s="579"/>
      <c r="AV634" s="578"/>
      <c r="AW634" s="308"/>
      <c r="AX634" s="307"/>
      <c r="AY634" s="307"/>
      <c r="AZ634" s="307"/>
      <c r="BA634" s="307"/>
      <c r="BB634" s="307"/>
      <c r="BC634" s="305"/>
      <c r="BD634" s="292"/>
      <c r="BE634" s="297"/>
      <c r="BF634" s="297"/>
      <c r="BG634" s="569"/>
      <c r="BH634" s="570"/>
      <c r="BI634" s="570"/>
      <c r="BJ634" s="570"/>
      <c r="BK634" s="570"/>
      <c r="BL634" s="570"/>
      <c r="BM634" s="570"/>
      <c r="BN634" s="570"/>
      <c r="BO634" s="570"/>
      <c r="BP634" s="570"/>
      <c r="BQ634" s="570"/>
      <c r="BR634" s="570"/>
      <c r="BS634" s="570"/>
      <c r="BT634" s="570"/>
      <c r="BU634" s="570"/>
      <c r="BV634" s="570"/>
      <c r="BW634" s="570"/>
      <c r="BX634" s="570"/>
      <c r="BY634" s="570"/>
      <c r="BZ634" s="571"/>
      <c r="CA634" s="571"/>
    </row>
    <row r="635" spans="2:79">
      <c r="B635" s="572">
        <v>620</v>
      </c>
      <c r="C635" s="308"/>
      <c r="D635" s="307"/>
      <c r="E635" s="307"/>
      <c r="F635" s="305"/>
      <c r="G635" s="305"/>
      <c r="H635" s="292"/>
      <c r="I635" s="574"/>
      <c r="J635" s="573"/>
      <c r="K635" s="307"/>
      <c r="L635" s="292"/>
      <c r="M635" s="308"/>
      <c r="N635" s="292"/>
      <c r="O635" s="308"/>
      <c r="P635" s="575"/>
      <c r="Q635" s="576"/>
      <c r="R635" s="308"/>
      <c r="S635" s="575"/>
      <c r="T635" s="576"/>
      <c r="U635" s="308"/>
      <c r="V635" s="575"/>
      <c r="W635" s="576"/>
      <c r="X635" s="308"/>
      <c r="Y635" s="575"/>
      <c r="Z635" s="576"/>
      <c r="AA635" s="308"/>
      <c r="AB635" s="575"/>
      <c r="AC635" s="576"/>
      <c r="AD635" s="308"/>
      <c r="AE635" s="575"/>
      <c r="AF635" s="308"/>
      <c r="AG635" s="575"/>
      <c r="AH635" s="308"/>
      <c r="AI635" s="575"/>
      <c r="AJ635" s="308"/>
      <c r="AK635" s="305"/>
      <c r="AL635" s="577"/>
      <c r="AM635" s="306"/>
      <c r="AN635" s="308"/>
      <c r="AO635" s="573"/>
      <c r="AP635" s="305"/>
      <c r="AQ635" s="308"/>
      <c r="AR635" s="573"/>
      <c r="AS635" s="578"/>
      <c r="AT635" s="577"/>
      <c r="AU635" s="579"/>
      <c r="AV635" s="578"/>
      <c r="AW635" s="308"/>
      <c r="AX635" s="307"/>
      <c r="AY635" s="307"/>
      <c r="AZ635" s="307"/>
      <c r="BA635" s="307"/>
      <c r="BB635" s="307"/>
      <c r="BC635" s="305"/>
      <c r="BD635" s="292"/>
      <c r="BE635" s="297"/>
      <c r="BF635" s="297"/>
      <c r="BG635" s="569"/>
      <c r="BH635" s="570"/>
      <c r="BI635" s="570"/>
      <c r="BJ635" s="570"/>
      <c r="BK635" s="570"/>
      <c r="BL635" s="570"/>
      <c r="BM635" s="570"/>
      <c r="BN635" s="570"/>
      <c r="BO635" s="570"/>
      <c r="BP635" s="570"/>
      <c r="BQ635" s="570"/>
      <c r="BR635" s="570"/>
      <c r="BS635" s="570"/>
      <c r="BT635" s="570"/>
      <c r="BU635" s="570"/>
      <c r="BV635" s="570"/>
      <c r="BW635" s="570"/>
      <c r="BX635" s="570"/>
      <c r="BY635" s="570"/>
      <c r="BZ635" s="571"/>
      <c r="CA635" s="571"/>
    </row>
    <row r="636" spans="2:79">
      <c r="B636" s="566">
        <v>621</v>
      </c>
      <c r="C636" s="308"/>
      <c r="D636" s="307"/>
      <c r="E636" s="307"/>
      <c r="F636" s="305"/>
      <c r="G636" s="305"/>
      <c r="H636" s="292"/>
      <c r="I636" s="574"/>
      <c r="J636" s="573"/>
      <c r="K636" s="307"/>
      <c r="L636" s="292"/>
      <c r="M636" s="308"/>
      <c r="N636" s="292"/>
      <c r="O636" s="308"/>
      <c r="P636" s="575"/>
      <c r="Q636" s="576"/>
      <c r="R636" s="308"/>
      <c r="S636" s="575"/>
      <c r="T636" s="576"/>
      <c r="U636" s="308"/>
      <c r="V636" s="575"/>
      <c r="W636" s="576"/>
      <c r="X636" s="308"/>
      <c r="Y636" s="575"/>
      <c r="Z636" s="576"/>
      <c r="AA636" s="308"/>
      <c r="AB636" s="575"/>
      <c r="AC636" s="576"/>
      <c r="AD636" s="308"/>
      <c r="AE636" s="575"/>
      <c r="AF636" s="308"/>
      <c r="AG636" s="575"/>
      <c r="AH636" s="308"/>
      <c r="AI636" s="575"/>
      <c r="AJ636" s="308"/>
      <c r="AK636" s="305"/>
      <c r="AL636" s="577"/>
      <c r="AM636" s="306"/>
      <c r="AN636" s="308"/>
      <c r="AO636" s="573"/>
      <c r="AP636" s="305"/>
      <c r="AQ636" s="308"/>
      <c r="AR636" s="573"/>
      <c r="AS636" s="578"/>
      <c r="AT636" s="577"/>
      <c r="AU636" s="579"/>
      <c r="AV636" s="578"/>
      <c r="AW636" s="308"/>
      <c r="AX636" s="307"/>
      <c r="AY636" s="307"/>
      <c r="AZ636" s="307"/>
      <c r="BA636" s="307"/>
      <c r="BB636" s="307"/>
      <c r="BC636" s="305"/>
      <c r="BD636" s="292"/>
      <c r="BE636" s="297"/>
      <c r="BF636" s="297"/>
      <c r="BG636" s="569"/>
      <c r="BH636" s="570"/>
      <c r="BI636" s="570"/>
      <c r="BJ636" s="570"/>
      <c r="BK636" s="570"/>
      <c r="BL636" s="570"/>
      <c r="BM636" s="570"/>
      <c r="BN636" s="570"/>
      <c r="BO636" s="570"/>
      <c r="BP636" s="570"/>
      <c r="BQ636" s="570"/>
      <c r="BR636" s="570"/>
      <c r="BS636" s="570"/>
      <c r="BT636" s="570"/>
      <c r="BU636" s="570"/>
      <c r="BV636" s="570"/>
      <c r="BW636" s="570"/>
      <c r="BX636" s="570"/>
      <c r="BY636" s="570"/>
      <c r="BZ636" s="571"/>
      <c r="CA636" s="571"/>
    </row>
    <row r="637" spans="2:79">
      <c r="B637" s="572">
        <v>622</v>
      </c>
      <c r="C637" s="308"/>
      <c r="D637" s="307"/>
      <c r="E637" s="307"/>
      <c r="F637" s="305"/>
      <c r="G637" s="305"/>
      <c r="H637" s="292"/>
      <c r="I637" s="574"/>
      <c r="J637" s="573"/>
      <c r="K637" s="307"/>
      <c r="L637" s="292"/>
      <c r="M637" s="308"/>
      <c r="N637" s="292"/>
      <c r="O637" s="308"/>
      <c r="P637" s="575"/>
      <c r="Q637" s="576"/>
      <c r="R637" s="308"/>
      <c r="S637" s="575"/>
      <c r="T637" s="576"/>
      <c r="U637" s="308"/>
      <c r="V637" s="575"/>
      <c r="W637" s="576"/>
      <c r="X637" s="308"/>
      <c r="Y637" s="575"/>
      <c r="Z637" s="576"/>
      <c r="AA637" s="308"/>
      <c r="AB637" s="575"/>
      <c r="AC637" s="576"/>
      <c r="AD637" s="308"/>
      <c r="AE637" s="575"/>
      <c r="AF637" s="308"/>
      <c r="AG637" s="575"/>
      <c r="AH637" s="308"/>
      <c r="AI637" s="575"/>
      <c r="AJ637" s="308"/>
      <c r="AK637" s="305"/>
      <c r="AL637" s="577"/>
      <c r="AM637" s="306"/>
      <c r="AN637" s="308"/>
      <c r="AO637" s="573"/>
      <c r="AP637" s="305"/>
      <c r="AQ637" s="308"/>
      <c r="AR637" s="573"/>
      <c r="AS637" s="578"/>
      <c r="AT637" s="577"/>
      <c r="AU637" s="579"/>
      <c r="AV637" s="578"/>
      <c r="AW637" s="308"/>
      <c r="AX637" s="307"/>
      <c r="AY637" s="307"/>
      <c r="AZ637" s="307"/>
      <c r="BA637" s="307"/>
      <c r="BB637" s="307"/>
      <c r="BC637" s="305"/>
      <c r="BD637" s="292"/>
      <c r="BE637" s="297"/>
      <c r="BF637" s="297"/>
      <c r="BG637" s="569"/>
      <c r="BH637" s="570"/>
      <c r="BI637" s="570"/>
      <c r="BJ637" s="570"/>
      <c r="BK637" s="570"/>
      <c r="BL637" s="570"/>
      <c r="BM637" s="570"/>
      <c r="BN637" s="570"/>
      <c r="BO637" s="570"/>
      <c r="BP637" s="570"/>
      <c r="BQ637" s="570"/>
      <c r="BR637" s="570"/>
      <c r="BS637" s="570"/>
      <c r="BT637" s="570"/>
      <c r="BU637" s="570"/>
      <c r="BV637" s="570"/>
      <c r="BW637" s="570"/>
      <c r="BX637" s="570"/>
      <c r="BY637" s="570"/>
      <c r="BZ637" s="571"/>
      <c r="CA637" s="571"/>
    </row>
    <row r="638" spans="2:79">
      <c r="B638" s="566">
        <v>623</v>
      </c>
      <c r="C638" s="308"/>
      <c r="D638" s="307"/>
      <c r="E638" s="307"/>
      <c r="F638" s="305"/>
      <c r="G638" s="305"/>
      <c r="H638" s="292"/>
      <c r="I638" s="574"/>
      <c r="J638" s="573"/>
      <c r="K638" s="307"/>
      <c r="L638" s="292"/>
      <c r="M638" s="308"/>
      <c r="N638" s="292"/>
      <c r="O638" s="308"/>
      <c r="P638" s="575"/>
      <c r="Q638" s="576"/>
      <c r="R638" s="308"/>
      <c r="S638" s="575"/>
      <c r="T638" s="576"/>
      <c r="U638" s="308"/>
      <c r="V638" s="575"/>
      <c r="W638" s="576"/>
      <c r="X638" s="308"/>
      <c r="Y638" s="575"/>
      <c r="Z638" s="576"/>
      <c r="AA638" s="308"/>
      <c r="AB638" s="575"/>
      <c r="AC638" s="576"/>
      <c r="AD638" s="308"/>
      <c r="AE638" s="575"/>
      <c r="AF638" s="308"/>
      <c r="AG638" s="575"/>
      <c r="AH638" s="308"/>
      <c r="AI638" s="575"/>
      <c r="AJ638" s="308"/>
      <c r="AK638" s="305"/>
      <c r="AL638" s="577"/>
      <c r="AM638" s="306"/>
      <c r="AN638" s="308"/>
      <c r="AO638" s="573"/>
      <c r="AP638" s="305"/>
      <c r="AQ638" s="308"/>
      <c r="AR638" s="573"/>
      <c r="AS638" s="578"/>
      <c r="AT638" s="577"/>
      <c r="AU638" s="579"/>
      <c r="AV638" s="578"/>
      <c r="AW638" s="308"/>
      <c r="AX638" s="307"/>
      <c r="AY638" s="307"/>
      <c r="AZ638" s="307"/>
      <c r="BA638" s="307"/>
      <c r="BB638" s="307"/>
      <c r="BC638" s="305"/>
      <c r="BD638" s="292"/>
      <c r="BE638" s="297"/>
      <c r="BF638" s="297"/>
      <c r="BG638" s="569"/>
      <c r="BH638" s="570"/>
      <c r="BI638" s="570"/>
      <c r="BJ638" s="570"/>
      <c r="BK638" s="570"/>
      <c r="BL638" s="570"/>
      <c r="BM638" s="570"/>
      <c r="BN638" s="570"/>
      <c r="BO638" s="570"/>
      <c r="BP638" s="570"/>
      <c r="BQ638" s="570"/>
      <c r="BR638" s="570"/>
      <c r="BS638" s="570"/>
      <c r="BT638" s="570"/>
      <c r="BU638" s="570"/>
      <c r="BV638" s="570"/>
      <c r="BW638" s="570"/>
      <c r="BX638" s="570"/>
      <c r="BY638" s="570"/>
      <c r="BZ638" s="571"/>
      <c r="CA638" s="571"/>
    </row>
    <row r="639" spans="2:79">
      <c r="B639" s="572">
        <v>624</v>
      </c>
      <c r="C639" s="308"/>
      <c r="D639" s="307"/>
      <c r="E639" s="307"/>
      <c r="F639" s="305"/>
      <c r="G639" s="305"/>
      <c r="H639" s="292"/>
      <c r="I639" s="574"/>
      <c r="J639" s="573"/>
      <c r="K639" s="307"/>
      <c r="L639" s="292"/>
      <c r="M639" s="308"/>
      <c r="N639" s="292"/>
      <c r="O639" s="308"/>
      <c r="P639" s="575"/>
      <c r="Q639" s="576"/>
      <c r="R639" s="308"/>
      <c r="S639" s="575"/>
      <c r="T639" s="576"/>
      <c r="U639" s="308"/>
      <c r="V639" s="575"/>
      <c r="W639" s="576"/>
      <c r="X639" s="308"/>
      <c r="Y639" s="575"/>
      <c r="Z639" s="576"/>
      <c r="AA639" s="308"/>
      <c r="AB639" s="575"/>
      <c r="AC639" s="576"/>
      <c r="AD639" s="308"/>
      <c r="AE639" s="575"/>
      <c r="AF639" s="308"/>
      <c r="AG639" s="575"/>
      <c r="AH639" s="308"/>
      <c r="AI639" s="575"/>
      <c r="AJ639" s="308"/>
      <c r="AK639" s="305"/>
      <c r="AL639" s="577"/>
      <c r="AM639" s="306"/>
      <c r="AN639" s="308"/>
      <c r="AO639" s="573"/>
      <c r="AP639" s="305"/>
      <c r="AQ639" s="308"/>
      <c r="AR639" s="573"/>
      <c r="AS639" s="578"/>
      <c r="AT639" s="577"/>
      <c r="AU639" s="579"/>
      <c r="AV639" s="578"/>
      <c r="AW639" s="308"/>
      <c r="AX639" s="307"/>
      <c r="AY639" s="307"/>
      <c r="AZ639" s="307"/>
      <c r="BA639" s="307"/>
      <c r="BB639" s="307"/>
      <c r="BC639" s="305"/>
      <c r="BD639" s="292"/>
      <c r="BE639" s="297"/>
      <c r="BF639" s="297"/>
      <c r="BG639" s="569"/>
      <c r="BH639" s="570"/>
      <c r="BI639" s="570"/>
      <c r="BJ639" s="570"/>
      <c r="BK639" s="570"/>
      <c r="BL639" s="570"/>
      <c r="BM639" s="570"/>
      <c r="BN639" s="570"/>
      <c r="BO639" s="570"/>
      <c r="BP639" s="570"/>
      <c r="BQ639" s="570"/>
      <c r="BR639" s="570"/>
      <c r="BS639" s="570"/>
      <c r="BT639" s="570"/>
      <c r="BU639" s="570"/>
      <c r="BV639" s="570"/>
      <c r="BW639" s="570"/>
      <c r="BX639" s="570"/>
      <c r="BY639" s="570"/>
      <c r="BZ639" s="571"/>
      <c r="CA639" s="571"/>
    </row>
    <row r="640" spans="2:79">
      <c r="B640" s="566">
        <v>625</v>
      </c>
      <c r="C640" s="308"/>
      <c r="D640" s="307"/>
      <c r="E640" s="307"/>
      <c r="F640" s="305"/>
      <c r="G640" s="305"/>
      <c r="H640" s="292"/>
      <c r="I640" s="574"/>
      <c r="J640" s="573"/>
      <c r="K640" s="307"/>
      <c r="L640" s="292"/>
      <c r="M640" s="308"/>
      <c r="N640" s="292"/>
      <c r="O640" s="308"/>
      <c r="P640" s="575"/>
      <c r="Q640" s="576"/>
      <c r="R640" s="308"/>
      <c r="S640" s="575"/>
      <c r="T640" s="576"/>
      <c r="U640" s="308"/>
      <c r="V640" s="575"/>
      <c r="W640" s="576"/>
      <c r="X640" s="308"/>
      <c r="Y640" s="575"/>
      <c r="Z640" s="576"/>
      <c r="AA640" s="308"/>
      <c r="AB640" s="575"/>
      <c r="AC640" s="576"/>
      <c r="AD640" s="308"/>
      <c r="AE640" s="575"/>
      <c r="AF640" s="308"/>
      <c r="AG640" s="575"/>
      <c r="AH640" s="308"/>
      <c r="AI640" s="575"/>
      <c r="AJ640" s="308"/>
      <c r="AK640" s="305"/>
      <c r="AL640" s="577"/>
      <c r="AM640" s="306"/>
      <c r="AN640" s="308"/>
      <c r="AO640" s="573"/>
      <c r="AP640" s="305"/>
      <c r="AQ640" s="308"/>
      <c r="AR640" s="573"/>
      <c r="AS640" s="578"/>
      <c r="AT640" s="577"/>
      <c r="AU640" s="579"/>
      <c r="AV640" s="578"/>
      <c r="AW640" s="308"/>
      <c r="AX640" s="307"/>
      <c r="AY640" s="307"/>
      <c r="AZ640" s="307"/>
      <c r="BA640" s="307"/>
      <c r="BB640" s="307"/>
      <c r="BC640" s="305"/>
      <c r="BD640" s="292"/>
      <c r="BE640" s="297"/>
      <c r="BF640" s="297"/>
      <c r="BG640" s="569"/>
      <c r="BH640" s="570"/>
      <c r="BI640" s="570"/>
      <c r="BJ640" s="570"/>
      <c r="BK640" s="570"/>
      <c r="BL640" s="570"/>
      <c r="BM640" s="570"/>
      <c r="BN640" s="570"/>
      <c r="BO640" s="570"/>
      <c r="BP640" s="570"/>
      <c r="BQ640" s="570"/>
      <c r="BR640" s="570"/>
      <c r="BS640" s="570"/>
      <c r="BT640" s="570"/>
      <c r="BU640" s="570"/>
      <c r="BV640" s="570"/>
      <c r="BW640" s="570"/>
      <c r="BX640" s="570"/>
      <c r="BY640" s="570"/>
      <c r="BZ640" s="571"/>
      <c r="CA640" s="571"/>
    </row>
    <row r="641" spans="2:79">
      <c r="B641" s="572">
        <v>626</v>
      </c>
      <c r="C641" s="308"/>
      <c r="D641" s="307"/>
      <c r="E641" s="307"/>
      <c r="F641" s="305"/>
      <c r="G641" s="305"/>
      <c r="H641" s="292"/>
      <c r="I641" s="574"/>
      <c r="J641" s="573"/>
      <c r="K641" s="307"/>
      <c r="L641" s="292"/>
      <c r="M641" s="308"/>
      <c r="N641" s="292"/>
      <c r="O641" s="308"/>
      <c r="P641" s="575"/>
      <c r="Q641" s="576"/>
      <c r="R641" s="308"/>
      <c r="S641" s="575"/>
      <c r="T641" s="576"/>
      <c r="U641" s="308"/>
      <c r="V641" s="575"/>
      <c r="W641" s="576"/>
      <c r="X641" s="308"/>
      <c r="Y641" s="575"/>
      <c r="Z641" s="576"/>
      <c r="AA641" s="308"/>
      <c r="AB641" s="575"/>
      <c r="AC641" s="576"/>
      <c r="AD641" s="308"/>
      <c r="AE641" s="575"/>
      <c r="AF641" s="308"/>
      <c r="AG641" s="575"/>
      <c r="AH641" s="308"/>
      <c r="AI641" s="575"/>
      <c r="AJ641" s="308"/>
      <c r="AK641" s="305"/>
      <c r="AL641" s="577"/>
      <c r="AM641" s="306"/>
      <c r="AN641" s="308"/>
      <c r="AO641" s="573"/>
      <c r="AP641" s="305"/>
      <c r="AQ641" s="308"/>
      <c r="AR641" s="573"/>
      <c r="AS641" s="578"/>
      <c r="AT641" s="577"/>
      <c r="AU641" s="579"/>
      <c r="AV641" s="578"/>
      <c r="AW641" s="308"/>
      <c r="AX641" s="307"/>
      <c r="AY641" s="307"/>
      <c r="AZ641" s="307"/>
      <c r="BA641" s="307"/>
      <c r="BB641" s="307"/>
      <c r="BC641" s="305"/>
      <c r="BD641" s="292"/>
      <c r="BE641" s="297"/>
      <c r="BF641" s="297"/>
      <c r="BG641" s="569"/>
      <c r="BH641" s="570"/>
      <c r="BI641" s="570"/>
      <c r="BJ641" s="570"/>
      <c r="BK641" s="570"/>
      <c r="BL641" s="570"/>
      <c r="BM641" s="570"/>
      <c r="BN641" s="570"/>
      <c r="BO641" s="570"/>
      <c r="BP641" s="570"/>
      <c r="BQ641" s="570"/>
      <c r="BR641" s="570"/>
      <c r="BS641" s="570"/>
      <c r="BT641" s="570"/>
      <c r="BU641" s="570"/>
      <c r="BV641" s="570"/>
      <c r="BW641" s="570"/>
      <c r="BX641" s="570"/>
      <c r="BY641" s="570"/>
      <c r="BZ641" s="571"/>
      <c r="CA641" s="571"/>
    </row>
    <row r="642" spans="2:79">
      <c r="B642" s="566">
        <v>627</v>
      </c>
      <c r="C642" s="308"/>
      <c r="D642" s="307"/>
      <c r="E642" s="307"/>
      <c r="F642" s="305"/>
      <c r="G642" s="305"/>
      <c r="H642" s="292"/>
      <c r="I642" s="574"/>
      <c r="J642" s="573"/>
      <c r="K642" s="307"/>
      <c r="L642" s="292"/>
      <c r="M642" s="308"/>
      <c r="N642" s="292"/>
      <c r="O642" s="308"/>
      <c r="P642" s="575"/>
      <c r="Q642" s="576"/>
      <c r="R642" s="308"/>
      <c r="S642" s="575"/>
      <c r="T642" s="576"/>
      <c r="U642" s="308"/>
      <c r="V642" s="575"/>
      <c r="W642" s="576"/>
      <c r="X642" s="308"/>
      <c r="Y642" s="575"/>
      <c r="Z642" s="576"/>
      <c r="AA642" s="308"/>
      <c r="AB642" s="575"/>
      <c r="AC642" s="576"/>
      <c r="AD642" s="308"/>
      <c r="AE642" s="575"/>
      <c r="AF642" s="308"/>
      <c r="AG642" s="575"/>
      <c r="AH642" s="308"/>
      <c r="AI642" s="575"/>
      <c r="AJ642" s="308"/>
      <c r="AK642" s="305"/>
      <c r="AL642" s="577"/>
      <c r="AM642" s="306"/>
      <c r="AN642" s="308"/>
      <c r="AO642" s="573"/>
      <c r="AP642" s="305"/>
      <c r="AQ642" s="308"/>
      <c r="AR642" s="573"/>
      <c r="AS642" s="578"/>
      <c r="AT642" s="577"/>
      <c r="AU642" s="579"/>
      <c r="AV642" s="578"/>
      <c r="AW642" s="308"/>
      <c r="AX642" s="307"/>
      <c r="AY642" s="307"/>
      <c r="AZ642" s="307"/>
      <c r="BA642" s="307"/>
      <c r="BB642" s="307"/>
      <c r="BC642" s="305"/>
      <c r="BD642" s="292"/>
      <c r="BE642" s="297"/>
      <c r="BF642" s="297"/>
      <c r="BG642" s="569"/>
      <c r="BH642" s="570"/>
      <c r="BI642" s="570"/>
      <c r="BJ642" s="570"/>
      <c r="BK642" s="570"/>
      <c r="BL642" s="570"/>
      <c r="BM642" s="570"/>
      <c r="BN642" s="570"/>
      <c r="BO642" s="570"/>
      <c r="BP642" s="570"/>
      <c r="BQ642" s="570"/>
      <c r="BR642" s="570"/>
      <c r="BS642" s="570"/>
      <c r="BT642" s="570"/>
      <c r="BU642" s="570"/>
      <c r="BV642" s="570"/>
      <c r="BW642" s="570"/>
      <c r="BX642" s="570"/>
      <c r="BY642" s="570"/>
      <c r="BZ642" s="571"/>
      <c r="CA642" s="571"/>
    </row>
    <row r="643" spans="2:79">
      <c r="B643" s="572">
        <v>628</v>
      </c>
      <c r="C643" s="308"/>
      <c r="D643" s="307"/>
      <c r="E643" s="307"/>
      <c r="F643" s="305"/>
      <c r="G643" s="305"/>
      <c r="H643" s="292"/>
      <c r="I643" s="574"/>
      <c r="J643" s="573"/>
      <c r="K643" s="307"/>
      <c r="L643" s="292"/>
      <c r="M643" s="308"/>
      <c r="N643" s="292"/>
      <c r="O643" s="308"/>
      <c r="P643" s="575"/>
      <c r="Q643" s="576"/>
      <c r="R643" s="308"/>
      <c r="S643" s="575"/>
      <c r="T643" s="576"/>
      <c r="U643" s="308"/>
      <c r="V643" s="575"/>
      <c r="W643" s="576"/>
      <c r="X643" s="308"/>
      <c r="Y643" s="575"/>
      <c r="Z643" s="576"/>
      <c r="AA643" s="308"/>
      <c r="AB643" s="575"/>
      <c r="AC643" s="576"/>
      <c r="AD643" s="308"/>
      <c r="AE643" s="575"/>
      <c r="AF643" s="308"/>
      <c r="AG643" s="575"/>
      <c r="AH643" s="308"/>
      <c r="AI643" s="575"/>
      <c r="AJ643" s="308"/>
      <c r="AK643" s="305"/>
      <c r="AL643" s="577"/>
      <c r="AM643" s="306"/>
      <c r="AN643" s="308"/>
      <c r="AO643" s="573"/>
      <c r="AP643" s="305"/>
      <c r="AQ643" s="308"/>
      <c r="AR643" s="573"/>
      <c r="AS643" s="578"/>
      <c r="AT643" s="577"/>
      <c r="AU643" s="579"/>
      <c r="AV643" s="578"/>
      <c r="AW643" s="308"/>
      <c r="AX643" s="307"/>
      <c r="AY643" s="307"/>
      <c r="AZ643" s="307"/>
      <c r="BA643" s="307"/>
      <c r="BB643" s="307"/>
      <c r="BC643" s="305"/>
      <c r="BD643" s="292"/>
      <c r="BE643" s="297"/>
      <c r="BF643" s="297"/>
      <c r="BG643" s="569"/>
      <c r="BH643" s="570"/>
      <c r="BI643" s="570"/>
      <c r="BJ643" s="570"/>
      <c r="BK643" s="570"/>
      <c r="BL643" s="570"/>
      <c r="BM643" s="570"/>
      <c r="BN643" s="570"/>
      <c r="BO643" s="570"/>
      <c r="BP643" s="570"/>
      <c r="BQ643" s="570"/>
      <c r="BR643" s="570"/>
      <c r="BS643" s="570"/>
      <c r="BT643" s="570"/>
      <c r="BU643" s="570"/>
      <c r="BV643" s="570"/>
      <c r="BW643" s="570"/>
      <c r="BX643" s="570"/>
      <c r="BY643" s="570"/>
      <c r="BZ643" s="571"/>
      <c r="CA643" s="571"/>
    </row>
    <row r="644" spans="2:79">
      <c r="B644" s="566">
        <v>629</v>
      </c>
      <c r="C644" s="308"/>
      <c r="D644" s="307"/>
      <c r="E644" s="307"/>
      <c r="F644" s="305"/>
      <c r="G644" s="305"/>
      <c r="H644" s="292"/>
      <c r="I644" s="574"/>
      <c r="J644" s="573"/>
      <c r="K644" s="307"/>
      <c r="L644" s="292"/>
      <c r="M644" s="308"/>
      <c r="N644" s="292"/>
      <c r="O644" s="308"/>
      <c r="P644" s="575"/>
      <c r="Q644" s="576"/>
      <c r="R644" s="308"/>
      <c r="S644" s="575"/>
      <c r="T644" s="576"/>
      <c r="U644" s="308"/>
      <c r="V644" s="575"/>
      <c r="W644" s="576"/>
      <c r="X644" s="308"/>
      <c r="Y644" s="575"/>
      <c r="Z644" s="576"/>
      <c r="AA644" s="308"/>
      <c r="AB644" s="575"/>
      <c r="AC644" s="576"/>
      <c r="AD644" s="308"/>
      <c r="AE644" s="575"/>
      <c r="AF644" s="308"/>
      <c r="AG644" s="575"/>
      <c r="AH644" s="308"/>
      <c r="AI644" s="575"/>
      <c r="AJ644" s="308"/>
      <c r="AK644" s="305"/>
      <c r="AL644" s="577"/>
      <c r="AM644" s="306"/>
      <c r="AN644" s="308"/>
      <c r="AO644" s="573"/>
      <c r="AP644" s="305"/>
      <c r="AQ644" s="308"/>
      <c r="AR644" s="573"/>
      <c r="AS644" s="578"/>
      <c r="AT644" s="577"/>
      <c r="AU644" s="579"/>
      <c r="AV644" s="578"/>
      <c r="AW644" s="308"/>
      <c r="AX644" s="307"/>
      <c r="AY644" s="307"/>
      <c r="AZ644" s="307"/>
      <c r="BA644" s="307"/>
      <c r="BB644" s="307"/>
      <c r="BC644" s="305"/>
      <c r="BD644" s="292"/>
      <c r="BE644" s="297"/>
      <c r="BF644" s="297"/>
      <c r="BG644" s="569"/>
      <c r="BH644" s="570"/>
      <c r="BI644" s="570"/>
      <c r="BJ644" s="570"/>
      <c r="BK644" s="570"/>
      <c r="BL644" s="570"/>
      <c r="BM644" s="570"/>
      <c r="BN644" s="570"/>
      <c r="BO644" s="570"/>
      <c r="BP644" s="570"/>
      <c r="BQ644" s="570"/>
      <c r="BR644" s="570"/>
      <c r="BS644" s="570"/>
      <c r="BT644" s="570"/>
      <c r="BU644" s="570"/>
      <c r="BV644" s="570"/>
      <c r="BW644" s="570"/>
      <c r="BX644" s="570"/>
      <c r="BY644" s="570"/>
      <c r="BZ644" s="571"/>
      <c r="CA644" s="571"/>
    </row>
    <row r="645" spans="2:79">
      <c r="B645" s="572">
        <v>630</v>
      </c>
      <c r="C645" s="308"/>
      <c r="D645" s="307"/>
      <c r="E645" s="307"/>
      <c r="F645" s="305"/>
      <c r="G645" s="305"/>
      <c r="H645" s="292"/>
      <c r="I645" s="574"/>
      <c r="J645" s="573"/>
      <c r="K645" s="307"/>
      <c r="L645" s="292"/>
      <c r="M645" s="308"/>
      <c r="N645" s="292"/>
      <c r="O645" s="308"/>
      <c r="P645" s="575"/>
      <c r="Q645" s="576"/>
      <c r="R645" s="308"/>
      <c r="S645" s="575"/>
      <c r="T645" s="576"/>
      <c r="U645" s="308"/>
      <c r="V645" s="575"/>
      <c r="W645" s="576"/>
      <c r="X645" s="308"/>
      <c r="Y645" s="575"/>
      <c r="Z645" s="576"/>
      <c r="AA645" s="308"/>
      <c r="AB645" s="575"/>
      <c r="AC645" s="576"/>
      <c r="AD645" s="308"/>
      <c r="AE645" s="575"/>
      <c r="AF645" s="308"/>
      <c r="AG645" s="575"/>
      <c r="AH645" s="308"/>
      <c r="AI645" s="575"/>
      <c r="AJ645" s="308"/>
      <c r="AK645" s="305"/>
      <c r="AL645" s="577"/>
      <c r="AM645" s="306"/>
      <c r="AN645" s="308"/>
      <c r="AO645" s="573"/>
      <c r="AP645" s="305"/>
      <c r="AQ645" s="308"/>
      <c r="AR645" s="573"/>
      <c r="AS645" s="578"/>
      <c r="AT645" s="577"/>
      <c r="AU645" s="579"/>
      <c r="AV645" s="578"/>
      <c r="AW645" s="308"/>
      <c r="AX645" s="307"/>
      <c r="AY645" s="307"/>
      <c r="AZ645" s="307"/>
      <c r="BA645" s="307"/>
      <c r="BB645" s="307"/>
      <c r="BC645" s="305"/>
      <c r="BD645" s="292"/>
      <c r="BE645" s="297"/>
      <c r="BF645" s="297"/>
      <c r="BG645" s="569"/>
      <c r="BH645" s="570"/>
      <c r="BI645" s="570"/>
      <c r="BJ645" s="570"/>
      <c r="BK645" s="570"/>
      <c r="BL645" s="570"/>
      <c r="BM645" s="570"/>
      <c r="BN645" s="570"/>
      <c r="BO645" s="570"/>
      <c r="BP645" s="570"/>
      <c r="BQ645" s="570"/>
      <c r="BR645" s="570"/>
      <c r="BS645" s="570"/>
      <c r="BT645" s="570"/>
      <c r="BU645" s="570"/>
      <c r="BV645" s="570"/>
      <c r="BW645" s="570"/>
      <c r="BX645" s="570"/>
      <c r="BY645" s="570"/>
      <c r="BZ645" s="571"/>
      <c r="CA645" s="571"/>
    </row>
    <row r="646" spans="2:79">
      <c r="B646" s="566">
        <v>631</v>
      </c>
      <c r="C646" s="308"/>
      <c r="D646" s="307"/>
      <c r="E646" s="307"/>
      <c r="F646" s="305"/>
      <c r="G646" s="305"/>
      <c r="H646" s="292"/>
      <c r="I646" s="574"/>
      <c r="J646" s="573"/>
      <c r="K646" s="307"/>
      <c r="L646" s="292"/>
      <c r="M646" s="308"/>
      <c r="N646" s="292"/>
      <c r="O646" s="308"/>
      <c r="P646" s="575"/>
      <c r="Q646" s="576"/>
      <c r="R646" s="308"/>
      <c r="S646" s="575"/>
      <c r="T646" s="576"/>
      <c r="U646" s="308"/>
      <c r="V646" s="575"/>
      <c r="W646" s="576"/>
      <c r="X646" s="308"/>
      <c r="Y646" s="575"/>
      <c r="Z646" s="576"/>
      <c r="AA646" s="308"/>
      <c r="AB646" s="575"/>
      <c r="AC646" s="576"/>
      <c r="AD646" s="308"/>
      <c r="AE646" s="575"/>
      <c r="AF646" s="308"/>
      <c r="AG646" s="575"/>
      <c r="AH646" s="308"/>
      <c r="AI646" s="575"/>
      <c r="AJ646" s="308"/>
      <c r="AK646" s="305"/>
      <c r="AL646" s="577"/>
      <c r="AM646" s="306"/>
      <c r="AN646" s="308"/>
      <c r="AO646" s="573"/>
      <c r="AP646" s="305"/>
      <c r="AQ646" s="308"/>
      <c r="AR646" s="573"/>
      <c r="AS646" s="578"/>
      <c r="AT646" s="577"/>
      <c r="AU646" s="579"/>
      <c r="AV646" s="578"/>
      <c r="AW646" s="308"/>
      <c r="AX646" s="307"/>
      <c r="AY646" s="307"/>
      <c r="AZ646" s="307"/>
      <c r="BA646" s="307"/>
      <c r="BB646" s="307"/>
      <c r="BC646" s="305"/>
      <c r="BD646" s="292"/>
      <c r="BE646" s="297"/>
      <c r="BF646" s="297"/>
      <c r="BG646" s="569"/>
      <c r="BH646" s="570"/>
      <c r="BI646" s="570"/>
      <c r="BJ646" s="570"/>
      <c r="BK646" s="570"/>
      <c r="BL646" s="570"/>
      <c r="BM646" s="570"/>
      <c r="BN646" s="570"/>
      <c r="BO646" s="570"/>
      <c r="BP646" s="570"/>
      <c r="BQ646" s="570"/>
      <c r="BR646" s="570"/>
      <c r="BS646" s="570"/>
      <c r="BT646" s="570"/>
      <c r="BU646" s="570"/>
      <c r="BV646" s="570"/>
      <c r="BW646" s="570"/>
      <c r="BX646" s="570"/>
      <c r="BY646" s="570"/>
      <c r="BZ646" s="571"/>
      <c r="CA646" s="571"/>
    </row>
    <row r="647" spans="2:79">
      <c r="B647" s="572">
        <v>632</v>
      </c>
      <c r="C647" s="308"/>
      <c r="D647" s="307"/>
      <c r="E647" s="307"/>
      <c r="F647" s="305"/>
      <c r="G647" s="305"/>
      <c r="H647" s="292"/>
      <c r="I647" s="574"/>
      <c r="J647" s="573"/>
      <c r="K647" s="307"/>
      <c r="L647" s="292"/>
      <c r="M647" s="308"/>
      <c r="N647" s="292"/>
      <c r="O647" s="308"/>
      <c r="P647" s="575"/>
      <c r="Q647" s="576"/>
      <c r="R647" s="308"/>
      <c r="S647" s="575"/>
      <c r="T647" s="576"/>
      <c r="U647" s="308"/>
      <c r="V647" s="575"/>
      <c r="W647" s="576"/>
      <c r="X647" s="308"/>
      <c r="Y647" s="575"/>
      <c r="Z647" s="576"/>
      <c r="AA647" s="308"/>
      <c r="AB647" s="575"/>
      <c r="AC647" s="576"/>
      <c r="AD647" s="308"/>
      <c r="AE647" s="575"/>
      <c r="AF647" s="308"/>
      <c r="AG647" s="575"/>
      <c r="AH647" s="308"/>
      <c r="AI647" s="575"/>
      <c r="AJ647" s="308"/>
      <c r="AK647" s="305"/>
      <c r="AL647" s="577"/>
      <c r="AM647" s="306"/>
      <c r="AN647" s="308"/>
      <c r="AO647" s="573"/>
      <c r="AP647" s="305"/>
      <c r="AQ647" s="308"/>
      <c r="AR647" s="573"/>
      <c r="AS647" s="578"/>
      <c r="AT647" s="577"/>
      <c r="AU647" s="579"/>
      <c r="AV647" s="578"/>
      <c r="AW647" s="308"/>
      <c r="AX647" s="307"/>
      <c r="AY647" s="307"/>
      <c r="AZ647" s="307"/>
      <c r="BA647" s="307"/>
      <c r="BB647" s="307"/>
      <c r="BC647" s="305"/>
      <c r="BD647" s="292"/>
      <c r="BE647" s="297"/>
      <c r="BF647" s="297"/>
      <c r="BG647" s="569"/>
      <c r="BH647" s="570"/>
      <c r="BI647" s="570"/>
      <c r="BJ647" s="570"/>
      <c r="BK647" s="570"/>
      <c r="BL647" s="570"/>
      <c r="BM647" s="570"/>
      <c r="BN647" s="570"/>
      <c r="BO647" s="570"/>
      <c r="BP647" s="570"/>
      <c r="BQ647" s="570"/>
      <c r="BR647" s="570"/>
      <c r="BS647" s="570"/>
      <c r="BT647" s="570"/>
      <c r="BU647" s="570"/>
      <c r="BV647" s="570"/>
      <c r="BW647" s="570"/>
      <c r="BX647" s="570"/>
      <c r="BY647" s="570"/>
      <c r="BZ647" s="571"/>
      <c r="CA647" s="571"/>
    </row>
    <row r="648" spans="2:79">
      <c r="B648" s="566">
        <v>633</v>
      </c>
      <c r="C648" s="308"/>
      <c r="D648" s="307"/>
      <c r="E648" s="307"/>
      <c r="F648" s="305"/>
      <c r="G648" s="305"/>
      <c r="H648" s="292"/>
      <c r="I648" s="574"/>
      <c r="J648" s="573"/>
      <c r="K648" s="307"/>
      <c r="L648" s="292"/>
      <c r="M648" s="308"/>
      <c r="N648" s="292"/>
      <c r="O648" s="308"/>
      <c r="P648" s="575"/>
      <c r="Q648" s="576"/>
      <c r="R648" s="308"/>
      <c r="S648" s="575"/>
      <c r="T648" s="576"/>
      <c r="U648" s="308"/>
      <c r="V648" s="575"/>
      <c r="W648" s="576"/>
      <c r="X648" s="308"/>
      <c r="Y648" s="575"/>
      <c r="Z648" s="576"/>
      <c r="AA648" s="308"/>
      <c r="AB648" s="575"/>
      <c r="AC648" s="576"/>
      <c r="AD648" s="308"/>
      <c r="AE648" s="575"/>
      <c r="AF648" s="308"/>
      <c r="AG648" s="575"/>
      <c r="AH648" s="308"/>
      <c r="AI648" s="575"/>
      <c r="AJ648" s="308"/>
      <c r="AK648" s="305"/>
      <c r="AL648" s="577"/>
      <c r="AM648" s="306"/>
      <c r="AN648" s="308"/>
      <c r="AO648" s="573"/>
      <c r="AP648" s="305"/>
      <c r="AQ648" s="308"/>
      <c r="AR648" s="573"/>
      <c r="AS648" s="578"/>
      <c r="AT648" s="577"/>
      <c r="AU648" s="579"/>
      <c r="AV648" s="578"/>
      <c r="AW648" s="308"/>
      <c r="AX648" s="307"/>
      <c r="AY648" s="307"/>
      <c r="AZ648" s="307"/>
      <c r="BA648" s="307"/>
      <c r="BB648" s="307"/>
      <c r="BC648" s="305"/>
      <c r="BD648" s="292"/>
      <c r="BE648" s="297"/>
      <c r="BF648" s="297"/>
      <c r="BG648" s="569"/>
      <c r="BH648" s="570"/>
      <c r="BI648" s="570"/>
      <c r="BJ648" s="570"/>
      <c r="BK648" s="570"/>
      <c r="BL648" s="570"/>
      <c r="BM648" s="570"/>
      <c r="BN648" s="570"/>
      <c r="BO648" s="570"/>
      <c r="BP648" s="570"/>
      <c r="BQ648" s="570"/>
      <c r="BR648" s="570"/>
      <c r="BS648" s="570"/>
      <c r="BT648" s="570"/>
      <c r="BU648" s="570"/>
      <c r="BV648" s="570"/>
      <c r="BW648" s="570"/>
      <c r="BX648" s="570"/>
      <c r="BY648" s="570"/>
      <c r="BZ648" s="571"/>
      <c r="CA648" s="571"/>
    </row>
    <row r="649" spans="2:79">
      <c r="B649" s="572">
        <v>634</v>
      </c>
      <c r="C649" s="308"/>
      <c r="D649" s="307"/>
      <c r="E649" s="307"/>
      <c r="F649" s="305"/>
      <c r="G649" s="305"/>
      <c r="H649" s="292"/>
      <c r="I649" s="574"/>
      <c r="J649" s="573"/>
      <c r="K649" s="307"/>
      <c r="L649" s="292"/>
      <c r="M649" s="308"/>
      <c r="N649" s="292"/>
      <c r="O649" s="308"/>
      <c r="P649" s="575"/>
      <c r="Q649" s="576"/>
      <c r="R649" s="308"/>
      <c r="S649" s="575"/>
      <c r="T649" s="576"/>
      <c r="U649" s="308"/>
      <c r="V649" s="575"/>
      <c r="W649" s="576"/>
      <c r="X649" s="308"/>
      <c r="Y649" s="575"/>
      <c r="Z649" s="576"/>
      <c r="AA649" s="308"/>
      <c r="AB649" s="575"/>
      <c r="AC649" s="576"/>
      <c r="AD649" s="308"/>
      <c r="AE649" s="575"/>
      <c r="AF649" s="308"/>
      <c r="AG649" s="575"/>
      <c r="AH649" s="308"/>
      <c r="AI649" s="575"/>
      <c r="AJ649" s="308"/>
      <c r="AK649" s="305"/>
      <c r="AL649" s="577"/>
      <c r="AM649" s="306"/>
      <c r="AN649" s="308"/>
      <c r="AO649" s="573"/>
      <c r="AP649" s="305"/>
      <c r="AQ649" s="308"/>
      <c r="AR649" s="573"/>
      <c r="AS649" s="578"/>
      <c r="AT649" s="577"/>
      <c r="AU649" s="579"/>
      <c r="AV649" s="578"/>
      <c r="AW649" s="308"/>
      <c r="AX649" s="307"/>
      <c r="AY649" s="307"/>
      <c r="AZ649" s="307"/>
      <c r="BA649" s="307"/>
      <c r="BB649" s="307"/>
      <c r="BC649" s="305"/>
      <c r="BD649" s="292"/>
      <c r="BE649" s="297"/>
      <c r="BF649" s="297"/>
      <c r="BG649" s="569"/>
      <c r="BH649" s="570"/>
      <c r="BI649" s="570"/>
      <c r="BJ649" s="570"/>
      <c r="BK649" s="570"/>
      <c r="BL649" s="570"/>
      <c r="BM649" s="570"/>
      <c r="BN649" s="570"/>
      <c r="BO649" s="570"/>
      <c r="BP649" s="570"/>
      <c r="BQ649" s="570"/>
      <c r="BR649" s="570"/>
      <c r="BS649" s="570"/>
      <c r="BT649" s="570"/>
      <c r="BU649" s="570"/>
      <c r="BV649" s="570"/>
      <c r="BW649" s="570"/>
      <c r="BX649" s="570"/>
      <c r="BY649" s="570"/>
      <c r="BZ649" s="571"/>
      <c r="CA649" s="571"/>
    </row>
    <row r="650" spans="2:79">
      <c r="B650" s="566">
        <v>635</v>
      </c>
      <c r="C650" s="308"/>
      <c r="D650" s="307"/>
      <c r="E650" s="307"/>
      <c r="F650" s="305"/>
      <c r="G650" s="305"/>
      <c r="H650" s="292"/>
      <c r="I650" s="574"/>
      <c r="J650" s="573"/>
      <c r="K650" s="307"/>
      <c r="L650" s="292"/>
      <c r="M650" s="308"/>
      <c r="N650" s="292"/>
      <c r="O650" s="308"/>
      <c r="P650" s="575"/>
      <c r="Q650" s="576"/>
      <c r="R650" s="308"/>
      <c r="S650" s="575"/>
      <c r="T650" s="576"/>
      <c r="U650" s="308"/>
      <c r="V650" s="575"/>
      <c r="W650" s="576"/>
      <c r="X650" s="308"/>
      <c r="Y650" s="575"/>
      <c r="Z650" s="576"/>
      <c r="AA650" s="308"/>
      <c r="AB650" s="575"/>
      <c r="AC650" s="576"/>
      <c r="AD650" s="308"/>
      <c r="AE650" s="575"/>
      <c r="AF650" s="308"/>
      <c r="AG650" s="575"/>
      <c r="AH650" s="308"/>
      <c r="AI650" s="575"/>
      <c r="AJ650" s="308"/>
      <c r="AK650" s="305"/>
      <c r="AL650" s="577"/>
      <c r="AM650" s="306"/>
      <c r="AN650" s="308"/>
      <c r="AO650" s="573"/>
      <c r="AP650" s="305"/>
      <c r="AQ650" s="308"/>
      <c r="AR650" s="573"/>
      <c r="AS650" s="578"/>
      <c r="AT650" s="577"/>
      <c r="AU650" s="579"/>
      <c r="AV650" s="578"/>
      <c r="AW650" s="308"/>
      <c r="AX650" s="307"/>
      <c r="AY650" s="307"/>
      <c r="AZ650" s="307"/>
      <c r="BA650" s="307"/>
      <c r="BB650" s="307"/>
      <c r="BC650" s="305"/>
      <c r="BD650" s="292"/>
      <c r="BE650" s="297"/>
      <c r="BF650" s="297"/>
      <c r="BG650" s="569"/>
      <c r="BH650" s="570"/>
      <c r="BI650" s="570"/>
      <c r="BJ650" s="570"/>
      <c r="BK650" s="570"/>
      <c r="BL650" s="570"/>
      <c r="BM650" s="570"/>
      <c r="BN650" s="570"/>
      <c r="BO650" s="570"/>
      <c r="BP650" s="570"/>
      <c r="BQ650" s="570"/>
      <c r="BR650" s="570"/>
      <c r="BS650" s="570"/>
      <c r="BT650" s="570"/>
      <c r="BU650" s="570"/>
      <c r="BV650" s="570"/>
      <c r="BW650" s="570"/>
      <c r="BX650" s="570"/>
      <c r="BY650" s="570"/>
      <c r="BZ650" s="571"/>
      <c r="CA650" s="571"/>
    </row>
    <row r="651" spans="2:79">
      <c r="B651" s="572">
        <v>636</v>
      </c>
      <c r="C651" s="308"/>
      <c r="D651" s="307"/>
      <c r="E651" s="307"/>
      <c r="F651" s="305"/>
      <c r="G651" s="305"/>
      <c r="H651" s="292"/>
      <c r="I651" s="574"/>
      <c r="J651" s="573"/>
      <c r="K651" s="307"/>
      <c r="L651" s="292"/>
      <c r="M651" s="308"/>
      <c r="N651" s="292"/>
      <c r="O651" s="308"/>
      <c r="P651" s="575"/>
      <c r="Q651" s="576"/>
      <c r="R651" s="308"/>
      <c r="S651" s="575"/>
      <c r="T651" s="576"/>
      <c r="U651" s="308"/>
      <c r="V651" s="575"/>
      <c r="W651" s="576"/>
      <c r="X651" s="308"/>
      <c r="Y651" s="575"/>
      <c r="Z651" s="576"/>
      <c r="AA651" s="308"/>
      <c r="AB651" s="575"/>
      <c r="AC651" s="576"/>
      <c r="AD651" s="308"/>
      <c r="AE651" s="575"/>
      <c r="AF651" s="308"/>
      <c r="AG651" s="575"/>
      <c r="AH651" s="308"/>
      <c r="AI651" s="575"/>
      <c r="AJ651" s="308"/>
      <c r="AK651" s="305"/>
      <c r="AL651" s="577"/>
      <c r="AM651" s="306"/>
      <c r="AN651" s="308"/>
      <c r="AO651" s="573"/>
      <c r="AP651" s="305"/>
      <c r="AQ651" s="308"/>
      <c r="AR651" s="573"/>
      <c r="AS651" s="578"/>
      <c r="AT651" s="577"/>
      <c r="AU651" s="579"/>
      <c r="AV651" s="578"/>
      <c r="AW651" s="308"/>
      <c r="AX651" s="307"/>
      <c r="AY651" s="307"/>
      <c r="AZ651" s="307"/>
      <c r="BA651" s="307"/>
      <c r="BB651" s="307"/>
      <c r="BC651" s="305"/>
      <c r="BD651" s="292"/>
      <c r="BE651" s="297"/>
      <c r="BF651" s="297"/>
      <c r="BG651" s="569"/>
      <c r="BH651" s="570"/>
      <c r="BI651" s="570"/>
      <c r="BJ651" s="570"/>
      <c r="BK651" s="570"/>
      <c r="BL651" s="570"/>
      <c r="BM651" s="570"/>
      <c r="BN651" s="570"/>
      <c r="BO651" s="570"/>
      <c r="BP651" s="570"/>
      <c r="BQ651" s="570"/>
      <c r="BR651" s="570"/>
      <c r="BS651" s="570"/>
      <c r="BT651" s="570"/>
      <c r="BU651" s="570"/>
      <c r="BV651" s="570"/>
      <c r="BW651" s="570"/>
      <c r="BX651" s="570"/>
      <c r="BY651" s="570"/>
      <c r="BZ651" s="571"/>
      <c r="CA651" s="571"/>
    </row>
    <row r="652" spans="2:79">
      <c r="B652" s="566">
        <v>637</v>
      </c>
      <c r="C652" s="308"/>
      <c r="D652" s="307"/>
      <c r="E652" s="307"/>
      <c r="F652" s="305"/>
      <c r="G652" s="305"/>
      <c r="H652" s="292"/>
      <c r="I652" s="574"/>
      <c r="J652" s="573"/>
      <c r="K652" s="307"/>
      <c r="L652" s="292"/>
      <c r="M652" s="308"/>
      <c r="N652" s="292"/>
      <c r="O652" s="308"/>
      <c r="P652" s="575"/>
      <c r="Q652" s="576"/>
      <c r="R652" s="308"/>
      <c r="S652" s="575"/>
      <c r="T652" s="576"/>
      <c r="U652" s="308"/>
      <c r="V652" s="575"/>
      <c r="W652" s="576"/>
      <c r="X652" s="308"/>
      <c r="Y652" s="575"/>
      <c r="Z652" s="576"/>
      <c r="AA652" s="308"/>
      <c r="AB652" s="575"/>
      <c r="AC652" s="576"/>
      <c r="AD652" s="308"/>
      <c r="AE652" s="575"/>
      <c r="AF652" s="308"/>
      <c r="AG652" s="575"/>
      <c r="AH652" s="308"/>
      <c r="AI652" s="575"/>
      <c r="AJ652" s="308"/>
      <c r="AK652" s="305"/>
      <c r="AL652" s="577"/>
      <c r="AM652" s="306"/>
      <c r="AN652" s="308"/>
      <c r="AO652" s="573"/>
      <c r="AP652" s="305"/>
      <c r="AQ652" s="308"/>
      <c r="AR652" s="573"/>
      <c r="AS652" s="578"/>
      <c r="AT652" s="577"/>
      <c r="AU652" s="579"/>
      <c r="AV652" s="578"/>
      <c r="AW652" s="308"/>
      <c r="AX652" s="307"/>
      <c r="AY652" s="307"/>
      <c r="AZ652" s="307"/>
      <c r="BA652" s="307"/>
      <c r="BB652" s="307"/>
      <c r="BC652" s="305"/>
      <c r="BD652" s="292"/>
      <c r="BE652" s="297"/>
      <c r="BF652" s="297"/>
      <c r="BG652" s="569"/>
      <c r="BH652" s="570"/>
      <c r="BI652" s="570"/>
      <c r="BJ652" s="570"/>
      <c r="BK652" s="570"/>
      <c r="BL652" s="570"/>
      <c r="BM652" s="570"/>
      <c r="BN652" s="570"/>
      <c r="BO652" s="570"/>
      <c r="BP652" s="570"/>
      <c r="BQ652" s="570"/>
      <c r="BR652" s="570"/>
      <c r="BS652" s="570"/>
      <c r="BT652" s="570"/>
      <c r="BU652" s="570"/>
      <c r="BV652" s="570"/>
      <c r="BW652" s="570"/>
      <c r="BX652" s="570"/>
      <c r="BY652" s="570"/>
      <c r="BZ652" s="571"/>
      <c r="CA652" s="571"/>
    </row>
    <row r="653" spans="2:79">
      <c r="B653" s="572">
        <v>638</v>
      </c>
      <c r="C653" s="308"/>
      <c r="D653" s="307"/>
      <c r="E653" s="307"/>
      <c r="F653" s="305"/>
      <c r="G653" s="305"/>
      <c r="H653" s="292"/>
      <c r="I653" s="574"/>
      <c r="J653" s="573"/>
      <c r="K653" s="307"/>
      <c r="L653" s="292"/>
      <c r="M653" s="308"/>
      <c r="N653" s="292"/>
      <c r="O653" s="308"/>
      <c r="P653" s="575"/>
      <c r="Q653" s="576"/>
      <c r="R653" s="308"/>
      <c r="S653" s="575"/>
      <c r="T653" s="576"/>
      <c r="U653" s="308"/>
      <c r="V653" s="575"/>
      <c r="W653" s="576"/>
      <c r="X653" s="308"/>
      <c r="Y653" s="575"/>
      <c r="Z653" s="576"/>
      <c r="AA653" s="308"/>
      <c r="AB653" s="575"/>
      <c r="AC653" s="576"/>
      <c r="AD653" s="308"/>
      <c r="AE653" s="575"/>
      <c r="AF653" s="308"/>
      <c r="AG653" s="575"/>
      <c r="AH653" s="308"/>
      <c r="AI653" s="575"/>
      <c r="AJ653" s="308"/>
      <c r="AK653" s="305"/>
      <c r="AL653" s="577"/>
      <c r="AM653" s="306"/>
      <c r="AN653" s="308"/>
      <c r="AO653" s="573"/>
      <c r="AP653" s="305"/>
      <c r="AQ653" s="308"/>
      <c r="AR653" s="573"/>
      <c r="AS653" s="578"/>
      <c r="AT653" s="577"/>
      <c r="AU653" s="579"/>
      <c r="AV653" s="578"/>
      <c r="AW653" s="308"/>
      <c r="AX653" s="307"/>
      <c r="AY653" s="307"/>
      <c r="AZ653" s="307"/>
      <c r="BA653" s="307"/>
      <c r="BB653" s="307"/>
      <c r="BC653" s="305"/>
      <c r="BD653" s="292"/>
      <c r="BE653" s="297"/>
      <c r="BF653" s="297"/>
      <c r="BG653" s="569"/>
      <c r="BH653" s="570"/>
      <c r="BI653" s="570"/>
      <c r="BJ653" s="570"/>
      <c r="BK653" s="570"/>
      <c r="BL653" s="570"/>
      <c r="BM653" s="570"/>
      <c r="BN653" s="570"/>
      <c r="BO653" s="570"/>
      <c r="BP653" s="570"/>
      <c r="BQ653" s="570"/>
      <c r="BR653" s="570"/>
      <c r="BS653" s="570"/>
      <c r="BT653" s="570"/>
      <c r="BU653" s="570"/>
      <c r="BV653" s="570"/>
      <c r="BW653" s="570"/>
      <c r="BX653" s="570"/>
      <c r="BY653" s="570"/>
      <c r="BZ653" s="571"/>
      <c r="CA653" s="571"/>
    </row>
    <row r="654" spans="2:79">
      <c r="B654" s="566">
        <v>639</v>
      </c>
      <c r="C654" s="308"/>
      <c r="D654" s="307"/>
      <c r="E654" s="307"/>
      <c r="F654" s="305"/>
      <c r="G654" s="305"/>
      <c r="H654" s="292"/>
      <c r="I654" s="574"/>
      <c r="J654" s="573"/>
      <c r="K654" s="307"/>
      <c r="L654" s="292"/>
      <c r="M654" s="308"/>
      <c r="N654" s="292"/>
      <c r="O654" s="308"/>
      <c r="P654" s="575"/>
      <c r="Q654" s="576"/>
      <c r="R654" s="308"/>
      <c r="S654" s="575"/>
      <c r="T654" s="576"/>
      <c r="U654" s="308"/>
      <c r="V654" s="575"/>
      <c r="W654" s="576"/>
      <c r="X654" s="308"/>
      <c r="Y654" s="575"/>
      <c r="Z654" s="576"/>
      <c r="AA654" s="308"/>
      <c r="AB654" s="575"/>
      <c r="AC654" s="576"/>
      <c r="AD654" s="308"/>
      <c r="AE654" s="575"/>
      <c r="AF654" s="308"/>
      <c r="AG654" s="575"/>
      <c r="AH654" s="308"/>
      <c r="AI654" s="575"/>
      <c r="AJ654" s="308"/>
      <c r="AK654" s="305"/>
      <c r="AL654" s="577"/>
      <c r="AM654" s="306"/>
      <c r="AN654" s="308"/>
      <c r="AO654" s="573"/>
      <c r="AP654" s="305"/>
      <c r="AQ654" s="308"/>
      <c r="AR654" s="573"/>
      <c r="AS654" s="578"/>
      <c r="AT654" s="577"/>
      <c r="AU654" s="579"/>
      <c r="AV654" s="578"/>
      <c r="AW654" s="308"/>
      <c r="AX654" s="307"/>
      <c r="AY654" s="307"/>
      <c r="AZ654" s="307"/>
      <c r="BA654" s="307"/>
      <c r="BB654" s="307"/>
      <c r="BC654" s="305"/>
      <c r="BD654" s="292"/>
      <c r="BE654" s="297"/>
      <c r="BF654" s="297"/>
      <c r="BG654" s="569"/>
      <c r="BH654" s="570"/>
      <c r="BI654" s="570"/>
      <c r="BJ654" s="570"/>
      <c r="BK654" s="570"/>
      <c r="BL654" s="570"/>
      <c r="BM654" s="570"/>
      <c r="BN654" s="570"/>
      <c r="BO654" s="570"/>
      <c r="BP654" s="570"/>
      <c r="BQ654" s="570"/>
      <c r="BR654" s="570"/>
      <c r="BS654" s="570"/>
      <c r="BT654" s="570"/>
      <c r="BU654" s="570"/>
      <c r="BV654" s="570"/>
      <c r="BW654" s="570"/>
      <c r="BX654" s="570"/>
      <c r="BY654" s="570"/>
      <c r="BZ654" s="571"/>
      <c r="CA654" s="571"/>
    </row>
    <row r="655" spans="2:79">
      <c r="B655" s="572">
        <v>640</v>
      </c>
      <c r="C655" s="308"/>
      <c r="D655" s="307"/>
      <c r="E655" s="307"/>
      <c r="F655" s="305"/>
      <c r="G655" s="305"/>
      <c r="H655" s="292"/>
      <c r="I655" s="574"/>
      <c r="J655" s="573"/>
      <c r="K655" s="307"/>
      <c r="L655" s="292"/>
      <c r="M655" s="308"/>
      <c r="N655" s="292"/>
      <c r="O655" s="308"/>
      <c r="P655" s="575"/>
      <c r="Q655" s="576"/>
      <c r="R655" s="308"/>
      <c r="S655" s="575"/>
      <c r="T655" s="576"/>
      <c r="U655" s="308"/>
      <c r="V655" s="575"/>
      <c r="W655" s="576"/>
      <c r="X655" s="308"/>
      <c r="Y655" s="575"/>
      <c r="Z655" s="576"/>
      <c r="AA655" s="308"/>
      <c r="AB655" s="575"/>
      <c r="AC655" s="576"/>
      <c r="AD655" s="308"/>
      <c r="AE655" s="575"/>
      <c r="AF655" s="308"/>
      <c r="AG655" s="575"/>
      <c r="AH655" s="308"/>
      <c r="AI655" s="575"/>
      <c r="AJ655" s="308"/>
      <c r="AK655" s="305"/>
      <c r="AL655" s="577"/>
      <c r="AM655" s="306"/>
      <c r="AN655" s="308"/>
      <c r="AO655" s="573"/>
      <c r="AP655" s="305"/>
      <c r="AQ655" s="308"/>
      <c r="AR655" s="573"/>
      <c r="AS655" s="578"/>
      <c r="AT655" s="577"/>
      <c r="AU655" s="579"/>
      <c r="AV655" s="578"/>
      <c r="AW655" s="308"/>
      <c r="AX655" s="307"/>
      <c r="AY655" s="307"/>
      <c r="AZ655" s="307"/>
      <c r="BA655" s="307"/>
      <c r="BB655" s="307"/>
      <c r="BC655" s="305"/>
      <c r="BD655" s="292"/>
      <c r="BE655" s="297"/>
      <c r="BF655" s="297"/>
      <c r="BG655" s="569"/>
      <c r="BH655" s="570"/>
      <c r="BI655" s="570"/>
      <c r="BJ655" s="570"/>
      <c r="BK655" s="570"/>
      <c r="BL655" s="570"/>
      <c r="BM655" s="570"/>
      <c r="BN655" s="570"/>
      <c r="BO655" s="570"/>
      <c r="BP655" s="570"/>
      <c r="BQ655" s="570"/>
      <c r="BR655" s="570"/>
      <c r="BS655" s="570"/>
      <c r="BT655" s="570"/>
      <c r="BU655" s="570"/>
      <c r="BV655" s="570"/>
      <c r="BW655" s="570"/>
      <c r="BX655" s="570"/>
      <c r="BY655" s="570"/>
      <c r="BZ655" s="571"/>
      <c r="CA655" s="571"/>
    </row>
    <row r="656" spans="2:79">
      <c r="B656" s="566">
        <v>641</v>
      </c>
      <c r="C656" s="308"/>
      <c r="D656" s="307"/>
      <c r="E656" s="307"/>
      <c r="F656" s="305"/>
      <c r="G656" s="305"/>
      <c r="H656" s="292"/>
      <c r="I656" s="574"/>
      <c r="J656" s="573"/>
      <c r="K656" s="307"/>
      <c r="L656" s="292"/>
      <c r="M656" s="308"/>
      <c r="N656" s="292"/>
      <c r="O656" s="308"/>
      <c r="P656" s="575"/>
      <c r="Q656" s="576"/>
      <c r="R656" s="308"/>
      <c r="S656" s="575"/>
      <c r="T656" s="576"/>
      <c r="U656" s="308"/>
      <c r="V656" s="575"/>
      <c r="W656" s="576"/>
      <c r="X656" s="308"/>
      <c r="Y656" s="575"/>
      <c r="Z656" s="576"/>
      <c r="AA656" s="308"/>
      <c r="AB656" s="575"/>
      <c r="AC656" s="576"/>
      <c r="AD656" s="308"/>
      <c r="AE656" s="575"/>
      <c r="AF656" s="308"/>
      <c r="AG656" s="575"/>
      <c r="AH656" s="308"/>
      <c r="AI656" s="575"/>
      <c r="AJ656" s="308"/>
      <c r="AK656" s="305"/>
      <c r="AL656" s="577"/>
      <c r="AM656" s="306"/>
      <c r="AN656" s="308"/>
      <c r="AO656" s="573"/>
      <c r="AP656" s="305"/>
      <c r="AQ656" s="308"/>
      <c r="AR656" s="573"/>
      <c r="AS656" s="578"/>
      <c r="AT656" s="577"/>
      <c r="AU656" s="579"/>
      <c r="AV656" s="578"/>
      <c r="AW656" s="308"/>
      <c r="AX656" s="307"/>
      <c r="AY656" s="307"/>
      <c r="AZ656" s="307"/>
      <c r="BA656" s="307"/>
      <c r="BB656" s="307"/>
      <c r="BC656" s="305"/>
      <c r="BD656" s="292"/>
      <c r="BE656" s="297"/>
      <c r="BF656" s="297"/>
      <c r="BG656" s="569"/>
      <c r="BH656" s="570"/>
      <c r="BI656" s="570"/>
      <c r="BJ656" s="570"/>
      <c r="BK656" s="570"/>
      <c r="BL656" s="570"/>
      <c r="BM656" s="570"/>
      <c r="BN656" s="570"/>
      <c r="BO656" s="570"/>
      <c r="BP656" s="570"/>
      <c r="BQ656" s="570"/>
      <c r="BR656" s="570"/>
      <c r="BS656" s="570"/>
      <c r="BT656" s="570"/>
      <c r="BU656" s="570"/>
      <c r="BV656" s="570"/>
      <c r="BW656" s="570"/>
      <c r="BX656" s="570"/>
      <c r="BY656" s="570"/>
      <c r="BZ656" s="571"/>
      <c r="CA656" s="571"/>
    </row>
    <row r="657" spans="2:79">
      <c r="B657" s="572">
        <v>642</v>
      </c>
      <c r="C657" s="308"/>
      <c r="D657" s="307"/>
      <c r="E657" s="307"/>
      <c r="F657" s="305"/>
      <c r="G657" s="305"/>
      <c r="H657" s="292"/>
      <c r="I657" s="574"/>
      <c r="J657" s="573"/>
      <c r="K657" s="307"/>
      <c r="L657" s="292"/>
      <c r="M657" s="308"/>
      <c r="N657" s="292"/>
      <c r="O657" s="308"/>
      <c r="P657" s="575"/>
      <c r="Q657" s="576"/>
      <c r="R657" s="308"/>
      <c r="S657" s="575"/>
      <c r="T657" s="576"/>
      <c r="U657" s="308"/>
      <c r="V657" s="575"/>
      <c r="W657" s="576"/>
      <c r="X657" s="308"/>
      <c r="Y657" s="575"/>
      <c r="Z657" s="576"/>
      <c r="AA657" s="308"/>
      <c r="AB657" s="575"/>
      <c r="AC657" s="576"/>
      <c r="AD657" s="308"/>
      <c r="AE657" s="575"/>
      <c r="AF657" s="308"/>
      <c r="AG657" s="575"/>
      <c r="AH657" s="308"/>
      <c r="AI657" s="575"/>
      <c r="AJ657" s="308"/>
      <c r="AK657" s="305"/>
      <c r="AL657" s="577"/>
      <c r="AM657" s="306"/>
      <c r="AN657" s="308"/>
      <c r="AO657" s="573"/>
      <c r="AP657" s="305"/>
      <c r="AQ657" s="308"/>
      <c r="AR657" s="573"/>
      <c r="AS657" s="578"/>
      <c r="AT657" s="577"/>
      <c r="AU657" s="579"/>
      <c r="AV657" s="578"/>
      <c r="AW657" s="308"/>
      <c r="AX657" s="307"/>
      <c r="AY657" s="307"/>
      <c r="AZ657" s="307"/>
      <c r="BA657" s="307"/>
      <c r="BB657" s="307"/>
      <c r="BC657" s="305"/>
      <c r="BD657" s="292"/>
      <c r="BE657" s="297"/>
      <c r="BF657" s="297"/>
      <c r="BG657" s="569"/>
      <c r="BH657" s="570"/>
      <c r="BI657" s="570"/>
      <c r="BJ657" s="570"/>
      <c r="BK657" s="570"/>
      <c r="BL657" s="570"/>
      <c r="BM657" s="570"/>
      <c r="BN657" s="570"/>
      <c r="BO657" s="570"/>
      <c r="BP657" s="570"/>
      <c r="BQ657" s="570"/>
      <c r="BR657" s="570"/>
      <c r="BS657" s="570"/>
      <c r="BT657" s="570"/>
      <c r="BU657" s="570"/>
      <c r="BV657" s="570"/>
      <c r="BW657" s="570"/>
      <c r="BX657" s="570"/>
      <c r="BY657" s="570"/>
      <c r="BZ657" s="571"/>
      <c r="CA657" s="571"/>
    </row>
    <row r="658" spans="2:79">
      <c r="B658" s="566">
        <v>643</v>
      </c>
      <c r="C658" s="308"/>
      <c r="D658" s="307"/>
      <c r="E658" s="307"/>
      <c r="F658" s="305"/>
      <c r="G658" s="305"/>
      <c r="H658" s="292"/>
      <c r="I658" s="574"/>
      <c r="J658" s="573"/>
      <c r="K658" s="307"/>
      <c r="L658" s="292"/>
      <c r="M658" s="308"/>
      <c r="N658" s="292"/>
      <c r="O658" s="308"/>
      <c r="P658" s="575"/>
      <c r="Q658" s="576"/>
      <c r="R658" s="308"/>
      <c r="S658" s="575"/>
      <c r="T658" s="576"/>
      <c r="U658" s="308"/>
      <c r="V658" s="575"/>
      <c r="W658" s="576"/>
      <c r="X658" s="308"/>
      <c r="Y658" s="575"/>
      <c r="Z658" s="576"/>
      <c r="AA658" s="308"/>
      <c r="AB658" s="575"/>
      <c r="AC658" s="576"/>
      <c r="AD658" s="308"/>
      <c r="AE658" s="575"/>
      <c r="AF658" s="308"/>
      <c r="AG658" s="575"/>
      <c r="AH658" s="308"/>
      <c r="AI658" s="575"/>
      <c r="AJ658" s="308"/>
      <c r="AK658" s="305"/>
      <c r="AL658" s="577"/>
      <c r="AM658" s="306"/>
      <c r="AN658" s="308"/>
      <c r="AO658" s="573"/>
      <c r="AP658" s="305"/>
      <c r="AQ658" s="308"/>
      <c r="AR658" s="573"/>
      <c r="AS658" s="578"/>
      <c r="AT658" s="577"/>
      <c r="AU658" s="579"/>
      <c r="AV658" s="578"/>
      <c r="AW658" s="308"/>
      <c r="AX658" s="307"/>
      <c r="AY658" s="307"/>
      <c r="AZ658" s="307"/>
      <c r="BA658" s="307"/>
      <c r="BB658" s="307"/>
      <c r="BC658" s="305"/>
      <c r="BD658" s="292"/>
      <c r="BE658" s="297"/>
      <c r="BF658" s="297"/>
      <c r="BG658" s="569"/>
      <c r="BH658" s="570"/>
      <c r="BI658" s="570"/>
      <c r="BJ658" s="570"/>
      <c r="BK658" s="570"/>
      <c r="BL658" s="570"/>
      <c r="BM658" s="570"/>
      <c r="BN658" s="570"/>
      <c r="BO658" s="570"/>
      <c r="BP658" s="570"/>
      <c r="BQ658" s="570"/>
      <c r="BR658" s="570"/>
      <c r="BS658" s="570"/>
      <c r="BT658" s="570"/>
      <c r="BU658" s="570"/>
      <c r="BV658" s="570"/>
      <c r="BW658" s="570"/>
      <c r="BX658" s="570"/>
      <c r="BY658" s="570"/>
      <c r="BZ658" s="571"/>
      <c r="CA658" s="571"/>
    </row>
    <row r="659" spans="2:79">
      <c r="B659" s="572">
        <v>644</v>
      </c>
      <c r="C659" s="308"/>
      <c r="D659" s="307"/>
      <c r="E659" s="307"/>
      <c r="F659" s="305"/>
      <c r="G659" s="305"/>
      <c r="H659" s="292"/>
      <c r="I659" s="574"/>
      <c r="J659" s="573"/>
      <c r="K659" s="307"/>
      <c r="L659" s="292"/>
      <c r="M659" s="308"/>
      <c r="N659" s="292"/>
      <c r="O659" s="308"/>
      <c r="P659" s="575"/>
      <c r="Q659" s="576"/>
      <c r="R659" s="308"/>
      <c r="S659" s="575"/>
      <c r="T659" s="576"/>
      <c r="U659" s="308"/>
      <c r="V659" s="575"/>
      <c r="W659" s="576"/>
      <c r="X659" s="308"/>
      <c r="Y659" s="575"/>
      <c r="Z659" s="576"/>
      <c r="AA659" s="308"/>
      <c r="AB659" s="575"/>
      <c r="AC659" s="576"/>
      <c r="AD659" s="308"/>
      <c r="AE659" s="575"/>
      <c r="AF659" s="308"/>
      <c r="AG659" s="575"/>
      <c r="AH659" s="308"/>
      <c r="AI659" s="575"/>
      <c r="AJ659" s="308"/>
      <c r="AK659" s="305"/>
      <c r="AL659" s="577"/>
      <c r="AM659" s="306"/>
      <c r="AN659" s="308"/>
      <c r="AO659" s="573"/>
      <c r="AP659" s="305"/>
      <c r="AQ659" s="308"/>
      <c r="AR659" s="573"/>
      <c r="AS659" s="578"/>
      <c r="AT659" s="577"/>
      <c r="AU659" s="579"/>
      <c r="AV659" s="578"/>
      <c r="AW659" s="308"/>
      <c r="AX659" s="307"/>
      <c r="AY659" s="307"/>
      <c r="AZ659" s="307"/>
      <c r="BA659" s="307"/>
      <c r="BB659" s="307"/>
      <c r="BC659" s="305"/>
      <c r="BD659" s="292"/>
      <c r="BE659" s="297"/>
      <c r="BF659" s="297"/>
      <c r="BG659" s="569"/>
      <c r="BH659" s="570"/>
      <c r="BI659" s="570"/>
      <c r="BJ659" s="570"/>
      <c r="BK659" s="570"/>
      <c r="BL659" s="570"/>
      <c r="BM659" s="570"/>
      <c r="BN659" s="570"/>
      <c r="BO659" s="570"/>
      <c r="BP659" s="570"/>
      <c r="BQ659" s="570"/>
      <c r="BR659" s="570"/>
      <c r="BS659" s="570"/>
      <c r="BT659" s="570"/>
      <c r="BU659" s="570"/>
      <c r="BV659" s="570"/>
      <c r="BW659" s="570"/>
      <c r="BX659" s="570"/>
      <c r="BY659" s="570"/>
      <c r="BZ659" s="571"/>
      <c r="CA659" s="571"/>
    </row>
    <row r="660" spans="2:79">
      <c r="B660" s="566">
        <v>645</v>
      </c>
      <c r="C660" s="308"/>
      <c r="D660" s="307"/>
      <c r="E660" s="307"/>
      <c r="F660" s="305"/>
      <c r="G660" s="305"/>
      <c r="H660" s="292"/>
      <c r="I660" s="574"/>
      <c r="J660" s="573"/>
      <c r="K660" s="307"/>
      <c r="L660" s="292"/>
      <c r="M660" s="308"/>
      <c r="N660" s="292"/>
      <c r="O660" s="308"/>
      <c r="P660" s="575"/>
      <c r="Q660" s="576"/>
      <c r="R660" s="308"/>
      <c r="S660" s="575"/>
      <c r="T660" s="576"/>
      <c r="U660" s="308"/>
      <c r="V660" s="575"/>
      <c r="W660" s="576"/>
      <c r="X660" s="308"/>
      <c r="Y660" s="575"/>
      <c r="Z660" s="576"/>
      <c r="AA660" s="308"/>
      <c r="AB660" s="575"/>
      <c r="AC660" s="576"/>
      <c r="AD660" s="308"/>
      <c r="AE660" s="575"/>
      <c r="AF660" s="308"/>
      <c r="AG660" s="575"/>
      <c r="AH660" s="308"/>
      <c r="AI660" s="575"/>
      <c r="AJ660" s="308"/>
      <c r="AK660" s="305"/>
      <c r="AL660" s="577"/>
      <c r="AM660" s="306"/>
      <c r="AN660" s="308"/>
      <c r="AO660" s="573"/>
      <c r="AP660" s="305"/>
      <c r="AQ660" s="308"/>
      <c r="AR660" s="573"/>
      <c r="AS660" s="578"/>
      <c r="AT660" s="577"/>
      <c r="AU660" s="579"/>
      <c r="AV660" s="578"/>
      <c r="AW660" s="308"/>
      <c r="AX660" s="307"/>
      <c r="AY660" s="307"/>
      <c r="AZ660" s="307"/>
      <c r="BA660" s="307"/>
      <c r="BB660" s="307"/>
      <c r="BC660" s="305"/>
      <c r="BD660" s="292"/>
      <c r="BE660" s="297"/>
      <c r="BF660" s="297"/>
      <c r="BG660" s="569"/>
      <c r="BH660" s="570"/>
      <c r="BI660" s="570"/>
      <c r="BJ660" s="570"/>
      <c r="BK660" s="570"/>
      <c r="BL660" s="570"/>
      <c r="BM660" s="570"/>
      <c r="BN660" s="570"/>
      <c r="BO660" s="570"/>
      <c r="BP660" s="570"/>
      <c r="BQ660" s="570"/>
      <c r="BR660" s="570"/>
      <c r="BS660" s="570"/>
      <c r="BT660" s="570"/>
      <c r="BU660" s="570"/>
      <c r="BV660" s="570"/>
      <c r="BW660" s="570"/>
      <c r="BX660" s="570"/>
      <c r="BY660" s="570"/>
      <c r="BZ660" s="571"/>
      <c r="CA660" s="571"/>
    </row>
    <row r="661" spans="2:79">
      <c r="B661" s="572">
        <v>646</v>
      </c>
      <c r="C661" s="308"/>
      <c r="D661" s="307"/>
      <c r="E661" s="307"/>
      <c r="F661" s="305"/>
      <c r="G661" s="305"/>
      <c r="H661" s="292"/>
      <c r="I661" s="574"/>
      <c r="J661" s="573"/>
      <c r="K661" s="307"/>
      <c r="L661" s="292"/>
      <c r="M661" s="308"/>
      <c r="N661" s="292"/>
      <c r="O661" s="308"/>
      <c r="P661" s="575"/>
      <c r="Q661" s="576"/>
      <c r="R661" s="308"/>
      <c r="S661" s="575"/>
      <c r="T661" s="576"/>
      <c r="U661" s="308"/>
      <c r="V661" s="575"/>
      <c r="W661" s="576"/>
      <c r="X661" s="308"/>
      <c r="Y661" s="575"/>
      <c r="Z661" s="576"/>
      <c r="AA661" s="308"/>
      <c r="AB661" s="575"/>
      <c r="AC661" s="576"/>
      <c r="AD661" s="308"/>
      <c r="AE661" s="575"/>
      <c r="AF661" s="308"/>
      <c r="AG661" s="575"/>
      <c r="AH661" s="308"/>
      <c r="AI661" s="575"/>
      <c r="AJ661" s="308"/>
      <c r="AK661" s="305"/>
      <c r="AL661" s="577"/>
      <c r="AM661" s="306"/>
      <c r="AN661" s="308"/>
      <c r="AO661" s="573"/>
      <c r="AP661" s="305"/>
      <c r="AQ661" s="308"/>
      <c r="AR661" s="573"/>
      <c r="AS661" s="578"/>
      <c r="AT661" s="577"/>
      <c r="AU661" s="579"/>
      <c r="AV661" s="578"/>
      <c r="AW661" s="308"/>
      <c r="AX661" s="307"/>
      <c r="AY661" s="307"/>
      <c r="AZ661" s="307"/>
      <c r="BA661" s="307"/>
      <c r="BB661" s="307"/>
      <c r="BC661" s="305"/>
      <c r="BD661" s="292"/>
      <c r="BE661" s="297"/>
      <c r="BF661" s="297"/>
      <c r="BG661" s="569"/>
      <c r="BH661" s="570"/>
      <c r="BI661" s="570"/>
      <c r="BJ661" s="570"/>
      <c r="BK661" s="570"/>
      <c r="BL661" s="570"/>
      <c r="BM661" s="570"/>
      <c r="BN661" s="570"/>
      <c r="BO661" s="570"/>
      <c r="BP661" s="570"/>
      <c r="BQ661" s="570"/>
      <c r="BR661" s="570"/>
      <c r="BS661" s="570"/>
      <c r="BT661" s="570"/>
      <c r="BU661" s="570"/>
      <c r="BV661" s="570"/>
      <c r="BW661" s="570"/>
      <c r="BX661" s="570"/>
      <c r="BY661" s="570"/>
      <c r="BZ661" s="571"/>
      <c r="CA661" s="571"/>
    </row>
    <row r="662" spans="2:79">
      <c r="B662" s="566">
        <v>647</v>
      </c>
      <c r="C662" s="308"/>
      <c r="D662" s="307"/>
      <c r="E662" s="307"/>
      <c r="F662" s="305"/>
      <c r="G662" s="305"/>
      <c r="H662" s="292"/>
      <c r="I662" s="574"/>
      <c r="J662" s="573"/>
      <c r="K662" s="307"/>
      <c r="L662" s="292"/>
      <c r="M662" s="308"/>
      <c r="N662" s="292"/>
      <c r="O662" s="308"/>
      <c r="P662" s="575"/>
      <c r="Q662" s="576"/>
      <c r="R662" s="308"/>
      <c r="S662" s="575"/>
      <c r="T662" s="576"/>
      <c r="U662" s="308"/>
      <c r="V662" s="575"/>
      <c r="W662" s="576"/>
      <c r="X662" s="308"/>
      <c r="Y662" s="575"/>
      <c r="Z662" s="576"/>
      <c r="AA662" s="308"/>
      <c r="AB662" s="575"/>
      <c r="AC662" s="576"/>
      <c r="AD662" s="308"/>
      <c r="AE662" s="575"/>
      <c r="AF662" s="308"/>
      <c r="AG662" s="575"/>
      <c r="AH662" s="308"/>
      <c r="AI662" s="575"/>
      <c r="AJ662" s="308"/>
      <c r="AK662" s="305"/>
      <c r="AL662" s="577"/>
      <c r="AM662" s="306"/>
      <c r="AN662" s="308"/>
      <c r="AO662" s="573"/>
      <c r="AP662" s="305"/>
      <c r="AQ662" s="308"/>
      <c r="AR662" s="573"/>
      <c r="AS662" s="578"/>
      <c r="AT662" s="577"/>
      <c r="AU662" s="579"/>
      <c r="AV662" s="578"/>
      <c r="AW662" s="308"/>
      <c r="AX662" s="307"/>
      <c r="AY662" s="307"/>
      <c r="AZ662" s="307"/>
      <c r="BA662" s="307"/>
      <c r="BB662" s="307"/>
      <c r="BC662" s="305"/>
      <c r="BD662" s="292"/>
      <c r="BE662" s="297"/>
      <c r="BF662" s="297"/>
      <c r="BG662" s="569"/>
      <c r="BH662" s="570"/>
      <c r="BI662" s="570"/>
      <c r="BJ662" s="570"/>
      <c r="BK662" s="570"/>
      <c r="BL662" s="570"/>
      <c r="BM662" s="570"/>
      <c r="BN662" s="570"/>
      <c r="BO662" s="570"/>
      <c r="BP662" s="570"/>
      <c r="BQ662" s="570"/>
      <c r="BR662" s="570"/>
      <c r="BS662" s="570"/>
      <c r="BT662" s="570"/>
      <c r="BU662" s="570"/>
      <c r="BV662" s="570"/>
      <c r="BW662" s="570"/>
      <c r="BX662" s="570"/>
      <c r="BY662" s="570"/>
      <c r="BZ662" s="571"/>
      <c r="CA662" s="571"/>
    </row>
    <row r="663" spans="2:79">
      <c r="B663" s="572">
        <v>648</v>
      </c>
      <c r="C663" s="308"/>
      <c r="D663" s="307"/>
      <c r="E663" s="307"/>
      <c r="F663" s="305"/>
      <c r="G663" s="305"/>
      <c r="H663" s="292"/>
      <c r="I663" s="574"/>
      <c r="J663" s="573"/>
      <c r="K663" s="307"/>
      <c r="L663" s="292"/>
      <c r="M663" s="308"/>
      <c r="N663" s="292"/>
      <c r="O663" s="308"/>
      <c r="P663" s="575"/>
      <c r="Q663" s="576"/>
      <c r="R663" s="308"/>
      <c r="S663" s="575"/>
      <c r="T663" s="576"/>
      <c r="U663" s="308"/>
      <c r="V663" s="575"/>
      <c r="W663" s="576"/>
      <c r="X663" s="308"/>
      <c r="Y663" s="575"/>
      <c r="Z663" s="576"/>
      <c r="AA663" s="308"/>
      <c r="AB663" s="575"/>
      <c r="AC663" s="576"/>
      <c r="AD663" s="308"/>
      <c r="AE663" s="575"/>
      <c r="AF663" s="308"/>
      <c r="AG663" s="575"/>
      <c r="AH663" s="308"/>
      <c r="AI663" s="575"/>
      <c r="AJ663" s="308"/>
      <c r="AK663" s="305"/>
      <c r="AL663" s="577"/>
      <c r="AM663" s="306"/>
      <c r="AN663" s="308"/>
      <c r="AO663" s="573"/>
      <c r="AP663" s="305"/>
      <c r="AQ663" s="308"/>
      <c r="AR663" s="573"/>
      <c r="AS663" s="578"/>
      <c r="AT663" s="577"/>
      <c r="AU663" s="579"/>
      <c r="AV663" s="578"/>
      <c r="AW663" s="308"/>
      <c r="AX663" s="307"/>
      <c r="AY663" s="307"/>
      <c r="AZ663" s="307"/>
      <c r="BA663" s="307"/>
      <c r="BB663" s="307"/>
      <c r="BC663" s="305"/>
      <c r="BD663" s="292"/>
      <c r="BE663" s="297"/>
      <c r="BF663" s="297"/>
      <c r="BG663" s="569"/>
      <c r="BH663" s="570"/>
      <c r="BI663" s="570"/>
      <c r="BJ663" s="570"/>
      <c r="BK663" s="570"/>
      <c r="BL663" s="570"/>
      <c r="BM663" s="570"/>
      <c r="BN663" s="570"/>
      <c r="BO663" s="570"/>
      <c r="BP663" s="570"/>
      <c r="BQ663" s="570"/>
      <c r="BR663" s="570"/>
      <c r="BS663" s="570"/>
      <c r="BT663" s="570"/>
      <c r="BU663" s="570"/>
      <c r="BV663" s="570"/>
      <c r="BW663" s="570"/>
      <c r="BX663" s="570"/>
      <c r="BY663" s="570"/>
      <c r="BZ663" s="571"/>
      <c r="CA663" s="571"/>
    </row>
    <row r="664" spans="2:79">
      <c r="B664" s="566">
        <v>649</v>
      </c>
      <c r="C664" s="308"/>
      <c r="D664" s="307"/>
      <c r="E664" s="307"/>
      <c r="F664" s="305"/>
      <c r="G664" s="305"/>
      <c r="H664" s="292"/>
      <c r="I664" s="574"/>
      <c r="J664" s="573"/>
      <c r="K664" s="307"/>
      <c r="L664" s="292"/>
      <c r="M664" s="308"/>
      <c r="N664" s="292"/>
      <c r="O664" s="308"/>
      <c r="P664" s="575"/>
      <c r="Q664" s="576"/>
      <c r="R664" s="308"/>
      <c r="S664" s="575"/>
      <c r="T664" s="576"/>
      <c r="U664" s="308"/>
      <c r="V664" s="575"/>
      <c r="W664" s="576"/>
      <c r="X664" s="308"/>
      <c r="Y664" s="575"/>
      <c r="Z664" s="576"/>
      <c r="AA664" s="308"/>
      <c r="AB664" s="575"/>
      <c r="AC664" s="576"/>
      <c r="AD664" s="308"/>
      <c r="AE664" s="575"/>
      <c r="AF664" s="308"/>
      <c r="AG664" s="575"/>
      <c r="AH664" s="308"/>
      <c r="AI664" s="575"/>
      <c r="AJ664" s="308"/>
      <c r="AK664" s="305"/>
      <c r="AL664" s="577"/>
      <c r="AM664" s="306"/>
      <c r="AN664" s="308"/>
      <c r="AO664" s="573"/>
      <c r="AP664" s="305"/>
      <c r="AQ664" s="308"/>
      <c r="AR664" s="573"/>
      <c r="AS664" s="578"/>
      <c r="AT664" s="577"/>
      <c r="AU664" s="579"/>
      <c r="AV664" s="578"/>
      <c r="AW664" s="308"/>
      <c r="AX664" s="307"/>
      <c r="AY664" s="307"/>
      <c r="AZ664" s="307"/>
      <c r="BA664" s="307"/>
      <c r="BB664" s="307"/>
      <c r="BC664" s="305"/>
      <c r="BD664" s="292"/>
      <c r="BE664" s="297"/>
      <c r="BF664" s="297"/>
      <c r="BG664" s="569"/>
      <c r="BH664" s="570"/>
      <c r="BI664" s="570"/>
      <c r="BJ664" s="570"/>
      <c r="BK664" s="570"/>
      <c r="BL664" s="570"/>
      <c r="BM664" s="570"/>
      <c r="BN664" s="570"/>
      <c r="BO664" s="570"/>
      <c r="BP664" s="570"/>
      <c r="BQ664" s="570"/>
      <c r="BR664" s="570"/>
      <c r="BS664" s="570"/>
      <c r="BT664" s="570"/>
      <c r="BU664" s="570"/>
      <c r="BV664" s="570"/>
      <c r="BW664" s="570"/>
      <c r="BX664" s="570"/>
      <c r="BY664" s="570"/>
      <c r="BZ664" s="571"/>
      <c r="CA664" s="571"/>
    </row>
    <row r="665" spans="2:79">
      <c r="B665" s="572">
        <v>650</v>
      </c>
      <c r="C665" s="308"/>
      <c r="D665" s="307"/>
      <c r="E665" s="307"/>
      <c r="F665" s="305"/>
      <c r="G665" s="305"/>
      <c r="H665" s="292"/>
      <c r="I665" s="574"/>
      <c r="J665" s="573"/>
      <c r="K665" s="307"/>
      <c r="L665" s="292"/>
      <c r="M665" s="308"/>
      <c r="N665" s="292"/>
      <c r="O665" s="308"/>
      <c r="P665" s="575"/>
      <c r="Q665" s="576"/>
      <c r="R665" s="308"/>
      <c r="S665" s="575"/>
      <c r="T665" s="576"/>
      <c r="U665" s="308"/>
      <c r="V665" s="575"/>
      <c r="W665" s="576"/>
      <c r="X665" s="308"/>
      <c r="Y665" s="575"/>
      <c r="Z665" s="576"/>
      <c r="AA665" s="308"/>
      <c r="AB665" s="575"/>
      <c r="AC665" s="576"/>
      <c r="AD665" s="308"/>
      <c r="AE665" s="575"/>
      <c r="AF665" s="308"/>
      <c r="AG665" s="575"/>
      <c r="AH665" s="308"/>
      <c r="AI665" s="575"/>
      <c r="AJ665" s="308"/>
      <c r="AK665" s="305"/>
      <c r="AL665" s="577"/>
      <c r="AM665" s="306"/>
      <c r="AN665" s="308"/>
      <c r="AO665" s="573"/>
      <c r="AP665" s="305"/>
      <c r="AQ665" s="308"/>
      <c r="AR665" s="573"/>
      <c r="AS665" s="578"/>
      <c r="AT665" s="577"/>
      <c r="AU665" s="579"/>
      <c r="AV665" s="578"/>
      <c r="AW665" s="308"/>
      <c r="AX665" s="307"/>
      <c r="AY665" s="307"/>
      <c r="AZ665" s="307"/>
      <c r="BA665" s="307"/>
      <c r="BB665" s="307"/>
      <c r="BC665" s="305"/>
      <c r="BD665" s="292"/>
      <c r="BE665" s="297"/>
      <c r="BF665" s="297"/>
      <c r="BG665" s="569"/>
      <c r="BH665" s="570"/>
      <c r="BI665" s="570"/>
      <c r="BJ665" s="570"/>
      <c r="BK665" s="570"/>
      <c r="BL665" s="570"/>
      <c r="BM665" s="570"/>
      <c r="BN665" s="570"/>
      <c r="BO665" s="570"/>
      <c r="BP665" s="570"/>
      <c r="BQ665" s="570"/>
      <c r="BR665" s="570"/>
      <c r="BS665" s="570"/>
      <c r="BT665" s="570"/>
      <c r="BU665" s="570"/>
      <c r="BV665" s="570"/>
      <c r="BW665" s="570"/>
      <c r="BX665" s="570"/>
      <c r="BY665" s="570"/>
      <c r="BZ665" s="571"/>
      <c r="CA665" s="571"/>
    </row>
    <row r="666" spans="2:79">
      <c r="B666" s="566">
        <v>651</v>
      </c>
      <c r="C666" s="308"/>
      <c r="D666" s="307"/>
      <c r="E666" s="307"/>
      <c r="F666" s="305"/>
      <c r="G666" s="305"/>
      <c r="H666" s="292"/>
      <c r="I666" s="574"/>
      <c r="J666" s="573"/>
      <c r="K666" s="307"/>
      <c r="L666" s="292"/>
      <c r="M666" s="308"/>
      <c r="N666" s="292"/>
      <c r="O666" s="308"/>
      <c r="P666" s="575"/>
      <c r="Q666" s="576"/>
      <c r="R666" s="308"/>
      <c r="S666" s="575"/>
      <c r="T666" s="576"/>
      <c r="U666" s="308"/>
      <c r="V666" s="575"/>
      <c r="W666" s="576"/>
      <c r="X666" s="308"/>
      <c r="Y666" s="575"/>
      <c r="Z666" s="576"/>
      <c r="AA666" s="308"/>
      <c r="AB666" s="575"/>
      <c r="AC666" s="576"/>
      <c r="AD666" s="308"/>
      <c r="AE666" s="575"/>
      <c r="AF666" s="308"/>
      <c r="AG666" s="575"/>
      <c r="AH666" s="308"/>
      <c r="AI666" s="575"/>
      <c r="AJ666" s="308"/>
      <c r="AK666" s="305"/>
      <c r="AL666" s="577"/>
      <c r="AM666" s="306"/>
      <c r="AN666" s="308"/>
      <c r="AO666" s="573"/>
      <c r="AP666" s="305"/>
      <c r="AQ666" s="308"/>
      <c r="AR666" s="573"/>
      <c r="AS666" s="578"/>
      <c r="AT666" s="577"/>
      <c r="AU666" s="579"/>
      <c r="AV666" s="578"/>
      <c r="AW666" s="308"/>
      <c r="AX666" s="307"/>
      <c r="AY666" s="307"/>
      <c r="AZ666" s="307"/>
      <c r="BA666" s="307"/>
      <c r="BB666" s="307"/>
      <c r="BC666" s="305"/>
      <c r="BD666" s="292"/>
      <c r="BE666" s="297"/>
      <c r="BF666" s="297"/>
      <c r="BG666" s="569"/>
      <c r="BH666" s="570"/>
      <c r="BI666" s="570"/>
      <c r="BJ666" s="570"/>
      <c r="BK666" s="570"/>
      <c r="BL666" s="570"/>
      <c r="BM666" s="570"/>
      <c r="BN666" s="570"/>
      <c r="BO666" s="570"/>
      <c r="BP666" s="570"/>
      <c r="BQ666" s="570"/>
      <c r="BR666" s="570"/>
      <c r="BS666" s="570"/>
      <c r="BT666" s="570"/>
      <c r="BU666" s="570"/>
      <c r="BV666" s="570"/>
      <c r="BW666" s="570"/>
      <c r="BX666" s="570"/>
      <c r="BY666" s="570"/>
      <c r="BZ666" s="571"/>
      <c r="CA666" s="571"/>
    </row>
    <row r="667" spans="2:79">
      <c r="B667" s="572">
        <v>652</v>
      </c>
      <c r="C667" s="308"/>
      <c r="D667" s="307"/>
      <c r="E667" s="307"/>
      <c r="F667" s="305"/>
      <c r="G667" s="305"/>
      <c r="H667" s="292"/>
      <c r="I667" s="574"/>
      <c r="J667" s="573"/>
      <c r="K667" s="307"/>
      <c r="L667" s="292"/>
      <c r="M667" s="308"/>
      <c r="N667" s="292"/>
      <c r="O667" s="308"/>
      <c r="P667" s="575"/>
      <c r="Q667" s="576"/>
      <c r="R667" s="308"/>
      <c r="S667" s="575"/>
      <c r="T667" s="576"/>
      <c r="U667" s="308"/>
      <c r="V667" s="575"/>
      <c r="W667" s="576"/>
      <c r="X667" s="308"/>
      <c r="Y667" s="575"/>
      <c r="Z667" s="576"/>
      <c r="AA667" s="308"/>
      <c r="AB667" s="575"/>
      <c r="AC667" s="576"/>
      <c r="AD667" s="308"/>
      <c r="AE667" s="575"/>
      <c r="AF667" s="308"/>
      <c r="AG667" s="575"/>
      <c r="AH667" s="308"/>
      <c r="AI667" s="575"/>
      <c r="AJ667" s="308"/>
      <c r="AK667" s="305"/>
      <c r="AL667" s="577"/>
      <c r="AM667" s="306"/>
      <c r="AN667" s="308"/>
      <c r="AO667" s="573"/>
      <c r="AP667" s="305"/>
      <c r="AQ667" s="308"/>
      <c r="AR667" s="573"/>
      <c r="AS667" s="578"/>
      <c r="AT667" s="577"/>
      <c r="AU667" s="579"/>
      <c r="AV667" s="578"/>
      <c r="AW667" s="308"/>
      <c r="AX667" s="307"/>
      <c r="AY667" s="307"/>
      <c r="AZ667" s="307"/>
      <c r="BA667" s="307"/>
      <c r="BB667" s="307"/>
      <c r="BC667" s="305"/>
      <c r="BD667" s="292"/>
      <c r="BE667" s="297"/>
      <c r="BF667" s="297"/>
      <c r="BG667" s="569"/>
      <c r="BH667" s="570"/>
      <c r="BI667" s="570"/>
      <c r="BJ667" s="570"/>
      <c r="BK667" s="570"/>
      <c r="BL667" s="570"/>
      <c r="BM667" s="570"/>
      <c r="BN667" s="570"/>
      <c r="BO667" s="570"/>
      <c r="BP667" s="570"/>
      <c r="BQ667" s="570"/>
      <c r="BR667" s="570"/>
      <c r="BS667" s="570"/>
      <c r="BT667" s="570"/>
      <c r="BU667" s="570"/>
      <c r="BV667" s="570"/>
      <c r="BW667" s="570"/>
      <c r="BX667" s="570"/>
      <c r="BY667" s="570"/>
      <c r="BZ667" s="571"/>
      <c r="CA667" s="571"/>
    </row>
    <row r="668" spans="2:79">
      <c r="B668" s="566">
        <v>653</v>
      </c>
      <c r="C668" s="308"/>
      <c r="D668" s="307"/>
      <c r="E668" s="307"/>
      <c r="F668" s="305"/>
      <c r="G668" s="305"/>
      <c r="H668" s="292"/>
      <c r="I668" s="574"/>
      <c r="J668" s="573"/>
      <c r="K668" s="307"/>
      <c r="L668" s="292"/>
      <c r="M668" s="308"/>
      <c r="N668" s="292"/>
      <c r="O668" s="308"/>
      <c r="P668" s="575"/>
      <c r="Q668" s="576"/>
      <c r="R668" s="308"/>
      <c r="S668" s="575"/>
      <c r="T668" s="576"/>
      <c r="U668" s="308"/>
      <c r="V668" s="575"/>
      <c r="W668" s="576"/>
      <c r="X668" s="308"/>
      <c r="Y668" s="575"/>
      <c r="Z668" s="576"/>
      <c r="AA668" s="308"/>
      <c r="AB668" s="575"/>
      <c r="AC668" s="576"/>
      <c r="AD668" s="308"/>
      <c r="AE668" s="575"/>
      <c r="AF668" s="308"/>
      <c r="AG668" s="575"/>
      <c r="AH668" s="308"/>
      <c r="AI668" s="575"/>
      <c r="AJ668" s="308"/>
      <c r="AK668" s="305"/>
      <c r="AL668" s="577"/>
      <c r="AM668" s="306"/>
      <c r="AN668" s="308"/>
      <c r="AO668" s="573"/>
      <c r="AP668" s="305"/>
      <c r="AQ668" s="308"/>
      <c r="AR668" s="573"/>
      <c r="AS668" s="578"/>
      <c r="AT668" s="577"/>
      <c r="AU668" s="579"/>
      <c r="AV668" s="578"/>
      <c r="AW668" s="308"/>
      <c r="AX668" s="307"/>
      <c r="AY668" s="307"/>
      <c r="AZ668" s="307"/>
      <c r="BA668" s="307"/>
      <c r="BB668" s="307"/>
      <c r="BC668" s="305"/>
      <c r="BD668" s="292"/>
      <c r="BE668" s="297"/>
      <c r="BF668" s="297"/>
      <c r="BG668" s="569"/>
      <c r="BH668" s="570"/>
      <c r="BI668" s="570"/>
      <c r="BJ668" s="570"/>
      <c r="BK668" s="570"/>
      <c r="BL668" s="570"/>
      <c r="BM668" s="570"/>
      <c r="BN668" s="570"/>
      <c r="BO668" s="570"/>
      <c r="BP668" s="570"/>
      <c r="BQ668" s="570"/>
      <c r="BR668" s="570"/>
      <c r="BS668" s="570"/>
      <c r="BT668" s="570"/>
      <c r="BU668" s="570"/>
      <c r="BV668" s="570"/>
      <c r="BW668" s="570"/>
      <c r="BX668" s="570"/>
      <c r="BY668" s="570"/>
      <c r="BZ668" s="571"/>
      <c r="CA668" s="571"/>
    </row>
    <row r="669" spans="2:79">
      <c r="B669" s="572">
        <v>654</v>
      </c>
      <c r="C669" s="308"/>
      <c r="D669" s="307"/>
      <c r="E669" s="307"/>
      <c r="F669" s="305"/>
      <c r="G669" s="305"/>
      <c r="H669" s="292"/>
      <c r="I669" s="574"/>
      <c r="J669" s="573"/>
      <c r="K669" s="307"/>
      <c r="L669" s="292"/>
      <c r="M669" s="308"/>
      <c r="N669" s="292"/>
      <c r="O669" s="308"/>
      <c r="P669" s="575"/>
      <c r="Q669" s="576"/>
      <c r="R669" s="308"/>
      <c r="S669" s="575"/>
      <c r="T669" s="576"/>
      <c r="U669" s="308"/>
      <c r="V669" s="575"/>
      <c r="W669" s="576"/>
      <c r="X669" s="308"/>
      <c r="Y669" s="575"/>
      <c r="Z669" s="576"/>
      <c r="AA669" s="308"/>
      <c r="AB669" s="575"/>
      <c r="AC669" s="576"/>
      <c r="AD669" s="308"/>
      <c r="AE669" s="575"/>
      <c r="AF669" s="308"/>
      <c r="AG669" s="575"/>
      <c r="AH669" s="308"/>
      <c r="AI669" s="575"/>
      <c r="AJ669" s="308"/>
      <c r="AK669" s="305"/>
      <c r="AL669" s="577"/>
      <c r="AM669" s="306"/>
      <c r="AN669" s="308"/>
      <c r="AO669" s="573"/>
      <c r="AP669" s="305"/>
      <c r="AQ669" s="308"/>
      <c r="AR669" s="573"/>
      <c r="AS669" s="578"/>
      <c r="AT669" s="577"/>
      <c r="AU669" s="579"/>
      <c r="AV669" s="578"/>
      <c r="AW669" s="308"/>
      <c r="AX669" s="307"/>
      <c r="AY669" s="307"/>
      <c r="AZ669" s="307"/>
      <c r="BA669" s="307"/>
      <c r="BB669" s="307"/>
      <c r="BC669" s="305"/>
      <c r="BD669" s="292"/>
      <c r="BE669" s="297"/>
      <c r="BF669" s="297"/>
      <c r="BG669" s="569"/>
      <c r="BH669" s="570"/>
      <c r="BI669" s="570"/>
      <c r="BJ669" s="570"/>
      <c r="BK669" s="570"/>
      <c r="BL669" s="570"/>
      <c r="BM669" s="570"/>
      <c r="BN669" s="570"/>
      <c r="BO669" s="570"/>
      <c r="BP669" s="570"/>
      <c r="BQ669" s="570"/>
      <c r="BR669" s="570"/>
      <c r="BS669" s="570"/>
      <c r="BT669" s="570"/>
      <c r="BU669" s="570"/>
      <c r="BV669" s="570"/>
      <c r="BW669" s="570"/>
      <c r="BX669" s="570"/>
      <c r="BY669" s="570"/>
      <c r="BZ669" s="571"/>
      <c r="CA669" s="571"/>
    </row>
    <row r="670" spans="2:79">
      <c r="B670" s="566">
        <v>655</v>
      </c>
      <c r="C670" s="308"/>
      <c r="D670" s="307"/>
      <c r="E670" s="307"/>
      <c r="F670" s="305"/>
      <c r="G670" s="305"/>
      <c r="H670" s="292"/>
      <c r="I670" s="574"/>
      <c r="J670" s="573"/>
      <c r="K670" s="307"/>
      <c r="L670" s="292"/>
      <c r="M670" s="308"/>
      <c r="N670" s="292"/>
      <c r="O670" s="308"/>
      <c r="P670" s="575"/>
      <c r="Q670" s="576"/>
      <c r="R670" s="308"/>
      <c r="S670" s="575"/>
      <c r="T670" s="576"/>
      <c r="U670" s="308"/>
      <c r="V670" s="575"/>
      <c r="W670" s="576"/>
      <c r="X670" s="308"/>
      <c r="Y670" s="575"/>
      <c r="Z670" s="576"/>
      <c r="AA670" s="308"/>
      <c r="AB670" s="575"/>
      <c r="AC670" s="576"/>
      <c r="AD670" s="308"/>
      <c r="AE670" s="575"/>
      <c r="AF670" s="308"/>
      <c r="AG670" s="575"/>
      <c r="AH670" s="308"/>
      <c r="AI670" s="575"/>
      <c r="AJ670" s="308"/>
      <c r="AK670" s="305"/>
      <c r="AL670" s="577"/>
      <c r="AM670" s="306"/>
      <c r="AN670" s="308"/>
      <c r="AO670" s="573"/>
      <c r="AP670" s="305"/>
      <c r="AQ670" s="308"/>
      <c r="AR670" s="573"/>
      <c r="AS670" s="578"/>
      <c r="AT670" s="577"/>
      <c r="AU670" s="579"/>
      <c r="AV670" s="578"/>
      <c r="AW670" s="308"/>
      <c r="AX670" s="307"/>
      <c r="AY670" s="307"/>
      <c r="AZ670" s="307"/>
      <c r="BA670" s="307"/>
      <c r="BB670" s="307"/>
      <c r="BC670" s="305"/>
      <c r="BD670" s="292"/>
      <c r="BE670" s="297"/>
      <c r="BF670" s="297"/>
      <c r="BG670" s="569"/>
      <c r="BH670" s="570"/>
      <c r="BI670" s="570"/>
      <c r="BJ670" s="570"/>
      <c r="BK670" s="570"/>
      <c r="BL670" s="570"/>
      <c r="BM670" s="570"/>
      <c r="BN670" s="570"/>
      <c r="BO670" s="570"/>
      <c r="BP670" s="570"/>
      <c r="BQ670" s="570"/>
      <c r="BR670" s="570"/>
      <c r="BS670" s="570"/>
      <c r="BT670" s="570"/>
      <c r="BU670" s="570"/>
      <c r="BV670" s="570"/>
      <c r="BW670" s="570"/>
      <c r="BX670" s="570"/>
      <c r="BY670" s="570"/>
      <c r="BZ670" s="571"/>
      <c r="CA670" s="571"/>
    </row>
    <row r="671" spans="2:79">
      <c r="B671" s="572">
        <v>656</v>
      </c>
      <c r="C671" s="308"/>
      <c r="D671" s="307"/>
      <c r="E671" s="307"/>
      <c r="F671" s="305"/>
      <c r="G671" s="305"/>
      <c r="H671" s="292"/>
      <c r="I671" s="574"/>
      <c r="J671" s="573"/>
      <c r="K671" s="307"/>
      <c r="L671" s="292"/>
      <c r="M671" s="308"/>
      <c r="N671" s="292"/>
      <c r="O671" s="308"/>
      <c r="P671" s="575"/>
      <c r="Q671" s="576"/>
      <c r="R671" s="308"/>
      <c r="S671" s="575"/>
      <c r="T671" s="576"/>
      <c r="U671" s="308"/>
      <c r="V671" s="575"/>
      <c r="W671" s="576"/>
      <c r="X671" s="308"/>
      <c r="Y671" s="575"/>
      <c r="Z671" s="576"/>
      <c r="AA671" s="308"/>
      <c r="AB671" s="575"/>
      <c r="AC671" s="576"/>
      <c r="AD671" s="308"/>
      <c r="AE671" s="575"/>
      <c r="AF671" s="308"/>
      <c r="AG671" s="575"/>
      <c r="AH671" s="308"/>
      <c r="AI671" s="575"/>
      <c r="AJ671" s="308"/>
      <c r="AK671" s="305"/>
      <c r="AL671" s="577"/>
      <c r="AM671" s="306"/>
      <c r="AN671" s="308"/>
      <c r="AO671" s="573"/>
      <c r="AP671" s="305"/>
      <c r="AQ671" s="308"/>
      <c r="AR671" s="573"/>
      <c r="AS671" s="578"/>
      <c r="AT671" s="577"/>
      <c r="AU671" s="579"/>
      <c r="AV671" s="578"/>
      <c r="AW671" s="308"/>
      <c r="AX671" s="307"/>
      <c r="AY671" s="307"/>
      <c r="AZ671" s="307"/>
      <c r="BA671" s="307"/>
      <c r="BB671" s="307"/>
      <c r="BC671" s="305"/>
      <c r="BD671" s="292"/>
      <c r="BE671" s="297"/>
      <c r="BF671" s="297"/>
      <c r="BG671" s="569"/>
      <c r="BH671" s="570"/>
      <c r="BI671" s="570"/>
      <c r="BJ671" s="570"/>
      <c r="BK671" s="570"/>
      <c r="BL671" s="570"/>
      <c r="BM671" s="570"/>
      <c r="BN671" s="570"/>
      <c r="BO671" s="570"/>
      <c r="BP671" s="570"/>
      <c r="BQ671" s="570"/>
      <c r="BR671" s="570"/>
      <c r="BS671" s="570"/>
      <c r="BT671" s="570"/>
      <c r="BU671" s="570"/>
      <c r="BV671" s="570"/>
      <c r="BW671" s="570"/>
      <c r="BX671" s="570"/>
      <c r="BY671" s="570"/>
      <c r="BZ671" s="571"/>
      <c r="CA671" s="571"/>
    </row>
    <row r="672" spans="2:79">
      <c r="B672" s="566">
        <v>657</v>
      </c>
      <c r="C672" s="308"/>
      <c r="D672" s="307"/>
      <c r="E672" s="307"/>
      <c r="F672" s="305"/>
      <c r="G672" s="305"/>
      <c r="H672" s="292"/>
      <c r="I672" s="574"/>
      <c r="J672" s="573"/>
      <c r="K672" s="307"/>
      <c r="L672" s="292"/>
      <c r="M672" s="308"/>
      <c r="N672" s="292"/>
      <c r="O672" s="308"/>
      <c r="P672" s="575"/>
      <c r="Q672" s="576"/>
      <c r="R672" s="308"/>
      <c r="S672" s="575"/>
      <c r="T672" s="576"/>
      <c r="U672" s="308"/>
      <c r="V672" s="575"/>
      <c r="W672" s="576"/>
      <c r="X672" s="308"/>
      <c r="Y672" s="575"/>
      <c r="Z672" s="576"/>
      <c r="AA672" s="308"/>
      <c r="AB672" s="575"/>
      <c r="AC672" s="576"/>
      <c r="AD672" s="308"/>
      <c r="AE672" s="575"/>
      <c r="AF672" s="308"/>
      <c r="AG672" s="575"/>
      <c r="AH672" s="308"/>
      <c r="AI672" s="575"/>
      <c r="AJ672" s="308"/>
      <c r="AK672" s="305"/>
      <c r="AL672" s="577"/>
      <c r="AM672" s="306"/>
      <c r="AN672" s="308"/>
      <c r="AO672" s="573"/>
      <c r="AP672" s="305"/>
      <c r="AQ672" s="308"/>
      <c r="AR672" s="573"/>
      <c r="AS672" s="578"/>
      <c r="AT672" s="577"/>
      <c r="AU672" s="579"/>
      <c r="AV672" s="578"/>
      <c r="AW672" s="308"/>
      <c r="AX672" s="307"/>
      <c r="AY672" s="307"/>
      <c r="AZ672" s="307"/>
      <c r="BA672" s="307"/>
      <c r="BB672" s="307"/>
      <c r="BC672" s="305"/>
      <c r="BD672" s="292"/>
      <c r="BE672" s="297"/>
      <c r="BF672" s="297"/>
      <c r="BG672" s="569"/>
      <c r="BH672" s="570"/>
      <c r="BI672" s="570"/>
      <c r="BJ672" s="570"/>
      <c r="BK672" s="570"/>
      <c r="BL672" s="570"/>
      <c r="BM672" s="570"/>
      <c r="BN672" s="570"/>
      <c r="BO672" s="570"/>
      <c r="BP672" s="570"/>
      <c r="BQ672" s="570"/>
      <c r="BR672" s="570"/>
      <c r="BS672" s="570"/>
      <c r="BT672" s="570"/>
      <c r="BU672" s="570"/>
      <c r="BV672" s="570"/>
      <c r="BW672" s="570"/>
      <c r="BX672" s="570"/>
      <c r="BY672" s="570"/>
      <c r="BZ672" s="571"/>
      <c r="CA672" s="571"/>
    </row>
    <row r="673" spans="2:79">
      <c r="B673" s="572">
        <v>658</v>
      </c>
      <c r="C673" s="308"/>
      <c r="D673" s="307"/>
      <c r="E673" s="307"/>
      <c r="F673" s="305"/>
      <c r="G673" s="305"/>
      <c r="H673" s="292"/>
      <c r="I673" s="574"/>
      <c r="J673" s="573"/>
      <c r="K673" s="307"/>
      <c r="L673" s="292"/>
      <c r="M673" s="308"/>
      <c r="N673" s="292"/>
      <c r="O673" s="308"/>
      <c r="P673" s="575"/>
      <c r="Q673" s="576"/>
      <c r="R673" s="308"/>
      <c r="S673" s="575"/>
      <c r="T673" s="576"/>
      <c r="U673" s="308"/>
      <c r="V673" s="575"/>
      <c r="W673" s="576"/>
      <c r="X673" s="308"/>
      <c r="Y673" s="575"/>
      <c r="Z673" s="576"/>
      <c r="AA673" s="308"/>
      <c r="AB673" s="575"/>
      <c r="AC673" s="576"/>
      <c r="AD673" s="308"/>
      <c r="AE673" s="575"/>
      <c r="AF673" s="308"/>
      <c r="AG673" s="575"/>
      <c r="AH673" s="308"/>
      <c r="AI673" s="575"/>
      <c r="AJ673" s="308"/>
      <c r="AK673" s="305"/>
      <c r="AL673" s="577"/>
      <c r="AM673" s="306"/>
      <c r="AN673" s="308"/>
      <c r="AO673" s="573"/>
      <c r="AP673" s="305"/>
      <c r="AQ673" s="308"/>
      <c r="AR673" s="573"/>
      <c r="AS673" s="578"/>
      <c r="AT673" s="577"/>
      <c r="AU673" s="579"/>
      <c r="AV673" s="578"/>
      <c r="AW673" s="308"/>
      <c r="AX673" s="307"/>
      <c r="AY673" s="307"/>
      <c r="AZ673" s="307"/>
      <c r="BA673" s="307"/>
      <c r="BB673" s="307"/>
      <c r="BC673" s="305"/>
      <c r="BD673" s="292"/>
      <c r="BE673" s="297"/>
      <c r="BF673" s="297"/>
      <c r="BG673" s="569"/>
      <c r="BH673" s="570"/>
      <c r="BI673" s="570"/>
      <c r="BJ673" s="570"/>
      <c r="BK673" s="570"/>
      <c r="BL673" s="570"/>
      <c r="BM673" s="570"/>
      <c r="BN673" s="570"/>
      <c r="BO673" s="570"/>
      <c r="BP673" s="570"/>
      <c r="BQ673" s="570"/>
      <c r="BR673" s="570"/>
      <c r="BS673" s="570"/>
      <c r="BT673" s="570"/>
      <c r="BU673" s="570"/>
      <c r="BV673" s="570"/>
      <c r="BW673" s="570"/>
      <c r="BX673" s="570"/>
      <c r="BY673" s="570"/>
      <c r="BZ673" s="571"/>
      <c r="CA673" s="571"/>
    </row>
    <row r="674" spans="2:79">
      <c r="B674" s="566">
        <v>659</v>
      </c>
      <c r="C674" s="308"/>
      <c r="D674" s="307"/>
      <c r="E674" s="307"/>
      <c r="F674" s="305"/>
      <c r="G674" s="305"/>
      <c r="H674" s="292"/>
      <c r="I674" s="574"/>
      <c r="J674" s="573"/>
      <c r="K674" s="307"/>
      <c r="L674" s="292"/>
      <c r="M674" s="308"/>
      <c r="N674" s="292"/>
      <c r="O674" s="308"/>
      <c r="P674" s="575"/>
      <c r="Q674" s="576"/>
      <c r="R674" s="308"/>
      <c r="S674" s="575"/>
      <c r="T674" s="576"/>
      <c r="U674" s="308"/>
      <c r="V674" s="575"/>
      <c r="W674" s="576"/>
      <c r="X674" s="308"/>
      <c r="Y674" s="575"/>
      <c r="Z674" s="576"/>
      <c r="AA674" s="308"/>
      <c r="AB674" s="575"/>
      <c r="AC674" s="576"/>
      <c r="AD674" s="308"/>
      <c r="AE674" s="575"/>
      <c r="AF674" s="308"/>
      <c r="AG674" s="575"/>
      <c r="AH674" s="308"/>
      <c r="AI674" s="575"/>
      <c r="AJ674" s="308"/>
      <c r="AK674" s="305"/>
      <c r="AL674" s="577"/>
      <c r="AM674" s="306"/>
      <c r="AN674" s="308"/>
      <c r="AO674" s="573"/>
      <c r="AP674" s="305"/>
      <c r="AQ674" s="308"/>
      <c r="AR674" s="573"/>
      <c r="AS674" s="578"/>
      <c r="AT674" s="577"/>
      <c r="AU674" s="579"/>
      <c r="AV674" s="578"/>
      <c r="AW674" s="308"/>
      <c r="AX674" s="307"/>
      <c r="AY674" s="307"/>
      <c r="AZ674" s="307"/>
      <c r="BA674" s="307"/>
      <c r="BB674" s="307"/>
      <c r="BC674" s="305"/>
      <c r="BD674" s="292"/>
      <c r="BE674" s="297"/>
      <c r="BF674" s="297"/>
      <c r="BG674" s="569"/>
      <c r="BH674" s="570"/>
      <c r="BI674" s="570"/>
      <c r="BJ674" s="570"/>
      <c r="BK674" s="570"/>
      <c r="BL674" s="570"/>
      <c r="BM674" s="570"/>
      <c r="BN674" s="570"/>
      <c r="BO674" s="570"/>
      <c r="BP674" s="570"/>
      <c r="BQ674" s="570"/>
      <c r="BR674" s="570"/>
      <c r="BS674" s="570"/>
      <c r="BT674" s="570"/>
      <c r="BU674" s="570"/>
      <c r="BV674" s="570"/>
      <c r="BW674" s="570"/>
      <c r="BX674" s="570"/>
      <c r="BY674" s="570"/>
      <c r="BZ674" s="571"/>
      <c r="CA674" s="571"/>
    </row>
    <row r="675" spans="2:79">
      <c r="B675" s="572">
        <v>660</v>
      </c>
      <c r="C675" s="308"/>
      <c r="D675" s="307"/>
      <c r="E675" s="307"/>
      <c r="F675" s="305"/>
      <c r="G675" s="305"/>
      <c r="H675" s="292"/>
      <c r="I675" s="574"/>
      <c r="J675" s="573"/>
      <c r="K675" s="307"/>
      <c r="L675" s="292"/>
      <c r="M675" s="308"/>
      <c r="N675" s="292"/>
      <c r="O675" s="308"/>
      <c r="P675" s="575"/>
      <c r="Q675" s="576"/>
      <c r="R675" s="308"/>
      <c r="S675" s="575"/>
      <c r="T675" s="576"/>
      <c r="U675" s="308"/>
      <c r="V675" s="575"/>
      <c r="W675" s="576"/>
      <c r="X675" s="308"/>
      <c r="Y675" s="575"/>
      <c r="Z675" s="576"/>
      <c r="AA675" s="308"/>
      <c r="AB675" s="575"/>
      <c r="AC675" s="576"/>
      <c r="AD675" s="308"/>
      <c r="AE675" s="575"/>
      <c r="AF675" s="308"/>
      <c r="AG675" s="575"/>
      <c r="AH675" s="308"/>
      <c r="AI675" s="575"/>
      <c r="AJ675" s="308"/>
      <c r="AK675" s="305"/>
      <c r="AL675" s="577"/>
      <c r="AM675" s="306"/>
      <c r="AN675" s="308"/>
      <c r="AO675" s="573"/>
      <c r="AP675" s="305"/>
      <c r="AQ675" s="308"/>
      <c r="AR675" s="573"/>
      <c r="AS675" s="578"/>
      <c r="AT675" s="577"/>
      <c r="AU675" s="579"/>
      <c r="AV675" s="578"/>
      <c r="AW675" s="308"/>
      <c r="AX675" s="307"/>
      <c r="AY675" s="307"/>
      <c r="AZ675" s="307"/>
      <c r="BA675" s="307"/>
      <c r="BB675" s="307"/>
      <c r="BC675" s="305"/>
      <c r="BD675" s="292"/>
      <c r="BE675" s="297"/>
      <c r="BF675" s="297"/>
      <c r="BG675" s="569"/>
      <c r="BH675" s="570"/>
      <c r="BI675" s="570"/>
      <c r="BJ675" s="570"/>
      <c r="BK675" s="570"/>
      <c r="BL675" s="570"/>
      <c r="BM675" s="570"/>
      <c r="BN675" s="570"/>
      <c r="BO675" s="570"/>
      <c r="BP675" s="570"/>
      <c r="BQ675" s="570"/>
      <c r="BR675" s="570"/>
      <c r="BS675" s="570"/>
      <c r="BT675" s="570"/>
      <c r="BU675" s="570"/>
      <c r="BV675" s="570"/>
      <c r="BW675" s="570"/>
      <c r="BX675" s="570"/>
      <c r="BY675" s="570"/>
      <c r="BZ675" s="571"/>
      <c r="CA675" s="571"/>
    </row>
    <row r="676" spans="2:79">
      <c r="B676" s="566">
        <v>661</v>
      </c>
      <c r="C676" s="308"/>
      <c r="D676" s="307"/>
      <c r="E676" s="307"/>
      <c r="F676" s="305"/>
      <c r="G676" s="305"/>
      <c r="H676" s="292"/>
      <c r="I676" s="574"/>
      <c r="J676" s="573"/>
      <c r="K676" s="307"/>
      <c r="L676" s="292"/>
      <c r="M676" s="308"/>
      <c r="N676" s="292"/>
      <c r="O676" s="308"/>
      <c r="P676" s="575"/>
      <c r="Q676" s="576"/>
      <c r="R676" s="308"/>
      <c r="S676" s="575"/>
      <c r="T676" s="576"/>
      <c r="U676" s="308"/>
      <c r="V676" s="575"/>
      <c r="W676" s="576"/>
      <c r="X676" s="308"/>
      <c r="Y676" s="575"/>
      <c r="Z676" s="576"/>
      <c r="AA676" s="308"/>
      <c r="AB676" s="575"/>
      <c r="AC676" s="576"/>
      <c r="AD676" s="308"/>
      <c r="AE676" s="575"/>
      <c r="AF676" s="308"/>
      <c r="AG676" s="575"/>
      <c r="AH676" s="308"/>
      <c r="AI676" s="575"/>
      <c r="AJ676" s="308"/>
      <c r="AK676" s="305"/>
      <c r="AL676" s="577"/>
      <c r="AM676" s="306"/>
      <c r="AN676" s="308"/>
      <c r="AO676" s="573"/>
      <c r="AP676" s="305"/>
      <c r="AQ676" s="308"/>
      <c r="AR676" s="573"/>
      <c r="AS676" s="578"/>
      <c r="AT676" s="577"/>
      <c r="AU676" s="579"/>
      <c r="AV676" s="578"/>
      <c r="AW676" s="308"/>
      <c r="AX676" s="307"/>
      <c r="AY676" s="307"/>
      <c r="AZ676" s="307"/>
      <c r="BA676" s="307"/>
      <c r="BB676" s="307"/>
      <c r="BC676" s="305"/>
      <c r="BD676" s="292"/>
      <c r="BE676" s="297"/>
      <c r="BF676" s="297"/>
      <c r="BG676" s="569"/>
      <c r="BH676" s="570"/>
      <c r="BI676" s="570"/>
      <c r="BJ676" s="570"/>
      <c r="BK676" s="570"/>
      <c r="BL676" s="570"/>
      <c r="BM676" s="570"/>
      <c r="BN676" s="570"/>
      <c r="BO676" s="570"/>
      <c r="BP676" s="570"/>
      <c r="BQ676" s="570"/>
      <c r="BR676" s="570"/>
      <c r="BS676" s="570"/>
      <c r="BT676" s="570"/>
      <c r="BU676" s="570"/>
      <c r="BV676" s="570"/>
      <c r="BW676" s="570"/>
      <c r="BX676" s="570"/>
      <c r="BY676" s="570"/>
      <c r="BZ676" s="571"/>
      <c r="CA676" s="571"/>
    </row>
    <row r="677" spans="2:79">
      <c r="B677" s="572">
        <v>662</v>
      </c>
      <c r="C677" s="308"/>
      <c r="D677" s="307"/>
      <c r="E677" s="307"/>
      <c r="F677" s="305"/>
      <c r="G677" s="305"/>
      <c r="H677" s="292"/>
      <c r="I677" s="574"/>
      <c r="J677" s="573"/>
      <c r="K677" s="307"/>
      <c r="L677" s="292"/>
      <c r="M677" s="308"/>
      <c r="N677" s="292"/>
      <c r="O677" s="308"/>
      <c r="P677" s="575"/>
      <c r="Q677" s="576"/>
      <c r="R677" s="308"/>
      <c r="S677" s="575"/>
      <c r="T677" s="576"/>
      <c r="U677" s="308"/>
      <c r="V677" s="575"/>
      <c r="W677" s="576"/>
      <c r="X677" s="308"/>
      <c r="Y677" s="575"/>
      <c r="Z677" s="576"/>
      <c r="AA677" s="308"/>
      <c r="AB677" s="575"/>
      <c r="AC677" s="576"/>
      <c r="AD677" s="308"/>
      <c r="AE677" s="575"/>
      <c r="AF677" s="308"/>
      <c r="AG677" s="575"/>
      <c r="AH677" s="308"/>
      <c r="AI677" s="575"/>
      <c r="AJ677" s="308"/>
      <c r="AK677" s="305"/>
      <c r="AL677" s="577"/>
      <c r="AM677" s="306"/>
      <c r="AN677" s="308"/>
      <c r="AO677" s="573"/>
      <c r="AP677" s="305"/>
      <c r="AQ677" s="308"/>
      <c r="AR677" s="573"/>
      <c r="AS677" s="578"/>
      <c r="AT677" s="577"/>
      <c r="AU677" s="579"/>
      <c r="AV677" s="578"/>
      <c r="AW677" s="308"/>
      <c r="AX677" s="307"/>
      <c r="AY677" s="307"/>
      <c r="AZ677" s="307"/>
      <c r="BA677" s="307"/>
      <c r="BB677" s="307"/>
      <c r="BC677" s="305"/>
      <c r="BD677" s="292"/>
      <c r="BE677" s="297"/>
      <c r="BF677" s="297"/>
      <c r="BG677" s="569"/>
      <c r="BH677" s="570"/>
      <c r="BI677" s="570"/>
      <c r="BJ677" s="570"/>
      <c r="BK677" s="570"/>
      <c r="BL677" s="570"/>
      <c r="BM677" s="570"/>
      <c r="BN677" s="570"/>
      <c r="BO677" s="570"/>
      <c r="BP677" s="570"/>
      <c r="BQ677" s="570"/>
      <c r="BR677" s="570"/>
      <c r="BS677" s="570"/>
      <c r="BT677" s="570"/>
      <c r="BU677" s="570"/>
      <c r="BV677" s="570"/>
      <c r="BW677" s="570"/>
      <c r="BX677" s="570"/>
      <c r="BY677" s="570"/>
      <c r="BZ677" s="571"/>
      <c r="CA677" s="571"/>
    </row>
    <row r="678" spans="2:79">
      <c r="B678" s="566">
        <v>663</v>
      </c>
      <c r="C678" s="308"/>
      <c r="D678" s="307"/>
      <c r="E678" s="307"/>
      <c r="F678" s="305"/>
      <c r="G678" s="305"/>
      <c r="H678" s="292"/>
      <c r="I678" s="574"/>
      <c r="J678" s="573"/>
      <c r="K678" s="307"/>
      <c r="L678" s="292"/>
      <c r="M678" s="308"/>
      <c r="N678" s="292"/>
      <c r="O678" s="308"/>
      <c r="P678" s="575"/>
      <c r="Q678" s="576"/>
      <c r="R678" s="308"/>
      <c r="S678" s="575"/>
      <c r="T678" s="576"/>
      <c r="U678" s="308"/>
      <c r="V678" s="575"/>
      <c r="W678" s="576"/>
      <c r="X678" s="308"/>
      <c r="Y678" s="575"/>
      <c r="Z678" s="576"/>
      <c r="AA678" s="308"/>
      <c r="AB678" s="575"/>
      <c r="AC678" s="576"/>
      <c r="AD678" s="308"/>
      <c r="AE678" s="575"/>
      <c r="AF678" s="308"/>
      <c r="AG678" s="575"/>
      <c r="AH678" s="308"/>
      <c r="AI678" s="575"/>
      <c r="AJ678" s="308"/>
      <c r="AK678" s="305"/>
      <c r="AL678" s="577"/>
      <c r="AM678" s="306"/>
      <c r="AN678" s="308"/>
      <c r="AO678" s="573"/>
      <c r="AP678" s="305"/>
      <c r="AQ678" s="308"/>
      <c r="AR678" s="573"/>
      <c r="AS678" s="578"/>
      <c r="AT678" s="577"/>
      <c r="AU678" s="579"/>
      <c r="AV678" s="578"/>
      <c r="AW678" s="308"/>
      <c r="AX678" s="307"/>
      <c r="AY678" s="307"/>
      <c r="AZ678" s="307"/>
      <c r="BA678" s="307"/>
      <c r="BB678" s="307"/>
      <c r="BC678" s="305"/>
      <c r="BD678" s="292"/>
      <c r="BE678" s="297"/>
      <c r="BF678" s="297"/>
      <c r="BG678" s="569"/>
      <c r="BH678" s="570"/>
      <c r="BI678" s="570"/>
      <c r="BJ678" s="570"/>
      <c r="BK678" s="570"/>
      <c r="BL678" s="570"/>
      <c r="BM678" s="570"/>
      <c r="BN678" s="570"/>
      <c r="BO678" s="570"/>
      <c r="BP678" s="570"/>
      <c r="BQ678" s="570"/>
      <c r="BR678" s="570"/>
      <c r="BS678" s="570"/>
      <c r="BT678" s="570"/>
      <c r="BU678" s="570"/>
      <c r="BV678" s="570"/>
      <c r="BW678" s="570"/>
      <c r="BX678" s="570"/>
      <c r="BY678" s="570"/>
      <c r="BZ678" s="571"/>
      <c r="CA678" s="571"/>
    </row>
    <row r="679" spans="2:79">
      <c r="B679" s="572">
        <v>664</v>
      </c>
      <c r="C679" s="308"/>
      <c r="D679" s="307"/>
      <c r="E679" s="307"/>
      <c r="F679" s="305"/>
      <c r="G679" s="305"/>
      <c r="H679" s="292"/>
      <c r="I679" s="574"/>
      <c r="J679" s="573"/>
      <c r="K679" s="307"/>
      <c r="L679" s="292"/>
      <c r="M679" s="308"/>
      <c r="N679" s="292"/>
      <c r="O679" s="308"/>
      <c r="P679" s="575"/>
      <c r="Q679" s="576"/>
      <c r="R679" s="308"/>
      <c r="S679" s="575"/>
      <c r="T679" s="576"/>
      <c r="U679" s="308"/>
      <c r="V679" s="575"/>
      <c r="W679" s="576"/>
      <c r="X679" s="308"/>
      <c r="Y679" s="575"/>
      <c r="Z679" s="576"/>
      <c r="AA679" s="308"/>
      <c r="AB679" s="575"/>
      <c r="AC679" s="576"/>
      <c r="AD679" s="308"/>
      <c r="AE679" s="575"/>
      <c r="AF679" s="308"/>
      <c r="AG679" s="575"/>
      <c r="AH679" s="308"/>
      <c r="AI679" s="575"/>
      <c r="AJ679" s="308"/>
      <c r="AK679" s="305"/>
      <c r="AL679" s="577"/>
      <c r="AM679" s="306"/>
      <c r="AN679" s="308"/>
      <c r="AO679" s="573"/>
      <c r="AP679" s="305"/>
      <c r="AQ679" s="308"/>
      <c r="AR679" s="573"/>
      <c r="AS679" s="578"/>
      <c r="AT679" s="577"/>
      <c r="AU679" s="579"/>
      <c r="AV679" s="578"/>
      <c r="AW679" s="308"/>
      <c r="AX679" s="307"/>
      <c r="AY679" s="307"/>
      <c r="AZ679" s="307"/>
      <c r="BA679" s="307"/>
      <c r="BB679" s="307"/>
      <c r="BC679" s="305"/>
      <c r="BD679" s="292"/>
      <c r="BE679" s="297"/>
      <c r="BF679" s="297"/>
      <c r="BG679" s="569"/>
      <c r="BH679" s="570"/>
      <c r="BI679" s="570"/>
      <c r="BJ679" s="570"/>
      <c r="BK679" s="570"/>
      <c r="BL679" s="570"/>
      <c r="BM679" s="570"/>
      <c r="BN679" s="570"/>
      <c r="BO679" s="570"/>
      <c r="BP679" s="570"/>
      <c r="BQ679" s="570"/>
      <c r="BR679" s="570"/>
      <c r="BS679" s="570"/>
      <c r="BT679" s="570"/>
      <c r="BU679" s="570"/>
      <c r="BV679" s="570"/>
      <c r="BW679" s="570"/>
      <c r="BX679" s="570"/>
      <c r="BY679" s="570"/>
      <c r="BZ679" s="571"/>
      <c r="CA679" s="571"/>
    </row>
    <row r="680" spans="2:79">
      <c r="B680" s="566">
        <v>665</v>
      </c>
      <c r="C680" s="308"/>
      <c r="D680" s="307"/>
      <c r="E680" s="307"/>
      <c r="F680" s="305"/>
      <c r="G680" s="305"/>
      <c r="H680" s="292"/>
      <c r="I680" s="574"/>
      <c r="J680" s="573"/>
      <c r="K680" s="307"/>
      <c r="L680" s="292"/>
      <c r="M680" s="308"/>
      <c r="N680" s="292"/>
      <c r="O680" s="308"/>
      <c r="P680" s="575"/>
      <c r="Q680" s="576"/>
      <c r="R680" s="308"/>
      <c r="S680" s="575"/>
      <c r="T680" s="576"/>
      <c r="U680" s="308"/>
      <c r="V680" s="575"/>
      <c r="W680" s="576"/>
      <c r="X680" s="308"/>
      <c r="Y680" s="575"/>
      <c r="Z680" s="576"/>
      <c r="AA680" s="308"/>
      <c r="AB680" s="575"/>
      <c r="AC680" s="576"/>
      <c r="AD680" s="308"/>
      <c r="AE680" s="575"/>
      <c r="AF680" s="308"/>
      <c r="AG680" s="575"/>
      <c r="AH680" s="308"/>
      <c r="AI680" s="575"/>
      <c r="AJ680" s="308"/>
      <c r="AK680" s="305"/>
      <c r="AL680" s="577"/>
      <c r="AM680" s="306"/>
      <c r="AN680" s="308"/>
      <c r="AO680" s="573"/>
      <c r="AP680" s="305"/>
      <c r="AQ680" s="308"/>
      <c r="AR680" s="573"/>
      <c r="AS680" s="578"/>
      <c r="AT680" s="577"/>
      <c r="AU680" s="579"/>
      <c r="AV680" s="578"/>
      <c r="AW680" s="308"/>
      <c r="AX680" s="307"/>
      <c r="AY680" s="307"/>
      <c r="AZ680" s="307"/>
      <c r="BA680" s="307"/>
      <c r="BB680" s="307"/>
      <c r="BC680" s="305"/>
      <c r="BD680" s="292"/>
      <c r="BE680" s="297"/>
      <c r="BF680" s="297"/>
      <c r="BG680" s="569"/>
      <c r="BH680" s="570"/>
      <c r="BI680" s="570"/>
      <c r="BJ680" s="570"/>
      <c r="BK680" s="570"/>
      <c r="BL680" s="570"/>
      <c r="BM680" s="570"/>
      <c r="BN680" s="570"/>
      <c r="BO680" s="570"/>
      <c r="BP680" s="570"/>
      <c r="BQ680" s="570"/>
      <c r="BR680" s="570"/>
      <c r="BS680" s="570"/>
      <c r="BT680" s="570"/>
      <c r="BU680" s="570"/>
      <c r="BV680" s="570"/>
      <c r="BW680" s="570"/>
      <c r="BX680" s="570"/>
      <c r="BY680" s="570"/>
      <c r="BZ680" s="571"/>
      <c r="CA680" s="571"/>
    </row>
    <row r="681" spans="2:79">
      <c r="B681" s="572">
        <v>666</v>
      </c>
      <c r="C681" s="308"/>
      <c r="D681" s="307"/>
      <c r="E681" s="307"/>
      <c r="F681" s="305"/>
      <c r="G681" s="305"/>
      <c r="H681" s="292"/>
      <c r="I681" s="574"/>
      <c r="J681" s="573"/>
      <c r="K681" s="307"/>
      <c r="L681" s="292"/>
      <c r="M681" s="308"/>
      <c r="N681" s="292"/>
      <c r="O681" s="308"/>
      <c r="P681" s="575"/>
      <c r="Q681" s="576"/>
      <c r="R681" s="308"/>
      <c r="S681" s="575"/>
      <c r="T681" s="576"/>
      <c r="U681" s="308"/>
      <c r="V681" s="575"/>
      <c r="W681" s="576"/>
      <c r="X681" s="308"/>
      <c r="Y681" s="575"/>
      <c r="Z681" s="576"/>
      <c r="AA681" s="308"/>
      <c r="AB681" s="575"/>
      <c r="AC681" s="576"/>
      <c r="AD681" s="308"/>
      <c r="AE681" s="575"/>
      <c r="AF681" s="308"/>
      <c r="AG681" s="575"/>
      <c r="AH681" s="308"/>
      <c r="AI681" s="575"/>
      <c r="AJ681" s="308"/>
      <c r="AK681" s="305"/>
      <c r="AL681" s="577"/>
      <c r="AM681" s="306"/>
      <c r="AN681" s="308"/>
      <c r="AO681" s="573"/>
      <c r="AP681" s="305"/>
      <c r="AQ681" s="308"/>
      <c r="AR681" s="573"/>
      <c r="AS681" s="578"/>
      <c r="AT681" s="577"/>
      <c r="AU681" s="579"/>
      <c r="AV681" s="578"/>
      <c r="AW681" s="308"/>
      <c r="AX681" s="307"/>
      <c r="AY681" s="307"/>
      <c r="AZ681" s="307"/>
      <c r="BA681" s="307"/>
      <c r="BB681" s="307"/>
      <c r="BC681" s="305"/>
      <c r="BD681" s="292"/>
      <c r="BE681" s="297"/>
      <c r="BF681" s="297"/>
      <c r="BG681" s="569"/>
      <c r="BH681" s="570"/>
      <c r="BI681" s="570"/>
      <c r="BJ681" s="570"/>
      <c r="BK681" s="570"/>
      <c r="BL681" s="570"/>
      <c r="BM681" s="570"/>
      <c r="BN681" s="570"/>
      <c r="BO681" s="570"/>
      <c r="BP681" s="570"/>
      <c r="BQ681" s="570"/>
      <c r="BR681" s="570"/>
      <c r="BS681" s="570"/>
      <c r="BT681" s="570"/>
      <c r="BU681" s="570"/>
      <c r="BV681" s="570"/>
      <c r="BW681" s="570"/>
      <c r="BX681" s="570"/>
      <c r="BY681" s="570"/>
      <c r="BZ681" s="571"/>
      <c r="CA681" s="571"/>
    </row>
    <row r="682" spans="2:79">
      <c r="B682" s="566">
        <v>667</v>
      </c>
      <c r="C682" s="308"/>
      <c r="D682" s="307"/>
      <c r="E682" s="307"/>
      <c r="F682" s="305"/>
      <c r="G682" s="305"/>
      <c r="H682" s="292"/>
      <c r="I682" s="574"/>
      <c r="J682" s="573"/>
      <c r="K682" s="307"/>
      <c r="L682" s="292"/>
      <c r="M682" s="308"/>
      <c r="N682" s="292"/>
      <c r="O682" s="308"/>
      <c r="P682" s="575"/>
      <c r="Q682" s="576"/>
      <c r="R682" s="308"/>
      <c r="S682" s="575"/>
      <c r="T682" s="576"/>
      <c r="U682" s="308"/>
      <c r="V682" s="575"/>
      <c r="W682" s="576"/>
      <c r="X682" s="308"/>
      <c r="Y682" s="575"/>
      <c r="Z682" s="576"/>
      <c r="AA682" s="308"/>
      <c r="AB682" s="575"/>
      <c r="AC682" s="576"/>
      <c r="AD682" s="308"/>
      <c r="AE682" s="575"/>
      <c r="AF682" s="308"/>
      <c r="AG682" s="575"/>
      <c r="AH682" s="308"/>
      <c r="AI682" s="575"/>
      <c r="AJ682" s="308"/>
      <c r="AK682" s="305"/>
      <c r="AL682" s="577"/>
      <c r="AM682" s="306"/>
      <c r="AN682" s="308"/>
      <c r="AO682" s="573"/>
      <c r="AP682" s="305"/>
      <c r="AQ682" s="308"/>
      <c r="AR682" s="573"/>
      <c r="AS682" s="578"/>
      <c r="AT682" s="577"/>
      <c r="AU682" s="579"/>
      <c r="AV682" s="578"/>
      <c r="AW682" s="308"/>
      <c r="AX682" s="307"/>
      <c r="AY682" s="307"/>
      <c r="AZ682" s="307"/>
      <c r="BA682" s="307"/>
      <c r="BB682" s="307"/>
      <c r="BC682" s="305"/>
      <c r="BD682" s="292"/>
      <c r="BE682" s="297"/>
      <c r="BF682" s="297"/>
      <c r="BG682" s="569"/>
      <c r="BH682" s="570"/>
      <c r="BI682" s="570"/>
      <c r="BJ682" s="570"/>
      <c r="BK682" s="570"/>
      <c r="BL682" s="570"/>
      <c r="BM682" s="570"/>
      <c r="BN682" s="570"/>
      <c r="BO682" s="570"/>
      <c r="BP682" s="570"/>
      <c r="BQ682" s="570"/>
      <c r="BR682" s="570"/>
      <c r="BS682" s="570"/>
      <c r="BT682" s="570"/>
      <c r="BU682" s="570"/>
      <c r="BV682" s="570"/>
      <c r="BW682" s="570"/>
      <c r="BX682" s="570"/>
      <c r="BY682" s="570"/>
      <c r="BZ682" s="571"/>
      <c r="CA682" s="571"/>
    </row>
    <row r="683" spans="2:79">
      <c r="B683" s="572">
        <v>668</v>
      </c>
      <c r="C683" s="308"/>
      <c r="D683" s="307"/>
      <c r="E683" s="307"/>
      <c r="F683" s="305"/>
      <c r="G683" s="305"/>
      <c r="H683" s="292"/>
      <c r="I683" s="574"/>
      <c r="J683" s="573"/>
      <c r="K683" s="307"/>
      <c r="L683" s="292"/>
      <c r="M683" s="308"/>
      <c r="N683" s="292"/>
      <c r="O683" s="308"/>
      <c r="P683" s="575"/>
      <c r="Q683" s="576"/>
      <c r="R683" s="308"/>
      <c r="S683" s="575"/>
      <c r="T683" s="576"/>
      <c r="U683" s="308"/>
      <c r="V683" s="575"/>
      <c r="W683" s="576"/>
      <c r="X683" s="308"/>
      <c r="Y683" s="575"/>
      <c r="Z683" s="576"/>
      <c r="AA683" s="308"/>
      <c r="AB683" s="575"/>
      <c r="AC683" s="576"/>
      <c r="AD683" s="308"/>
      <c r="AE683" s="575"/>
      <c r="AF683" s="308"/>
      <c r="AG683" s="575"/>
      <c r="AH683" s="308"/>
      <c r="AI683" s="575"/>
      <c r="AJ683" s="308"/>
      <c r="AK683" s="305"/>
      <c r="AL683" s="577"/>
      <c r="AM683" s="306"/>
      <c r="AN683" s="308"/>
      <c r="AO683" s="573"/>
      <c r="AP683" s="305"/>
      <c r="AQ683" s="308"/>
      <c r="AR683" s="573"/>
      <c r="AS683" s="578"/>
      <c r="AT683" s="577"/>
      <c r="AU683" s="579"/>
      <c r="AV683" s="578"/>
      <c r="AW683" s="308"/>
      <c r="AX683" s="307"/>
      <c r="AY683" s="307"/>
      <c r="AZ683" s="307"/>
      <c r="BA683" s="307"/>
      <c r="BB683" s="307"/>
      <c r="BC683" s="305"/>
      <c r="BD683" s="292"/>
      <c r="BE683" s="297"/>
      <c r="BF683" s="297"/>
      <c r="BG683" s="569"/>
      <c r="BH683" s="570"/>
      <c r="BI683" s="570"/>
      <c r="BJ683" s="570"/>
      <c r="BK683" s="570"/>
      <c r="BL683" s="570"/>
      <c r="BM683" s="570"/>
      <c r="BN683" s="570"/>
      <c r="BO683" s="570"/>
      <c r="BP683" s="570"/>
      <c r="BQ683" s="570"/>
      <c r="BR683" s="570"/>
      <c r="BS683" s="570"/>
      <c r="BT683" s="570"/>
      <c r="BU683" s="570"/>
      <c r="BV683" s="570"/>
      <c r="BW683" s="570"/>
      <c r="BX683" s="570"/>
      <c r="BY683" s="570"/>
      <c r="BZ683" s="571"/>
      <c r="CA683" s="571"/>
    </row>
    <row r="684" spans="2:79">
      <c r="B684" s="566">
        <v>669</v>
      </c>
      <c r="C684" s="308"/>
      <c r="D684" s="307"/>
      <c r="E684" s="307"/>
      <c r="F684" s="305"/>
      <c r="G684" s="305"/>
      <c r="H684" s="292"/>
      <c r="I684" s="574"/>
      <c r="J684" s="573"/>
      <c r="K684" s="307"/>
      <c r="L684" s="292"/>
      <c r="M684" s="308"/>
      <c r="N684" s="292"/>
      <c r="O684" s="308"/>
      <c r="P684" s="575"/>
      <c r="Q684" s="576"/>
      <c r="R684" s="308"/>
      <c r="S684" s="575"/>
      <c r="T684" s="576"/>
      <c r="U684" s="308"/>
      <c r="V684" s="575"/>
      <c r="W684" s="576"/>
      <c r="X684" s="308"/>
      <c r="Y684" s="575"/>
      <c r="Z684" s="576"/>
      <c r="AA684" s="308"/>
      <c r="AB684" s="575"/>
      <c r="AC684" s="576"/>
      <c r="AD684" s="308"/>
      <c r="AE684" s="575"/>
      <c r="AF684" s="308"/>
      <c r="AG684" s="575"/>
      <c r="AH684" s="308"/>
      <c r="AI684" s="575"/>
      <c r="AJ684" s="308"/>
      <c r="AK684" s="305"/>
      <c r="AL684" s="577"/>
      <c r="AM684" s="306"/>
      <c r="AN684" s="308"/>
      <c r="AO684" s="573"/>
      <c r="AP684" s="305"/>
      <c r="AQ684" s="308"/>
      <c r="AR684" s="573"/>
      <c r="AS684" s="578"/>
      <c r="AT684" s="577"/>
      <c r="AU684" s="579"/>
      <c r="AV684" s="578"/>
      <c r="AW684" s="308"/>
      <c r="AX684" s="307"/>
      <c r="AY684" s="307"/>
      <c r="AZ684" s="307"/>
      <c r="BA684" s="307"/>
      <c r="BB684" s="307"/>
      <c r="BC684" s="305"/>
      <c r="BD684" s="292"/>
      <c r="BE684" s="297"/>
      <c r="BF684" s="297"/>
      <c r="BG684" s="569"/>
      <c r="BH684" s="570"/>
      <c r="BI684" s="570"/>
      <c r="BJ684" s="570"/>
      <c r="BK684" s="570"/>
      <c r="BL684" s="570"/>
      <c r="BM684" s="570"/>
      <c r="BN684" s="570"/>
      <c r="BO684" s="570"/>
      <c r="BP684" s="570"/>
      <c r="BQ684" s="570"/>
      <c r="BR684" s="570"/>
      <c r="BS684" s="570"/>
      <c r="BT684" s="570"/>
      <c r="BU684" s="570"/>
      <c r="BV684" s="570"/>
      <c r="BW684" s="570"/>
      <c r="BX684" s="570"/>
      <c r="BY684" s="570"/>
      <c r="BZ684" s="571"/>
      <c r="CA684" s="571"/>
    </row>
    <row r="685" spans="2:79">
      <c r="B685" s="572">
        <v>670</v>
      </c>
      <c r="C685" s="308"/>
      <c r="D685" s="307"/>
      <c r="E685" s="307"/>
      <c r="F685" s="305"/>
      <c r="G685" s="305"/>
      <c r="H685" s="292"/>
      <c r="I685" s="574"/>
      <c r="J685" s="573"/>
      <c r="K685" s="307"/>
      <c r="L685" s="292"/>
      <c r="M685" s="308"/>
      <c r="N685" s="292"/>
      <c r="O685" s="308"/>
      <c r="P685" s="575"/>
      <c r="Q685" s="576"/>
      <c r="R685" s="308"/>
      <c r="S685" s="575"/>
      <c r="T685" s="576"/>
      <c r="U685" s="308"/>
      <c r="V685" s="575"/>
      <c r="W685" s="576"/>
      <c r="X685" s="308"/>
      <c r="Y685" s="575"/>
      <c r="Z685" s="576"/>
      <c r="AA685" s="308"/>
      <c r="AB685" s="575"/>
      <c r="AC685" s="576"/>
      <c r="AD685" s="308"/>
      <c r="AE685" s="575"/>
      <c r="AF685" s="308"/>
      <c r="AG685" s="575"/>
      <c r="AH685" s="308"/>
      <c r="AI685" s="575"/>
      <c r="AJ685" s="308"/>
      <c r="AK685" s="305"/>
      <c r="AL685" s="577"/>
      <c r="AM685" s="306"/>
      <c r="AN685" s="308"/>
      <c r="AO685" s="573"/>
      <c r="AP685" s="305"/>
      <c r="AQ685" s="308"/>
      <c r="AR685" s="573"/>
      <c r="AS685" s="578"/>
      <c r="AT685" s="577"/>
      <c r="AU685" s="579"/>
      <c r="AV685" s="578"/>
      <c r="AW685" s="308"/>
      <c r="AX685" s="307"/>
      <c r="AY685" s="307"/>
      <c r="AZ685" s="307"/>
      <c r="BA685" s="307"/>
      <c r="BB685" s="307"/>
      <c r="BC685" s="305"/>
      <c r="BD685" s="292"/>
      <c r="BE685" s="297"/>
      <c r="BF685" s="297"/>
      <c r="BG685" s="569"/>
      <c r="BH685" s="570"/>
      <c r="BI685" s="570"/>
      <c r="BJ685" s="570"/>
      <c r="BK685" s="570"/>
      <c r="BL685" s="570"/>
      <c r="BM685" s="570"/>
      <c r="BN685" s="570"/>
      <c r="BO685" s="570"/>
      <c r="BP685" s="570"/>
      <c r="BQ685" s="570"/>
      <c r="BR685" s="570"/>
      <c r="BS685" s="570"/>
      <c r="BT685" s="570"/>
      <c r="BU685" s="570"/>
      <c r="BV685" s="570"/>
      <c r="BW685" s="570"/>
      <c r="BX685" s="570"/>
      <c r="BY685" s="570"/>
      <c r="BZ685" s="571"/>
      <c r="CA685" s="571"/>
    </row>
    <row r="686" spans="2:79">
      <c r="B686" s="566">
        <v>671</v>
      </c>
      <c r="C686" s="308"/>
      <c r="D686" s="307"/>
      <c r="E686" s="307"/>
      <c r="F686" s="305"/>
      <c r="G686" s="305"/>
      <c r="H686" s="292"/>
      <c r="I686" s="574"/>
      <c r="J686" s="573"/>
      <c r="K686" s="307"/>
      <c r="L686" s="292"/>
      <c r="M686" s="308"/>
      <c r="N686" s="292"/>
      <c r="O686" s="308"/>
      <c r="P686" s="575"/>
      <c r="Q686" s="576"/>
      <c r="R686" s="308"/>
      <c r="S686" s="575"/>
      <c r="T686" s="576"/>
      <c r="U686" s="308"/>
      <c r="V686" s="575"/>
      <c r="W686" s="576"/>
      <c r="X686" s="308"/>
      <c r="Y686" s="575"/>
      <c r="Z686" s="576"/>
      <c r="AA686" s="308"/>
      <c r="AB686" s="575"/>
      <c r="AC686" s="576"/>
      <c r="AD686" s="308"/>
      <c r="AE686" s="575"/>
      <c r="AF686" s="308"/>
      <c r="AG686" s="575"/>
      <c r="AH686" s="308"/>
      <c r="AI686" s="575"/>
      <c r="AJ686" s="308"/>
      <c r="AK686" s="305"/>
      <c r="AL686" s="577"/>
      <c r="AM686" s="306"/>
      <c r="AN686" s="308"/>
      <c r="AO686" s="573"/>
      <c r="AP686" s="305"/>
      <c r="AQ686" s="308"/>
      <c r="AR686" s="573"/>
      <c r="AS686" s="578"/>
      <c r="AT686" s="577"/>
      <c r="AU686" s="579"/>
      <c r="AV686" s="578"/>
      <c r="AW686" s="308"/>
      <c r="AX686" s="307"/>
      <c r="AY686" s="307"/>
      <c r="AZ686" s="307"/>
      <c r="BA686" s="307"/>
      <c r="BB686" s="307"/>
      <c r="BC686" s="305"/>
      <c r="BD686" s="292"/>
      <c r="BE686" s="297"/>
      <c r="BF686" s="297"/>
      <c r="BG686" s="569"/>
      <c r="BH686" s="570"/>
      <c r="BI686" s="570"/>
      <c r="BJ686" s="570"/>
      <c r="BK686" s="570"/>
      <c r="BL686" s="570"/>
      <c r="BM686" s="570"/>
      <c r="BN686" s="570"/>
      <c r="BO686" s="570"/>
      <c r="BP686" s="570"/>
      <c r="BQ686" s="570"/>
      <c r="BR686" s="570"/>
      <c r="BS686" s="570"/>
      <c r="BT686" s="570"/>
      <c r="BU686" s="570"/>
      <c r="BV686" s="570"/>
      <c r="BW686" s="570"/>
      <c r="BX686" s="570"/>
      <c r="BY686" s="570"/>
      <c r="BZ686" s="571"/>
      <c r="CA686" s="571"/>
    </row>
    <row r="687" spans="2:79">
      <c r="B687" s="572">
        <v>672</v>
      </c>
      <c r="C687" s="308"/>
      <c r="D687" s="307"/>
      <c r="E687" s="307"/>
      <c r="F687" s="305"/>
      <c r="G687" s="305"/>
      <c r="H687" s="292"/>
      <c r="I687" s="574"/>
      <c r="J687" s="573"/>
      <c r="K687" s="307"/>
      <c r="L687" s="292"/>
      <c r="M687" s="308"/>
      <c r="N687" s="292"/>
      <c r="O687" s="308"/>
      <c r="P687" s="575"/>
      <c r="Q687" s="576"/>
      <c r="R687" s="308"/>
      <c r="S687" s="575"/>
      <c r="T687" s="576"/>
      <c r="U687" s="308"/>
      <c r="V687" s="575"/>
      <c r="W687" s="576"/>
      <c r="X687" s="308"/>
      <c r="Y687" s="575"/>
      <c r="Z687" s="576"/>
      <c r="AA687" s="308"/>
      <c r="AB687" s="575"/>
      <c r="AC687" s="576"/>
      <c r="AD687" s="308"/>
      <c r="AE687" s="575"/>
      <c r="AF687" s="308"/>
      <c r="AG687" s="575"/>
      <c r="AH687" s="308"/>
      <c r="AI687" s="575"/>
      <c r="AJ687" s="308"/>
      <c r="AK687" s="305"/>
      <c r="AL687" s="577"/>
      <c r="AM687" s="306"/>
      <c r="AN687" s="308"/>
      <c r="AO687" s="573"/>
      <c r="AP687" s="305"/>
      <c r="AQ687" s="308"/>
      <c r="AR687" s="573"/>
      <c r="AS687" s="578"/>
      <c r="AT687" s="577"/>
      <c r="AU687" s="579"/>
      <c r="AV687" s="578"/>
      <c r="AW687" s="308"/>
      <c r="AX687" s="307"/>
      <c r="AY687" s="307"/>
      <c r="AZ687" s="307"/>
      <c r="BA687" s="307"/>
      <c r="BB687" s="307"/>
      <c r="BC687" s="305"/>
      <c r="BD687" s="292"/>
      <c r="BE687" s="297"/>
      <c r="BF687" s="297"/>
      <c r="BG687" s="569"/>
      <c r="BH687" s="570"/>
      <c r="BI687" s="570"/>
      <c r="BJ687" s="570"/>
      <c r="BK687" s="570"/>
      <c r="BL687" s="570"/>
      <c r="BM687" s="570"/>
      <c r="BN687" s="570"/>
      <c r="BO687" s="570"/>
      <c r="BP687" s="570"/>
      <c r="BQ687" s="570"/>
      <c r="BR687" s="570"/>
      <c r="BS687" s="570"/>
      <c r="BT687" s="570"/>
      <c r="BU687" s="570"/>
      <c r="BV687" s="570"/>
      <c r="BW687" s="570"/>
      <c r="BX687" s="570"/>
      <c r="BY687" s="570"/>
      <c r="BZ687" s="571"/>
      <c r="CA687" s="571"/>
    </row>
    <row r="688" spans="2:79">
      <c r="B688" s="566">
        <v>673</v>
      </c>
      <c r="C688" s="308"/>
      <c r="D688" s="307"/>
      <c r="E688" s="307"/>
      <c r="F688" s="305"/>
      <c r="G688" s="305"/>
      <c r="H688" s="292"/>
      <c r="I688" s="574"/>
      <c r="J688" s="573"/>
      <c r="K688" s="307"/>
      <c r="L688" s="292"/>
      <c r="M688" s="308"/>
      <c r="N688" s="292"/>
      <c r="O688" s="308"/>
      <c r="P688" s="575"/>
      <c r="Q688" s="576"/>
      <c r="R688" s="308"/>
      <c r="S688" s="575"/>
      <c r="T688" s="576"/>
      <c r="U688" s="308"/>
      <c r="V688" s="575"/>
      <c r="W688" s="576"/>
      <c r="X688" s="308"/>
      <c r="Y688" s="575"/>
      <c r="Z688" s="576"/>
      <c r="AA688" s="308"/>
      <c r="AB688" s="575"/>
      <c r="AC688" s="576"/>
      <c r="AD688" s="308"/>
      <c r="AE688" s="575"/>
      <c r="AF688" s="308"/>
      <c r="AG688" s="575"/>
      <c r="AH688" s="308"/>
      <c r="AI688" s="575"/>
      <c r="AJ688" s="308"/>
      <c r="AK688" s="305"/>
      <c r="AL688" s="577"/>
      <c r="AM688" s="306"/>
      <c r="AN688" s="308"/>
      <c r="AO688" s="573"/>
      <c r="AP688" s="305"/>
      <c r="AQ688" s="308"/>
      <c r="AR688" s="573"/>
      <c r="AS688" s="578"/>
      <c r="AT688" s="577"/>
      <c r="AU688" s="579"/>
      <c r="AV688" s="578"/>
      <c r="AW688" s="308"/>
      <c r="AX688" s="307"/>
      <c r="AY688" s="307"/>
      <c r="AZ688" s="307"/>
      <c r="BA688" s="307"/>
      <c r="BB688" s="307"/>
      <c r="BC688" s="305"/>
      <c r="BD688" s="292"/>
      <c r="BE688" s="297"/>
      <c r="BF688" s="297"/>
      <c r="BG688" s="569"/>
      <c r="BH688" s="570"/>
      <c r="BI688" s="570"/>
      <c r="BJ688" s="570"/>
      <c r="BK688" s="570"/>
      <c r="BL688" s="570"/>
      <c r="BM688" s="570"/>
      <c r="BN688" s="570"/>
      <c r="BO688" s="570"/>
      <c r="BP688" s="570"/>
      <c r="BQ688" s="570"/>
      <c r="BR688" s="570"/>
      <c r="BS688" s="570"/>
      <c r="BT688" s="570"/>
      <c r="BU688" s="570"/>
      <c r="BV688" s="570"/>
      <c r="BW688" s="570"/>
      <c r="BX688" s="570"/>
      <c r="BY688" s="570"/>
      <c r="BZ688" s="571"/>
      <c r="CA688" s="571"/>
    </row>
    <row r="689" spans="2:79">
      <c r="B689" s="572">
        <v>674</v>
      </c>
      <c r="C689" s="308"/>
      <c r="D689" s="307"/>
      <c r="E689" s="307"/>
      <c r="F689" s="305"/>
      <c r="G689" s="305"/>
      <c r="H689" s="292"/>
      <c r="I689" s="574"/>
      <c r="J689" s="573"/>
      <c r="K689" s="307"/>
      <c r="L689" s="292"/>
      <c r="M689" s="308"/>
      <c r="N689" s="292"/>
      <c r="O689" s="308"/>
      <c r="P689" s="575"/>
      <c r="Q689" s="576"/>
      <c r="R689" s="308"/>
      <c r="S689" s="575"/>
      <c r="T689" s="576"/>
      <c r="U689" s="308"/>
      <c r="V689" s="575"/>
      <c r="W689" s="576"/>
      <c r="X689" s="308"/>
      <c r="Y689" s="575"/>
      <c r="Z689" s="576"/>
      <c r="AA689" s="308"/>
      <c r="AB689" s="575"/>
      <c r="AC689" s="576"/>
      <c r="AD689" s="308"/>
      <c r="AE689" s="575"/>
      <c r="AF689" s="308"/>
      <c r="AG689" s="575"/>
      <c r="AH689" s="308"/>
      <c r="AI689" s="575"/>
      <c r="AJ689" s="308"/>
      <c r="AK689" s="305"/>
      <c r="AL689" s="577"/>
      <c r="AM689" s="306"/>
      <c r="AN689" s="308"/>
      <c r="AO689" s="573"/>
      <c r="AP689" s="305"/>
      <c r="AQ689" s="308"/>
      <c r="AR689" s="573"/>
      <c r="AS689" s="578"/>
      <c r="AT689" s="577"/>
      <c r="AU689" s="579"/>
      <c r="AV689" s="578"/>
      <c r="AW689" s="308"/>
      <c r="AX689" s="307"/>
      <c r="AY689" s="307"/>
      <c r="AZ689" s="307"/>
      <c r="BA689" s="307"/>
      <c r="BB689" s="307"/>
      <c r="BC689" s="305"/>
      <c r="BD689" s="292"/>
      <c r="BE689" s="297"/>
      <c r="BF689" s="297"/>
      <c r="BG689" s="569"/>
      <c r="BH689" s="570"/>
      <c r="BI689" s="570"/>
      <c r="BJ689" s="570"/>
      <c r="BK689" s="570"/>
      <c r="BL689" s="570"/>
      <c r="BM689" s="570"/>
      <c r="BN689" s="570"/>
      <c r="BO689" s="570"/>
      <c r="BP689" s="570"/>
      <c r="BQ689" s="570"/>
      <c r="BR689" s="570"/>
      <c r="BS689" s="570"/>
      <c r="BT689" s="570"/>
      <c r="BU689" s="570"/>
      <c r="BV689" s="570"/>
      <c r="BW689" s="570"/>
      <c r="BX689" s="570"/>
      <c r="BY689" s="570"/>
      <c r="BZ689" s="571"/>
      <c r="CA689" s="571"/>
    </row>
    <row r="690" spans="2:79">
      <c r="B690" s="566">
        <v>675</v>
      </c>
      <c r="C690" s="308"/>
      <c r="D690" s="307"/>
      <c r="E690" s="307"/>
      <c r="F690" s="305"/>
      <c r="G690" s="305"/>
      <c r="H690" s="292"/>
      <c r="I690" s="574"/>
      <c r="J690" s="573"/>
      <c r="K690" s="307"/>
      <c r="L690" s="292"/>
      <c r="M690" s="308"/>
      <c r="N690" s="292"/>
      <c r="O690" s="308"/>
      <c r="P690" s="575"/>
      <c r="Q690" s="576"/>
      <c r="R690" s="308"/>
      <c r="S690" s="575"/>
      <c r="T690" s="576"/>
      <c r="U690" s="308"/>
      <c r="V690" s="575"/>
      <c r="W690" s="576"/>
      <c r="X690" s="308"/>
      <c r="Y690" s="575"/>
      <c r="Z690" s="576"/>
      <c r="AA690" s="308"/>
      <c r="AB690" s="575"/>
      <c r="AC690" s="576"/>
      <c r="AD690" s="308"/>
      <c r="AE690" s="575"/>
      <c r="AF690" s="308"/>
      <c r="AG690" s="575"/>
      <c r="AH690" s="308"/>
      <c r="AI690" s="575"/>
      <c r="AJ690" s="308"/>
      <c r="AK690" s="305"/>
      <c r="AL690" s="577"/>
      <c r="AM690" s="306"/>
      <c r="AN690" s="308"/>
      <c r="AO690" s="573"/>
      <c r="AP690" s="305"/>
      <c r="AQ690" s="308"/>
      <c r="AR690" s="573"/>
      <c r="AS690" s="578"/>
      <c r="AT690" s="577"/>
      <c r="AU690" s="579"/>
      <c r="AV690" s="578"/>
      <c r="AW690" s="308"/>
      <c r="AX690" s="307"/>
      <c r="AY690" s="307"/>
      <c r="AZ690" s="307"/>
      <c r="BA690" s="307"/>
      <c r="BB690" s="307"/>
      <c r="BC690" s="305"/>
      <c r="BD690" s="292"/>
      <c r="BE690" s="297"/>
      <c r="BF690" s="297"/>
      <c r="BG690" s="569"/>
      <c r="BH690" s="570"/>
      <c r="BI690" s="570"/>
      <c r="BJ690" s="570"/>
      <c r="BK690" s="570"/>
      <c r="BL690" s="570"/>
      <c r="BM690" s="570"/>
      <c r="BN690" s="570"/>
      <c r="BO690" s="570"/>
      <c r="BP690" s="570"/>
      <c r="BQ690" s="570"/>
      <c r="BR690" s="570"/>
      <c r="BS690" s="570"/>
      <c r="BT690" s="570"/>
      <c r="BU690" s="570"/>
      <c r="BV690" s="570"/>
      <c r="BW690" s="570"/>
      <c r="BX690" s="570"/>
      <c r="BY690" s="570"/>
      <c r="BZ690" s="571"/>
      <c r="CA690" s="571"/>
    </row>
    <row r="691" spans="2:79">
      <c r="B691" s="572">
        <v>676</v>
      </c>
      <c r="C691" s="308"/>
      <c r="D691" s="307"/>
      <c r="E691" s="307"/>
      <c r="F691" s="305"/>
      <c r="G691" s="305"/>
      <c r="H691" s="292"/>
      <c r="I691" s="574"/>
      <c r="J691" s="573"/>
      <c r="K691" s="307"/>
      <c r="L691" s="292"/>
      <c r="M691" s="308"/>
      <c r="N691" s="292"/>
      <c r="O691" s="308"/>
      <c r="P691" s="575"/>
      <c r="Q691" s="576"/>
      <c r="R691" s="308"/>
      <c r="S691" s="575"/>
      <c r="T691" s="576"/>
      <c r="U691" s="308"/>
      <c r="V691" s="575"/>
      <c r="W691" s="576"/>
      <c r="X691" s="308"/>
      <c r="Y691" s="575"/>
      <c r="Z691" s="576"/>
      <c r="AA691" s="308"/>
      <c r="AB691" s="575"/>
      <c r="AC691" s="576"/>
      <c r="AD691" s="308"/>
      <c r="AE691" s="575"/>
      <c r="AF691" s="308"/>
      <c r="AG691" s="575"/>
      <c r="AH691" s="308"/>
      <c r="AI691" s="575"/>
      <c r="AJ691" s="308"/>
      <c r="AK691" s="305"/>
      <c r="AL691" s="577"/>
      <c r="AM691" s="306"/>
      <c r="AN691" s="308"/>
      <c r="AO691" s="573"/>
      <c r="AP691" s="305"/>
      <c r="AQ691" s="308"/>
      <c r="AR691" s="573"/>
      <c r="AS691" s="578"/>
      <c r="AT691" s="577"/>
      <c r="AU691" s="579"/>
      <c r="AV691" s="578"/>
      <c r="AW691" s="308"/>
      <c r="AX691" s="307"/>
      <c r="AY691" s="307"/>
      <c r="AZ691" s="307"/>
      <c r="BA691" s="307"/>
      <c r="BB691" s="307"/>
      <c r="BC691" s="305"/>
      <c r="BD691" s="292"/>
      <c r="BE691" s="297"/>
      <c r="BF691" s="297"/>
      <c r="BG691" s="569"/>
      <c r="BH691" s="570"/>
      <c r="BI691" s="570"/>
      <c r="BJ691" s="570"/>
      <c r="BK691" s="570"/>
      <c r="BL691" s="570"/>
      <c r="BM691" s="570"/>
      <c r="BN691" s="570"/>
      <c r="BO691" s="570"/>
      <c r="BP691" s="570"/>
      <c r="BQ691" s="570"/>
      <c r="BR691" s="570"/>
      <c r="BS691" s="570"/>
      <c r="BT691" s="570"/>
      <c r="BU691" s="570"/>
      <c r="BV691" s="570"/>
      <c r="BW691" s="570"/>
      <c r="BX691" s="570"/>
      <c r="BY691" s="570"/>
      <c r="BZ691" s="571"/>
      <c r="CA691" s="571"/>
    </row>
    <row r="692" spans="2:79">
      <c r="B692" s="566">
        <v>677</v>
      </c>
      <c r="C692" s="308"/>
      <c r="D692" s="307"/>
      <c r="E692" s="307"/>
      <c r="F692" s="305"/>
      <c r="G692" s="305"/>
      <c r="H692" s="292"/>
      <c r="I692" s="574"/>
      <c r="J692" s="573"/>
      <c r="K692" s="307"/>
      <c r="L692" s="292"/>
      <c r="M692" s="308"/>
      <c r="N692" s="292"/>
      <c r="O692" s="308"/>
      <c r="P692" s="575"/>
      <c r="Q692" s="576"/>
      <c r="R692" s="308"/>
      <c r="S692" s="575"/>
      <c r="T692" s="576"/>
      <c r="U692" s="308"/>
      <c r="V692" s="575"/>
      <c r="W692" s="576"/>
      <c r="X692" s="308"/>
      <c r="Y692" s="575"/>
      <c r="Z692" s="576"/>
      <c r="AA692" s="308"/>
      <c r="AB692" s="575"/>
      <c r="AC692" s="576"/>
      <c r="AD692" s="308"/>
      <c r="AE692" s="575"/>
      <c r="AF692" s="308"/>
      <c r="AG692" s="575"/>
      <c r="AH692" s="308"/>
      <c r="AI692" s="575"/>
      <c r="AJ692" s="308"/>
      <c r="AK692" s="305"/>
      <c r="AL692" s="577"/>
      <c r="AM692" s="306"/>
      <c r="AN692" s="308"/>
      <c r="AO692" s="573"/>
      <c r="AP692" s="305"/>
      <c r="AQ692" s="308"/>
      <c r="AR692" s="573"/>
      <c r="AS692" s="578"/>
      <c r="AT692" s="577"/>
      <c r="AU692" s="579"/>
      <c r="AV692" s="578"/>
      <c r="AW692" s="308"/>
      <c r="AX692" s="307"/>
      <c r="AY692" s="307"/>
      <c r="AZ692" s="307"/>
      <c r="BA692" s="307"/>
      <c r="BB692" s="307"/>
      <c r="BC692" s="305"/>
      <c r="BD692" s="292"/>
      <c r="BE692" s="297"/>
      <c r="BF692" s="297"/>
      <c r="BG692" s="569"/>
      <c r="BH692" s="570"/>
      <c r="BI692" s="570"/>
      <c r="BJ692" s="570"/>
      <c r="BK692" s="570"/>
      <c r="BL692" s="570"/>
      <c r="BM692" s="570"/>
      <c r="BN692" s="570"/>
      <c r="BO692" s="570"/>
      <c r="BP692" s="570"/>
      <c r="BQ692" s="570"/>
      <c r="BR692" s="570"/>
      <c r="BS692" s="570"/>
      <c r="BT692" s="570"/>
      <c r="BU692" s="570"/>
      <c r="BV692" s="570"/>
      <c r="BW692" s="570"/>
      <c r="BX692" s="570"/>
      <c r="BY692" s="570"/>
      <c r="BZ692" s="571"/>
      <c r="CA692" s="571"/>
    </row>
    <row r="693" spans="2:79">
      <c r="B693" s="572">
        <v>678</v>
      </c>
      <c r="C693" s="308"/>
      <c r="D693" s="307"/>
      <c r="E693" s="307"/>
      <c r="F693" s="305"/>
      <c r="G693" s="305"/>
      <c r="H693" s="292"/>
      <c r="I693" s="574"/>
      <c r="J693" s="573"/>
      <c r="K693" s="307"/>
      <c r="L693" s="292"/>
      <c r="M693" s="308"/>
      <c r="N693" s="292"/>
      <c r="O693" s="308"/>
      <c r="P693" s="575"/>
      <c r="Q693" s="576"/>
      <c r="R693" s="308"/>
      <c r="S693" s="575"/>
      <c r="T693" s="576"/>
      <c r="U693" s="308"/>
      <c r="V693" s="575"/>
      <c r="W693" s="576"/>
      <c r="X693" s="308"/>
      <c r="Y693" s="575"/>
      <c r="Z693" s="576"/>
      <c r="AA693" s="308"/>
      <c r="AB693" s="575"/>
      <c r="AC693" s="576"/>
      <c r="AD693" s="308"/>
      <c r="AE693" s="575"/>
      <c r="AF693" s="308"/>
      <c r="AG693" s="575"/>
      <c r="AH693" s="308"/>
      <c r="AI693" s="575"/>
      <c r="AJ693" s="308"/>
      <c r="AK693" s="305"/>
      <c r="AL693" s="577"/>
      <c r="AM693" s="306"/>
      <c r="AN693" s="308"/>
      <c r="AO693" s="573"/>
      <c r="AP693" s="305"/>
      <c r="AQ693" s="308"/>
      <c r="AR693" s="573"/>
      <c r="AS693" s="578"/>
      <c r="AT693" s="577"/>
      <c r="AU693" s="579"/>
      <c r="AV693" s="578"/>
      <c r="AW693" s="308"/>
      <c r="AX693" s="307"/>
      <c r="AY693" s="307"/>
      <c r="AZ693" s="307"/>
      <c r="BA693" s="307"/>
      <c r="BB693" s="307"/>
      <c r="BC693" s="305"/>
      <c r="BD693" s="292"/>
      <c r="BE693" s="297"/>
      <c r="BF693" s="297"/>
      <c r="BG693" s="569"/>
      <c r="BH693" s="570"/>
      <c r="BI693" s="570"/>
      <c r="BJ693" s="570"/>
      <c r="BK693" s="570"/>
      <c r="BL693" s="570"/>
      <c r="BM693" s="570"/>
      <c r="BN693" s="570"/>
      <c r="BO693" s="570"/>
      <c r="BP693" s="570"/>
      <c r="BQ693" s="570"/>
      <c r="BR693" s="570"/>
      <c r="BS693" s="570"/>
      <c r="BT693" s="570"/>
      <c r="BU693" s="570"/>
      <c r="BV693" s="570"/>
      <c r="BW693" s="570"/>
      <c r="BX693" s="570"/>
      <c r="BY693" s="570"/>
      <c r="BZ693" s="571"/>
      <c r="CA693" s="571"/>
    </row>
    <row r="694" spans="2:79">
      <c r="B694" s="566">
        <v>679</v>
      </c>
      <c r="C694" s="308"/>
      <c r="D694" s="307"/>
      <c r="E694" s="307"/>
      <c r="F694" s="305"/>
      <c r="G694" s="305"/>
      <c r="H694" s="292"/>
      <c r="I694" s="574"/>
      <c r="J694" s="573"/>
      <c r="K694" s="307"/>
      <c r="L694" s="292"/>
      <c r="M694" s="308"/>
      <c r="N694" s="292"/>
      <c r="O694" s="308"/>
      <c r="P694" s="575"/>
      <c r="Q694" s="576"/>
      <c r="R694" s="308"/>
      <c r="S694" s="575"/>
      <c r="T694" s="576"/>
      <c r="U694" s="308"/>
      <c r="V694" s="575"/>
      <c r="W694" s="576"/>
      <c r="X694" s="308"/>
      <c r="Y694" s="575"/>
      <c r="Z694" s="576"/>
      <c r="AA694" s="308"/>
      <c r="AB694" s="575"/>
      <c r="AC694" s="576"/>
      <c r="AD694" s="308"/>
      <c r="AE694" s="575"/>
      <c r="AF694" s="308"/>
      <c r="AG694" s="575"/>
      <c r="AH694" s="308"/>
      <c r="AI694" s="575"/>
      <c r="AJ694" s="308"/>
      <c r="AK694" s="305"/>
      <c r="AL694" s="577"/>
      <c r="AM694" s="306"/>
      <c r="AN694" s="308"/>
      <c r="AO694" s="573"/>
      <c r="AP694" s="305"/>
      <c r="AQ694" s="308"/>
      <c r="AR694" s="573"/>
      <c r="AS694" s="578"/>
      <c r="AT694" s="577"/>
      <c r="AU694" s="579"/>
      <c r="AV694" s="578"/>
      <c r="AW694" s="308"/>
      <c r="AX694" s="307"/>
      <c r="AY694" s="307"/>
      <c r="AZ694" s="307"/>
      <c r="BA694" s="307"/>
      <c r="BB694" s="307"/>
      <c r="BC694" s="305"/>
      <c r="BD694" s="292"/>
      <c r="BE694" s="297"/>
      <c r="BF694" s="297"/>
      <c r="BG694" s="569"/>
      <c r="BH694" s="570"/>
      <c r="BI694" s="570"/>
      <c r="BJ694" s="570"/>
      <c r="BK694" s="570"/>
      <c r="BL694" s="570"/>
      <c r="BM694" s="570"/>
      <c r="BN694" s="570"/>
      <c r="BO694" s="570"/>
      <c r="BP694" s="570"/>
      <c r="BQ694" s="570"/>
      <c r="BR694" s="570"/>
      <c r="BS694" s="570"/>
      <c r="BT694" s="570"/>
      <c r="BU694" s="570"/>
      <c r="BV694" s="570"/>
      <c r="BW694" s="570"/>
      <c r="BX694" s="570"/>
      <c r="BY694" s="570"/>
      <c r="BZ694" s="571"/>
      <c r="CA694" s="571"/>
    </row>
    <row r="695" spans="2:79">
      <c r="B695" s="572">
        <v>680</v>
      </c>
      <c r="C695" s="308"/>
      <c r="D695" s="307"/>
      <c r="E695" s="307"/>
      <c r="F695" s="305"/>
      <c r="G695" s="305"/>
      <c r="H695" s="292"/>
      <c r="I695" s="574"/>
      <c r="J695" s="573"/>
      <c r="K695" s="307"/>
      <c r="L695" s="292"/>
      <c r="M695" s="308"/>
      <c r="N695" s="292"/>
      <c r="O695" s="308"/>
      <c r="P695" s="575"/>
      <c r="Q695" s="576"/>
      <c r="R695" s="308"/>
      <c r="S695" s="575"/>
      <c r="T695" s="576"/>
      <c r="U695" s="308"/>
      <c r="V695" s="575"/>
      <c r="W695" s="576"/>
      <c r="X695" s="308"/>
      <c r="Y695" s="575"/>
      <c r="Z695" s="576"/>
      <c r="AA695" s="308"/>
      <c r="AB695" s="575"/>
      <c r="AC695" s="576"/>
      <c r="AD695" s="308"/>
      <c r="AE695" s="575"/>
      <c r="AF695" s="308"/>
      <c r="AG695" s="575"/>
      <c r="AH695" s="308"/>
      <c r="AI695" s="575"/>
      <c r="AJ695" s="308"/>
      <c r="AK695" s="305"/>
      <c r="AL695" s="577"/>
      <c r="AM695" s="306"/>
      <c r="AN695" s="308"/>
      <c r="AO695" s="573"/>
      <c r="AP695" s="305"/>
      <c r="AQ695" s="308"/>
      <c r="AR695" s="573"/>
      <c r="AS695" s="578"/>
      <c r="AT695" s="577"/>
      <c r="AU695" s="579"/>
      <c r="AV695" s="578"/>
      <c r="AW695" s="308"/>
      <c r="AX695" s="307"/>
      <c r="AY695" s="307"/>
      <c r="AZ695" s="307"/>
      <c r="BA695" s="307"/>
      <c r="BB695" s="307"/>
      <c r="BC695" s="305"/>
      <c r="BD695" s="292"/>
      <c r="BE695" s="297"/>
      <c r="BF695" s="297"/>
      <c r="BG695" s="569"/>
      <c r="BH695" s="570"/>
      <c r="BI695" s="570"/>
      <c r="BJ695" s="570"/>
      <c r="BK695" s="570"/>
      <c r="BL695" s="570"/>
      <c r="BM695" s="570"/>
      <c r="BN695" s="570"/>
      <c r="BO695" s="570"/>
      <c r="BP695" s="570"/>
      <c r="BQ695" s="570"/>
      <c r="BR695" s="570"/>
      <c r="BS695" s="570"/>
      <c r="BT695" s="570"/>
      <c r="BU695" s="570"/>
      <c r="BV695" s="570"/>
      <c r="BW695" s="570"/>
      <c r="BX695" s="570"/>
      <c r="BY695" s="570"/>
      <c r="BZ695" s="571"/>
      <c r="CA695" s="571"/>
    </row>
    <row r="696" spans="2:79">
      <c r="B696" s="566">
        <v>681</v>
      </c>
      <c r="C696" s="308"/>
      <c r="D696" s="307"/>
      <c r="E696" s="307"/>
      <c r="F696" s="305"/>
      <c r="G696" s="305"/>
      <c r="H696" s="292"/>
      <c r="I696" s="574"/>
      <c r="J696" s="573"/>
      <c r="K696" s="307"/>
      <c r="L696" s="292"/>
      <c r="M696" s="308"/>
      <c r="N696" s="292"/>
      <c r="O696" s="308"/>
      <c r="P696" s="575"/>
      <c r="Q696" s="576"/>
      <c r="R696" s="308"/>
      <c r="S696" s="575"/>
      <c r="T696" s="576"/>
      <c r="U696" s="308"/>
      <c r="V696" s="575"/>
      <c r="W696" s="576"/>
      <c r="X696" s="308"/>
      <c r="Y696" s="575"/>
      <c r="Z696" s="576"/>
      <c r="AA696" s="308"/>
      <c r="AB696" s="575"/>
      <c r="AC696" s="576"/>
      <c r="AD696" s="308"/>
      <c r="AE696" s="575"/>
      <c r="AF696" s="308"/>
      <c r="AG696" s="575"/>
      <c r="AH696" s="308"/>
      <c r="AI696" s="575"/>
      <c r="AJ696" s="308"/>
      <c r="AK696" s="305"/>
      <c r="AL696" s="577"/>
      <c r="AM696" s="306"/>
      <c r="AN696" s="308"/>
      <c r="AO696" s="573"/>
      <c r="AP696" s="305"/>
      <c r="AQ696" s="308"/>
      <c r="AR696" s="573"/>
      <c r="AS696" s="578"/>
      <c r="AT696" s="577"/>
      <c r="AU696" s="579"/>
      <c r="AV696" s="578"/>
      <c r="AW696" s="308"/>
      <c r="AX696" s="307"/>
      <c r="AY696" s="307"/>
      <c r="AZ696" s="307"/>
      <c r="BA696" s="307"/>
      <c r="BB696" s="307"/>
      <c r="BC696" s="305"/>
      <c r="BD696" s="292"/>
      <c r="BE696" s="297"/>
      <c r="BF696" s="297"/>
      <c r="BG696" s="569"/>
      <c r="BH696" s="570"/>
      <c r="BI696" s="570"/>
      <c r="BJ696" s="570"/>
      <c r="BK696" s="570"/>
      <c r="BL696" s="570"/>
      <c r="BM696" s="570"/>
      <c r="BN696" s="570"/>
      <c r="BO696" s="570"/>
      <c r="BP696" s="570"/>
      <c r="BQ696" s="570"/>
      <c r="BR696" s="570"/>
      <c r="BS696" s="570"/>
      <c r="BT696" s="570"/>
      <c r="BU696" s="570"/>
      <c r="BV696" s="570"/>
      <c r="BW696" s="570"/>
      <c r="BX696" s="570"/>
      <c r="BY696" s="570"/>
      <c r="BZ696" s="571"/>
      <c r="CA696" s="571"/>
    </row>
    <row r="697" spans="2:79">
      <c r="B697" s="572">
        <v>682</v>
      </c>
      <c r="C697" s="308"/>
      <c r="D697" s="307"/>
      <c r="E697" s="307"/>
      <c r="F697" s="305"/>
      <c r="G697" s="305"/>
      <c r="H697" s="292"/>
      <c r="I697" s="574"/>
      <c r="J697" s="573"/>
      <c r="K697" s="307"/>
      <c r="L697" s="292"/>
      <c r="M697" s="308"/>
      <c r="N697" s="292"/>
      <c r="O697" s="308"/>
      <c r="P697" s="575"/>
      <c r="Q697" s="576"/>
      <c r="R697" s="308"/>
      <c r="S697" s="575"/>
      <c r="T697" s="576"/>
      <c r="U697" s="308"/>
      <c r="V697" s="575"/>
      <c r="W697" s="576"/>
      <c r="X697" s="308"/>
      <c r="Y697" s="575"/>
      <c r="Z697" s="576"/>
      <c r="AA697" s="308"/>
      <c r="AB697" s="575"/>
      <c r="AC697" s="576"/>
      <c r="AD697" s="308"/>
      <c r="AE697" s="575"/>
      <c r="AF697" s="308"/>
      <c r="AG697" s="575"/>
      <c r="AH697" s="308"/>
      <c r="AI697" s="575"/>
      <c r="AJ697" s="308"/>
      <c r="AK697" s="305"/>
      <c r="AL697" s="577"/>
      <c r="AM697" s="306"/>
      <c r="AN697" s="308"/>
      <c r="AO697" s="573"/>
      <c r="AP697" s="305"/>
      <c r="AQ697" s="308"/>
      <c r="AR697" s="573"/>
      <c r="AS697" s="578"/>
      <c r="AT697" s="577"/>
      <c r="AU697" s="579"/>
      <c r="AV697" s="578"/>
      <c r="AW697" s="308"/>
      <c r="AX697" s="307"/>
      <c r="AY697" s="307"/>
      <c r="AZ697" s="307"/>
      <c r="BA697" s="307"/>
      <c r="BB697" s="307"/>
      <c r="BC697" s="305"/>
      <c r="BD697" s="292"/>
      <c r="BE697" s="297"/>
      <c r="BF697" s="297"/>
      <c r="BG697" s="569"/>
      <c r="BH697" s="570"/>
      <c r="BI697" s="570"/>
      <c r="BJ697" s="570"/>
      <c r="BK697" s="570"/>
      <c r="BL697" s="570"/>
      <c r="BM697" s="570"/>
      <c r="BN697" s="570"/>
      <c r="BO697" s="570"/>
      <c r="BP697" s="570"/>
      <c r="BQ697" s="570"/>
      <c r="BR697" s="570"/>
      <c r="BS697" s="570"/>
      <c r="BT697" s="570"/>
      <c r="BU697" s="570"/>
      <c r="BV697" s="570"/>
      <c r="BW697" s="570"/>
      <c r="BX697" s="570"/>
      <c r="BY697" s="570"/>
      <c r="BZ697" s="571"/>
      <c r="CA697" s="571"/>
    </row>
    <row r="698" spans="2:79">
      <c r="B698" s="566">
        <v>683</v>
      </c>
      <c r="C698" s="308"/>
      <c r="D698" s="307"/>
      <c r="E698" s="307"/>
      <c r="F698" s="305"/>
      <c r="G698" s="305"/>
      <c r="H698" s="292"/>
      <c r="I698" s="574"/>
      <c r="J698" s="573"/>
      <c r="K698" s="307"/>
      <c r="L698" s="292"/>
      <c r="M698" s="308"/>
      <c r="N698" s="292"/>
      <c r="O698" s="308"/>
      <c r="P698" s="575"/>
      <c r="Q698" s="576"/>
      <c r="R698" s="308"/>
      <c r="S698" s="575"/>
      <c r="T698" s="576"/>
      <c r="U698" s="308"/>
      <c r="V698" s="575"/>
      <c r="W698" s="576"/>
      <c r="X698" s="308"/>
      <c r="Y698" s="575"/>
      <c r="Z698" s="576"/>
      <c r="AA698" s="308"/>
      <c r="AB698" s="575"/>
      <c r="AC698" s="576"/>
      <c r="AD698" s="308"/>
      <c r="AE698" s="575"/>
      <c r="AF698" s="308"/>
      <c r="AG698" s="575"/>
      <c r="AH698" s="308"/>
      <c r="AI698" s="575"/>
      <c r="AJ698" s="308"/>
      <c r="AK698" s="305"/>
      <c r="AL698" s="577"/>
      <c r="AM698" s="306"/>
      <c r="AN698" s="308"/>
      <c r="AO698" s="573"/>
      <c r="AP698" s="305"/>
      <c r="AQ698" s="308"/>
      <c r="AR698" s="573"/>
      <c r="AS698" s="578"/>
      <c r="AT698" s="577"/>
      <c r="AU698" s="579"/>
      <c r="AV698" s="578"/>
      <c r="AW698" s="308"/>
      <c r="AX698" s="307"/>
      <c r="AY698" s="307"/>
      <c r="AZ698" s="307"/>
      <c r="BA698" s="307"/>
      <c r="BB698" s="307"/>
      <c r="BC698" s="305"/>
      <c r="BD698" s="292"/>
      <c r="BE698" s="297"/>
      <c r="BF698" s="297"/>
      <c r="BG698" s="569"/>
      <c r="BH698" s="570"/>
      <c r="BI698" s="570"/>
      <c r="BJ698" s="570"/>
      <c r="BK698" s="570"/>
      <c r="BL698" s="570"/>
      <c r="BM698" s="570"/>
      <c r="BN698" s="570"/>
      <c r="BO698" s="570"/>
      <c r="BP698" s="570"/>
      <c r="BQ698" s="570"/>
      <c r="BR698" s="570"/>
      <c r="BS698" s="570"/>
      <c r="BT698" s="570"/>
      <c r="BU698" s="570"/>
      <c r="BV698" s="570"/>
      <c r="BW698" s="570"/>
      <c r="BX698" s="570"/>
      <c r="BY698" s="570"/>
      <c r="BZ698" s="571"/>
      <c r="CA698" s="571"/>
    </row>
    <row r="699" spans="2:79">
      <c r="B699" s="572">
        <v>684</v>
      </c>
      <c r="C699" s="308"/>
      <c r="D699" s="307"/>
      <c r="E699" s="307"/>
      <c r="F699" s="305"/>
      <c r="G699" s="305"/>
      <c r="H699" s="292"/>
      <c r="I699" s="574"/>
      <c r="J699" s="573"/>
      <c r="K699" s="307"/>
      <c r="L699" s="292"/>
      <c r="M699" s="308"/>
      <c r="N699" s="292"/>
      <c r="O699" s="308"/>
      <c r="P699" s="575"/>
      <c r="Q699" s="576"/>
      <c r="R699" s="308"/>
      <c r="S699" s="575"/>
      <c r="T699" s="576"/>
      <c r="U699" s="308"/>
      <c r="V699" s="575"/>
      <c r="W699" s="576"/>
      <c r="X699" s="308"/>
      <c r="Y699" s="575"/>
      <c r="Z699" s="576"/>
      <c r="AA699" s="308"/>
      <c r="AB699" s="575"/>
      <c r="AC699" s="576"/>
      <c r="AD699" s="308"/>
      <c r="AE699" s="575"/>
      <c r="AF699" s="308"/>
      <c r="AG699" s="575"/>
      <c r="AH699" s="308"/>
      <c r="AI699" s="575"/>
      <c r="AJ699" s="308"/>
      <c r="AK699" s="305"/>
      <c r="AL699" s="577"/>
      <c r="AM699" s="306"/>
      <c r="AN699" s="308"/>
      <c r="AO699" s="573"/>
      <c r="AP699" s="305"/>
      <c r="AQ699" s="308"/>
      <c r="AR699" s="573"/>
      <c r="AS699" s="578"/>
      <c r="AT699" s="577"/>
      <c r="AU699" s="579"/>
      <c r="AV699" s="578"/>
      <c r="AW699" s="308"/>
      <c r="AX699" s="307"/>
      <c r="AY699" s="307"/>
      <c r="AZ699" s="307"/>
      <c r="BA699" s="307"/>
      <c r="BB699" s="307"/>
      <c r="BC699" s="305"/>
      <c r="BD699" s="292"/>
      <c r="BE699" s="297"/>
      <c r="BF699" s="297"/>
      <c r="BG699" s="569"/>
      <c r="BH699" s="570"/>
      <c r="BI699" s="570"/>
      <c r="BJ699" s="570"/>
      <c r="BK699" s="570"/>
      <c r="BL699" s="570"/>
      <c r="BM699" s="570"/>
      <c r="BN699" s="570"/>
      <c r="BO699" s="570"/>
      <c r="BP699" s="570"/>
      <c r="BQ699" s="570"/>
      <c r="BR699" s="570"/>
      <c r="BS699" s="570"/>
      <c r="BT699" s="570"/>
      <c r="BU699" s="570"/>
      <c r="BV699" s="570"/>
      <c r="BW699" s="570"/>
      <c r="BX699" s="570"/>
      <c r="BY699" s="570"/>
      <c r="BZ699" s="571"/>
      <c r="CA699" s="571"/>
    </row>
    <row r="700" spans="2:79">
      <c r="B700" s="566">
        <v>685</v>
      </c>
      <c r="C700" s="308"/>
      <c r="D700" s="307"/>
      <c r="E700" s="307"/>
      <c r="F700" s="305"/>
      <c r="G700" s="305"/>
      <c r="H700" s="292"/>
      <c r="I700" s="574"/>
      <c r="J700" s="573"/>
      <c r="K700" s="307"/>
      <c r="L700" s="292"/>
      <c r="M700" s="308"/>
      <c r="N700" s="292"/>
      <c r="O700" s="308"/>
      <c r="P700" s="575"/>
      <c r="Q700" s="576"/>
      <c r="R700" s="308"/>
      <c r="S700" s="575"/>
      <c r="T700" s="576"/>
      <c r="U700" s="308"/>
      <c r="V700" s="575"/>
      <c r="W700" s="576"/>
      <c r="X700" s="308"/>
      <c r="Y700" s="575"/>
      <c r="Z700" s="576"/>
      <c r="AA700" s="308"/>
      <c r="AB700" s="575"/>
      <c r="AC700" s="576"/>
      <c r="AD700" s="308"/>
      <c r="AE700" s="575"/>
      <c r="AF700" s="308"/>
      <c r="AG700" s="575"/>
      <c r="AH700" s="308"/>
      <c r="AI700" s="575"/>
      <c r="AJ700" s="308"/>
      <c r="AK700" s="305"/>
      <c r="AL700" s="577"/>
      <c r="AM700" s="306"/>
      <c r="AN700" s="308"/>
      <c r="AO700" s="573"/>
      <c r="AP700" s="305"/>
      <c r="AQ700" s="308"/>
      <c r="AR700" s="573"/>
      <c r="AS700" s="578"/>
      <c r="AT700" s="577"/>
      <c r="AU700" s="579"/>
      <c r="AV700" s="578"/>
      <c r="AW700" s="308"/>
      <c r="AX700" s="307"/>
      <c r="AY700" s="307"/>
      <c r="AZ700" s="307"/>
      <c r="BA700" s="307"/>
      <c r="BB700" s="307"/>
      <c r="BC700" s="305"/>
      <c r="BD700" s="292"/>
      <c r="BE700" s="297"/>
      <c r="BF700" s="297"/>
      <c r="BG700" s="569"/>
      <c r="BH700" s="570"/>
      <c r="BI700" s="570"/>
      <c r="BJ700" s="570"/>
      <c r="BK700" s="570"/>
      <c r="BL700" s="570"/>
      <c r="BM700" s="570"/>
      <c r="BN700" s="570"/>
      <c r="BO700" s="570"/>
      <c r="BP700" s="570"/>
      <c r="BQ700" s="570"/>
      <c r="BR700" s="570"/>
      <c r="BS700" s="570"/>
      <c r="BT700" s="570"/>
      <c r="BU700" s="570"/>
      <c r="BV700" s="570"/>
      <c r="BW700" s="570"/>
      <c r="BX700" s="570"/>
      <c r="BY700" s="570"/>
      <c r="BZ700" s="571"/>
      <c r="CA700" s="571"/>
    </row>
    <row r="701" spans="2:79">
      <c r="B701" s="572">
        <v>686</v>
      </c>
      <c r="C701" s="308"/>
      <c r="D701" s="307"/>
      <c r="E701" s="307"/>
      <c r="F701" s="305"/>
      <c r="G701" s="305"/>
      <c r="H701" s="292"/>
      <c r="I701" s="574"/>
      <c r="J701" s="573"/>
      <c r="K701" s="307"/>
      <c r="L701" s="292"/>
      <c r="M701" s="308"/>
      <c r="N701" s="292"/>
      <c r="O701" s="308"/>
      <c r="P701" s="575"/>
      <c r="Q701" s="576"/>
      <c r="R701" s="308"/>
      <c r="S701" s="575"/>
      <c r="T701" s="576"/>
      <c r="U701" s="308"/>
      <c r="V701" s="575"/>
      <c r="W701" s="576"/>
      <c r="X701" s="308"/>
      <c r="Y701" s="575"/>
      <c r="Z701" s="576"/>
      <c r="AA701" s="308"/>
      <c r="AB701" s="575"/>
      <c r="AC701" s="576"/>
      <c r="AD701" s="308"/>
      <c r="AE701" s="575"/>
      <c r="AF701" s="308"/>
      <c r="AG701" s="575"/>
      <c r="AH701" s="308"/>
      <c r="AI701" s="575"/>
      <c r="AJ701" s="308"/>
      <c r="AK701" s="305"/>
      <c r="AL701" s="577"/>
      <c r="AM701" s="306"/>
      <c r="AN701" s="308"/>
      <c r="AO701" s="573"/>
      <c r="AP701" s="305"/>
      <c r="AQ701" s="308"/>
      <c r="AR701" s="573"/>
      <c r="AS701" s="578"/>
      <c r="AT701" s="577"/>
      <c r="AU701" s="579"/>
      <c r="AV701" s="578"/>
      <c r="AW701" s="308"/>
      <c r="AX701" s="307"/>
      <c r="AY701" s="307"/>
      <c r="AZ701" s="307"/>
      <c r="BA701" s="307"/>
      <c r="BB701" s="307"/>
      <c r="BC701" s="305"/>
      <c r="BD701" s="292"/>
      <c r="BE701" s="297"/>
      <c r="BF701" s="297"/>
      <c r="BG701" s="569"/>
      <c r="BH701" s="570"/>
      <c r="BI701" s="570"/>
      <c r="BJ701" s="570"/>
      <c r="BK701" s="570"/>
      <c r="BL701" s="570"/>
      <c r="BM701" s="570"/>
      <c r="BN701" s="570"/>
      <c r="BO701" s="570"/>
      <c r="BP701" s="570"/>
      <c r="BQ701" s="570"/>
      <c r="BR701" s="570"/>
      <c r="BS701" s="570"/>
      <c r="BT701" s="570"/>
      <c r="BU701" s="570"/>
      <c r="BV701" s="570"/>
      <c r="BW701" s="570"/>
      <c r="BX701" s="570"/>
      <c r="BY701" s="570"/>
      <c r="BZ701" s="571"/>
      <c r="CA701" s="571"/>
    </row>
    <row r="702" spans="2:79">
      <c r="B702" s="566">
        <v>687</v>
      </c>
      <c r="C702" s="308"/>
      <c r="D702" s="307"/>
      <c r="E702" s="307"/>
      <c r="F702" s="305"/>
      <c r="G702" s="305"/>
      <c r="H702" s="292"/>
      <c r="I702" s="574"/>
      <c r="J702" s="573"/>
      <c r="K702" s="307"/>
      <c r="L702" s="292"/>
      <c r="M702" s="308"/>
      <c r="N702" s="292"/>
      <c r="O702" s="308"/>
      <c r="P702" s="575"/>
      <c r="Q702" s="576"/>
      <c r="R702" s="308"/>
      <c r="S702" s="575"/>
      <c r="T702" s="576"/>
      <c r="U702" s="308"/>
      <c r="V702" s="575"/>
      <c r="W702" s="576"/>
      <c r="X702" s="308"/>
      <c r="Y702" s="575"/>
      <c r="Z702" s="576"/>
      <c r="AA702" s="308"/>
      <c r="AB702" s="575"/>
      <c r="AC702" s="576"/>
      <c r="AD702" s="308"/>
      <c r="AE702" s="575"/>
      <c r="AF702" s="308"/>
      <c r="AG702" s="575"/>
      <c r="AH702" s="308"/>
      <c r="AI702" s="575"/>
      <c r="AJ702" s="308"/>
      <c r="AK702" s="305"/>
      <c r="AL702" s="577"/>
      <c r="AM702" s="306"/>
      <c r="AN702" s="308"/>
      <c r="AO702" s="573"/>
      <c r="AP702" s="305"/>
      <c r="AQ702" s="308"/>
      <c r="AR702" s="573"/>
      <c r="AS702" s="578"/>
      <c r="AT702" s="577"/>
      <c r="AU702" s="579"/>
      <c r="AV702" s="578"/>
      <c r="AW702" s="308"/>
      <c r="AX702" s="307"/>
      <c r="AY702" s="307"/>
      <c r="AZ702" s="307"/>
      <c r="BA702" s="307"/>
      <c r="BB702" s="307"/>
      <c r="BC702" s="305"/>
      <c r="BD702" s="292"/>
      <c r="BE702" s="297"/>
      <c r="BF702" s="297"/>
      <c r="BG702" s="569"/>
      <c r="BH702" s="570"/>
      <c r="BI702" s="570"/>
      <c r="BJ702" s="570"/>
      <c r="BK702" s="570"/>
      <c r="BL702" s="570"/>
      <c r="BM702" s="570"/>
      <c r="BN702" s="570"/>
      <c r="BO702" s="570"/>
      <c r="BP702" s="570"/>
      <c r="BQ702" s="570"/>
      <c r="BR702" s="570"/>
      <c r="BS702" s="570"/>
      <c r="BT702" s="570"/>
      <c r="BU702" s="570"/>
      <c r="BV702" s="570"/>
      <c r="BW702" s="570"/>
      <c r="BX702" s="570"/>
      <c r="BY702" s="570"/>
      <c r="BZ702" s="571"/>
      <c r="CA702" s="571"/>
    </row>
    <row r="703" spans="2:79">
      <c r="B703" s="572">
        <v>688</v>
      </c>
      <c r="C703" s="308"/>
      <c r="D703" s="307"/>
      <c r="E703" s="307"/>
      <c r="F703" s="305"/>
      <c r="G703" s="305"/>
      <c r="H703" s="292"/>
      <c r="I703" s="574"/>
      <c r="J703" s="573"/>
      <c r="K703" s="307"/>
      <c r="L703" s="292"/>
      <c r="M703" s="308"/>
      <c r="N703" s="292"/>
      <c r="O703" s="308"/>
      <c r="P703" s="575"/>
      <c r="Q703" s="576"/>
      <c r="R703" s="308"/>
      <c r="S703" s="575"/>
      <c r="T703" s="576"/>
      <c r="U703" s="308"/>
      <c r="V703" s="575"/>
      <c r="W703" s="576"/>
      <c r="X703" s="308"/>
      <c r="Y703" s="575"/>
      <c r="Z703" s="576"/>
      <c r="AA703" s="308"/>
      <c r="AB703" s="575"/>
      <c r="AC703" s="576"/>
      <c r="AD703" s="308"/>
      <c r="AE703" s="575"/>
      <c r="AF703" s="308"/>
      <c r="AG703" s="575"/>
      <c r="AH703" s="308"/>
      <c r="AI703" s="575"/>
      <c r="AJ703" s="308"/>
      <c r="AK703" s="305"/>
      <c r="AL703" s="577"/>
      <c r="AM703" s="306"/>
      <c r="AN703" s="308"/>
      <c r="AO703" s="573"/>
      <c r="AP703" s="305"/>
      <c r="AQ703" s="308"/>
      <c r="AR703" s="573"/>
      <c r="AS703" s="578"/>
      <c r="AT703" s="577"/>
      <c r="AU703" s="579"/>
      <c r="AV703" s="578"/>
      <c r="AW703" s="308"/>
      <c r="AX703" s="307"/>
      <c r="AY703" s="307"/>
      <c r="AZ703" s="307"/>
      <c r="BA703" s="307"/>
      <c r="BB703" s="307"/>
      <c r="BC703" s="305"/>
      <c r="BD703" s="292"/>
      <c r="BE703" s="297"/>
      <c r="BF703" s="297"/>
      <c r="BG703" s="569"/>
      <c r="BH703" s="570"/>
      <c r="BI703" s="570"/>
      <c r="BJ703" s="570"/>
      <c r="BK703" s="570"/>
      <c r="BL703" s="570"/>
      <c r="BM703" s="570"/>
      <c r="BN703" s="570"/>
      <c r="BO703" s="570"/>
      <c r="BP703" s="570"/>
      <c r="BQ703" s="570"/>
      <c r="BR703" s="570"/>
      <c r="BS703" s="570"/>
      <c r="BT703" s="570"/>
      <c r="BU703" s="570"/>
      <c r="BV703" s="570"/>
      <c r="BW703" s="570"/>
      <c r="BX703" s="570"/>
      <c r="BY703" s="570"/>
      <c r="BZ703" s="571"/>
      <c r="CA703" s="571"/>
    </row>
    <row r="704" spans="2:79">
      <c r="B704" s="566">
        <v>689</v>
      </c>
      <c r="C704" s="308"/>
      <c r="D704" s="307"/>
      <c r="E704" s="307"/>
      <c r="F704" s="305"/>
      <c r="G704" s="305"/>
      <c r="H704" s="292"/>
      <c r="I704" s="574"/>
      <c r="J704" s="573"/>
      <c r="K704" s="307"/>
      <c r="L704" s="292"/>
      <c r="M704" s="308"/>
      <c r="N704" s="292"/>
      <c r="O704" s="308"/>
      <c r="P704" s="575"/>
      <c r="Q704" s="576"/>
      <c r="R704" s="308"/>
      <c r="S704" s="575"/>
      <c r="T704" s="576"/>
      <c r="U704" s="308"/>
      <c r="V704" s="575"/>
      <c r="W704" s="576"/>
      <c r="X704" s="308"/>
      <c r="Y704" s="575"/>
      <c r="Z704" s="576"/>
      <c r="AA704" s="308"/>
      <c r="AB704" s="575"/>
      <c r="AC704" s="576"/>
      <c r="AD704" s="308"/>
      <c r="AE704" s="575"/>
      <c r="AF704" s="308"/>
      <c r="AG704" s="575"/>
      <c r="AH704" s="308"/>
      <c r="AI704" s="575"/>
      <c r="AJ704" s="308"/>
      <c r="AK704" s="305"/>
      <c r="AL704" s="577"/>
      <c r="AM704" s="306"/>
      <c r="AN704" s="308"/>
      <c r="AO704" s="573"/>
      <c r="AP704" s="305"/>
      <c r="AQ704" s="308"/>
      <c r="AR704" s="573"/>
      <c r="AS704" s="578"/>
      <c r="AT704" s="577"/>
      <c r="AU704" s="579"/>
      <c r="AV704" s="578"/>
      <c r="AW704" s="308"/>
      <c r="AX704" s="307"/>
      <c r="AY704" s="307"/>
      <c r="AZ704" s="307"/>
      <c r="BA704" s="307"/>
      <c r="BB704" s="307"/>
      <c r="BC704" s="305"/>
      <c r="BD704" s="292"/>
      <c r="BE704" s="297"/>
      <c r="BF704" s="297"/>
      <c r="BG704" s="569"/>
      <c r="BH704" s="570"/>
      <c r="BI704" s="570"/>
      <c r="BJ704" s="570"/>
      <c r="BK704" s="570"/>
      <c r="BL704" s="570"/>
      <c r="BM704" s="570"/>
      <c r="BN704" s="570"/>
      <c r="BO704" s="570"/>
      <c r="BP704" s="570"/>
      <c r="BQ704" s="570"/>
      <c r="BR704" s="570"/>
      <c r="BS704" s="570"/>
      <c r="BT704" s="570"/>
      <c r="BU704" s="570"/>
      <c r="BV704" s="570"/>
      <c r="BW704" s="570"/>
      <c r="BX704" s="570"/>
      <c r="BY704" s="570"/>
      <c r="BZ704" s="571"/>
      <c r="CA704" s="571"/>
    </row>
    <row r="705" spans="2:79">
      <c r="B705" s="572">
        <v>690</v>
      </c>
      <c r="C705" s="308"/>
      <c r="D705" s="307"/>
      <c r="E705" s="307"/>
      <c r="F705" s="305"/>
      <c r="G705" s="305"/>
      <c r="H705" s="292"/>
      <c r="I705" s="574"/>
      <c r="J705" s="573"/>
      <c r="K705" s="307"/>
      <c r="L705" s="292"/>
      <c r="M705" s="308"/>
      <c r="N705" s="292"/>
      <c r="O705" s="308"/>
      <c r="P705" s="575"/>
      <c r="Q705" s="576"/>
      <c r="R705" s="308"/>
      <c r="S705" s="575"/>
      <c r="T705" s="576"/>
      <c r="U705" s="308"/>
      <c r="V705" s="575"/>
      <c r="W705" s="576"/>
      <c r="X705" s="308"/>
      <c r="Y705" s="575"/>
      <c r="Z705" s="576"/>
      <c r="AA705" s="308"/>
      <c r="AB705" s="575"/>
      <c r="AC705" s="576"/>
      <c r="AD705" s="308"/>
      <c r="AE705" s="575"/>
      <c r="AF705" s="308"/>
      <c r="AG705" s="575"/>
      <c r="AH705" s="308"/>
      <c r="AI705" s="575"/>
      <c r="AJ705" s="308"/>
      <c r="AK705" s="305"/>
      <c r="AL705" s="577"/>
      <c r="AM705" s="306"/>
      <c r="AN705" s="308"/>
      <c r="AO705" s="573"/>
      <c r="AP705" s="305"/>
      <c r="AQ705" s="308"/>
      <c r="AR705" s="573"/>
      <c r="AS705" s="578"/>
      <c r="AT705" s="577"/>
      <c r="AU705" s="579"/>
      <c r="AV705" s="578"/>
      <c r="AW705" s="308"/>
      <c r="AX705" s="307"/>
      <c r="AY705" s="307"/>
      <c r="AZ705" s="307"/>
      <c r="BA705" s="307"/>
      <c r="BB705" s="307"/>
      <c r="BC705" s="305"/>
      <c r="BD705" s="292"/>
      <c r="BE705" s="297"/>
      <c r="BF705" s="297"/>
      <c r="BG705" s="569"/>
      <c r="BH705" s="570"/>
      <c r="BI705" s="570"/>
      <c r="BJ705" s="570"/>
      <c r="BK705" s="570"/>
      <c r="BL705" s="570"/>
      <c r="BM705" s="570"/>
      <c r="BN705" s="570"/>
      <c r="BO705" s="570"/>
      <c r="BP705" s="570"/>
      <c r="BQ705" s="570"/>
      <c r="BR705" s="570"/>
      <c r="BS705" s="570"/>
      <c r="BT705" s="570"/>
      <c r="BU705" s="570"/>
      <c r="BV705" s="570"/>
      <c r="BW705" s="570"/>
      <c r="BX705" s="570"/>
      <c r="BY705" s="570"/>
      <c r="BZ705" s="571"/>
      <c r="CA705" s="571"/>
    </row>
    <row r="706" spans="2:79">
      <c r="B706" s="566">
        <v>691</v>
      </c>
      <c r="C706" s="308"/>
      <c r="D706" s="307"/>
      <c r="E706" s="307"/>
      <c r="F706" s="305"/>
      <c r="G706" s="305"/>
      <c r="H706" s="292"/>
      <c r="I706" s="574"/>
      <c r="J706" s="573"/>
      <c r="K706" s="307"/>
      <c r="L706" s="292"/>
      <c r="M706" s="308"/>
      <c r="N706" s="292"/>
      <c r="O706" s="308"/>
      <c r="P706" s="575"/>
      <c r="Q706" s="576"/>
      <c r="R706" s="308"/>
      <c r="S706" s="575"/>
      <c r="T706" s="576"/>
      <c r="U706" s="308"/>
      <c r="V706" s="575"/>
      <c r="W706" s="576"/>
      <c r="X706" s="308"/>
      <c r="Y706" s="575"/>
      <c r="Z706" s="576"/>
      <c r="AA706" s="308"/>
      <c r="AB706" s="575"/>
      <c r="AC706" s="576"/>
      <c r="AD706" s="308"/>
      <c r="AE706" s="575"/>
      <c r="AF706" s="308"/>
      <c r="AG706" s="575"/>
      <c r="AH706" s="308"/>
      <c r="AI706" s="575"/>
      <c r="AJ706" s="308"/>
      <c r="AK706" s="305"/>
      <c r="AL706" s="577"/>
      <c r="AM706" s="306"/>
      <c r="AN706" s="308"/>
      <c r="AO706" s="573"/>
      <c r="AP706" s="305"/>
      <c r="AQ706" s="308"/>
      <c r="AR706" s="573"/>
      <c r="AS706" s="578"/>
      <c r="AT706" s="577"/>
      <c r="AU706" s="579"/>
      <c r="AV706" s="578"/>
      <c r="AW706" s="308"/>
      <c r="AX706" s="307"/>
      <c r="AY706" s="307"/>
      <c r="AZ706" s="307"/>
      <c r="BA706" s="307"/>
      <c r="BB706" s="307"/>
      <c r="BC706" s="305"/>
      <c r="BD706" s="292"/>
      <c r="BE706" s="297"/>
      <c r="BF706" s="297"/>
      <c r="BG706" s="569"/>
      <c r="BH706" s="570"/>
      <c r="BI706" s="570"/>
      <c r="BJ706" s="570"/>
      <c r="BK706" s="570"/>
      <c r="BL706" s="570"/>
      <c r="BM706" s="570"/>
      <c r="BN706" s="570"/>
      <c r="BO706" s="570"/>
      <c r="BP706" s="570"/>
      <c r="BQ706" s="570"/>
      <c r="BR706" s="570"/>
      <c r="BS706" s="570"/>
      <c r="BT706" s="570"/>
      <c r="BU706" s="570"/>
      <c r="BV706" s="570"/>
      <c r="BW706" s="570"/>
      <c r="BX706" s="570"/>
      <c r="BY706" s="570"/>
      <c r="BZ706" s="571"/>
      <c r="CA706" s="571"/>
    </row>
    <row r="707" spans="2:79">
      <c r="B707" s="572">
        <v>692</v>
      </c>
      <c r="C707" s="308"/>
      <c r="D707" s="307"/>
      <c r="E707" s="307"/>
      <c r="F707" s="305"/>
      <c r="G707" s="305"/>
      <c r="H707" s="292"/>
      <c r="I707" s="574"/>
      <c r="J707" s="573"/>
      <c r="K707" s="307"/>
      <c r="L707" s="292"/>
      <c r="M707" s="308"/>
      <c r="N707" s="292"/>
      <c r="O707" s="308"/>
      <c r="P707" s="575"/>
      <c r="Q707" s="576"/>
      <c r="R707" s="308"/>
      <c r="S707" s="575"/>
      <c r="T707" s="576"/>
      <c r="U707" s="308"/>
      <c r="V707" s="575"/>
      <c r="W707" s="576"/>
      <c r="X707" s="308"/>
      <c r="Y707" s="575"/>
      <c r="Z707" s="576"/>
      <c r="AA707" s="308"/>
      <c r="AB707" s="575"/>
      <c r="AC707" s="576"/>
      <c r="AD707" s="308"/>
      <c r="AE707" s="575"/>
      <c r="AF707" s="308"/>
      <c r="AG707" s="575"/>
      <c r="AH707" s="308"/>
      <c r="AI707" s="575"/>
      <c r="AJ707" s="308"/>
      <c r="AK707" s="305"/>
      <c r="AL707" s="577"/>
      <c r="AM707" s="306"/>
      <c r="AN707" s="308"/>
      <c r="AO707" s="573"/>
      <c r="AP707" s="305"/>
      <c r="AQ707" s="308"/>
      <c r="AR707" s="573"/>
      <c r="AS707" s="578"/>
      <c r="AT707" s="577"/>
      <c r="AU707" s="579"/>
      <c r="AV707" s="578"/>
      <c r="AW707" s="308"/>
      <c r="AX707" s="307"/>
      <c r="AY707" s="307"/>
      <c r="AZ707" s="307"/>
      <c r="BA707" s="307"/>
      <c r="BB707" s="307"/>
      <c r="BC707" s="305"/>
      <c r="BD707" s="292"/>
      <c r="BE707" s="297"/>
      <c r="BF707" s="297"/>
      <c r="BG707" s="569"/>
      <c r="BH707" s="570"/>
      <c r="BI707" s="570"/>
      <c r="BJ707" s="570"/>
      <c r="BK707" s="570"/>
      <c r="BL707" s="570"/>
      <c r="BM707" s="570"/>
      <c r="BN707" s="570"/>
      <c r="BO707" s="570"/>
      <c r="BP707" s="570"/>
      <c r="BQ707" s="570"/>
      <c r="BR707" s="570"/>
      <c r="BS707" s="570"/>
      <c r="BT707" s="570"/>
      <c r="BU707" s="570"/>
      <c r="BV707" s="570"/>
      <c r="BW707" s="570"/>
      <c r="BX707" s="570"/>
      <c r="BY707" s="570"/>
      <c r="BZ707" s="571"/>
      <c r="CA707" s="571"/>
    </row>
    <row r="708" spans="2:79">
      <c r="B708" s="566">
        <v>693</v>
      </c>
      <c r="C708" s="308"/>
      <c r="D708" s="307"/>
      <c r="E708" s="307"/>
      <c r="F708" s="305"/>
      <c r="G708" s="305"/>
      <c r="H708" s="292"/>
      <c r="I708" s="574"/>
      <c r="J708" s="573"/>
      <c r="K708" s="307"/>
      <c r="L708" s="292"/>
      <c r="M708" s="308"/>
      <c r="N708" s="292"/>
      <c r="O708" s="308"/>
      <c r="P708" s="575"/>
      <c r="Q708" s="576"/>
      <c r="R708" s="308"/>
      <c r="S708" s="575"/>
      <c r="T708" s="576"/>
      <c r="U708" s="308"/>
      <c r="V708" s="575"/>
      <c r="W708" s="576"/>
      <c r="X708" s="308"/>
      <c r="Y708" s="575"/>
      <c r="Z708" s="576"/>
      <c r="AA708" s="308"/>
      <c r="AB708" s="575"/>
      <c r="AC708" s="576"/>
      <c r="AD708" s="308"/>
      <c r="AE708" s="575"/>
      <c r="AF708" s="308"/>
      <c r="AG708" s="575"/>
      <c r="AH708" s="308"/>
      <c r="AI708" s="575"/>
      <c r="AJ708" s="308"/>
      <c r="AK708" s="305"/>
      <c r="AL708" s="577"/>
      <c r="AM708" s="306"/>
      <c r="AN708" s="308"/>
      <c r="AO708" s="573"/>
      <c r="AP708" s="305"/>
      <c r="AQ708" s="308"/>
      <c r="AR708" s="573"/>
      <c r="AS708" s="578"/>
      <c r="AT708" s="577"/>
      <c r="AU708" s="579"/>
      <c r="AV708" s="578"/>
      <c r="AW708" s="308"/>
      <c r="AX708" s="307"/>
      <c r="AY708" s="307"/>
      <c r="AZ708" s="307"/>
      <c r="BA708" s="307"/>
      <c r="BB708" s="307"/>
      <c r="BC708" s="305"/>
      <c r="BD708" s="292"/>
      <c r="BE708" s="297"/>
      <c r="BF708" s="297"/>
      <c r="BG708" s="569"/>
      <c r="BH708" s="570"/>
      <c r="BI708" s="570"/>
      <c r="BJ708" s="570"/>
      <c r="BK708" s="570"/>
      <c r="BL708" s="570"/>
      <c r="BM708" s="570"/>
      <c r="BN708" s="570"/>
      <c r="BO708" s="570"/>
      <c r="BP708" s="570"/>
      <c r="BQ708" s="570"/>
      <c r="BR708" s="570"/>
      <c r="BS708" s="570"/>
      <c r="BT708" s="570"/>
      <c r="BU708" s="570"/>
      <c r="BV708" s="570"/>
      <c r="BW708" s="570"/>
      <c r="BX708" s="570"/>
      <c r="BY708" s="570"/>
      <c r="BZ708" s="571"/>
      <c r="CA708" s="571"/>
    </row>
    <row r="709" spans="2:79">
      <c r="B709" s="572">
        <v>694</v>
      </c>
      <c r="C709" s="308"/>
      <c r="D709" s="307"/>
      <c r="E709" s="307"/>
      <c r="F709" s="305"/>
      <c r="G709" s="305"/>
      <c r="H709" s="292"/>
      <c r="I709" s="574"/>
      <c r="J709" s="573"/>
      <c r="K709" s="307"/>
      <c r="L709" s="292"/>
      <c r="M709" s="308"/>
      <c r="N709" s="292"/>
      <c r="O709" s="308"/>
      <c r="P709" s="575"/>
      <c r="Q709" s="576"/>
      <c r="R709" s="308"/>
      <c r="S709" s="575"/>
      <c r="T709" s="576"/>
      <c r="U709" s="308"/>
      <c r="V709" s="575"/>
      <c r="W709" s="576"/>
      <c r="X709" s="308"/>
      <c r="Y709" s="575"/>
      <c r="Z709" s="576"/>
      <c r="AA709" s="308"/>
      <c r="AB709" s="575"/>
      <c r="AC709" s="576"/>
      <c r="AD709" s="308"/>
      <c r="AE709" s="575"/>
      <c r="AF709" s="308"/>
      <c r="AG709" s="575"/>
      <c r="AH709" s="308"/>
      <c r="AI709" s="575"/>
      <c r="AJ709" s="308"/>
      <c r="AK709" s="305"/>
      <c r="AL709" s="577"/>
      <c r="AM709" s="306"/>
      <c r="AN709" s="308"/>
      <c r="AO709" s="573"/>
      <c r="AP709" s="305"/>
      <c r="AQ709" s="308"/>
      <c r="AR709" s="573"/>
      <c r="AS709" s="578"/>
      <c r="AT709" s="577"/>
      <c r="AU709" s="579"/>
      <c r="AV709" s="578"/>
      <c r="AW709" s="308"/>
      <c r="AX709" s="307"/>
      <c r="AY709" s="307"/>
      <c r="AZ709" s="307"/>
      <c r="BA709" s="307"/>
      <c r="BB709" s="307"/>
      <c r="BC709" s="305"/>
      <c r="BD709" s="292"/>
      <c r="BE709" s="297"/>
      <c r="BF709" s="297"/>
      <c r="BG709" s="569"/>
      <c r="BH709" s="570"/>
      <c r="BI709" s="570"/>
      <c r="BJ709" s="570"/>
      <c r="BK709" s="570"/>
      <c r="BL709" s="570"/>
      <c r="BM709" s="570"/>
      <c r="BN709" s="570"/>
      <c r="BO709" s="570"/>
      <c r="BP709" s="570"/>
      <c r="BQ709" s="570"/>
      <c r="BR709" s="570"/>
      <c r="BS709" s="570"/>
      <c r="BT709" s="570"/>
      <c r="BU709" s="570"/>
      <c r="BV709" s="570"/>
      <c r="BW709" s="570"/>
      <c r="BX709" s="570"/>
      <c r="BY709" s="570"/>
      <c r="BZ709" s="571"/>
      <c r="CA709" s="571"/>
    </row>
    <row r="710" spans="2:79">
      <c r="B710" s="566">
        <v>695</v>
      </c>
      <c r="C710" s="308"/>
      <c r="D710" s="307"/>
      <c r="E710" s="307"/>
      <c r="F710" s="305"/>
      <c r="G710" s="305"/>
      <c r="H710" s="292"/>
      <c r="I710" s="574"/>
      <c r="J710" s="573"/>
      <c r="K710" s="307"/>
      <c r="L710" s="292"/>
      <c r="M710" s="308"/>
      <c r="N710" s="292"/>
      <c r="O710" s="308"/>
      <c r="P710" s="575"/>
      <c r="Q710" s="576"/>
      <c r="R710" s="308"/>
      <c r="S710" s="575"/>
      <c r="T710" s="576"/>
      <c r="U710" s="308"/>
      <c r="V710" s="575"/>
      <c r="W710" s="576"/>
      <c r="X710" s="308"/>
      <c r="Y710" s="575"/>
      <c r="Z710" s="576"/>
      <c r="AA710" s="308"/>
      <c r="AB710" s="575"/>
      <c r="AC710" s="576"/>
      <c r="AD710" s="308"/>
      <c r="AE710" s="575"/>
      <c r="AF710" s="308"/>
      <c r="AG710" s="575"/>
      <c r="AH710" s="308"/>
      <c r="AI710" s="575"/>
      <c r="AJ710" s="308"/>
      <c r="AK710" s="305"/>
      <c r="AL710" s="577"/>
      <c r="AM710" s="306"/>
      <c r="AN710" s="308"/>
      <c r="AO710" s="573"/>
      <c r="AP710" s="305"/>
      <c r="AQ710" s="308"/>
      <c r="AR710" s="573"/>
      <c r="AS710" s="578"/>
      <c r="AT710" s="577"/>
      <c r="AU710" s="579"/>
      <c r="AV710" s="578"/>
      <c r="AW710" s="308"/>
      <c r="AX710" s="307"/>
      <c r="AY710" s="307"/>
      <c r="AZ710" s="307"/>
      <c r="BA710" s="307"/>
      <c r="BB710" s="307"/>
      <c r="BC710" s="305"/>
      <c r="BD710" s="292"/>
      <c r="BE710" s="297"/>
      <c r="BF710" s="297"/>
      <c r="BG710" s="569"/>
      <c r="BH710" s="570"/>
      <c r="BI710" s="570"/>
      <c r="BJ710" s="570"/>
      <c r="BK710" s="570"/>
      <c r="BL710" s="570"/>
      <c r="BM710" s="570"/>
      <c r="BN710" s="570"/>
      <c r="BO710" s="570"/>
      <c r="BP710" s="570"/>
      <c r="BQ710" s="570"/>
      <c r="BR710" s="570"/>
      <c r="BS710" s="570"/>
      <c r="BT710" s="570"/>
      <c r="BU710" s="570"/>
      <c r="BV710" s="570"/>
      <c r="BW710" s="570"/>
      <c r="BX710" s="570"/>
      <c r="BY710" s="570"/>
      <c r="BZ710" s="571"/>
      <c r="CA710" s="571"/>
    </row>
    <row r="711" spans="2:79">
      <c r="B711" s="572">
        <v>696</v>
      </c>
      <c r="C711" s="308"/>
      <c r="D711" s="307"/>
      <c r="E711" s="307"/>
      <c r="F711" s="305"/>
      <c r="G711" s="305"/>
      <c r="H711" s="292"/>
      <c r="I711" s="574"/>
      <c r="J711" s="573"/>
      <c r="K711" s="307"/>
      <c r="L711" s="292"/>
      <c r="M711" s="308"/>
      <c r="N711" s="292"/>
      <c r="O711" s="308"/>
      <c r="P711" s="575"/>
      <c r="Q711" s="576"/>
      <c r="R711" s="308"/>
      <c r="S711" s="575"/>
      <c r="T711" s="576"/>
      <c r="U711" s="308"/>
      <c r="V711" s="575"/>
      <c r="W711" s="576"/>
      <c r="X711" s="308"/>
      <c r="Y711" s="575"/>
      <c r="Z711" s="576"/>
      <c r="AA711" s="308"/>
      <c r="AB711" s="575"/>
      <c r="AC711" s="576"/>
      <c r="AD711" s="308"/>
      <c r="AE711" s="575"/>
      <c r="AF711" s="308"/>
      <c r="AG711" s="575"/>
      <c r="AH711" s="308"/>
      <c r="AI711" s="575"/>
      <c r="AJ711" s="308"/>
      <c r="AK711" s="305"/>
      <c r="AL711" s="577"/>
      <c r="AM711" s="306"/>
      <c r="AN711" s="308"/>
      <c r="AO711" s="573"/>
      <c r="AP711" s="305"/>
      <c r="AQ711" s="308"/>
      <c r="AR711" s="573"/>
      <c r="AS711" s="578"/>
      <c r="AT711" s="577"/>
      <c r="AU711" s="579"/>
      <c r="AV711" s="578"/>
      <c r="AW711" s="308"/>
      <c r="AX711" s="307"/>
      <c r="AY711" s="307"/>
      <c r="AZ711" s="307"/>
      <c r="BA711" s="307"/>
      <c r="BB711" s="307"/>
      <c r="BC711" s="305"/>
      <c r="BD711" s="292"/>
      <c r="BE711" s="297"/>
      <c r="BF711" s="297"/>
      <c r="BG711" s="569"/>
      <c r="BH711" s="570"/>
      <c r="BI711" s="570"/>
      <c r="BJ711" s="570"/>
      <c r="BK711" s="570"/>
      <c r="BL711" s="570"/>
      <c r="BM711" s="570"/>
      <c r="BN711" s="570"/>
      <c r="BO711" s="570"/>
      <c r="BP711" s="570"/>
      <c r="BQ711" s="570"/>
      <c r="BR711" s="570"/>
      <c r="BS711" s="570"/>
      <c r="BT711" s="570"/>
      <c r="BU711" s="570"/>
      <c r="BV711" s="570"/>
      <c r="BW711" s="570"/>
      <c r="BX711" s="570"/>
      <c r="BY711" s="570"/>
      <c r="BZ711" s="571"/>
      <c r="CA711" s="571"/>
    </row>
    <row r="712" spans="2:79">
      <c r="B712" s="566">
        <v>697</v>
      </c>
      <c r="C712" s="308"/>
      <c r="D712" s="307"/>
      <c r="E712" s="307"/>
      <c r="F712" s="305"/>
      <c r="G712" s="305"/>
      <c r="H712" s="292"/>
      <c r="I712" s="574"/>
      <c r="J712" s="573"/>
      <c r="K712" s="307"/>
      <c r="L712" s="292"/>
      <c r="M712" s="308"/>
      <c r="N712" s="292"/>
      <c r="O712" s="308"/>
      <c r="P712" s="575"/>
      <c r="Q712" s="576"/>
      <c r="R712" s="308"/>
      <c r="S712" s="575"/>
      <c r="T712" s="576"/>
      <c r="U712" s="308"/>
      <c r="V712" s="575"/>
      <c r="W712" s="576"/>
      <c r="X712" s="308"/>
      <c r="Y712" s="575"/>
      <c r="Z712" s="576"/>
      <c r="AA712" s="308"/>
      <c r="AB712" s="575"/>
      <c r="AC712" s="576"/>
      <c r="AD712" s="308"/>
      <c r="AE712" s="575"/>
      <c r="AF712" s="308"/>
      <c r="AG712" s="575"/>
      <c r="AH712" s="308"/>
      <c r="AI712" s="575"/>
      <c r="AJ712" s="308"/>
      <c r="AK712" s="305"/>
      <c r="AL712" s="577"/>
      <c r="AM712" s="306"/>
      <c r="AN712" s="308"/>
      <c r="AO712" s="573"/>
      <c r="AP712" s="305"/>
      <c r="AQ712" s="308"/>
      <c r="AR712" s="573"/>
      <c r="AS712" s="578"/>
      <c r="AT712" s="577"/>
      <c r="AU712" s="579"/>
      <c r="AV712" s="578"/>
      <c r="AW712" s="308"/>
      <c r="AX712" s="307"/>
      <c r="AY712" s="307"/>
      <c r="AZ712" s="307"/>
      <c r="BA712" s="307"/>
      <c r="BB712" s="307"/>
      <c r="BC712" s="305"/>
      <c r="BD712" s="292"/>
      <c r="BE712" s="297"/>
      <c r="BF712" s="297"/>
      <c r="BG712" s="569"/>
      <c r="BH712" s="570"/>
      <c r="BI712" s="570"/>
      <c r="BJ712" s="570"/>
      <c r="BK712" s="570"/>
      <c r="BL712" s="570"/>
      <c r="BM712" s="570"/>
      <c r="BN712" s="570"/>
      <c r="BO712" s="570"/>
      <c r="BP712" s="570"/>
      <c r="BQ712" s="570"/>
      <c r="BR712" s="570"/>
      <c r="BS712" s="570"/>
      <c r="BT712" s="570"/>
      <c r="BU712" s="570"/>
      <c r="BV712" s="570"/>
      <c r="BW712" s="570"/>
      <c r="BX712" s="570"/>
      <c r="BY712" s="570"/>
      <c r="BZ712" s="571"/>
      <c r="CA712" s="571"/>
    </row>
    <row r="713" spans="2:79">
      <c r="B713" s="572">
        <v>698</v>
      </c>
      <c r="C713" s="308"/>
      <c r="D713" s="307"/>
      <c r="E713" s="307"/>
      <c r="F713" s="305"/>
      <c r="G713" s="305"/>
      <c r="H713" s="292"/>
      <c r="I713" s="574"/>
      <c r="J713" s="573"/>
      <c r="K713" s="307"/>
      <c r="L713" s="292"/>
      <c r="M713" s="308"/>
      <c r="N713" s="292"/>
      <c r="O713" s="308"/>
      <c r="P713" s="575"/>
      <c r="Q713" s="576"/>
      <c r="R713" s="308"/>
      <c r="S713" s="575"/>
      <c r="T713" s="576"/>
      <c r="U713" s="308"/>
      <c r="V713" s="575"/>
      <c r="W713" s="576"/>
      <c r="X713" s="308"/>
      <c r="Y713" s="575"/>
      <c r="Z713" s="576"/>
      <c r="AA713" s="308"/>
      <c r="AB713" s="575"/>
      <c r="AC713" s="576"/>
      <c r="AD713" s="308"/>
      <c r="AE713" s="575"/>
      <c r="AF713" s="308"/>
      <c r="AG713" s="575"/>
      <c r="AH713" s="308"/>
      <c r="AI713" s="575"/>
      <c r="AJ713" s="308"/>
      <c r="AK713" s="305"/>
      <c r="AL713" s="577"/>
      <c r="AM713" s="306"/>
      <c r="AN713" s="308"/>
      <c r="AO713" s="573"/>
      <c r="AP713" s="305"/>
      <c r="AQ713" s="308"/>
      <c r="AR713" s="573"/>
      <c r="AS713" s="578"/>
      <c r="AT713" s="577"/>
      <c r="AU713" s="579"/>
      <c r="AV713" s="578"/>
      <c r="AW713" s="308"/>
      <c r="AX713" s="307"/>
      <c r="AY713" s="307"/>
      <c r="AZ713" s="307"/>
      <c r="BA713" s="307"/>
      <c r="BB713" s="307"/>
      <c r="BC713" s="305"/>
      <c r="BD713" s="292"/>
      <c r="BE713" s="297"/>
      <c r="BF713" s="297"/>
      <c r="BG713" s="569"/>
      <c r="BH713" s="570"/>
      <c r="BI713" s="570"/>
      <c r="BJ713" s="570"/>
      <c r="BK713" s="570"/>
      <c r="BL713" s="570"/>
      <c r="BM713" s="570"/>
      <c r="BN713" s="570"/>
      <c r="BO713" s="570"/>
      <c r="BP713" s="570"/>
      <c r="BQ713" s="570"/>
      <c r="BR713" s="570"/>
      <c r="BS713" s="570"/>
      <c r="BT713" s="570"/>
      <c r="BU713" s="570"/>
      <c r="BV713" s="570"/>
      <c r="BW713" s="570"/>
      <c r="BX713" s="570"/>
      <c r="BY713" s="570"/>
      <c r="BZ713" s="571"/>
      <c r="CA713" s="571"/>
    </row>
    <row r="714" spans="2:79">
      <c r="B714" s="566">
        <v>699</v>
      </c>
      <c r="C714" s="308"/>
      <c r="D714" s="307"/>
      <c r="E714" s="307"/>
      <c r="F714" s="305"/>
      <c r="G714" s="305"/>
      <c r="H714" s="292"/>
      <c r="I714" s="574"/>
      <c r="J714" s="573"/>
      <c r="K714" s="307"/>
      <c r="L714" s="292"/>
      <c r="M714" s="308"/>
      <c r="N714" s="292"/>
      <c r="O714" s="308"/>
      <c r="P714" s="575"/>
      <c r="Q714" s="576"/>
      <c r="R714" s="308"/>
      <c r="S714" s="575"/>
      <c r="T714" s="576"/>
      <c r="U714" s="308"/>
      <c r="V714" s="575"/>
      <c r="W714" s="576"/>
      <c r="X714" s="308"/>
      <c r="Y714" s="575"/>
      <c r="Z714" s="576"/>
      <c r="AA714" s="308"/>
      <c r="AB714" s="575"/>
      <c r="AC714" s="576"/>
      <c r="AD714" s="308"/>
      <c r="AE714" s="575"/>
      <c r="AF714" s="308"/>
      <c r="AG714" s="575"/>
      <c r="AH714" s="308"/>
      <c r="AI714" s="575"/>
      <c r="AJ714" s="308"/>
      <c r="AK714" s="305"/>
      <c r="AL714" s="577"/>
      <c r="AM714" s="306"/>
      <c r="AN714" s="308"/>
      <c r="AO714" s="573"/>
      <c r="AP714" s="305"/>
      <c r="AQ714" s="308"/>
      <c r="AR714" s="573"/>
      <c r="AS714" s="578"/>
      <c r="AT714" s="577"/>
      <c r="AU714" s="579"/>
      <c r="AV714" s="578"/>
      <c r="AW714" s="308"/>
      <c r="AX714" s="307"/>
      <c r="AY714" s="307"/>
      <c r="AZ714" s="307"/>
      <c r="BA714" s="307"/>
      <c r="BB714" s="307"/>
      <c r="BC714" s="305"/>
      <c r="BD714" s="292"/>
      <c r="BE714" s="297"/>
      <c r="BF714" s="297"/>
      <c r="BG714" s="569"/>
      <c r="BH714" s="570"/>
      <c r="BI714" s="570"/>
      <c r="BJ714" s="570"/>
      <c r="BK714" s="570"/>
      <c r="BL714" s="570"/>
      <c r="BM714" s="570"/>
      <c r="BN714" s="570"/>
      <c r="BO714" s="570"/>
      <c r="BP714" s="570"/>
      <c r="BQ714" s="570"/>
      <c r="BR714" s="570"/>
      <c r="BS714" s="570"/>
      <c r="BT714" s="570"/>
      <c r="BU714" s="570"/>
      <c r="BV714" s="570"/>
      <c r="BW714" s="570"/>
      <c r="BX714" s="570"/>
      <c r="BY714" s="570"/>
      <c r="BZ714" s="571"/>
      <c r="CA714" s="571"/>
    </row>
    <row r="715" spans="2:79">
      <c r="B715" s="572">
        <v>700</v>
      </c>
      <c r="C715" s="308"/>
      <c r="D715" s="307"/>
      <c r="E715" s="307"/>
      <c r="F715" s="305"/>
      <c r="G715" s="305"/>
      <c r="H715" s="292"/>
      <c r="I715" s="574"/>
      <c r="J715" s="573"/>
      <c r="K715" s="307"/>
      <c r="L715" s="292"/>
      <c r="M715" s="308"/>
      <c r="N715" s="292"/>
      <c r="O715" s="308"/>
      <c r="P715" s="575"/>
      <c r="Q715" s="576"/>
      <c r="R715" s="308"/>
      <c r="S715" s="575"/>
      <c r="T715" s="576"/>
      <c r="U715" s="308"/>
      <c r="V715" s="575"/>
      <c r="W715" s="576"/>
      <c r="X715" s="308"/>
      <c r="Y715" s="575"/>
      <c r="Z715" s="576"/>
      <c r="AA715" s="308"/>
      <c r="AB715" s="575"/>
      <c r="AC715" s="576"/>
      <c r="AD715" s="308"/>
      <c r="AE715" s="575"/>
      <c r="AF715" s="308"/>
      <c r="AG715" s="575"/>
      <c r="AH715" s="308"/>
      <c r="AI715" s="575"/>
      <c r="AJ715" s="308"/>
      <c r="AK715" s="305"/>
      <c r="AL715" s="577"/>
      <c r="AM715" s="306"/>
      <c r="AN715" s="308"/>
      <c r="AO715" s="573"/>
      <c r="AP715" s="305"/>
      <c r="AQ715" s="308"/>
      <c r="AR715" s="573"/>
      <c r="AS715" s="578"/>
      <c r="AT715" s="577"/>
      <c r="AU715" s="579"/>
      <c r="AV715" s="578"/>
      <c r="AW715" s="308"/>
      <c r="AX715" s="307"/>
      <c r="AY715" s="307"/>
      <c r="AZ715" s="307"/>
      <c r="BA715" s="307"/>
      <c r="BB715" s="307"/>
      <c r="BC715" s="305"/>
      <c r="BD715" s="292"/>
      <c r="BE715" s="297"/>
      <c r="BF715" s="297"/>
      <c r="BG715" s="569"/>
      <c r="BH715" s="570"/>
      <c r="BI715" s="570"/>
      <c r="BJ715" s="570"/>
      <c r="BK715" s="570"/>
      <c r="BL715" s="570"/>
      <c r="BM715" s="570"/>
      <c r="BN715" s="570"/>
      <c r="BO715" s="570"/>
      <c r="BP715" s="570"/>
      <c r="BQ715" s="570"/>
      <c r="BR715" s="570"/>
      <c r="BS715" s="570"/>
      <c r="BT715" s="570"/>
      <c r="BU715" s="570"/>
      <c r="BV715" s="570"/>
      <c r="BW715" s="570"/>
      <c r="BX715" s="570"/>
      <c r="BY715" s="570"/>
      <c r="BZ715" s="571"/>
      <c r="CA715" s="571"/>
    </row>
    <row r="716" spans="2:79">
      <c r="B716" s="566">
        <v>701</v>
      </c>
      <c r="C716" s="308"/>
      <c r="D716" s="307"/>
      <c r="E716" s="307"/>
      <c r="F716" s="305"/>
      <c r="G716" s="305"/>
      <c r="H716" s="292"/>
      <c r="I716" s="574"/>
      <c r="J716" s="573"/>
      <c r="K716" s="307"/>
      <c r="L716" s="292"/>
      <c r="M716" s="308"/>
      <c r="N716" s="292"/>
      <c r="O716" s="308"/>
      <c r="P716" s="575"/>
      <c r="Q716" s="576"/>
      <c r="R716" s="308"/>
      <c r="S716" s="575"/>
      <c r="T716" s="576"/>
      <c r="U716" s="308"/>
      <c r="V716" s="575"/>
      <c r="W716" s="576"/>
      <c r="X716" s="308"/>
      <c r="Y716" s="575"/>
      <c r="Z716" s="576"/>
      <c r="AA716" s="308"/>
      <c r="AB716" s="575"/>
      <c r="AC716" s="576"/>
      <c r="AD716" s="308"/>
      <c r="AE716" s="575"/>
      <c r="AF716" s="308"/>
      <c r="AG716" s="575"/>
      <c r="AH716" s="308"/>
      <c r="AI716" s="575"/>
      <c r="AJ716" s="308"/>
      <c r="AK716" s="305"/>
      <c r="AL716" s="577"/>
      <c r="AM716" s="306"/>
      <c r="AN716" s="308"/>
      <c r="AO716" s="573"/>
      <c r="AP716" s="305"/>
      <c r="AQ716" s="308"/>
      <c r="AR716" s="573"/>
      <c r="AS716" s="578"/>
      <c r="AT716" s="577"/>
      <c r="AU716" s="579"/>
      <c r="AV716" s="578"/>
      <c r="AW716" s="308"/>
      <c r="AX716" s="307"/>
      <c r="AY716" s="307"/>
      <c r="AZ716" s="307"/>
      <c r="BA716" s="307"/>
      <c r="BB716" s="307"/>
      <c r="BC716" s="305"/>
      <c r="BD716" s="292"/>
      <c r="BE716" s="297"/>
      <c r="BF716" s="297"/>
      <c r="BG716" s="569"/>
      <c r="BH716" s="570"/>
      <c r="BI716" s="570"/>
      <c r="BJ716" s="570"/>
      <c r="BK716" s="570"/>
      <c r="BL716" s="570"/>
      <c r="BM716" s="570"/>
      <c r="BN716" s="570"/>
      <c r="BO716" s="570"/>
      <c r="BP716" s="570"/>
      <c r="BQ716" s="570"/>
      <c r="BR716" s="570"/>
      <c r="BS716" s="570"/>
      <c r="BT716" s="570"/>
      <c r="BU716" s="570"/>
      <c r="BV716" s="570"/>
      <c r="BW716" s="570"/>
      <c r="BX716" s="570"/>
      <c r="BY716" s="570"/>
      <c r="BZ716" s="571"/>
      <c r="CA716" s="571"/>
    </row>
    <row r="717" spans="2:79">
      <c r="B717" s="572">
        <v>702</v>
      </c>
      <c r="C717" s="308"/>
      <c r="D717" s="307"/>
      <c r="E717" s="307"/>
      <c r="F717" s="305"/>
      <c r="G717" s="305"/>
      <c r="H717" s="292"/>
      <c r="I717" s="574"/>
      <c r="J717" s="573"/>
      <c r="K717" s="307"/>
      <c r="L717" s="292"/>
      <c r="M717" s="308"/>
      <c r="N717" s="292"/>
      <c r="O717" s="308"/>
      <c r="P717" s="575"/>
      <c r="Q717" s="576"/>
      <c r="R717" s="308"/>
      <c r="S717" s="575"/>
      <c r="T717" s="576"/>
      <c r="U717" s="308"/>
      <c r="V717" s="575"/>
      <c r="W717" s="576"/>
      <c r="X717" s="308"/>
      <c r="Y717" s="575"/>
      <c r="Z717" s="576"/>
      <c r="AA717" s="308"/>
      <c r="AB717" s="575"/>
      <c r="AC717" s="576"/>
      <c r="AD717" s="308"/>
      <c r="AE717" s="575"/>
      <c r="AF717" s="308"/>
      <c r="AG717" s="575"/>
      <c r="AH717" s="308"/>
      <c r="AI717" s="575"/>
      <c r="AJ717" s="308"/>
      <c r="AK717" s="305"/>
      <c r="AL717" s="577"/>
      <c r="AM717" s="306"/>
      <c r="AN717" s="308"/>
      <c r="AO717" s="573"/>
      <c r="AP717" s="305"/>
      <c r="AQ717" s="308"/>
      <c r="AR717" s="573"/>
      <c r="AS717" s="578"/>
      <c r="AT717" s="577"/>
      <c r="AU717" s="579"/>
      <c r="AV717" s="578"/>
      <c r="AW717" s="308"/>
      <c r="AX717" s="307"/>
      <c r="AY717" s="307"/>
      <c r="AZ717" s="307"/>
      <c r="BA717" s="307"/>
      <c r="BB717" s="307"/>
      <c r="BC717" s="305"/>
      <c r="BD717" s="292"/>
      <c r="BE717" s="297"/>
      <c r="BF717" s="297"/>
      <c r="BG717" s="569"/>
      <c r="BH717" s="570"/>
      <c r="BI717" s="570"/>
      <c r="BJ717" s="570"/>
      <c r="BK717" s="570"/>
      <c r="BL717" s="570"/>
      <c r="BM717" s="570"/>
      <c r="BN717" s="570"/>
      <c r="BO717" s="570"/>
      <c r="BP717" s="570"/>
      <c r="BQ717" s="570"/>
      <c r="BR717" s="570"/>
      <c r="BS717" s="570"/>
      <c r="BT717" s="570"/>
      <c r="BU717" s="570"/>
      <c r="BV717" s="570"/>
      <c r="BW717" s="570"/>
      <c r="BX717" s="570"/>
      <c r="BY717" s="570"/>
      <c r="BZ717" s="571"/>
      <c r="CA717" s="571"/>
    </row>
    <row r="718" spans="2:79">
      <c r="B718" s="566">
        <v>703</v>
      </c>
      <c r="C718" s="308"/>
      <c r="D718" s="307"/>
      <c r="E718" s="307"/>
      <c r="F718" s="305"/>
      <c r="G718" s="305"/>
      <c r="H718" s="292"/>
      <c r="I718" s="574"/>
      <c r="J718" s="573"/>
      <c r="K718" s="307"/>
      <c r="L718" s="292"/>
      <c r="M718" s="308"/>
      <c r="N718" s="292"/>
      <c r="O718" s="308"/>
      <c r="P718" s="575"/>
      <c r="Q718" s="576"/>
      <c r="R718" s="308"/>
      <c r="S718" s="575"/>
      <c r="T718" s="576"/>
      <c r="U718" s="308"/>
      <c r="V718" s="575"/>
      <c r="W718" s="576"/>
      <c r="X718" s="308"/>
      <c r="Y718" s="575"/>
      <c r="Z718" s="576"/>
      <c r="AA718" s="308"/>
      <c r="AB718" s="575"/>
      <c r="AC718" s="576"/>
      <c r="AD718" s="308"/>
      <c r="AE718" s="575"/>
      <c r="AF718" s="308"/>
      <c r="AG718" s="575"/>
      <c r="AH718" s="308"/>
      <c r="AI718" s="575"/>
      <c r="AJ718" s="308"/>
      <c r="AK718" s="305"/>
      <c r="AL718" s="577"/>
      <c r="AM718" s="306"/>
      <c r="AN718" s="308"/>
      <c r="AO718" s="573"/>
      <c r="AP718" s="305"/>
      <c r="AQ718" s="308"/>
      <c r="AR718" s="573"/>
      <c r="AS718" s="578"/>
      <c r="AT718" s="577"/>
      <c r="AU718" s="579"/>
      <c r="AV718" s="578"/>
      <c r="AW718" s="308"/>
      <c r="AX718" s="307"/>
      <c r="AY718" s="307"/>
      <c r="AZ718" s="307"/>
      <c r="BA718" s="307"/>
      <c r="BB718" s="307"/>
      <c r="BC718" s="305"/>
      <c r="BD718" s="292"/>
      <c r="BE718" s="297"/>
      <c r="BF718" s="297"/>
      <c r="BG718" s="569"/>
      <c r="BH718" s="570"/>
      <c r="BI718" s="570"/>
      <c r="BJ718" s="570"/>
      <c r="BK718" s="570"/>
      <c r="BL718" s="570"/>
      <c r="BM718" s="570"/>
      <c r="BN718" s="570"/>
      <c r="BO718" s="570"/>
      <c r="BP718" s="570"/>
      <c r="BQ718" s="570"/>
      <c r="BR718" s="570"/>
      <c r="BS718" s="570"/>
      <c r="BT718" s="570"/>
      <c r="BU718" s="570"/>
      <c r="BV718" s="570"/>
      <c r="BW718" s="570"/>
      <c r="BX718" s="570"/>
      <c r="BY718" s="570"/>
      <c r="BZ718" s="571"/>
      <c r="CA718" s="571"/>
    </row>
    <row r="719" spans="2:79">
      <c r="B719" s="572">
        <v>704</v>
      </c>
      <c r="C719" s="308"/>
      <c r="D719" s="307"/>
      <c r="E719" s="307"/>
      <c r="F719" s="305"/>
      <c r="G719" s="305"/>
      <c r="H719" s="292"/>
      <c r="I719" s="574"/>
      <c r="J719" s="573"/>
      <c r="K719" s="307"/>
      <c r="L719" s="292"/>
      <c r="M719" s="308"/>
      <c r="N719" s="292"/>
      <c r="O719" s="308"/>
      <c r="P719" s="575"/>
      <c r="Q719" s="576"/>
      <c r="R719" s="308"/>
      <c r="S719" s="575"/>
      <c r="T719" s="576"/>
      <c r="U719" s="308"/>
      <c r="V719" s="575"/>
      <c r="W719" s="576"/>
      <c r="X719" s="308"/>
      <c r="Y719" s="575"/>
      <c r="Z719" s="576"/>
      <c r="AA719" s="308"/>
      <c r="AB719" s="575"/>
      <c r="AC719" s="576"/>
      <c r="AD719" s="308"/>
      <c r="AE719" s="575"/>
      <c r="AF719" s="308"/>
      <c r="AG719" s="575"/>
      <c r="AH719" s="308"/>
      <c r="AI719" s="575"/>
      <c r="AJ719" s="308"/>
      <c r="AK719" s="305"/>
      <c r="AL719" s="577"/>
      <c r="AM719" s="306"/>
      <c r="AN719" s="308"/>
      <c r="AO719" s="573"/>
      <c r="AP719" s="305"/>
      <c r="AQ719" s="308"/>
      <c r="AR719" s="573"/>
      <c r="AS719" s="578"/>
      <c r="AT719" s="577"/>
      <c r="AU719" s="579"/>
      <c r="AV719" s="578"/>
      <c r="AW719" s="308"/>
      <c r="AX719" s="307"/>
      <c r="AY719" s="307"/>
      <c r="AZ719" s="307"/>
      <c r="BA719" s="307"/>
      <c r="BB719" s="307"/>
      <c r="BC719" s="305"/>
      <c r="BD719" s="292"/>
      <c r="BE719" s="297"/>
      <c r="BF719" s="297"/>
      <c r="BG719" s="569"/>
      <c r="BH719" s="570"/>
      <c r="BI719" s="570"/>
      <c r="BJ719" s="570"/>
      <c r="BK719" s="570"/>
      <c r="BL719" s="570"/>
      <c r="BM719" s="570"/>
      <c r="BN719" s="570"/>
      <c r="BO719" s="570"/>
      <c r="BP719" s="570"/>
      <c r="BQ719" s="570"/>
      <c r="BR719" s="570"/>
      <c r="BS719" s="570"/>
      <c r="BT719" s="570"/>
      <c r="BU719" s="570"/>
      <c r="BV719" s="570"/>
      <c r="BW719" s="570"/>
      <c r="BX719" s="570"/>
      <c r="BY719" s="570"/>
      <c r="BZ719" s="571"/>
      <c r="CA719" s="571"/>
    </row>
    <row r="720" spans="2:79">
      <c r="B720" s="566">
        <v>705</v>
      </c>
      <c r="C720" s="308"/>
      <c r="D720" s="307"/>
      <c r="E720" s="307"/>
      <c r="F720" s="305"/>
      <c r="G720" s="305"/>
      <c r="H720" s="292"/>
      <c r="I720" s="574"/>
      <c r="J720" s="573"/>
      <c r="K720" s="307"/>
      <c r="L720" s="292"/>
      <c r="M720" s="308"/>
      <c r="N720" s="292"/>
      <c r="O720" s="308"/>
      <c r="P720" s="575"/>
      <c r="Q720" s="576"/>
      <c r="R720" s="308"/>
      <c r="S720" s="575"/>
      <c r="T720" s="576"/>
      <c r="U720" s="308"/>
      <c r="V720" s="575"/>
      <c r="W720" s="576"/>
      <c r="X720" s="308"/>
      <c r="Y720" s="575"/>
      <c r="Z720" s="576"/>
      <c r="AA720" s="308"/>
      <c r="AB720" s="575"/>
      <c r="AC720" s="576"/>
      <c r="AD720" s="308"/>
      <c r="AE720" s="575"/>
      <c r="AF720" s="308"/>
      <c r="AG720" s="575"/>
      <c r="AH720" s="308"/>
      <c r="AI720" s="575"/>
      <c r="AJ720" s="308"/>
      <c r="AK720" s="305"/>
      <c r="AL720" s="577"/>
      <c r="AM720" s="306"/>
      <c r="AN720" s="308"/>
      <c r="AO720" s="573"/>
      <c r="AP720" s="305"/>
      <c r="AQ720" s="308"/>
      <c r="AR720" s="573"/>
      <c r="AS720" s="578"/>
      <c r="AT720" s="577"/>
      <c r="AU720" s="579"/>
      <c r="AV720" s="578"/>
      <c r="AW720" s="308"/>
      <c r="AX720" s="307"/>
      <c r="AY720" s="307"/>
      <c r="AZ720" s="307"/>
      <c r="BA720" s="307"/>
      <c r="BB720" s="307"/>
      <c r="BC720" s="305"/>
      <c r="BD720" s="292"/>
      <c r="BE720" s="297"/>
      <c r="BF720" s="297"/>
      <c r="BG720" s="569"/>
      <c r="BH720" s="570"/>
      <c r="BI720" s="570"/>
      <c r="BJ720" s="570"/>
      <c r="BK720" s="570"/>
      <c r="BL720" s="570"/>
      <c r="BM720" s="570"/>
      <c r="BN720" s="570"/>
      <c r="BO720" s="570"/>
      <c r="BP720" s="570"/>
      <c r="BQ720" s="570"/>
      <c r="BR720" s="570"/>
      <c r="BS720" s="570"/>
      <c r="BT720" s="570"/>
      <c r="BU720" s="570"/>
      <c r="BV720" s="570"/>
      <c r="BW720" s="570"/>
      <c r="BX720" s="570"/>
      <c r="BY720" s="570"/>
      <c r="BZ720" s="571"/>
      <c r="CA720" s="571"/>
    </row>
    <row r="721" spans="2:79">
      <c r="B721" s="572">
        <v>706</v>
      </c>
      <c r="C721" s="308"/>
      <c r="D721" s="307"/>
      <c r="E721" s="307"/>
      <c r="F721" s="305"/>
      <c r="G721" s="305"/>
      <c r="H721" s="292"/>
      <c r="I721" s="574"/>
      <c r="J721" s="573"/>
      <c r="K721" s="307"/>
      <c r="L721" s="292"/>
      <c r="M721" s="308"/>
      <c r="N721" s="292"/>
      <c r="O721" s="308"/>
      <c r="P721" s="575"/>
      <c r="Q721" s="576"/>
      <c r="R721" s="308"/>
      <c r="S721" s="575"/>
      <c r="T721" s="576"/>
      <c r="U721" s="308"/>
      <c r="V721" s="575"/>
      <c r="W721" s="576"/>
      <c r="X721" s="308"/>
      <c r="Y721" s="575"/>
      <c r="Z721" s="576"/>
      <c r="AA721" s="308"/>
      <c r="AB721" s="575"/>
      <c r="AC721" s="576"/>
      <c r="AD721" s="308"/>
      <c r="AE721" s="575"/>
      <c r="AF721" s="308"/>
      <c r="AG721" s="575"/>
      <c r="AH721" s="308"/>
      <c r="AI721" s="575"/>
      <c r="AJ721" s="308"/>
      <c r="AK721" s="305"/>
      <c r="AL721" s="577"/>
      <c r="AM721" s="306"/>
      <c r="AN721" s="308"/>
      <c r="AO721" s="573"/>
      <c r="AP721" s="305"/>
      <c r="AQ721" s="308"/>
      <c r="AR721" s="573"/>
      <c r="AS721" s="578"/>
      <c r="AT721" s="577"/>
      <c r="AU721" s="579"/>
      <c r="AV721" s="578"/>
      <c r="AW721" s="308"/>
      <c r="AX721" s="307"/>
      <c r="AY721" s="307"/>
      <c r="AZ721" s="307"/>
      <c r="BA721" s="307"/>
      <c r="BB721" s="307"/>
      <c r="BC721" s="305"/>
      <c r="BD721" s="292"/>
      <c r="BE721" s="297"/>
      <c r="BF721" s="297"/>
      <c r="BG721" s="569"/>
      <c r="BH721" s="570"/>
      <c r="BI721" s="570"/>
      <c r="BJ721" s="570"/>
      <c r="BK721" s="570"/>
      <c r="BL721" s="570"/>
      <c r="BM721" s="570"/>
      <c r="BN721" s="570"/>
      <c r="BO721" s="570"/>
      <c r="BP721" s="570"/>
      <c r="BQ721" s="570"/>
      <c r="BR721" s="570"/>
      <c r="BS721" s="570"/>
      <c r="BT721" s="570"/>
      <c r="BU721" s="570"/>
      <c r="BV721" s="570"/>
      <c r="BW721" s="570"/>
      <c r="BX721" s="570"/>
      <c r="BY721" s="570"/>
      <c r="BZ721" s="571"/>
      <c r="CA721" s="571"/>
    </row>
    <row r="722" spans="2:79">
      <c r="B722" s="566">
        <v>707</v>
      </c>
      <c r="C722" s="308"/>
      <c r="D722" s="307"/>
      <c r="E722" s="307"/>
      <c r="F722" s="305"/>
      <c r="G722" s="305"/>
      <c r="H722" s="292"/>
      <c r="I722" s="574"/>
      <c r="J722" s="573"/>
      <c r="K722" s="307"/>
      <c r="L722" s="292"/>
      <c r="M722" s="308"/>
      <c r="N722" s="292"/>
      <c r="O722" s="308"/>
      <c r="P722" s="575"/>
      <c r="Q722" s="576"/>
      <c r="R722" s="308"/>
      <c r="S722" s="575"/>
      <c r="T722" s="576"/>
      <c r="U722" s="308"/>
      <c r="V722" s="575"/>
      <c r="W722" s="576"/>
      <c r="X722" s="308"/>
      <c r="Y722" s="575"/>
      <c r="Z722" s="576"/>
      <c r="AA722" s="308"/>
      <c r="AB722" s="575"/>
      <c r="AC722" s="576"/>
      <c r="AD722" s="308"/>
      <c r="AE722" s="575"/>
      <c r="AF722" s="308"/>
      <c r="AG722" s="575"/>
      <c r="AH722" s="308"/>
      <c r="AI722" s="575"/>
      <c r="AJ722" s="308"/>
      <c r="AK722" s="305"/>
      <c r="AL722" s="577"/>
      <c r="AM722" s="306"/>
      <c r="AN722" s="308"/>
      <c r="AO722" s="573"/>
      <c r="AP722" s="305"/>
      <c r="AQ722" s="308"/>
      <c r="AR722" s="573"/>
      <c r="AS722" s="578"/>
      <c r="AT722" s="577"/>
      <c r="AU722" s="579"/>
      <c r="AV722" s="578"/>
      <c r="AW722" s="308"/>
      <c r="AX722" s="307"/>
      <c r="AY722" s="307"/>
      <c r="AZ722" s="307"/>
      <c r="BA722" s="307"/>
      <c r="BB722" s="307"/>
      <c r="BC722" s="305"/>
      <c r="BD722" s="292"/>
      <c r="BE722" s="297"/>
      <c r="BF722" s="297"/>
      <c r="BG722" s="569"/>
      <c r="BH722" s="570"/>
      <c r="BI722" s="570"/>
      <c r="BJ722" s="570"/>
      <c r="BK722" s="570"/>
      <c r="BL722" s="570"/>
      <c r="BM722" s="570"/>
      <c r="BN722" s="570"/>
      <c r="BO722" s="570"/>
      <c r="BP722" s="570"/>
      <c r="BQ722" s="570"/>
      <c r="BR722" s="570"/>
      <c r="BS722" s="570"/>
      <c r="BT722" s="570"/>
      <c r="BU722" s="570"/>
      <c r="BV722" s="570"/>
      <c r="BW722" s="570"/>
      <c r="BX722" s="570"/>
      <c r="BY722" s="570"/>
      <c r="BZ722" s="571"/>
      <c r="CA722" s="571"/>
    </row>
    <row r="723" spans="2:79">
      <c r="B723" s="572">
        <v>708</v>
      </c>
      <c r="C723" s="308"/>
      <c r="D723" s="307"/>
      <c r="E723" s="307"/>
      <c r="F723" s="305"/>
      <c r="G723" s="305"/>
      <c r="H723" s="292"/>
      <c r="I723" s="574"/>
      <c r="J723" s="573"/>
      <c r="K723" s="307"/>
      <c r="L723" s="292"/>
      <c r="M723" s="308"/>
      <c r="N723" s="292"/>
      <c r="O723" s="308"/>
      <c r="P723" s="575"/>
      <c r="Q723" s="576"/>
      <c r="R723" s="308"/>
      <c r="S723" s="575"/>
      <c r="T723" s="576"/>
      <c r="U723" s="308"/>
      <c r="V723" s="575"/>
      <c r="W723" s="576"/>
      <c r="X723" s="308"/>
      <c r="Y723" s="575"/>
      <c r="Z723" s="576"/>
      <c r="AA723" s="308"/>
      <c r="AB723" s="575"/>
      <c r="AC723" s="576"/>
      <c r="AD723" s="308"/>
      <c r="AE723" s="575"/>
      <c r="AF723" s="308"/>
      <c r="AG723" s="575"/>
      <c r="AH723" s="308"/>
      <c r="AI723" s="575"/>
      <c r="AJ723" s="308"/>
      <c r="AK723" s="305"/>
      <c r="AL723" s="577"/>
      <c r="AM723" s="306"/>
      <c r="AN723" s="308"/>
      <c r="AO723" s="573"/>
      <c r="AP723" s="305"/>
      <c r="AQ723" s="308"/>
      <c r="AR723" s="573"/>
      <c r="AS723" s="578"/>
      <c r="AT723" s="577"/>
      <c r="AU723" s="579"/>
      <c r="AV723" s="578"/>
      <c r="AW723" s="308"/>
      <c r="AX723" s="307"/>
      <c r="AY723" s="307"/>
      <c r="AZ723" s="307"/>
      <c r="BA723" s="307"/>
      <c r="BB723" s="307"/>
      <c r="BC723" s="305"/>
      <c r="BD723" s="292"/>
      <c r="BE723" s="297"/>
      <c r="BF723" s="297"/>
      <c r="BG723" s="569"/>
      <c r="BH723" s="570"/>
      <c r="BI723" s="570"/>
      <c r="BJ723" s="570"/>
      <c r="BK723" s="570"/>
      <c r="BL723" s="570"/>
      <c r="BM723" s="570"/>
      <c r="BN723" s="570"/>
      <c r="BO723" s="570"/>
      <c r="BP723" s="570"/>
      <c r="BQ723" s="570"/>
      <c r="BR723" s="570"/>
      <c r="BS723" s="570"/>
      <c r="BT723" s="570"/>
      <c r="BU723" s="570"/>
      <c r="BV723" s="570"/>
      <c r="BW723" s="570"/>
      <c r="BX723" s="570"/>
      <c r="BY723" s="570"/>
      <c r="BZ723" s="571"/>
      <c r="CA723" s="571"/>
    </row>
    <row r="724" spans="2:79">
      <c r="B724" s="566">
        <v>709</v>
      </c>
      <c r="C724" s="308"/>
      <c r="D724" s="307"/>
      <c r="E724" s="307"/>
      <c r="F724" s="305"/>
      <c r="G724" s="305"/>
      <c r="H724" s="292"/>
      <c r="I724" s="574"/>
      <c r="J724" s="573"/>
      <c r="K724" s="307"/>
      <c r="L724" s="292"/>
      <c r="M724" s="308"/>
      <c r="N724" s="292"/>
      <c r="O724" s="308"/>
      <c r="P724" s="575"/>
      <c r="Q724" s="576"/>
      <c r="R724" s="308"/>
      <c r="S724" s="575"/>
      <c r="T724" s="576"/>
      <c r="U724" s="308"/>
      <c r="V724" s="575"/>
      <c r="W724" s="576"/>
      <c r="X724" s="308"/>
      <c r="Y724" s="575"/>
      <c r="Z724" s="576"/>
      <c r="AA724" s="308"/>
      <c r="AB724" s="575"/>
      <c r="AC724" s="576"/>
      <c r="AD724" s="308"/>
      <c r="AE724" s="575"/>
      <c r="AF724" s="308"/>
      <c r="AG724" s="575"/>
      <c r="AH724" s="308"/>
      <c r="AI724" s="575"/>
      <c r="AJ724" s="308"/>
      <c r="AK724" s="305"/>
      <c r="AL724" s="577"/>
      <c r="AM724" s="306"/>
      <c r="AN724" s="308"/>
      <c r="AO724" s="573"/>
      <c r="AP724" s="305"/>
      <c r="AQ724" s="308"/>
      <c r="AR724" s="573"/>
      <c r="AS724" s="578"/>
      <c r="AT724" s="577"/>
      <c r="AU724" s="579"/>
      <c r="AV724" s="578"/>
      <c r="AW724" s="308"/>
      <c r="AX724" s="307"/>
      <c r="AY724" s="307"/>
      <c r="AZ724" s="307"/>
      <c r="BA724" s="307"/>
      <c r="BB724" s="307"/>
      <c r="BC724" s="305"/>
      <c r="BD724" s="292"/>
      <c r="BE724" s="297"/>
      <c r="BF724" s="297"/>
      <c r="BG724" s="569"/>
      <c r="BH724" s="570"/>
      <c r="BI724" s="570"/>
      <c r="BJ724" s="570"/>
      <c r="BK724" s="570"/>
      <c r="BL724" s="570"/>
      <c r="BM724" s="570"/>
      <c r="BN724" s="570"/>
      <c r="BO724" s="570"/>
      <c r="BP724" s="570"/>
      <c r="BQ724" s="570"/>
      <c r="BR724" s="570"/>
      <c r="BS724" s="570"/>
      <c r="BT724" s="570"/>
      <c r="BU724" s="570"/>
      <c r="BV724" s="570"/>
      <c r="BW724" s="570"/>
      <c r="BX724" s="570"/>
      <c r="BY724" s="570"/>
      <c r="BZ724" s="571"/>
      <c r="CA724" s="571"/>
    </row>
    <row r="725" spans="2:79">
      <c r="B725" s="572">
        <v>710</v>
      </c>
      <c r="C725" s="308"/>
      <c r="D725" s="307"/>
      <c r="E725" s="307"/>
      <c r="F725" s="305"/>
      <c r="G725" s="305"/>
      <c r="H725" s="292"/>
      <c r="I725" s="574"/>
      <c r="J725" s="573"/>
      <c r="K725" s="307"/>
      <c r="L725" s="292"/>
      <c r="M725" s="308"/>
      <c r="N725" s="292"/>
      <c r="O725" s="308"/>
      <c r="P725" s="575"/>
      <c r="Q725" s="576"/>
      <c r="R725" s="308"/>
      <c r="S725" s="575"/>
      <c r="T725" s="576"/>
      <c r="U725" s="308"/>
      <c r="V725" s="575"/>
      <c r="W725" s="576"/>
      <c r="X725" s="308"/>
      <c r="Y725" s="575"/>
      <c r="Z725" s="576"/>
      <c r="AA725" s="308"/>
      <c r="AB725" s="575"/>
      <c r="AC725" s="576"/>
      <c r="AD725" s="308"/>
      <c r="AE725" s="575"/>
      <c r="AF725" s="308"/>
      <c r="AG725" s="575"/>
      <c r="AH725" s="308"/>
      <c r="AI725" s="575"/>
      <c r="AJ725" s="308"/>
      <c r="AK725" s="305"/>
      <c r="AL725" s="577"/>
      <c r="AM725" s="306"/>
      <c r="AN725" s="308"/>
      <c r="AO725" s="573"/>
      <c r="AP725" s="305"/>
      <c r="AQ725" s="308"/>
      <c r="AR725" s="573"/>
      <c r="AS725" s="578"/>
      <c r="AT725" s="577"/>
      <c r="AU725" s="579"/>
      <c r="AV725" s="578"/>
      <c r="AW725" s="308"/>
      <c r="AX725" s="307"/>
      <c r="AY725" s="307"/>
      <c r="AZ725" s="307"/>
      <c r="BA725" s="307"/>
      <c r="BB725" s="307"/>
      <c r="BC725" s="305"/>
      <c r="BD725" s="292"/>
      <c r="BE725" s="297"/>
      <c r="BF725" s="297"/>
      <c r="BG725" s="569"/>
      <c r="BH725" s="570"/>
      <c r="BI725" s="570"/>
      <c r="BJ725" s="570"/>
      <c r="BK725" s="570"/>
      <c r="BL725" s="570"/>
      <c r="BM725" s="570"/>
      <c r="BN725" s="570"/>
      <c r="BO725" s="570"/>
      <c r="BP725" s="570"/>
      <c r="BQ725" s="570"/>
      <c r="BR725" s="570"/>
      <c r="BS725" s="570"/>
      <c r="BT725" s="570"/>
      <c r="BU725" s="570"/>
      <c r="BV725" s="570"/>
      <c r="BW725" s="570"/>
      <c r="BX725" s="570"/>
      <c r="BY725" s="570"/>
      <c r="BZ725" s="571"/>
      <c r="CA725" s="571"/>
    </row>
    <row r="726" spans="2:79">
      <c r="B726" s="566">
        <v>711</v>
      </c>
      <c r="C726" s="308"/>
      <c r="D726" s="307"/>
      <c r="E726" s="307"/>
      <c r="F726" s="305"/>
      <c r="G726" s="305"/>
      <c r="H726" s="292"/>
      <c r="I726" s="574"/>
      <c r="J726" s="573"/>
      <c r="K726" s="307"/>
      <c r="L726" s="292"/>
      <c r="M726" s="308"/>
      <c r="N726" s="292"/>
      <c r="O726" s="308"/>
      <c r="P726" s="575"/>
      <c r="Q726" s="576"/>
      <c r="R726" s="308"/>
      <c r="S726" s="575"/>
      <c r="T726" s="576"/>
      <c r="U726" s="308"/>
      <c r="V726" s="575"/>
      <c r="W726" s="576"/>
      <c r="X726" s="308"/>
      <c r="Y726" s="575"/>
      <c r="Z726" s="576"/>
      <c r="AA726" s="308"/>
      <c r="AB726" s="575"/>
      <c r="AC726" s="576"/>
      <c r="AD726" s="308"/>
      <c r="AE726" s="575"/>
      <c r="AF726" s="308"/>
      <c r="AG726" s="575"/>
      <c r="AH726" s="308"/>
      <c r="AI726" s="575"/>
      <c r="AJ726" s="308"/>
      <c r="AK726" s="305"/>
      <c r="AL726" s="577"/>
      <c r="AM726" s="306"/>
      <c r="AN726" s="308"/>
      <c r="AO726" s="573"/>
      <c r="AP726" s="305"/>
      <c r="AQ726" s="308"/>
      <c r="AR726" s="573"/>
      <c r="AS726" s="578"/>
      <c r="AT726" s="577"/>
      <c r="AU726" s="579"/>
      <c r="AV726" s="578"/>
      <c r="AW726" s="308"/>
      <c r="AX726" s="307"/>
      <c r="AY726" s="307"/>
      <c r="AZ726" s="307"/>
      <c r="BA726" s="307"/>
      <c r="BB726" s="307"/>
      <c r="BC726" s="305"/>
      <c r="BD726" s="292"/>
      <c r="BE726" s="297"/>
      <c r="BF726" s="297"/>
      <c r="BG726" s="569"/>
      <c r="BH726" s="570"/>
      <c r="BI726" s="570"/>
      <c r="BJ726" s="570"/>
      <c r="BK726" s="570"/>
      <c r="BL726" s="570"/>
      <c r="BM726" s="570"/>
      <c r="BN726" s="570"/>
      <c r="BO726" s="570"/>
      <c r="BP726" s="570"/>
      <c r="BQ726" s="570"/>
      <c r="BR726" s="570"/>
      <c r="BS726" s="570"/>
      <c r="BT726" s="570"/>
      <c r="BU726" s="570"/>
      <c r="BV726" s="570"/>
      <c r="BW726" s="570"/>
      <c r="BX726" s="570"/>
      <c r="BY726" s="570"/>
      <c r="BZ726" s="571"/>
      <c r="CA726" s="571"/>
    </row>
    <row r="727" spans="2:79">
      <c r="B727" s="572">
        <v>712</v>
      </c>
      <c r="C727" s="308"/>
      <c r="D727" s="307"/>
      <c r="E727" s="307"/>
      <c r="F727" s="305"/>
      <c r="G727" s="305"/>
      <c r="H727" s="292"/>
      <c r="I727" s="574"/>
      <c r="J727" s="573"/>
      <c r="K727" s="307"/>
      <c r="L727" s="292"/>
      <c r="M727" s="308"/>
      <c r="N727" s="292"/>
      <c r="O727" s="308"/>
      <c r="P727" s="575"/>
      <c r="Q727" s="576"/>
      <c r="R727" s="308"/>
      <c r="S727" s="575"/>
      <c r="T727" s="576"/>
      <c r="U727" s="308"/>
      <c r="V727" s="575"/>
      <c r="W727" s="576"/>
      <c r="X727" s="308"/>
      <c r="Y727" s="575"/>
      <c r="Z727" s="576"/>
      <c r="AA727" s="308"/>
      <c r="AB727" s="575"/>
      <c r="AC727" s="576"/>
      <c r="AD727" s="308"/>
      <c r="AE727" s="575"/>
      <c r="AF727" s="308"/>
      <c r="AG727" s="575"/>
      <c r="AH727" s="308"/>
      <c r="AI727" s="575"/>
      <c r="AJ727" s="308"/>
      <c r="AK727" s="305"/>
      <c r="AL727" s="577"/>
      <c r="AM727" s="306"/>
      <c r="AN727" s="308"/>
      <c r="AO727" s="573"/>
      <c r="AP727" s="305"/>
      <c r="AQ727" s="308"/>
      <c r="AR727" s="573"/>
      <c r="AS727" s="578"/>
      <c r="AT727" s="577"/>
      <c r="AU727" s="579"/>
      <c r="AV727" s="578"/>
      <c r="AW727" s="308"/>
      <c r="AX727" s="307"/>
      <c r="AY727" s="307"/>
      <c r="AZ727" s="307"/>
      <c r="BA727" s="307"/>
      <c r="BB727" s="307"/>
      <c r="BC727" s="305"/>
      <c r="BD727" s="292"/>
      <c r="BE727" s="297"/>
      <c r="BF727" s="297"/>
      <c r="BG727" s="569"/>
      <c r="BH727" s="570"/>
      <c r="BI727" s="570"/>
      <c r="BJ727" s="570"/>
      <c r="BK727" s="570"/>
      <c r="BL727" s="570"/>
      <c r="BM727" s="570"/>
      <c r="BN727" s="570"/>
      <c r="BO727" s="570"/>
      <c r="BP727" s="570"/>
      <c r="BQ727" s="570"/>
      <c r="BR727" s="570"/>
      <c r="BS727" s="570"/>
      <c r="BT727" s="570"/>
      <c r="BU727" s="570"/>
      <c r="BV727" s="570"/>
      <c r="BW727" s="570"/>
      <c r="BX727" s="570"/>
      <c r="BY727" s="570"/>
      <c r="BZ727" s="571"/>
      <c r="CA727" s="571"/>
    </row>
    <row r="728" spans="2:79">
      <c r="B728" s="566">
        <v>713</v>
      </c>
      <c r="C728" s="308"/>
      <c r="D728" s="307"/>
      <c r="E728" s="307"/>
      <c r="F728" s="305"/>
      <c r="G728" s="305"/>
      <c r="H728" s="292"/>
      <c r="I728" s="574"/>
      <c r="J728" s="573"/>
      <c r="K728" s="307"/>
      <c r="L728" s="292"/>
      <c r="M728" s="308"/>
      <c r="N728" s="292"/>
      <c r="O728" s="308"/>
      <c r="P728" s="575"/>
      <c r="Q728" s="576"/>
      <c r="R728" s="308"/>
      <c r="S728" s="575"/>
      <c r="T728" s="576"/>
      <c r="U728" s="308"/>
      <c r="V728" s="575"/>
      <c r="W728" s="576"/>
      <c r="X728" s="308"/>
      <c r="Y728" s="575"/>
      <c r="Z728" s="576"/>
      <c r="AA728" s="308"/>
      <c r="AB728" s="575"/>
      <c r="AC728" s="576"/>
      <c r="AD728" s="308"/>
      <c r="AE728" s="575"/>
      <c r="AF728" s="308"/>
      <c r="AG728" s="575"/>
      <c r="AH728" s="308"/>
      <c r="AI728" s="575"/>
      <c r="AJ728" s="308"/>
      <c r="AK728" s="305"/>
      <c r="AL728" s="577"/>
      <c r="AM728" s="306"/>
      <c r="AN728" s="308"/>
      <c r="AO728" s="573"/>
      <c r="AP728" s="305"/>
      <c r="AQ728" s="308"/>
      <c r="AR728" s="573"/>
      <c r="AS728" s="578"/>
      <c r="AT728" s="577"/>
      <c r="AU728" s="579"/>
      <c r="AV728" s="578"/>
      <c r="AW728" s="308"/>
      <c r="AX728" s="307"/>
      <c r="AY728" s="307"/>
      <c r="AZ728" s="307"/>
      <c r="BA728" s="307"/>
      <c r="BB728" s="307"/>
      <c r="BC728" s="305"/>
      <c r="BD728" s="292"/>
      <c r="BE728" s="297"/>
      <c r="BF728" s="297"/>
      <c r="BG728" s="569"/>
      <c r="BH728" s="570"/>
      <c r="BI728" s="570"/>
      <c r="BJ728" s="570"/>
      <c r="BK728" s="570"/>
      <c r="BL728" s="570"/>
      <c r="BM728" s="570"/>
      <c r="BN728" s="570"/>
      <c r="BO728" s="570"/>
      <c r="BP728" s="570"/>
      <c r="BQ728" s="570"/>
      <c r="BR728" s="570"/>
      <c r="BS728" s="570"/>
      <c r="BT728" s="570"/>
      <c r="BU728" s="570"/>
      <c r="BV728" s="570"/>
      <c r="BW728" s="570"/>
      <c r="BX728" s="570"/>
      <c r="BY728" s="570"/>
      <c r="BZ728" s="571"/>
      <c r="CA728" s="571"/>
    </row>
    <row r="729" spans="2:79">
      <c r="B729" s="572">
        <v>714</v>
      </c>
      <c r="C729" s="308"/>
      <c r="D729" s="307"/>
      <c r="E729" s="307"/>
      <c r="F729" s="305"/>
      <c r="G729" s="305"/>
      <c r="H729" s="292"/>
      <c r="I729" s="574"/>
      <c r="J729" s="573"/>
      <c r="K729" s="307"/>
      <c r="L729" s="292"/>
      <c r="M729" s="308"/>
      <c r="N729" s="292"/>
      <c r="O729" s="308"/>
      <c r="P729" s="575"/>
      <c r="Q729" s="576"/>
      <c r="R729" s="308"/>
      <c r="S729" s="575"/>
      <c r="T729" s="576"/>
      <c r="U729" s="308"/>
      <c r="V729" s="575"/>
      <c r="W729" s="576"/>
      <c r="X729" s="308"/>
      <c r="Y729" s="575"/>
      <c r="Z729" s="576"/>
      <c r="AA729" s="308"/>
      <c r="AB729" s="575"/>
      <c r="AC729" s="576"/>
      <c r="AD729" s="308"/>
      <c r="AE729" s="575"/>
      <c r="AF729" s="308"/>
      <c r="AG729" s="575"/>
      <c r="AH729" s="308"/>
      <c r="AI729" s="575"/>
      <c r="AJ729" s="308"/>
      <c r="AK729" s="305"/>
      <c r="AL729" s="577"/>
      <c r="AM729" s="306"/>
      <c r="AN729" s="308"/>
      <c r="AO729" s="573"/>
      <c r="AP729" s="305"/>
      <c r="AQ729" s="308"/>
      <c r="AR729" s="573"/>
      <c r="AS729" s="578"/>
      <c r="AT729" s="577"/>
      <c r="AU729" s="579"/>
      <c r="AV729" s="578"/>
      <c r="AW729" s="308"/>
      <c r="AX729" s="307"/>
      <c r="AY729" s="307"/>
      <c r="AZ729" s="307"/>
      <c r="BA729" s="307"/>
      <c r="BB729" s="307"/>
      <c r="BC729" s="305"/>
      <c r="BD729" s="292"/>
      <c r="BE729" s="297"/>
      <c r="BF729" s="297"/>
      <c r="BG729" s="569"/>
      <c r="BH729" s="570"/>
      <c r="BI729" s="570"/>
      <c r="BJ729" s="570"/>
      <c r="BK729" s="570"/>
      <c r="BL729" s="570"/>
      <c r="BM729" s="570"/>
      <c r="BN729" s="570"/>
      <c r="BO729" s="570"/>
      <c r="BP729" s="570"/>
      <c r="BQ729" s="570"/>
      <c r="BR729" s="570"/>
      <c r="BS729" s="570"/>
      <c r="BT729" s="570"/>
      <c r="BU729" s="570"/>
      <c r="BV729" s="570"/>
      <c r="BW729" s="570"/>
      <c r="BX729" s="570"/>
      <c r="BY729" s="570"/>
      <c r="BZ729" s="571"/>
      <c r="CA729" s="571"/>
    </row>
    <row r="730" spans="2:79">
      <c r="B730" s="566">
        <v>715</v>
      </c>
      <c r="C730" s="308"/>
      <c r="D730" s="307"/>
      <c r="E730" s="307"/>
      <c r="F730" s="305"/>
      <c r="G730" s="305"/>
      <c r="H730" s="292"/>
      <c r="I730" s="574"/>
      <c r="J730" s="573"/>
      <c r="K730" s="307"/>
      <c r="L730" s="292"/>
      <c r="M730" s="308"/>
      <c r="N730" s="292"/>
      <c r="O730" s="308"/>
      <c r="P730" s="575"/>
      <c r="Q730" s="576"/>
      <c r="R730" s="308"/>
      <c r="S730" s="575"/>
      <c r="T730" s="576"/>
      <c r="U730" s="308"/>
      <c r="V730" s="575"/>
      <c r="W730" s="576"/>
      <c r="X730" s="308"/>
      <c r="Y730" s="575"/>
      <c r="Z730" s="576"/>
      <c r="AA730" s="308"/>
      <c r="AB730" s="575"/>
      <c r="AC730" s="576"/>
      <c r="AD730" s="308"/>
      <c r="AE730" s="575"/>
      <c r="AF730" s="308"/>
      <c r="AG730" s="575"/>
      <c r="AH730" s="308"/>
      <c r="AI730" s="575"/>
      <c r="AJ730" s="308"/>
      <c r="AK730" s="305"/>
      <c r="AL730" s="577"/>
      <c r="AM730" s="306"/>
      <c r="AN730" s="308"/>
      <c r="AO730" s="573"/>
      <c r="AP730" s="305"/>
      <c r="AQ730" s="308"/>
      <c r="AR730" s="573"/>
      <c r="AS730" s="578"/>
      <c r="AT730" s="577"/>
      <c r="AU730" s="579"/>
      <c r="AV730" s="578"/>
      <c r="AW730" s="308"/>
      <c r="AX730" s="307"/>
      <c r="AY730" s="307"/>
      <c r="AZ730" s="307"/>
      <c r="BA730" s="307"/>
      <c r="BB730" s="307"/>
      <c r="BC730" s="305"/>
      <c r="BD730" s="292"/>
      <c r="BE730" s="297"/>
      <c r="BF730" s="297"/>
      <c r="BG730" s="569"/>
      <c r="BH730" s="570"/>
      <c r="BI730" s="570"/>
      <c r="BJ730" s="570"/>
      <c r="BK730" s="570"/>
      <c r="BL730" s="570"/>
      <c r="BM730" s="570"/>
      <c r="BN730" s="570"/>
      <c r="BO730" s="570"/>
      <c r="BP730" s="570"/>
      <c r="BQ730" s="570"/>
      <c r="BR730" s="570"/>
      <c r="BS730" s="570"/>
      <c r="BT730" s="570"/>
      <c r="BU730" s="570"/>
      <c r="BV730" s="570"/>
      <c r="BW730" s="570"/>
      <c r="BX730" s="570"/>
      <c r="BY730" s="570"/>
      <c r="BZ730" s="571"/>
      <c r="CA730" s="571"/>
    </row>
    <row r="731" spans="2:79">
      <c r="B731" s="572">
        <v>716</v>
      </c>
      <c r="C731" s="308"/>
      <c r="D731" s="307"/>
      <c r="E731" s="307"/>
      <c r="F731" s="305"/>
      <c r="G731" s="305"/>
      <c r="H731" s="292"/>
      <c r="I731" s="574"/>
      <c r="J731" s="573"/>
      <c r="K731" s="307"/>
      <c r="L731" s="292"/>
      <c r="M731" s="308"/>
      <c r="N731" s="292"/>
      <c r="O731" s="308"/>
      <c r="P731" s="575"/>
      <c r="Q731" s="576"/>
      <c r="R731" s="308"/>
      <c r="S731" s="575"/>
      <c r="T731" s="576"/>
      <c r="U731" s="308"/>
      <c r="V731" s="575"/>
      <c r="W731" s="576"/>
      <c r="X731" s="308"/>
      <c r="Y731" s="575"/>
      <c r="Z731" s="576"/>
      <c r="AA731" s="308"/>
      <c r="AB731" s="575"/>
      <c r="AC731" s="576"/>
      <c r="AD731" s="308"/>
      <c r="AE731" s="575"/>
      <c r="AF731" s="308"/>
      <c r="AG731" s="575"/>
      <c r="AH731" s="308"/>
      <c r="AI731" s="575"/>
      <c r="AJ731" s="308"/>
      <c r="AK731" s="305"/>
      <c r="AL731" s="577"/>
      <c r="AM731" s="306"/>
      <c r="AN731" s="308"/>
      <c r="AO731" s="573"/>
      <c r="AP731" s="305"/>
      <c r="AQ731" s="308"/>
      <c r="AR731" s="573"/>
      <c r="AS731" s="578"/>
      <c r="AT731" s="577"/>
      <c r="AU731" s="579"/>
      <c r="AV731" s="578"/>
      <c r="AW731" s="308"/>
      <c r="AX731" s="307"/>
      <c r="AY731" s="307"/>
      <c r="AZ731" s="307"/>
      <c r="BA731" s="307"/>
      <c r="BB731" s="307"/>
      <c r="BC731" s="305"/>
      <c r="BD731" s="292"/>
      <c r="BE731" s="297"/>
      <c r="BF731" s="297"/>
      <c r="BG731" s="569"/>
      <c r="BH731" s="570"/>
      <c r="BI731" s="570"/>
      <c r="BJ731" s="570"/>
      <c r="BK731" s="570"/>
      <c r="BL731" s="570"/>
      <c r="BM731" s="570"/>
      <c r="BN731" s="570"/>
      <c r="BO731" s="570"/>
      <c r="BP731" s="570"/>
      <c r="BQ731" s="570"/>
      <c r="BR731" s="570"/>
      <c r="BS731" s="570"/>
      <c r="BT731" s="570"/>
      <c r="BU731" s="570"/>
      <c r="BV731" s="570"/>
      <c r="BW731" s="570"/>
      <c r="BX731" s="570"/>
      <c r="BY731" s="570"/>
      <c r="BZ731" s="571"/>
      <c r="CA731" s="571"/>
    </row>
    <row r="732" spans="2:79">
      <c r="B732" s="566">
        <v>717</v>
      </c>
      <c r="C732" s="308"/>
      <c r="D732" s="307"/>
      <c r="E732" s="307"/>
      <c r="F732" s="305"/>
      <c r="G732" s="305"/>
      <c r="H732" s="292"/>
      <c r="I732" s="574"/>
      <c r="J732" s="573"/>
      <c r="K732" s="307"/>
      <c r="L732" s="292"/>
      <c r="M732" s="308"/>
      <c r="N732" s="292"/>
      <c r="O732" s="308"/>
      <c r="P732" s="575"/>
      <c r="Q732" s="576"/>
      <c r="R732" s="308"/>
      <c r="S732" s="575"/>
      <c r="T732" s="576"/>
      <c r="U732" s="308"/>
      <c r="V732" s="575"/>
      <c r="W732" s="576"/>
      <c r="X732" s="308"/>
      <c r="Y732" s="575"/>
      <c r="Z732" s="576"/>
      <c r="AA732" s="308"/>
      <c r="AB732" s="575"/>
      <c r="AC732" s="576"/>
      <c r="AD732" s="308"/>
      <c r="AE732" s="575"/>
      <c r="AF732" s="308"/>
      <c r="AG732" s="575"/>
      <c r="AH732" s="308"/>
      <c r="AI732" s="575"/>
      <c r="AJ732" s="308"/>
      <c r="AK732" s="305"/>
      <c r="AL732" s="577"/>
      <c r="AM732" s="306"/>
      <c r="AN732" s="308"/>
      <c r="AO732" s="573"/>
      <c r="AP732" s="305"/>
      <c r="AQ732" s="308"/>
      <c r="AR732" s="573"/>
      <c r="AS732" s="578"/>
      <c r="AT732" s="577"/>
      <c r="AU732" s="579"/>
      <c r="AV732" s="578"/>
      <c r="AW732" s="308"/>
      <c r="AX732" s="307"/>
      <c r="AY732" s="307"/>
      <c r="AZ732" s="307"/>
      <c r="BA732" s="307"/>
      <c r="BB732" s="307"/>
      <c r="BC732" s="305"/>
      <c r="BD732" s="292"/>
      <c r="BE732" s="297"/>
      <c r="BF732" s="297"/>
      <c r="BG732" s="569"/>
      <c r="BH732" s="570"/>
      <c r="BI732" s="570"/>
      <c r="BJ732" s="570"/>
      <c r="BK732" s="570"/>
      <c r="BL732" s="570"/>
      <c r="BM732" s="570"/>
      <c r="BN732" s="570"/>
      <c r="BO732" s="570"/>
      <c r="BP732" s="570"/>
      <c r="BQ732" s="570"/>
      <c r="BR732" s="570"/>
      <c r="BS732" s="570"/>
      <c r="BT732" s="570"/>
      <c r="BU732" s="570"/>
      <c r="BV732" s="570"/>
      <c r="BW732" s="570"/>
      <c r="BX732" s="570"/>
      <c r="BY732" s="570"/>
      <c r="BZ732" s="571"/>
      <c r="CA732" s="571"/>
    </row>
    <row r="733" spans="2:79">
      <c r="B733" s="572">
        <v>718</v>
      </c>
      <c r="C733" s="308"/>
      <c r="D733" s="307"/>
      <c r="E733" s="307"/>
      <c r="F733" s="305"/>
      <c r="G733" s="305"/>
      <c r="H733" s="292"/>
      <c r="I733" s="574"/>
      <c r="J733" s="573"/>
      <c r="K733" s="307"/>
      <c r="L733" s="292"/>
      <c r="M733" s="308"/>
      <c r="N733" s="292"/>
      <c r="O733" s="308"/>
      <c r="P733" s="575"/>
      <c r="Q733" s="576"/>
      <c r="R733" s="308"/>
      <c r="S733" s="575"/>
      <c r="T733" s="576"/>
      <c r="U733" s="308"/>
      <c r="V733" s="575"/>
      <c r="W733" s="576"/>
      <c r="X733" s="308"/>
      <c r="Y733" s="575"/>
      <c r="Z733" s="576"/>
      <c r="AA733" s="308"/>
      <c r="AB733" s="575"/>
      <c r="AC733" s="576"/>
      <c r="AD733" s="308"/>
      <c r="AE733" s="575"/>
      <c r="AF733" s="308"/>
      <c r="AG733" s="575"/>
      <c r="AH733" s="308"/>
      <c r="AI733" s="575"/>
      <c r="AJ733" s="308"/>
      <c r="AK733" s="305"/>
      <c r="AL733" s="577"/>
      <c r="AM733" s="306"/>
      <c r="AN733" s="308"/>
      <c r="AO733" s="573"/>
      <c r="AP733" s="305"/>
      <c r="AQ733" s="308"/>
      <c r="AR733" s="573"/>
      <c r="AS733" s="578"/>
      <c r="AT733" s="577"/>
      <c r="AU733" s="579"/>
      <c r="AV733" s="578"/>
      <c r="AW733" s="308"/>
      <c r="AX733" s="307"/>
      <c r="AY733" s="307"/>
      <c r="AZ733" s="307"/>
      <c r="BA733" s="307"/>
      <c r="BB733" s="307"/>
      <c r="BC733" s="305"/>
      <c r="BD733" s="292"/>
      <c r="BE733" s="297"/>
      <c r="BF733" s="297"/>
      <c r="BG733" s="569"/>
      <c r="BH733" s="570"/>
      <c r="BI733" s="570"/>
      <c r="BJ733" s="570"/>
      <c r="BK733" s="570"/>
      <c r="BL733" s="570"/>
      <c r="BM733" s="570"/>
      <c r="BN733" s="570"/>
      <c r="BO733" s="570"/>
      <c r="BP733" s="570"/>
      <c r="BQ733" s="570"/>
      <c r="BR733" s="570"/>
      <c r="BS733" s="570"/>
      <c r="BT733" s="570"/>
      <c r="BU733" s="570"/>
      <c r="BV733" s="570"/>
      <c r="BW733" s="570"/>
      <c r="BX733" s="570"/>
      <c r="BY733" s="570"/>
      <c r="BZ733" s="571"/>
      <c r="CA733" s="571"/>
    </row>
    <row r="734" spans="2:79">
      <c r="B734" s="566">
        <v>719</v>
      </c>
      <c r="C734" s="308"/>
      <c r="D734" s="307"/>
      <c r="E734" s="307"/>
      <c r="F734" s="305"/>
      <c r="G734" s="305"/>
      <c r="H734" s="292"/>
      <c r="I734" s="574"/>
      <c r="J734" s="573"/>
      <c r="K734" s="307"/>
      <c r="L734" s="292"/>
      <c r="M734" s="308"/>
      <c r="N734" s="292"/>
      <c r="O734" s="308"/>
      <c r="P734" s="575"/>
      <c r="Q734" s="576"/>
      <c r="R734" s="308"/>
      <c r="S734" s="575"/>
      <c r="T734" s="576"/>
      <c r="U734" s="308"/>
      <c r="V734" s="575"/>
      <c r="W734" s="576"/>
      <c r="X734" s="308"/>
      <c r="Y734" s="575"/>
      <c r="Z734" s="576"/>
      <c r="AA734" s="308"/>
      <c r="AB734" s="575"/>
      <c r="AC734" s="576"/>
      <c r="AD734" s="308"/>
      <c r="AE734" s="575"/>
      <c r="AF734" s="308"/>
      <c r="AG734" s="575"/>
      <c r="AH734" s="308"/>
      <c r="AI734" s="575"/>
      <c r="AJ734" s="308"/>
      <c r="AK734" s="305"/>
      <c r="AL734" s="577"/>
      <c r="AM734" s="306"/>
      <c r="AN734" s="308"/>
      <c r="AO734" s="573"/>
      <c r="AP734" s="305"/>
      <c r="AQ734" s="308"/>
      <c r="AR734" s="573"/>
      <c r="AS734" s="578"/>
      <c r="AT734" s="577"/>
      <c r="AU734" s="579"/>
      <c r="AV734" s="578"/>
      <c r="AW734" s="308"/>
      <c r="AX734" s="307"/>
      <c r="AY734" s="307"/>
      <c r="AZ734" s="307"/>
      <c r="BA734" s="307"/>
      <c r="BB734" s="307"/>
      <c r="BC734" s="305"/>
      <c r="BD734" s="292"/>
      <c r="BE734" s="297"/>
      <c r="BF734" s="297"/>
      <c r="BG734" s="569"/>
      <c r="BH734" s="570"/>
      <c r="BI734" s="570"/>
      <c r="BJ734" s="570"/>
      <c r="BK734" s="570"/>
      <c r="BL734" s="570"/>
      <c r="BM734" s="570"/>
      <c r="BN734" s="570"/>
      <c r="BO734" s="570"/>
      <c r="BP734" s="570"/>
      <c r="BQ734" s="570"/>
      <c r="BR734" s="570"/>
      <c r="BS734" s="570"/>
      <c r="BT734" s="570"/>
      <c r="BU734" s="570"/>
      <c r="BV734" s="570"/>
      <c r="BW734" s="570"/>
      <c r="BX734" s="570"/>
      <c r="BY734" s="570"/>
      <c r="BZ734" s="571"/>
      <c r="CA734" s="571"/>
    </row>
    <row r="735" spans="2:79">
      <c r="B735" s="572">
        <v>720</v>
      </c>
      <c r="C735" s="308"/>
      <c r="D735" s="307"/>
      <c r="E735" s="307"/>
      <c r="F735" s="305"/>
      <c r="G735" s="305"/>
      <c r="H735" s="292"/>
      <c r="I735" s="574"/>
      <c r="J735" s="573"/>
      <c r="K735" s="307"/>
      <c r="L735" s="292"/>
      <c r="M735" s="308"/>
      <c r="N735" s="292"/>
      <c r="O735" s="308"/>
      <c r="P735" s="575"/>
      <c r="Q735" s="576"/>
      <c r="R735" s="308"/>
      <c r="S735" s="575"/>
      <c r="T735" s="576"/>
      <c r="U735" s="308"/>
      <c r="V735" s="575"/>
      <c r="W735" s="576"/>
      <c r="X735" s="308"/>
      <c r="Y735" s="575"/>
      <c r="Z735" s="576"/>
      <c r="AA735" s="308"/>
      <c r="AB735" s="575"/>
      <c r="AC735" s="576"/>
      <c r="AD735" s="308"/>
      <c r="AE735" s="575"/>
      <c r="AF735" s="308"/>
      <c r="AG735" s="575"/>
      <c r="AH735" s="308"/>
      <c r="AI735" s="575"/>
      <c r="AJ735" s="308"/>
      <c r="AK735" s="305"/>
      <c r="AL735" s="577"/>
      <c r="AM735" s="306"/>
      <c r="AN735" s="308"/>
      <c r="AO735" s="573"/>
      <c r="AP735" s="305"/>
      <c r="AQ735" s="308"/>
      <c r="AR735" s="573"/>
      <c r="AS735" s="578"/>
      <c r="AT735" s="577"/>
      <c r="AU735" s="579"/>
      <c r="AV735" s="578"/>
      <c r="AW735" s="308"/>
      <c r="AX735" s="307"/>
      <c r="AY735" s="307"/>
      <c r="AZ735" s="307"/>
      <c r="BA735" s="307"/>
      <c r="BB735" s="307"/>
      <c r="BC735" s="305"/>
      <c r="BD735" s="292"/>
      <c r="BE735" s="297"/>
      <c r="BF735" s="297"/>
      <c r="BG735" s="569"/>
      <c r="BH735" s="570"/>
      <c r="BI735" s="570"/>
      <c r="BJ735" s="570"/>
      <c r="BK735" s="570"/>
      <c r="BL735" s="570"/>
      <c r="BM735" s="570"/>
      <c r="BN735" s="570"/>
      <c r="BO735" s="570"/>
      <c r="BP735" s="570"/>
      <c r="BQ735" s="570"/>
      <c r="BR735" s="570"/>
      <c r="BS735" s="570"/>
      <c r="BT735" s="570"/>
      <c r="BU735" s="570"/>
      <c r="BV735" s="570"/>
      <c r="BW735" s="570"/>
      <c r="BX735" s="570"/>
      <c r="BY735" s="570"/>
      <c r="BZ735" s="571"/>
      <c r="CA735" s="571"/>
    </row>
    <row r="736" spans="2:79">
      <c r="B736" s="566">
        <v>721</v>
      </c>
      <c r="C736" s="308"/>
      <c r="D736" s="307"/>
      <c r="E736" s="307"/>
      <c r="F736" s="305"/>
      <c r="G736" s="305"/>
      <c r="H736" s="292"/>
      <c r="I736" s="574"/>
      <c r="J736" s="573"/>
      <c r="K736" s="307"/>
      <c r="L736" s="292"/>
      <c r="M736" s="308"/>
      <c r="N736" s="292"/>
      <c r="O736" s="308"/>
      <c r="P736" s="575"/>
      <c r="Q736" s="576"/>
      <c r="R736" s="308"/>
      <c r="S736" s="575"/>
      <c r="T736" s="576"/>
      <c r="U736" s="308"/>
      <c r="V736" s="575"/>
      <c r="W736" s="576"/>
      <c r="X736" s="308"/>
      <c r="Y736" s="575"/>
      <c r="Z736" s="576"/>
      <c r="AA736" s="308"/>
      <c r="AB736" s="575"/>
      <c r="AC736" s="576"/>
      <c r="AD736" s="308"/>
      <c r="AE736" s="575"/>
      <c r="AF736" s="308"/>
      <c r="AG736" s="575"/>
      <c r="AH736" s="308"/>
      <c r="AI736" s="575"/>
      <c r="AJ736" s="308"/>
      <c r="AK736" s="305"/>
      <c r="AL736" s="577"/>
      <c r="AM736" s="306"/>
      <c r="AN736" s="308"/>
      <c r="AO736" s="573"/>
      <c r="AP736" s="305"/>
      <c r="AQ736" s="308"/>
      <c r="AR736" s="573"/>
      <c r="AS736" s="578"/>
      <c r="AT736" s="577"/>
      <c r="AU736" s="579"/>
      <c r="AV736" s="578"/>
      <c r="AW736" s="308"/>
      <c r="AX736" s="307"/>
      <c r="AY736" s="307"/>
      <c r="AZ736" s="307"/>
      <c r="BA736" s="307"/>
      <c r="BB736" s="307"/>
      <c r="BC736" s="305"/>
      <c r="BD736" s="292"/>
      <c r="BE736" s="297"/>
      <c r="BF736" s="297"/>
      <c r="BG736" s="569"/>
      <c r="BH736" s="570"/>
      <c r="BI736" s="570"/>
      <c r="BJ736" s="570"/>
      <c r="BK736" s="570"/>
      <c r="BL736" s="570"/>
      <c r="BM736" s="570"/>
      <c r="BN736" s="570"/>
      <c r="BO736" s="570"/>
      <c r="BP736" s="570"/>
      <c r="BQ736" s="570"/>
      <c r="BR736" s="570"/>
      <c r="BS736" s="570"/>
      <c r="BT736" s="570"/>
      <c r="BU736" s="570"/>
      <c r="BV736" s="570"/>
      <c r="BW736" s="570"/>
      <c r="BX736" s="570"/>
      <c r="BY736" s="570"/>
      <c r="BZ736" s="571"/>
      <c r="CA736" s="571"/>
    </row>
    <row r="737" spans="2:79">
      <c r="B737" s="572">
        <v>722</v>
      </c>
      <c r="C737" s="308"/>
      <c r="D737" s="307"/>
      <c r="E737" s="307"/>
      <c r="F737" s="305"/>
      <c r="G737" s="305"/>
      <c r="H737" s="292"/>
      <c r="I737" s="574"/>
      <c r="J737" s="573"/>
      <c r="K737" s="307"/>
      <c r="L737" s="292"/>
      <c r="M737" s="308"/>
      <c r="N737" s="292"/>
      <c r="O737" s="308"/>
      <c r="P737" s="575"/>
      <c r="Q737" s="576"/>
      <c r="R737" s="308"/>
      <c r="S737" s="575"/>
      <c r="T737" s="576"/>
      <c r="U737" s="308"/>
      <c r="V737" s="575"/>
      <c r="W737" s="576"/>
      <c r="X737" s="308"/>
      <c r="Y737" s="575"/>
      <c r="Z737" s="576"/>
      <c r="AA737" s="308"/>
      <c r="AB737" s="575"/>
      <c r="AC737" s="576"/>
      <c r="AD737" s="308"/>
      <c r="AE737" s="575"/>
      <c r="AF737" s="308"/>
      <c r="AG737" s="575"/>
      <c r="AH737" s="308"/>
      <c r="AI737" s="575"/>
      <c r="AJ737" s="308"/>
      <c r="AK737" s="305"/>
      <c r="AL737" s="577"/>
      <c r="AM737" s="306"/>
      <c r="AN737" s="308"/>
      <c r="AO737" s="573"/>
      <c r="AP737" s="305"/>
      <c r="AQ737" s="308"/>
      <c r="AR737" s="573"/>
      <c r="AS737" s="578"/>
      <c r="AT737" s="577"/>
      <c r="AU737" s="579"/>
      <c r="AV737" s="578"/>
      <c r="AW737" s="308"/>
      <c r="AX737" s="307"/>
      <c r="AY737" s="307"/>
      <c r="AZ737" s="307"/>
      <c r="BA737" s="307"/>
      <c r="BB737" s="307"/>
      <c r="BC737" s="305"/>
      <c r="BD737" s="292"/>
      <c r="BE737" s="297"/>
      <c r="BF737" s="297"/>
      <c r="BG737" s="569"/>
      <c r="BH737" s="570"/>
      <c r="BI737" s="570"/>
      <c r="BJ737" s="570"/>
      <c r="BK737" s="570"/>
      <c r="BL737" s="570"/>
      <c r="BM737" s="570"/>
      <c r="BN737" s="570"/>
      <c r="BO737" s="570"/>
      <c r="BP737" s="570"/>
      <c r="BQ737" s="570"/>
      <c r="BR737" s="570"/>
      <c r="BS737" s="570"/>
      <c r="BT737" s="570"/>
      <c r="BU737" s="570"/>
      <c r="BV737" s="570"/>
      <c r="BW737" s="570"/>
      <c r="BX737" s="570"/>
      <c r="BY737" s="570"/>
      <c r="BZ737" s="571"/>
      <c r="CA737" s="571"/>
    </row>
    <row r="738" spans="2:79">
      <c r="B738" s="566">
        <v>723</v>
      </c>
      <c r="C738" s="308"/>
      <c r="D738" s="307"/>
      <c r="E738" s="307"/>
      <c r="F738" s="305"/>
      <c r="G738" s="305"/>
      <c r="H738" s="292"/>
      <c r="I738" s="574"/>
      <c r="J738" s="573"/>
      <c r="K738" s="307"/>
      <c r="L738" s="292"/>
      <c r="M738" s="308"/>
      <c r="N738" s="292"/>
      <c r="O738" s="308"/>
      <c r="P738" s="575"/>
      <c r="Q738" s="576"/>
      <c r="R738" s="308"/>
      <c r="S738" s="575"/>
      <c r="T738" s="576"/>
      <c r="U738" s="308"/>
      <c r="V738" s="575"/>
      <c r="W738" s="576"/>
      <c r="X738" s="308"/>
      <c r="Y738" s="575"/>
      <c r="Z738" s="576"/>
      <c r="AA738" s="308"/>
      <c r="AB738" s="575"/>
      <c r="AC738" s="576"/>
      <c r="AD738" s="308"/>
      <c r="AE738" s="575"/>
      <c r="AF738" s="308"/>
      <c r="AG738" s="575"/>
      <c r="AH738" s="308"/>
      <c r="AI738" s="575"/>
      <c r="AJ738" s="308"/>
      <c r="AK738" s="305"/>
      <c r="AL738" s="577"/>
      <c r="AM738" s="306"/>
      <c r="AN738" s="308"/>
      <c r="AO738" s="573"/>
      <c r="AP738" s="305"/>
      <c r="AQ738" s="308"/>
      <c r="AR738" s="573"/>
      <c r="AS738" s="578"/>
      <c r="AT738" s="577"/>
      <c r="AU738" s="579"/>
      <c r="AV738" s="578"/>
      <c r="AW738" s="308"/>
      <c r="AX738" s="307"/>
      <c r="AY738" s="307"/>
      <c r="AZ738" s="307"/>
      <c r="BA738" s="307"/>
      <c r="BB738" s="307"/>
      <c r="BC738" s="305"/>
      <c r="BD738" s="292"/>
      <c r="BE738" s="297"/>
      <c r="BF738" s="297"/>
      <c r="BG738" s="569"/>
      <c r="BH738" s="570"/>
      <c r="BI738" s="570"/>
      <c r="BJ738" s="570"/>
      <c r="BK738" s="570"/>
      <c r="BL738" s="570"/>
      <c r="BM738" s="570"/>
      <c r="BN738" s="570"/>
      <c r="BO738" s="570"/>
      <c r="BP738" s="570"/>
      <c r="BQ738" s="570"/>
      <c r="BR738" s="570"/>
      <c r="BS738" s="570"/>
      <c r="BT738" s="570"/>
      <c r="BU738" s="570"/>
      <c r="BV738" s="570"/>
      <c r="BW738" s="570"/>
      <c r="BX738" s="570"/>
      <c r="BY738" s="570"/>
      <c r="BZ738" s="571"/>
      <c r="CA738" s="571"/>
    </row>
    <row r="739" spans="2:79">
      <c r="B739" s="572">
        <v>724</v>
      </c>
      <c r="C739" s="308"/>
      <c r="D739" s="307"/>
      <c r="E739" s="307"/>
      <c r="F739" s="305"/>
      <c r="G739" s="305"/>
      <c r="H739" s="292"/>
      <c r="I739" s="574"/>
      <c r="J739" s="573"/>
      <c r="K739" s="307"/>
      <c r="L739" s="292"/>
      <c r="M739" s="308"/>
      <c r="N739" s="292"/>
      <c r="O739" s="308"/>
      <c r="P739" s="575"/>
      <c r="Q739" s="576"/>
      <c r="R739" s="308"/>
      <c r="S739" s="575"/>
      <c r="T739" s="576"/>
      <c r="U739" s="308"/>
      <c r="V739" s="575"/>
      <c r="W739" s="576"/>
      <c r="X739" s="308"/>
      <c r="Y739" s="575"/>
      <c r="Z739" s="576"/>
      <c r="AA739" s="308"/>
      <c r="AB739" s="575"/>
      <c r="AC739" s="576"/>
      <c r="AD739" s="308"/>
      <c r="AE739" s="575"/>
      <c r="AF739" s="308"/>
      <c r="AG739" s="575"/>
      <c r="AH739" s="308"/>
      <c r="AI739" s="575"/>
      <c r="AJ739" s="308"/>
      <c r="AK739" s="305"/>
      <c r="AL739" s="577"/>
      <c r="AM739" s="306"/>
      <c r="AN739" s="308"/>
      <c r="AO739" s="573"/>
      <c r="AP739" s="305"/>
      <c r="AQ739" s="308"/>
      <c r="AR739" s="573"/>
      <c r="AS739" s="578"/>
      <c r="AT739" s="577"/>
      <c r="AU739" s="579"/>
      <c r="AV739" s="578"/>
      <c r="AW739" s="308"/>
      <c r="AX739" s="307"/>
      <c r="AY739" s="307"/>
      <c r="AZ739" s="307"/>
      <c r="BA739" s="307"/>
      <c r="BB739" s="307"/>
      <c r="BC739" s="305"/>
      <c r="BD739" s="292"/>
      <c r="BE739" s="297"/>
      <c r="BF739" s="297"/>
      <c r="BG739" s="569"/>
      <c r="BH739" s="570"/>
      <c r="BI739" s="570"/>
      <c r="BJ739" s="570"/>
      <c r="BK739" s="570"/>
      <c r="BL739" s="570"/>
      <c r="BM739" s="570"/>
      <c r="BN739" s="570"/>
      <c r="BO739" s="570"/>
      <c r="BP739" s="570"/>
      <c r="BQ739" s="570"/>
      <c r="BR739" s="570"/>
      <c r="BS739" s="570"/>
      <c r="BT739" s="570"/>
      <c r="BU739" s="570"/>
      <c r="BV739" s="570"/>
      <c r="BW739" s="570"/>
      <c r="BX739" s="570"/>
      <c r="BY739" s="570"/>
      <c r="BZ739" s="571"/>
      <c r="CA739" s="571"/>
    </row>
    <row r="740" spans="2:79">
      <c r="B740" s="566">
        <v>725</v>
      </c>
      <c r="C740" s="308"/>
      <c r="D740" s="307"/>
      <c r="E740" s="307"/>
      <c r="F740" s="305"/>
      <c r="G740" s="305"/>
      <c r="H740" s="292"/>
      <c r="I740" s="574"/>
      <c r="J740" s="573"/>
      <c r="K740" s="307"/>
      <c r="L740" s="292"/>
      <c r="M740" s="308"/>
      <c r="N740" s="292"/>
      <c r="O740" s="308"/>
      <c r="P740" s="575"/>
      <c r="Q740" s="576"/>
      <c r="R740" s="308"/>
      <c r="S740" s="575"/>
      <c r="T740" s="576"/>
      <c r="U740" s="308"/>
      <c r="V740" s="575"/>
      <c r="W740" s="576"/>
      <c r="X740" s="308"/>
      <c r="Y740" s="575"/>
      <c r="Z740" s="576"/>
      <c r="AA740" s="308"/>
      <c r="AB740" s="575"/>
      <c r="AC740" s="576"/>
      <c r="AD740" s="308"/>
      <c r="AE740" s="575"/>
      <c r="AF740" s="308"/>
      <c r="AG740" s="575"/>
      <c r="AH740" s="308"/>
      <c r="AI740" s="575"/>
      <c r="AJ740" s="308"/>
      <c r="AK740" s="305"/>
      <c r="AL740" s="577"/>
      <c r="AM740" s="306"/>
      <c r="AN740" s="308"/>
      <c r="AO740" s="573"/>
      <c r="AP740" s="305"/>
      <c r="AQ740" s="308"/>
      <c r="AR740" s="573"/>
      <c r="AS740" s="578"/>
      <c r="AT740" s="577"/>
      <c r="AU740" s="579"/>
      <c r="AV740" s="578"/>
      <c r="AW740" s="308"/>
      <c r="AX740" s="307"/>
      <c r="AY740" s="307"/>
      <c r="AZ740" s="307"/>
      <c r="BA740" s="307"/>
      <c r="BB740" s="307"/>
      <c r="BC740" s="305"/>
      <c r="BD740" s="292"/>
      <c r="BE740" s="297"/>
      <c r="BF740" s="297"/>
      <c r="BG740" s="569"/>
      <c r="BH740" s="570"/>
      <c r="BI740" s="570"/>
      <c r="BJ740" s="570"/>
      <c r="BK740" s="570"/>
      <c r="BL740" s="570"/>
      <c r="BM740" s="570"/>
      <c r="BN740" s="570"/>
      <c r="BO740" s="570"/>
      <c r="BP740" s="570"/>
      <c r="BQ740" s="570"/>
      <c r="BR740" s="570"/>
      <c r="BS740" s="570"/>
      <c r="BT740" s="570"/>
      <c r="BU740" s="570"/>
      <c r="BV740" s="570"/>
      <c r="BW740" s="570"/>
      <c r="BX740" s="570"/>
      <c r="BY740" s="570"/>
      <c r="BZ740" s="571"/>
      <c r="CA740" s="571"/>
    </row>
    <row r="741" spans="2:79">
      <c r="B741" s="572">
        <v>726</v>
      </c>
      <c r="C741" s="308"/>
      <c r="D741" s="307"/>
      <c r="E741" s="307"/>
      <c r="F741" s="305"/>
      <c r="G741" s="305"/>
      <c r="H741" s="292"/>
      <c r="I741" s="574"/>
      <c r="J741" s="573"/>
      <c r="K741" s="307"/>
      <c r="L741" s="292"/>
      <c r="M741" s="308"/>
      <c r="N741" s="292"/>
      <c r="O741" s="308"/>
      <c r="P741" s="575"/>
      <c r="Q741" s="576"/>
      <c r="R741" s="308"/>
      <c r="S741" s="575"/>
      <c r="T741" s="576"/>
      <c r="U741" s="308"/>
      <c r="V741" s="575"/>
      <c r="W741" s="576"/>
      <c r="X741" s="308"/>
      <c r="Y741" s="575"/>
      <c r="Z741" s="576"/>
      <c r="AA741" s="308"/>
      <c r="AB741" s="575"/>
      <c r="AC741" s="576"/>
      <c r="AD741" s="308"/>
      <c r="AE741" s="575"/>
      <c r="AF741" s="308"/>
      <c r="AG741" s="575"/>
      <c r="AH741" s="308"/>
      <c r="AI741" s="575"/>
      <c r="AJ741" s="308"/>
      <c r="AK741" s="305"/>
      <c r="AL741" s="577"/>
      <c r="AM741" s="306"/>
      <c r="AN741" s="308"/>
      <c r="AO741" s="573"/>
      <c r="AP741" s="305"/>
      <c r="AQ741" s="308"/>
      <c r="AR741" s="573"/>
      <c r="AS741" s="578"/>
      <c r="AT741" s="577"/>
      <c r="AU741" s="579"/>
      <c r="AV741" s="578"/>
      <c r="AW741" s="308"/>
      <c r="AX741" s="307"/>
      <c r="AY741" s="307"/>
      <c r="AZ741" s="307"/>
      <c r="BA741" s="307"/>
      <c r="BB741" s="307"/>
      <c r="BC741" s="305"/>
      <c r="BD741" s="292"/>
      <c r="BE741" s="297"/>
      <c r="BF741" s="297"/>
      <c r="BG741" s="569"/>
      <c r="BH741" s="570"/>
      <c r="BI741" s="570"/>
      <c r="BJ741" s="570"/>
      <c r="BK741" s="570"/>
      <c r="BL741" s="570"/>
      <c r="BM741" s="570"/>
      <c r="BN741" s="570"/>
      <c r="BO741" s="570"/>
      <c r="BP741" s="570"/>
      <c r="BQ741" s="570"/>
      <c r="BR741" s="570"/>
      <c r="BS741" s="570"/>
      <c r="BT741" s="570"/>
      <c r="BU741" s="570"/>
      <c r="BV741" s="570"/>
      <c r="BW741" s="570"/>
      <c r="BX741" s="570"/>
      <c r="BY741" s="570"/>
      <c r="BZ741" s="571"/>
      <c r="CA741" s="571"/>
    </row>
    <row r="742" spans="2:79">
      <c r="B742" s="566">
        <v>727</v>
      </c>
      <c r="C742" s="308"/>
      <c r="D742" s="307"/>
      <c r="E742" s="307"/>
      <c r="F742" s="305"/>
      <c r="G742" s="305"/>
      <c r="H742" s="292"/>
      <c r="I742" s="574"/>
      <c r="J742" s="573"/>
      <c r="K742" s="307"/>
      <c r="L742" s="292"/>
      <c r="M742" s="308"/>
      <c r="N742" s="292"/>
      <c r="O742" s="308"/>
      <c r="P742" s="575"/>
      <c r="Q742" s="576"/>
      <c r="R742" s="308"/>
      <c r="S742" s="575"/>
      <c r="T742" s="576"/>
      <c r="U742" s="308"/>
      <c r="V742" s="575"/>
      <c r="W742" s="576"/>
      <c r="X742" s="308"/>
      <c r="Y742" s="575"/>
      <c r="Z742" s="576"/>
      <c r="AA742" s="308"/>
      <c r="AB742" s="575"/>
      <c r="AC742" s="576"/>
      <c r="AD742" s="308"/>
      <c r="AE742" s="575"/>
      <c r="AF742" s="308"/>
      <c r="AG742" s="575"/>
      <c r="AH742" s="308"/>
      <c r="AI742" s="575"/>
      <c r="AJ742" s="308"/>
      <c r="AK742" s="305"/>
      <c r="AL742" s="577"/>
      <c r="AM742" s="306"/>
      <c r="AN742" s="308"/>
      <c r="AO742" s="573"/>
      <c r="AP742" s="305"/>
      <c r="AQ742" s="308"/>
      <c r="AR742" s="573"/>
      <c r="AS742" s="578"/>
      <c r="AT742" s="577"/>
      <c r="AU742" s="579"/>
      <c r="AV742" s="578"/>
      <c r="AW742" s="308"/>
      <c r="AX742" s="307"/>
      <c r="AY742" s="307"/>
      <c r="AZ742" s="307"/>
      <c r="BA742" s="307"/>
      <c r="BB742" s="307"/>
      <c r="BC742" s="305"/>
      <c r="BD742" s="292"/>
      <c r="BE742" s="297"/>
      <c r="BF742" s="297"/>
      <c r="BG742" s="569"/>
      <c r="BH742" s="570"/>
      <c r="BI742" s="570"/>
      <c r="BJ742" s="570"/>
      <c r="BK742" s="570"/>
      <c r="BL742" s="570"/>
      <c r="BM742" s="570"/>
      <c r="BN742" s="570"/>
      <c r="BO742" s="570"/>
      <c r="BP742" s="570"/>
      <c r="BQ742" s="570"/>
      <c r="BR742" s="570"/>
      <c r="BS742" s="570"/>
      <c r="BT742" s="570"/>
      <c r="BU742" s="570"/>
      <c r="BV742" s="570"/>
      <c r="BW742" s="570"/>
      <c r="BX742" s="570"/>
      <c r="BY742" s="570"/>
      <c r="BZ742" s="571"/>
      <c r="CA742" s="571"/>
    </row>
    <row r="743" spans="2:79">
      <c r="B743" s="572">
        <v>728</v>
      </c>
      <c r="C743" s="308"/>
      <c r="D743" s="307"/>
      <c r="E743" s="307"/>
      <c r="F743" s="305"/>
      <c r="G743" s="305"/>
      <c r="H743" s="292"/>
      <c r="I743" s="574"/>
      <c r="J743" s="573"/>
      <c r="K743" s="307"/>
      <c r="L743" s="292"/>
      <c r="M743" s="308"/>
      <c r="N743" s="292"/>
      <c r="O743" s="308"/>
      <c r="P743" s="575"/>
      <c r="Q743" s="576"/>
      <c r="R743" s="308"/>
      <c r="S743" s="575"/>
      <c r="T743" s="576"/>
      <c r="U743" s="308"/>
      <c r="V743" s="575"/>
      <c r="W743" s="576"/>
      <c r="X743" s="308"/>
      <c r="Y743" s="575"/>
      <c r="Z743" s="576"/>
      <c r="AA743" s="308"/>
      <c r="AB743" s="575"/>
      <c r="AC743" s="576"/>
      <c r="AD743" s="308"/>
      <c r="AE743" s="575"/>
      <c r="AF743" s="308"/>
      <c r="AG743" s="575"/>
      <c r="AH743" s="308"/>
      <c r="AI743" s="575"/>
      <c r="AJ743" s="308"/>
      <c r="AK743" s="305"/>
      <c r="AL743" s="577"/>
      <c r="AM743" s="306"/>
      <c r="AN743" s="308"/>
      <c r="AO743" s="573"/>
      <c r="AP743" s="305"/>
      <c r="AQ743" s="308"/>
      <c r="AR743" s="573"/>
      <c r="AS743" s="578"/>
      <c r="AT743" s="577"/>
      <c r="AU743" s="579"/>
      <c r="AV743" s="578"/>
      <c r="AW743" s="308"/>
      <c r="AX743" s="307"/>
      <c r="AY743" s="307"/>
      <c r="AZ743" s="307"/>
      <c r="BA743" s="307"/>
      <c r="BB743" s="307"/>
      <c r="BC743" s="305"/>
      <c r="BD743" s="292"/>
      <c r="BE743" s="297"/>
      <c r="BF743" s="297"/>
      <c r="BG743" s="569"/>
      <c r="BH743" s="570"/>
      <c r="BI743" s="570"/>
      <c r="BJ743" s="570"/>
      <c r="BK743" s="570"/>
      <c r="BL743" s="570"/>
      <c r="BM743" s="570"/>
      <c r="BN743" s="570"/>
      <c r="BO743" s="570"/>
      <c r="BP743" s="570"/>
      <c r="BQ743" s="570"/>
      <c r="BR743" s="570"/>
      <c r="BS743" s="570"/>
      <c r="BT743" s="570"/>
      <c r="BU743" s="570"/>
      <c r="BV743" s="570"/>
      <c r="BW743" s="570"/>
      <c r="BX743" s="570"/>
      <c r="BY743" s="570"/>
      <c r="BZ743" s="571"/>
      <c r="CA743" s="571"/>
    </row>
    <row r="744" spans="2:79">
      <c r="B744" s="566">
        <v>729</v>
      </c>
      <c r="C744" s="308"/>
      <c r="D744" s="307"/>
      <c r="E744" s="307"/>
      <c r="F744" s="305"/>
      <c r="G744" s="305"/>
      <c r="H744" s="292"/>
      <c r="I744" s="574"/>
      <c r="J744" s="573"/>
      <c r="K744" s="307"/>
      <c r="L744" s="292"/>
      <c r="M744" s="308"/>
      <c r="N744" s="292"/>
      <c r="O744" s="308"/>
      <c r="P744" s="575"/>
      <c r="Q744" s="576"/>
      <c r="R744" s="308"/>
      <c r="S744" s="575"/>
      <c r="T744" s="576"/>
      <c r="U744" s="308"/>
      <c r="V744" s="575"/>
      <c r="W744" s="576"/>
      <c r="X744" s="308"/>
      <c r="Y744" s="575"/>
      <c r="Z744" s="576"/>
      <c r="AA744" s="308"/>
      <c r="AB744" s="575"/>
      <c r="AC744" s="576"/>
      <c r="AD744" s="308"/>
      <c r="AE744" s="575"/>
      <c r="AF744" s="308"/>
      <c r="AG744" s="575"/>
      <c r="AH744" s="308"/>
      <c r="AI744" s="575"/>
      <c r="AJ744" s="308"/>
      <c r="AK744" s="305"/>
      <c r="AL744" s="577"/>
      <c r="AM744" s="306"/>
      <c r="AN744" s="308"/>
      <c r="AO744" s="573"/>
      <c r="AP744" s="305"/>
      <c r="AQ744" s="308"/>
      <c r="AR744" s="573"/>
      <c r="AS744" s="578"/>
      <c r="AT744" s="577"/>
      <c r="AU744" s="579"/>
      <c r="AV744" s="578"/>
      <c r="AW744" s="308"/>
      <c r="AX744" s="307"/>
      <c r="AY744" s="307"/>
      <c r="AZ744" s="307"/>
      <c r="BA744" s="307"/>
      <c r="BB744" s="307"/>
      <c r="BC744" s="305"/>
      <c r="BD744" s="292"/>
      <c r="BE744" s="297"/>
      <c r="BF744" s="297"/>
      <c r="BG744" s="569"/>
      <c r="BH744" s="570"/>
      <c r="BI744" s="570"/>
      <c r="BJ744" s="570"/>
      <c r="BK744" s="570"/>
      <c r="BL744" s="570"/>
      <c r="BM744" s="570"/>
      <c r="BN744" s="570"/>
      <c r="BO744" s="570"/>
      <c r="BP744" s="570"/>
      <c r="BQ744" s="570"/>
      <c r="BR744" s="570"/>
      <c r="BS744" s="570"/>
      <c r="BT744" s="570"/>
      <c r="BU744" s="570"/>
      <c r="BV744" s="570"/>
      <c r="BW744" s="570"/>
      <c r="BX744" s="570"/>
      <c r="BY744" s="570"/>
      <c r="BZ744" s="571"/>
      <c r="CA744" s="571"/>
    </row>
    <row r="745" spans="2:79">
      <c r="B745" s="572">
        <v>730</v>
      </c>
      <c r="C745" s="308"/>
      <c r="D745" s="307"/>
      <c r="E745" s="307"/>
      <c r="F745" s="305"/>
      <c r="G745" s="305"/>
      <c r="H745" s="292"/>
      <c r="I745" s="574"/>
      <c r="J745" s="573"/>
      <c r="K745" s="307"/>
      <c r="L745" s="292"/>
      <c r="M745" s="308"/>
      <c r="N745" s="292"/>
      <c r="O745" s="308"/>
      <c r="P745" s="575"/>
      <c r="Q745" s="576"/>
      <c r="R745" s="308"/>
      <c r="S745" s="575"/>
      <c r="T745" s="576"/>
      <c r="U745" s="308"/>
      <c r="V745" s="575"/>
      <c r="W745" s="576"/>
      <c r="X745" s="308"/>
      <c r="Y745" s="575"/>
      <c r="Z745" s="576"/>
      <c r="AA745" s="308"/>
      <c r="AB745" s="575"/>
      <c r="AC745" s="576"/>
      <c r="AD745" s="308"/>
      <c r="AE745" s="575"/>
      <c r="AF745" s="308"/>
      <c r="AG745" s="575"/>
      <c r="AH745" s="308"/>
      <c r="AI745" s="575"/>
      <c r="AJ745" s="308"/>
      <c r="AK745" s="305"/>
      <c r="AL745" s="577"/>
      <c r="AM745" s="306"/>
      <c r="AN745" s="308"/>
      <c r="AO745" s="573"/>
      <c r="AP745" s="305"/>
      <c r="AQ745" s="308"/>
      <c r="AR745" s="573"/>
      <c r="AS745" s="578"/>
      <c r="AT745" s="577"/>
      <c r="AU745" s="579"/>
      <c r="AV745" s="578"/>
      <c r="AW745" s="308"/>
      <c r="AX745" s="307"/>
      <c r="AY745" s="307"/>
      <c r="AZ745" s="307"/>
      <c r="BA745" s="307"/>
      <c r="BB745" s="307"/>
      <c r="BC745" s="305"/>
      <c r="BD745" s="292"/>
      <c r="BE745" s="297"/>
      <c r="BF745" s="297"/>
      <c r="BG745" s="569"/>
      <c r="BH745" s="570"/>
      <c r="BI745" s="570"/>
      <c r="BJ745" s="570"/>
      <c r="BK745" s="570"/>
      <c r="BL745" s="570"/>
      <c r="BM745" s="570"/>
      <c r="BN745" s="570"/>
      <c r="BO745" s="570"/>
      <c r="BP745" s="570"/>
      <c r="BQ745" s="570"/>
      <c r="BR745" s="570"/>
      <c r="BS745" s="570"/>
      <c r="BT745" s="570"/>
      <c r="BU745" s="570"/>
      <c r="BV745" s="570"/>
      <c r="BW745" s="570"/>
      <c r="BX745" s="570"/>
      <c r="BY745" s="570"/>
      <c r="BZ745" s="571"/>
      <c r="CA745" s="571"/>
    </row>
    <row r="746" spans="2:79">
      <c r="B746" s="566">
        <v>731</v>
      </c>
      <c r="C746" s="308"/>
      <c r="D746" s="307"/>
      <c r="E746" s="307"/>
      <c r="F746" s="305"/>
      <c r="G746" s="305"/>
      <c r="H746" s="292"/>
      <c r="I746" s="574"/>
      <c r="J746" s="573"/>
      <c r="K746" s="307"/>
      <c r="L746" s="292"/>
      <c r="M746" s="308"/>
      <c r="N746" s="292"/>
      <c r="O746" s="308"/>
      <c r="P746" s="575"/>
      <c r="Q746" s="576"/>
      <c r="R746" s="308"/>
      <c r="S746" s="575"/>
      <c r="T746" s="576"/>
      <c r="U746" s="308"/>
      <c r="V746" s="575"/>
      <c r="W746" s="576"/>
      <c r="X746" s="308"/>
      <c r="Y746" s="575"/>
      <c r="Z746" s="576"/>
      <c r="AA746" s="308"/>
      <c r="AB746" s="575"/>
      <c r="AC746" s="576"/>
      <c r="AD746" s="308"/>
      <c r="AE746" s="575"/>
      <c r="AF746" s="308"/>
      <c r="AG746" s="575"/>
      <c r="AH746" s="308"/>
      <c r="AI746" s="575"/>
      <c r="AJ746" s="308"/>
      <c r="AK746" s="305"/>
      <c r="AL746" s="577"/>
      <c r="AM746" s="306"/>
      <c r="AN746" s="308"/>
      <c r="AO746" s="573"/>
      <c r="AP746" s="305"/>
      <c r="AQ746" s="308"/>
      <c r="AR746" s="573"/>
      <c r="AS746" s="578"/>
      <c r="AT746" s="577"/>
      <c r="AU746" s="579"/>
      <c r="AV746" s="578"/>
      <c r="AW746" s="308"/>
      <c r="AX746" s="307"/>
      <c r="AY746" s="307"/>
      <c r="AZ746" s="307"/>
      <c r="BA746" s="307"/>
      <c r="BB746" s="307"/>
      <c r="BC746" s="305"/>
      <c r="BD746" s="292"/>
      <c r="BE746" s="297"/>
      <c r="BF746" s="297"/>
      <c r="BG746" s="569"/>
      <c r="BH746" s="570"/>
      <c r="BI746" s="570"/>
      <c r="BJ746" s="570"/>
      <c r="BK746" s="570"/>
      <c r="BL746" s="570"/>
      <c r="BM746" s="570"/>
      <c r="BN746" s="570"/>
      <c r="BO746" s="570"/>
      <c r="BP746" s="570"/>
      <c r="BQ746" s="570"/>
      <c r="BR746" s="570"/>
      <c r="BS746" s="570"/>
      <c r="BT746" s="570"/>
      <c r="BU746" s="570"/>
      <c r="BV746" s="570"/>
      <c r="BW746" s="570"/>
      <c r="BX746" s="570"/>
      <c r="BY746" s="570"/>
      <c r="BZ746" s="571"/>
      <c r="CA746" s="571"/>
    </row>
    <row r="747" spans="2:79">
      <c r="B747" s="572">
        <v>732</v>
      </c>
      <c r="C747" s="308"/>
      <c r="D747" s="307"/>
      <c r="E747" s="307"/>
      <c r="F747" s="305"/>
      <c r="G747" s="305"/>
      <c r="H747" s="292"/>
      <c r="I747" s="574"/>
      <c r="J747" s="573"/>
      <c r="K747" s="307"/>
      <c r="L747" s="292"/>
      <c r="M747" s="308"/>
      <c r="N747" s="292"/>
      <c r="O747" s="308"/>
      <c r="P747" s="575"/>
      <c r="Q747" s="576"/>
      <c r="R747" s="308"/>
      <c r="S747" s="575"/>
      <c r="T747" s="576"/>
      <c r="U747" s="308"/>
      <c r="V747" s="575"/>
      <c r="W747" s="576"/>
      <c r="X747" s="308"/>
      <c r="Y747" s="575"/>
      <c r="Z747" s="576"/>
      <c r="AA747" s="308"/>
      <c r="AB747" s="575"/>
      <c r="AC747" s="576"/>
      <c r="AD747" s="308"/>
      <c r="AE747" s="575"/>
      <c r="AF747" s="308"/>
      <c r="AG747" s="575"/>
      <c r="AH747" s="308"/>
      <c r="AI747" s="575"/>
      <c r="AJ747" s="308"/>
      <c r="AK747" s="305"/>
      <c r="AL747" s="577"/>
      <c r="AM747" s="306"/>
      <c r="AN747" s="308"/>
      <c r="AO747" s="573"/>
      <c r="AP747" s="305"/>
      <c r="AQ747" s="308"/>
      <c r="AR747" s="573"/>
      <c r="AS747" s="578"/>
      <c r="AT747" s="577"/>
      <c r="AU747" s="579"/>
      <c r="AV747" s="578"/>
      <c r="AW747" s="308"/>
      <c r="AX747" s="307"/>
      <c r="AY747" s="307"/>
      <c r="AZ747" s="307"/>
      <c r="BA747" s="307"/>
      <c r="BB747" s="307"/>
      <c r="BC747" s="305"/>
      <c r="BD747" s="292"/>
      <c r="BE747" s="297"/>
      <c r="BF747" s="297"/>
      <c r="BG747" s="569"/>
      <c r="BH747" s="570"/>
      <c r="BI747" s="570"/>
      <c r="BJ747" s="570"/>
      <c r="BK747" s="570"/>
      <c r="BL747" s="570"/>
      <c r="BM747" s="570"/>
      <c r="BN747" s="570"/>
      <c r="BO747" s="570"/>
      <c r="BP747" s="570"/>
      <c r="BQ747" s="570"/>
      <c r="BR747" s="570"/>
      <c r="BS747" s="570"/>
      <c r="BT747" s="570"/>
      <c r="BU747" s="570"/>
      <c r="BV747" s="570"/>
      <c r="BW747" s="570"/>
      <c r="BX747" s="570"/>
      <c r="BY747" s="570"/>
      <c r="BZ747" s="571"/>
      <c r="CA747" s="571"/>
    </row>
    <row r="748" spans="2:79">
      <c r="B748" s="566">
        <v>733</v>
      </c>
      <c r="C748" s="308"/>
      <c r="D748" s="307"/>
      <c r="E748" s="307"/>
      <c r="F748" s="305"/>
      <c r="G748" s="305"/>
      <c r="H748" s="292"/>
      <c r="I748" s="574"/>
      <c r="J748" s="573"/>
      <c r="K748" s="307"/>
      <c r="L748" s="292"/>
      <c r="M748" s="308"/>
      <c r="N748" s="292"/>
      <c r="O748" s="308"/>
      <c r="P748" s="575"/>
      <c r="Q748" s="576"/>
      <c r="R748" s="308"/>
      <c r="S748" s="575"/>
      <c r="T748" s="576"/>
      <c r="U748" s="308"/>
      <c r="V748" s="575"/>
      <c r="W748" s="576"/>
      <c r="X748" s="308"/>
      <c r="Y748" s="575"/>
      <c r="Z748" s="576"/>
      <c r="AA748" s="308"/>
      <c r="AB748" s="575"/>
      <c r="AC748" s="576"/>
      <c r="AD748" s="308"/>
      <c r="AE748" s="575"/>
      <c r="AF748" s="308"/>
      <c r="AG748" s="575"/>
      <c r="AH748" s="308"/>
      <c r="AI748" s="575"/>
      <c r="AJ748" s="308"/>
      <c r="AK748" s="305"/>
      <c r="AL748" s="577"/>
      <c r="AM748" s="306"/>
      <c r="AN748" s="308"/>
      <c r="AO748" s="573"/>
      <c r="AP748" s="305"/>
      <c r="AQ748" s="308"/>
      <c r="AR748" s="573"/>
      <c r="AS748" s="578"/>
      <c r="AT748" s="577"/>
      <c r="AU748" s="579"/>
      <c r="AV748" s="578"/>
      <c r="AW748" s="308"/>
      <c r="AX748" s="307"/>
      <c r="AY748" s="307"/>
      <c r="AZ748" s="307"/>
      <c r="BA748" s="307"/>
      <c r="BB748" s="307"/>
      <c r="BC748" s="305"/>
      <c r="BD748" s="292"/>
      <c r="BE748" s="297"/>
      <c r="BF748" s="297"/>
      <c r="BG748" s="569"/>
      <c r="BH748" s="570"/>
      <c r="BI748" s="570"/>
      <c r="BJ748" s="570"/>
      <c r="BK748" s="570"/>
      <c r="BL748" s="570"/>
      <c r="BM748" s="570"/>
      <c r="BN748" s="570"/>
      <c r="BO748" s="570"/>
      <c r="BP748" s="570"/>
      <c r="BQ748" s="570"/>
      <c r="BR748" s="570"/>
      <c r="BS748" s="570"/>
      <c r="BT748" s="570"/>
      <c r="BU748" s="570"/>
      <c r="BV748" s="570"/>
      <c r="BW748" s="570"/>
      <c r="BX748" s="570"/>
      <c r="BY748" s="570"/>
      <c r="BZ748" s="571"/>
      <c r="CA748" s="571"/>
    </row>
    <row r="749" spans="2:79">
      <c r="B749" s="572">
        <v>734</v>
      </c>
      <c r="C749" s="308"/>
      <c r="D749" s="307"/>
      <c r="E749" s="307"/>
      <c r="F749" s="305"/>
      <c r="G749" s="305"/>
      <c r="H749" s="292"/>
      <c r="I749" s="574"/>
      <c r="J749" s="573"/>
      <c r="K749" s="307"/>
      <c r="L749" s="292"/>
      <c r="M749" s="308"/>
      <c r="N749" s="292"/>
      <c r="O749" s="308"/>
      <c r="P749" s="575"/>
      <c r="Q749" s="576"/>
      <c r="R749" s="308"/>
      <c r="S749" s="575"/>
      <c r="T749" s="576"/>
      <c r="U749" s="308"/>
      <c r="V749" s="575"/>
      <c r="W749" s="576"/>
      <c r="X749" s="308"/>
      <c r="Y749" s="575"/>
      <c r="Z749" s="576"/>
      <c r="AA749" s="308"/>
      <c r="AB749" s="575"/>
      <c r="AC749" s="576"/>
      <c r="AD749" s="308"/>
      <c r="AE749" s="575"/>
      <c r="AF749" s="308"/>
      <c r="AG749" s="575"/>
      <c r="AH749" s="308"/>
      <c r="AI749" s="575"/>
      <c r="AJ749" s="308"/>
      <c r="AK749" s="305"/>
      <c r="AL749" s="577"/>
      <c r="AM749" s="306"/>
      <c r="AN749" s="308"/>
      <c r="AO749" s="573"/>
      <c r="AP749" s="305"/>
      <c r="AQ749" s="308"/>
      <c r="AR749" s="573"/>
      <c r="AS749" s="578"/>
      <c r="AT749" s="577"/>
      <c r="AU749" s="579"/>
      <c r="AV749" s="578"/>
      <c r="AW749" s="308"/>
      <c r="AX749" s="307"/>
      <c r="AY749" s="307"/>
      <c r="AZ749" s="307"/>
      <c r="BA749" s="307"/>
      <c r="BB749" s="307"/>
      <c r="BC749" s="305"/>
      <c r="BD749" s="292"/>
      <c r="BE749" s="297"/>
      <c r="BF749" s="297"/>
      <c r="BG749" s="569"/>
      <c r="BH749" s="570"/>
      <c r="BI749" s="570"/>
      <c r="BJ749" s="570"/>
      <c r="BK749" s="570"/>
      <c r="BL749" s="570"/>
      <c r="BM749" s="570"/>
      <c r="BN749" s="570"/>
      <c r="BO749" s="570"/>
      <c r="BP749" s="570"/>
      <c r="BQ749" s="570"/>
      <c r="BR749" s="570"/>
      <c r="BS749" s="570"/>
      <c r="BT749" s="570"/>
      <c r="BU749" s="570"/>
      <c r="BV749" s="570"/>
      <c r="BW749" s="570"/>
      <c r="BX749" s="570"/>
      <c r="BY749" s="570"/>
      <c r="BZ749" s="571"/>
      <c r="CA749" s="571"/>
    </row>
    <row r="750" spans="2:79">
      <c r="B750" s="566">
        <v>735</v>
      </c>
      <c r="C750" s="308"/>
      <c r="D750" s="307"/>
      <c r="E750" s="307"/>
      <c r="F750" s="305"/>
      <c r="G750" s="305"/>
      <c r="H750" s="292"/>
      <c r="I750" s="574"/>
      <c r="J750" s="573"/>
      <c r="K750" s="307"/>
      <c r="L750" s="292"/>
      <c r="M750" s="308"/>
      <c r="N750" s="292"/>
      <c r="O750" s="308"/>
      <c r="P750" s="575"/>
      <c r="Q750" s="576"/>
      <c r="R750" s="308"/>
      <c r="S750" s="575"/>
      <c r="T750" s="576"/>
      <c r="U750" s="308"/>
      <c r="V750" s="575"/>
      <c r="W750" s="576"/>
      <c r="X750" s="308"/>
      <c r="Y750" s="575"/>
      <c r="Z750" s="576"/>
      <c r="AA750" s="308"/>
      <c r="AB750" s="575"/>
      <c r="AC750" s="576"/>
      <c r="AD750" s="308"/>
      <c r="AE750" s="575"/>
      <c r="AF750" s="308"/>
      <c r="AG750" s="575"/>
      <c r="AH750" s="308"/>
      <c r="AI750" s="575"/>
      <c r="AJ750" s="308"/>
      <c r="AK750" s="305"/>
      <c r="AL750" s="577"/>
      <c r="AM750" s="306"/>
      <c r="AN750" s="308"/>
      <c r="AO750" s="573"/>
      <c r="AP750" s="305"/>
      <c r="AQ750" s="308"/>
      <c r="AR750" s="573"/>
      <c r="AS750" s="578"/>
      <c r="AT750" s="577"/>
      <c r="AU750" s="579"/>
      <c r="AV750" s="578"/>
      <c r="AW750" s="308"/>
      <c r="AX750" s="307"/>
      <c r="AY750" s="307"/>
      <c r="AZ750" s="307"/>
      <c r="BA750" s="307"/>
      <c r="BB750" s="307"/>
      <c r="BC750" s="305"/>
      <c r="BD750" s="292"/>
      <c r="BE750" s="297"/>
      <c r="BF750" s="297"/>
      <c r="BG750" s="569"/>
      <c r="BH750" s="570"/>
      <c r="BI750" s="570"/>
      <c r="BJ750" s="570"/>
      <c r="BK750" s="570"/>
      <c r="BL750" s="570"/>
      <c r="BM750" s="570"/>
      <c r="BN750" s="570"/>
      <c r="BO750" s="570"/>
      <c r="BP750" s="570"/>
      <c r="BQ750" s="570"/>
      <c r="BR750" s="570"/>
      <c r="BS750" s="570"/>
      <c r="BT750" s="570"/>
      <c r="BU750" s="570"/>
      <c r="BV750" s="570"/>
      <c r="BW750" s="570"/>
      <c r="BX750" s="570"/>
      <c r="BY750" s="570"/>
      <c r="BZ750" s="571"/>
      <c r="CA750" s="571"/>
    </row>
    <row r="751" spans="2:79">
      <c r="B751" s="572">
        <v>736</v>
      </c>
      <c r="C751" s="308"/>
      <c r="D751" s="307"/>
      <c r="E751" s="307"/>
      <c r="F751" s="305"/>
      <c r="G751" s="305"/>
      <c r="H751" s="292"/>
      <c r="I751" s="574"/>
      <c r="J751" s="573"/>
      <c r="K751" s="307"/>
      <c r="L751" s="292"/>
      <c r="M751" s="308"/>
      <c r="N751" s="292"/>
      <c r="O751" s="308"/>
      <c r="P751" s="575"/>
      <c r="Q751" s="576"/>
      <c r="R751" s="308"/>
      <c r="S751" s="575"/>
      <c r="T751" s="576"/>
      <c r="U751" s="308"/>
      <c r="V751" s="575"/>
      <c r="W751" s="576"/>
      <c r="X751" s="308"/>
      <c r="Y751" s="575"/>
      <c r="Z751" s="576"/>
      <c r="AA751" s="308"/>
      <c r="AB751" s="575"/>
      <c r="AC751" s="576"/>
      <c r="AD751" s="308"/>
      <c r="AE751" s="575"/>
      <c r="AF751" s="308"/>
      <c r="AG751" s="575"/>
      <c r="AH751" s="308"/>
      <c r="AI751" s="575"/>
      <c r="AJ751" s="308"/>
      <c r="AK751" s="305"/>
      <c r="AL751" s="577"/>
      <c r="AM751" s="306"/>
      <c r="AN751" s="308"/>
      <c r="AO751" s="573"/>
      <c r="AP751" s="305"/>
      <c r="AQ751" s="308"/>
      <c r="AR751" s="573"/>
      <c r="AS751" s="578"/>
      <c r="AT751" s="577"/>
      <c r="AU751" s="579"/>
      <c r="AV751" s="578"/>
      <c r="AW751" s="308"/>
      <c r="AX751" s="307"/>
      <c r="AY751" s="307"/>
      <c r="AZ751" s="307"/>
      <c r="BA751" s="307"/>
      <c r="BB751" s="307"/>
      <c r="BC751" s="305"/>
      <c r="BD751" s="292"/>
      <c r="BE751" s="297"/>
      <c r="BF751" s="297"/>
      <c r="BG751" s="569"/>
      <c r="BH751" s="570"/>
      <c r="BI751" s="570"/>
      <c r="BJ751" s="570"/>
      <c r="BK751" s="570"/>
      <c r="BL751" s="570"/>
      <c r="BM751" s="570"/>
      <c r="BN751" s="570"/>
      <c r="BO751" s="570"/>
      <c r="BP751" s="570"/>
      <c r="BQ751" s="570"/>
      <c r="BR751" s="570"/>
      <c r="BS751" s="570"/>
      <c r="BT751" s="570"/>
      <c r="BU751" s="570"/>
      <c r="BV751" s="570"/>
      <c r="BW751" s="570"/>
      <c r="BX751" s="570"/>
      <c r="BY751" s="570"/>
      <c r="BZ751" s="571"/>
      <c r="CA751" s="571"/>
    </row>
    <row r="752" spans="2:79">
      <c r="B752" s="566">
        <v>737</v>
      </c>
      <c r="C752" s="308"/>
      <c r="D752" s="307"/>
      <c r="E752" s="307"/>
      <c r="F752" s="305"/>
      <c r="G752" s="305"/>
      <c r="H752" s="292"/>
      <c r="I752" s="574"/>
      <c r="J752" s="573"/>
      <c r="K752" s="307"/>
      <c r="L752" s="292"/>
      <c r="M752" s="308"/>
      <c r="N752" s="292"/>
      <c r="O752" s="308"/>
      <c r="P752" s="575"/>
      <c r="Q752" s="576"/>
      <c r="R752" s="308"/>
      <c r="S752" s="575"/>
      <c r="T752" s="576"/>
      <c r="U752" s="308"/>
      <c r="V752" s="575"/>
      <c r="W752" s="576"/>
      <c r="X752" s="308"/>
      <c r="Y752" s="575"/>
      <c r="Z752" s="576"/>
      <c r="AA752" s="308"/>
      <c r="AB752" s="575"/>
      <c r="AC752" s="576"/>
      <c r="AD752" s="308"/>
      <c r="AE752" s="575"/>
      <c r="AF752" s="308"/>
      <c r="AG752" s="575"/>
      <c r="AH752" s="308"/>
      <c r="AI752" s="575"/>
      <c r="AJ752" s="308"/>
      <c r="AK752" s="305"/>
      <c r="AL752" s="577"/>
      <c r="AM752" s="306"/>
      <c r="AN752" s="308"/>
      <c r="AO752" s="573"/>
      <c r="AP752" s="305"/>
      <c r="AQ752" s="308"/>
      <c r="AR752" s="573"/>
      <c r="AS752" s="578"/>
      <c r="AT752" s="577"/>
      <c r="AU752" s="579"/>
      <c r="AV752" s="578"/>
      <c r="AW752" s="308"/>
      <c r="AX752" s="307"/>
      <c r="AY752" s="307"/>
      <c r="AZ752" s="307"/>
      <c r="BA752" s="307"/>
      <c r="BB752" s="307"/>
      <c r="BC752" s="305"/>
      <c r="BD752" s="292"/>
      <c r="BE752" s="297"/>
      <c r="BF752" s="297"/>
      <c r="BG752" s="569"/>
      <c r="BH752" s="570"/>
      <c r="BI752" s="570"/>
      <c r="BJ752" s="570"/>
      <c r="BK752" s="570"/>
      <c r="BL752" s="570"/>
      <c r="BM752" s="570"/>
      <c r="BN752" s="570"/>
      <c r="BO752" s="570"/>
      <c r="BP752" s="570"/>
      <c r="BQ752" s="570"/>
      <c r="BR752" s="570"/>
      <c r="BS752" s="570"/>
      <c r="BT752" s="570"/>
      <c r="BU752" s="570"/>
      <c r="BV752" s="570"/>
      <c r="BW752" s="570"/>
      <c r="BX752" s="570"/>
      <c r="BY752" s="570"/>
      <c r="BZ752" s="571"/>
      <c r="CA752" s="571"/>
    </row>
    <row r="753" spans="2:79">
      <c r="B753" s="572">
        <v>738</v>
      </c>
      <c r="C753" s="308"/>
      <c r="D753" s="307"/>
      <c r="E753" s="307"/>
      <c r="F753" s="305"/>
      <c r="G753" s="305"/>
      <c r="H753" s="292"/>
      <c r="I753" s="574"/>
      <c r="J753" s="573"/>
      <c r="K753" s="307"/>
      <c r="L753" s="292"/>
      <c r="M753" s="308"/>
      <c r="N753" s="292"/>
      <c r="O753" s="308"/>
      <c r="P753" s="575"/>
      <c r="Q753" s="576"/>
      <c r="R753" s="308"/>
      <c r="S753" s="575"/>
      <c r="T753" s="576"/>
      <c r="U753" s="308"/>
      <c r="V753" s="575"/>
      <c r="W753" s="576"/>
      <c r="X753" s="308"/>
      <c r="Y753" s="575"/>
      <c r="Z753" s="576"/>
      <c r="AA753" s="308"/>
      <c r="AB753" s="575"/>
      <c r="AC753" s="576"/>
      <c r="AD753" s="308"/>
      <c r="AE753" s="575"/>
      <c r="AF753" s="308"/>
      <c r="AG753" s="575"/>
      <c r="AH753" s="308"/>
      <c r="AI753" s="575"/>
      <c r="AJ753" s="308"/>
      <c r="AK753" s="305"/>
      <c r="AL753" s="577"/>
      <c r="AM753" s="306"/>
      <c r="AN753" s="308"/>
      <c r="AO753" s="573"/>
      <c r="AP753" s="305"/>
      <c r="AQ753" s="308"/>
      <c r="AR753" s="573"/>
      <c r="AS753" s="578"/>
      <c r="AT753" s="577"/>
      <c r="AU753" s="579"/>
      <c r="AV753" s="578"/>
      <c r="AW753" s="308"/>
      <c r="AX753" s="307"/>
      <c r="AY753" s="307"/>
      <c r="AZ753" s="307"/>
      <c r="BA753" s="307"/>
      <c r="BB753" s="307"/>
      <c r="BC753" s="305"/>
      <c r="BD753" s="292"/>
      <c r="BE753" s="297"/>
      <c r="BF753" s="297"/>
      <c r="BG753" s="569"/>
      <c r="BH753" s="570"/>
      <c r="BI753" s="570"/>
      <c r="BJ753" s="570"/>
      <c r="BK753" s="570"/>
      <c r="BL753" s="570"/>
      <c r="BM753" s="570"/>
      <c r="BN753" s="570"/>
      <c r="BO753" s="570"/>
      <c r="BP753" s="570"/>
      <c r="BQ753" s="570"/>
      <c r="BR753" s="570"/>
      <c r="BS753" s="570"/>
      <c r="BT753" s="570"/>
      <c r="BU753" s="570"/>
      <c r="BV753" s="570"/>
      <c r="BW753" s="570"/>
      <c r="BX753" s="570"/>
      <c r="BY753" s="570"/>
      <c r="BZ753" s="571"/>
      <c r="CA753" s="571"/>
    </row>
    <row r="754" spans="2:79">
      <c r="B754" s="566">
        <v>739</v>
      </c>
      <c r="C754" s="308"/>
      <c r="D754" s="307"/>
      <c r="E754" s="307"/>
      <c r="F754" s="305"/>
      <c r="G754" s="305"/>
      <c r="H754" s="292"/>
      <c r="I754" s="574"/>
      <c r="J754" s="573"/>
      <c r="K754" s="307"/>
      <c r="L754" s="292"/>
      <c r="M754" s="308"/>
      <c r="N754" s="292"/>
      <c r="O754" s="308"/>
      <c r="P754" s="575"/>
      <c r="Q754" s="576"/>
      <c r="R754" s="308"/>
      <c r="S754" s="575"/>
      <c r="T754" s="576"/>
      <c r="U754" s="308"/>
      <c r="V754" s="575"/>
      <c r="W754" s="576"/>
      <c r="X754" s="308"/>
      <c r="Y754" s="575"/>
      <c r="Z754" s="576"/>
      <c r="AA754" s="308"/>
      <c r="AB754" s="575"/>
      <c r="AC754" s="576"/>
      <c r="AD754" s="308"/>
      <c r="AE754" s="575"/>
      <c r="AF754" s="308"/>
      <c r="AG754" s="575"/>
      <c r="AH754" s="308"/>
      <c r="AI754" s="575"/>
      <c r="AJ754" s="308"/>
      <c r="AK754" s="305"/>
      <c r="AL754" s="577"/>
      <c r="AM754" s="306"/>
      <c r="AN754" s="308"/>
      <c r="AO754" s="573"/>
      <c r="AP754" s="305"/>
      <c r="AQ754" s="308"/>
      <c r="AR754" s="573"/>
      <c r="AS754" s="578"/>
      <c r="AT754" s="577"/>
      <c r="AU754" s="579"/>
      <c r="AV754" s="578"/>
      <c r="AW754" s="308"/>
      <c r="AX754" s="307"/>
      <c r="AY754" s="307"/>
      <c r="AZ754" s="307"/>
      <c r="BA754" s="307"/>
      <c r="BB754" s="307"/>
      <c r="BC754" s="305"/>
      <c r="BD754" s="292"/>
      <c r="BE754" s="297"/>
      <c r="BF754" s="297"/>
      <c r="BG754" s="569"/>
      <c r="BH754" s="570"/>
      <c r="BI754" s="570"/>
      <c r="BJ754" s="570"/>
      <c r="BK754" s="570"/>
      <c r="BL754" s="570"/>
      <c r="BM754" s="570"/>
      <c r="BN754" s="570"/>
      <c r="BO754" s="570"/>
      <c r="BP754" s="570"/>
      <c r="BQ754" s="570"/>
      <c r="BR754" s="570"/>
      <c r="BS754" s="570"/>
      <c r="BT754" s="570"/>
      <c r="BU754" s="570"/>
      <c r="BV754" s="570"/>
      <c r="BW754" s="570"/>
      <c r="BX754" s="570"/>
      <c r="BY754" s="570"/>
      <c r="BZ754" s="571"/>
      <c r="CA754" s="571"/>
    </row>
    <row r="755" spans="2:79">
      <c r="B755" s="572">
        <v>740</v>
      </c>
      <c r="C755" s="308"/>
      <c r="D755" s="307"/>
      <c r="E755" s="307"/>
      <c r="F755" s="305"/>
      <c r="G755" s="305"/>
      <c r="H755" s="292"/>
      <c r="I755" s="574"/>
      <c r="J755" s="573"/>
      <c r="K755" s="307"/>
      <c r="L755" s="292"/>
      <c r="M755" s="308"/>
      <c r="N755" s="292"/>
      <c r="O755" s="308"/>
      <c r="P755" s="575"/>
      <c r="Q755" s="576"/>
      <c r="R755" s="308"/>
      <c r="S755" s="575"/>
      <c r="T755" s="576"/>
      <c r="U755" s="308"/>
      <c r="V755" s="575"/>
      <c r="W755" s="576"/>
      <c r="X755" s="308"/>
      <c r="Y755" s="575"/>
      <c r="Z755" s="576"/>
      <c r="AA755" s="308"/>
      <c r="AB755" s="575"/>
      <c r="AC755" s="576"/>
      <c r="AD755" s="308"/>
      <c r="AE755" s="575"/>
      <c r="AF755" s="308"/>
      <c r="AG755" s="575"/>
      <c r="AH755" s="308"/>
      <c r="AI755" s="575"/>
      <c r="AJ755" s="308"/>
      <c r="AK755" s="305"/>
      <c r="AL755" s="577"/>
      <c r="AM755" s="306"/>
      <c r="AN755" s="308"/>
      <c r="AO755" s="573"/>
      <c r="AP755" s="305"/>
      <c r="AQ755" s="308"/>
      <c r="AR755" s="573"/>
      <c r="AS755" s="578"/>
      <c r="AT755" s="577"/>
      <c r="AU755" s="579"/>
      <c r="AV755" s="578"/>
      <c r="AW755" s="308"/>
      <c r="AX755" s="307"/>
      <c r="AY755" s="307"/>
      <c r="AZ755" s="307"/>
      <c r="BA755" s="307"/>
      <c r="BB755" s="307"/>
      <c r="BC755" s="305"/>
      <c r="BD755" s="292"/>
      <c r="BE755" s="297"/>
      <c r="BF755" s="297"/>
      <c r="BG755" s="569"/>
      <c r="BH755" s="570"/>
      <c r="BI755" s="570"/>
      <c r="BJ755" s="570"/>
      <c r="BK755" s="570"/>
      <c r="BL755" s="570"/>
      <c r="BM755" s="570"/>
      <c r="BN755" s="570"/>
      <c r="BO755" s="570"/>
      <c r="BP755" s="570"/>
      <c r="BQ755" s="570"/>
      <c r="BR755" s="570"/>
      <c r="BS755" s="570"/>
      <c r="BT755" s="570"/>
      <c r="BU755" s="570"/>
      <c r="BV755" s="570"/>
      <c r="BW755" s="570"/>
      <c r="BX755" s="570"/>
      <c r="BY755" s="570"/>
      <c r="BZ755" s="571"/>
      <c r="CA755" s="571"/>
    </row>
    <row r="756" spans="2:79">
      <c r="B756" s="566">
        <v>741</v>
      </c>
      <c r="C756" s="308"/>
      <c r="D756" s="307"/>
      <c r="E756" s="307"/>
      <c r="F756" s="305"/>
      <c r="G756" s="305"/>
      <c r="H756" s="292"/>
      <c r="I756" s="574"/>
      <c r="J756" s="573"/>
      <c r="K756" s="307"/>
      <c r="L756" s="292"/>
      <c r="M756" s="308"/>
      <c r="N756" s="292"/>
      <c r="O756" s="308"/>
      <c r="P756" s="575"/>
      <c r="Q756" s="576"/>
      <c r="R756" s="308"/>
      <c r="S756" s="575"/>
      <c r="T756" s="576"/>
      <c r="U756" s="308"/>
      <c r="V756" s="575"/>
      <c r="W756" s="576"/>
      <c r="X756" s="308"/>
      <c r="Y756" s="575"/>
      <c r="Z756" s="576"/>
      <c r="AA756" s="308"/>
      <c r="AB756" s="575"/>
      <c r="AC756" s="576"/>
      <c r="AD756" s="308"/>
      <c r="AE756" s="575"/>
      <c r="AF756" s="308"/>
      <c r="AG756" s="575"/>
      <c r="AH756" s="308"/>
      <c r="AI756" s="575"/>
      <c r="AJ756" s="308"/>
      <c r="AK756" s="305"/>
      <c r="AL756" s="577"/>
      <c r="AM756" s="306"/>
      <c r="AN756" s="308"/>
      <c r="AO756" s="573"/>
      <c r="AP756" s="305"/>
      <c r="AQ756" s="308"/>
      <c r="AR756" s="573"/>
      <c r="AS756" s="578"/>
      <c r="AT756" s="577"/>
      <c r="AU756" s="579"/>
      <c r="AV756" s="578"/>
      <c r="AW756" s="308"/>
      <c r="AX756" s="307"/>
      <c r="AY756" s="307"/>
      <c r="AZ756" s="307"/>
      <c r="BA756" s="307"/>
      <c r="BB756" s="307"/>
      <c r="BC756" s="305"/>
      <c r="BD756" s="292"/>
      <c r="BE756" s="297"/>
      <c r="BF756" s="297"/>
      <c r="BG756" s="569"/>
      <c r="BH756" s="570"/>
      <c r="BI756" s="570"/>
      <c r="BJ756" s="570"/>
      <c r="BK756" s="570"/>
      <c r="BL756" s="570"/>
      <c r="BM756" s="570"/>
      <c r="BN756" s="570"/>
      <c r="BO756" s="570"/>
      <c r="BP756" s="570"/>
      <c r="BQ756" s="570"/>
      <c r="BR756" s="570"/>
      <c r="BS756" s="570"/>
      <c r="BT756" s="570"/>
      <c r="BU756" s="570"/>
      <c r="BV756" s="570"/>
      <c r="BW756" s="570"/>
      <c r="BX756" s="570"/>
      <c r="BY756" s="570"/>
      <c r="BZ756" s="571"/>
      <c r="CA756" s="571"/>
    </row>
    <row r="757" spans="2:79">
      <c r="B757" s="572">
        <v>742</v>
      </c>
      <c r="C757" s="308"/>
      <c r="D757" s="307"/>
      <c r="E757" s="307"/>
      <c r="F757" s="305"/>
      <c r="G757" s="305"/>
      <c r="H757" s="292"/>
      <c r="I757" s="574"/>
      <c r="J757" s="573"/>
      <c r="K757" s="307"/>
      <c r="L757" s="292"/>
      <c r="M757" s="308"/>
      <c r="N757" s="292"/>
      <c r="O757" s="308"/>
      <c r="P757" s="575"/>
      <c r="Q757" s="576"/>
      <c r="R757" s="308"/>
      <c r="S757" s="575"/>
      <c r="T757" s="576"/>
      <c r="U757" s="308"/>
      <c r="V757" s="575"/>
      <c r="W757" s="576"/>
      <c r="X757" s="308"/>
      <c r="Y757" s="575"/>
      <c r="Z757" s="576"/>
      <c r="AA757" s="308"/>
      <c r="AB757" s="575"/>
      <c r="AC757" s="576"/>
      <c r="AD757" s="308"/>
      <c r="AE757" s="575"/>
      <c r="AF757" s="308"/>
      <c r="AG757" s="575"/>
      <c r="AH757" s="308"/>
      <c r="AI757" s="575"/>
      <c r="AJ757" s="308"/>
      <c r="AK757" s="305"/>
      <c r="AL757" s="577"/>
      <c r="AM757" s="306"/>
      <c r="AN757" s="308"/>
      <c r="AO757" s="573"/>
      <c r="AP757" s="305"/>
      <c r="AQ757" s="308"/>
      <c r="AR757" s="573"/>
      <c r="AS757" s="578"/>
      <c r="AT757" s="577"/>
      <c r="AU757" s="579"/>
      <c r="AV757" s="578"/>
      <c r="AW757" s="308"/>
      <c r="AX757" s="307"/>
      <c r="AY757" s="307"/>
      <c r="AZ757" s="307"/>
      <c r="BA757" s="307"/>
      <c r="BB757" s="307"/>
      <c r="BC757" s="305"/>
      <c r="BD757" s="292"/>
      <c r="BE757" s="297"/>
      <c r="BF757" s="297"/>
      <c r="BG757" s="569"/>
      <c r="BH757" s="570"/>
      <c r="BI757" s="570"/>
      <c r="BJ757" s="570"/>
      <c r="BK757" s="570"/>
      <c r="BL757" s="570"/>
      <c r="BM757" s="570"/>
      <c r="BN757" s="570"/>
      <c r="BO757" s="570"/>
      <c r="BP757" s="570"/>
      <c r="BQ757" s="570"/>
      <c r="BR757" s="570"/>
      <c r="BS757" s="570"/>
      <c r="BT757" s="570"/>
      <c r="BU757" s="570"/>
      <c r="BV757" s="570"/>
      <c r="BW757" s="570"/>
      <c r="BX757" s="570"/>
      <c r="BY757" s="570"/>
      <c r="BZ757" s="571"/>
      <c r="CA757" s="571"/>
    </row>
    <row r="758" spans="2:79">
      <c r="B758" s="566">
        <v>743</v>
      </c>
      <c r="C758" s="308"/>
      <c r="D758" s="307"/>
      <c r="E758" s="307"/>
      <c r="F758" s="305"/>
      <c r="G758" s="305"/>
      <c r="H758" s="292"/>
      <c r="I758" s="574"/>
      <c r="J758" s="573"/>
      <c r="K758" s="307"/>
      <c r="L758" s="292"/>
      <c r="M758" s="308"/>
      <c r="N758" s="292"/>
      <c r="O758" s="308"/>
      <c r="P758" s="575"/>
      <c r="Q758" s="576"/>
      <c r="R758" s="308"/>
      <c r="S758" s="575"/>
      <c r="T758" s="576"/>
      <c r="U758" s="308"/>
      <c r="V758" s="575"/>
      <c r="W758" s="576"/>
      <c r="X758" s="308"/>
      <c r="Y758" s="575"/>
      <c r="Z758" s="576"/>
      <c r="AA758" s="308"/>
      <c r="AB758" s="575"/>
      <c r="AC758" s="576"/>
      <c r="AD758" s="308"/>
      <c r="AE758" s="575"/>
      <c r="AF758" s="308"/>
      <c r="AG758" s="575"/>
      <c r="AH758" s="308"/>
      <c r="AI758" s="575"/>
      <c r="AJ758" s="308"/>
      <c r="AK758" s="305"/>
      <c r="AL758" s="577"/>
      <c r="AM758" s="306"/>
      <c r="AN758" s="308"/>
      <c r="AO758" s="573"/>
      <c r="AP758" s="305"/>
      <c r="AQ758" s="308"/>
      <c r="AR758" s="573"/>
      <c r="AS758" s="578"/>
      <c r="AT758" s="577"/>
      <c r="AU758" s="579"/>
      <c r="AV758" s="578"/>
      <c r="AW758" s="308"/>
      <c r="AX758" s="307"/>
      <c r="AY758" s="307"/>
      <c r="AZ758" s="307"/>
      <c r="BA758" s="307"/>
      <c r="BB758" s="307"/>
      <c r="BC758" s="305"/>
      <c r="BD758" s="292"/>
      <c r="BE758" s="297"/>
      <c r="BF758" s="297"/>
      <c r="BG758" s="569"/>
      <c r="BH758" s="570"/>
      <c r="BI758" s="570"/>
      <c r="BJ758" s="570"/>
      <c r="BK758" s="570"/>
      <c r="BL758" s="570"/>
      <c r="BM758" s="570"/>
      <c r="BN758" s="570"/>
      <c r="BO758" s="570"/>
      <c r="BP758" s="570"/>
      <c r="BQ758" s="570"/>
      <c r="BR758" s="570"/>
      <c r="BS758" s="570"/>
      <c r="BT758" s="570"/>
      <c r="BU758" s="570"/>
      <c r="BV758" s="570"/>
      <c r="BW758" s="570"/>
      <c r="BX758" s="570"/>
      <c r="BY758" s="570"/>
      <c r="BZ758" s="571"/>
      <c r="CA758" s="571"/>
    </row>
    <row r="759" spans="2:79">
      <c r="B759" s="572">
        <v>744</v>
      </c>
      <c r="C759" s="308"/>
      <c r="D759" s="307"/>
      <c r="E759" s="307"/>
      <c r="F759" s="305"/>
      <c r="G759" s="305"/>
      <c r="H759" s="292"/>
      <c r="I759" s="574"/>
      <c r="J759" s="573"/>
      <c r="K759" s="307"/>
      <c r="L759" s="292"/>
      <c r="M759" s="308"/>
      <c r="N759" s="292"/>
      <c r="O759" s="308"/>
      <c r="P759" s="575"/>
      <c r="Q759" s="576"/>
      <c r="R759" s="308"/>
      <c r="S759" s="575"/>
      <c r="T759" s="576"/>
      <c r="U759" s="308"/>
      <c r="V759" s="575"/>
      <c r="W759" s="576"/>
      <c r="X759" s="308"/>
      <c r="Y759" s="575"/>
      <c r="Z759" s="576"/>
      <c r="AA759" s="308"/>
      <c r="AB759" s="575"/>
      <c r="AC759" s="576"/>
      <c r="AD759" s="308"/>
      <c r="AE759" s="575"/>
      <c r="AF759" s="308"/>
      <c r="AG759" s="575"/>
      <c r="AH759" s="308"/>
      <c r="AI759" s="575"/>
      <c r="AJ759" s="308"/>
      <c r="AK759" s="305"/>
      <c r="AL759" s="577"/>
      <c r="AM759" s="306"/>
      <c r="AN759" s="308"/>
      <c r="AO759" s="573"/>
      <c r="AP759" s="305"/>
      <c r="AQ759" s="308"/>
      <c r="AR759" s="573"/>
      <c r="AS759" s="578"/>
      <c r="AT759" s="577"/>
      <c r="AU759" s="579"/>
      <c r="AV759" s="578"/>
      <c r="AW759" s="308"/>
      <c r="AX759" s="307"/>
      <c r="AY759" s="307"/>
      <c r="AZ759" s="307"/>
      <c r="BA759" s="307"/>
      <c r="BB759" s="307"/>
      <c r="BC759" s="305"/>
      <c r="BD759" s="292"/>
      <c r="BE759" s="297"/>
      <c r="BF759" s="297"/>
      <c r="BG759" s="569"/>
      <c r="BH759" s="570"/>
      <c r="BI759" s="570"/>
      <c r="BJ759" s="570"/>
      <c r="BK759" s="570"/>
      <c r="BL759" s="570"/>
      <c r="BM759" s="570"/>
      <c r="BN759" s="570"/>
      <c r="BO759" s="570"/>
      <c r="BP759" s="570"/>
      <c r="BQ759" s="570"/>
      <c r="BR759" s="570"/>
      <c r="BS759" s="570"/>
      <c r="BT759" s="570"/>
      <c r="BU759" s="570"/>
      <c r="BV759" s="570"/>
      <c r="BW759" s="570"/>
      <c r="BX759" s="570"/>
      <c r="BY759" s="570"/>
      <c r="BZ759" s="571"/>
      <c r="CA759" s="571"/>
    </row>
    <row r="760" spans="2:79">
      <c r="B760" s="566">
        <v>745</v>
      </c>
      <c r="C760" s="308"/>
      <c r="D760" s="307"/>
      <c r="E760" s="307"/>
      <c r="F760" s="305"/>
      <c r="G760" s="305"/>
      <c r="H760" s="292"/>
      <c r="I760" s="574"/>
      <c r="J760" s="573"/>
      <c r="K760" s="307"/>
      <c r="L760" s="292"/>
      <c r="M760" s="308"/>
      <c r="N760" s="292"/>
      <c r="O760" s="308"/>
      <c r="P760" s="575"/>
      <c r="Q760" s="576"/>
      <c r="R760" s="308"/>
      <c r="S760" s="575"/>
      <c r="T760" s="576"/>
      <c r="U760" s="308"/>
      <c r="V760" s="575"/>
      <c r="W760" s="576"/>
      <c r="X760" s="308"/>
      <c r="Y760" s="575"/>
      <c r="Z760" s="576"/>
      <c r="AA760" s="308"/>
      <c r="AB760" s="575"/>
      <c r="AC760" s="576"/>
      <c r="AD760" s="308"/>
      <c r="AE760" s="575"/>
      <c r="AF760" s="308"/>
      <c r="AG760" s="575"/>
      <c r="AH760" s="308"/>
      <c r="AI760" s="575"/>
      <c r="AJ760" s="308"/>
      <c r="AK760" s="305"/>
      <c r="AL760" s="577"/>
      <c r="AM760" s="306"/>
      <c r="AN760" s="308"/>
      <c r="AO760" s="573"/>
      <c r="AP760" s="305"/>
      <c r="AQ760" s="308"/>
      <c r="AR760" s="573"/>
      <c r="AS760" s="578"/>
      <c r="AT760" s="577"/>
      <c r="AU760" s="579"/>
      <c r="AV760" s="578"/>
      <c r="AW760" s="308"/>
      <c r="AX760" s="307"/>
      <c r="AY760" s="307"/>
      <c r="AZ760" s="307"/>
      <c r="BA760" s="307"/>
      <c r="BB760" s="307"/>
      <c r="BC760" s="305"/>
      <c r="BD760" s="292"/>
      <c r="BE760" s="297"/>
      <c r="BF760" s="297"/>
      <c r="BG760" s="569"/>
      <c r="BH760" s="570"/>
      <c r="BI760" s="570"/>
      <c r="BJ760" s="570"/>
      <c r="BK760" s="570"/>
      <c r="BL760" s="570"/>
      <c r="BM760" s="570"/>
      <c r="BN760" s="570"/>
      <c r="BO760" s="570"/>
      <c r="BP760" s="570"/>
      <c r="BQ760" s="570"/>
      <c r="BR760" s="570"/>
      <c r="BS760" s="570"/>
      <c r="BT760" s="570"/>
      <c r="BU760" s="570"/>
      <c r="BV760" s="570"/>
      <c r="BW760" s="570"/>
      <c r="BX760" s="570"/>
      <c r="BY760" s="570"/>
      <c r="BZ760" s="571"/>
      <c r="CA760" s="571"/>
    </row>
    <row r="761" spans="2:79">
      <c r="B761" s="572">
        <v>746</v>
      </c>
      <c r="C761" s="308"/>
      <c r="D761" s="307"/>
      <c r="E761" s="307"/>
      <c r="F761" s="305"/>
      <c r="G761" s="305"/>
      <c r="H761" s="292"/>
      <c r="I761" s="574"/>
      <c r="J761" s="573"/>
      <c r="K761" s="307"/>
      <c r="L761" s="292"/>
      <c r="M761" s="308"/>
      <c r="N761" s="292"/>
      <c r="O761" s="308"/>
      <c r="P761" s="575"/>
      <c r="Q761" s="576"/>
      <c r="R761" s="308"/>
      <c r="S761" s="575"/>
      <c r="T761" s="576"/>
      <c r="U761" s="308"/>
      <c r="V761" s="575"/>
      <c r="W761" s="576"/>
      <c r="X761" s="308"/>
      <c r="Y761" s="575"/>
      <c r="Z761" s="576"/>
      <c r="AA761" s="308"/>
      <c r="AB761" s="575"/>
      <c r="AC761" s="576"/>
      <c r="AD761" s="308"/>
      <c r="AE761" s="575"/>
      <c r="AF761" s="308"/>
      <c r="AG761" s="575"/>
      <c r="AH761" s="308"/>
      <c r="AI761" s="575"/>
      <c r="AJ761" s="308"/>
      <c r="AK761" s="305"/>
      <c r="AL761" s="577"/>
      <c r="AM761" s="306"/>
      <c r="AN761" s="308"/>
      <c r="AO761" s="573"/>
      <c r="AP761" s="305"/>
      <c r="AQ761" s="308"/>
      <c r="AR761" s="573"/>
      <c r="AS761" s="578"/>
      <c r="AT761" s="577"/>
      <c r="AU761" s="579"/>
      <c r="AV761" s="578"/>
      <c r="AW761" s="308"/>
      <c r="AX761" s="307"/>
      <c r="AY761" s="307"/>
      <c r="AZ761" s="307"/>
      <c r="BA761" s="307"/>
      <c r="BB761" s="307"/>
      <c r="BC761" s="305"/>
      <c r="BD761" s="292"/>
      <c r="BE761" s="297"/>
      <c r="BF761" s="297"/>
      <c r="BG761" s="569"/>
      <c r="BH761" s="570"/>
      <c r="BI761" s="570"/>
      <c r="BJ761" s="570"/>
      <c r="BK761" s="570"/>
      <c r="BL761" s="570"/>
      <c r="BM761" s="570"/>
      <c r="BN761" s="570"/>
      <c r="BO761" s="570"/>
      <c r="BP761" s="570"/>
      <c r="BQ761" s="570"/>
      <c r="BR761" s="570"/>
      <c r="BS761" s="570"/>
      <c r="BT761" s="570"/>
      <c r="BU761" s="570"/>
      <c r="BV761" s="570"/>
      <c r="BW761" s="570"/>
      <c r="BX761" s="570"/>
      <c r="BY761" s="570"/>
      <c r="BZ761" s="571"/>
      <c r="CA761" s="571"/>
    </row>
    <row r="762" spans="2:79">
      <c r="B762" s="566">
        <v>747</v>
      </c>
      <c r="C762" s="308"/>
      <c r="D762" s="307"/>
      <c r="E762" s="307"/>
      <c r="F762" s="305"/>
      <c r="G762" s="305"/>
      <c r="H762" s="292"/>
      <c r="I762" s="574"/>
      <c r="J762" s="573"/>
      <c r="K762" s="307"/>
      <c r="L762" s="292"/>
      <c r="M762" s="308"/>
      <c r="N762" s="292"/>
      <c r="O762" s="308"/>
      <c r="P762" s="575"/>
      <c r="Q762" s="576"/>
      <c r="R762" s="308"/>
      <c r="S762" s="575"/>
      <c r="T762" s="576"/>
      <c r="U762" s="308"/>
      <c r="V762" s="575"/>
      <c r="W762" s="576"/>
      <c r="X762" s="308"/>
      <c r="Y762" s="575"/>
      <c r="Z762" s="576"/>
      <c r="AA762" s="308"/>
      <c r="AB762" s="575"/>
      <c r="AC762" s="576"/>
      <c r="AD762" s="308"/>
      <c r="AE762" s="575"/>
      <c r="AF762" s="308"/>
      <c r="AG762" s="575"/>
      <c r="AH762" s="308"/>
      <c r="AI762" s="575"/>
      <c r="AJ762" s="308"/>
      <c r="AK762" s="305"/>
      <c r="AL762" s="577"/>
      <c r="AM762" s="306"/>
      <c r="AN762" s="308"/>
      <c r="AO762" s="573"/>
      <c r="AP762" s="305"/>
      <c r="AQ762" s="308"/>
      <c r="AR762" s="573"/>
      <c r="AS762" s="578"/>
      <c r="AT762" s="577"/>
      <c r="AU762" s="579"/>
      <c r="AV762" s="578"/>
      <c r="AW762" s="308"/>
      <c r="AX762" s="307"/>
      <c r="AY762" s="307"/>
      <c r="AZ762" s="307"/>
      <c r="BA762" s="307"/>
      <c r="BB762" s="307"/>
      <c r="BC762" s="305"/>
      <c r="BD762" s="292"/>
      <c r="BE762" s="297"/>
      <c r="BF762" s="297"/>
      <c r="BG762" s="569"/>
      <c r="BH762" s="570"/>
      <c r="BI762" s="570"/>
      <c r="BJ762" s="570"/>
      <c r="BK762" s="570"/>
      <c r="BL762" s="570"/>
      <c r="BM762" s="570"/>
      <c r="BN762" s="570"/>
      <c r="BO762" s="570"/>
      <c r="BP762" s="570"/>
      <c r="BQ762" s="570"/>
      <c r="BR762" s="570"/>
      <c r="BS762" s="570"/>
      <c r="BT762" s="570"/>
      <c r="BU762" s="570"/>
      <c r="BV762" s="570"/>
      <c r="BW762" s="570"/>
      <c r="BX762" s="570"/>
      <c r="BY762" s="570"/>
      <c r="BZ762" s="571"/>
      <c r="CA762" s="571"/>
    </row>
    <row r="763" spans="2:79">
      <c r="B763" s="572">
        <v>748</v>
      </c>
      <c r="C763" s="308"/>
      <c r="D763" s="307"/>
      <c r="E763" s="307"/>
      <c r="F763" s="305"/>
      <c r="G763" s="305"/>
      <c r="H763" s="292"/>
      <c r="I763" s="574"/>
      <c r="J763" s="573"/>
      <c r="K763" s="307"/>
      <c r="L763" s="292"/>
      <c r="M763" s="308"/>
      <c r="N763" s="292"/>
      <c r="O763" s="308"/>
      <c r="P763" s="575"/>
      <c r="Q763" s="576"/>
      <c r="R763" s="308"/>
      <c r="S763" s="575"/>
      <c r="T763" s="576"/>
      <c r="U763" s="308"/>
      <c r="V763" s="575"/>
      <c r="W763" s="576"/>
      <c r="X763" s="308"/>
      <c r="Y763" s="575"/>
      <c r="Z763" s="576"/>
      <c r="AA763" s="308"/>
      <c r="AB763" s="575"/>
      <c r="AC763" s="576"/>
      <c r="AD763" s="308"/>
      <c r="AE763" s="575"/>
      <c r="AF763" s="308"/>
      <c r="AG763" s="575"/>
      <c r="AH763" s="308"/>
      <c r="AI763" s="575"/>
      <c r="AJ763" s="308"/>
      <c r="AK763" s="305"/>
      <c r="AL763" s="577"/>
      <c r="AM763" s="306"/>
      <c r="AN763" s="308"/>
      <c r="AO763" s="573"/>
      <c r="AP763" s="305"/>
      <c r="AQ763" s="308"/>
      <c r="AR763" s="573"/>
      <c r="AS763" s="578"/>
      <c r="AT763" s="577"/>
      <c r="AU763" s="579"/>
      <c r="AV763" s="578"/>
      <c r="AW763" s="308"/>
      <c r="AX763" s="307"/>
      <c r="AY763" s="307"/>
      <c r="AZ763" s="307"/>
      <c r="BA763" s="307"/>
      <c r="BB763" s="307"/>
      <c r="BC763" s="305"/>
      <c r="BD763" s="292"/>
      <c r="BE763" s="297"/>
      <c r="BF763" s="297"/>
      <c r="BG763" s="569"/>
      <c r="BH763" s="570"/>
      <c r="BI763" s="570"/>
      <c r="BJ763" s="570"/>
      <c r="BK763" s="570"/>
      <c r="BL763" s="570"/>
      <c r="BM763" s="570"/>
      <c r="BN763" s="570"/>
      <c r="BO763" s="570"/>
      <c r="BP763" s="570"/>
      <c r="BQ763" s="570"/>
      <c r="BR763" s="570"/>
      <c r="BS763" s="570"/>
      <c r="BT763" s="570"/>
      <c r="BU763" s="570"/>
      <c r="BV763" s="570"/>
      <c r="BW763" s="570"/>
      <c r="BX763" s="570"/>
      <c r="BY763" s="570"/>
      <c r="BZ763" s="571"/>
      <c r="CA763" s="571"/>
    </row>
    <row r="764" spans="2:79">
      <c r="B764" s="566">
        <v>749</v>
      </c>
      <c r="C764" s="308"/>
      <c r="D764" s="307"/>
      <c r="E764" s="307"/>
      <c r="F764" s="305"/>
      <c r="G764" s="305"/>
      <c r="H764" s="292"/>
      <c r="I764" s="574"/>
      <c r="J764" s="573"/>
      <c r="K764" s="307"/>
      <c r="L764" s="292"/>
      <c r="M764" s="308"/>
      <c r="N764" s="292"/>
      <c r="O764" s="308"/>
      <c r="P764" s="575"/>
      <c r="Q764" s="576"/>
      <c r="R764" s="308"/>
      <c r="S764" s="575"/>
      <c r="T764" s="576"/>
      <c r="U764" s="308"/>
      <c r="V764" s="575"/>
      <c r="W764" s="576"/>
      <c r="X764" s="308"/>
      <c r="Y764" s="575"/>
      <c r="Z764" s="576"/>
      <c r="AA764" s="308"/>
      <c r="AB764" s="575"/>
      <c r="AC764" s="576"/>
      <c r="AD764" s="308"/>
      <c r="AE764" s="575"/>
      <c r="AF764" s="308"/>
      <c r="AG764" s="575"/>
      <c r="AH764" s="308"/>
      <c r="AI764" s="575"/>
      <c r="AJ764" s="308"/>
      <c r="AK764" s="305"/>
      <c r="AL764" s="577"/>
      <c r="AM764" s="306"/>
      <c r="AN764" s="308"/>
      <c r="AO764" s="573"/>
      <c r="AP764" s="305"/>
      <c r="AQ764" s="308"/>
      <c r="AR764" s="573"/>
      <c r="AS764" s="578"/>
      <c r="AT764" s="577"/>
      <c r="AU764" s="579"/>
      <c r="AV764" s="578"/>
      <c r="AW764" s="308"/>
      <c r="AX764" s="307"/>
      <c r="AY764" s="307"/>
      <c r="AZ764" s="307"/>
      <c r="BA764" s="307"/>
      <c r="BB764" s="307"/>
      <c r="BC764" s="305"/>
      <c r="BD764" s="292"/>
      <c r="BE764" s="297"/>
      <c r="BF764" s="297"/>
      <c r="BG764" s="569"/>
      <c r="BH764" s="570"/>
      <c r="BI764" s="570"/>
      <c r="BJ764" s="570"/>
      <c r="BK764" s="570"/>
      <c r="BL764" s="570"/>
      <c r="BM764" s="570"/>
      <c r="BN764" s="570"/>
      <c r="BO764" s="570"/>
      <c r="BP764" s="570"/>
      <c r="BQ764" s="570"/>
      <c r="BR764" s="570"/>
      <c r="BS764" s="570"/>
      <c r="BT764" s="570"/>
      <c r="BU764" s="570"/>
      <c r="BV764" s="570"/>
      <c r="BW764" s="570"/>
      <c r="BX764" s="570"/>
      <c r="BY764" s="570"/>
      <c r="BZ764" s="571"/>
      <c r="CA764" s="571"/>
    </row>
    <row r="765" spans="2:79">
      <c r="B765" s="572">
        <v>750</v>
      </c>
      <c r="C765" s="308"/>
      <c r="D765" s="307"/>
      <c r="E765" s="307"/>
      <c r="F765" s="305"/>
      <c r="G765" s="305"/>
      <c r="H765" s="292"/>
      <c r="I765" s="574"/>
      <c r="J765" s="573"/>
      <c r="K765" s="307"/>
      <c r="L765" s="292"/>
      <c r="M765" s="308"/>
      <c r="N765" s="292"/>
      <c r="O765" s="308"/>
      <c r="P765" s="575"/>
      <c r="Q765" s="576"/>
      <c r="R765" s="308"/>
      <c r="S765" s="575"/>
      <c r="T765" s="576"/>
      <c r="U765" s="308"/>
      <c r="V765" s="575"/>
      <c r="W765" s="576"/>
      <c r="X765" s="308"/>
      <c r="Y765" s="575"/>
      <c r="Z765" s="576"/>
      <c r="AA765" s="308"/>
      <c r="AB765" s="575"/>
      <c r="AC765" s="576"/>
      <c r="AD765" s="308"/>
      <c r="AE765" s="575"/>
      <c r="AF765" s="308"/>
      <c r="AG765" s="575"/>
      <c r="AH765" s="308"/>
      <c r="AI765" s="575"/>
      <c r="AJ765" s="308"/>
      <c r="AK765" s="305"/>
      <c r="AL765" s="577"/>
      <c r="AM765" s="306"/>
      <c r="AN765" s="308"/>
      <c r="AO765" s="573"/>
      <c r="AP765" s="305"/>
      <c r="AQ765" s="308"/>
      <c r="AR765" s="573"/>
      <c r="AS765" s="578"/>
      <c r="AT765" s="577"/>
      <c r="AU765" s="579"/>
      <c r="AV765" s="578"/>
      <c r="AW765" s="308"/>
      <c r="AX765" s="307"/>
      <c r="AY765" s="307"/>
      <c r="AZ765" s="307"/>
      <c r="BA765" s="307"/>
      <c r="BB765" s="307"/>
      <c r="BC765" s="305"/>
      <c r="BD765" s="292"/>
      <c r="BE765" s="297"/>
      <c r="BF765" s="297"/>
      <c r="BG765" s="569"/>
      <c r="BH765" s="570"/>
      <c r="BI765" s="570"/>
      <c r="BJ765" s="570"/>
      <c r="BK765" s="570"/>
      <c r="BL765" s="570"/>
      <c r="BM765" s="570"/>
      <c r="BN765" s="570"/>
      <c r="BO765" s="570"/>
      <c r="BP765" s="570"/>
      <c r="BQ765" s="570"/>
      <c r="BR765" s="570"/>
      <c r="BS765" s="570"/>
      <c r="BT765" s="570"/>
      <c r="BU765" s="570"/>
      <c r="BV765" s="570"/>
      <c r="BW765" s="570"/>
      <c r="BX765" s="570"/>
      <c r="BY765" s="570"/>
      <c r="BZ765" s="571"/>
      <c r="CA765" s="571"/>
    </row>
    <row r="766" spans="2:79">
      <c r="B766" s="566">
        <v>751</v>
      </c>
      <c r="C766" s="308"/>
      <c r="D766" s="307"/>
      <c r="E766" s="307"/>
      <c r="F766" s="305"/>
      <c r="G766" s="305"/>
      <c r="H766" s="292"/>
      <c r="I766" s="574"/>
      <c r="J766" s="573"/>
      <c r="K766" s="307"/>
      <c r="L766" s="292"/>
      <c r="M766" s="308"/>
      <c r="N766" s="292"/>
      <c r="O766" s="308"/>
      <c r="P766" s="575"/>
      <c r="Q766" s="576"/>
      <c r="R766" s="308"/>
      <c r="S766" s="575"/>
      <c r="T766" s="576"/>
      <c r="U766" s="308"/>
      <c r="V766" s="575"/>
      <c r="W766" s="576"/>
      <c r="X766" s="308"/>
      <c r="Y766" s="575"/>
      <c r="Z766" s="576"/>
      <c r="AA766" s="308"/>
      <c r="AB766" s="575"/>
      <c r="AC766" s="576"/>
      <c r="AD766" s="308"/>
      <c r="AE766" s="575"/>
      <c r="AF766" s="308"/>
      <c r="AG766" s="575"/>
      <c r="AH766" s="308"/>
      <c r="AI766" s="575"/>
      <c r="AJ766" s="308"/>
      <c r="AK766" s="305"/>
      <c r="AL766" s="577"/>
      <c r="AM766" s="306"/>
      <c r="AN766" s="308"/>
      <c r="AO766" s="573"/>
      <c r="AP766" s="305"/>
      <c r="AQ766" s="308"/>
      <c r="AR766" s="573"/>
      <c r="AS766" s="578"/>
      <c r="AT766" s="577"/>
      <c r="AU766" s="579"/>
      <c r="AV766" s="578"/>
      <c r="AW766" s="308"/>
      <c r="AX766" s="307"/>
      <c r="AY766" s="307"/>
      <c r="AZ766" s="307"/>
      <c r="BA766" s="307"/>
      <c r="BB766" s="307"/>
      <c r="BC766" s="305"/>
      <c r="BD766" s="292"/>
      <c r="BE766" s="297"/>
      <c r="BF766" s="297"/>
      <c r="BG766" s="569"/>
      <c r="BH766" s="570"/>
      <c r="BI766" s="570"/>
      <c r="BJ766" s="570"/>
      <c r="BK766" s="570"/>
      <c r="BL766" s="570"/>
      <c r="BM766" s="570"/>
      <c r="BN766" s="570"/>
      <c r="BO766" s="570"/>
      <c r="BP766" s="570"/>
      <c r="BQ766" s="570"/>
      <c r="BR766" s="570"/>
      <c r="BS766" s="570"/>
      <c r="BT766" s="570"/>
      <c r="BU766" s="570"/>
      <c r="BV766" s="570"/>
      <c r="BW766" s="570"/>
      <c r="BX766" s="570"/>
      <c r="BY766" s="570"/>
      <c r="BZ766" s="571"/>
      <c r="CA766" s="571"/>
    </row>
    <row r="767" spans="2:79">
      <c r="B767" s="572">
        <v>752</v>
      </c>
      <c r="C767" s="308"/>
      <c r="D767" s="307"/>
      <c r="E767" s="307"/>
      <c r="F767" s="305"/>
      <c r="G767" s="305"/>
      <c r="H767" s="292"/>
      <c r="I767" s="574"/>
      <c r="J767" s="573"/>
      <c r="K767" s="307"/>
      <c r="L767" s="292"/>
      <c r="M767" s="308"/>
      <c r="N767" s="292"/>
      <c r="O767" s="308"/>
      <c r="P767" s="575"/>
      <c r="Q767" s="576"/>
      <c r="R767" s="308"/>
      <c r="S767" s="575"/>
      <c r="T767" s="576"/>
      <c r="U767" s="308"/>
      <c r="V767" s="575"/>
      <c r="W767" s="576"/>
      <c r="X767" s="308"/>
      <c r="Y767" s="575"/>
      <c r="Z767" s="576"/>
      <c r="AA767" s="308"/>
      <c r="AB767" s="575"/>
      <c r="AC767" s="576"/>
      <c r="AD767" s="308"/>
      <c r="AE767" s="575"/>
      <c r="AF767" s="308"/>
      <c r="AG767" s="575"/>
      <c r="AH767" s="308"/>
      <c r="AI767" s="575"/>
      <c r="AJ767" s="308"/>
      <c r="AK767" s="305"/>
      <c r="AL767" s="577"/>
      <c r="AM767" s="306"/>
      <c r="AN767" s="308"/>
      <c r="AO767" s="573"/>
      <c r="AP767" s="305"/>
      <c r="AQ767" s="308"/>
      <c r="AR767" s="573"/>
      <c r="AS767" s="578"/>
      <c r="AT767" s="577"/>
      <c r="AU767" s="579"/>
      <c r="AV767" s="578"/>
      <c r="AW767" s="308"/>
      <c r="AX767" s="307"/>
      <c r="AY767" s="307"/>
      <c r="AZ767" s="307"/>
      <c r="BA767" s="307"/>
      <c r="BB767" s="307"/>
      <c r="BC767" s="305"/>
      <c r="BD767" s="292"/>
      <c r="BE767" s="297"/>
      <c r="BF767" s="297"/>
      <c r="BG767" s="569"/>
      <c r="BH767" s="570"/>
      <c r="BI767" s="570"/>
      <c r="BJ767" s="570"/>
      <c r="BK767" s="570"/>
      <c r="BL767" s="570"/>
      <c r="BM767" s="570"/>
      <c r="BN767" s="570"/>
      <c r="BO767" s="570"/>
      <c r="BP767" s="570"/>
      <c r="BQ767" s="570"/>
      <c r="BR767" s="570"/>
      <c r="BS767" s="570"/>
      <c r="BT767" s="570"/>
      <c r="BU767" s="570"/>
      <c r="BV767" s="570"/>
      <c r="BW767" s="570"/>
      <c r="BX767" s="570"/>
      <c r="BY767" s="570"/>
      <c r="BZ767" s="571"/>
      <c r="CA767" s="571"/>
    </row>
    <row r="768" spans="2:79">
      <c r="B768" s="566">
        <v>753</v>
      </c>
      <c r="C768" s="308"/>
      <c r="D768" s="307"/>
      <c r="E768" s="307"/>
      <c r="F768" s="305"/>
      <c r="G768" s="305"/>
      <c r="H768" s="292"/>
      <c r="I768" s="574"/>
      <c r="J768" s="573"/>
      <c r="K768" s="307"/>
      <c r="L768" s="292"/>
      <c r="M768" s="308"/>
      <c r="N768" s="292"/>
      <c r="O768" s="308"/>
      <c r="P768" s="575"/>
      <c r="Q768" s="576"/>
      <c r="R768" s="308"/>
      <c r="S768" s="575"/>
      <c r="T768" s="576"/>
      <c r="U768" s="308"/>
      <c r="V768" s="575"/>
      <c r="W768" s="576"/>
      <c r="X768" s="308"/>
      <c r="Y768" s="575"/>
      <c r="Z768" s="576"/>
      <c r="AA768" s="308"/>
      <c r="AB768" s="575"/>
      <c r="AC768" s="576"/>
      <c r="AD768" s="308"/>
      <c r="AE768" s="575"/>
      <c r="AF768" s="308"/>
      <c r="AG768" s="575"/>
      <c r="AH768" s="308"/>
      <c r="AI768" s="575"/>
      <c r="AJ768" s="308"/>
      <c r="AK768" s="305"/>
      <c r="AL768" s="577"/>
      <c r="AM768" s="306"/>
      <c r="AN768" s="308"/>
      <c r="AO768" s="573"/>
      <c r="AP768" s="305"/>
      <c r="AQ768" s="308"/>
      <c r="AR768" s="573"/>
      <c r="AS768" s="578"/>
      <c r="AT768" s="577"/>
      <c r="AU768" s="579"/>
      <c r="AV768" s="578"/>
      <c r="AW768" s="308"/>
      <c r="AX768" s="307"/>
      <c r="AY768" s="307"/>
      <c r="AZ768" s="307"/>
      <c r="BA768" s="307"/>
      <c r="BB768" s="307"/>
      <c r="BC768" s="305"/>
      <c r="BD768" s="292"/>
      <c r="BE768" s="297"/>
      <c r="BF768" s="297"/>
      <c r="BG768" s="569"/>
      <c r="BH768" s="570"/>
      <c r="BI768" s="570"/>
      <c r="BJ768" s="570"/>
      <c r="BK768" s="570"/>
      <c r="BL768" s="570"/>
      <c r="BM768" s="570"/>
      <c r="BN768" s="570"/>
      <c r="BO768" s="570"/>
      <c r="BP768" s="570"/>
      <c r="BQ768" s="570"/>
      <c r="BR768" s="570"/>
      <c r="BS768" s="570"/>
      <c r="BT768" s="570"/>
      <c r="BU768" s="570"/>
      <c r="BV768" s="570"/>
      <c r="BW768" s="570"/>
      <c r="BX768" s="570"/>
      <c r="BY768" s="570"/>
      <c r="BZ768" s="571"/>
      <c r="CA768" s="571"/>
    </row>
    <row r="769" spans="2:79">
      <c r="B769" s="572">
        <v>754</v>
      </c>
      <c r="C769" s="308"/>
      <c r="D769" s="307"/>
      <c r="E769" s="307"/>
      <c r="F769" s="305"/>
      <c r="G769" s="305"/>
      <c r="H769" s="292"/>
      <c r="I769" s="574"/>
      <c r="J769" s="573"/>
      <c r="K769" s="307"/>
      <c r="L769" s="292"/>
      <c r="M769" s="308"/>
      <c r="N769" s="292"/>
      <c r="O769" s="308"/>
      <c r="P769" s="575"/>
      <c r="Q769" s="576"/>
      <c r="R769" s="308"/>
      <c r="S769" s="575"/>
      <c r="T769" s="576"/>
      <c r="U769" s="308"/>
      <c r="V769" s="575"/>
      <c r="W769" s="576"/>
      <c r="X769" s="308"/>
      <c r="Y769" s="575"/>
      <c r="Z769" s="576"/>
      <c r="AA769" s="308"/>
      <c r="AB769" s="575"/>
      <c r="AC769" s="576"/>
      <c r="AD769" s="308"/>
      <c r="AE769" s="575"/>
      <c r="AF769" s="308"/>
      <c r="AG769" s="575"/>
      <c r="AH769" s="308"/>
      <c r="AI769" s="575"/>
      <c r="AJ769" s="308"/>
      <c r="AK769" s="305"/>
      <c r="AL769" s="577"/>
      <c r="AM769" s="306"/>
      <c r="AN769" s="308"/>
      <c r="AO769" s="573"/>
      <c r="AP769" s="305"/>
      <c r="AQ769" s="308"/>
      <c r="AR769" s="573"/>
      <c r="AS769" s="578"/>
      <c r="AT769" s="577"/>
      <c r="AU769" s="579"/>
      <c r="AV769" s="578"/>
      <c r="AW769" s="308"/>
      <c r="AX769" s="307"/>
      <c r="AY769" s="307"/>
      <c r="AZ769" s="307"/>
      <c r="BA769" s="307"/>
      <c r="BB769" s="307"/>
      <c r="BC769" s="305"/>
      <c r="BD769" s="292"/>
      <c r="BE769" s="297"/>
      <c r="BF769" s="297"/>
      <c r="BG769" s="569"/>
      <c r="BH769" s="570"/>
      <c r="BI769" s="570"/>
      <c r="BJ769" s="570"/>
      <c r="BK769" s="570"/>
      <c r="BL769" s="570"/>
      <c r="BM769" s="570"/>
      <c r="BN769" s="570"/>
      <c r="BO769" s="570"/>
      <c r="BP769" s="570"/>
      <c r="BQ769" s="570"/>
      <c r="BR769" s="570"/>
      <c r="BS769" s="570"/>
      <c r="BT769" s="570"/>
      <c r="BU769" s="570"/>
      <c r="BV769" s="570"/>
      <c r="BW769" s="570"/>
      <c r="BX769" s="570"/>
      <c r="BY769" s="570"/>
      <c r="BZ769" s="571"/>
      <c r="CA769" s="571"/>
    </row>
    <row r="770" spans="2:79">
      <c r="B770" s="566">
        <v>755</v>
      </c>
      <c r="C770" s="308"/>
      <c r="D770" s="307"/>
      <c r="E770" s="307"/>
      <c r="F770" s="305"/>
      <c r="G770" s="305"/>
      <c r="H770" s="292"/>
      <c r="I770" s="574"/>
      <c r="J770" s="573"/>
      <c r="K770" s="307"/>
      <c r="L770" s="292"/>
      <c r="M770" s="308"/>
      <c r="N770" s="292"/>
      <c r="O770" s="308"/>
      <c r="P770" s="575"/>
      <c r="Q770" s="576"/>
      <c r="R770" s="308"/>
      <c r="S770" s="575"/>
      <c r="T770" s="576"/>
      <c r="U770" s="308"/>
      <c r="V770" s="575"/>
      <c r="W770" s="576"/>
      <c r="X770" s="308"/>
      <c r="Y770" s="575"/>
      <c r="Z770" s="576"/>
      <c r="AA770" s="308"/>
      <c r="AB770" s="575"/>
      <c r="AC770" s="576"/>
      <c r="AD770" s="308"/>
      <c r="AE770" s="575"/>
      <c r="AF770" s="308"/>
      <c r="AG770" s="575"/>
      <c r="AH770" s="308"/>
      <c r="AI770" s="575"/>
      <c r="AJ770" s="308"/>
      <c r="AK770" s="305"/>
      <c r="AL770" s="577"/>
      <c r="AM770" s="306"/>
      <c r="AN770" s="308"/>
      <c r="AO770" s="573"/>
      <c r="AP770" s="305"/>
      <c r="AQ770" s="308"/>
      <c r="AR770" s="573"/>
      <c r="AS770" s="578"/>
      <c r="AT770" s="577"/>
      <c r="AU770" s="579"/>
      <c r="AV770" s="578"/>
      <c r="AW770" s="308"/>
      <c r="AX770" s="307"/>
      <c r="AY770" s="307"/>
      <c r="AZ770" s="307"/>
      <c r="BA770" s="307"/>
      <c r="BB770" s="307"/>
      <c r="BC770" s="305"/>
      <c r="BD770" s="292"/>
      <c r="BE770" s="297"/>
      <c r="BF770" s="297"/>
      <c r="BG770" s="569"/>
      <c r="BH770" s="570"/>
      <c r="BI770" s="570"/>
      <c r="BJ770" s="570"/>
      <c r="BK770" s="570"/>
      <c r="BL770" s="570"/>
      <c r="BM770" s="570"/>
      <c r="BN770" s="570"/>
      <c r="BO770" s="570"/>
      <c r="BP770" s="570"/>
      <c r="BQ770" s="570"/>
      <c r="BR770" s="570"/>
      <c r="BS770" s="570"/>
      <c r="BT770" s="570"/>
      <c r="BU770" s="570"/>
      <c r="BV770" s="570"/>
      <c r="BW770" s="570"/>
      <c r="BX770" s="570"/>
      <c r="BY770" s="570"/>
      <c r="BZ770" s="571"/>
      <c r="CA770" s="571"/>
    </row>
    <row r="771" spans="2:79">
      <c r="B771" s="572">
        <v>756</v>
      </c>
      <c r="C771" s="308"/>
      <c r="D771" s="307"/>
      <c r="E771" s="307"/>
      <c r="F771" s="305"/>
      <c r="G771" s="305"/>
      <c r="H771" s="292"/>
      <c r="I771" s="574"/>
      <c r="J771" s="573"/>
      <c r="K771" s="307"/>
      <c r="L771" s="292"/>
      <c r="M771" s="308"/>
      <c r="N771" s="292"/>
      <c r="O771" s="308"/>
      <c r="P771" s="575"/>
      <c r="Q771" s="576"/>
      <c r="R771" s="308"/>
      <c r="S771" s="575"/>
      <c r="T771" s="576"/>
      <c r="U771" s="308"/>
      <c r="V771" s="575"/>
      <c r="W771" s="576"/>
      <c r="X771" s="308"/>
      <c r="Y771" s="575"/>
      <c r="Z771" s="576"/>
      <c r="AA771" s="308"/>
      <c r="AB771" s="575"/>
      <c r="AC771" s="576"/>
      <c r="AD771" s="308"/>
      <c r="AE771" s="575"/>
      <c r="AF771" s="308"/>
      <c r="AG771" s="575"/>
      <c r="AH771" s="308"/>
      <c r="AI771" s="575"/>
      <c r="AJ771" s="308"/>
      <c r="AK771" s="305"/>
      <c r="AL771" s="577"/>
      <c r="AM771" s="306"/>
      <c r="AN771" s="308"/>
      <c r="AO771" s="573"/>
      <c r="AP771" s="305"/>
      <c r="AQ771" s="308"/>
      <c r="AR771" s="573"/>
      <c r="AS771" s="578"/>
      <c r="AT771" s="577"/>
      <c r="AU771" s="579"/>
      <c r="AV771" s="578"/>
      <c r="AW771" s="308"/>
      <c r="AX771" s="307"/>
      <c r="AY771" s="307"/>
      <c r="AZ771" s="307"/>
      <c r="BA771" s="307"/>
      <c r="BB771" s="307"/>
      <c r="BC771" s="305"/>
      <c r="BD771" s="292"/>
      <c r="BE771" s="297"/>
      <c r="BF771" s="297"/>
      <c r="BG771" s="569"/>
      <c r="BH771" s="570"/>
      <c r="BI771" s="570"/>
      <c r="BJ771" s="570"/>
      <c r="BK771" s="570"/>
      <c r="BL771" s="570"/>
      <c r="BM771" s="570"/>
      <c r="BN771" s="570"/>
      <c r="BO771" s="570"/>
      <c r="BP771" s="570"/>
      <c r="BQ771" s="570"/>
      <c r="BR771" s="570"/>
      <c r="BS771" s="570"/>
      <c r="BT771" s="570"/>
      <c r="BU771" s="570"/>
      <c r="BV771" s="570"/>
      <c r="BW771" s="570"/>
      <c r="BX771" s="570"/>
      <c r="BY771" s="570"/>
      <c r="BZ771" s="571"/>
      <c r="CA771" s="571"/>
    </row>
    <row r="772" spans="2:79">
      <c r="B772" s="566">
        <v>757</v>
      </c>
      <c r="C772" s="308"/>
      <c r="D772" s="307"/>
      <c r="E772" s="307"/>
      <c r="F772" s="305"/>
      <c r="G772" s="305"/>
      <c r="H772" s="292"/>
      <c r="I772" s="574"/>
      <c r="J772" s="573"/>
      <c r="K772" s="307"/>
      <c r="L772" s="292"/>
      <c r="M772" s="308"/>
      <c r="N772" s="292"/>
      <c r="O772" s="308"/>
      <c r="P772" s="575"/>
      <c r="Q772" s="576"/>
      <c r="R772" s="308"/>
      <c r="S772" s="575"/>
      <c r="T772" s="576"/>
      <c r="U772" s="308"/>
      <c r="V772" s="575"/>
      <c r="W772" s="576"/>
      <c r="X772" s="308"/>
      <c r="Y772" s="575"/>
      <c r="Z772" s="576"/>
      <c r="AA772" s="308"/>
      <c r="AB772" s="575"/>
      <c r="AC772" s="576"/>
      <c r="AD772" s="308"/>
      <c r="AE772" s="575"/>
      <c r="AF772" s="308"/>
      <c r="AG772" s="575"/>
      <c r="AH772" s="308"/>
      <c r="AI772" s="575"/>
      <c r="AJ772" s="308"/>
      <c r="AK772" s="305"/>
      <c r="AL772" s="577"/>
      <c r="AM772" s="306"/>
      <c r="AN772" s="308"/>
      <c r="AO772" s="573"/>
      <c r="AP772" s="305"/>
      <c r="AQ772" s="308"/>
      <c r="AR772" s="573"/>
      <c r="AS772" s="578"/>
      <c r="AT772" s="577"/>
      <c r="AU772" s="579"/>
      <c r="AV772" s="578"/>
      <c r="AW772" s="308"/>
      <c r="AX772" s="307"/>
      <c r="AY772" s="307"/>
      <c r="AZ772" s="307"/>
      <c r="BA772" s="307"/>
      <c r="BB772" s="307"/>
      <c r="BC772" s="305"/>
      <c r="BD772" s="292"/>
      <c r="BE772" s="297"/>
      <c r="BF772" s="297"/>
      <c r="BG772" s="569"/>
      <c r="BH772" s="570"/>
      <c r="BI772" s="570"/>
      <c r="BJ772" s="570"/>
      <c r="BK772" s="570"/>
      <c r="BL772" s="570"/>
      <c r="BM772" s="570"/>
      <c r="BN772" s="570"/>
      <c r="BO772" s="570"/>
      <c r="BP772" s="570"/>
      <c r="BQ772" s="570"/>
      <c r="BR772" s="570"/>
      <c r="BS772" s="570"/>
      <c r="BT772" s="570"/>
      <c r="BU772" s="570"/>
      <c r="BV772" s="570"/>
      <c r="BW772" s="570"/>
      <c r="BX772" s="570"/>
      <c r="BY772" s="570"/>
      <c r="BZ772" s="571"/>
      <c r="CA772" s="571"/>
    </row>
    <row r="773" spans="2:79">
      <c r="B773" s="572">
        <v>758</v>
      </c>
      <c r="C773" s="308"/>
      <c r="D773" s="307"/>
      <c r="E773" s="307"/>
      <c r="F773" s="305"/>
      <c r="G773" s="305"/>
      <c r="H773" s="292"/>
      <c r="I773" s="574"/>
      <c r="J773" s="573"/>
      <c r="K773" s="307"/>
      <c r="L773" s="292"/>
      <c r="M773" s="308"/>
      <c r="N773" s="292"/>
      <c r="O773" s="308"/>
      <c r="P773" s="575"/>
      <c r="Q773" s="576"/>
      <c r="R773" s="308"/>
      <c r="S773" s="575"/>
      <c r="T773" s="576"/>
      <c r="U773" s="308"/>
      <c r="V773" s="575"/>
      <c r="W773" s="576"/>
      <c r="X773" s="308"/>
      <c r="Y773" s="575"/>
      <c r="Z773" s="576"/>
      <c r="AA773" s="308"/>
      <c r="AB773" s="575"/>
      <c r="AC773" s="576"/>
      <c r="AD773" s="308"/>
      <c r="AE773" s="575"/>
      <c r="AF773" s="308"/>
      <c r="AG773" s="575"/>
      <c r="AH773" s="308"/>
      <c r="AI773" s="575"/>
      <c r="AJ773" s="308"/>
      <c r="AK773" s="305"/>
      <c r="AL773" s="577"/>
      <c r="AM773" s="306"/>
      <c r="AN773" s="308"/>
      <c r="AO773" s="573"/>
      <c r="AP773" s="305"/>
      <c r="AQ773" s="308"/>
      <c r="AR773" s="573"/>
      <c r="AS773" s="578"/>
      <c r="AT773" s="577"/>
      <c r="AU773" s="579"/>
      <c r="AV773" s="578"/>
      <c r="AW773" s="308"/>
      <c r="AX773" s="307"/>
      <c r="AY773" s="307"/>
      <c r="AZ773" s="307"/>
      <c r="BA773" s="307"/>
      <c r="BB773" s="307"/>
      <c r="BC773" s="305"/>
      <c r="BD773" s="292"/>
      <c r="BE773" s="297"/>
      <c r="BF773" s="297"/>
      <c r="BG773" s="569"/>
      <c r="BH773" s="570"/>
      <c r="BI773" s="570"/>
      <c r="BJ773" s="570"/>
      <c r="BK773" s="570"/>
      <c r="BL773" s="570"/>
      <c r="BM773" s="570"/>
      <c r="BN773" s="570"/>
      <c r="BO773" s="570"/>
      <c r="BP773" s="570"/>
      <c r="BQ773" s="570"/>
      <c r="BR773" s="570"/>
      <c r="BS773" s="570"/>
      <c r="BT773" s="570"/>
      <c r="BU773" s="570"/>
      <c r="BV773" s="570"/>
      <c r="BW773" s="570"/>
      <c r="BX773" s="570"/>
      <c r="BY773" s="570"/>
      <c r="BZ773" s="571"/>
      <c r="CA773" s="571"/>
    </row>
    <row r="774" spans="2:79">
      <c r="B774" s="566">
        <v>759</v>
      </c>
      <c r="C774" s="308"/>
      <c r="D774" s="307"/>
      <c r="E774" s="307"/>
      <c r="F774" s="305"/>
      <c r="G774" s="305"/>
      <c r="H774" s="292"/>
      <c r="I774" s="574"/>
      <c r="J774" s="573"/>
      <c r="K774" s="307"/>
      <c r="L774" s="292"/>
      <c r="M774" s="308"/>
      <c r="N774" s="292"/>
      <c r="O774" s="308"/>
      <c r="P774" s="575"/>
      <c r="Q774" s="576"/>
      <c r="R774" s="308"/>
      <c r="S774" s="575"/>
      <c r="T774" s="576"/>
      <c r="U774" s="308"/>
      <c r="V774" s="575"/>
      <c r="W774" s="576"/>
      <c r="X774" s="308"/>
      <c r="Y774" s="575"/>
      <c r="Z774" s="576"/>
      <c r="AA774" s="308"/>
      <c r="AB774" s="575"/>
      <c r="AC774" s="576"/>
      <c r="AD774" s="308"/>
      <c r="AE774" s="575"/>
      <c r="AF774" s="308"/>
      <c r="AG774" s="575"/>
      <c r="AH774" s="308"/>
      <c r="AI774" s="575"/>
      <c r="AJ774" s="308"/>
      <c r="AK774" s="305"/>
      <c r="AL774" s="577"/>
      <c r="AM774" s="306"/>
      <c r="AN774" s="308"/>
      <c r="AO774" s="573"/>
      <c r="AP774" s="305"/>
      <c r="AQ774" s="308"/>
      <c r="AR774" s="573"/>
      <c r="AS774" s="578"/>
      <c r="AT774" s="577"/>
      <c r="AU774" s="579"/>
      <c r="AV774" s="578"/>
      <c r="AW774" s="308"/>
      <c r="AX774" s="307"/>
      <c r="AY774" s="307"/>
      <c r="AZ774" s="307"/>
      <c r="BA774" s="307"/>
      <c r="BB774" s="307"/>
      <c r="BC774" s="305"/>
      <c r="BD774" s="292"/>
      <c r="BE774" s="297"/>
      <c r="BF774" s="297"/>
      <c r="BG774" s="569"/>
      <c r="BH774" s="570"/>
      <c r="BI774" s="570"/>
      <c r="BJ774" s="570"/>
      <c r="BK774" s="570"/>
      <c r="BL774" s="570"/>
      <c r="BM774" s="570"/>
      <c r="BN774" s="570"/>
      <c r="BO774" s="570"/>
      <c r="BP774" s="570"/>
      <c r="BQ774" s="570"/>
      <c r="BR774" s="570"/>
      <c r="BS774" s="570"/>
      <c r="BT774" s="570"/>
      <c r="BU774" s="570"/>
      <c r="BV774" s="570"/>
      <c r="BW774" s="570"/>
      <c r="BX774" s="570"/>
      <c r="BY774" s="570"/>
      <c r="BZ774" s="571"/>
      <c r="CA774" s="571"/>
    </row>
    <row r="775" spans="2:79">
      <c r="B775" s="572">
        <v>760</v>
      </c>
      <c r="C775" s="308"/>
      <c r="D775" s="307"/>
      <c r="E775" s="307"/>
      <c r="F775" s="305"/>
      <c r="G775" s="305"/>
      <c r="H775" s="292"/>
      <c r="I775" s="574"/>
      <c r="J775" s="573"/>
      <c r="K775" s="307"/>
      <c r="L775" s="292"/>
      <c r="M775" s="308"/>
      <c r="N775" s="292"/>
      <c r="O775" s="308"/>
      <c r="P775" s="575"/>
      <c r="Q775" s="576"/>
      <c r="R775" s="308"/>
      <c r="S775" s="575"/>
      <c r="T775" s="576"/>
      <c r="U775" s="308"/>
      <c r="V775" s="575"/>
      <c r="W775" s="576"/>
      <c r="X775" s="308"/>
      <c r="Y775" s="575"/>
      <c r="Z775" s="576"/>
      <c r="AA775" s="308"/>
      <c r="AB775" s="575"/>
      <c r="AC775" s="576"/>
      <c r="AD775" s="308"/>
      <c r="AE775" s="575"/>
      <c r="AF775" s="308"/>
      <c r="AG775" s="575"/>
      <c r="AH775" s="308"/>
      <c r="AI775" s="575"/>
      <c r="AJ775" s="308"/>
      <c r="AK775" s="305"/>
      <c r="AL775" s="577"/>
      <c r="AM775" s="306"/>
      <c r="AN775" s="308"/>
      <c r="AO775" s="573"/>
      <c r="AP775" s="305"/>
      <c r="AQ775" s="308"/>
      <c r="AR775" s="573"/>
      <c r="AS775" s="578"/>
      <c r="AT775" s="577"/>
      <c r="AU775" s="579"/>
      <c r="AV775" s="578"/>
      <c r="AW775" s="308"/>
      <c r="AX775" s="307"/>
      <c r="AY775" s="307"/>
      <c r="AZ775" s="307"/>
      <c r="BA775" s="307"/>
      <c r="BB775" s="307"/>
      <c r="BC775" s="305"/>
      <c r="BD775" s="292"/>
      <c r="BE775" s="297"/>
      <c r="BF775" s="297"/>
      <c r="BG775" s="569"/>
      <c r="BH775" s="570"/>
      <c r="BI775" s="570"/>
      <c r="BJ775" s="570"/>
      <c r="BK775" s="570"/>
      <c r="BL775" s="570"/>
      <c r="BM775" s="570"/>
      <c r="BN775" s="570"/>
      <c r="BO775" s="570"/>
      <c r="BP775" s="570"/>
      <c r="BQ775" s="570"/>
      <c r="BR775" s="570"/>
      <c r="BS775" s="570"/>
      <c r="BT775" s="570"/>
      <c r="BU775" s="570"/>
      <c r="BV775" s="570"/>
      <c r="BW775" s="570"/>
      <c r="BX775" s="570"/>
      <c r="BY775" s="570"/>
      <c r="BZ775" s="571"/>
      <c r="CA775" s="571"/>
    </row>
    <row r="776" spans="2:79">
      <c r="B776" s="566">
        <v>761</v>
      </c>
      <c r="C776" s="308"/>
      <c r="D776" s="307"/>
      <c r="E776" s="307"/>
      <c r="F776" s="305"/>
      <c r="G776" s="305"/>
      <c r="H776" s="292"/>
      <c r="I776" s="574"/>
      <c r="J776" s="573"/>
      <c r="K776" s="307"/>
      <c r="L776" s="292"/>
      <c r="M776" s="308"/>
      <c r="N776" s="292"/>
      <c r="O776" s="308"/>
      <c r="P776" s="575"/>
      <c r="Q776" s="576"/>
      <c r="R776" s="308"/>
      <c r="S776" s="575"/>
      <c r="T776" s="576"/>
      <c r="U776" s="308"/>
      <c r="V776" s="575"/>
      <c r="W776" s="576"/>
      <c r="X776" s="308"/>
      <c r="Y776" s="575"/>
      <c r="Z776" s="576"/>
      <c r="AA776" s="308"/>
      <c r="AB776" s="575"/>
      <c r="AC776" s="576"/>
      <c r="AD776" s="308"/>
      <c r="AE776" s="575"/>
      <c r="AF776" s="308"/>
      <c r="AG776" s="575"/>
      <c r="AH776" s="308"/>
      <c r="AI776" s="575"/>
      <c r="AJ776" s="308"/>
      <c r="AK776" s="305"/>
      <c r="AL776" s="577"/>
      <c r="AM776" s="306"/>
      <c r="AN776" s="308"/>
      <c r="AO776" s="573"/>
      <c r="AP776" s="305"/>
      <c r="AQ776" s="308"/>
      <c r="AR776" s="573"/>
      <c r="AS776" s="578"/>
      <c r="AT776" s="577"/>
      <c r="AU776" s="579"/>
      <c r="AV776" s="578"/>
      <c r="AW776" s="308"/>
      <c r="AX776" s="307"/>
      <c r="AY776" s="307"/>
      <c r="AZ776" s="307"/>
      <c r="BA776" s="307"/>
      <c r="BB776" s="307"/>
      <c r="BC776" s="305"/>
      <c r="BD776" s="292"/>
      <c r="BE776" s="297"/>
      <c r="BF776" s="297"/>
      <c r="BG776" s="569"/>
      <c r="BH776" s="570"/>
      <c r="BI776" s="570"/>
      <c r="BJ776" s="570"/>
      <c r="BK776" s="570"/>
      <c r="BL776" s="570"/>
      <c r="BM776" s="570"/>
      <c r="BN776" s="570"/>
      <c r="BO776" s="570"/>
      <c r="BP776" s="570"/>
      <c r="BQ776" s="570"/>
      <c r="BR776" s="570"/>
      <c r="BS776" s="570"/>
      <c r="BT776" s="570"/>
      <c r="BU776" s="570"/>
      <c r="BV776" s="570"/>
      <c r="BW776" s="570"/>
      <c r="BX776" s="570"/>
      <c r="BY776" s="570"/>
      <c r="BZ776" s="571"/>
      <c r="CA776" s="571"/>
    </row>
    <row r="777" spans="2:79">
      <c r="B777" s="572">
        <v>762</v>
      </c>
      <c r="C777" s="308"/>
      <c r="D777" s="307"/>
      <c r="E777" s="307"/>
      <c r="F777" s="305"/>
      <c r="G777" s="305"/>
      <c r="H777" s="292"/>
      <c r="I777" s="574"/>
      <c r="J777" s="573"/>
      <c r="K777" s="307"/>
      <c r="L777" s="292"/>
      <c r="M777" s="308"/>
      <c r="N777" s="292"/>
      <c r="O777" s="308"/>
      <c r="P777" s="575"/>
      <c r="Q777" s="576"/>
      <c r="R777" s="308"/>
      <c r="S777" s="575"/>
      <c r="T777" s="576"/>
      <c r="U777" s="308"/>
      <c r="V777" s="575"/>
      <c r="W777" s="576"/>
      <c r="X777" s="308"/>
      <c r="Y777" s="575"/>
      <c r="Z777" s="576"/>
      <c r="AA777" s="308"/>
      <c r="AB777" s="575"/>
      <c r="AC777" s="576"/>
      <c r="AD777" s="308"/>
      <c r="AE777" s="575"/>
      <c r="AF777" s="308"/>
      <c r="AG777" s="575"/>
      <c r="AH777" s="308"/>
      <c r="AI777" s="575"/>
      <c r="AJ777" s="308"/>
      <c r="AK777" s="305"/>
      <c r="AL777" s="577"/>
      <c r="AM777" s="306"/>
      <c r="AN777" s="308"/>
      <c r="AO777" s="573"/>
      <c r="AP777" s="305"/>
      <c r="AQ777" s="308"/>
      <c r="AR777" s="573"/>
      <c r="AS777" s="578"/>
      <c r="AT777" s="577"/>
      <c r="AU777" s="579"/>
      <c r="AV777" s="578"/>
      <c r="AW777" s="308"/>
      <c r="AX777" s="307"/>
      <c r="AY777" s="307"/>
      <c r="AZ777" s="307"/>
      <c r="BA777" s="307"/>
      <c r="BB777" s="307"/>
      <c r="BC777" s="305"/>
      <c r="BD777" s="292"/>
      <c r="BE777" s="297"/>
      <c r="BF777" s="297"/>
      <c r="BG777" s="569"/>
      <c r="BH777" s="570"/>
      <c r="BI777" s="570"/>
      <c r="BJ777" s="570"/>
      <c r="BK777" s="570"/>
      <c r="BL777" s="570"/>
      <c r="BM777" s="570"/>
      <c r="BN777" s="570"/>
      <c r="BO777" s="570"/>
      <c r="BP777" s="570"/>
      <c r="BQ777" s="570"/>
      <c r="BR777" s="570"/>
      <c r="BS777" s="570"/>
      <c r="BT777" s="570"/>
      <c r="BU777" s="570"/>
      <c r="BV777" s="570"/>
      <c r="BW777" s="570"/>
      <c r="BX777" s="570"/>
      <c r="BY777" s="570"/>
      <c r="BZ777" s="571"/>
      <c r="CA777" s="571"/>
    </row>
    <row r="778" spans="2:79">
      <c r="B778" s="566">
        <v>763</v>
      </c>
      <c r="C778" s="308"/>
      <c r="D778" s="307"/>
      <c r="E778" s="307"/>
      <c r="F778" s="305"/>
      <c r="G778" s="305"/>
      <c r="H778" s="292"/>
      <c r="I778" s="574"/>
      <c r="J778" s="573"/>
      <c r="K778" s="307"/>
      <c r="L778" s="292"/>
      <c r="M778" s="308"/>
      <c r="N778" s="292"/>
      <c r="O778" s="308"/>
      <c r="P778" s="575"/>
      <c r="Q778" s="576"/>
      <c r="R778" s="308"/>
      <c r="S778" s="575"/>
      <c r="T778" s="576"/>
      <c r="U778" s="308"/>
      <c r="V778" s="575"/>
      <c r="W778" s="576"/>
      <c r="X778" s="308"/>
      <c r="Y778" s="575"/>
      <c r="Z778" s="576"/>
      <c r="AA778" s="308"/>
      <c r="AB778" s="575"/>
      <c r="AC778" s="576"/>
      <c r="AD778" s="308"/>
      <c r="AE778" s="575"/>
      <c r="AF778" s="308"/>
      <c r="AG778" s="575"/>
      <c r="AH778" s="308"/>
      <c r="AI778" s="575"/>
      <c r="AJ778" s="308"/>
      <c r="AK778" s="305"/>
      <c r="AL778" s="577"/>
      <c r="AM778" s="306"/>
      <c r="AN778" s="308"/>
      <c r="AO778" s="573"/>
      <c r="AP778" s="305"/>
      <c r="AQ778" s="308"/>
      <c r="AR778" s="573"/>
      <c r="AS778" s="578"/>
      <c r="AT778" s="577"/>
      <c r="AU778" s="579"/>
      <c r="AV778" s="578"/>
      <c r="AW778" s="308"/>
      <c r="AX778" s="307"/>
      <c r="AY778" s="307"/>
      <c r="AZ778" s="307"/>
      <c r="BA778" s="307"/>
      <c r="BB778" s="307"/>
      <c r="BC778" s="305"/>
      <c r="BD778" s="292"/>
      <c r="BE778" s="297"/>
      <c r="BF778" s="297"/>
      <c r="BG778" s="569"/>
      <c r="BH778" s="570"/>
      <c r="BI778" s="570"/>
      <c r="BJ778" s="570"/>
      <c r="BK778" s="570"/>
      <c r="BL778" s="570"/>
      <c r="BM778" s="570"/>
      <c r="BN778" s="570"/>
      <c r="BO778" s="570"/>
      <c r="BP778" s="570"/>
      <c r="BQ778" s="570"/>
      <c r="BR778" s="570"/>
      <c r="BS778" s="570"/>
      <c r="BT778" s="570"/>
      <c r="BU778" s="570"/>
      <c r="BV778" s="570"/>
      <c r="BW778" s="570"/>
      <c r="BX778" s="570"/>
      <c r="BY778" s="570"/>
      <c r="BZ778" s="571"/>
      <c r="CA778" s="571"/>
    </row>
    <row r="779" spans="2:79">
      <c r="B779" s="572">
        <v>764</v>
      </c>
      <c r="C779" s="308"/>
      <c r="D779" s="307"/>
      <c r="E779" s="307"/>
      <c r="F779" s="305"/>
      <c r="G779" s="305"/>
      <c r="H779" s="292"/>
      <c r="I779" s="574"/>
      <c r="J779" s="573"/>
      <c r="K779" s="307"/>
      <c r="L779" s="292"/>
      <c r="M779" s="308"/>
      <c r="N779" s="292"/>
      <c r="O779" s="308"/>
      <c r="P779" s="575"/>
      <c r="Q779" s="576"/>
      <c r="R779" s="308"/>
      <c r="S779" s="575"/>
      <c r="T779" s="576"/>
      <c r="U779" s="308"/>
      <c r="V779" s="575"/>
      <c r="W779" s="576"/>
      <c r="X779" s="308"/>
      <c r="Y779" s="575"/>
      <c r="Z779" s="576"/>
      <c r="AA779" s="308"/>
      <c r="AB779" s="575"/>
      <c r="AC779" s="576"/>
      <c r="AD779" s="308"/>
      <c r="AE779" s="575"/>
      <c r="AF779" s="308"/>
      <c r="AG779" s="575"/>
      <c r="AH779" s="308"/>
      <c r="AI779" s="575"/>
      <c r="AJ779" s="308"/>
      <c r="AK779" s="305"/>
      <c r="AL779" s="577"/>
      <c r="AM779" s="306"/>
      <c r="AN779" s="308"/>
      <c r="AO779" s="573"/>
      <c r="AP779" s="305"/>
      <c r="AQ779" s="308"/>
      <c r="AR779" s="573"/>
      <c r="AS779" s="578"/>
      <c r="AT779" s="577"/>
      <c r="AU779" s="579"/>
      <c r="AV779" s="578"/>
      <c r="AW779" s="308"/>
      <c r="AX779" s="307"/>
      <c r="AY779" s="307"/>
      <c r="AZ779" s="307"/>
      <c r="BA779" s="307"/>
      <c r="BB779" s="307"/>
      <c r="BC779" s="305"/>
      <c r="BD779" s="292"/>
      <c r="BE779" s="297"/>
      <c r="BF779" s="297"/>
      <c r="BG779" s="569"/>
      <c r="BH779" s="570"/>
      <c r="BI779" s="570"/>
      <c r="BJ779" s="570"/>
      <c r="BK779" s="570"/>
      <c r="BL779" s="570"/>
      <c r="BM779" s="570"/>
      <c r="BN779" s="570"/>
      <c r="BO779" s="570"/>
      <c r="BP779" s="570"/>
      <c r="BQ779" s="570"/>
      <c r="BR779" s="570"/>
      <c r="BS779" s="570"/>
      <c r="BT779" s="570"/>
      <c r="BU779" s="570"/>
      <c r="BV779" s="570"/>
      <c r="BW779" s="570"/>
      <c r="BX779" s="570"/>
      <c r="BY779" s="570"/>
      <c r="BZ779" s="571"/>
      <c r="CA779" s="571"/>
    </row>
    <row r="780" spans="2:79">
      <c r="B780" s="566">
        <v>765</v>
      </c>
      <c r="C780" s="308"/>
      <c r="D780" s="307"/>
      <c r="E780" s="307"/>
      <c r="F780" s="305"/>
      <c r="G780" s="305"/>
      <c r="H780" s="292"/>
      <c r="I780" s="574"/>
      <c r="J780" s="573"/>
      <c r="K780" s="307"/>
      <c r="L780" s="292"/>
      <c r="M780" s="308"/>
      <c r="N780" s="292"/>
      <c r="O780" s="308"/>
      <c r="P780" s="575"/>
      <c r="Q780" s="576"/>
      <c r="R780" s="308"/>
      <c r="S780" s="575"/>
      <c r="T780" s="576"/>
      <c r="U780" s="308"/>
      <c r="V780" s="575"/>
      <c r="W780" s="576"/>
      <c r="X780" s="308"/>
      <c r="Y780" s="575"/>
      <c r="Z780" s="576"/>
      <c r="AA780" s="308"/>
      <c r="AB780" s="575"/>
      <c r="AC780" s="576"/>
      <c r="AD780" s="308"/>
      <c r="AE780" s="575"/>
      <c r="AF780" s="308"/>
      <c r="AG780" s="575"/>
      <c r="AH780" s="308"/>
      <c r="AI780" s="575"/>
      <c r="AJ780" s="308"/>
      <c r="AK780" s="305"/>
      <c r="AL780" s="577"/>
      <c r="AM780" s="306"/>
      <c r="AN780" s="308"/>
      <c r="AO780" s="573"/>
      <c r="AP780" s="305"/>
      <c r="AQ780" s="308"/>
      <c r="AR780" s="573"/>
      <c r="AS780" s="578"/>
      <c r="AT780" s="577"/>
      <c r="AU780" s="579"/>
      <c r="AV780" s="578"/>
      <c r="AW780" s="308"/>
      <c r="AX780" s="307"/>
      <c r="AY780" s="307"/>
      <c r="AZ780" s="307"/>
      <c r="BA780" s="307"/>
      <c r="BB780" s="307"/>
      <c r="BC780" s="305"/>
      <c r="BD780" s="292"/>
      <c r="BE780" s="297"/>
      <c r="BF780" s="297"/>
      <c r="BG780" s="569"/>
      <c r="BH780" s="570"/>
      <c r="BI780" s="570"/>
      <c r="BJ780" s="570"/>
      <c r="BK780" s="570"/>
      <c r="BL780" s="570"/>
      <c r="BM780" s="570"/>
      <c r="BN780" s="570"/>
      <c r="BO780" s="570"/>
      <c r="BP780" s="570"/>
      <c r="BQ780" s="570"/>
      <c r="BR780" s="570"/>
      <c r="BS780" s="570"/>
      <c r="BT780" s="570"/>
      <c r="BU780" s="570"/>
      <c r="BV780" s="570"/>
      <c r="BW780" s="570"/>
      <c r="BX780" s="570"/>
      <c r="BY780" s="570"/>
      <c r="BZ780" s="571"/>
      <c r="CA780" s="571"/>
    </row>
    <row r="781" spans="2:79">
      <c r="B781" s="572">
        <v>766</v>
      </c>
      <c r="C781" s="308"/>
      <c r="D781" s="307"/>
      <c r="E781" s="307"/>
      <c r="F781" s="305"/>
      <c r="G781" s="305"/>
      <c r="H781" s="292"/>
      <c r="I781" s="574"/>
      <c r="J781" s="573"/>
      <c r="K781" s="307"/>
      <c r="L781" s="292"/>
      <c r="M781" s="308"/>
      <c r="N781" s="292"/>
      <c r="O781" s="308"/>
      <c r="P781" s="575"/>
      <c r="Q781" s="576"/>
      <c r="R781" s="308"/>
      <c r="S781" s="575"/>
      <c r="T781" s="576"/>
      <c r="U781" s="308"/>
      <c r="V781" s="575"/>
      <c r="W781" s="576"/>
      <c r="X781" s="308"/>
      <c r="Y781" s="575"/>
      <c r="Z781" s="576"/>
      <c r="AA781" s="308"/>
      <c r="AB781" s="575"/>
      <c r="AC781" s="576"/>
      <c r="AD781" s="308"/>
      <c r="AE781" s="575"/>
      <c r="AF781" s="308"/>
      <c r="AG781" s="575"/>
      <c r="AH781" s="308"/>
      <c r="AI781" s="575"/>
      <c r="AJ781" s="308"/>
      <c r="AK781" s="305"/>
      <c r="AL781" s="577"/>
      <c r="AM781" s="306"/>
      <c r="AN781" s="308"/>
      <c r="AO781" s="573"/>
      <c r="AP781" s="305"/>
      <c r="AQ781" s="308"/>
      <c r="AR781" s="573"/>
      <c r="AS781" s="578"/>
      <c r="AT781" s="577"/>
      <c r="AU781" s="579"/>
      <c r="AV781" s="578"/>
      <c r="AW781" s="308"/>
      <c r="AX781" s="307"/>
      <c r="AY781" s="307"/>
      <c r="AZ781" s="307"/>
      <c r="BA781" s="307"/>
      <c r="BB781" s="307"/>
      <c r="BC781" s="305"/>
      <c r="BD781" s="292"/>
      <c r="BE781" s="297"/>
      <c r="BF781" s="297"/>
      <c r="BG781" s="569"/>
      <c r="BH781" s="570"/>
      <c r="BI781" s="570"/>
      <c r="BJ781" s="570"/>
      <c r="BK781" s="570"/>
      <c r="BL781" s="570"/>
      <c r="BM781" s="570"/>
      <c r="BN781" s="570"/>
      <c r="BO781" s="570"/>
      <c r="BP781" s="570"/>
      <c r="BQ781" s="570"/>
      <c r="BR781" s="570"/>
      <c r="BS781" s="570"/>
      <c r="BT781" s="570"/>
      <c r="BU781" s="570"/>
      <c r="BV781" s="570"/>
      <c r="BW781" s="570"/>
      <c r="BX781" s="570"/>
      <c r="BY781" s="570"/>
      <c r="BZ781" s="571"/>
      <c r="CA781" s="571"/>
    </row>
    <row r="782" spans="2:79">
      <c r="B782" s="566">
        <v>767</v>
      </c>
      <c r="C782" s="308"/>
      <c r="D782" s="307"/>
      <c r="E782" s="307"/>
      <c r="F782" s="305"/>
      <c r="G782" s="305"/>
      <c r="H782" s="292"/>
      <c r="I782" s="574"/>
      <c r="J782" s="573"/>
      <c r="K782" s="307"/>
      <c r="L782" s="292"/>
      <c r="M782" s="308"/>
      <c r="N782" s="292"/>
      <c r="O782" s="308"/>
      <c r="P782" s="575"/>
      <c r="Q782" s="576"/>
      <c r="R782" s="308"/>
      <c r="S782" s="575"/>
      <c r="T782" s="576"/>
      <c r="U782" s="308"/>
      <c r="V782" s="575"/>
      <c r="W782" s="576"/>
      <c r="X782" s="308"/>
      <c r="Y782" s="575"/>
      <c r="Z782" s="576"/>
      <c r="AA782" s="308"/>
      <c r="AB782" s="575"/>
      <c r="AC782" s="576"/>
      <c r="AD782" s="308"/>
      <c r="AE782" s="575"/>
      <c r="AF782" s="308"/>
      <c r="AG782" s="575"/>
      <c r="AH782" s="308"/>
      <c r="AI782" s="575"/>
      <c r="AJ782" s="308"/>
      <c r="AK782" s="305"/>
      <c r="AL782" s="577"/>
      <c r="AM782" s="306"/>
      <c r="AN782" s="308"/>
      <c r="AO782" s="573"/>
      <c r="AP782" s="305"/>
      <c r="AQ782" s="308"/>
      <c r="AR782" s="573"/>
      <c r="AS782" s="578"/>
      <c r="AT782" s="577"/>
      <c r="AU782" s="579"/>
      <c r="AV782" s="578"/>
      <c r="AW782" s="308"/>
      <c r="AX782" s="307"/>
      <c r="AY782" s="307"/>
      <c r="AZ782" s="307"/>
      <c r="BA782" s="307"/>
      <c r="BB782" s="307"/>
      <c r="BC782" s="305"/>
      <c r="BD782" s="292"/>
      <c r="BE782" s="297"/>
      <c r="BF782" s="297"/>
      <c r="BG782" s="569"/>
      <c r="BH782" s="570"/>
      <c r="BI782" s="570"/>
      <c r="BJ782" s="570"/>
      <c r="BK782" s="570"/>
      <c r="BL782" s="570"/>
      <c r="BM782" s="570"/>
      <c r="BN782" s="570"/>
      <c r="BO782" s="570"/>
      <c r="BP782" s="570"/>
      <c r="BQ782" s="570"/>
      <c r="BR782" s="570"/>
      <c r="BS782" s="570"/>
      <c r="BT782" s="570"/>
      <c r="BU782" s="570"/>
      <c r="BV782" s="570"/>
      <c r="BW782" s="570"/>
      <c r="BX782" s="570"/>
      <c r="BY782" s="570"/>
      <c r="BZ782" s="571"/>
      <c r="CA782" s="571"/>
    </row>
    <row r="783" spans="2:79">
      <c r="B783" s="572">
        <v>768</v>
      </c>
      <c r="C783" s="308"/>
      <c r="D783" s="307"/>
      <c r="E783" s="307"/>
      <c r="F783" s="305"/>
      <c r="G783" s="305"/>
      <c r="H783" s="292"/>
      <c r="I783" s="574"/>
      <c r="J783" s="573"/>
      <c r="K783" s="307"/>
      <c r="L783" s="292"/>
      <c r="M783" s="308"/>
      <c r="N783" s="292"/>
      <c r="O783" s="308"/>
      <c r="P783" s="575"/>
      <c r="Q783" s="576"/>
      <c r="R783" s="308"/>
      <c r="S783" s="575"/>
      <c r="T783" s="576"/>
      <c r="U783" s="308"/>
      <c r="V783" s="575"/>
      <c r="W783" s="576"/>
      <c r="X783" s="308"/>
      <c r="Y783" s="575"/>
      <c r="Z783" s="576"/>
      <c r="AA783" s="308"/>
      <c r="AB783" s="575"/>
      <c r="AC783" s="576"/>
      <c r="AD783" s="308"/>
      <c r="AE783" s="575"/>
      <c r="AF783" s="308"/>
      <c r="AG783" s="575"/>
      <c r="AH783" s="308"/>
      <c r="AI783" s="575"/>
      <c r="AJ783" s="308"/>
      <c r="AK783" s="305"/>
      <c r="AL783" s="577"/>
      <c r="AM783" s="306"/>
      <c r="AN783" s="308"/>
      <c r="AO783" s="573"/>
      <c r="AP783" s="305"/>
      <c r="AQ783" s="308"/>
      <c r="AR783" s="573"/>
      <c r="AS783" s="578"/>
      <c r="AT783" s="577"/>
      <c r="AU783" s="579"/>
      <c r="AV783" s="578"/>
      <c r="AW783" s="308"/>
      <c r="AX783" s="307"/>
      <c r="AY783" s="307"/>
      <c r="AZ783" s="307"/>
      <c r="BA783" s="307"/>
      <c r="BB783" s="307"/>
      <c r="BC783" s="305"/>
      <c r="BD783" s="292"/>
      <c r="BE783" s="297"/>
      <c r="BF783" s="297"/>
      <c r="BG783" s="569"/>
      <c r="BH783" s="570"/>
      <c r="BI783" s="570"/>
      <c r="BJ783" s="570"/>
      <c r="BK783" s="570"/>
      <c r="BL783" s="570"/>
      <c r="BM783" s="570"/>
      <c r="BN783" s="570"/>
      <c r="BO783" s="570"/>
      <c r="BP783" s="570"/>
      <c r="BQ783" s="570"/>
      <c r="BR783" s="570"/>
      <c r="BS783" s="570"/>
      <c r="BT783" s="570"/>
      <c r="BU783" s="570"/>
      <c r="BV783" s="570"/>
      <c r="BW783" s="570"/>
      <c r="BX783" s="570"/>
      <c r="BY783" s="570"/>
      <c r="BZ783" s="571"/>
      <c r="CA783" s="571"/>
    </row>
    <row r="784" spans="2:79">
      <c r="B784" s="566">
        <v>769</v>
      </c>
      <c r="C784" s="308"/>
      <c r="D784" s="307"/>
      <c r="E784" s="307"/>
      <c r="F784" s="305"/>
      <c r="G784" s="305"/>
      <c r="H784" s="292"/>
      <c r="I784" s="574"/>
      <c r="J784" s="573"/>
      <c r="K784" s="307"/>
      <c r="L784" s="292"/>
      <c r="M784" s="308"/>
      <c r="N784" s="292"/>
      <c r="O784" s="308"/>
      <c r="P784" s="575"/>
      <c r="Q784" s="576"/>
      <c r="R784" s="308"/>
      <c r="S784" s="575"/>
      <c r="T784" s="576"/>
      <c r="U784" s="308"/>
      <c r="V784" s="575"/>
      <c r="W784" s="576"/>
      <c r="X784" s="308"/>
      <c r="Y784" s="575"/>
      <c r="Z784" s="576"/>
      <c r="AA784" s="308"/>
      <c r="AB784" s="575"/>
      <c r="AC784" s="576"/>
      <c r="AD784" s="308"/>
      <c r="AE784" s="575"/>
      <c r="AF784" s="308"/>
      <c r="AG784" s="575"/>
      <c r="AH784" s="308"/>
      <c r="AI784" s="575"/>
      <c r="AJ784" s="308"/>
      <c r="AK784" s="305"/>
      <c r="AL784" s="577"/>
      <c r="AM784" s="306"/>
      <c r="AN784" s="308"/>
      <c r="AO784" s="573"/>
      <c r="AP784" s="305"/>
      <c r="AQ784" s="308"/>
      <c r="AR784" s="573"/>
      <c r="AS784" s="578"/>
      <c r="AT784" s="577"/>
      <c r="AU784" s="579"/>
      <c r="AV784" s="578"/>
      <c r="AW784" s="308"/>
      <c r="AX784" s="307"/>
      <c r="AY784" s="307"/>
      <c r="AZ784" s="307"/>
      <c r="BA784" s="307"/>
      <c r="BB784" s="307"/>
      <c r="BC784" s="305"/>
      <c r="BD784" s="292"/>
      <c r="BE784" s="297"/>
      <c r="BF784" s="297"/>
      <c r="BG784" s="569"/>
      <c r="BH784" s="570"/>
      <c r="BI784" s="570"/>
      <c r="BJ784" s="570"/>
      <c r="BK784" s="570"/>
      <c r="BL784" s="570"/>
      <c r="BM784" s="570"/>
      <c r="BN784" s="570"/>
      <c r="BO784" s="570"/>
      <c r="BP784" s="570"/>
      <c r="BQ784" s="570"/>
      <c r="BR784" s="570"/>
      <c r="BS784" s="570"/>
      <c r="BT784" s="570"/>
      <c r="BU784" s="570"/>
      <c r="BV784" s="570"/>
      <c r="BW784" s="570"/>
      <c r="BX784" s="570"/>
      <c r="BY784" s="570"/>
      <c r="BZ784" s="571"/>
      <c r="CA784" s="571"/>
    </row>
    <row r="785" spans="2:79">
      <c r="B785" s="572">
        <v>770</v>
      </c>
      <c r="C785" s="308"/>
      <c r="D785" s="307"/>
      <c r="E785" s="307"/>
      <c r="F785" s="305"/>
      <c r="G785" s="305"/>
      <c r="H785" s="292"/>
      <c r="I785" s="574"/>
      <c r="J785" s="573"/>
      <c r="K785" s="307"/>
      <c r="L785" s="292"/>
      <c r="M785" s="308"/>
      <c r="N785" s="292"/>
      <c r="O785" s="308"/>
      <c r="P785" s="575"/>
      <c r="Q785" s="576"/>
      <c r="R785" s="308"/>
      <c r="S785" s="575"/>
      <c r="T785" s="576"/>
      <c r="U785" s="308"/>
      <c r="V785" s="575"/>
      <c r="W785" s="576"/>
      <c r="X785" s="308"/>
      <c r="Y785" s="575"/>
      <c r="Z785" s="576"/>
      <c r="AA785" s="308"/>
      <c r="AB785" s="575"/>
      <c r="AC785" s="576"/>
      <c r="AD785" s="308"/>
      <c r="AE785" s="575"/>
      <c r="AF785" s="308"/>
      <c r="AG785" s="575"/>
      <c r="AH785" s="308"/>
      <c r="AI785" s="575"/>
      <c r="AJ785" s="308"/>
      <c r="AK785" s="305"/>
      <c r="AL785" s="577"/>
      <c r="AM785" s="306"/>
      <c r="AN785" s="308"/>
      <c r="AO785" s="573"/>
      <c r="AP785" s="305"/>
      <c r="AQ785" s="308"/>
      <c r="AR785" s="573"/>
      <c r="AS785" s="578"/>
      <c r="AT785" s="577"/>
      <c r="AU785" s="579"/>
      <c r="AV785" s="578"/>
      <c r="AW785" s="308"/>
      <c r="AX785" s="307"/>
      <c r="AY785" s="307"/>
      <c r="AZ785" s="307"/>
      <c r="BA785" s="307"/>
      <c r="BB785" s="307"/>
      <c r="BC785" s="305"/>
      <c r="BD785" s="292"/>
      <c r="BE785" s="297"/>
      <c r="BF785" s="297"/>
      <c r="BG785" s="569"/>
      <c r="BH785" s="570"/>
      <c r="BI785" s="570"/>
      <c r="BJ785" s="570"/>
      <c r="BK785" s="570"/>
      <c r="BL785" s="570"/>
      <c r="BM785" s="570"/>
      <c r="BN785" s="570"/>
      <c r="BO785" s="570"/>
      <c r="BP785" s="570"/>
      <c r="BQ785" s="570"/>
      <c r="BR785" s="570"/>
      <c r="BS785" s="570"/>
      <c r="BT785" s="570"/>
      <c r="BU785" s="570"/>
      <c r="BV785" s="570"/>
      <c r="BW785" s="570"/>
      <c r="BX785" s="570"/>
      <c r="BY785" s="570"/>
      <c r="BZ785" s="571"/>
      <c r="CA785" s="571"/>
    </row>
    <row r="786" spans="2:79">
      <c r="B786" s="566">
        <v>771</v>
      </c>
      <c r="C786" s="308"/>
      <c r="D786" s="307"/>
      <c r="E786" s="307"/>
      <c r="F786" s="305"/>
      <c r="G786" s="305"/>
      <c r="H786" s="292"/>
      <c r="I786" s="574"/>
      <c r="J786" s="573"/>
      <c r="K786" s="307"/>
      <c r="L786" s="292"/>
      <c r="M786" s="308"/>
      <c r="N786" s="292"/>
      <c r="O786" s="308"/>
      <c r="P786" s="575"/>
      <c r="Q786" s="576"/>
      <c r="R786" s="308"/>
      <c r="S786" s="575"/>
      <c r="T786" s="576"/>
      <c r="U786" s="308"/>
      <c r="V786" s="575"/>
      <c r="W786" s="576"/>
      <c r="X786" s="308"/>
      <c r="Y786" s="575"/>
      <c r="Z786" s="576"/>
      <c r="AA786" s="308"/>
      <c r="AB786" s="575"/>
      <c r="AC786" s="576"/>
      <c r="AD786" s="308"/>
      <c r="AE786" s="575"/>
      <c r="AF786" s="308"/>
      <c r="AG786" s="575"/>
      <c r="AH786" s="308"/>
      <c r="AI786" s="575"/>
      <c r="AJ786" s="308"/>
      <c r="AK786" s="305"/>
      <c r="AL786" s="577"/>
      <c r="AM786" s="306"/>
      <c r="AN786" s="308"/>
      <c r="AO786" s="573"/>
      <c r="AP786" s="305"/>
      <c r="AQ786" s="308"/>
      <c r="AR786" s="573"/>
      <c r="AS786" s="578"/>
      <c r="AT786" s="577"/>
      <c r="AU786" s="579"/>
      <c r="AV786" s="578"/>
      <c r="AW786" s="308"/>
      <c r="AX786" s="307"/>
      <c r="AY786" s="307"/>
      <c r="AZ786" s="307"/>
      <c r="BA786" s="307"/>
      <c r="BB786" s="307"/>
      <c r="BC786" s="305"/>
      <c r="BD786" s="292"/>
      <c r="BE786" s="297"/>
      <c r="BF786" s="297"/>
      <c r="BG786" s="569"/>
      <c r="BH786" s="570"/>
      <c r="BI786" s="570"/>
      <c r="BJ786" s="570"/>
      <c r="BK786" s="570"/>
      <c r="BL786" s="570"/>
      <c r="BM786" s="570"/>
      <c r="BN786" s="570"/>
      <c r="BO786" s="570"/>
      <c r="BP786" s="570"/>
      <c r="BQ786" s="570"/>
      <c r="BR786" s="570"/>
      <c r="BS786" s="570"/>
      <c r="BT786" s="570"/>
      <c r="BU786" s="570"/>
      <c r="BV786" s="570"/>
      <c r="BW786" s="570"/>
      <c r="BX786" s="570"/>
      <c r="BY786" s="570"/>
      <c r="BZ786" s="571"/>
      <c r="CA786" s="571"/>
    </row>
    <row r="787" spans="2:79">
      <c r="B787" s="572">
        <v>772</v>
      </c>
      <c r="C787" s="308"/>
      <c r="D787" s="307"/>
      <c r="E787" s="307"/>
      <c r="F787" s="305"/>
      <c r="G787" s="305"/>
      <c r="H787" s="292"/>
      <c r="I787" s="574"/>
      <c r="J787" s="573"/>
      <c r="K787" s="307"/>
      <c r="L787" s="292"/>
      <c r="M787" s="308"/>
      <c r="N787" s="292"/>
      <c r="O787" s="308"/>
      <c r="P787" s="575"/>
      <c r="Q787" s="576"/>
      <c r="R787" s="308"/>
      <c r="S787" s="575"/>
      <c r="T787" s="576"/>
      <c r="U787" s="308"/>
      <c r="V787" s="575"/>
      <c r="W787" s="576"/>
      <c r="X787" s="308"/>
      <c r="Y787" s="575"/>
      <c r="Z787" s="576"/>
      <c r="AA787" s="308"/>
      <c r="AB787" s="575"/>
      <c r="AC787" s="576"/>
      <c r="AD787" s="308"/>
      <c r="AE787" s="575"/>
      <c r="AF787" s="308"/>
      <c r="AG787" s="575"/>
      <c r="AH787" s="308"/>
      <c r="AI787" s="575"/>
      <c r="AJ787" s="308"/>
      <c r="AK787" s="305"/>
      <c r="AL787" s="577"/>
      <c r="AM787" s="306"/>
      <c r="AN787" s="308"/>
      <c r="AO787" s="573"/>
      <c r="AP787" s="305"/>
      <c r="AQ787" s="308"/>
      <c r="AR787" s="573"/>
      <c r="AS787" s="578"/>
      <c r="AT787" s="577"/>
      <c r="AU787" s="579"/>
      <c r="AV787" s="578"/>
      <c r="AW787" s="308"/>
      <c r="AX787" s="307"/>
      <c r="AY787" s="307"/>
      <c r="AZ787" s="307"/>
      <c r="BA787" s="307"/>
      <c r="BB787" s="307"/>
      <c r="BC787" s="305"/>
      <c r="BD787" s="292"/>
      <c r="BE787" s="297"/>
      <c r="BF787" s="297"/>
      <c r="BG787" s="569"/>
      <c r="BH787" s="570"/>
      <c r="BI787" s="570"/>
      <c r="BJ787" s="570"/>
      <c r="BK787" s="570"/>
      <c r="BL787" s="570"/>
      <c r="BM787" s="570"/>
      <c r="BN787" s="570"/>
      <c r="BO787" s="570"/>
      <c r="BP787" s="570"/>
      <c r="BQ787" s="570"/>
      <c r="BR787" s="570"/>
      <c r="BS787" s="570"/>
      <c r="BT787" s="570"/>
      <c r="BU787" s="570"/>
      <c r="BV787" s="570"/>
      <c r="BW787" s="570"/>
      <c r="BX787" s="570"/>
      <c r="BY787" s="570"/>
      <c r="BZ787" s="571"/>
      <c r="CA787" s="571"/>
    </row>
    <row r="788" spans="2:79">
      <c r="B788" s="566">
        <v>773</v>
      </c>
      <c r="C788" s="308"/>
      <c r="D788" s="307"/>
      <c r="E788" s="307"/>
      <c r="F788" s="305"/>
      <c r="G788" s="305"/>
      <c r="H788" s="292"/>
      <c r="I788" s="574"/>
      <c r="J788" s="573"/>
      <c r="K788" s="307"/>
      <c r="L788" s="292"/>
      <c r="M788" s="308"/>
      <c r="N788" s="292"/>
      <c r="O788" s="308"/>
      <c r="P788" s="575"/>
      <c r="Q788" s="576"/>
      <c r="R788" s="308"/>
      <c r="S788" s="575"/>
      <c r="T788" s="576"/>
      <c r="U788" s="308"/>
      <c r="V788" s="575"/>
      <c r="W788" s="576"/>
      <c r="X788" s="308"/>
      <c r="Y788" s="575"/>
      <c r="Z788" s="576"/>
      <c r="AA788" s="308"/>
      <c r="AB788" s="575"/>
      <c r="AC788" s="576"/>
      <c r="AD788" s="308"/>
      <c r="AE788" s="575"/>
      <c r="AF788" s="308"/>
      <c r="AG788" s="575"/>
      <c r="AH788" s="308"/>
      <c r="AI788" s="575"/>
      <c r="AJ788" s="308"/>
      <c r="AK788" s="305"/>
      <c r="AL788" s="577"/>
      <c r="AM788" s="306"/>
      <c r="AN788" s="308"/>
      <c r="AO788" s="573"/>
      <c r="AP788" s="305"/>
      <c r="AQ788" s="308"/>
      <c r="AR788" s="573"/>
      <c r="AS788" s="578"/>
      <c r="AT788" s="577"/>
      <c r="AU788" s="579"/>
      <c r="AV788" s="578"/>
      <c r="AW788" s="308"/>
      <c r="AX788" s="307"/>
      <c r="AY788" s="307"/>
      <c r="AZ788" s="307"/>
      <c r="BA788" s="307"/>
      <c r="BB788" s="307"/>
      <c r="BC788" s="305"/>
      <c r="BD788" s="292"/>
      <c r="BE788" s="297"/>
      <c r="BF788" s="297"/>
      <c r="BG788" s="569"/>
      <c r="BH788" s="570"/>
      <c r="BI788" s="570"/>
      <c r="BJ788" s="570"/>
      <c r="BK788" s="570"/>
      <c r="BL788" s="570"/>
      <c r="BM788" s="570"/>
      <c r="BN788" s="570"/>
      <c r="BO788" s="570"/>
      <c r="BP788" s="570"/>
      <c r="BQ788" s="570"/>
      <c r="BR788" s="570"/>
      <c r="BS788" s="570"/>
      <c r="BT788" s="570"/>
      <c r="BU788" s="570"/>
      <c r="BV788" s="570"/>
      <c r="BW788" s="570"/>
      <c r="BX788" s="570"/>
      <c r="BY788" s="570"/>
      <c r="BZ788" s="571"/>
      <c r="CA788" s="571"/>
    </row>
    <row r="789" spans="2:79">
      <c r="B789" s="572">
        <v>774</v>
      </c>
      <c r="C789" s="308"/>
      <c r="D789" s="307"/>
      <c r="E789" s="307"/>
      <c r="F789" s="305"/>
      <c r="G789" s="305"/>
      <c r="H789" s="292"/>
      <c r="I789" s="574"/>
      <c r="J789" s="573"/>
      <c r="K789" s="307"/>
      <c r="L789" s="292"/>
      <c r="M789" s="308"/>
      <c r="N789" s="292"/>
      <c r="O789" s="308"/>
      <c r="P789" s="575"/>
      <c r="Q789" s="576"/>
      <c r="R789" s="308"/>
      <c r="S789" s="575"/>
      <c r="T789" s="576"/>
      <c r="U789" s="308"/>
      <c r="V789" s="575"/>
      <c r="W789" s="576"/>
      <c r="X789" s="308"/>
      <c r="Y789" s="575"/>
      <c r="Z789" s="576"/>
      <c r="AA789" s="308"/>
      <c r="AB789" s="575"/>
      <c r="AC789" s="576"/>
      <c r="AD789" s="308"/>
      <c r="AE789" s="575"/>
      <c r="AF789" s="308"/>
      <c r="AG789" s="575"/>
      <c r="AH789" s="308"/>
      <c r="AI789" s="575"/>
      <c r="AJ789" s="308"/>
      <c r="AK789" s="305"/>
      <c r="AL789" s="577"/>
      <c r="AM789" s="306"/>
      <c r="AN789" s="308"/>
      <c r="AO789" s="573"/>
      <c r="AP789" s="305"/>
      <c r="AQ789" s="308"/>
      <c r="AR789" s="573"/>
      <c r="AS789" s="578"/>
      <c r="AT789" s="577"/>
      <c r="AU789" s="579"/>
      <c r="AV789" s="578"/>
      <c r="AW789" s="308"/>
      <c r="AX789" s="307"/>
      <c r="AY789" s="307"/>
      <c r="AZ789" s="307"/>
      <c r="BA789" s="307"/>
      <c r="BB789" s="307"/>
      <c r="BC789" s="305"/>
      <c r="BD789" s="292"/>
      <c r="BE789" s="297"/>
      <c r="BF789" s="297"/>
      <c r="BG789" s="569"/>
      <c r="BH789" s="570"/>
      <c r="BI789" s="570"/>
      <c r="BJ789" s="570"/>
      <c r="BK789" s="570"/>
      <c r="BL789" s="570"/>
      <c r="BM789" s="570"/>
      <c r="BN789" s="570"/>
      <c r="BO789" s="570"/>
      <c r="BP789" s="570"/>
      <c r="BQ789" s="570"/>
      <c r="BR789" s="570"/>
      <c r="BS789" s="570"/>
      <c r="BT789" s="570"/>
      <c r="BU789" s="570"/>
      <c r="BV789" s="570"/>
      <c r="BW789" s="570"/>
      <c r="BX789" s="570"/>
      <c r="BY789" s="570"/>
      <c r="BZ789" s="571"/>
      <c r="CA789" s="571"/>
    </row>
    <row r="790" spans="2:79">
      <c r="B790" s="566">
        <v>775</v>
      </c>
      <c r="C790" s="308"/>
      <c r="D790" s="307"/>
      <c r="E790" s="307"/>
      <c r="F790" s="305"/>
      <c r="G790" s="305"/>
      <c r="H790" s="292"/>
      <c r="I790" s="574"/>
      <c r="J790" s="573"/>
      <c r="K790" s="307"/>
      <c r="L790" s="292"/>
      <c r="M790" s="308"/>
      <c r="N790" s="292"/>
      <c r="O790" s="308"/>
      <c r="P790" s="575"/>
      <c r="Q790" s="576"/>
      <c r="R790" s="308"/>
      <c r="S790" s="575"/>
      <c r="T790" s="576"/>
      <c r="U790" s="308"/>
      <c r="V790" s="575"/>
      <c r="W790" s="576"/>
      <c r="X790" s="308"/>
      <c r="Y790" s="575"/>
      <c r="Z790" s="576"/>
      <c r="AA790" s="308"/>
      <c r="AB790" s="575"/>
      <c r="AC790" s="576"/>
      <c r="AD790" s="308"/>
      <c r="AE790" s="575"/>
      <c r="AF790" s="308"/>
      <c r="AG790" s="575"/>
      <c r="AH790" s="308"/>
      <c r="AI790" s="575"/>
      <c r="AJ790" s="308"/>
      <c r="AK790" s="305"/>
      <c r="AL790" s="577"/>
      <c r="AM790" s="306"/>
      <c r="AN790" s="308"/>
      <c r="AO790" s="573"/>
      <c r="AP790" s="305"/>
      <c r="AQ790" s="308"/>
      <c r="AR790" s="573"/>
      <c r="AS790" s="578"/>
      <c r="AT790" s="577"/>
      <c r="AU790" s="579"/>
      <c r="AV790" s="578"/>
      <c r="AW790" s="308"/>
      <c r="AX790" s="307"/>
      <c r="AY790" s="307"/>
      <c r="AZ790" s="307"/>
      <c r="BA790" s="307"/>
      <c r="BB790" s="307"/>
      <c r="BC790" s="305"/>
      <c r="BD790" s="292"/>
      <c r="BE790" s="297"/>
      <c r="BF790" s="297"/>
      <c r="BG790" s="569"/>
      <c r="BH790" s="570"/>
      <c r="BI790" s="570"/>
      <c r="BJ790" s="570"/>
      <c r="BK790" s="570"/>
      <c r="BL790" s="570"/>
      <c r="BM790" s="570"/>
      <c r="BN790" s="570"/>
      <c r="BO790" s="570"/>
      <c r="BP790" s="570"/>
      <c r="BQ790" s="570"/>
      <c r="BR790" s="570"/>
      <c r="BS790" s="570"/>
      <c r="BT790" s="570"/>
      <c r="BU790" s="570"/>
      <c r="BV790" s="570"/>
      <c r="BW790" s="570"/>
      <c r="BX790" s="570"/>
      <c r="BY790" s="570"/>
      <c r="BZ790" s="571"/>
      <c r="CA790" s="571"/>
    </row>
    <row r="791" spans="2:79">
      <c r="B791" s="572">
        <v>776</v>
      </c>
      <c r="C791" s="308"/>
      <c r="D791" s="307"/>
      <c r="E791" s="307"/>
      <c r="F791" s="305"/>
      <c r="G791" s="305"/>
      <c r="H791" s="292"/>
      <c r="I791" s="574"/>
      <c r="J791" s="573"/>
      <c r="K791" s="307"/>
      <c r="L791" s="292"/>
      <c r="M791" s="308"/>
      <c r="N791" s="292"/>
      <c r="O791" s="308"/>
      <c r="P791" s="575"/>
      <c r="Q791" s="576"/>
      <c r="R791" s="308"/>
      <c r="S791" s="575"/>
      <c r="T791" s="576"/>
      <c r="U791" s="308"/>
      <c r="V791" s="575"/>
      <c r="W791" s="576"/>
      <c r="X791" s="308"/>
      <c r="Y791" s="575"/>
      <c r="Z791" s="576"/>
      <c r="AA791" s="308"/>
      <c r="AB791" s="575"/>
      <c r="AC791" s="576"/>
      <c r="AD791" s="308"/>
      <c r="AE791" s="575"/>
      <c r="AF791" s="308"/>
      <c r="AG791" s="575"/>
      <c r="AH791" s="308"/>
      <c r="AI791" s="575"/>
      <c r="AJ791" s="308"/>
      <c r="AK791" s="305"/>
      <c r="AL791" s="577"/>
      <c r="AM791" s="306"/>
      <c r="AN791" s="308"/>
      <c r="AO791" s="573"/>
      <c r="AP791" s="305"/>
      <c r="AQ791" s="308"/>
      <c r="AR791" s="573"/>
      <c r="AS791" s="578"/>
      <c r="AT791" s="577"/>
      <c r="AU791" s="579"/>
      <c r="AV791" s="578"/>
      <c r="AW791" s="308"/>
      <c r="AX791" s="307"/>
      <c r="AY791" s="307"/>
      <c r="AZ791" s="307"/>
      <c r="BA791" s="307"/>
      <c r="BB791" s="307"/>
      <c r="BC791" s="305"/>
      <c r="BD791" s="292"/>
      <c r="BE791" s="297"/>
      <c r="BF791" s="297"/>
      <c r="BG791" s="569"/>
      <c r="BH791" s="570"/>
      <c r="BI791" s="570"/>
      <c r="BJ791" s="570"/>
      <c r="BK791" s="570"/>
      <c r="BL791" s="570"/>
      <c r="BM791" s="570"/>
      <c r="BN791" s="570"/>
      <c r="BO791" s="570"/>
      <c r="BP791" s="570"/>
      <c r="BQ791" s="570"/>
      <c r="BR791" s="570"/>
      <c r="BS791" s="570"/>
      <c r="BT791" s="570"/>
      <c r="BU791" s="570"/>
      <c r="BV791" s="570"/>
      <c r="BW791" s="570"/>
      <c r="BX791" s="570"/>
      <c r="BY791" s="570"/>
      <c r="BZ791" s="571"/>
      <c r="CA791" s="571"/>
    </row>
    <row r="792" spans="2:79">
      <c r="B792" s="566">
        <v>777</v>
      </c>
      <c r="C792" s="308"/>
      <c r="D792" s="307"/>
      <c r="E792" s="307"/>
      <c r="F792" s="305"/>
      <c r="G792" s="305"/>
      <c r="H792" s="292"/>
      <c r="I792" s="574"/>
      <c r="J792" s="573"/>
      <c r="K792" s="307"/>
      <c r="L792" s="292"/>
      <c r="M792" s="308"/>
      <c r="N792" s="292"/>
      <c r="O792" s="308"/>
      <c r="P792" s="575"/>
      <c r="Q792" s="576"/>
      <c r="R792" s="308"/>
      <c r="S792" s="575"/>
      <c r="T792" s="576"/>
      <c r="U792" s="308"/>
      <c r="V792" s="575"/>
      <c r="W792" s="576"/>
      <c r="X792" s="308"/>
      <c r="Y792" s="575"/>
      <c r="Z792" s="576"/>
      <c r="AA792" s="308"/>
      <c r="AB792" s="575"/>
      <c r="AC792" s="576"/>
      <c r="AD792" s="308"/>
      <c r="AE792" s="575"/>
      <c r="AF792" s="308"/>
      <c r="AG792" s="575"/>
      <c r="AH792" s="308"/>
      <c r="AI792" s="575"/>
      <c r="AJ792" s="308"/>
      <c r="AK792" s="305"/>
      <c r="AL792" s="577"/>
      <c r="AM792" s="306"/>
      <c r="AN792" s="308"/>
      <c r="AO792" s="573"/>
      <c r="AP792" s="305"/>
      <c r="AQ792" s="308"/>
      <c r="AR792" s="573"/>
      <c r="AS792" s="578"/>
      <c r="AT792" s="577"/>
      <c r="AU792" s="579"/>
      <c r="AV792" s="578"/>
      <c r="AW792" s="308"/>
      <c r="AX792" s="307"/>
      <c r="AY792" s="307"/>
      <c r="AZ792" s="307"/>
      <c r="BA792" s="307"/>
      <c r="BB792" s="307"/>
      <c r="BC792" s="305"/>
      <c r="BD792" s="292"/>
      <c r="BE792" s="297"/>
      <c r="BF792" s="297"/>
      <c r="BG792" s="569"/>
      <c r="BH792" s="570"/>
      <c r="BI792" s="570"/>
      <c r="BJ792" s="570"/>
      <c r="BK792" s="570"/>
      <c r="BL792" s="570"/>
      <c r="BM792" s="570"/>
      <c r="BN792" s="570"/>
      <c r="BO792" s="570"/>
      <c r="BP792" s="570"/>
      <c r="BQ792" s="570"/>
      <c r="BR792" s="570"/>
      <c r="BS792" s="570"/>
      <c r="BT792" s="570"/>
      <c r="BU792" s="570"/>
      <c r="BV792" s="570"/>
      <c r="BW792" s="570"/>
      <c r="BX792" s="570"/>
      <c r="BY792" s="570"/>
      <c r="BZ792" s="571"/>
      <c r="CA792" s="571"/>
    </row>
    <row r="793" spans="2:79">
      <c r="B793" s="572">
        <v>778</v>
      </c>
      <c r="C793" s="308"/>
      <c r="D793" s="307"/>
      <c r="E793" s="307"/>
      <c r="F793" s="305"/>
      <c r="G793" s="305"/>
      <c r="H793" s="292"/>
      <c r="I793" s="574"/>
      <c r="J793" s="573"/>
      <c r="K793" s="307"/>
      <c r="L793" s="292"/>
      <c r="M793" s="308"/>
      <c r="N793" s="292"/>
      <c r="O793" s="308"/>
      <c r="P793" s="575"/>
      <c r="Q793" s="576"/>
      <c r="R793" s="308"/>
      <c r="S793" s="575"/>
      <c r="T793" s="576"/>
      <c r="U793" s="308"/>
      <c r="V793" s="575"/>
      <c r="W793" s="576"/>
      <c r="X793" s="308"/>
      <c r="Y793" s="575"/>
      <c r="Z793" s="576"/>
      <c r="AA793" s="308"/>
      <c r="AB793" s="575"/>
      <c r="AC793" s="576"/>
      <c r="AD793" s="308"/>
      <c r="AE793" s="575"/>
      <c r="AF793" s="308"/>
      <c r="AG793" s="575"/>
      <c r="AH793" s="308"/>
      <c r="AI793" s="575"/>
      <c r="AJ793" s="308"/>
      <c r="AK793" s="305"/>
      <c r="AL793" s="577"/>
      <c r="AM793" s="306"/>
      <c r="AN793" s="308"/>
      <c r="AO793" s="573"/>
      <c r="AP793" s="305"/>
      <c r="AQ793" s="308"/>
      <c r="AR793" s="573"/>
      <c r="AS793" s="578"/>
      <c r="AT793" s="577"/>
      <c r="AU793" s="579"/>
      <c r="AV793" s="578"/>
      <c r="AW793" s="308"/>
      <c r="AX793" s="307"/>
      <c r="AY793" s="307"/>
      <c r="AZ793" s="307"/>
      <c r="BA793" s="307"/>
      <c r="BB793" s="307"/>
      <c r="BC793" s="305"/>
      <c r="BD793" s="292"/>
      <c r="BE793" s="297"/>
      <c r="BF793" s="297"/>
      <c r="BG793" s="569"/>
      <c r="BH793" s="570"/>
      <c r="BI793" s="570"/>
      <c r="BJ793" s="570"/>
      <c r="BK793" s="570"/>
      <c r="BL793" s="570"/>
      <c r="BM793" s="570"/>
      <c r="BN793" s="570"/>
      <c r="BO793" s="570"/>
      <c r="BP793" s="570"/>
      <c r="BQ793" s="570"/>
      <c r="BR793" s="570"/>
      <c r="BS793" s="570"/>
      <c r="BT793" s="570"/>
      <c r="BU793" s="570"/>
      <c r="BV793" s="570"/>
      <c r="BW793" s="570"/>
      <c r="BX793" s="570"/>
      <c r="BY793" s="570"/>
      <c r="BZ793" s="571"/>
      <c r="CA793" s="571"/>
    </row>
    <row r="794" spans="2:79">
      <c r="B794" s="566">
        <v>779</v>
      </c>
      <c r="C794" s="308"/>
      <c r="D794" s="307"/>
      <c r="E794" s="307"/>
      <c r="F794" s="305"/>
      <c r="G794" s="305"/>
      <c r="H794" s="292"/>
      <c r="I794" s="574"/>
      <c r="J794" s="573"/>
      <c r="K794" s="307"/>
      <c r="L794" s="292"/>
      <c r="M794" s="308"/>
      <c r="N794" s="292"/>
      <c r="O794" s="308"/>
      <c r="P794" s="575"/>
      <c r="Q794" s="576"/>
      <c r="R794" s="308"/>
      <c r="S794" s="575"/>
      <c r="T794" s="576"/>
      <c r="U794" s="308"/>
      <c r="V794" s="575"/>
      <c r="W794" s="576"/>
      <c r="X794" s="308"/>
      <c r="Y794" s="575"/>
      <c r="Z794" s="576"/>
      <c r="AA794" s="308"/>
      <c r="AB794" s="575"/>
      <c r="AC794" s="576"/>
      <c r="AD794" s="308"/>
      <c r="AE794" s="575"/>
      <c r="AF794" s="308"/>
      <c r="AG794" s="575"/>
      <c r="AH794" s="308"/>
      <c r="AI794" s="575"/>
      <c r="AJ794" s="308"/>
      <c r="AK794" s="305"/>
      <c r="AL794" s="577"/>
      <c r="AM794" s="306"/>
      <c r="AN794" s="308"/>
      <c r="AO794" s="573"/>
      <c r="AP794" s="305"/>
      <c r="AQ794" s="308"/>
      <c r="AR794" s="573"/>
      <c r="AS794" s="578"/>
      <c r="AT794" s="577"/>
      <c r="AU794" s="579"/>
      <c r="AV794" s="578"/>
      <c r="AW794" s="308"/>
      <c r="AX794" s="307"/>
      <c r="AY794" s="307"/>
      <c r="AZ794" s="307"/>
      <c r="BA794" s="307"/>
      <c r="BB794" s="307"/>
      <c r="BC794" s="305"/>
      <c r="BD794" s="292"/>
      <c r="BE794" s="297"/>
      <c r="BF794" s="297"/>
      <c r="BG794" s="569"/>
      <c r="BH794" s="570"/>
      <c r="BI794" s="570"/>
      <c r="BJ794" s="570"/>
      <c r="BK794" s="570"/>
      <c r="BL794" s="570"/>
      <c r="BM794" s="570"/>
      <c r="BN794" s="570"/>
      <c r="BO794" s="570"/>
      <c r="BP794" s="570"/>
      <c r="BQ794" s="570"/>
      <c r="BR794" s="570"/>
      <c r="BS794" s="570"/>
      <c r="BT794" s="570"/>
      <c r="BU794" s="570"/>
      <c r="BV794" s="570"/>
      <c r="BW794" s="570"/>
      <c r="BX794" s="570"/>
      <c r="BY794" s="570"/>
      <c r="BZ794" s="571"/>
      <c r="CA794" s="571"/>
    </row>
    <row r="795" spans="2:79">
      <c r="B795" s="572">
        <v>780</v>
      </c>
      <c r="C795" s="308"/>
      <c r="D795" s="307"/>
      <c r="E795" s="307"/>
      <c r="F795" s="305"/>
      <c r="G795" s="305"/>
      <c r="H795" s="292"/>
      <c r="I795" s="574"/>
      <c r="J795" s="573"/>
      <c r="K795" s="307"/>
      <c r="L795" s="292"/>
      <c r="M795" s="308"/>
      <c r="N795" s="292"/>
      <c r="O795" s="308"/>
      <c r="P795" s="575"/>
      <c r="Q795" s="576"/>
      <c r="R795" s="308"/>
      <c r="S795" s="575"/>
      <c r="T795" s="576"/>
      <c r="U795" s="308"/>
      <c r="V795" s="575"/>
      <c r="W795" s="576"/>
      <c r="X795" s="308"/>
      <c r="Y795" s="575"/>
      <c r="Z795" s="576"/>
      <c r="AA795" s="308"/>
      <c r="AB795" s="575"/>
      <c r="AC795" s="576"/>
      <c r="AD795" s="308"/>
      <c r="AE795" s="575"/>
      <c r="AF795" s="308"/>
      <c r="AG795" s="575"/>
      <c r="AH795" s="308"/>
      <c r="AI795" s="575"/>
      <c r="AJ795" s="308"/>
      <c r="AK795" s="305"/>
      <c r="AL795" s="577"/>
      <c r="AM795" s="306"/>
      <c r="AN795" s="308"/>
      <c r="AO795" s="573"/>
      <c r="AP795" s="305"/>
      <c r="AQ795" s="308"/>
      <c r="AR795" s="573"/>
      <c r="AS795" s="578"/>
      <c r="AT795" s="577"/>
      <c r="AU795" s="579"/>
      <c r="AV795" s="578"/>
      <c r="AW795" s="308"/>
      <c r="AX795" s="307"/>
      <c r="AY795" s="307"/>
      <c r="AZ795" s="307"/>
      <c r="BA795" s="307"/>
      <c r="BB795" s="307"/>
      <c r="BC795" s="305"/>
      <c r="BD795" s="292"/>
      <c r="BE795" s="297"/>
      <c r="BF795" s="297"/>
      <c r="BG795" s="569"/>
      <c r="BH795" s="570"/>
      <c r="BI795" s="570"/>
      <c r="BJ795" s="570"/>
      <c r="BK795" s="570"/>
      <c r="BL795" s="570"/>
      <c r="BM795" s="570"/>
      <c r="BN795" s="570"/>
      <c r="BO795" s="570"/>
      <c r="BP795" s="570"/>
      <c r="BQ795" s="570"/>
      <c r="BR795" s="570"/>
      <c r="BS795" s="570"/>
      <c r="BT795" s="570"/>
      <c r="BU795" s="570"/>
      <c r="BV795" s="570"/>
      <c r="BW795" s="570"/>
      <c r="BX795" s="570"/>
      <c r="BY795" s="570"/>
      <c r="BZ795" s="571"/>
      <c r="CA795" s="571"/>
    </row>
    <row r="796" spans="2:79">
      <c r="B796" s="566">
        <v>781</v>
      </c>
      <c r="C796" s="308"/>
      <c r="D796" s="307"/>
      <c r="E796" s="307"/>
      <c r="F796" s="305"/>
      <c r="G796" s="305"/>
      <c r="H796" s="292"/>
      <c r="I796" s="574"/>
      <c r="J796" s="573"/>
      <c r="K796" s="307"/>
      <c r="L796" s="292"/>
      <c r="M796" s="308"/>
      <c r="N796" s="292"/>
      <c r="O796" s="308"/>
      <c r="P796" s="575"/>
      <c r="Q796" s="576"/>
      <c r="R796" s="308"/>
      <c r="S796" s="575"/>
      <c r="T796" s="576"/>
      <c r="U796" s="308"/>
      <c r="V796" s="575"/>
      <c r="W796" s="576"/>
      <c r="X796" s="308"/>
      <c r="Y796" s="575"/>
      <c r="Z796" s="576"/>
      <c r="AA796" s="308"/>
      <c r="AB796" s="575"/>
      <c r="AC796" s="576"/>
      <c r="AD796" s="308"/>
      <c r="AE796" s="575"/>
      <c r="AF796" s="308"/>
      <c r="AG796" s="575"/>
      <c r="AH796" s="308"/>
      <c r="AI796" s="575"/>
      <c r="AJ796" s="308"/>
      <c r="AK796" s="305"/>
      <c r="AL796" s="577"/>
      <c r="AM796" s="306"/>
      <c r="AN796" s="308"/>
      <c r="AO796" s="573"/>
      <c r="AP796" s="305"/>
      <c r="AQ796" s="308"/>
      <c r="AR796" s="573"/>
      <c r="AS796" s="578"/>
      <c r="AT796" s="577"/>
      <c r="AU796" s="579"/>
      <c r="AV796" s="578"/>
      <c r="AW796" s="308"/>
      <c r="AX796" s="307"/>
      <c r="AY796" s="307"/>
      <c r="AZ796" s="307"/>
      <c r="BA796" s="307"/>
      <c r="BB796" s="307"/>
      <c r="BC796" s="305"/>
      <c r="BD796" s="292"/>
      <c r="BE796" s="297"/>
      <c r="BF796" s="297"/>
      <c r="BG796" s="569"/>
      <c r="BH796" s="570"/>
      <c r="BI796" s="570"/>
      <c r="BJ796" s="570"/>
      <c r="BK796" s="570"/>
      <c r="BL796" s="570"/>
      <c r="BM796" s="570"/>
      <c r="BN796" s="570"/>
      <c r="BO796" s="570"/>
      <c r="BP796" s="570"/>
      <c r="BQ796" s="570"/>
      <c r="BR796" s="570"/>
      <c r="BS796" s="570"/>
      <c r="BT796" s="570"/>
      <c r="BU796" s="570"/>
      <c r="BV796" s="570"/>
      <c r="BW796" s="570"/>
      <c r="BX796" s="570"/>
      <c r="BY796" s="570"/>
      <c r="BZ796" s="571"/>
      <c r="CA796" s="571"/>
    </row>
    <row r="797" spans="2:79">
      <c r="B797" s="572">
        <v>782</v>
      </c>
      <c r="C797" s="308"/>
      <c r="D797" s="307"/>
      <c r="E797" s="307"/>
      <c r="F797" s="305"/>
      <c r="G797" s="305"/>
      <c r="H797" s="292"/>
      <c r="I797" s="574"/>
      <c r="J797" s="573"/>
      <c r="K797" s="307"/>
      <c r="L797" s="292"/>
      <c r="M797" s="308"/>
      <c r="N797" s="292"/>
      <c r="O797" s="308"/>
      <c r="P797" s="575"/>
      <c r="Q797" s="576"/>
      <c r="R797" s="308"/>
      <c r="S797" s="575"/>
      <c r="T797" s="576"/>
      <c r="U797" s="308"/>
      <c r="V797" s="575"/>
      <c r="W797" s="576"/>
      <c r="X797" s="308"/>
      <c r="Y797" s="575"/>
      <c r="Z797" s="576"/>
      <c r="AA797" s="308"/>
      <c r="AB797" s="575"/>
      <c r="AC797" s="576"/>
      <c r="AD797" s="308"/>
      <c r="AE797" s="575"/>
      <c r="AF797" s="308"/>
      <c r="AG797" s="575"/>
      <c r="AH797" s="308"/>
      <c r="AI797" s="575"/>
      <c r="AJ797" s="308"/>
      <c r="AK797" s="305"/>
      <c r="AL797" s="577"/>
      <c r="AM797" s="306"/>
      <c r="AN797" s="308"/>
      <c r="AO797" s="573"/>
      <c r="AP797" s="305"/>
      <c r="AQ797" s="308"/>
      <c r="AR797" s="573"/>
      <c r="AS797" s="578"/>
      <c r="AT797" s="577"/>
      <c r="AU797" s="579"/>
      <c r="AV797" s="578"/>
      <c r="AW797" s="308"/>
      <c r="AX797" s="307"/>
      <c r="AY797" s="307"/>
      <c r="AZ797" s="307"/>
      <c r="BA797" s="307"/>
      <c r="BB797" s="307"/>
      <c r="BC797" s="305"/>
      <c r="BD797" s="292"/>
      <c r="BE797" s="297"/>
      <c r="BF797" s="297"/>
      <c r="BG797" s="569"/>
      <c r="BH797" s="570"/>
      <c r="BI797" s="570"/>
      <c r="BJ797" s="570"/>
      <c r="BK797" s="570"/>
      <c r="BL797" s="570"/>
      <c r="BM797" s="570"/>
      <c r="BN797" s="570"/>
      <c r="BO797" s="570"/>
      <c r="BP797" s="570"/>
      <c r="BQ797" s="570"/>
      <c r="BR797" s="570"/>
      <c r="BS797" s="570"/>
      <c r="BT797" s="570"/>
      <c r="BU797" s="570"/>
      <c r="BV797" s="570"/>
      <c r="BW797" s="570"/>
      <c r="BX797" s="570"/>
      <c r="BY797" s="570"/>
      <c r="BZ797" s="571"/>
      <c r="CA797" s="571"/>
    </row>
    <row r="798" spans="2:79">
      <c r="B798" s="566">
        <v>783</v>
      </c>
      <c r="C798" s="308"/>
      <c r="D798" s="307"/>
      <c r="E798" s="307"/>
      <c r="F798" s="305"/>
      <c r="G798" s="305"/>
      <c r="H798" s="292"/>
      <c r="I798" s="574"/>
      <c r="J798" s="573"/>
      <c r="K798" s="307"/>
      <c r="L798" s="292"/>
      <c r="M798" s="308"/>
      <c r="N798" s="292"/>
      <c r="O798" s="308"/>
      <c r="P798" s="575"/>
      <c r="Q798" s="576"/>
      <c r="R798" s="308"/>
      <c r="S798" s="575"/>
      <c r="T798" s="576"/>
      <c r="U798" s="308"/>
      <c r="V798" s="575"/>
      <c r="W798" s="576"/>
      <c r="X798" s="308"/>
      <c r="Y798" s="575"/>
      <c r="Z798" s="576"/>
      <c r="AA798" s="308"/>
      <c r="AB798" s="575"/>
      <c r="AC798" s="576"/>
      <c r="AD798" s="308"/>
      <c r="AE798" s="575"/>
      <c r="AF798" s="308"/>
      <c r="AG798" s="575"/>
      <c r="AH798" s="308"/>
      <c r="AI798" s="575"/>
      <c r="AJ798" s="308"/>
      <c r="AK798" s="305"/>
      <c r="AL798" s="577"/>
      <c r="AM798" s="306"/>
      <c r="AN798" s="308"/>
      <c r="AO798" s="573"/>
      <c r="AP798" s="305"/>
      <c r="AQ798" s="308"/>
      <c r="AR798" s="573"/>
      <c r="AS798" s="578"/>
      <c r="AT798" s="577"/>
      <c r="AU798" s="579"/>
      <c r="AV798" s="578"/>
      <c r="AW798" s="308"/>
      <c r="AX798" s="307"/>
      <c r="AY798" s="307"/>
      <c r="AZ798" s="307"/>
      <c r="BA798" s="307"/>
      <c r="BB798" s="307"/>
      <c r="BC798" s="305"/>
      <c r="BD798" s="292"/>
      <c r="BE798" s="297"/>
      <c r="BF798" s="297"/>
      <c r="BG798" s="569"/>
      <c r="BH798" s="570"/>
      <c r="BI798" s="570"/>
      <c r="BJ798" s="570"/>
      <c r="BK798" s="570"/>
      <c r="BL798" s="570"/>
      <c r="BM798" s="570"/>
      <c r="BN798" s="570"/>
      <c r="BO798" s="570"/>
      <c r="BP798" s="570"/>
      <c r="BQ798" s="570"/>
      <c r="BR798" s="570"/>
      <c r="BS798" s="570"/>
      <c r="BT798" s="570"/>
      <c r="BU798" s="570"/>
      <c r="BV798" s="570"/>
      <c r="BW798" s="570"/>
      <c r="BX798" s="570"/>
      <c r="BY798" s="570"/>
      <c r="BZ798" s="571"/>
      <c r="CA798" s="571"/>
    </row>
    <row r="799" spans="2:79">
      <c r="B799" s="572">
        <v>784</v>
      </c>
      <c r="C799" s="308"/>
      <c r="D799" s="307"/>
      <c r="E799" s="307"/>
      <c r="F799" s="305"/>
      <c r="G799" s="305"/>
      <c r="H799" s="292"/>
      <c r="I799" s="574"/>
      <c r="J799" s="573"/>
      <c r="K799" s="307"/>
      <c r="L799" s="292"/>
      <c r="M799" s="308"/>
      <c r="N799" s="292"/>
      <c r="O799" s="308"/>
      <c r="P799" s="575"/>
      <c r="Q799" s="576"/>
      <c r="R799" s="308"/>
      <c r="S799" s="575"/>
      <c r="T799" s="576"/>
      <c r="U799" s="308"/>
      <c r="V799" s="575"/>
      <c r="W799" s="576"/>
      <c r="X799" s="308"/>
      <c r="Y799" s="575"/>
      <c r="Z799" s="576"/>
      <c r="AA799" s="308"/>
      <c r="AB799" s="575"/>
      <c r="AC799" s="576"/>
      <c r="AD799" s="308"/>
      <c r="AE799" s="575"/>
      <c r="AF799" s="308"/>
      <c r="AG799" s="575"/>
      <c r="AH799" s="308"/>
      <c r="AI799" s="575"/>
      <c r="AJ799" s="308"/>
      <c r="AK799" s="305"/>
      <c r="AL799" s="577"/>
      <c r="AM799" s="306"/>
      <c r="AN799" s="308"/>
      <c r="AO799" s="573"/>
      <c r="AP799" s="305"/>
      <c r="AQ799" s="308"/>
      <c r="AR799" s="573"/>
      <c r="AS799" s="578"/>
      <c r="AT799" s="577"/>
      <c r="AU799" s="579"/>
      <c r="AV799" s="578"/>
      <c r="AW799" s="308"/>
      <c r="AX799" s="307"/>
      <c r="AY799" s="307"/>
      <c r="AZ799" s="307"/>
      <c r="BA799" s="307"/>
      <c r="BB799" s="307"/>
      <c r="BC799" s="305"/>
      <c r="BD799" s="292"/>
      <c r="BE799" s="297"/>
      <c r="BF799" s="297"/>
      <c r="BG799" s="569"/>
      <c r="BH799" s="570"/>
      <c r="BI799" s="570"/>
      <c r="BJ799" s="570"/>
      <c r="BK799" s="570"/>
      <c r="BL799" s="570"/>
      <c r="BM799" s="570"/>
      <c r="BN799" s="570"/>
      <c r="BO799" s="570"/>
      <c r="BP799" s="570"/>
      <c r="BQ799" s="570"/>
      <c r="BR799" s="570"/>
      <c r="BS799" s="570"/>
      <c r="BT799" s="570"/>
      <c r="BU799" s="570"/>
      <c r="BV799" s="570"/>
      <c r="BW799" s="570"/>
      <c r="BX799" s="570"/>
      <c r="BY799" s="570"/>
      <c r="BZ799" s="571"/>
      <c r="CA799" s="571"/>
    </row>
    <row r="800" spans="2:79">
      <c r="B800" s="566">
        <v>785</v>
      </c>
      <c r="C800" s="308"/>
      <c r="D800" s="307"/>
      <c r="E800" s="307"/>
      <c r="F800" s="305"/>
      <c r="G800" s="305"/>
      <c r="H800" s="292"/>
      <c r="I800" s="574"/>
      <c r="J800" s="573"/>
      <c r="K800" s="307"/>
      <c r="L800" s="292"/>
      <c r="M800" s="308"/>
      <c r="N800" s="292"/>
      <c r="O800" s="308"/>
      <c r="P800" s="575"/>
      <c r="Q800" s="576"/>
      <c r="R800" s="308"/>
      <c r="S800" s="575"/>
      <c r="T800" s="576"/>
      <c r="U800" s="308"/>
      <c r="V800" s="575"/>
      <c r="W800" s="576"/>
      <c r="X800" s="308"/>
      <c r="Y800" s="575"/>
      <c r="Z800" s="576"/>
      <c r="AA800" s="308"/>
      <c r="AB800" s="575"/>
      <c r="AC800" s="576"/>
      <c r="AD800" s="308"/>
      <c r="AE800" s="575"/>
      <c r="AF800" s="308"/>
      <c r="AG800" s="575"/>
      <c r="AH800" s="308"/>
      <c r="AI800" s="575"/>
      <c r="AJ800" s="308"/>
      <c r="AK800" s="305"/>
      <c r="AL800" s="577"/>
      <c r="AM800" s="306"/>
      <c r="AN800" s="308"/>
      <c r="AO800" s="573"/>
      <c r="AP800" s="305"/>
      <c r="AQ800" s="308"/>
      <c r="AR800" s="573"/>
      <c r="AS800" s="578"/>
      <c r="AT800" s="577"/>
      <c r="AU800" s="579"/>
      <c r="AV800" s="578"/>
      <c r="AW800" s="308"/>
      <c r="AX800" s="307"/>
      <c r="AY800" s="307"/>
      <c r="AZ800" s="307"/>
      <c r="BA800" s="307"/>
      <c r="BB800" s="307"/>
      <c r="BC800" s="305"/>
      <c r="BD800" s="292"/>
      <c r="BE800" s="297"/>
      <c r="BF800" s="297"/>
      <c r="BG800" s="569"/>
      <c r="BH800" s="570"/>
      <c r="BI800" s="570"/>
      <c r="BJ800" s="570"/>
      <c r="BK800" s="570"/>
      <c r="BL800" s="570"/>
      <c r="BM800" s="570"/>
      <c r="BN800" s="570"/>
      <c r="BO800" s="570"/>
      <c r="BP800" s="570"/>
      <c r="BQ800" s="570"/>
      <c r="BR800" s="570"/>
      <c r="BS800" s="570"/>
      <c r="BT800" s="570"/>
      <c r="BU800" s="570"/>
      <c r="BV800" s="570"/>
      <c r="BW800" s="570"/>
      <c r="BX800" s="570"/>
      <c r="BY800" s="570"/>
      <c r="BZ800" s="571"/>
      <c r="CA800" s="571"/>
    </row>
    <row r="801" spans="2:79">
      <c r="B801" s="572">
        <v>786</v>
      </c>
      <c r="C801" s="308"/>
      <c r="D801" s="307"/>
      <c r="E801" s="307"/>
      <c r="F801" s="305"/>
      <c r="G801" s="305"/>
      <c r="H801" s="292"/>
      <c r="I801" s="574"/>
      <c r="J801" s="573"/>
      <c r="K801" s="307"/>
      <c r="L801" s="292"/>
      <c r="M801" s="308"/>
      <c r="N801" s="292"/>
      <c r="O801" s="308"/>
      <c r="P801" s="575"/>
      <c r="Q801" s="576"/>
      <c r="R801" s="308"/>
      <c r="S801" s="575"/>
      <c r="T801" s="576"/>
      <c r="U801" s="308"/>
      <c r="V801" s="575"/>
      <c r="W801" s="576"/>
      <c r="X801" s="308"/>
      <c r="Y801" s="575"/>
      <c r="Z801" s="576"/>
      <c r="AA801" s="308"/>
      <c r="AB801" s="575"/>
      <c r="AC801" s="576"/>
      <c r="AD801" s="308"/>
      <c r="AE801" s="575"/>
      <c r="AF801" s="308"/>
      <c r="AG801" s="575"/>
      <c r="AH801" s="308"/>
      <c r="AI801" s="575"/>
      <c r="AJ801" s="308"/>
      <c r="AK801" s="305"/>
      <c r="AL801" s="577"/>
      <c r="AM801" s="306"/>
      <c r="AN801" s="308"/>
      <c r="AO801" s="573"/>
      <c r="AP801" s="305"/>
      <c r="AQ801" s="308"/>
      <c r="AR801" s="573"/>
      <c r="AS801" s="578"/>
      <c r="AT801" s="577"/>
      <c r="AU801" s="579"/>
      <c r="AV801" s="578"/>
      <c r="AW801" s="308"/>
      <c r="AX801" s="307"/>
      <c r="AY801" s="307"/>
      <c r="AZ801" s="307"/>
      <c r="BA801" s="307"/>
      <c r="BB801" s="307"/>
      <c r="BC801" s="305"/>
      <c r="BD801" s="292"/>
      <c r="BE801" s="297"/>
      <c r="BF801" s="297"/>
      <c r="BG801" s="569"/>
      <c r="BH801" s="570"/>
      <c r="BI801" s="570"/>
      <c r="BJ801" s="570"/>
      <c r="BK801" s="570"/>
      <c r="BL801" s="570"/>
      <c r="BM801" s="570"/>
      <c r="BN801" s="570"/>
      <c r="BO801" s="570"/>
      <c r="BP801" s="570"/>
      <c r="BQ801" s="570"/>
      <c r="BR801" s="570"/>
      <c r="BS801" s="570"/>
      <c r="BT801" s="570"/>
      <c r="BU801" s="570"/>
      <c r="BV801" s="570"/>
      <c r="BW801" s="570"/>
      <c r="BX801" s="570"/>
      <c r="BY801" s="570"/>
      <c r="BZ801" s="571"/>
      <c r="CA801" s="571"/>
    </row>
    <row r="802" spans="2:79">
      <c r="B802" s="566">
        <v>787</v>
      </c>
      <c r="C802" s="308"/>
      <c r="D802" s="307"/>
      <c r="E802" s="307"/>
      <c r="F802" s="305"/>
      <c r="G802" s="305"/>
      <c r="H802" s="292"/>
      <c r="I802" s="574"/>
      <c r="J802" s="573"/>
      <c r="K802" s="307"/>
      <c r="L802" s="292"/>
      <c r="M802" s="308"/>
      <c r="N802" s="292"/>
      <c r="O802" s="308"/>
      <c r="P802" s="575"/>
      <c r="Q802" s="576"/>
      <c r="R802" s="308"/>
      <c r="S802" s="575"/>
      <c r="T802" s="576"/>
      <c r="U802" s="308"/>
      <c r="V802" s="575"/>
      <c r="W802" s="576"/>
      <c r="X802" s="308"/>
      <c r="Y802" s="575"/>
      <c r="Z802" s="576"/>
      <c r="AA802" s="308"/>
      <c r="AB802" s="575"/>
      <c r="AC802" s="576"/>
      <c r="AD802" s="308"/>
      <c r="AE802" s="575"/>
      <c r="AF802" s="308"/>
      <c r="AG802" s="575"/>
      <c r="AH802" s="308"/>
      <c r="AI802" s="575"/>
      <c r="AJ802" s="308"/>
      <c r="AK802" s="305"/>
      <c r="AL802" s="577"/>
      <c r="AM802" s="306"/>
      <c r="AN802" s="308"/>
      <c r="AO802" s="573"/>
      <c r="AP802" s="305"/>
      <c r="AQ802" s="308"/>
      <c r="AR802" s="573"/>
      <c r="AS802" s="578"/>
      <c r="AT802" s="577"/>
      <c r="AU802" s="579"/>
      <c r="AV802" s="578"/>
      <c r="AW802" s="308"/>
      <c r="AX802" s="307"/>
      <c r="AY802" s="307"/>
      <c r="AZ802" s="307"/>
      <c r="BA802" s="307"/>
      <c r="BB802" s="307"/>
      <c r="BC802" s="305"/>
      <c r="BD802" s="292"/>
      <c r="BE802" s="297"/>
      <c r="BF802" s="297"/>
      <c r="BG802" s="569"/>
      <c r="BH802" s="570"/>
      <c r="BI802" s="570"/>
      <c r="BJ802" s="570"/>
      <c r="BK802" s="570"/>
      <c r="BL802" s="570"/>
      <c r="BM802" s="570"/>
      <c r="BN802" s="570"/>
      <c r="BO802" s="570"/>
      <c r="BP802" s="570"/>
      <c r="BQ802" s="570"/>
      <c r="BR802" s="570"/>
      <c r="BS802" s="570"/>
      <c r="BT802" s="570"/>
      <c r="BU802" s="570"/>
      <c r="BV802" s="570"/>
      <c r="BW802" s="570"/>
      <c r="BX802" s="570"/>
      <c r="BY802" s="570"/>
      <c r="BZ802" s="571"/>
      <c r="CA802" s="571"/>
    </row>
    <row r="803" spans="2:79">
      <c r="B803" s="572">
        <v>788</v>
      </c>
      <c r="C803" s="308"/>
      <c r="D803" s="307"/>
      <c r="E803" s="307"/>
      <c r="F803" s="305"/>
      <c r="G803" s="305"/>
      <c r="H803" s="292"/>
      <c r="I803" s="574"/>
      <c r="J803" s="573"/>
      <c r="K803" s="307"/>
      <c r="L803" s="292"/>
      <c r="M803" s="308"/>
      <c r="N803" s="292"/>
      <c r="O803" s="308"/>
      <c r="P803" s="575"/>
      <c r="Q803" s="576"/>
      <c r="R803" s="308"/>
      <c r="S803" s="575"/>
      <c r="T803" s="576"/>
      <c r="U803" s="308"/>
      <c r="V803" s="575"/>
      <c r="W803" s="576"/>
      <c r="X803" s="308"/>
      <c r="Y803" s="575"/>
      <c r="Z803" s="576"/>
      <c r="AA803" s="308"/>
      <c r="AB803" s="575"/>
      <c r="AC803" s="576"/>
      <c r="AD803" s="308"/>
      <c r="AE803" s="575"/>
      <c r="AF803" s="308"/>
      <c r="AG803" s="575"/>
      <c r="AH803" s="308"/>
      <c r="AI803" s="575"/>
      <c r="AJ803" s="308"/>
      <c r="AK803" s="305"/>
      <c r="AL803" s="577"/>
      <c r="AM803" s="306"/>
      <c r="AN803" s="308"/>
      <c r="AO803" s="573"/>
      <c r="AP803" s="305"/>
      <c r="AQ803" s="308"/>
      <c r="AR803" s="573"/>
      <c r="AS803" s="578"/>
      <c r="AT803" s="577"/>
      <c r="AU803" s="579"/>
      <c r="AV803" s="578"/>
      <c r="AW803" s="308"/>
      <c r="AX803" s="307"/>
      <c r="AY803" s="307"/>
      <c r="AZ803" s="307"/>
      <c r="BA803" s="307"/>
      <c r="BB803" s="307"/>
      <c r="BC803" s="305"/>
      <c r="BD803" s="292"/>
      <c r="BE803" s="297"/>
      <c r="BF803" s="297"/>
      <c r="BG803" s="569"/>
      <c r="BH803" s="570"/>
      <c r="BI803" s="570"/>
      <c r="BJ803" s="570"/>
      <c r="BK803" s="570"/>
      <c r="BL803" s="570"/>
      <c r="BM803" s="570"/>
      <c r="BN803" s="570"/>
      <c r="BO803" s="570"/>
      <c r="BP803" s="570"/>
      <c r="BQ803" s="570"/>
      <c r="BR803" s="570"/>
      <c r="BS803" s="570"/>
      <c r="BT803" s="570"/>
      <c r="BU803" s="570"/>
      <c r="BV803" s="570"/>
      <c r="BW803" s="570"/>
      <c r="BX803" s="570"/>
      <c r="BY803" s="570"/>
      <c r="BZ803" s="571"/>
      <c r="CA803" s="571"/>
    </row>
    <row r="804" spans="2:79">
      <c r="B804" s="566">
        <v>789</v>
      </c>
      <c r="C804" s="308"/>
      <c r="D804" s="307"/>
      <c r="E804" s="307"/>
      <c r="F804" s="305"/>
      <c r="G804" s="305"/>
      <c r="H804" s="292"/>
      <c r="I804" s="574"/>
      <c r="J804" s="573"/>
      <c r="K804" s="307"/>
      <c r="L804" s="292"/>
      <c r="M804" s="308"/>
      <c r="N804" s="292"/>
      <c r="O804" s="308"/>
      <c r="P804" s="575"/>
      <c r="Q804" s="576"/>
      <c r="R804" s="308"/>
      <c r="S804" s="575"/>
      <c r="T804" s="576"/>
      <c r="U804" s="308"/>
      <c r="V804" s="575"/>
      <c r="W804" s="576"/>
      <c r="X804" s="308"/>
      <c r="Y804" s="575"/>
      <c r="Z804" s="576"/>
      <c r="AA804" s="308"/>
      <c r="AB804" s="575"/>
      <c r="AC804" s="576"/>
      <c r="AD804" s="308"/>
      <c r="AE804" s="575"/>
      <c r="AF804" s="308"/>
      <c r="AG804" s="575"/>
      <c r="AH804" s="308"/>
      <c r="AI804" s="575"/>
      <c r="AJ804" s="308"/>
      <c r="AK804" s="305"/>
      <c r="AL804" s="577"/>
      <c r="AM804" s="306"/>
      <c r="AN804" s="308"/>
      <c r="AO804" s="573"/>
      <c r="AP804" s="305"/>
      <c r="AQ804" s="308"/>
      <c r="AR804" s="573"/>
      <c r="AS804" s="578"/>
      <c r="AT804" s="577"/>
      <c r="AU804" s="579"/>
      <c r="AV804" s="578"/>
      <c r="AW804" s="308"/>
      <c r="AX804" s="307"/>
      <c r="AY804" s="307"/>
      <c r="AZ804" s="307"/>
      <c r="BA804" s="307"/>
      <c r="BB804" s="307"/>
      <c r="BC804" s="305"/>
      <c r="BD804" s="292"/>
      <c r="BE804" s="297"/>
      <c r="BF804" s="297"/>
      <c r="BG804" s="569"/>
      <c r="BH804" s="570"/>
      <c r="BI804" s="570"/>
      <c r="BJ804" s="570"/>
      <c r="BK804" s="570"/>
      <c r="BL804" s="570"/>
      <c r="BM804" s="570"/>
      <c r="BN804" s="570"/>
      <c r="BO804" s="570"/>
      <c r="BP804" s="570"/>
      <c r="BQ804" s="570"/>
      <c r="BR804" s="570"/>
      <c r="BS804" s="570"/>
      <c r="BT804" s="570"/>
      <c r="BU804" s="570"/>
      <c r="BV804" s="570"/>
      <c r="BW804" s="570"/>
      <c r="BX804" s="570"/>
      <c r="BY804" s="570"/>
      <c r="BZ804" s="571"/>
      <c r="CA804" s="571"/>
    </row>
    <row r="805" spans="2:79">
      <c r="B805" s="572">
        <v>790</v>
      </c>
      <c r="C805" s="308"/>
      <c r="D805" s="307"/>
      <c r="E805" s="307"/>
      <c r="F805" s="305"/>
      <c r="G805" s="305"/>
      <c r="H805" s="292"/>
      <c r="I805" s="574"/>
      <c r="J805" s="573"/>
      <c r="K805" s="307"/>
      <c r="L805" s="292"/>
      <c r="M805" s="308"/>
      <c r="N805" s="292"/>
      <c r="O805" s="308"/>
      <c r="P805" s="575"/>
      <c r="Q805" s="576"/>
      <c r="R805" s="308"/>
      <c r="S805" s="575"/>
      <c r="T805" s="576"/>
      <c r="U805" s="308"/>
      <c r="V805" s="575"/>
      <c r="W805" s="576"/>
      <c r="X805" s="308"/>
      <c r="Y805" s="575"/>
      <c r="Z805" s="576"/>
      <c r="AA805" s="308"/>
      <c r="AB805" s="575"/>
      <c r="AC805" s="576"/>
      <c r="AD805" s="308"/>
      <c r="AE805" s="575"/>
      <c r="AF805" s="308"/>
      <c r="AG805" s="575"/>
      <c r="AH805" s="308"/>
      <c r="AI805" s="575"/>
      <c r="AJ805" s="308"/>
      <c r="AK805" s="305"/>
      <c r="AL805" s="577"/>
      <c r="AM805" s="306"/>
      <c r="AN805" s="308"/>
      <c r="AO805" s="573"/>
      <c r="AP805" s="305"/>
      <c r="AQ805" s="308"/>
      <c r="AR805" s="573"/>
      <c r="AS805" s="578"/>
      <c r="AT805" s="577"/>
      <c r="AU805" s="579"/>
      <c r="AV805" s="578"/>
      <c r="AW805" s="308"/>
      <c r="AX805" s="307"/>
      <c r="AY805" s="307"/>
      <c r="AZ805" s="307"/>
      <c r="BA805" s="307"/>
      <c r="BB805" s="307"/>
      <c r="BC805" s="305"/>
      <c r="BD805" s="292"/>
      <c r="BE805" s="297"/>
      <c r="BF805" s="297"/>
      <c r="BG805" s="569"/>
      <c r="BH805" s="570"/>
      <c r="BI805" s="570"/>
      <c r="BJ805" s="570"/>
      <c r="BK805" s="570"/>
      <c r="BL805" s="570"/>
      <c r="BM805" s="570"/>
      <c r="BN805" s="570"/>
      <c r="BO805" s="570"/>
      <c r="BP805" s="570"/>
      <c r="BQ805" s="570"/>
      <c r="BR805" s="570"/>
      <c r="BS805" s="570"/>
      <c r="BT805" s="570"/>
      <c r="BU805" s="570"/>
      <c r="BV805" s="570"/>
      <c r="BW805" s="570"/>
      <c r="BX805" s="570"/>
      <c r="BY805" s="570"/>
      <c r="BZ805" s="571"/>
      <c r="CA805" s="571"/>
    </row>
    <row r="806" spans="2:79">
      <c r="B806" s="566">
        <v>791</v>
      </c>
      <c r="C806" s="308"/>
      <c r="D806" s="307"/>
      <c r="E806" s="307"/>
      <c r="F806" s="305"/>
      <c r="G806" s="305"/>
      <c r="H806" s="292"/>
      <c r="I806" s="574"/>
      <c r="J806" s="573"/>
      <c r="K806" s="307"/>
      <c r="L806" s="292"/>
      <c r="M806" s="308"/>
      <c r="N806" s="292"/>
      <c r="O806" s="308"/>
      <c r="P806" s="575"/>
      <c r="Q806" s="576"/>
      <c r="R806" s="308"/>
      <c r="S806" s="575"/>
      <c r="T806" s="576"/>
      <c r="U806" s="308"/>
      <c r="V806" s="575"/>
      <c r="W806" s="576"/>
      <c r="X806" s="308"/>
      <c r="Y806" s="575"/>
      <c r="Z806" s="576"/>
      <c r="AA806" s="308"/>
      <c r="AB806" s="575"/>
      <c r="AC806" s="576"/>
      <c r="AD806" s="308"/>
      <c r="AE806" s="575"/>
      <c r="AF806" s="308"/>
      <c r="AG806" s="575"/>
      <c r="AH806" s="308"/>
      <c r="AI806" s="575"/>
      <c r="AJ806" s="308"/>
      <c r="AK806" s="305"/>
      <c r="AL806" s="577"/>
      <c r="AM806" s="306"/>
      <c r="AN806" s="308"/>
      <c r="AO806" s="573"/>
      <c r="AP806" s="305"/>
      <c r="AQ806" s="308"/>
      <c r="AR806" s="573"/>
      <c r="AS806" s="578"/>
      <c r="AT806" s="577"/>
      <c r="AU806" s="579"/>
      <c r="AV806" s="578"/>
      <c r="AW806" s="308"/>
      <c r="AX806" s="307"/>
      <c r="AY806" s="307"/>
      <c r="AZ806" s="307"/>
      <c r="BA806" s="307"/>
      <c r="BB806" s="307"/>
      <c r="BC806" s="305"/>
      <c r="BD806" s="292"/>
      <c r="BE806" s="297"/>
      <c r="BF806" s="297"/>
      <c r="BG806" s="569"/>
      <c r="BH806" s="570"/>
      <c r="BI806" s="570"/>
      <c r="BJ806" s="570"/>
      <c r="BK806" s="570"/>
      <c r="BL806" s="570"/>
      <c r="BM806" s="570"/>
      <c r="BN806" s="570"/>
      <c r="BO806" s="570"/>
      <c r="BP806" s="570"/>
      <c r="BQ806" s="570"/>
      <c r="BR806" s="570"/>
      <c r="BS806" s="570"/>
      <c r="BT806" s="570"/>
      <c r="BU806" s="570"/>
      <c r="BV806" s="570"/>
      <c r="BW806" s="570"/>
      <c r="BX806" s="570"/>
      <c r="BY806" s="570"/>
      <c r="BZ806" s="571"/>
      <c r="CA806" s="571"/>
    </row>
    <row r="807" spans="2:79">
      <c r="B807" s="572">
        <v>792</v>
      </c>
      <c r="C807" s="308"/>
      <c r="D807" s="307"/>
      <c r="E807" s="307"/>
      <c r="F807" s="305"/>
      <c r="G807" s="305"/>
      <c r="H807" s="292"/>
      <c r="I807" s="574"/>
      <c r="J807" s="573"/>
      <c r="K807" s="307"/>
      <c r="L807" s="292"/>
      <c r="M807" s="308"/>
      <c r="N807" s="292"/>
      <c r="O807" s="308"/>
      <c r="P807" s="575"/>
      <c r="Q807" s="576"/>
      <c r="R807" s="308"/>
      <c r="S807" s="575"/>
      <c r="T807" s="576"/>
      <c r="U807" s="308"/>
      <c r="V807" s="575"/>
      <c r="W807" s="576"/>
      <c r="X807" s="308"/>
      <c r="Y807" s="575"/>
      <c r="Z807" s="576"/>
      <c r="AA807" s="308"/>
      <c r="AB807" s="575"/>
      <c r="AC807" s="576"/>
      <c r="AD807" s="308"/>
      <c r="AE807" s="575"/>
      <c r="AF807" s="308"/>
      <c r="AG807" s="575"/>
      <c r="AH807" s="308"/>
      <c r="AI807" s="575"/>
      <c r="AJ807" s="308"/>
      <c r="AK807" s="305"/>
      <c r="AL807" s="577"/>
      <c r="AM807" s="306"/>
      <c r="AN807" s="308"/>
      <c r="AO807" s="573"/>
      <c r="AP807" s="305"/>
      <c r="AQ807" s="308"/>
      <c r="AR807" s="573"/>
      <c r="AS807" s="578"/>
      <c r="AT807" s="577"/>
      <c r="AU807" s="579"/>
      <c r="AV807" s="578"/>
      <c r="AW807" s="308"/>
      <c r="AX807" s="307"/>
      <c r="AY807" s="307"/>
      <c r="AZ807" s="307"/>
      <c r="BA807" s="307"/>
      <c r="BB807" s="307"/>
      <c r="BC807" s="305"/>
      <c r="BD807" s="292"/>
      <c r="BE807" s="297"/>
      <c r="BF807" s="297"/>
      <c r="BG807" s="569"/>
      <c r="BH807" s="570"/>
      <c r="BI807" s="570"/>
      <c r="BJ807" s="570"/>
      <c r="BK807" s="570"/>
      <c r="BL807" s="570"/>
      <c r="BM807" s="570"/>
      <c r="BN807" s="570"/>
      <c r="BO807" s="570"/>
      <c r="BP807" s="570"/>
      <c r="BQ807" s="570"/>
      <c r="BR807" s="570"/>
      <c r="BS807" s="570"/>
      <c r="BT807" s="570"/>
      <c r="BU807" s="570"/>
      <c r="BV807" s="570"/>
      <c r="BW807" s="570"/>
      <c r="BX807" s="570"/>
      <c r="BY807" s="570"/>
      <c r="BZ807" s="571"/>
      <c r="CA807" s="571"/>
    </row>
    <row r="808" spans="2:79">
      <c r="B808" s="566">
        <v>793</v>
      </c>
      <c r="C808" s="308"/>
      <c r="D808" s="307"/>
      <c r="E808" s="307"/>
      <c r="F808" s="305"/>
      <c r="G808" s="305"/>
      <c r="H808" s="292"/>
      <c r="I808" s="574"/>
      <c r="J808" s="573"/>
      <c r="K808" s="307"/>
      <c r="L808" s="292"/>
      <c r="M808" s="308"/>
      <c r="N808" s="292"/>
      <c r="O808" s="308"/>
      <c r="P808" s="575"/>
      <c r="Q808" s="576"/>
      <c r="R808" s="308"/>
      <c r="S808" s="575"/>
      <c r="T808" s="576"/>
      <c r="U808" s="308"/>
      <c r="V808" s="575"/>
      <c r="W808" s="576"/>
      <c r="X808" s="308"/>
      <c r="Y808" s="575"/>
      <c r="Z808" s="576"/>
      <c r="AA808" s="308"/>
      <c r="AB808" s="575"/>
      <c r="AC808" s="576"/>
      <c r="AD808" s="308"/>
      <c r="AE808" s="575"/>
      <c r="AF808" s="308"/>
      <c r="AG808" s="575"/>
      <c r="AH808" s="308"/>
      <c r="AI808" s="575"/>
      <c r="AJ808" s="308"/>
      <c r="AK808" s="305"/>
      <c r="AL808" s="577"/>
      <c r="AM808" s="306"/>
      <c r="AN808" s="308"/>
      <c r="AO808" s="573"/>
      <c r="AP808" s="305"/>
      <c r="AQ808" s="308"/>
      <c r="AR808" s="573"/>
      <c r="AS808" s="578"/>
      <c r="AT808" s="577"/>
      <c r="AU808" s="579"/>
      <c r="AV808" s="578"/>
      <c r="AW808" s="308"/>
      <c r="AX808" s="307"/>
      <c r="AY808" s="307"/>
      <c r="AZ808" s="307"/>
      <c r="BA808" s="307"/>
      <c r="BB808" s="307"/>
      <c r="BC808" s="305"/>
      <c r="BD808" s="292"/>
      <c r="BE808" s="297"/>
      <c r="BF808" s="297"/>
      <c r="BG808" s="569"/>
      <c r="BH808" s="570"/>
      <c r="BI808" s="570"/>
      <c r="BJ808" s="570"/>
      <c r="BK808" s="570"/>
      <c r="BL808" s="570"/>
      <c r="BM808" s="570"/>
      <c r="BN808" s="570"/>
      <c r="BO808" s="570"/>
      <c r="BP808" s="570"/>
      <c r="BQ808" s="570"/>
      <c r="BR808" s="570"/>
      <c r="BS808" s="570"/>
      <c r="BT808" s="570"/>
      <c r="BU808" s="570"/>
      <c r="BV808" s="570"/>
      <c r="BW808" s="570"/>
      <c r="BX808" s="570"/>
      <c r="BY808" s="570"/>
      <c r="BZ808" s="571"/>
      <c r="CA808" s="571"/>
    </row>
    <row r="809" spans="2:79">
      <c r="B809" s="572">
        <v>794</v>
      </c>
      <c r="C809" s="308"/>
      <c r="D809" s="307"/>
      <c r="E809" s="307"/>
      <c r="F809" s="305"/>
      <c r="G809" s="305"/>
      <c r="H809" s="292"/>
      <c r="I809" s="574"/>
      <c r="J809" s="573"/>
      <c r="K809" s="307"/>
      <c r="L809" s="292"/>
      <c r="M809" s="308"/>
      <c r="N809" s="292"/>
      <c r="O809" s="308"/>
      <c r="P809" s="575"/>
      <c r="Q809" s="576"/>
      <c r="R809" s="308"/>
      <c r="S809" s="575"/>
      <c r="T809" s="576"/>
      <c r="U809" s="308"/>
      <c r="V809" s="575"/>
      <c r="W809" s="576"/>
      <c r="X809" s="308"/>
      <c r="Y809" s="575"/>
      <c r="Z809" s="576"/>
      <c r="AA809" s="308"/>
      <c r="AB809" s="575"/>
      <c r="AC809" s="576"/>
      <c r="AD809" s="308"/>
      <c r="AE809" s="575"/>
      <c r="AF809" s="308"/>
      <c r="AG809" s="575"/>
      <c r="AH809" s="308"/>
      <c r="AI809" s="575"/>
      <c r="AJ809" s="308"/>
      <c r="AK809" s="305"/>
      <c r="AL809" s="577"/>
      <c r="AM809" s="306"/>
      <c r="AN809" s="308"/>
      <c r="AO809" s="573"/>
      <c r="AP809" s="305"/>
      <c r="AQ809" s="308"/>
      <c r="AR809" s="573"/>
      <c r="AS809" s="578"/>
      <c r="AT809" s="577"/>
      <c r="AU809" s="579"/>
      <c r="AV809" s="578"/>
      <c r="AW809" s="308"/>
      <c r="AX809" s="307"/>
      <c r="AY809" s="307"/>
      <c r="AZ809" s="307"/>
      <c r="BA809" s="307"/>
      <c r="BB809" s="307"/>
      <c r="BC809" s="305"/>
      <c r="BD809" s="292"/>
      <c r="BE809" s="297"/>
      <c r="BF809" s="297"/>
      <c r="BG809" s="569"/>
      <c r="BH809" s="570"/>
      <c r="BI809" s="570"/>
      <c r="BJ809" s="570"/>
      <c r="BK809" s="570"/>
      <c r="BL809" s="570"/>
      <c r="BM809" s="570"/>
      <c r="BN809" s="570"/>
      <c r="BO809" s="570"/>
      <c r="BP809" s="570"/>
      <c r="BQ809" s="570"/>
      <c r="BR809" s="570"/>
      <c r="BS809" s="570"/>
      <c r="BT809" s="570"/>
      <c r="BU809" s="570"/>
      <c r="BV809" s="570"/>
      <c r="BW809" s="570"/>
      <c r="BX809" s="570"/>
      <c r="BY809" s="570"/>
      <c r="BZ809" s="571"/>
      <c r="CA809" s="571"/>
    </row>
    <row r="810" spans="2:79">
      <c r="B810" s="566">
        <v>795</v>
      </c>
      <c r="C810" s="308"/>
      <c r="D810" s="307"/>
      <c r="E810" s="307"/>
      <c r="F810" s="305"/>
      <c r="G810" s="305"/>
      <c r="H810" s="292"/>
      <c r="I810" s="574"/>
      <c r="J810" s="573"/>
      <c r="K810" s="307"/>
      <c r="L810" s="292"/>
      <c r="M810" s="308"/>
      <c r="N810" s="292"/>
      <c r="O810" s="308"/>
      <c r="P810" s="575"/>
      <c r="Q810" s="576"/>
      <c r="R810" s="308"/>
      <c r="S810" s="575"/>
      <c r="T810" s="576"/>
      <c r="U810" s="308"/>
      <c r="V810" s="575"/>
      <c r="W810" s="576"/>
      <c r="X810" s="308"/>
      <c r="Y810" s="575"/>
      <c r="Z810" s="576"/>
      <c r="AA810" s="308"/>
      <c r="AB810" s="575"/>
      <c r="AC810" s="576"/>
      <c r="AD810" s="308"/>
      <c r="AE810" s="575"/>
      <c r="AF810" s="308"/>
      <c r="AG810" s="575"/>
      <c r="AH810" s="308"/>
      <c r="AI810" s="575"/>
      <c r="AJ810" s="308"/>
      <c r="AK810" s="305"/>
      <c r="AL810" s="577"/>
      <c r="AM810" s="306"/>
      <c r="AN810" s="308"/>
      <c r="AO810" s="573"/>
      <c r="AP810" s="305"/>
      <c r="AQ810" s="308"/>
      <c r="AR810" s="573"/>
      <c r="AS810" s="578"/>
      <c r="AT810" s="577"/>
      <c r="AU810" s="579"/>
      <c r="AV810" s="578"/>
      <c r="AW810" s="308"/>
      <c r="AX810" s="307"/>
      <c r="AY810" s="307"/>
      <c r="AZ810" s="307"/>
      <c r="BA810" s="307"/>
      <c r="BB810" s="307"/>
      <c r="BC810" s="305"/>
      <c r="BD810" s="292"/>
      <c r="BE810" s="297"/>
      <c r="BF810" s="297"/>
      <c r="BG810" s="569"/>
      <c r="BH810" s="570"/>
      <c r="BI810" s="570"/>
      <c r="BJ810" s="570"/>
      <c r="BK810" s="570"/>
      <c r="BL810" s="570"/>
      <c r="BM810" s="570"/>
      <c r="BN810" s="570"/>
      <c r="BO810" s="570"/>
      <c r="BP810" s="570"/>
      <c r="BQ810" s="570"/>
      <c r="BR810" s="570"/>
      <c r="BS810" s="570"/>
      <c r="BT810" s="570"/>
      <c r="BU810" s="570"/>
      <c r="BV810" s="570"/>
      <c r="BW810" s="570"/>
      <c r="BX810" s="570"/>
      <c r="BY810" s="570"/>
      <c r="BZ810" s="571"/>
      <c r="CA810" s="571"/>
    </row>
    <row r="811" spans="2:79">
      <c r="B811" s="572">
        <v>796</v>
      </c>
      <c r="C811" s="308"/>
      <c r="D811" s="307"/>
      <c r="E811" s="307"/>
      <c r="F811" s="305"/>
      <c r="G811" s="305"/>
      <c r="H811" s="292"/>
      <c r="I811" s="574"/>
      <c r="J811" s="573"/>
      <c r="K811" s="307"/>
      <c r="L811" s="292"/>
      <c r="M811" s="308"/>
      <c r="N811" s="292"/>
      <c r="O811" s="308"/>
      <c r="P811" s="575"/>
      <c r="Q811" s="576"/>
      <c r="R811" s="308"/>
      <c r="S811" s="575"/>
      <c r="T811" s="576"/>
      <c r="U811" s="308"/>
      <c r="V811" s="575"/>
      <c r="W811" s="576"/>
      <c r="X811" s="308"/>
      <c r="Y811" s="575"/>
      <c r="Z811" s="576"/>
      <c r="AA811" s="308"/>
      <c r="AB811" s="575"/>
      <c r="AC811" s="576"/>
      <c r="AD811" s="308"/>
      <c r="AE811" s="575"/>
      <c r="AF811" s="308"/>
      <c r="AG811" s="575"/>
      <c r="AH811" s="308"/>
      <c r="AI811" s="575"/>
      <c r="AJ811" s="308"/>
      <c r="AK811" s="305"/>
      <c r="AL811" s="577"/>
      <c r="AM811" s="306"/>
      <c r="AN811" s="308"/>
      <c r="AO811" s="573"/>
      <c r="AP811" s="305"/>
      <c r="AQ811" s="308"/>
      <c r="AR811" s="573"/>
      <c r="AS811" s="578"/>
      <c r="AT811" s="577"/>
      <c r="AU811" s="579"/>
      <c r="AV811" s="578"/>
      <c r="AW811" s="308"/>
      <c r="AX811" s="307"/>
      <c r="AY811" s="307"/>
      <c r="AZ811" s="307"/>
      <c r="BA811" s="307"/>
      <c r="BB811" s="307"/>
      <c r="BC811" s="305"/>
      <c r="BD811" s="292"/>
      <c r="BE811" s="297"/>
      <c r="BF811" s="297"/>
      <c r="BG811" s="569"/>
      <c r="BH811" s="570"/>
      <c r="BI811" s="570"/>
      <c r="BJ811" s="570"/>
      <c r="BK811" s="570"/>
      <c r="BL811" s="570"/>
      <c r="BM811" s="570"/>
      <c r="BN811" s="570"/>
      <c r="BO811" s="570"/>
      <c r="BP811" s="570"/>
      <c r="BQ811" s="570"/>
      <c r="BR811" s="570"/>
      <c r="BS811" s="570"/>
      <c r="BT811" s="570"/>
      <c r="BU811" s="570"/>
      <c r="BV811" s="570"/>
      <c r="BW811" s="570"/>
      <c r="BX811" s="570"/>
      <c r="BY811" s="570"/>
      <c r="BZ811" s="571"/>
      <c r="CA811" s="571"/>
    </row>
    <row r="812" spans="2:79">
      <c r="B812" s="566">
        <v>797</v>
      </c>
      <c r="C812" s="308"/>
      <c r="D812" s="307"/>
      <c r="E812" s="307"/>
      <c r="F812" s="305"/>
      <c r="G812" s="305"/>
      <c r="H812" s="292"/>
      <c r="I812" s="574"/>
      <c r="J812" s="573"/>
      <c r="K812" s="307"/>
      <c r="L812" s="292"/>
      <c r="M812" s="308"/>
      <c r="N812" s="292"/>
      <c r="O812" s="308"/>
      <c r="P812" s="575"/>
      <c r="Q812" s="576"/>
      <c r="R812" s="308"/>
      <c r="S812" s="575"/>
      <c r="T812" s="576"/>
      <c r="U812" s="308"/>
      <c r="V812" s="575"/>
      <c r="W812" s="576"/>
      <c r="X812" s="308"/>
      <c r="Y812" s="575"/>
      <c r="Z812" s="576"/>
      <c r="AA812" s="308"/>
      <c r="AB812" s="575"/>
      <c r="AC812" s="576"/>
      <c r="AD812" s="308"/>
      <c r="AE812" s="575"/>
      <c r="AF812" s="308"/>
      <c r="AG812" s="575"/>
      <c r="AH812" s="308"/>
      <c r="AI812" s="575"/>
      <c r="AJ812" s="308"/>
      <c r="AK812" s="305"/>
      <c r="AL812" s="577"/>
      <c r="AM812" s="306"/>
      <c r="AN812" s="308"/>
      <c r="AO812" s="573"/>
      <c r="AP812" s="305"/>
      <c r="AQ812" s="308"/>
      <c r="AR812" s="573"/>
      <c r="AS812" s="578"/>
      <c r="AT812" s="577"/>
      <c r="AU812" s="579"/>
      <c r="AV812" s="578"/>
      <c r="AW812" s="308"/>
      <c r="AX812" s="307"/>
      <c r="AY812" s="307"/>
      <c r="AZ812" s="307"/>
      <c r="BA812" s="307"/>
      <c r="BB812" s="307"/>
      <c r="BC812" s="305"/>
      <c r="BD812" s="292"/>
      <c r="BE812" s="297"/>
      <c r="BF812" s="297"/>
      <c r="BG812" s="569"/>
      <c r="BH812" s="570"/>
      <c r="BI812" s="570"/>
      <c r="BJ812" s="570"/>
      <c r="BK812" s="570"/>
      <c r="BL812" s="570"/>
      <c r="BM812" s="570"/>
      <c r="BN812" s="570"/>
      <c r="BO812" s="570"/>
      <c r="BP812" s="570"/>
      <c r="BQ812" s="570"/>
      <c r="BR812" s="570"/>
      <c r="BS812" s="570"/>
      <c r="BT812" s="570"/>
      <c r="BU812" s="570"/>
      <c r="BV812" s="570"/>
      <c r="BW812" s="570"/>
      <c r="BX812" s="570"/>
      <c r="BY812" s="570"/>
      <c r="BZ812" s="571"/>
      <c r="CA812" s="571"/>
    </row>
    <row r="813" spans="2:79">
      <c r="B813" s="572">
        <v>798</v>
      </c>
      <c r="C813" s="308"/>
      <c r="D813" s="307"/>
      <c r="E813" s="307"/>
      <c r="F813" s="305"/>
      <c r="G813" s="305"/>
      <c r="H813" s="292"/>
      <c r="I813" s="574"/>
      <c r="J813" s="573"/>
      <c r="K813" s="307"/>
      <c r="L813" s="292"/>
      <c r="M813" s="308"/>
      <c r="N813" s="292"/>
      <c r="O813" s="308"/>
      <c r="P813" s="575"/>
      <c r="Q813" s="576"/>
      <c r="R813" s="308"/>
      <c r="S813" s="575"/>
      <c r="T813" s="576"/>
      <c r="U813" s="308"/>
      <c r="V813" s="575"/>
      <c r="W813" s="576"/>
      <c r="X813" s="308"/>
      <c r="Y813" s="575"/>
      <c r="Z813" s="576"/>
      <c r="AA813" s="308"/>
      <c r="AB813" s="575"/>
      <c r="AC813" s="576"/>
      <c r="AD813" s="308"/>
      <c r="AE813" s="575"/>
      <c r="AF813" s="308"/>
      <c r="AG813" s="575"/>
      <c r="AH813" s="308"/>
      <c r="AI813" s="575"/>
      <c r="AJ813" s="308"/>
      <c r="AK813" s="305"/>
      <c r="AL813" s="577"/>
      <c r="AM813" s="306"/>
      <c r="AN813" s="308"/>
      <c r="AO813" s="573"/>
      <c r="AP813" s="305"/>
      <c r="AQ813" s="308"/>
      <c r="AR813" s="573"/>
      <c r="AS813" s="578"/>
      <c r="AT813" s="577"/>
      <c r="AU813" s="579"/>
      <c r="AV813" s="578"/>
      <c r="AW813" s="308"/>
      <c r="AX813" s="307"/>
      <c r="AY813" s="307"/>
      <c r="AZ813" s="307"/>
      <c r="BA813" s="307"/>
      <c r="BB813" s="307"/>
      <c r="BC813" s="305"/>
      <c r="BD813" s="292"/>
      <c r="BE813" s="297"/>
      <c r="BF813" s="297"/>
      <c r="BG813" s="569"/>
      <c r="BH813" s="570"/>
      <c r="BI813" s="570"/>
      <c r="BJ813" s="570"/>
      <c r="BK813" s="570"/>
      <c r="BL813" s="570"/>
      <c r="BM813" s="570"/>
      <c r="BN813" s="570"/>
      <c r="BO813" s="570"/>
      <c r="BP813" s="570"/>
      <c r="BQ813" s="570"/>
      <c r="BR813" s="570"/>
      <c r="BS813" s="570"/>
      <c r="BT813" s="570"/>
      <c r="BU813" s="570"/>
      <c r="BV813" s="570"/>
      <c r="BW813" s="570"/>
      <c r="BX813" s="570"/>
      <c r="BY813" s="570"/>
      <c r="BZ813" s="571"/>
      <c r="CA813" s="571"/>
    </row>
    <row r="814" spans="2:79">
      <c r="B814" s="566">
        <v>799</v>
      </c>
      <c r="C814" s="308"/>
      <c r="D814" s="307"/>
      <c r="E814" s="307"/>
      <c r="F814" s="305"/>
      <c r="G814" s="305"/>
      <c r="H814" s="292"/>
      <c r="I814" s="574"/>
      <c r="J814" s="573"/>
      <c r="K814" s="307"/>
      <c r="L814" s="292"/>
      <c r="M814" s="308"/>
      <c r="N814" s="292"/>
      <c r="O814" s="308"/>
      <c r="P814" s="575"/>
      <c r="Q814" s="576"/>
      <c r="R814" s="308"/>
      <c r="S814" s="575"/>
      <c r="T814" s="576"/>
      <c r="U814" s="308"/>
      <c r="V814" s="575"/>
      <c r="W814" s="576"/>
      <c r="X814" s="308"/>
      <c r="Y814" s="575"/>
      <c r="Z814" s="576"/>
      <c r="AA814" s="308"/>
      <c r="AB814" s="575"/>
      <c r="AC814" s="576"/>
      <c r="AD814" s="308"/>
      <c r="AE814" s="575"/>
      <c r="AF814" s="308"/>
      <c r="AG814" s="575"/>
      <c r="AH814" s="308"/>
      <c r="AI814" s="575"/>
      <c r="AJ814" s="308"/>
      <c r="AK814" s="305"/>
      <c r="AL814" s="577"/>
      <c r="AM814" s="306"/>
      <c r="AN814" s="308"/>
      <c r="AO814" s="573"/>
      <c r="AP814" s="305"/>
      <c r="AQ814" s="308"/>
      <c r="AR814" s="573"/>
      <c r="AS814" s="578"/>
      <c r="AT814" s="577"/>
      <c r="AU814" s="579"/>
      <c r="AV814" s="578"/>
      <c r="AW814" s="308"/>
      <c r="AX814" s="307"/>
      <c r="AY814" s="307"/>
      <c r="AZ814" s="307"/>
      <c r="BA814" s="307"/>
      <c r="BB814" s="307"/>
      <c r="BC814" s="305"/>
      <c r="BD814" s="292"/>
      <c r="BE814" s="297"/>
      <c r="BF814" s="297"/>
      <c r="BG814" s="569"/>
      <c r="BH814" s="570"/>
      <c r="BI814" s="570"/>
      <c r="BJ814" s="570"/>
      <c r="BK814" s="570"/>
      <c r="BL814" s="570"/>
      <c r="BM814" s="570"/>
      <c r="BN814" s="570"/>
      <c r="BO814" s="570"/>
      <c r="BP814" s="570"/>
      <c r="BQ814" s="570"/>
      <c r="BR814" s="570"/>
      <c r="BS814" s="570"/>
      <c r="BT814" s="570"/>
      <c r="BU814" s="570"/>
      <c r="BV814" s="570"/>
      <c r="BW814" s="570"/>
      <c r="BX814" s="570"/>
      <c r="BY814" s="570"/>
      <c r="BZ814" s="571"/>
      <c r="CA814" s="571"/>
    </row>
    <row r="815" spans="2:79">
      <c r="B815" s="572">
        <v>800</v>
      </c>
      <c r="C815" s="308"/>
      <c r="D815" s="307"/>
      <c r="E815" s="307"/>
      <c r="F815" s="305"/>
      <c r="G815" s="305"/>
      <c r="H815" s="292"/>
      <c r="I815" s="574"/>
      <c r="J815" s="573"/>
      <c r="K815" s="307"/>
      <c r="L815" s="292"/>
      <c r="M815" s="308"/>
      <c r="N815" s="292"/>
      <c r="O815" s="308"/>
      <c r="P815" s="575"/>
      <c r="Q815" s="576"/>
      <c r="R815" s="308"/>
      <c r="S815" s="575"/>
      <c r="T815" s="576"/>
      <c r="U815" s="308"/>
      <c r="V815" s="575"/>
      <c r="W815" s="576"/>
      <c r="X815" s="308"/>
      <c r="Y815" s="575"/>
      <c r="Z815" s="576"/>
      <c r="AA815" s="308"/>
      <c r="AB815" s="575"/>
      <c r="AC815" s="576"/>
      <c r="AD815" s="308"/>
      <c r="AE815" s="575"/>
      <c r="AF815" s="308"/>
      <c r="AG815" s="575"/>
      <c r="AH815" s="308"/>
      <c r="AI815" s="575"/>
      <c r="AJ815" s="308"/>
      <c r="AK815" s="305"/>
      <c r="AL815" s="577"/>
      <c r="AM815" s="306"/>
      <c r="AN815" s="308"/>
      <c r="AO815" s="573"/>
      <c r="AP815" s="305"/>
      <c r="AQ815" s="308"/>
      <c r="AR815" s="573"/>
      <c r="AS815" s="578"/>
      <c r="AT815" s="577"/>
      <c r="AU815" s="579"/>
      <c r="AV815" s="578"/>
      <c r="AW815" s="308"/>
      <c r="AX815" s="307"/>
      <c r="AY815" s="307"/>
      <c r="AZ815" s="307"/>
      <c r="BA815" s="307"/>
      <c r="BB815" s="307"/>
      <c r="BC815" s="305"/>
      <c r="BD815" s="292"/>
      <c r="BE815" s="297"/>
      <c r="BF815" s="297"/>
      <c r="BG815" s="569"/>
      <c r="BH815" s="570"/>
      <c r="BI815" s="570"/>
      <c r="BJ815" s="570"/>
      <c r="BK815" s="570"/>
      <c r="BL815" s="570"/>
      <c r="BM815" s="570"/>
      <c r="BN815" s="570"/>
      <c r="BO815" s="570"/>
      <c r="BP815" s="570"/>
      <c r="BQ815" s="570"/>
      <c r="BR815" s="570"/>
      <c r="BS815" s="570"/>
      <c r="BT815" s="570"/>
      <c r="BU815" s="570"/>
      <c r="BV815" s="570"/>
      <c r="BW815" s="570"/>
      <c r="BX815" s="570"/>
      <c r="BY815" s="570"/>
      <c r="BZ815" s="571"/>
      <c r="CA815" s="571"/>
    </row>
    <row r="816" spans="2:79">
      <c r="B816" s="566">
        <v>801</v>
      </c>
      <c r="C816" s="308"/>
      <c r="D816" s="307"/>
      <c r="E816" s="307"/>
      <c r="F816" s="305"/>
      <c r="G816" s="305"/>
      <c r="H816" s="292"/>
      <c r="I816" s="574"/>
      <c r="J816" s="573"/>
      <c r="K816" s="307"/>
      <c r="L816" s="292"/>
      <c r="M816" s="308"/>
      <c r="N816" s="292"/>
      <c r="O816" s="308"/>
      <c r="P816" s="575"/>
      <c r="Q816" s="576"/>
      <c r="R816" s="308"/>
      <c r="S816" s="575"/>
      <c r="T816" s="576"/>
      <c r="U816" s="308"/>
      <c r="V816" s="575"/>
      <c r="W816" s="576"/>
      <c r="X816" s="308"/>
      <c r="Y816" s="575"/>
      <c r="Z816" s="576"/>
      <c r="AA816" s="308"/>
      <c r="AB816" s="575"/>
      <c r="AC816" s="576"/>
      <c r="AD816" s="308"/>
      <c r="AE816" s="575"/>
      <c r="AF816" s="308"/>
      <c r="AG816" s="575"/>
      <c r="AH816" s="308"/>
      <c r="AI816" s="575"/>
      <c r="AJ816" s="308"/>
      <c r="AK816" s="305"/>
      <c r="AL816" s="577"/>
      <c r="AM816" s="306"/>
      <c r="AN816" s="308"/>
      <c r="AO816" s="573"/>
      <c r="AP816" s="305"/>
      <c r="AQ816" s="308"/>
      <c r="AR816" s="573"/>
      <c r="AS816" s="578"/>
      <c r="AT816" s="577"/>
      <c r="AU816" s="579"/>
      <c r="AV816" s="578"/>
      <c r="AW816" s="308"/>
      <c r="AX816" s="307"/>
      <c r="AY816" s="307"/>
      <c r="AZ816" s="307"/>
      <c r="BA816" s="307"/>
      <c r="BB816" s="307"/>
      <c r="BC816" s="305"/>
      <c r="BD816" s="292"/>
      <c r="BE816" s="297"/>
      <c r="BF816" s="297"/>
      <c r="BG816" s="569"/>
      <c r="BH816" s="570"/>
      <c r="BI816" s="570"/>
      <c r="BJ816" s="570"/>
      <c r="BK816" s="570"/>
      <c r="BL816" s="570"/>
      <c r="BM816" s="570"/>
      <c r="BN816" s="570"/>
      <c r="BO816" s="570"/>
      <c r="BP816" s="570"/>
      <c r="BQ816" s="570"/>
      <c r="BR816" s="570"/>
      <c r="BS816" s="570"/>
      <c r="BT816" s="570"/>
      <c r="BU816" s="570"/>
      <c r="BV816" s="570"/>
      <c r="BW816" s="570"/>
      <c r="BX816" s="570"/>
      <c r="BY816" s="570"/>
      <c r="BZ816" s="571"/>
      <c r="CA816" s="571"/>
    </row>
    <row r="817" spans="2:79">
      <c r="B817" s="572">
        <v>802</v>
      </c>
      <c r="C817" s="308"/>
      <c r="D817" s="307"/>
      <c r="E817" s="307"/>
      <c r="F817" s="305"/>
      <c r="G817" s="305"/>
      <c r="H817" s="292"/>
      <c r="I817" s="574"/>
      <c r="J817" s="573"/>
      <c r="K817" s="307"/>
      <c r="L817" s="292"/>
      <c r="M817" s="308"/>
      <c r="N817" s="292"/>
      <c r="O817" s="308"/>
      <c r="P817" s="575"/>
      <c r="Q817" s="576"/>
      <c r="R817" s="308"/>
      <c r="S817" s="575"/>
      <c r="T817" s="576"/>
      <c r="U817" s="308"/>
      <c r="V817" s="575"/>
      <c r="W817" s="576"/>
      <c r="X817" s="308"/>
      <c r="Y817" s="575"/>
      <c r="Z817" s="576"/>
      <c r="AA817" s="308"/>
      <c r="AB817" s="575"/>
      <c r="AC817" s="576"/>
      <c r="AD817" s="308"/>
      <c r="AE817" s="575"/>
      <c r="AF817" s="308"/>
      <c r="AG817" s="575"/>
      <c r="AH817" s="308"/>
      <c r="AI817" s="575"/>
      <c r="AJ817" s="308"/>
      <c r="AK817" s="305"/>
      <c r="AL817" s="577"/>
      <c r="AM817" s="306"/>
      <c r="AN817" s="308"/>
      <c r="AO817" s="573"/>
      <c r="AP817" s="305"/>
      <c r="AQ817" s="308"/>
      <c r="AR817" s="573"/>
      <c r="AS817" s="578"/>
      <c r="AT817" s="577"/>
      <c r="AU817" s="579"/>
      <c r="AV817" s="578"/>
      <c r="AW817" s="308"/>
      <c r="AX817" s="307"/>
      <c r="AY817" s="307"/>
      <c r="AZ817" s="307"/>
      <c r="BA817" s="307"/>
      <c r="BB817" s="307"/>
      <c r="BC817" s="305"/>
      <c r="BD817" s="292"/>
      <c r="BE817" s="297"/>
      <c r="BF817" s="297"/>
      <c r="BG817" s="569"/>
      <c r="BH817" s="570"/>
      <c r="BI817" s="570"/>
      <c r="BJ817" s="570"/>
      <c r="BK817" s="570"/>
      <c r="BL817" s="570"/>
      <c r="BM817" s="570"/>
      <c r="BN817" s="570"/>
      <c r="BO817" s="570"/>
      <c r="BP817" s="570"/>
      <c r="BQ817" s="570"/>
      <c r="BR817" s="570"/>
      <c r="BS817" s="570"/>
      <c r="BT817" s="570"/>
      <c r="BU817" s="570"/>
      <c r="BV817" s="570"/>
      <c r="BW817" s="570"/>
      <c r="BX817" s="570"/>
      <c r="BY817" s="570"/>
      <c r="BZ817" s="571"/>
      <c r="CA817" s="571"/>
    </row>
    <row r="818" spans="2:79">
      <c r="B818" s="566">
        <v>803</v>
      </c>
      <c r="C818" s="308"/>
      <c r="D818" s="307"/>
      <c r="E818" s="307"/>
      <c r="F818" s="305"/>
      <c r="G818" s="305"/>
      <c r="H818" s="292"/>
      <c r="I818" s="574"/>
      <c r="J818" s="573"/>
      <c r="K818" s="307"/>
      <c r="L818" s="292"/>
      <c r="M818" s="308"/>
      <c r="N818" s="292"/>
      <c r="O818" s="308"/>
      <c r="P818" s="575"/>
      <c r="Q818" s="576"/>
      <c r="R818" s="308"/>
      <c r="S818" s="575"/>
      <c r="T818" s="576"/>
      <c r="U818" s="308"/>
      <c r="V818" s="575"/>
      <c r="W818" s="576"/>
      <c r="X818" s="308"/>
      <c r="Y818" s="575"/>
      <c r="Z818" s="576"/>
      <c r="AA818" s="308"/>
      <c r="AB818" s="575"/>
      <c r="AC818" s="576"/>
      <c r="AD818" s="308"/>
      <c r="AE818" s="575"/>
      <c r="AF818" s="308"/>
      <c r="AG818" s="575"/>
      <c r="AH818" s="308"/>
      <c r="AI818" s="575"/>
      <c r="AJ818" s="308"/>
      <c r="AK818" s="305"/>
      <c r="AL818" s="577"/>
      <c r="AM818" s="306"/>
      <c r="AN818" s="308"/>
      <c r="AO818" s="573"/>
      <c r="AP818" s="305"/>
      <c r="AQ818" s="308"/>
      <c r="AR818" s="573"/>
      <c r="AS818" s="578"/>
      <c r="AT818" s="577"/>
      <c r="AU818" s="579"/>
      <c r="AV818" s="578"/>
      <c r="AW818" s="308"/>
      <c r="AX818" s="307"/>
      <c r="AY818" s="307"/>
      <c r="AZ818" s="307"/>
      <c r="BA818" s="307"/>
      <c r="BB818" s="307"/>
      <c r="BC818" s="305"/>
      <c r="BD818" s="292"/>
      <c r="BE818" s="297"/>
      <c r="BF818" s="297"/>
      <c r="BG818" s="569"/>
      <c r="BH818" s="570"/>
      <c r="BI818" s="570"/>
      <c r="BJ818" s="570"/>
      <c r="BK818" s="570"/>
      <c r="BL818" s="570"/>
      <c r="BM818" s="570"/>
      <c r="BN818" s="570"/>
      <c r="BO818" s="570"/>
      <c r="BP818" s="570"/>
      <c r="BQ818" s="570"/>
      <c r="BR818" s="570"/>
      <c r="BS818" s="570"/>
      <c r="BT818" s="570"/>
      <c r="BU818" s="570"/>
      <c r="BV818" s="570"/>
      <c r="BW818" s="570"/>
      <c r="BX818" s="570"/>
      <c r="BY818" s="570"/>
      <c r="BZ818" s="571"/>
      <c r="CA818" s="571"/>
    </row>
    <row r="819" spans="2:79">
      <c r="B819" s="572">
        <v>804</v>
      </c>
      <c r="C819" s="308"/>
      <c r="D819" s="307"/>
      <c r="E819" s="307"/>
      <c r="F819" s="305"/>
      <c r="G819" s="305"/>
      <c r="H819" s="292"/>
      <c r="I819" s="574"/>
      <c r="J819" s="573"/>
      <c r="K819" s="307"/>
      <c r="L819" s="292"/>
      <c r="M819" s="308"/>
      <c r="N819" s="292"/>
      <c r="O819" s="308"/>
      <c r="P819" s="575"/>
      <c r="Q819" s="576"/>
      <c r="R819" s="308"/>
      <c r="S819" s="575"/>
      <c r="T819" s="576"/>
      <c r="U819" s="308"/>
      <c r="V819" s="575"/>
      <c r="W819" s="576"/>
      <c r="X819" s="308"/>
      <c r="Y819" s="575"/>
      <c r="Z819" s="576"/>
      <c r="AA819" s="308"/>
      <c r="AB819" s="575"/>
      <c r="AC819" s="576"/>
      <c r="AD819" s="308"/>
      <c r="AE819" s="575"/>
      <c r="AF819" s="308"/>
      <c r="AG819" s="575"/>
      <c r="AH819" s="308"/>
      <c r="AI819" s="575"/>
      <c r="AJ819" s="308"/>
      <c r="AK819" s="305"/>
      <c r="AL819" s="577"/>
      <c r="AM819" s="306"/>
      <c r="AN819" s="308"/>
      <c r="AO819" s="573"/>
      <c r="AP819" s="305"/>
      <c r="AQ819" s="308"/>
      <c r="AR819" s="573"/>
      <c r="AS819" s="578"/>
      <c r="AT819" s="577"/>
      <c r="AU819" s="579"/>
      <c r="AV819" s="578"/>
      <c r="AW819" s="308"/>
      <c r="AX819" s="307"/>
      <c r="AY819" s="307"/>
      <c r="AZ819" s="307"/>
      <c r="BA819" s="307"/>
      <c r="BB819" s="307"/>
      <c r="BC819" s="305"/>
      <c r="BD819" s="292"/>
      <c r="BE819" s="297"/>
      <c r="BF819" s="297"/>
      <c r="BG819" s="569"/>
      <c r="BH819" s="570"/>
      <c r="BI819" s="570"/>
      <c r="BJ819" s="570"/>
      <c r="BK819" s="570"/>
      <c r="BL819" s="570"/>
      <c r="BM819" s="570"/>
      <c r="BN819" s="570"/>
      <c r="BO819" s="570"/>
      <c r="BP819" s="570"/>
      <c r="BQ819" s="570"/>
      <c r="BR819" s="570"/>
      <c r="BS819" s="570"/>
      <c r="BT819" s="570"/>
      <c r="BU819" s="570"/>
      <c r="BV819" s="570"/>
      <c r="BW819" s="570"/>
      <c r="BX819" s="570"/>
      <c r="BY819" s="570"/>
      <c r="BZ819" s="571"/>
      <c r="CA819" s="571"/>
    </row>
    <row r="820" spans="2:79">
      <c r="B820" s="566">
        <v>805</v>
      </c>
      <c r="C820" s="308"/>
      <c r="D820" s="307"/>
      <c r="E820" s="307"/>
      <c r="F820" s="305"/>
      <c r="G820" s="305"/>
      <c r="H820" s="292"/>
      <c r="I820" s="574"/>
      <c r="J820" s="573"/>
      <c r="K820" s="307"/>
      <c r="L820" s="292"/>
      <c r="M820" s="308"/>
      <c r="N820" s="292"/>
      <c r="O820" s="308"/>
      <c r="P820" s="575"/>
      <c r="Q820" s="576"/>
      <c r="R820" s="308"/>
      <c r="S820" s="575"/>
      <c r="T820" s="576"/>
      <c r="U820" s="308"/>
      <c r="V820" s="575"/>
      <c r="W820" s="576"/>
      <c r="X820" s="308"/>
      <c r="Y820" s="575"/>
      <c r="Z820" s="576"/>
      <c r="AA820" s="308"/>
      <c r="AB820" s="575"/>
      <c r="AC820" s="576"/>
      <c r="AD820" s="308"/>
      <c r="AE820" s="575"/>
      <c r="AF820" s="308"/>
      <c r="AG820" s="575"/>
      <c r="AH820" s="308"/>
      <c r="AI820" s="575"/>
      <c r="AJ820" s="308"/>
      <c r="AK820" s="305"/>
      <c r="AL820" s="577"/>
      <c r="AM820" s="306"/>
      <c r="AN820" s="308"/>
      <c r="AO820" s="573"/>
      <c r="AP820" s="305"/>
      <c r="AQ820" s="308"/>
      <c r="AR820" s="573"/>
      <c r="AS820" s="578"/>
      <c r="AT820" s="577"/>
      <c r="AU820" s="579"/>
      <c r="AV820" s="578"/>
      <c r="AW820" s="308"/>
      <c r="AX820" s="307"/>
      <c r="AY820" s="307"/>
      <c r="AZ820" s="307"/>
      <c r="BA820" s="307"/>
      <c r="BB820" s="307"/>
      <c r="BC820" s="305"/>
      <c r="BD820" s="292"/>
      <c r="BE820" s="297"/>
      <c r="BF820" s="297"/>
      <c r="BG820" s="569"/>
      <c r="BH820" s="570"/>
      <c r="BI820" s="570"/>
      <c r="BJ820" s="570"/>
      <c r="BK820" s="570"/>
      <c r="BL820" s="570"/>
      <c r="BM820" s="570"/>
      <c r="BN820" s="570"/>
      <c r="BO820" s="570"/>
      <c r="BP820" s="570"/>
      <c r="BQ820" s="570"/>
      <c r="BR820" s="570"/>
      <c r="BS820" s="570"/>
      <c r="BT820" s="570"/>
      <c r="BU820" s="570"/>
      <c r="BV820" s="570"/>
      <c r="BW820" s="570"/>
      <c r="BX820" s="570"/>
      <c r="BY820" s="570"/>
      <c r="BZ820" s="571"/>
      <c r="CA820" s="571"/>
    </row>
    <row r="821" spans="2:79">
      <c r="B821" s="572">
        <v>806</v>
      </c>
      <c r="C821" s="308"/>
      <c r="D821" s="307"/>
      <c r="E821" s="307"/>
      <c r="F821" s="305"/>
      <c r="G821" s="305"/>
      <c r="H821" s="292"/>
      <c r="I821" s="574"/>
      <c r="J821" s="573"/>
      <c r="K821" s="307"/>
      <c r="L821" s="292"/>
      <c r="M821" s="308"/>
      <c r="N821" s="292"/>
      <c r="O821" s="308"/>
      <c r="P821" s="575"/>
      <c r="Q821" s="576"/>
      <c r="R821" s="308"/>
      <c r="S821" s="575"/>
      <c r="T821" s="576"/>
      <c r="U821" s="308"/>
      <c r="V821" s="575"/>
      <c r="W821" s="576"/>
      <c r="X821" s="308"/>
      <c r="Y821" s="575"/>
      <c r="Z821" s="576"/>
      <c r="AA821" s="308"/>
      <c r="AB821" s="575"/>
      <c r="AC821" s="576"/>
      <c r="AD821" s="308"/>
      <c r="AE821" s="575"/>
      <c r="AF821" s="308"/>
      <c r="AG821" s="575"/>
      <c r="AH821" s="308"/>
      <c r="AI821" s="575"/>
      <c r="AJ821" s="308"/>
      <c r="AK821" s="305"/>
      <c r="AL821" s="577"/>
      <c r="AM821" s="306"/>
      <c r="AN821" s="308"/>
      <c r="AO821" s="573"/>
      <c r="AP821" s="305"/>
      <c r="AQ821" s="308"/>
      <c r="AR821" s="573"/>
      <c r="AS821" s="578"/>
      <c r="AT821" s="577"/>
      <c r="AU821" s="579"/>
      <c r="AV821" s="578"/>
      <c r="AW821" s="308"/>
      <c r="AX821" s="307"/>
      <c r="AY821" s="307"/>
      <c r="AZ821" s="307"/>
      <c r="BA821" s="307"/>
      <c r="BB821" s="307"/>
      <c r="BC821" s="305"/>
      <c r="BD821" s="292"/>
      <c r="BE821" s="297"/>
      <c r="BF821" s="297"/>
      <c r="BG821" s="569"/>
      <c r="BH821" s="570"/>
      <c r="BI821" s="570"/>
      <c r="BJ821" s="570"/>
      <c r="BK821" s="570"/>
      <c r="BL821" s="570"/>
      <c r="BM821" s="570"/>
      <c r="BN821" s="570"/>
      <c r="BO821" s="570"/>
      <c r="BP821" s="570"/>
      <c r="BQ821" s="570"/>
      <c r="BR821" s="570"/>
      <c r="BS821" s="570"/>
      <c r="BT821" s="570"/>
      <c r="BU821" s="570"/>
      <c r="BV821" s="570"/>
      <c r="BW821" s="570"/>
      <c r="BX821" s="570"/>
      <c r="BY821" s="570"/>
      <c r="BZ821" s="571"/>
      <c r="CA821" s="571"/>
    </row>
    <row r="822" spans="2:79">
      <c r="B822" s="566">
        <v>807</v>
      </c>
      <c r="C822" s="308"/>
      <c r="D822" s="307"/>
      <c r="E822" s="307"/>
      <c r="F822" s="305"/>
      <c r="G822" s="305"/>
      <c r="H822" s="292"/>
      <c r="I822" s="574"/>
      <c r="J822" s="573"/>
      <c r="K822" s="307"/>
      <c r="L822" s="292"/>
      <c r="M822" s="308"/>
      <c r="N822" s="292"/>
      <c r="O822" s="308"/>
      <c r="P822" s="575"/>
      <c r="Q822" s="576"/>
      <c r="R822" s="308"/>
      <c r="S822" s="575"/>
      <c r="T822" s="576"/>
      <c r="U822" s="308"/>
      <c r="V822" s="575"/>
      <c r="W822" s="576"/>
      <c r="X822" s="308"/>
      <c r="Y822" s="575"/>
      <c r="Z822" s="576"/>
      <c r="AA822" s="308"/>
      <c r="AB822" s="575"/>
      <c r="AC822" s="576"/>
      <c r="AD822" s="308"/>
      <c r="AE822" s="575"/>
      <c r="AF822" s="308"/>
      <c r="AG822" s="575"/>
      <c r="AH822" s="308"/>
      <c r="AI822" s="575"/>
      <c r="AJ822" s="308"/>
      <c r="AK822" s="305"/>
      <c r="AL822" s="577"/>
      <c r="AM822" s="306"/>
      <c r="AN822" s="308"/>
      <c r="AO822" s="573"/>
      <c r="AP822" s="305"/>
      <c r="AQ822" s="308"/>
      <c r="AR822" s="573"/>
      <c r="AS822" s="578"/>
      <c r="AT822" s="577"/>
      <c r="AU822" s="579"/>
      <c r="AV822" s="578"/>
      <c r="AW822" s="308"/>
      <c r="AX822" s="307"/>
      <c r="AY822" s="307"/>
      <c r="AZ822" s="307"/>
      <c r="BA822" s="307"/>
      <c r="BB822" s="307"/>
      <c r="BC822" s="305"/>
      <c r="BD822" s="292"/>
      <c r="BE822" s="297"/>
      <c r="BF822" s="297"/>
      <c r="BG822" s="569"/>
      <c r="BH822" s="570"/>
      <c r="BI822" s="570"/>
      <c r="BJ822" s="570"/>
      <c r="BK822" s="570"/>
      <c r="BL822" s="570"/>
      <c r="BM822" s="570"/>
      <c r="BN822" s="570"/>
      <c r="BO822" s="570"/>
      <c r="BP822" s="570"/>
      <c r="BQ822" s="570"/>
      <c r="BR822" s="570"/>
      <c r="BS822" s="570"/>
      <c r="BT822" s="570"/>
      <c r="BU822" s="570"/>
      <c r="BV822" s="570"/>
      <c r="BW822" s="570"/>
      <c r="BX822" s="570"/>
      <c r="BY822" s="570"/>
      <c r="BZ822" s="571"/>
      <c r="CA822" s="571"/>
    </row>
    <row r="823" spans="2:79">
      <c r="B823" s="572">
        <v>808</v>
      </c>
      <c r="C823" s="308"/>
      <c r="D823" s="307"/>
      <c r="E823" s="307"/>
      <c r="F823" s="305"/>
      <c r="G823" s="305"/>
      <c r="H823" s="292"/>
      <c r="I823" s="574"/>
      <c r="J823" s="573"/>
      <c r="K823" s="307"/>
      <c r="L823" s="292"/>
      <c r="M823" s="308"/>
      <c r="N823" s="292"/>
      <c r="O823" s="308"/>
      <c r="P823" s="575"/>
      <c r="Q823" s="576"/>
      <c r="R823" s="308"/>
      <c r="S823" s="575"/>
      <c r="T823" s="576"/>
      <c r="U823" s="308"/>
      <c r="V823" s="575"/>
      <c r="W823" s="576"/>
      <c r="X823" s="308"/>
      <c r="Y823" s="575"/>
      <c r="Z823" s="576"/>
      <c r="AA823" s="308"/>
      <c r="AB823" s="575"/>
      <c r="AC823" s="576"/>
      <c r="AD823" s="308"/>
      <c r="AE823" s="575"/>
      <c r="AF823" s="308"/>
      <c r="AG823" s="575"/>
      <c r="AH823" s="308"/>
      <c r="AI823" s="575"/>
      <c r="AJ823" s="308"/>
      <c r="AK823" s="305"/>
      <c r="AL823" s="577"/>
      <c r="AM823" s="306"/>
      <c r="AN823" s="308"/>
      <c r="AO823" s="573"/>
      <c r="AP823" s="305"/>
      <c r="AQ823" s="308"/>
      <c r="AR823" s="573"/>
      <c r="AS823" s="578"/>
      <c r="AT823" s="577"/>
      <c r="AU823" s="579"/>
      <c r="AV823" s="578"/>
      <c r="AW823" s="308"/>
      <c r="AX823" s="307"/>
      <c r="AY823" s="307"/>
      <c r="AZ823" s="307"/>
      <c r="BA823" s="307"/>
      <c r="BB823" s="307"/>
      <c r="BC823" s="305"/>
      <c r="BD823" s="292"/>
      <c r="BE823" s="297"/>
      <c r="BF823" s="297"/>
      <c r="BG823" s="569"/>
      <c r="BH823" s="570"/>
      <c r="BI823" s="570"/>
      <c r="BJ823" s="570"/>
      <c r="BK823" s="570"/>
      <c r="BL823" s="570"/>
      <c r="BM823" s="570"/>
      <c r="BN823" s="570"/>
      <c r="BO823" s="570"/>
      <c r="BP823" s="570"/>
      <c r="BQ823" s="570"/>
      <c r="BR823" s="570"/>
      <c r="BS823" s="570"/>
      <c r="BT823" s="570"/>
      <c r="BU823" s="570"/>
      <c r="BV823" s="570"/>
      <c r="BW823" s="570"/>
      <c r="BX823" s="570"/>
      <c r="BY823" s="570"/>
      <c r="BZ823" s="571"/>
      <c r="CA823" s="571"/>
    </row>
    <row r="824" spans="2:79">
      <c r="B824" s="566">
        <v>809</v>
      </c>
      <c r="C824" s="308"/>
      <c r="D824" s="307"/>
      <c r="E824" s="307"/>
      <c r="F824" s="305"/>
      <c r="G824" s="305"/>
      <c r="H824" s="292"/>
      <c r="I824" s="574"/>
      <c r="J824" s="573"/>
      <c r="K824" s="307"/>
      <c r="L824" s="292"/>
      <c r="M824" s="308"/>
      <c r="N824" s="292"/>
      <c r="O824" s="308"/>
      <c r="P824" s="575"/>
      <c r="Q824" s="576"/>
      <c r="R824" s="308"/>
      <c r="S824" s="575"/>
      <c r="T824" s="576"/>
      <c r="U824" s="308"/>
      <c r="V824" s="575"/>
      <c r="W824" s="576"/>
      <c r="X824" s="308"/>
      <c r="Y824" s="575"/>
      <c r="Z824" s="576"/>
      <c r="AA824" s="308"/>
      <c r="AB824" s="575"/>
      <c r="AC824" s="576"/>
      <c r="AD824" s="308"/>
      <c r="AE824" s="575"/>
      <c r="AF824" s="308"/>
      <c r="AG824" s="575"/>
      <c r="AH824" s="308"/>
      <c r="AI824" s="575"/>
      <c r="AJ824" s="308"/>
      <c r="AK824" s="305"/>
      <c r="AL824" s="577"/>
      <c r="AM824" s="306"/>
      <c r="AN824" s="308"/>
      <c r="AO824" s="573"/>
      <c r="AP824" s="305"/>
      <c r="AQ824" s="308"/>
      <c r="AR824" s="573"/>
      <c r="AS824" s="578"/>
      <c r="AT824" s="577"/>
      <c r="AU824" s="579"/>
      <c r="AV824" s="578"/>
      <c r="AW824" s="308"/>
      <c r="AX824" s="307"/>
      <c r="AY824" s="307"/>
      <c r="AZ824" s="307"/>
      <c r="BA824" s="307"/>
      <c r="BB824" s="307"/>
      <c r="BC824" s="305"/>
      <c r="BD824" s="292"/>
      <c r="BE824" s="297"/>
      <c r="BF824" s="297"/>
      <c r="BG824" s="569"/>
      <c r="BH824" s="570"/>
      <c r="BI824" s="570"/>
      <c r="BJ824" s="570"/>
      <c r="BK824" s="570"/>
      <c r="BL824" s="570"/>
      <c r="BM824" s="570"/>
      <c r="BN824" s="570"/>
      <c r="BO824" s="570"/>
      <c r="BP824" s="570"/>
      <c r="BQ824" s="570"/>
      <c r="BR824" s="570"/>
      <c r="BS824" s="570"/>
      <c r="BT824" s="570"/>
      <c r="BU824" s="570"/>
      <c r="BV824" s="570"/>
      <c r="BW824" s="570"/>
      <c r="BX824" s="570"/>
      <c r="BY824" s="570"/>
      <c r="BZ824" s="571"/>
      <c r="CA824" s="571"/>
    </row>
    <row r="825" spans="2:79">
      <c r="B825" s="572">
        <v>810</v>
      </c>
      <c r="C825" s="308"/>
      <c r="D825" s="307"/>
      <c r="E825" s="307"/>
      <c r="F825" s="305"/>
      <c r="G825" s="305"/>
      <c r="H825" s="292"/>
      <c r="I825" s="574"/>
      <c r="J825" s="573"/>
      <c r="K825" s="307"/>
      <c r="L825" s="292"/>
      <c r="M825" s="308"/>
      <c r="N825" s="292"/>
      <c r="O825" s="308"/>
      <c r="P825" s="575"/>
      <c r="Q825" s="576"/>
      <c r="R825" s="308"/>
      <c r="S825" s="575"/>
      <c r="T825" s="576"/>
      <c r="U825" s="308"/>
      <c r="V825" s="575"/>
      <c r="W825" s="576"/>
      <c r="X825" s="308"/>
      <c r="Y825" s="575"/>
      <c r="Z825" s="576"/>
      <c r="AA825" s="308"/>
      <c r="AB825" s="575"/>
      <c r="AC825" s="576"/>
      <c r="AD825" s="308"/>
      <c r="AE825" s="575"/>
      <c r="AF825" s="308"/>
      <c r="AG825" s="575"/>
      <c r="AH825" s="308"/>
      <c r="AI825" s="575"/>
      <c r="AJ825" s="308"/>
      <c r="AK825" s="305"/>
      <c r="AL825" s="577"/>
      <c r="AM825" s="306"/>
      <c r="AN825" s="308"/>
      <c r="AO825" s="573"/>
      <c r="AP825" s="305"/>
      <c r="AQ825" s="308"/>
      <c r="AR825" s="573"/>
      <c r="AS825" s="578"/>
      <c r="AT825" s="577"/>
      <c r="AU825" s="579"/>
      <c r="AV825" s="578"/>
      <c r="AW825" s="308"/>
      <c r="AX825" s="307"/>
      <c r="AY825" s="307"/>
      <c r="AZ825" s="307"/>
      <c r="BA825" s="307"/>
      <c r="BB825" s="307"/>
      <c r="BC825" s="305"/>
      <c r="BD825" s="292"/>
      <c r="BE825" s="297"/>
      <c r="BF825" s="297"/>
      <c r="BG825" s="569"/>
      <c r="BH825" s="570"/>
      <c r="BI825" s="570"/>
      <c r="BJ825" s="570"/>
      <c r="BK825" s="570"/>
      <c r="BL825" s="570"/>
      <c r="BM825" s="570"/>
      <c r="BN825" s="570"/>
      <c r="BO825" s="570"/>
      <c r="BP825" s="570"/>
      <c r="BQ825" s="570"/>
      <c r="BR825" s="570"/>
      <c r="BS825" s="570"/>
      <c r="BT825" s="570"/>
      <c r="BU825" s="570"/>
      <c r="BV825" s="570"/>
      <c r="BW825" s="570"/>
      <c r="BX825" s="570"/>
      <c r="BY825" s="570"/>
      <c r="BZ825" s="571"/>
      <c r="CA825" s="571"/>
    </row>
    <row r="826" spans="2:79">
      <c r="B826" s="566">
        <v>811</v>
      </c>
      <c r="C826" s="308"/>
      <c r="D826" s="307"/>
      <c r="E826" s="307"/>
      <c r="F826" s="305"/>
      <c r="G826" s="305"/>
      <c r="H826" s="292"/>
      <c r="I826" s="574"/>
      <c r="J826" s="573"/>
      <c r="K826" s="307"/>
      <c r="L826" s="292"/>
      <c r="M826" s="308"/>
      <c r="N826" s="292"/>
      <c r="O826" s="308"/>
      <c r="P826" s="575"/>
      <c r="Q826" s="576"/>
      <c r="R826" s="308"/>
      <c r="S826" s="575"/>
      <c r="T826" s="576"/>
      <c r="U826" s="308"/>
      <c r="V826" s="575"/>
      <c r="W826" s="576"/>
      <c r="X826" s="308"/>
      <c r="Y826" s="575"/>
      <c r="Z826" s="576"/>
      <c r="AA826" s="308"/>
      <c r="AB826" s="575"/>
      <c r="AC826" s="576"/>
      <c r="AD826" s="308"/>
      <c r="AE826" s="575"/>
      <c r="AF826" s="308"/>
      <c r="AG826" s="575"/>
      <c r="AH826" s="308"/>
      <c r="AI826" s="575"/>
      <c r="AJ826" s="308"/>
      <c r="AK826" s="305"/>
      <c r="AL826" s="577"/>
      <c r="AM826" s="306"/>
      <c r="AN826" s="308"/>
      <c r="AO826" s="573"/>
      <c r="AP826" s="305"/>
      <c r="AQ826" s="308"/>
      <c r="AR826" s="573"/>
      <c r="AS826" s="578"/>
      <c r="AT826" s="577"/>
      <c r="AU826" s="579"/>
      <c r="AV826" s="578"/>
      <c r="AW826" s="308"/>
      <c r="AX826" s="307"/>
      <c r="AY826" s="307"/>
      <c r="AZ826" s="307"/>
      <c r="BA826" s="307"/>
      <c r="BB826" s="307"/>
      <c r="BC826" s="305"/>
      <c r="BD826" s="292"/>
      <c r="BE826" s="297"/>
      <c r="BF826" s="297"/>
      <c r="BG826" s="569"/>
      <c r="BH826" s="570"/>
      <c r="BI826" s="570"/>
      <c r="BJ826" s="570"/>
      <c r="BK826" s="570"/>
      <c r="BL826" s="570"/>
      <c r="BM826" s="570"/>
      <c r="BN826" s="570"/>
      <c r="BO826" s="570"/>
      <c r="BP826" s="570"/>
      <c r="BQ826" s="570"/>
      <c r="BR826" s="570"/>
      <c r="BS826" s="570"/>
      <c r="BT826" s="570"/>
      <c r="BU826" s="570"/>
      <c r="BV826" s="570"/>
      <c r="BW826" s="570"/>
      <c r="BX826" s="570"/>
      <c r="BY826" s="570"/>
      <c r="BZ826" s="571"/>
      <c r="CA826" s="571"/>
    </row>
    <row r="827" spans="2:79">
      <c r="B827" s="572">
        <v>812</v>
      </c>
      <c r="C827" s="308"/>
      <c r="D827" s="307"/>
      <c r="E827" s="307"/>
      <c r="F827" s="305"/>
      <c r="G827" s="305"/>
      <c r="H827" s="292"/>
      <c r="I827" s="574"/>
      <c r="J827" s="573"/>
      <c r="K827" s="307"/>
      <c r="L827" s="292"/>
      <c r="M827" s="308"/>
      <c r="N827" s="292"/>
      <c r="O827" s="308"/>
      <c r="P827" s="575"/>
      <c r="Q827" s="576"/>
      <c r="R827" s="308"/>
      <c r="S827" s="575"/>
      <c r="T827" s="576"/>
      <c r="U827" s="308"/>
      <c r="V827" s="575"/>
      <c r="W827" s="576"/>
      <c r="X827" s="308"/>
      <c r="Y827" s="575"/>
      <c r="Z827" s="576"/>
      <c r="AA827" s="308"/>
      <c r="AB827" s="575"/>
      <c r="AC827" s="576"/>
      <c r="AD827" s="308"/>
      <c r="AE827" s="575"/>
      <c r="AF827" s="308"/>
      <c r="AG827" s="575"/>
      <c r="AH827" s="308"/>
      <c r="AI827" s="575"/>
      <c r="AJ827" s="308"/>
      <c r="AK827" s="305"/>
      <c r="AL827" s="577"/>
      <c r="AM827" s="306"/>
      <c r="AN827" s="308"/>
      <c r="AO827" s="573"/>
      <c r="AP827" s="305"/>
      <c r="AQ827" s="308"/>
      <c r="AR827" s="573"/>
      <c r="AS827" s="578"/>
      <c r="AT827" s="577"/>
      <c r="AU827" s="579"/>
      <c r="AV827" s="578"/>
      <c r="AW827" s="308"/>
      <c r="AX827" s="307"/>
      <c r="AY827" s="307"/>
      <c r="AZ827" s="307"/>
      <c r="BA827" s="307"/>
      <c r="BB827" s="307"/>
      <c r="BC827" s="305"/>
      <c r="BD827" s="292"/>
      <c r="BE827" s="297"/>
      <c r="BF827" s="297"/>
      <c r="BG827" s="569"/>
      <c r="BH827" s="570"/>
      <c r="BI827" s="570"/>
      <c r="BJ827" s="570"/>
      <c r="BK827" s="570"/>
      <c r="BL827" s="570"/>
      <c r="BM827" s="570"/>
      <c r="BN827" s="570"/>
      <c r="BO827" s="570"/>
      <c r="BP827" s="570"/>
      <c r="BQ827" s="570"/>
      <c r="BR827" s="570"/>
      <c r="BS827" s="570"/>
      <c r="BT827" s="570"/>
      <c r="BU827" s="570"/>
      <c r="BV827" s="570"/>
      <c r="BW827" s="570"/>
      <c r="BX827" s="570"/>
      <c r="BY827" s="570"/>
      <c r="BZ827" s="571"/>
      <c r="CA827" s="571"/>
    </row>
    <row r="828" spans="2:79">
      <c r="B828" s="566">
        <v>813</v>
      </c>
      <c r="C828" s="308"/>
      <c r="D828" s="307"/>
      <c r="E828" s="307"/>
      <c r="F828" s="305"/>
      <c r="G828" s="305"/>
      <c r="H828" s="292"/>
      <c r="I828" s="574"/>
      <c r="J828" s="573"/>
      <c r="K828" s="307"/>
      <c r="L828" s="292"/>
      <c r="M828" s="308"/>
      <c r="N828" s="292"/>
      <c r="O828" s="308"/>
      <c r="P828" s="575"/>
      <c r="Q828" s="576"/>
      <c r="R828" s="308"/>
      <c r="S828" s="575"/>
      <c r="T828" s="576"/>
      <c r="U828" s="308"/>
      <c r="V828" s="575"/>
      <c r="W828" s="576"/>
      <c r="X828" s="308"/>
      <c r="Y828" s="575"/>
      <c r="Z828" s="576"/>
      <c r="AA828" s="308"/>
      <c r="AB828" s="575"/>
      <c r="AC828" s="576"/>
      <c r="AD828" s="308"/>
      <c r="AE828" s="575"/>
      <c r="AF828" s="308"/>
      <c r="AG828" s="575"/>
      <c r="AH828" s="308"/>
      <c r="AI828" s="575"/>
      <c r="AJ828" s="308"/>
      <c r="AK828" s="305"/>
      <c r="AL828" s="577"/>
      <c r="AM828" s="306"/>
      <c r="AN828" s="308"/>
      <c r="AO828" s="573"/>
      <c r="AP828" s="305"/>
      <c r="AQ828" s="308"/>
      <c r="AR828" s="573"/>
      <c r="AS828" s="578"/>
      <c r="AT828" s="577"/>
      <c r="AU828" s="579"/>
      <c r="AV828" s="578"/>
      <c r="AW828" s="308"/>
      <c r="AX828" s="307"/>
      <c r="AY828" s="307"/>
      <c r="AZ828" s="307"/>
      <c r="BA828" s="307"/>
      <c r="BB828" s="307"/>
      <c r="BC828" s="305"/>
      <c r="BD828" s="292"/>
      <c r="BE828" s="297"/>
      <c r="BF828" s="297"/>
      <c r="BG828" s="569"/>
      <c r="BH828" s="570"/>
      <c r="BI828" s="570"/>
      <c r="BJ828" s="570"/>
      <c r="BK828" s="570"/>
      <c r="BL828" s="570"/>
      <c r="BM828" s="570"/>
      <c r="BN828" s="570"/>
      <c r="BO828" s="570"/>
      <c r="BP828" s="570"/>
      <c r="BQ828" s="570"/>
      <c r="BR828" s="570"/>
      <c r="BS828" s="570"/>
      <c r="BT828" s="570"/>
      <c r="BU828" s="570"/>
      <c r="BV828" s="570"/>
      <c r="BW828" s="570"/>
      <c r="BX828" s="570"/>
      <c r="BY828" s="570"/>
      <c r="BZ828" s="571"/>
      <c r="CA828" s="571"/>
    </row>
    <row r="829" spans="2:79">
      <c r="B829" s="572">
        <v>814</v>
      </c>
      <c r="C829" s="308"/>
      <c r="D829" s="307"/>
      <c r="E829" s="307"/>
      <c r="F829" s="305"/>
      <c r="G829" s="305"/>
      <c r="H829" s="292"/>
      <c r="I829" s="574"/>
      <c r="J829" s="573"/>
      <c r="K829" s="307"/>
      <c r="L829" s="292"/>
      <c r="M829" s="308"/>
      <c r="N829" s="292"/>
      <c r="O829" s="308"/>
      <c r="P829" s="575"/>
      <c r="Q829" s="576"/>
      <c r="R829" s="308"/>
      <c r="S829" s="575"/>
      <c r="T829" s="576"/>
      <c r="U829" s="308"/>
      <c r="V829" s="575"/>
      <c r="W829" s="576"/>
      <c r="X829" s="308"/>
      <c r="Y829" s="575"/>
      <c r="Z829" s="576"/>
      <c r="AA829" s="308"/>
      <c r="AB829" s="575"/>
      <c r="AC829" s="576"/>
      <c r="AD829" s="308"/>
      <c r="AE829" s="575"/>
      <c r="AF829" s="308"/>
      <c r="AG829" s="575"/>
      <c r="AH829" s="308"/>
      <c r="AI829" s="575"/>
      <c r="AJ829" s="308"/>
      <c r="AK829" s="305"/>
      <c r="AL829" s="577"/>
      <c r="AM829" s="306"/>
      <c r="AN829" s="308"/>
      <c r="AO829" s="573"/>
      <c r="AP829" s="305"/>
      <c r="AQ829" s="308"/>
      <c r="AR829" s="573"/>
      <c r="AS829" s="578"/>
      <c r="AT829" s="577"/>
      <c r="AU829" s="579"/>
      <c r="AV829" s="578"/>
      <c r="AW829" s="308"/>
      <c r="AX829" s="307"/>
      <c r="AY829" s="307"/>
      <c r="AZ829" s="307"/>
      <c r="BA829" s="307"/>
      <c r="BB829" s="307"/>
      <c r="BC829" s="305"/>
      <c r="BD829" s="292"/>
      <c r="BE829" s="297"/>
      <c r="BF829" s="297"/>
      <c r="BG829" s="569"/>
      <c r="BH829" s="570"/>
      <c r="BI829" s="570"/>
      <c r="BJ829" s="570"/>
      <c r="BK829" s="570"/>
      <c r="BL829" s="570"/>
      <c r="BM829" s="570"/>
      <c r="BN829" s="570"/>
      <c r="BO829" s="570"/>
      <c r="BP829" s="570"/>
      <c r="BQ829" s="570"/>
      <c r="BR829" s="570"/>
      <c r="BS829" s="570"/>
      <c r="BT829" s="570"/>
      <c r="BU829" s="570"/>
      <c r="BV829" s="570"/>
      <c r="BW829" s="570"/>
      <c r="BX829" s="570"/>
      <c r="BY829" s="570"/>
      <c r="BZ829" s="571"/>
      <c r="CA829" s="571"/>
    </row>
    <row r="830" spans="2:79">
      <c r="B830" s="566">
        <v>815</v>
      </c>
      <c r="C830" s="308"/>
      <c r="D830" s="307"/>
      <c r="E830" s="307"/>
      <c r="F830" s="305"/>
      <c r="G830" s="305"/>
      <c r="H830" s="292"/>
      <c r="I830" s="574"/>
      <c r="J830" s="573"/>
      <c r="K830" s="307"/>
      <c r="L830" s="292"/>
      <c r="M830" s="308"/>
      <c r="N830" s="292"/>
      <c r="O830" s="308"/>
      <c r="P830" s="575"/>
      <c r="Q830" s="576"/>
      <c r="R830" s="308"/>
      <c r="S830" s="575"/>
      <c r="T830" s="576"/>
      <c r="U830" s="308"/>
      <c r="V830" s="575"/>
      <c r="W830" s="576"/>
      <c r="X830" s="308"/>
      <c r="Y830" s="575"/>
      <c r="Z830" s="576"/>
      <c r="AA830" s="308"/>
      <c r="AB830" s="575"/>
      <c r="AC830" s="576"/>
      <c r="AD830" s="308"/>
      <c r="AE830" s="575"/>
      <c r="AF830" s="308"/>
      <c r="AG830" s="575"/>
      <c r="AH830" s="308"/>
      <c r="AI830" s="575"/>
      <c r="AJ830" s="308"/>
      <c r="AK830" s="305"/>
      <c r="AL830" s="577"/>
      <c r="AM830" s="306"/>
      <c r="AN830" s="308"/>
      <c r="AO830" s="573"/>
      <c r="AP830" s="305"/>
      <c r="AQ830" s="308"/>
      <c r="AR830" s="573"/>
      <c r="AS830" s="578"/>
      <c r="AT830" s="577"/>
      <c r="AU830" s="579"/>
      <c r="AV830" s="578"/>
      <c r="AW830" s="308"/>
      <c r="AX830" s="307"/>
      <c r="AY830" s="307"/>
      <c r="AZ830" s="307"/>
      <c r="BA830" s="307"/>
      <c r="BB830" s="307"/>
      <c r="BC830" s="305"/>
      <c r="BD830" s="292"/>
      <c r="BE830" s="297"/>
      <c r="BF830" s="297"/>
      <c r="BG830" s="569"/>
      <c r="BH830" s="570"/>
      <c r="BI830" s="570"/>
      <c r="BJ830" s="570"/>
      <c r="BK830" s="570"/>
      <c r="BL830" s="570"/>
      <c r="BM830" s="570"/>
      <c r="BN830" s="570"/>
      <c r="BO830" s="570"/>
      <c r="BP830" s="570"/>
      <c r="BQ830" s="570"/>
      <c r="BR830" s="570"/>
      <c r="BS830" s="570"/>
      <c r="BT830" s="570"/>
      <c r="BU830" s="570"/>
      <c r="BV830" s="570"/>
      <c r="BW830" s="570"/>
      <c r="BX830" s="570"/>
      <c r="BY830" s="570"/>
      <c r="BZ830" s="571"/>
      <c r="CA830" s="571"/>
    </row>
    <row r="831" spans="2:79">
      <c r="B831" s="572">
        <v>816</v>
      </c>
      <c r="C831" s="308"/>
      <c r="D831" s="307"/>
      <c r="E831" s="307"/>
      <c r="F831" s="305"/>
      <c r="G831" s="305"/>
      <c r="H831" s="292"/>
      <c r="I831" s="574"/>
      <c r="J831" s="573"/>
      <c r="K831" s="307"/>
      <c r="L831" s="292"/>
      <c r="M831" s="308"/>
      <c r="N831" s="292"/>
      <c r="O831" s="308"/>
      <c r="P831" s="575"/>
      <c r="Q831" s="576"/>
      <c r="R831" s="308"/>
      <c r="S831" s="575"/>
      <c r="T831" s="576"/>
      <c r="U831" s="308"/>
      <c r="V831" s="575"/>
      <c r="W831" s="576"/>
      <c r="X831" s="308"/>
      <c r="Y831" s="575"/>
      <c r="Z831" s="576"/>
      <c r="AA831" s="308"/>
      <c r="AB831" s="575"/>
      <c r="AC831" s="576"/>
      <c r="AD831" s="308"/>
      <c r="AE831" s="575"/>
      <c r="AF831" s="308"/>
      <c r="AG831" s="575"/>
      <c r="AH831" s="308"/>
      <c r="AI831" s="575"/>
      <c r="AJ831" s="308"/>
      <c r="AK831" s="305"/>
      <c r="AL831" s="577"/>
      <c r="AM831" s="306"/>
      <c r="AN831" s="308"/>
      <c r="AO831" s="573"/>
      <c r="AP831" s="305"/>
      <c r="AQ831" s="308"/>
      <c r="AR831" s="573"/>
      <c r="AS831" s="578"/>
      <c r="AT831" s="577"/>
      <c r="AU831" s="579"/>
      <c r="AV831" s="578"/>
      <c r="AW831" s="308"/>
      <c r="AX831" s="307"/>
      <c r="AY831" s="307"/>
      <c r="AZ831" s="307"/>
      <c r="BA831" s="307"/>
      <c r="BB831" s="307"/>
      <c r="BC831" s="305"/>
      <c r="BD831" s="292"/>
      <c r="BE831" s="297"/>
      <c r="BF831" s="297"/>
      <c r="BG831" s="569"/>
      <c r="BH831" s="570"/>
      <c r="BI831" s="570"/>
      <c r="BJ831" s="570"/>
      <c r="BK831" s="570"/>
      <c r="BL831" s="570"/>
      <c r="BM831" s="570"/>
      <c r="BN831" s="570"/>
      <c r="BO831" s="570"/>
      <c r="BP831" s="570"/>
      <c r="BQ831" s="570"/>
      <c r="BR831" s="570"/>
      <c r="BS831" s="570"/>
      <c r="BT831" s="570"/>
      <c r="BU831" s="570"/>
      <c r="BV831" s="570"/>
      <c r="BW831" s="570"/>
      <c r="BX831" s="570"/>
      <c r="BY831" s="570"/>
      <c r="BZ831" s="571"/>
      <c r="CA831" s="571"/>
    </row>
    <row r="832" spans="2:79">
      <c r="B832" s="566">
        <v>817</v>
      </c>
      <c r="C832" s="308"/>
      <c r="D832" s="307"/>
      <c r="E832" s="307"/>
      <c r="F832" s="305"/>
      <c r="G832" s="305"/>
      <c r="H832" s="292"/>
      <c r="I832" s="574"/>
      <c r="J832" s="573"/>
      <c r="K832" s="307"/>
      <c r="L832" s="292"/>
      <c r="M832" s="308"/>
      <c r="N832" s="292"/>
      <c r="O832" s="308"/>
      <c r="P832" s="575"/>
      <c r="Q832" s="576"/>
      <c r="R832" s="308"/>
      <c r="S832" s="575"/>
      <c r="T832" s="576"/>
      <c r="U832" s="308"/>
      <c r="V832" s="575"/>
      <c r="W832" s="576"/>
      <c r="X832" s="308"/>
      <c r="Y832" s="575"/>
      <c r="Z832" s="576"/>
      <c r="AA832" s="308"/>
      <c r="AB832" s="575"/>
      <c r="AC832" s="576"/>
      <c r="AD832" s="308"/>
      <c r="AE832" s="575"/>
      <c r="AF832" s="308"/>
      <c r="AG832" s="575"/>
      <c r="AH832" s="308"/>
      <c r="AI832" s="575"/>
      <c r="AJ832" s="308"/>
      <c r="AK832" s="305"/>
      <c r="AL832" s="577"/>
      <c r="AM832" s="306"/>
      <c r="AN832" s="308"/>
      <c r="AO832" s="573"/>
      <c r="AP832" s="305"/>
      <c r="AQ832" s="308"/>
      <c r="AR832" s="573"/>
      <c r="AS832" s="578"/>
      <c r="AT832" s="577"/>
      <c r="AU832" s="579"/>
      <c r="AV832" s="578"/>
      <c r="AW832" s="308"/>
      <c r="AX832" s="307"/>
      <c r="AY832" s="307"/>
      <c r="AZ832" s="307"/>
      <c r="BA832" s="307"/>
      <c r="BB832" s="307"/>
      <c r="BC832" s="305"/>
      <c r="BD832" s="292"/>
      <c r="BE832" s="297"/>
      <c r="BF832" s="297"/>
      <c r="BG832" s="569"/>
      <c r="BH832" s="570"/>
      <c r="BI832" s="570"/>
      <c r="BJ832" s="570"/>
      <c r="BK832" s="570"/>
      <c r="BL832" s="570"/>
      <c r="BM832" s="570"/>
      <c r="BN832" s="570"/>
      <c r="BO832" s="570"/>
      <c r="BP832" s="570"/>
      <c r="BQ832" s="570"/>
      <c r="BR832" s="570"/>
      <c r="BS832" s="570"/>
      <c r="BT832" s="570"/>
      <c r="BU832" s="570"/>
      <c r="BV832" s="570"/>
      <c r="BW832" s="570"/>
      <c r="BX832" s="570"/>
      <c r="BY832" s="570"/>
      <c r="BZ832" s="571"/>
      <c r="CA832" s="571"/>
    </row>
    <row r="833" spans="2:79">
      <c r="B833" s="572">
        <v>818</v>
      </c>
      <c r="C833" s="308"/>
      <c r="D833" s="307"/>
      <c r="E833" s="307"/>
      <c r="F833" s="305"/>
      <c r="G833" s="305"/>
      <c r="H833" s="292"/>
      <c r="I833" s="574"/>
      <c r="J833" s="573"/>
      <c r="K833" s="307"/>
      <c r="L833" s="292"/>
      <c r="M833" s="308"/>
      <c r="N833" s="292"/>
      <c r="O833" s="308"/>
      <c r="P833" s="575"/>
      <c r="Q833" s="576"/>
      <c r="R833" s="308"/>
      <c r="S833" s="575"/>
      <c r="T833" s="576"/>
      <c r="U833" s="308"/>
      <c r="V833" s="575"/>
      <c r="W833" s="576"/>
      <c r="X833" s="308"/>
      <c r="Y833" s="575"/>
      <c r="Z833" s="576"/>
      <c r="AA833" s="308"/>
      <c r="AB833" s="575"/>
      <c r="AC833" s="576"/>
      <c r="AD833" s="308"/>
      <c r="AE833" s="575"/>
      <c r="AF833" s="308"/>
      <c r="AG833" s="575"/>
      <c r="AH833" s="308"/>
      <c r="AI833" s="575"/>
      <c r="AJ833" s="308"/>
      <c r="AK833" s="305"/>
      <c r="AL833" s="577"/>
      <c r="AM833" s="306"/>
      <c r="AN833" s="308"/>
      <c r="AO833" s="573"/>
      <c r="AP833" s="305"/>
      <c r="AQ833" s="308"/>
      <c r="AR833" s="573"/>
      <c r="AS833" s="578"/>
      <c r="AT833" s="577"/>
      <c r="AU833" s="579"/>
      <c r="AV833" s="578"/>
      <c r="AW833" s="308"/>
      <c r="AX833" s="307"/>
      <c r="AY833" s="307"/>
      <c r="AZ833" s="307"/>
      <c r="BA833" s="307"/>
      <c r="BB833" s="307"/>
      <c r="BC833" s="305"/>
      <c r="BD833" s="292"/>
      <c r="BE833" s="297"/>
      <c r="BF833" s="297"/>
      <c r="BG833" s="569"/>
      <c r="BH833" s="570"/>
      <c r="BI833" s="570"/>
      <c r="BJ833" s="570"/>
      <c r="BK833" s="570"/>
      <c r="BL833" s="570"/>
      <c r="BM833" s="570"/>
      <c r="BN833" s="570"/>
      <c r="BO833" s="570"/>
      <c r="BP833" s="570"/>
      <c r="BQ833" s="570"/>
      <c r="BR833" s="570"/>
      <c r="BS833" s="570"/>
      <c r="BT833" s="570"/>
      <c r="BU833" s="570"/>
      <c r="BV833" s="570"/>
      <c r="BW833" s="570"/>
      <c r="BX833" s="570"/>
      <c r="BY833" s="570"/>
      <c r="BZ833" s="571"/>
      <c r="CA833" s="571"/>
    </row>
    <row r="834" spans="2:79">
      <c r="B834" s="566">
        <v>819</v>
      </c>
      <c r="C834" s="308"/>
      <c r="D834" s="307"/>
      <c r="E834" s="307"/>
      <c r="F834" s="305"/>
      <c r="G834" s="305"/>
      <c r="H834" s="292"/>
      <c r="I834" s="574"/>
      <c r="J834" s="573"/>
      <c r="K834" s="307"/>
      <c r="L834" s="292"/>
      <c r="M834" s="308"/>
      <c r="N834" s="292"/>
      <c r="O834" s="308"/>
      <c r="P834" s="575"/>
      <c r="Q834" s="576"/>
      <c r="R834" s="308"/>
      <c r="S834" s="575"/>
      <c r="T834" s="576"/>
      <c r="U834" s="308"/>
      <c r="V834" s="575"/>
      <c r="W834" s="576"/>
      <c r="X834" s="308"/>
      <c r="Y834" s="575"/>
      <c r="Z834" s="576"/>
      <c r="AA834" s="308"/>
      <c r="AB834" s="575"/>
      <c r="AC834" s="576"/>
      <c r="AD834" s="308"/>
      <c r="AE834" s="575"/>
      <c r="AF834" s="308"/>
      <c r="AG834" s="575"/>
      <c r="AH834" s="308"/>
      <c r="AI834" s="575"/>
      <c r="AJ834" s="308"/>
      <c r="AK834" s="305"/>
      <c r="AL834" s="577"/>
      <c r="AM834" s="306"/>
      <c r="AN834" s="308"/>
      <c r="AO834" s="573"/>
      <c r="AP834" s="305"/>
      <c r="AQ834" s="308"/>
      <c r="AR834" s="573"/>
      <c r="AS834" s="578"/>
      <c r="AT834" s="577"/>
      <c r="AU834" s="579"/>
      <c r="AV834" s="578"/>
      <c r="AW834" s="308"/>
      <c r="AX834" s="307"/>
      <c r="AY834" s="307"/>
      <c r="AZ834" s="307"/>
      <c r="BA834" s="307"/>
      <c r="BB834" s="307"/>
      <c r="BC834" s="305"/>
      <c r="BD834" s="292"/>
      <c r="BE834" s="297"/>
      <c r="BF834" s="297"/>
      <c r="BG834" s="569"/>
      <c r="BH834" s="570"/>
      <c r="BI834" s="570"/>
      <c r="BJ834" s="570"/>
      <c r="BK834" s="570"/>
      <c r="BL834" s="570"/>
      <c r="BM834" s="570"/>
      <c r="BN834" s="570"/>
      <c r="BO834" s="570"/>
      <c r="BP834" s="570"/>
      <c r="BQ834" s="570"/>
      <c r="BR834" s="570"/>
      <c r="BS834" s="570"/>
      <c r="BT834" s="570"/>
      <c r="BU834" s="570"/>
      <c r="BV834" s="570"/>
      <c r="BW834" s="570"/>
      <c r="BX834" s="570"/>
      <c r="BY834" s="570"/>
      <c r="BZ834" s="571"/>
      <c r="CA834" s="571"/>
    </row>
    <row r="835" spans="2:79">
      <c r="B835" s="572">
        <v>820</v>
      </c>
      <c r="C835" s="308"/>
      <c r="D835" s="307"/>
      <c r="E835" s="307"/>
      <c r="F835" s="305"/>
      <c r="G835" s="305"/>
      <c r="H835" s="292"/>
      <c r="I835" s="574"/>
      <c r="J835" s="573"/>
      <c r="K835" s="307"/>
      <c r="L835" s="292"/>
      <c r="M835" s="308"/>
      <c r="N835" s="292"/>
      <c r="O835" s="308"/>
      <c r="P835" s="575"/>
      <c r="Q835" s="576"/>
      <c r="R835" s="308"/>
      <c r="S835" s="575"/>
      <c r="T835" s="576"/>
      <c r="U835" s="308"/>
      <c r="V835" s="575"/>
      <c r="W835" s="576"/>
      <c r="X835" s="308"/>
      <c r="Y835" s="575"/>
      <c r="Z835" s="576"/>
      <c r="AA835" s="308"/>
      <c r="AB835" s="575"/>
      <c r="AC835" s="576"/>
      <c r="AD835" s="308"/>
      <c r="AE835" s="575"/>
      <c r="AF835" s="308"/>
      <c r="AG835" s="575"/>
      <c r="AH835" s="308"/>
      <c r="AI835" s="575"/>
      <c r="AJ835" s="308"/>
      <c r="AK835" s="305"/>
      <c r="AL835" s="577"/>
      <c r="AM835" s="306"/>
      <c r="AN835" s="308"/>
      <c r="AO835" s="573"/>
      <c r="AP835" s="305"/>
      <c r="AQ835" s="308"/>
      <c r="AR835" s="573"/>
      <c r="AS835" s="578"/>
      <c r="AT835" s="577"/>
      <c r="AU835" s="579"/>
      <c r="AV835" s="578"/>
      <c r="AW835" s="308"/>
      <c r="AX835" s="307"/>
      <c r="AY835" s="307"/>
      <c r="AZ835" s="307"/>
      <c r="BA835" s="307"/>
      <c r="BB835" s="307"/>
      <c r="BC835" s="305"/>
      <c r="BD835" s="292"/>
      <c r="BE835" s="297"/>
      <c r="BF835" s="297"/>
      <c r="BG835" s="569"/>
      <c r="BH835" s="570"/>
      <c r="BI835" s="570"/>
      <c r="BJ835" s="570"/>
      <c r="BK835" s="570"/>
      <c r="BL835" s="570"/>
      <c r="BM835" s="570"/>
      <c r="BN835" s="570"/>
      <c r="BO835" s="570"/>
      <c r="BP835" s="570"/>
      <c r="BQ835" s="570"/>
      <c r="BR835" s="570"/>
      <c r="BS835" s="570"/>
      <c r="BT835" s="570"/>
      <c r="BU835" s="570"/>
      <c r="BV835" s="570"/>
      <c r="BW835" s="570"/>
      <c r="BX835" s="570"/>
      <c r="BY835" s="570"/>
      <c r="BZ835" s="571"/>
      <c r="CA835" s="571"/>
    </row>
    <row r="836" spans="2:79">
      <c r="B836" s="566">
        <v>821</v>
      </c>
      <c r="C836" s="308"/>
      <c r="D836" s="307"/>
      <c r="E836" s="307"/>
      <c r="F836" s="305"/>
      <c r="G836" s="305"/>
      <c r="H836" s="292"/>
      <c r="I836" s="574"/>
      <c r="J836" s="573"/>
      <c r="K836" s="307"/>
      <c r="L836" s="292"/>
      <c r="M836" s="308"/>
      <c r="N836" s="292"/>
      <c r="O836" s="308"/>
      <c r="P836" s="575"/>
      <c r="Q836" s="576"/>
      <c r="R836" s="308"/>
      <c r="S836" s="575"/>
      <c r="T836" s="576"/>
      <c r="U836" s="308"/>
      <c r="V836" s="575"/>
      <c r="W836" s="576"/>
      <c r="X836" s="308"/>
      <c r="Y836" s="575"/>
      <c r="Z836" s="576"/>
      <c r="AA836" s="308"/>
      <c r="AB836" s="575"/>
      <c r="AC836" s="576"/>
      <c r="AD836" s="308"/>
      <c r="AE836" s="575"/>
      <c r="AF836" s="308"/>
      <c r="AG836" s="575"/>
      <c r="AH836" s="308"/>
      <c r="AI836" s="575"/>
      <c r="AJ836" s="308"/>
      <c r="AK836" s="305"/>
      <c r="AL836" s="577"/>
      <c r="AM836" s="306"/>
      <c r="AN836" s="308"/>
      <c r="AO836" s="573"/>
      <c r="AP836" s="305"/>
      <c r="AQ836" s="308"/>
      <c r="AR836" s="573"/>
      <c r="AS836" s="578"/>
      <c r="AT836" s="577"/>
      <c r="AU836" s="579"/>
      <c r="AV836" s="578"/>
      <c r="AW836" s="308"/>
      <c r="AX836" s="307"/>
      <c r="AY836" s="307"/>
      <c r="AZ836" s="307"/>
      <c r="BA836" s="307"/>
      <c r="BB836" s="307"/>
      <c r="BC836" s="305"/>
      <c r="BD836" s="292"/>
      <c r="BE836" s="297"/>
      <c r="BF836" s="297"/>
      <c r="BG836" s="569"/>
      <c r="BH836" s="570"/>
      <c r="BI836" s="570"/>
      <c r="BJ836" s="570"/>
      <c r="BK836" s="570"/>
      <c r="BL836" s="570"/>
      <c r="BM836" s="570"/>
      <c r="BN836" s="570"/>
      <c r="BO836" s="570"/>
      <c r="BP836" s="570"/>
      <c r="BQ836" s="570"/>
      <c r="BR836" s="570"/>
      <c r="BS836" s="570"/>
      <c r="BT836" s="570"/>
      <c r="BU836" s="570"/>
      <c r="BV836" s="570"/>
      <c r="BW836" s="570"/>
      <c r="BX836" s="570"/>
      <c r="BY836" s="570"/>
      <c r="BZ836" s="571"/>
      <c r="CA836" s="571"/>
    </row>
    <row r="837" spans="2:79">
      <c r="B837" s="572">
        <v>822</v>
      </c>
      <c r="C837" s="308"/>
      <c r="D837" s="307"/>
      <c r="E837" s="307"/>
      <c r="F837" s="305"/>
      <c r="G837" s="305"/>
      <c r="H837" s="292"/>
      <c r="I837" s="574"/>
      <c r="J837" s="573"/>
      <c r="K837" s="307"/>
      <c r="L837" s="292"/>
      <c r="M837" s="308"/>
      <c r="N837" s="292"/>
      <c r="O837" s="308"/>
      <c r="P837" s="575"/>
      <c r="Q837" s="576"/>
      <c r="R837" s="308"/>
      <c r="S837" s="575"/>
      <c r="T837" s="576"/>
      <c r="U837" s="308"/>
      <c r="V837" s="575"/>
      <c r="W837" s="576"/>
      <c r="X837" s="308"/>
      <c r="Y837" s="575"/>
      <c r="Z837" s="576"/>
      <c r="AA837" s="308"/>
      <c r="AB837" s="575"/>
      <c r="AC837" s="576"/>
      <c r="AD837" s="308"/>
      <c r="AE837" s="575"/>
      <c r="AF837" s="308"/>
      <c r="AG837" s="575"/>
      <c r="AH837" s="308"/>
      <c r="AI837" s="575"/>
      <c r="AJ837" s="308"/>
      <c r="AK837" s="305"/>
      <c r="AL837" s="577"/>
      <c r="AM837" s="306"/>
      <c r="AN837" s="308"/>
      <c r="AO837" s="573"/>
      <c r="AP837" s="305"/>
      <c r="AQ837" s="308"/>
      <c r="AR837" s="573"/>
      <c r="AS837" s="578"/>
      <c r="AT837" s="577"/>
      <c r="AU837" s="579"/>
      <c r="AV837" s="578"/>
      <c r="AW837" s="308"/>
      <c r="AX837" s="307"/>
      <c r="AY837" s="307"/>
      <c r="AZ837" s="307"/>
      <c r="BA837" s="307"/>
      <c r="BB837" s="307"/>
      <c r="BC837" s="305"/>
      <c r="BD837" s="292"/>
      <c r="BE837" s="297"/>
      <c r="BF837" s="297"/>
      <c r="BG837" s="569"/>
      <c r="BH837" s="570"/>
      <c r="BI837" s="570"/>
      <c r="BJ837" s="570"/>
      <c r="BK837" s="570"/>
      <c r="BL837" s="570"/>
      <c r="BM837" s="570"/>
      <c r="BN837" s="570"/>
      <c r="BO837" s="570"/>
      <c r="BP837" s="570"/>
      <c r="BQ837" s="570"/>
      <c r="BR837" s="570"/>
      <c r="BS837" s="570"/>
      <c r="BT837" s="570"/>
      <c r="BU837" s="570"/>
      <c r="BV837" s="570"/>
      <c r="BW837" s="570"/>
      <c r="BX837" s="570"/>
      <c r="BY837" s="570"/>
      <c r="BZ837" s="571"/>
      <c r="CA837" s="571"/>
    </row>
    <row r="838" spans="2:79">
      <c r="B838" s="566">
        <v>823</v>
      </c>
      <c r="C838" s="308"/>
      <c r="D838" s="307"/>
      <c r="E838" s="307"/>
      <c r="F838" s="305"/>
      <c r="G838" s="305"/>
      <c r="H838" s="292"/>
      <c r="I838" s="574"/>
      <c r="J838" s="573"/>
      <c r="K838" s="307"/>
      <c r="L838" s="292"/>
      <c r="M838" s="308"/>
      <c r="N838" s="292"/>
      <c r="O838" s="308"/>
      <c r="P838" s="575"/>
      <c r="Q838" s="576"/>
      <c r="R838" s="308"/>
      <c r="S838" s="575"/>
      <c r="T838" s="576"/>
      <c r="U838" s="308"/>
      <c r="V838" s="575"/>
      <c r="W838" s="576"/>
      <c r="X838" s="308"/>
      <c r="Y838" s="575"/>
      <c r="Z838" s="576"/>
      <c r="AA838" s="308"/>
      <c r="AB838" s="575"/>
      <c r="AC838" s="576"/>
      <c r="AD838" s="308"/>
      <c r="AE838" s="575"/>
      <c r="AF838" s="308"/>
      <c r="AG838" s="575"/>
      <c r="AH838" s="308"/>
      <c r="AI838" s="575"/>
      <c r="AJ838" s="308"/>
      <c r="AK838" s="305"/>
      <c r="AL838" s="577"/>
      <c r="AM838" s="306"/>
      <c r="AN838" s="308"/>
      <c r="AO838" s="573"/>
      <c r="AP838" s="305"/>
      <c r="AQ838" s="308"/>
      <c r="AR838" s="573"/>
      <c r="AS838" s="578"/>
      <c r="AT838" s="577"/>
      <c r="AU838" s="579"/>
      <c r="AV838" s="578"/>
      <c r="AW838" s="308"/>
      <c r="AX838" s="307"/>
      <c r="AY838" s="307"/>
      <c r="AZ838" s="307"/>
      <c r="BA838" s="307"/>
      <c r="BB838" s="307"/>
      <c r="BC838" s="305"/>
      <c r="BD838" s="292"/>
      <c r="BE838" s="297"/>
      <c r="BF838" s="297"/>
      <c r="BG838" s="569"/>
      <c r="BH838" s="570"/>
      <c r="BI838" s="570"/>
      <c r="BJ838" s="570"/>
      <c r="BK838" s="570"/>
      <c r="BL838" s="570"/>
      <c r="BM838" s="570"/>
      <c r="BN838" s="570"/>
      <c r="BO838" s="570"/>
      <c r="BP838" s="570"/>
      <c r="BQ838" s="570"/>
      <c r="BR838" s="570"/>
      <c r="BS838" s="570"/>
      <c r="BT838" s="570"/>
      <c r="BU838" s="570"/>
      <c r="BV838" s="570"/>
      <c r="BW838" s="570"/>
      <c r="BX838" s="570"/>
      <c r="BY838" s="570"/>
      <c r="BZ838" s="571"/>
      <c r="CA838" s="571"/>
    </row>
    <row r="839" spans="2:79">
      <c r="B839" s="572">
        <v>824</v>
      </c>
      <c r="C839" s="308"/>
      <c r="D839" s="307"/>
      <c r="E839" s="307"/>
      <c r="F839" s="305"/>
      <c r="G839" s="305"/>
      <c r="H839" s="292"/>
      <c r="I839" s="574"/>
      <c r="J839" s="573"/>
      <c r="K839" s="307"/>
      <c r="L839" s="292"/>
      <c r="M839" s="308"/>
      <c r="N839" s="292"/>
      <c r="O839" s="308"/>
      <c r="P839" s="575"/>
      <c r="Q839" s="576"/>
      <c r="R839" s="308"/>
      <c r="S839" s="575"/>
      <c r="T839" s="576"/>
      <c r="U839" s="308"/>
      <c r="V839" s="575"/>
      <c r="W839" s="576"/>
      <c r="X839" s="308"/>
      <c r="Y839" s="575"/>
      <c r="Z839" s="576"/>
      <c r="AA839" s="308"/>
      <c r="AB839" s="575"/>
      <c r="AC839" s="576"/>
      <c r="AD839" s="308"/>
      <c r="AE839" s="575"/>
      <c r="AF839" s="308"/>
      <c r="AG839" s="575"/>
      <c r="AH839" s="308"/>
      <c r="AI839" s="575"/>
      <c r="AJ839" s="308"/>
      <c r="AK839" s="305"/>
      <c r="AL839" s="577"/>
      <c r="AM839" s="306"/>
      <c r="AN839" s="308"/>
      <c r="AO839" s="573"/>
      <c r="AP839" s="305"/>
      <c r="AQ839" s="308"/>
      <c r="AR839" s="573"/>
      <c r="AS839" s="578"/>
      <c r="AT839" s="577"/>
      <c r="AU839" s="579"/>
      <c r="AV839" s="578"/>
      <c r="AW839" s="308"/>
      <c r="AX839" s="307"/>
      <c r="AY839" s="307"/>
      <c r="AZ839" s="307"/>
      <c r="BA839" s="307"/>
      <c r="BB839" s="307"/>
      <c r="BC839" s="305"/>
      <c r="BD839" s="292"/>
      <c r="BE839" s="297"/>
      <c r="BF839" s="297"/>
      <c r="BG839" s="569"/>
      <c r="BH839" s="570"/>
      <c r="BI839" s="570"/>
      <c r="BJ839" s="570"/>
      <c r="BK839" s="570"/>
      <c r="BL839" s="570"/>
      <c r="BM839" s="570"/>
      <c r="BN839" s="570"/>
      <c r="BO839" s="570"/>
      <c r="BP839" s="570"/>
      <c r="BQ839" s="570"/>
      <c r="BR839" s="570"/>
      <c r="BS839" s="570"/>
      <c r="BT839" s="570"/>
      <c r="BU839" s="570"/>
      <c r="BV839" s="570"/>
      <c r="BW839" s="570"/>
      <c r="BX839" s="570"/>
      <c r="BY839" s="570"/>
      <c r="BZ839" s="571"/>
      <c r="CA839" s="571"/>
    </row>
    <row r="840" spans="2:79">
      <c r="B840" s="566">
        <v>825</v>
      </c>
      <c r="C840" s="308"/>
      <c r="D840" s="307"/>
      <c r="E840" s="307"/>
      <c r="F840" s="305"/>
      <c r="G840" s="305"/>
      <c r="H840" s="292"/>
      <c r="I840" s="574"/>
      <c r="J840" s="573"/>
      <c r="K840" s="307"/>
      <c r="L840" s="292"/>
      <c r="M840" s="308"/>
      <c r="N840" s="292"/>
      <c r="O840" s="308"/>
      <c r="P840" s="575"/>
      <c r="Q840" s="576"/>
      <c r="R840" s="308"/>
      <c r="S840" s="575"/>
      <c r="T840" s="576"/>
      <c r="U840" s="308"/>
      <c r="V840" s="575"/>
      <c r="W840" s="576"/>
      <c r="X840" s="308"/>
      <c r="Y840" s="575"/>
      <c r="Z840" s="576"/>
      <c r="AA840" s="308"/>
      <c r="AB840" s="575"/>
      <c r="AC840" s="576"/>
      <c r="AD840" s="308"/>
      <c r="AE840" s="575"/>
      <c r="AF840" s="308"/>
      <c r="AG840" s="575"/>
      <c r="AH840" s="308"/>
      <c r="AI840" s="575"/>
      <c r="AJ840" s="308"/>
      <c r="AK840" s="305"/>
      <c r="AL840" s="577"/>
      <c r="AM840" s="306"/>
      <c r="AN840" s="308"/>
      <c r="AO840" s="573"/>
      <c r="AP840" s="305"/>
      <c r="AQ840" s="308"/>
      <c r="AR840" s="573"/>
      <c r="AS840" s="578"/>
      <c r="AT840" s="577"/>
      <c r="AU840" s="579"/>
      <c r="AV840" s="578"/>
      <c r="AW840" s="308"/>
      <c r="AX840" s="307"/>
      <c r="AY840" s="307"/>
      <c r="AZ840" s="307"/>
      <c r="BA840" s="307"/>
      <c r="BB840" s="307"/>
      <c r="BC840" s="305"/>
      <c r="BD840" s="292"/>
      <c r="BE840" s="297"/>
      <c r="BF840" s="297"/>
      <c r="BG840" s="569"/>
      <c r="BH840" s="570"/>
      <c r="BI840" s="570"/>
      <c r="BJ840" s="570"/>
      <c r="BK840" s="570"/>
      <c r="BL840" s="570"/>
      <c r="BM840" s="570"/>
      <c r="BN840" s="570"/>
      <c r="BO840" s="570"/>
      <c r="BP840" s="570"/>
      <c r="BQ840" s="570"/>
      <c r="BR840" s="570"/>
      <c r="BS840" s="570"/>
      <c r="BT840" s="570"/>
      <c r="BU840" s="570"/>
      <c r="BV840" s="570"/>
      <c r="BW840" s="570"/>
      <c r="BX840" s="570"/>
      <c r="BY840" s="570"/>
      <c r="BZ840" s="571"/>
      <c r="CA840" s="571"/>
    </row>
    <row r="841" spans="2:79">
      <c r="B841" s="572">
        <v>826</v>
      </c>
      <c r="C841" s="308"/>
      <c r="D841" s="307"/>
      <c r="E841" s="307"/>
      <c r="F841" s="305"/>
      <c r="G841" s="305"/>
      <c r="H841" s="292"/>
      <c r="I841" s="574"/>
      <c r="J841" s="573"/>
      <c r="K841" s="307"/>
      <c r="L841" s="292"/>
      <c r="M841" s="308"/>
      <c r="N841" s="292"/>
      <c r="O841" s="308"/>
      <c r="P841" s="575"/>
      <c r="Q841" s="576"/>
      <c r="R841" s="308"/>
      <c r="S841" s="575"/>
      <c r="T841" s="576"/>
      <c r="U841" s="308"/>
      <c r="V841" s="575"/>
      <c r="W841" s="576"/>
      <c r="X841" s="308"/>
      <c r="Y841" s="575"/>
      <c r="Z841" s="576"/>
      <c r="AA841" s="308"/>
      <c r="AB841" s="575"/>
      <c r="AC841" s="576"/>
      <c r="AD841" s="308"/>
      <c r="AE841" s="575"/>
      <c r="AF841" s="308"/>
      <c r="AG841" s="575"/>
      <c r="AH841" s="308"/>
      <c r="AI841" s="575"/>
      <c r="AJ841" s="308"/>
      <c r="AK841" s="305"/>
      <c r="AL841" s="577"/>
      <c r="AM841" s="306"/>
      <c r="AN841" s="308"/>
      <c r="AO841" s="573"/>
      <c r="AP841" s="305"/>
      <c r="AQ841" s="308"/>
      <c r="AR841" s="573"/>
      <c r="AS841" s="578"/>
      <c r="AT841" s="577"/>
      <c r="AU841" s="579"/>
      <c r="AV841" s="578"/>
      <c r="AW841" s="308"/>
      <c r="AX841" s="307"/>
      <c r="AY841" s="307"/>
      <c r="AZ841" s="307"/>
      <c r="BA841" s="307"/>
      <c r="BB841" s="307"/>
      <c r="BC841" s="305"/>
      <c r="BD841" s="292"/>
      <c r="BE841" s="297"/>
      <c r="BF841" s="297"/>
      <c r="BG841" s="569"/>
      <c r="BH841" s="570"/>
      <c r="BI841" s="570"/>
      <c r="BJ841" s="570"/>
      <c r="BK841" s="570"/>
      <c r="BL841" s="570"/>
      <c r="BM841" s="570"/>
      <c r="BN841" s="570"/>
      <c r="BO841" s="570"/>
      <c r="BP841" s="570"/>
      <c r="BQ841" s="570"/>
      <c r="BR841" s="570"/>
      <c r="BS841" s="570"/>
      <c r="BT841" s="570"/>
      <c r="BU841" s="570"/>
      <c r="BV841" s="570"/>
      <c r="BW841" s="570"/>
      <c r="BX841" s="570"/>
      <c r="BY841" s="570"/>
      <c r="BZ841" s="571"/>
      <c r="CA841" s="571"/>
    </row>
    <row r="842" spans="2:79">
      <c r="B842" s="566">
        <v>827</v>
      </c>
      <c r="C842" s="308"/>
      <c r="D842" s="307"/>
      <c r="E842" s="307"/>
      <c r="F842" s="305"/>
      <c r="G842" s="305"/>
      <c r="H842" s="292"/>
      <c r="I842" s="574"/>
      <c r="J842" s="573"/>
      <c r="K842" s="307"/>
      <c r="L842" s="292"/>
      <c r="M842" s="308"/>
      <c r="N842" s="292"/>
      <c r="O842" s="308"/>
      <c r="P842" s="575"/>
      <c r="Q842" s="576"/>
      <c r="R842" s="308"/>
      <c r="S842" s="575"/>
      <c r="T842" s="576"/>
      <c r="U842" s="308"/>
      <c r="V842" s="575"/>
      <c r="W842" s="576"/>
      <c r="X842" s="308"/>
      <c r="Y842" s="575"/>
      <c r="Z842" s="576"/>
      <c r="AA842" s="308"/>
      <c r="AB842" s="575"/>
      <c r="AC842" s="576"/>
      <c r="AD842" s="308"/>
      <c r="AE842" s="575"/>
      <c r="AF842" s="308"/>
      <c r="AG842" s="575"/>
      <c r="AH842" s="308"/>
      <c r="AI842" s="575"/>
      <c r="AJ842" s="308"/>
      <c r="AK842" s="305"/>
      <c r="AL842" s="577"/>
      <c r="AM842" s="306"/>
      <c r="AN842" s="308"/>
      <c r="AO842" s="573"/>
      <c r="AP842" s="305"/>
      <c r="AQ842" s="308"/>
      <c r="AR842" s="573"/>
      <c r="AS842" s="578"/>
      <c r="AT842" s="577"/>
      <c r="AU842" s="579"/>
      <c r="AV842" s="578"/>
      <c r="AW842" s="308"/>
      <c r="AX842" s="307"/>
      <c r="AY842" s="307"/>
      <c r="AZ842" s="307"/>
      <c r="BA842" s="307"/>
      <c r="BB842" s="307"/>
      <c r="BC842" s="305"/>
      <c r="BD842" s="292"/>
      <c r="BE842" s="297"/>
      <c r="BF842" s="297"/>
      <c r="BG842" s="569"/>
      <c r="BH842" s="570"/>
      <c r="BI842" s="570"/>
      <c r="BJ842" s="570"/>
      <c r="BK842" s="570"/>
      <c r="BL842" s="570"/>
      <c r="BM842" s="570"/>
      <c r="BN842" s="570"/>
      <c r="BO842" s="570"/>
      <c r="BP842" s="570"/>
      <c r="BQ842" s="570"/>
      <c r="BR842" s="570"/>
      <c r="BS842" s="570"/>
      <c r="BT842" s="570"/>
      <c r="BU842" s="570"/>
      <c r="BV842" s="570"/>
      <c r="BW842" s="570"/>
      <c r="BX842" s="570"/>
      <c r="BY842" s="570"/>
      <c r="BZ842" s="571"/>
      <c r="CA842" s="571"/>
    </row>
    <row r="843" spans="2:79">
      <c r="B843" s="572">
        <v>828</v>
      </c>
      <c r="C843" s="308"/>
      <c r="D843" s="307"/>
      <c r="E843" s="307"/>
      <c r="F843" s="305"/>
      <c r="G843" s="305"/>
      <c r="H843" s="292"/>
      <c r="I843" s="574"/>
      <c r="J843" s="573"/>
      <c r="K843" s="307"/>
      <c r="L843" s="292"/>
      <c r="M843" s="308"/>
      <c r="N843" s="292"/>
      <c r="O843" s="308"/>
      <c r="P843" s="575"/>
      <c r="Q843" s="576"/>
      <c r="R843" s="308"/>
      <c r="S843" s="575"/>
      <c r="T843" s="576"/>
      <c r="U843" s="308"/>
      <c r="V843" s="575"/>
      <c r="W843" s="576"/>
      <c r="X843" s="308"/>
      <c r="Y843" s="575"/>
      <c r="Z843" s="576"/>
      <c r="AA843" s="308"/>
      <c r="AB843" s="575"/>
      <c r="AC843" s="576"/>
      <c r="AD843" s="308"/>
      <c r="AE843" s="575"/>
      <c r="AF843" s="308"/>
      <c r="AG843" s="575"/>
      <c r="AH843" s="308"/>
      <c r="AI843" s="575"/>
      <c r="AJ843" s="308"/>
      <c r="AK843" s="305"/>
      <c r="AL843" s="577"/>
      <c r="AM843" s="306"/>
      <c r="AN843" s="308"/>
      <c r="AO843" s="573"/>
      <c r="AP843" s="305"/>
      <c r="AQ843" s="308"/>
      <c r="AR843" s="573"/>
      <c r="AS843" s="578"/>
      <c r="AT843" s="577"/>
      <c r="AU843" s="579"/>
      <c r="AV843" s="578"/>
      <c r="AW843" s="308"/>
      <c r="AX843" s="307"/>
      <c r="AY843" s="307"/>
      <c r="AZ843" s="307"/>
      <c r="BA843" s="307"/>
      <c r="BB843" s="307"/>
      <c r="BC843" s="305"/>
      <c r="BD843" s="292"/>
      <c r="BE843" s="297"/>
      <c r="BF843" s="297"/>
      <c r="BG843" s="569"/>
      <c r="BH843" s="570"/>
      <c r="BI843" s="570"/>
      <c r="BJ843" s="570"/>
      <c r="BK843" s="570"/>
      <c r="BL843" s="570"/>
      <c r="BM843" s="570"/>
      <c r="BN843" s="570"/>
      <c r="BO843" s="570"/>
      <c r="BP843" s="570"/>
      <c r="BQ843" s="570"/>
      <c r="BR843" s="570"/>
      <c r="BS843" s="570"/>
      <c r="BT843" s="570"/>
      <c r="BU843" s="570"/>
      <c r="BV843" s="570"/>
      <c r="BW843" s="570"/>
      <c r="BX843" s="570"/>
      <c r="BY843" s="570"/>
      <c r="BZ843" s="571"/>
      <c r="CA843" s="571"/>
    </row>
    <row r="844" spans="2:79">
      <c r="B844" s="566">
        <v>829</v>
      </c>
      <c r="C844" s="308"/>
      <c r="D844" s="307"/>
      <c r="E844" s="307"/>
      <c r="F844" s="305"/>
      <c r="G844" s="305"/>
      <c r="H844" s="292"/>
      <c r="I844" s="574"/>
      <c r="J844" s="573"/>
      <c r="K844" s="307"/>
      <c r="L844" s="292"/>
      <c r="M844" s="308"/>
      <c r="N844" s="292"/>
      <c r="O844" s="308"/>
      <c r="P844" s="575"/>
      <c r="Q844" s="576"/>
      <c r="R844" s="308"/>
      <c r="S844" s="575"/>
      <c r="T844" s="576"/>
      <c r="U844" s="308"/>
      <c r="V844" s="575"/>
      <c r="W844" s="576"/>
      <c r="X844" s="308"/>
      <c r="Y844" s="575"/>
      <c r="Z844" s="576"/>
      <c r="AA844" s="308"/>
      <c r="AB844" s="575"/>
      <c r="AC844" s="576"/>
      <c r="AD844" s="308"/>
      <c r="AE844" s="575"/>
      <c r="AF844" s="308"/>
      <c r="AG844" s="575"/>
      <c r="AH844" s="308"/>
      <c r="AI844" s="575"/>
      <c r="AJ844" s="308"/>
      <c r="AK844" s="305"/>
      <c r="AL844" s="577"/>
      <c r="AM844" s="306"/>
      <c r="AN844" s="308"/>
      <c r="AO844" s="573"/>
      <c r="AP844" s="305"/>
      <c r="AQ844" s="308"/>
      <c r="AR844" s="573"/>
      <c r="AS844" s="578"/>
      <c r="AT844" s="577"/>
      <c r="AU844" s="579"/>
      <c r="AV844" s="578"/>
      <c r="AW844" s="308"/>
      <c r="AX844" s="307"/>
      <c r="AY844" s="307"/>
      <c r="AZ844" s="307"/>
      <c r="BA844" s="307"/>
      <c r="BB844" s="307"/>
      <c r="BC844" s="305"/>
      <c r="BD844" s="292"/>
      <c r="BE844" s="297"/>
      <c r="BF844" s="297"/>
      <c r="BG844" s="569"/>
      <c r="BH844" s="570"/>
      <c r="BI844" s="570"/>
      <c r="BJ844" s="570"/>
      <c r="BK844" s="570"/>
      <c r="BL844" s="570"/>
      <c r="BM844" s="570"/>
      <c r="BN844" s="570"/>
      <c r="BO844" s="570"/>
      <c r="BP844" s="570"/>
      <c r="BQ844" s="570"/>
      <c r="BR844" s="570"/>
      <c r="BS844" s="570"/>
      <c r="BT844" s="570"/>
      <c r="BU844" s="570"/>
      <c r="BV844" s="570"/>
      <c r="BW844" s="570"/>
      <c r="BX844" s="570"/>
      <c r="BY844" s="570"/>
      <c r="BZ844" s="571"/>
      <c r="CA844" s="571"/>
    </row>
    <row r="845" spans="2:79">
      <c r="B845" s="572">
        <v>830</v>
      </c>
      <c r="C845" s="308"/>
      <c r="D845" s="307"/>
      <c r="E845" s="307"/>
      <c r="F845" s="305"/>
      <c r="G845" s="305"/>
      <c r="H845" s="292"/>
      <c r="I845" s="574"/>
      <c r="J845" s="573"/>
      <c r="K845" s="307"/>
      <c r="L845" s="292"/>
      <c r="M845" s="308"/>
      <c r="N845" s="292"/>
      <c r="O845" s="308"/>
      <c r="P845" s="575"/>
      <c r="Q845" s="576"/>
      <c r="R845" s="308"/>
      <c r="S845" s="575"/>
      <c r="T845" s="576"/>
      <c r="U845" s="308"/>
      <c r="V845" s="575"/>
      <c r="W845" s="576"/>
      <c r="X845" s="308"/>
      <c r="Y845" s="575"/>
      <c r="Z845" s="576"/>
      <c r="AA845" s="308"/>
      <c r="AB845" s="575"/>
      <c r="AC845" s="576"/>
      <c r="AD845" s="308"/>
      <c r="AE845" s="575"/>
      <c r="AF845" s="308"/>
      <c r="AG845" s="575"/>
      <c r="AH845" s="308"/>
      <c r="AI845" s="575"/>
      <c r="AJ845" s="308"/>
      <c r="AK845" s="305"/>
      <c r="AL845" s="577"/>
      <c r="AM845" s="306"/>
      <c r="AN845" s="308"/>
      <c r="AO845" s="573"/>
      <c r="AP845" s="305"/>
      <c r="AQ845" s="308"/>
      <c r="AR845" s="573"/>
      <c r="AS845" s="578"/>
      <c r="AT845" s="577"/>
      <c r="AU845" s="579"/>
      <c r="AV845" s="578"/>
      <c r="AW845" s="308"/>
      <c r="AX845" s="307"/>
      <c r="AY845" s="307"/>
      <c r="AZ845" s="307"/>
      <c r="BA845" s="307"/>
      <c r="BB845" s="307"/>
      <c r="BC845" s="305"/>
      <c r="BD845" s="292"/>
      <c r="BE845" s="297"/>
      <c r="BF845" s="297"/>
      <c r="BG845" s="569"/>
      <c r="BH845" s="570"/>
      <c r="BI845" s="570"/>
      <c r="BJ845" s="570"/>
      <c r="BK845" s="570"/>
      <c r="BL845" s="570"/>
      <c r="BM845" s="570"/>
      <c r="BN845" s="570"/>
      <c r="BO845" s="570"/>
      <c r="BP845" s="570"/>
      <c r="BQ845" s="570"/>
      <c r="BR845" s="570"/>
      <c r="BS845" s="570"/>
      <c r="BT845" s="570"/>
      <c r="BU845" s="570"/>
      <c r="BV845" s="570"/>
      <c r="BW845" s="570"/>
      <c r="BX845" s="570"/>
      <c r="BY845" s="570"/>
      <c r="BZ845" s="571"/>
      <c r="CA845" s="571"/>
    </row>
    <row r="846" spans="2:79">
      <c r="B846" s="566">
        <v>831</v>
      </c>
      <c r="C846" s="308"/>
      <c r="D846" s="307"/>
      <c r="E846" s="307"/>
      <c r="F846" s="305"/>
      <c r="G846" s="305"/>
      <c r="H846" s="292"/>
      <c r="I846" s="574"/>
      <c r="J846" s="573"/>
      <c r="K846" s="307"/>
      <c r="L846" s="292"/>
      <c r="M846" s="308"/>
      <c r="N846" s="292"/>
      <c r="O846" s="308"/>
      <c r="P846" s="575"/>
      <c r="Q846" s="576"/>
      <c r="R846" s="308"/>
      <c r="S846" s="575"/>
      <c r="T846" s="576"/>
      <c r="U846" s="308"/>
      <c r="V846" s="575"/>
      <c r="W846" s="576"/>
      <c r="X846" s="308"/>
      <c r="Y846" s="575"/>
      <c r="Z846" s="576"/>
      <c r="AA846" s="308"/>
      <c r="AB846" s="575"/>
      <c r="AC846" s="576"/>
      <c r="AD846" s="308"/>
      <c r="AE846" s="575"/>
      <c r="AF846" s="308"/>
      <c r="AG846" s="575"/>
      <c r="AH846" s="308"/>
      <c r="AI846" s="575"/>
      <c r="AJ846" s="308"/>
      <c r="AK846" s="305"/>
      <c r="AL846" s="577"/>
      <c r="AM846" s="306"/>
      <c r="AN846" s="308"/>
      <c r="AO846" s="573"/>
      <c r="AP846" s="305"/>
      <c r="AQ846" s="308"/>
      <c r="AR846" s="573"/>
      <c r="AS846" s="578"/>
      <c r="AT846" s="577"/>
      <c r="AU846" s="579"/>
      <c r="AV846" s="578"/>
      <c r="AW846" s="308"/>
      <c r="AX846" s="307"/>
      <c r="AY846" s="307"/>
      <c r="AZ846" s="307"/>
      <c r="BA846" s="307"/>
      <c r="BB846" s="307"/>
      <c r="BC846" s="305"/>
      <c r="BD846" s="292"/>
      <c r="BE846" s="297"/>
      <c r="BF846" s="297"/>
      <c r="BG846" s="569"/>
      <c r="BH846" s="570"/>
      <c r="BI846" s="570"/>
      <c r="BJ846" s="570"/>
      <c r="BK846" s="570"/>
      <c r="BL846" s="570"/>
      <c r="BM846" s="570"/>
      <c r="BN846" s="570"/>
      <c r="BO846" s="570"/>
      <c r="BP846" s="570"/>
      <c r="BQ846" s="570"/>
      <c r="BR846" s="570"/>
      <c r="BS846" s="570"/>
      <c r="BT846" s="570"/>
      <c r="BU846" s="570"/>
      <c r="BV846" s="570"/>
      <c r="BW846" s="570"/>
      <c r="BX846" s="570"/>
      <c r="BY846" s="570"/>
      <c r="BZ846" s="571"/>
      <c r="CA846" s="571"/>
    </row>
    <row r="847" spans="2:79">
      <c r="B847" s="572">
        <v>832</v>
      </c>
      <c r="C847" s="308"/>
      <c r="D847" s="307"/>
      <c r="E847" s="307"/>
      <c r="F847" s="305"/>
      <c r="G847" s="305"/>
      <c r="H847" s="292"/>
      <c r="I847" s="574"/>
      <c r="J847" s="573"/>
      <c r="K847" s="307"/>
      <c r="L847" s="292"/>
      <c r="M847" s="308"/>
      <c r="N847" s="292"/>
      <c r="O847" s="308"/>
      <c r="P847" s="575"/>
      <c r="Q847" s="576"/>
      <c r="R847" s="308"/>
      <c r="S847" s="575"/>
      <c r="T847" s="576"/>
      <c r="U847" s="308"/>
      <c r="V847" s="575"/>
      <c r="W847" s="576"/>
      <c r="X847" s="308"/>
      <c r="Y847" s="575"/>
      <c r="Z847" s="576"/>
      <c r="AA847" s="308"/>
      <c r="AB847" s="575"/>
      <c r="AC847" s="576"/>
      <c r="AD847" s="308"/>
      <c r="AE847" s="575"/>
      <c r="AF847" s="308"/>
      <c r="AG847" s="575"/>
      <c r="AH847" s="308"/>
      <c r="AI847" s="575"/>
      <c r="AJ847" s="308"/>
      <c r="AK847" s="305"/>
      <c r="AL847" s="577"/>
      <c r="AM847" s="306"/>
      <c r="AN847" s="308"/>
      <c r="AO847" s="573"/>
      <c r="AP847" s="305"/>
      <c r="AQ847" s="308"/>
      <c r="AR847" s="573"/>
      <c r="AS847" s="578"/>
      <c r="AT847" s="577"/>
      <c r="AU847" s="579"/>
      <c r="AV847" s="578"/>
      <c r="AW847" s="308"/>
      <c r="AX847" s="307"/>
      <c r="AY847" s="307"/>
      <c r="AZ847" s="307"/>
      <c r="BA847" s="307"/>
      <c r="BB847" s="307"/>
      <c r="BC847" s="305"/>
      <c r="BD847" s="292"/>
      <c r="BE847" s="297"/>
      <c r="BF847" s="297"/>
      <c r="BG847" s="569"/>
      <c r="BH847" s="570"/>
      <c r="BI847" s="570"/>
      <c r="BJ847" s="570"/>
      <c r="BK847" s="570"/>
      <c r="BL847" s="570"/>
      <c r="BM847" s="570"/>
      <c r="BN847" s="570"/>
      <c r="BO847" s="570"/>
      <c r="BP847" s="570"/>
      <c r="BQ847" s="570"/>
      <c r="BR847" s="570"/>
      <c r="BS847" s="570"/>
      <c r="BT847" s="570"/>
      <c r="BU847" s="570"/>
      <c r="BV847" s="570"/>
      <c r="BW847" s="570"/>
      <c r="BX847" s="570"/>
      <c r="BY847" s="570"/>
      <c r="BZ847" s="571"/>
      <c r="CA847" s="571"/>
    </row>
    <row r="848" spans="2:79">
      <c r="B848" s="566">
        <v>833</v>
      </c>
      <c r="C848" s="308"/>
      <c r="D848" s="307"/>
      <c r="E848" s="307"/>
      <c r="F848" s="305"/>
      <c r="G848" s="305"/>
      <c r="H848" s="292"/>
      <c r="I848" s="574"/>
      <c r="J848" s="573"/>
      <c r="K848" s="307"/>
      <c r="L848" s="292"/>
      <c r="M848" s="308"/>
      <c r="N848" s="292"/>
      <c r="O848" s="308"/>
      <c r="P848" s="575"/>
      <c r="Q848" s="576"/>
      <c r="R848" s="308"/>
      <c r="S848" s="575"/>
      <c r="T848" s="576"/>
      <c r="U848" s="308"/>
      <c r="V848" s="575"/>
      <c r="W848" s="576"/>
      <c r="X848" s="308"/>
      <c r="Y848" s="575"/>
      <c r="Z848" s="576"/>
      <c r="AA848" s="308"/>
      <c r="AB848" s="575"/>
      <c r="AC848" s="576"/>
      <c r="AD848" s="308"/>
      <c r="AE848" s="575"/>
      <c r="AF848" s="308"/>
      <c r="AG848" s="575"/>
      <c r="AH848" s="308"/>
      <c r="AI848" s="575"/>
      <c r="AJ848" s="308"/>
      <c r="AK848" s="305"/>
      <c r="AL848" s="577"/>
      <c r="AM848" s="306"/>
      <c r="AN848" s="308"/>
      <c r="AO848" s="573"/>
      <c r="AP848" s="305"/>
      <c r="AQ848" s="308"/>
      <c r="AR848" s="573"/>
      <c r="AS848" s="578"/>
      <c r="AT848" s="577"/>
      <c r="AU848" s="579"/>
      <c r="AV848" s="578"/>
      <c r="AW848" s="308"/>
      <c r="AX848" s="307"/>
      <c r="AY848" s="307"/>
      <c r="AZ848" s="307"/>
      <c r="BA848" s="307"/>
      <c r="BB848" s="307"/>
      <c r="BC848" s="305"/>
      <c r="BD848" s="292"/>
      <c r="BE848" s="297"/>
      <c r="BF848" s="297"/>
      <c r="BG848" s="569"/>
      <c r="BH848" s="570"/>
      <c r="BI848" s="570"/>
      <c r="BJ848" s="570"/>
      <c r="BK848" s="570"/>
      <c r="BL848" s="570"/>
      <c r="BM848" s="570"/>
      <c r="BN848" s="570"/>
      <c r="BO848" s="570"/>
      <c r="BP848" s="570"/>
      <c r="BQ848" s="570"/>
      <c r="BR848" s="570"/>
      <c r="BS848" s="570"/>
      <c r="BT848" s="570"/>
      <c r="BU848" s="570"/>
      <c r="BV848" s="570"/>
      <c r="BW848" s="570"/>
      <c r="BX848" s="570"/>
      <c r="BY848" s="570"/>
      <c r="BZ848" s="571"/>
      <c r="CA848" s="571"/>
    </row>
    <row r="849" spans="2:79">
      <c r="B849" s="572">
        <v>834</v>
      </c>
      <c r="C849" s="308"/>
      <c r="D849" s="307"/>
      <c r="E849" s="307"/>
      <c r="F849" s="305"/>
      <c r="G849" s="305"/>
      <c r="H849" s="292"/>
      <c r="I849" s="574"/>
      <c r="J849" s="573"/>
      <c r="K849" s="307"/>
      <c r="L849" s="292"/>
      <c r="M849" s="308"/>
      <c r="N849" s="292"/>
      <c r="O849" s="308"/>
      <c r="P849" s="575"/>
      <c r="Q849" s="576"/>
      <c r="R849" s="308"/>
      <c r="S849" s="575"/>
      <c r="T849" s="576"/>
      <c r="U849" s="308"/>
      <c r="V849" s="575"/>
      <c r="W849" s="576"/>
      <c r="X849" s="308"/>
      <c r="Y849" s="575"/>
      <c r="Z849" s="576"/>
      <c r="AA849" s="308"/>
      <c r="AB849" s="575"/>
      <c r="AC849" s="576"/>
      <c r="AD849" s="308"/>
      <c r="AE849" s="575"/>
      <c r="AF849" s="308"/>
      <c r="AG849" s="575"/>
      <c r="AH849" s="308"/>
      <c r="AI849" s="575"/>
      <c r="AJ849" s="308"/>
      <c r="AK849" s="305"/>
      <c r="AL849" s="577"/>
      <c r="AM849" s="306"/>
      <c r="AN849" s="308"/>
      <c r="AO849" s="573"/>
      <c r="AP849" s="305"/>
      <c r="AQ849" s="308"/>
      <c r="AR849" s="573"/>
      <c r="AS849" s="578"/>
      <c r="AT849" s="577"/>
      <c r="AU849" s="579"/>
      <c r="AV849" s="578"/>
      <c r="AW849" s="308"/>
      <c r="AX849" s="307"/>
      <c r="AY849" s="307"/>
      <c r="AZ849" s="307"/>
      <c r="BA849" s="307"/>
      <c r="BB849" s="307"/>
      <c r="BC849" s="305"/>
      <c r="BD849" s="292"/>
      <c r="BE849" s="297"/>
      <c r="BF849" s="297"/>
      <c r="BG849" s="569"/>
      <c r="BH849" s="570"/>
      <c r="BI849" s="570"/>
      <c r="BJ849" s="570"/>
      <c r="BK849" s="570"/>
      <c r="BL849" s="570"/>
      <c r="BM849" s="570"/>
      <c r="BN849" s="570"/>
      <c r="BO849" s="570"/>
      <c r="BP849" s="570"/>
      <c r="BQ849" s="570"/>
      <c r="BR849" s="570"/>
      <c r="BS849" s="570"/>
      <c r="BT849" s="570"/>
      <c r="BU849" s="570"/>
      <c r="BV849" s="570"/>
      <c r="BW849" s="570"/>
      <c r="BX849" s="570"/>
      <c r="BY849" s="570"/>
      <c r="BZ849" s="571"/>
      <c r="CA849" s="571"/>
    </row>
    <row r="850" spans="2:79">
      <c r="B850" s="566">
        <v>835</v>
      </c>
      <c r="C850" s="308"/>
      <c r="D850" s="307"/>
      <c r="E850" s="307"/>
      <c r="F850" s="305"/>
      <c r="G850" s="305"/>
      <c r="H850" s="292"/>
      <c r="I850" s="574"/>
      <c r="J850" s="573"/>
      <c r="K850" s="307"/>
      <c r="L850" s="292"/>
      <c r="M850" s="308"/>
      <c r="N850" s="292"/>
      <c r="O850" s="308"/>
      <c r="P850" s="575"/>
      <c r="Q850" s="576"/>
      <c r="R850" s="308"/>
      <c r="S850" s="575"/>
      <c r="T850" s="576"/>
      <c r="U850" s="308"/>
      <c r="V850" s="575"/>
      <c r="W850" s="576"/>
      <c r="X850" s="308"/>
      <c r="Y850" s="575"/>
      <c r="Z850" s="576"/>
      <c r="AA850" s="308"/>
      <c r="AB850" s="575"/>
      <c r="AC850" s="576"/>
      <c r="AD850" s="308"/>
      <c r="AE850" s="575"/>
      <c r="AF850" s="308"/>
      <c r="AG850" s="575"/>
      <c r="AH850" s="308"/>
      <c r="AI850" s="575"/>
      <c r="AJ850" s="308"/>
      <c r="AK850" s="305"/>
      <c r="AL850" s="577"/>
      <c r="AM850" s="306"/>
      <c r="AN850" s="308"/>
      <c r="AO850" s="573"/>
      <c r="AP850" s="305"/>
      <c r="AQ850" s="308"/>
      <c r="AR850" s="573"/>
      <c r="AS850" s="578"/>
      <c r="AT850" s="577"/>
      <c r="AU850" s="579"/>
      <c r="AV850" s="578"/>
      <c r="AW850" s="308"/>
      <c r="AX850" s="307"/>
      <c r="AY850" s="307"/>
      <c r="AZ850" s="307"/>
      <c r="BA850" s="307"/>
      <c r="BB850" s="307"/>
      <c r="BC850" s="305"/>
      <c r="BD850" s="292"/>
      <c r="BE850" s="297"/>
      <c r="BF850" s="297"/>
      <c r="BG850" s="569"/>
      <c r="BH850" s="570"/>
      <c r="BI850" s="570"/>
      <c r="BJ850" s="570"/>
      <c r="BK850" s="570"/>
      <c r="BL850" s="570"/>
      <c r="BM850" s="570"/>
      <c r="BN850" s="570"/>
      <c r="BO850" s="570"/>
      <c r="BP850" s="570"/>
      <c r="BQ850" s="570"/>
      <c r="BR850" s="570"/>
      <c r="BS850" s="570"/>
      <c r="BT850" s="570"/>
      <c r="BU850" s="570"/>
      <c r="BV850" s="570"/>
      <c r="BW850" s="570"/>
      <c r="BX850" s="570"/>
      <c r="BY850" s="570"/>
      <c r="BZ850" s="571"/>
      <c r="CA850" s="571"/>
    </row>
    <row r="851" spans="2:79">
      <c r="B851" s="572">
        <v>836</v>
      </c>
      <c r="C851" s="308"/>
      <c r="D851" s="307"/>
      <c r="E851" s="307"/>
      <c r="F851" s="305"/>
      <c r="G851" s="305"/>
      <c r="H851" s="292"/>
      <c r="I851" s="574"/>
      <c r="J851" s="573"/>
      <c r="K851" s="307"/>
      <c r="L851" s="292"/>
      <c r="M851" s="308"/>
      <c r="N851" s="292"/>
      <c r="O851" s="308"/>
      <c r="P851" s="575"/>
      <c r="Q851" s="576"/>
      <c r="R851" s="308"/>
      <c r="S851" s="575"/>
      <c r="T851" s="576"/>
      <c r="U851" s="308"/>
      <c r="V851" s="575"/>
      <c r="W851" s="576"/>
      <c r="X851" s="308"/>
      <c r="Y851" s="575"/>
      <c r="Z851" s="576"/>
      <c r="AA851" s="308"/>
      <c r="AB851" s="575"/>
      <c r="AC851" s="576"/>
      <c r="AD851" s="308"/>
      <c r="AE851" s="575"/>
      <c r="AF851" s="308"/>
      <c r="AG851" s="575"/>
      <c r="AH851" s="308"/>
      <c r="AI851" s="575"/>
      <c r="AJ851" s="308"/>
      <c r="AK851" s="305"/>
      <c r="AL851" s="577"/>
      <c r="AM851" s="306"/>
      <c r="AN851" s="308"/>
      <c r="AO851" s="573"/>
      <c r="AP851" s="305"/>
      <c r="AQ851" s="308"/>
      <c r="AR851" s="573"/>
      <c r="AS851" s="578"/>
      <c r="AT851" s="577"/>
      <c r="AU851" s="579"/>
      <c r="AV851" s="578"/>
      <c r="AW851" s="308"/>
      <c r="AX851" s="307"/>
      <c r="AY851" s="307"/>
      <c r="AZ851" s="307"/>
      <c r="BA851" s="307"/>
      <c r="BB851" s="307"/>
      <c r="BC851" s="305"/>
      <c r="BD851" s="292"/>
      <c r="BE851" s="297"/>
      <c r="BF851" s="297"/>
      <c r="BG851" s="569"/>
      <c r="BH851" s="570"/>
      <c r="BI851" s="570"/>
      <c r="BJ851" s="570"/>
      <c r="BK851" s="570"/>
      <c r="BL851" s="570"/>
      <c r="BM851" s="570"/>
      <c r="BN851" s="570"/>
      <c r="BO851" s="570"/>
      <c r="BP851" s="570"/>
      <c r="BQ851" s="570"/>
      <c r="BR851" s="570"/>
      <c r="BS851" s="570"/>
      <c r="BT851" s="570"/>
      <c r="BU851" s="570"/>
      <c r="BV851" s="570"/>
      <c r="BW851" s="570"/>
      <c r="BX851" s="570"/>
      <c r="BY851" s="570"/>
      <c r="BZ851" s="571"/>
      <c r="CA851" s="571"/>
    </row>
    <row r="852" spans="2:79">
      <c r="B852" s="566">
        <v>837</v>
      </c>
      <c r="C852" s="308"/>
      <c r="D852" s="307"/>
      <c r="E852" s="307"/>
      <c r="F852" s="305"/>
      <c r="G852" s="305"/>
      <c r="H852" s="292"/>
      <c r="I852" s="574"/>
      <c r="J852" s="573"/>
      <c r="K852" s="307"/>
      <c r="L852" s="292"/>
      <c r="M852" s="308"/>
      <c r="N852" s="292"/>
      <c r="O852" s="308"/>
      <c r="P852" s="575"/>
      <c r="Q852" s="576"/>
      <c r="R852" s="308"/>
      <c r="S852" s="575"/>
      <c r="T852" s="576"/>
      <c r="U852" s="308"/>
      <c r="V852" s="575"/>
      <c r="W852" s="576"/>
      <c r="X852" s="308"/>
      <c r="Y852" s="575"/>
      <c r="Z852" s="576"/>
      <c r="AA852" s="308"/>
      <c r="AB852" s="575"/>
      <c r="AC852" s="576"/>
      <c r="AD852" s="308"/>
      <c r="AE852" s="575"/>
      <c r="AF852" s="308"/>
      <c r="AG852" s="575"/>
      <c r="AH852" s="308"/>
      <c r="AI852" s="575"/>
      <c r="AJ852" s="308"/>
      <c r="AK852" s="305"/>
      <c r="AL852" s="577"/>
      <c r="AM852" s="306"/>
      <c r="AN852" s="308"/>
      <c r="AO852" s="573"/>
      <c r="AP852" s="305"/>
      <c r="AQ852" s="308"/>
      <c r="AR852" s="573"/>
      <c r="AS852" s="578"/>
      <c r="AT852" s="577"/>
      <c r="AU852" s="579"/>
      <c r="AV852" s="578"/>
      <c r="AW852" s="308"/>
      <c r="AX852" s="307"/>
      <c r="AY852" s="307"/>
      <c r="AZ852" s="307"/>
      <c r="BA852" s="307"/>
      <c r="BB852" s="307"/>
      <c r="BC852" s="305"/>
      <c r="BD852" s="292"/>
      <c r="BE852" s="297"/>
      <c r="BF852" s="297"/>
      <c r="BG852" s="569"/>
      <c r="BH852" s="570"/>
      <c r="BI852" s="570"/>
      <c r="BJ852" s="570"/>
      <c r="BK852" s="570"/>
      <c r="BL852" s="570"/>
      <c r="BM852" s="570"/>
      <c r="BN852" s="570"/>
      <c r="BO852" s="570"/>
      <c r="BP852" s="570"/>
      <c r="BQ852" s="570"/>
      <c r="BR852" s="570"/>
      <c r="BS852" s="570"/>
      <c r="BT852" s="570"/>
      <c r="BU852" s="570"/>
      <c r="BV852" s="570"/>
      <c r="BW852" s="570"/>
      <c r="BX852" s="570"/>
      <c r="BY852" s="570"/>
      <c r="BZ852" s="571"/>
      <c r="CA852" s="571"/>
    </row>
    <row r="853" spans="2:79">
      <c r="B853" s="572">
        <v>838</v>
      </c>
      <c r="C853" s="308"/>
      <c r="D853" s="307"/>
      <c r="E853" s="307"/>
      <c r="F853" s="305"/>
      <c r="G853" s="305"/>
      <c r="H853" s="292"/>
      <c r="I853" s="574"/>
      <c r="J853" s="573"/>
      <c r="K853" s="307"/>
      <c r="L853" s="292"/>
      <c r="M853" s="308"/>
      <c r="N853" s="292"/>
      <c r="O853" s="308"/>
      <c r="P853" s="575"/>
      <c r="Q853" s="576"/>
      <c r="R853" s="308"/>
      <c r="S853" s="575"/>
      <c r="T853" s="576"/>
      <c r="U853" s="308"/>
      <c r="V853" s="575"/>
      <c r="W853" s="576"/>
      <c r="X853" s="308"/>
      <c r="Y853" s="575"/>
      <c r="Z853" s="576"/>
      <c r="AA853" s="308"/>
      <c r="AB853" s="575"/>
      <c r="AC853" s="576"/>
      <c r="AD853" s="308"/>
      <c r="AE853" s="575"/>
      <c r="AF853" s="308"/>
      <c r="AG853" s="575"/>
      <c r="AH853" s="308"/>
      <c r="AI853" s="575"/>
      <c r="AJ853" s="308"/>
      <c r="AK853" s="305"/>
      <c r="AL853" s="577"/>
      <c r="AM853" s="306"/>
      <c r="AN853" s="308"/>
      <c r="AO853" s="573"/>
      <c r="AP853" s="305"/>
      <c r="AQ853" s="308"/>
      <c r="AR853" s="573"/>
      <c r="AS853" s="578"/>
      <c r="AT853" s="577"/>
      <c r="AU853" s="579"/>
      <c r="AV853" s="578"/>
      <c r="AW853" s="308"/>
      <c r="AX853" s="307"/>
      <c r="AY853" s="307"/>
      <c r="AZ853" s="307"/>
      <c r="BA853" s="307"/>
      <c r="BB853" s="307"/>
      <c r="BC853" s="305"/>
      <c r="BD853" s="292"/>
      <c r="BE853" s="297"/>
      <c r="BF853" s="297"/>
      <c r="BG853" s="569"/>
      <c r="BH853" s="570"/>
      <c r="BI853" s="570"/>
      <c r="BJ853" s="570"/>
      <c r="BK853" s="570"/>
      <c r="BL853" s="570"/>
      <c r="BM853" s="570"/>
      <c r="BN853" s="570"/>
      <c r="BO853" s="570"/>
      <c r="BP853" s="570"/>
      <c r="BQ853" s="570"/>
      <c r="BR853" s="570"/>
      <c r="BS853" s="570"/>
      <c r="BT853" s="570"/>
      <c r="BU853" s="570"/>
      <c r="BV853" s="570"/>
      <c r="BW853" s="570"/>
      <c r="BX853" s="570"/>
      <c r="BY853" s="570"/>
      <c r="BZ853" s="571"/>
      <c r="CA853" s="571"/>
    </row>
    <row r="854" spans="2:79">
      <c r="B854" s="566">
        <v>839</v>
      </c>
      <c r="C854" s="308"/>
      <c r="D854" s="307"/>
      <c r="E854" s="307"/>
      <c r="F854" s="305"/>
      <c r="G854" s="305"/>
      <c r="H854" s="292"/>
      <c r="I854" s="574"/>
      <c r="J854" s="573"/>
      <c r="K854" s="307"/>
      <c r="L854" s="292"/>
      <c r="M854" s="308"/>
      <c r="N854" s="292"/>
      <c r="O854" s="308"/>
      <c r="P854" s="575"/>
      <c r="Q854" s="576"/>
      <c r="R854" s="308"/>
      <c r="S854" s="575"/>
      <c r="T854" s="576"/>
      <c r="U854" s="308"/>
      <c r="V854" s="575"/>
      <c r="W854" s="576"/>
      <c r="X854" s="308"/>
      <c r="Y854" s="575"/>
      <c r="Z854" s="576"/>
      <c r="AA854" s="308"/>
      <c r="AB854" s="575"/>
      <c r="AC854" s="576"/>
      <c r="AD854" s="308"/>
      <c r="AE854" s="575"/>
      <c r="AF854" s="308"/>
      <c r="AG854" s="575"/>
      <c r="AH854" s="308"/>
      <c r="AI854" s="575"/>
      <c r="AJ854" s="308"/>
      <c r="AK854" s="305"/>
      <c r="AL854" s="577"/>
      <c r="AM854" s="306"/>
      <c r="AN854" s="308"/>
      <c r="AO854" s="573"/>
      <c r="AP854" s="305"/>
      <c r="AQ854" s="308"/>
      <c r="AR854" s="573"/>
      <c r="AS854" s="578"/>
      <c r="AT854" s="577"/>
      <c r="AU854" s="579"/>
      <c r="AV854" s="578"/>
      <c r="AW854" s="308"/>
      <c r="AX854" s="307"/>
      <c r="AY854" s="307"/>
      <c r="AZ854" s="307"/>
      <c r="BA854" s="307"/>
      <c r="BB854" s="307"/>
      <c r="BC854" s="305"/>
      <c r="BD854" s="292"/>
      <c r="BE854" s="297"/>
      <c r="BF854" s="297"/>
      <c r="BG854" s="569"/>
      <c r="BH854" s="570"/>
      <c r="BI854" s="570"/>
      <c r="BJ854" s="570"/>
      <c r="BK854" s="570"/>
      <c r="BL854" s="570"/>
      <c r="BM854" s="570"/>
      <c r="BN854" s="570"/>
      <c r="BO854" s="570"/>
      <c r="BP854" s="570"/>
      <c r="BQ854" s="570"/>
      <c r="BR854" s="570"/>
      <c r="BS854" s="570"/>
      <c r="BT854" s="570"/>
      <c r="BU854" s="570"/>
      <c r="BV854" s="570"/>
      <c r="BW854" s="570"/>
      <c r="BX854" s="570"/>
      <c r="BY854" s="570"/>
      <c r="BZ854" s="571"/>
      <c r="CA854" s="571"/>
    </row>
    <row r="855" spans="2:79">
      <c r="B855" s="572">
        <v>840</v>
      </c>
      <c r="C855" s="308"/>
      <c r="D855" s="307"/>
      <c r="E855" s="307"/>
      <c r="F855" s="305"/>
      <c r="G855" s="305"/>
      <c r="H855" s="292"/>
      <c r="I855" s="574"/>
      <c r="J855" s="573"/>
      <c r="K855" s="307"/>
      <c r="L855" s="292"/>
      <c r="M855" s="308"/>
      <c r="N855" s="292"/>
      <c r="O855" s="308"/>
      <c r="P855" s="575"/>
      <c r="Q855" s="576"/>
      <c r="R855" s="308"/>
      <c r="S855" s="575"/>
      <c r="T855" s="576"/>
      <c r="U855" s="308"/>
      <c r="V855" s="575"/>
      <c r="W855" s="576"/>
      <c r="X855" s="308"/>
      <c r="Y855" s="575"/>
      <c r="Z855" s="576"/>
      <c r="AA855" s="308"/>
      <c r="AB855" s="575"/>
      <c r="AC855" s="576"/>
      <c r="AD855" s="308"/>
      <c r="AE855" s="575"/>
      <c r="AF855" s="308"/>
      <c r="AG855" s="575"/>
      <c r="AH855" s="308"/>
      <c r="AI855" s="575"/>
      <c r="AJ855" s="308"/>
      <c r="AK855" s="305"/>
      <c r="AL855" s="577"/>
      <c r="AM855" s="306"/>
      <c r="AN855" s="308"/>
      <c r="AO855" s="573"/>
      <c r="AP855" s="305"/>
      <c r="AQ855" s="308"/>
      <c r="AR855" s="573"/>
      <c r="AS855" s="578"/>
      <c r="AT855" s="577"/>
      <c r="AU855" s="579"/>
      <c r="AV855" s="578"/>
      <c r="AW855" s="308"/>
      <c r="AX855" s="307"/>
      <c r="AY855" s="307"/>
      <c r="AZ855" s="307"/>
      <c r="BA855" s="307"/>
      <c r="BB855" s="307"/>
      <c r="BC855" s="305"/>
      <c r="BD855" s="292"/>
      <c r="BE855" s="297"/>
      <c r="BF855" s="297"/>
      <c r="BG855" s="569"/>
      <c r="BH855" s="570"/>
      <c r="BI855" s="570"/>
      <c r="BJ855" s="570"/>
      <c r="BK855" s="570"/>
      <c r="BL855" s="570"/>
      <c r="BM855" s="570"/>
      <c r="BN855" s="570"/>
      <c r="BO855" s="570"/>
      <c r="BP855" s="570"/>
      <c r="BQ855" s="570"/>
      <c r="BR855" s="570"/>
      <c r="BS855" s="570"/>
      <c r="BT855" s="570"/>
      <c r="BU855" s="570"/>
      <c r="BV855" s="570"/>
      <c r="BW855" s="570"/>
      <c r="BX855" s="570"/>
      <c r="BY855" s="570"/>
      <c r="BZ855" s="571"/>
      <c r="CA855" s="571"/>
    </row>
    <row r="856" spans="2:79">
      <c r="B856" s="566">
        <v>841</v>
      </c>
      <c r="C856" s="308"/>
      <c r="D856" s="307"/>
      <c r="E856" s="307"/>
      <c r="F856" s="305"/>
      <c r="G856" s="305"/>
      <c r="H856" s="292"/>
      <c r="I856" s="574"/>
      <c r="J856" s="573"/>
      <c r="K856" s="307"/>
      <c r="L856" s="292"/>
      <c r="M856" s="308"/>
      <c r="N856" s="292"/>
      <c r="O856" s="308"/>
      <c r="P856" s="575"/>
      <c r="Q856" s="576"/>
      <c r="R856" s="308"/>
      <c r="S856" s="575"/>
      <c r="T856" s="576"/>
      <c r="U856" s="308"/>
      <c r="V856" s="575"/>
      <c r="W856" s="576"/>
      <c r="X856" s="308"/>
      <c r="Y856" s="575"/>
      <c r="Z856" s="576"/>
      <c r="AA856" s="308"/>
      <c r="AB856" s="575"/>
      <c r="AC856" s="576"/>
      <c r="AD856" s="308"/>
      <c r="AE856" s="575"/>
      <c r="AF856" s="308"/>
      <c r="AG856" s="575"/>
      <c r="AH856" s="308"/>
      <c r="AI856" s="575"/>
      <c r="AJ856" s="308"/>
      <c r="AK856" s="305"/>
      <c r="AL856" s="577"/>
      <c r="AM856" s="306"/>
      <c r="AN856" s="308"/>
      <c r="AO856" s="573"/>
      <c r="AP856" s="305"/>
      <c r="AQ856" s="308"/>
      <c r="AR856" s="573"/>
      <c r="AS856" s="578"/>
      <c r="AT856" s="577"/>
      <c r="AU856" s="579"/>
      <c r="AV856" s="578"/>
      <c r="AW856" s="308"/>
      <c r="AX856" s="307"/>
      <c r="AY856" s="307"/>
      <c r="AZ856" s="307"/>
      <c r="BA856" s="307"/>
      <c r="BB856" s="307"/>
      <c r="BC856" s="305"/>
      <c r="BD856" s="292"/>
      <c r="BE856" s="297"/>
      <c r="BF856" s="297"/>
      <c r="BG856" s="569"/>
      <c r="BH856" s="570"/>
      <c r="BI856" s="570"/>
      <c r="BJ856" s="570"/>
      <c r="BK856" s="570"/>
      <c r="BL856" s="570"/>
      <c r="BM856" s="570"/>
      <c r="BN856" s="570"/>
      <c r="BO856" s="570"/>
      <c r="BP856" s="570"/>
      <c r="BQ856" s="570"/>
      <c r="BR856" s="570"/>
      <c r="BS856" s="570"/>
      <c r="BT856" s="570"/>
      <c r="BU856" s="570"/>
      <c r="BV856" s="570"/>
      <c r="BW856" s="570"/>
      <c r="BX856" s="570"/>
      <c r="BY856" s="570"/>
      <c r="BZ856" s="571"/>
      <c r="CA856" s="571"/>
    </row>
    <row r="857" spans="2:79">
      <c r="B857" s="572">
        <v>842</v>
      </c>
      <c r="C857" s="308"/>
      <c r="D857" s="307"/>
      <c r="E857" s="307"/>
      <c r="F857" s="305"/>
      <c r="G857" s="305"/>
      <c r="H857" s="292"/>
      <c r="I857" s="574"/>
      <c r="J857" s="573"/>
      <c r="K857" s="307"/>
      <c r="L857" s="292"/>
      <c r="M857" s="308"/>
      <c r="N857" s="292"/>
      <c r="O857" s="308"/>
      <c r="P857" s="575"/>
      <c r="Q857" s="576"/>
      <c r="R857" s="308"/>
      <c r="S857" s="575"/>
      <c r="T857" s="576"/>
      <c r="U857" s="308"/>
      <c r="V857" s="575"/>
      <c r="W857" s="576"/>
      <c r="X857" s="308"/>
      <c r="Y857" s="575"/>
      <c r="Z857" s="576"/>
      <c r="AA857" s="308"/>
      <c r="AB857" s="575"/>
      <c r="AC857" s="576"/>
      <c r="AD857" s="308"/>
      <c r="AE857" s="575"/>
      <c r="AF857" s="308"/>
      <c r="AG857" s="575"/>
      <c r="AH857" s="308"/>
      <c r="AI857" s="575"/>
      <c r="AJ857" s="308"/>
      <c r="AK857" s="305"/>
      <c r="AL857" s="577"/>
      <c r="AM857" s="306"/>
      <c r="AN857" s="308"/>
      <c r="AO857" s="573"/>
      <c r="AP857" s="305"/>
      <c r="AQ857" s="308"/>
      <c r="AR857" s="573"/>
      <c r="AS857" s="578"/>
      <c r="AT857" s="577"/>
      <c r="AU857" s="579"/>
      <c r="AV857" s="578"/>
      <c r="AW857" s="308"/>
      <c r="AX857" s="307"/>
      <c r="AY857" s="307"/>
      <c r="AZ857" s="307"/>
      <c r="BA857" s="307"/>
      <c r="BB857" s="307"/>
      <c r="BC857" s="305"/>
      <c r="BD857" s="292"/>
      <c r="BE857" s="297"/>
      <c r="BF857" s="297"/>
      <c r="BG857" s="569"/>
      <c r="BH857" s="570"/>
      <c r="BI857" s="570"/>
      <c r="BJ857" s="570"/>
      <c r="BK857" s="570"/>
      <c r="BL857" s="570"/>
      <c r="BM857" s="570"/>
      <c r="BN857" s="570"/>
      <c r="BO857" s="570"/>
      <c r="BP857" s="570"/>
      <c r="BQ857" s="570"/>
      <c r="BR857" s="570"/>
      <c r="BS857" s="570"/>
      <c r="BT857" s="570"/>
      <c r="BU857" s="570"/>
      <c r="BV857" s="570"/>
      <c r="BW857" s="570"/>
      <c r="BX857" s="570"/>
      <c r="BY857" s="570"/>
      <c r="BZ857" s="571"/>
      <c r="CA857" s="571"/>
    </row>
    <row r="858" spans="2:79">
      <c r="B858" s="566">
        <v>843</v>
      </c>
      <c r="C858" s="308"/>
      <c r="D858" s="307"/>
      <c r="E858" s="307"/>
      <c r="F858" s="305"/>
      <c r="G858" s="305"/>
      <c r="H858" s="292"/>
      <c r="I858" s="574"/>
      <c r="J858" s="573"/>
      <c r="K858" s="307"/>
      <c r="L858" s="292"/>
      <c r="M858" s="308"/>
      <c r="N858" s="292"/>
      <c r="O858" s="308"/>
      <c r="P858" s="575"/>
      <c r="Q858" s="576"/>
      <c r="R858" s="308"/>
      <c r="S858" s="575"/>
      <c r="T858" s="576"/>
      <c r="U858" s="308"/>
      <c r="V858" s="575"/>
      <c r="W858" s="576"/>
      <c r="X858" s="308"/>
      <c r="Y858" s="575"/>
      <c r="Z858" s="576"/>
      <c r="AA858" s="308"/>
      <c r="AB858" s="575"/>
      <c r="AC858" s="576"/>
      <c r="AD858" s="308"/>
      <c r="AE858" s="575"/>
      <c r="AF858" s="308"/>
      <c r="AG858" s="575"/>
      <c r="AH858" s="308"/>
      <c r="AI858" s="575"/>
      <c r="AJ858" s="308"/>
      <c r="AK858" s="305"/>
      <c r="AL858" s="577"/>
      <c r="AM858" s="306"/>
      <c r="AN858" s="308"/>
      <c r="AO858" s="573"/>
      <c r="AP858" s="305"/>
      <c r="AQ858" s="308"/>
      <c r="AR858" s="573"/>
      <c r="AS858" s="578"/>
      <c r="AT858" s="577"/>
      <c r="AU858" s="579"/>
      <c r="AV858" s="578"/>
      <c r="AW858" s="308"/>
      <c r="AX858" s="307"/>
      <c r="AY858" s="307"/>
      <c r="AZ858" s="307"/>
      <c r="BA858" s="307"/>
      <c r="BB858" s="307"/>
      <c r="BC858" s="305"/>
      <c r="BD858" s="292"/>
      <c r="BE858" s="297"/>
      <c r="BF858" s="297"/>
      <c r="BG858" s="569"/>
      <c r="BH858" s="570"/>
      <c r="BI858" s="570"/>
      <c r="BJ858" s="570"/>
      <c r="BK858" s="570"/>
      <c r="BL858" s="570"/>
      <c r="BM858" s="570"/>
      <c r="BN858" s="570"/>
      <c r="BO858" s="570"/>
      <c r="BP858" s="570"/>
      <c r="BQ858" s="570"/>
      <c r="BR858" s="570"/>
      <c r="BS858" s="570"/>
      <c r="BT858" s="570"/>
      <c r="BU858" s="570"/>
      <c r="BV858" s="570"/>
      <c r="BW858" s="570"/>
      <c r="BX858" s="570"/>
      <c r="BY858" s="570"/>
      <c r="BZ858" s="571"/>
      <c r="CA858" s="571"/>
    </row>
    <row r="859" spans="2:79">
      <c r="B859" s="572">
        <v>844</v>
      </c>
      <c r="C859" s="308"/>
      <c r="D859" s="307"/>
      <c r="E859" s="307"/>
      <c r="F859" s="305"/>
      <c r="G859" s="305"/>
      <c r="H859" s="292"/>
      <c r="I859" s="574"/>
      <c r="J859" s="573"/>
      <c r="K859" s="307"/>
      <c r="L859" s="292"/>
      <c r="M859" s="308"/>
      <c r="N859" s="292"/>
      <c r="O859" s="308"/>
      <c r="P859" s="575"/>
      <c r="Q859" s="576"/>
      <c r="R859" s="308"/>
      <c r="S859" s="575"/>
      <c r="T859" s="576"/>
      <c r="U859" s="308"/>
      <c r="V859" s="575"/>
      <c r="W859" s="576"/>
      <c r="X859" s="308"/>
      <c r="Y859" s="575"/>
      <c r="Z859" s="576"/>
      <c r="AA859" s="308"/>
      <c r="AB859" s="575"/>
      <c r="AC859" s="576"/>
      <c r="AD859" s="308"/>
      <c r="AE859" s="575"/>
      <c r="AF859" s="308"/>
      <c r="AG859" s="575"/>
      <c r="AH859" s="308"/>
      <c r="AI859" s="575"/>
      <c r="AJ859" s="308"/>
      <c r="AK859" s="305"/>
      <c r="AL859" s="577"/>
      <c r="AM859" s="306"/>
      <c r="AN859" s="308"/>
      <c r="AO859" s="573"/>
      <c r="AP859" s="305"/>
      <c r="AQ859" s="308"/>
      <c r="AR859" s="573"/>
      <c r="AS859" s="578"/>
      <c r="AT859" s="577"/>
      <c r="AU859" s="579"/>
      <c r="AV859" s="578"/>
      <c r="AW859" s="308"/>
      <c r="AX859" s="307"/>
      <c r="AY859" s="307"/>
      <c r="AZ859" s="307"/>
      <c r="BA859" s="307"/>
      <c r="BB859" s="307"/>
      <c r="BC859" s="305"/>
      <c r="BD859" s="292"/>
      <c r="BE859" s="297"/>
      <c r="BF859" s="297"/>
      <c r="BG859" s="569"/>
      <c r="BH859" s="570"/>
      <c r="BI859" s="570"/>
      <c r="BJ859" s="570"/>
      <c r="BK859" s="570"/>
      <c r="BL859" s="570"/>
      <c r="BM859" s="570"/>
      <c r="BN859" s="570"/>
      <c r="BO859" s="570"/>
      <c r="BP859" s="570"/>
      <c r="BQ859" s="570"/>
      <c r="BR859" s="570"/>
      <c r="BS859" s="570"/>
      <c r="BT859" s="570"/>
      <c r="BU859" s="570"/>
      <c r="BV859" s="570"/>
      <c r="BW859" s="570"/>
      <c r="BX859" s="570"/>
      <c r="BY859" s="570"/>
      <c r="BZ859" s="571"/>
      <c r="CA859" s="571"/>
    </row>
    <row r="860" spans="2:79">
      <c r="B860" s="566">
        <v>845</v>
      </c>
      <c r="C860" s="308"/>
      <c r="D860" s="307"/>
      <c r="E860" s="307"/>
      <c r="F860" s="305"/>
      <c r="G860" s="305"/>
      <c r="H860" s="292"/>
      <c r="I860" s="574"/>
      <c r="J860" s="573"/>
      <c r="K860" s="307"/>
      <c r="L860" s="292"/>
      <c r="M860" s="308"/>
      <c r="N860" s="292"/>
      <c r="O860" s="308"/>
      <c r="P860" s="575"/>
      <c r="Q860" s="576"/>
      <c r="R860" s="308"/>
      <c r="S860" s="575"/>
      <c r="T860" s="576"/>
      <c r="U860" s="308"/>
      <c r="V860" s="575"/>
      <c r="W860" s="576"/>
      <c r="X860" s="308"/>
      <c r="Y860" s="575"/>
      <c r="Z860" s="576"/>
      <c r="AA860" s="308"/>
      <c r="AB860" s="575"/>
      <c r="AC860" s="576"/>
      <c r="AD860" s="308"/>
      <c r="AE860" s="575"/>
      <c r="AF860" s="308"/>
      <c r="AG860" s="575"/>
      <c r="AH860" s="308"/>
      <c r="AI860" s="575"/>
      <c r="AJ860" s="308"/>
      <c r="AK860" s="305"/>
      <c r="AL860" s="577"/>
      <c r="AM860" s="306"/>
      <c r="AN860" s="308"/>
      <c r="AO860" s="573"/>
      <c r="AP860" s="305"/>
      <c r="AQ860" s="308"/>
      <c r="AR860" s="573"/>
      <c r="AS860" s="578"/>
      <c r="AT860" s="577"/>
      <c r="AU860" s="579"/>
      <c r="AV860" s="578"/>
      <c r="AW860" s="308"/>
      <c r="AX860" s="307"/>
      <c r="AY860" s="307"/>
      <c r="AZ860" s="307"/>
      <c r="BA860" s="307"/>
      <c r="BB860" s="307"/>
      <c r="BC860" s="305"/>
      <c r="BD860" s="292"/>
      <c r="BE860" s="297"/>
      <c r="BF860" s="297"/>
      <c r="BG860" s="569"/>
      <c r="BH860" s="570"/>
      <c r="BI860" s="570"/>
      <c r="BJ860" s="570"/>
      <c r="BK860" s="570"/>
      <c r="BL860" s="570"/>
      <c r="BM860" s="570"/>
      <c r="BN860" s="570"/>
      <c r="BO860" s="570"/>
      <c r="BP860" s="570"/>
      <c r="BQ860" s="570"/>
      <c r="BR860" s="570"/>
      <c r="BS860" s="570"/>
      <c r="BT860" s="570"/>
      <c r="BU860" s="570"/>
      <c r="BV860" s="570"/>
      <c r="BW860" s="570"/>
      <c r="BX860" s="570"/>
      <c r="BY860" s="570"/>
      <c r="BZ860" s="571"/>
      <c r="CA860" s="571"/>
    </row>
    <row r="861" spans="2:79">
      <c r="B861" s="572">
        <v>846</v>
      </c>
      <c r="C861" s="308"/>
      <c r="D861" s="307"/>
      <c r="E861" s="307"/>
      <c r="F861" s="305"/>
      <c r="G861" s="305"/>
      <c r="H861" s="292"/>
      <c r="I861" s="574"/>
      <c r="J861" s="573"/>
      <c r="K861" s="307"/>
      <c r="L861" s="292"/>
      <c r="M861" s="308"/>
      <c r="N861" s="292"/>
      <c r="O861" s="308"/>
      <c r="P861" s="575"/>
      <c r="Q861" s="576"/>
      <c r="R861" s="308"/>
      <c r="S861" s="575"/>
      <c r="T861" s="576"/>
      <c r="U861" s="308"/>
      <c r="V861" s="575"/>
      <c r="W861" s="576"/>
      <c r="X861" s="308"/>
      <c r="Y861" s="575"/>
      <c r="Z861" s="576"/>
      <c r="AA861" s="308"/>
      <c r="AB861" s="575"/>
      <c r="AC861" s="576"/>
      <c r="AD861" s="308"/>
      <c r="AE861" s="575"/>
      <c r="AF861" s="308"/>
      <c r="AG861" s="575"/>
      <c r="AH861" s="308"/>
      <c r="AI861" s="575"/>
      <c r="AJ861" s="308"/>
      <c r="AK861" s="305"/>
      <c r="AL861" s="577"/>
      <c r="AM861" s="306"/>
      <c r="AN861" s="308"/>
      <c r="AO861" s="573"/>
      <c r="AP861" s="305"/>
      <c r="AQ861" s="308"/>
      <c r="AR861" s="573"/>
      <c r="AS861" s="578"/>
      <c r="AT861" s="577"/>
      <c r="AU861" s="579"/>
      <c r="AV861" s="578"/>
      <c r="AW861" s="308"/>
      <c r="AX861" s="307"/>
      <c r="AY861" s="307"/>
      <c r="AZ861" s="307"/>
      <c r="BA861" s="307"/>
      <c r="BB861" s="307"/>
      <c r="BC861" s="305"/>
      <c r="BD861" s="292"/>
      <c r="BE861" s="297"/>
      <c r="BF861" s="297"/>
      <c r="BG861" s="569"/>
      <c r="BH861" s="570"/>
      <c r="BI861" s="570"/>
      <c r="BJ861" s="570"/>
      <c r="BK861" s="570"/>
      <c r="BL861" s="570"/>
      <c r="BM861" s="570"/>
      <c r="BN861" s="570"/>
      <c r="BO861" s="570"/>
      <c r="BP861" s="570"/>
      <c r="BQ861" s="570"/>
      <c r="BR861" s="570"/>
      <c r="BS861" s="570"/>
      <c r="BT861" s="570"/>
      <c r="BU861" s="570"/>
      <c r="BV861" s="570"/>
      <c r="BW861" s="570"/>
      <c r="BX861" s="570"/>
      <c r="BY861" s="570"/>
      <c r="BZ861" s="571"/>
      <c r="CA861" s="571"/>
    </row>
    <row r="862" spans="2:79">
      <c r="B862" s="566">
        <v>847</v>
      </c>
      <c r="C862" s="308"/>
      <c r="D862" s="307"/>
      <c r="E862" s="307"/>
      <c r="F862" s="305"/>
      <c r="G862" s="305"/>
      <c r="H862" s="292"/>
      <c r="I862" s="574"/>
      <c r="J862" s="573"/>
      <c r="K862" s="307"/>
      <c r="L862" s="292"/>
      <c r="M862" s="308"/>
      <c r="N862" s="292"/>
      <c r="O862" s="308"/>
      <c r="P862" s="575"/>
      <c r="Q862" s="576"/>
      <c r="R862" s="308"/>
      <c r="S862" s="575"/>
      <c r="T862" s="576"/>
      <c r="U862" s="308"/>
      <c r="V862" s="575"/>
      <c r="W862" s="576"/>
      <c r="X862" s="308"/>
      <c r="Y862" s="575"/>
      <c r="Z862" s="576"/>
      <c r="AA862" s="308"/>
      <c r="AB862" s="575"/>
      <c r="AC862" s="576"/>
      <c r="AD862" s="308"/>
      <c r="AE862" s="575"/>
      <c r="AF862" s="308"/>
      <c r="AG862" s="575"/>
      <c r="AH862" s="308"/>
      <c r="AI862" s="575"/>
      <c r="AJ862" s="308"/>
      <c r="AK862" s="305"/>
      <c r="AL862" s="577"/>
      <c r="AM862" s="306"/>
      <c r="AN862" s="308"/>
      <c r="AO862" s="573"/>
      <c r="AP862" s="305"/>
      <c r="AQ862" s="308"/>
      <c r="AR862" s="573"/>
      <c r="AS862" s="578"/>
      <c r="AT862" s="577"/>
      <c r="AU862" s="579"/>
      <c r="AV862" s="578"/>
      <c r="AW862" s="308"/>
      <c r="AX862" s="307"/>
      <c r="AY862" s="307"/>
      <c r="AZ862" s="307"/>
      <c r="BA862" s="307"/>
      <c r="BB862" s="307"/>
      <c r="BC862" s="305"/>
      <c r="BD862" s="292"/>
      <c r="BE862" s="297"/>
      <c r="BF862" s="297"/>
      <c r="BG862" s="569"/>
      <c r="BH862" s="570"/>
      <c r="BI862" s="570"/>
      <c r="BJ862" s="570"/>
      <c r="BK862" s="570"/>
      <c r="BL862" s="570"/>
      <c r="BM862" s="570"/>
      <c r="BN862" s="570"/>
      <c r="BO862" s="570"/>
      <c r="BP862" s="570"/>
      <c r="BQ862" s="570"/>
      <c r="BR862" s="570"/>
      <c r="BS862" s="570"/>
      <c r="BT862" s="570"/>
      <c r="BU862" s="570"/>
      <c r="BV862" s="570"/>
      <c r="BW862" s="570"/>
      <c r="BX862" s="570"/>
      <c r="BY862" s="570"/>
      <c r="BZ862" s="571"/>
      <c r="CA862" s="571"/>
    </row>
    <row r="863" spans="2:79">
      <c r="B863" s="572">
        <v>848</v>
      </c>
      <c r="C863" s="308"/>
      <c r="D863" s="307"/>
      <c r="E863" s="307"/>
      <c r="F863" s="305"/>
      <c r="G863" s="305"/>
      <c r="H863" s="292"/>
      <c r="I863" s="574"/>
      <c r="J863" s="573"/>
      <c r="K863" s="307"/>
      <c r="L863" s="292"/>
      <c r="M863" s="308"/>
      <c r="N863" s="292"/>
      <c r="O863" s="308"/>
      <c r="P863" s="575"/>
      <c r="Q863" s="576"/>
      <c r="R863" s="308"/>
      <c r="S863" s="575"/>
      <c r="T863" s="576"/>
      <c r="U863" s="308"/>
      <c r="V863" s="575"/>
      <c r="W863" s="576"/>
      <c r="X863" s="308"/>
      <c r="Y863" s="575"/>
      <c r="Z863" s="576"/>
      <c r="AA863" s="308"/>
      <c r="AB863" s="575"/>
      <c r="AC863" s="576"/>
      <c r="AD863" s="308"/>
      <c r="AE863" s="575"/>
      <c r="AF863" s="308"/>
      <c r="AG863" s="575"/>
      <c r="AH863" s="308"/>
      <c r="AI863" s="575"/>
      <c r="AJ863" s="308"/>
      <c r="AK863" s="305"/>
      <c r="AL863" s="577"/>
      <c r="AM863" s="306"/>
      <c r="AN863" s="308"/>
      <c r="AO863" s="573"/>
      <c r="AP863" s="305"/>
      <c r="AQ863" s="308"/>
      <c r="AR863" s="573"/>
      <c r="AS863" s="578"/>
      <c r="AT863" s="577"/>
      <c r="AU863" s="579"/>
      <c r="AV863" s="578"/>
      <c r="AW863" s="308"/>
      <c r="AX863" s="307"/>
      <c r="AY863" s="307"/>
      <c r="AZ863" s="307"/>
      <c r="BA863" s="307"/>
      <c r="BB863" s="307"/>
      <c r="BC863" s="305"/>
      <c r="BD863" s="292"/>
      <c r="BE863" s="297"/>
      <c r="BF863" s="297"/>
      <c r="BG863" s="569"/>
      <c r="BH863" s="570"/>
      <c r="BI863" s="570"/>
      <c r="BJ863" s="570"/>
      <c r="BK863" s="570"/>
      <c r="BL863" s="570"/>
      <c r="BM863" s="570"/>
      <c r="BN863" s="570"/>
      <c r="BO863" s="570"/>
      <c r="BP863" s="570"/>
      <c r="BQ863" s="570"/>
      <c r="BR863" s="570"/>
      <c r="BS863" s="570"/>
      <c r="BT863" s="570"/>
      <c r="BU863" s="570"/>
      <c r="BV863" s="570"/>
      <c r="BW863" s="570"/>
      <c r="BX863" s="570"/>
      <c r="BY863" s="570"/>
      <c r="BZ863" s="571"/>
      <c r="CA863" s="571"/>
    </row>
    <row r="864" spans="2:79">
      <c r="B864" s="566">
        <v>849</v>
      </c>
      <c r="C864" s="308"/>
      <c r="D864" s="307"/>
      <c r="E864" s="307"/>
      <c r="F864" s="305"/>
      <c r="G864" s="305"/>
      <c r="H864" s="292"/>
      <c r="I864" s="574"/>
      <c r="J864" s="573"/>
      <c r="K864" s="307"/>
      <c r="L864" s="292"/>
      <c r="M864" s="308"/>
      <c r="N864" s="292"/>
      <c r="O864" s="308"/>
      <c r="P864" s="575"/>
      <c r="Q864" s="576"/>
      <c r="R864" s="308"/>
      <c r="S864" s="575"/>
      <c r="T864" s="576"/>
      <c r="U864" s="308"/>
      <c r="V864" s="575"/>
      <c r="W864" s="576"/>
      <c r="X864" s="308"/>
      <c r="Y864" s="575"/>
      <c r="Z864" s="576"/>
      <c r="AA864" s="308"/>
      <c r="AB864" s="575"/>
      <c r="AC864" s="576"/>
      <c r="AD864" s="308"/>
      <c r="AE864" s="575"/>
      <c r="AF864" s="308"/>
      <c r="AG864" s="575"/>
      <c r="AH864" s="308"/>
      <c r="AI864" s="575"/>
      <c r="AJ864" s="308"/>
      <c r="AK864" s="305"/>
      <c r="AL864" s="577"/>
      <c r="AM864" s="306"/>
      <c r="AN864" s="308"/>
      <c r="AO864" s="573"/>
      <c r="AP864" s="305"/>
      <c r="AQ864" s="308"/>
      <c r="AR864" s="573"/>
      <c r="AS864" s="578"/>
      <c r="AT864" s="577"/>
      <c r="AU864" s="579"/>
      <c r="AV864" s="578"/>
      <c r="AW864" s="308"/>
      <c r="AX864" s="307"/>
      <c r="AY864" s="307"/>
      <c r="AZ864" s="307"/>
      <c r="BA864" s="307"/>
      <c r="BB864" s="307"/>
      <c r="BC864" s="305"/>
      <c r="BD864" s="292"/>
      <c r="BE864" s="297"/>
      <c r="BF864" s="297"/>
      <c r="BG864" s="569"/>
      <c r="BH864" s="570"/>
      <c r="BI864" s="570"/>
      <c r="BJ864" s="570"/>
      <c r="BK864" s="570"/>
      <c r="BL864" s="570"/>
      <c r="BM864" s="570"/>
      <c r="BN864" s="570"/>
      <c r="BO864" s="570"/>
      <c r="BP864" s="570"/>
      <c r="BQ864" s="570"/>
      <c r="BR864" s="570"/>
      <c r="BS864" s="570"/>
      <c r="BT864" s="570"/>
      <c r="BU864" s="570"/>
      <c r="BV864" s="570"/>
      <c r="BW864" s="570"/>
      <c r="BX864" s="570"/>
      <c r="BY864" s="570"/>
      <c r="BZ864" s="571"/>
      <c r="CA864" s="571"/>
    </row>
    <row r="865" spans="2:79">
      <c r="B865" s="572">
        <v>850</v>
      </c>
      <c r="C865" s="308"/>
      <c r="D865" s="307"/>
      <c r="E865" s="307"/>
      <c r="F865" s="305"/>
      <c r="G865" s="305"/>
      <c r="H865" s="292"/>
      <c r="I865" s="574"/>
      <c r="J865" s="573"/>
      <c r="K865" s="307"/>
      <c r="L865" s="292"/>
      <c r="M865" s="308"/>
      <c r="N865" s="292"/>
      <c r="O865" s="308"/>
      <c r="P865" s="575"/>
      <c r="Q865" s="576"/>
      <c r="R865" s="308"/>
      <c r="S865" s="575"/>
      <c r="T865" s="576"/>
      <c r="U865" s="308"/>
      <c r="V865" s="575"/>
      <c r="W865" s="576"/>
      <c r="X865" s="308"/>
      <c r="Y865" s="575"/>
      <c r="Z865" s="576"/>
      <c r="AA865" s="308"/>
      <c r="AB865" s="575"/>
      <c r="AC865" s="576"/>
      <c r="AD865" s="308"/>
      <c r="AE865" s="575"/>
      <c r="AF865" s="308"/>
      <c r="AG865" s="575"/>
      <c r="AH865" s="308"/>
      <c r="AI865" s="575"/>
      <c r="AJ865" s="308"/>
      <c r="AK865" s="305"/>
      <c r="AL865" s="577"/>
      <c r="AM865" s="306"/>
      <c r="AN865" s="308"/>
      <c r="AO865" s="573"/>
      <c r="AP865" s="305"/>
      <c r="AQ865" s="308"/>
      <c r="AR865" s="573"/>
      <c r="AS865" s="578"/>
      <c r="AT865" s="577"/>
      <c r="AU865" s="579"/>
      <c r="AV865" s="578"/>
      <c r="AW865" s="308"/>
      <c r="AX865" s="307"/>
      <c r="AY865" s="307"/>
      <c r="AZ865" s="307"/>
      <c r="BA865" s="307"/>
      <c r="BB865" s="307"/>
      <c r="BC865" s="305"/>
      <c r="BD865" s="292"/>
      <c r="BE865" s="297"/>
      <c r="BF865" s="297"/>
      <c r="BG865" s="569"/>
      <c r="BH865" s="570"/>
      <c r="BI865" s="570"/>
      <c r="BJ865" s="570"/>
      <c r="BK865" s="570"/>
      <c r="BL865" s="570"/>
      <c r="BM865" s="570"/>
      <c r="BN865" s="570"/>
      <c r="BO865" s="570"/>
      <c r="BP865" s="570"/>
      <c r="BQ865" s="570"/>
      <c r="BR865" s="570"/>
      <c r="BS865" s="570"/>
      <c r="BT865" s="570"/>
      <c r="BU865" s="570"/>
      <c r="BV865" s="570"/>
      <c r="BW865" s="570"/>
      <c r="BX865" s="570"/>
      <c r="BY865" s="570"/>
      <c r="BZ865" s="571"/>
      <c r="CA865" s="571"/>
    </row>
    <row r="866" spans="2:79">
      <c r="B866" s="566">
        <v>851</v>
      </c>
      <c r="C866" s="308"/>
      <c r="D866" s="307"/>
      <c r="E866" s="307"/>
      <c r="F866" s="305"/>
      <c r="G866" s="305"/>
      <c r="H866" s="292"/>
      <c r="I866" s="574"/>
      <c r="J866" s="573"/>
      <c r="K866" s="307"/>
      <c r="L866" s="292"/>
      <c r="M866" s="308"/>
      <c r="N866" s="292"/>
      <c r="O866" s="308"/>
      <c r="P866" s="575"/>
      <c r="Q866" s="576"/>
      <c r="R866" s="308"/>
      <c r="S866" s="575"/>
      <c r="T866" s="576"/>
      <c r="U866" s="308"/>
      <c r="V866" s="575"/>
      <c r="W866" s="576"/>
      <c r="X866" s="308"/>
      <c r="Y866" s="575"/>
      <c r="Z866" s="576"/>
      <c r="AA866" s="308"/>
      <c r="AB866" s="575"/>
      <c r="AC866" s="576"/>
      <c r="AD866" s="308"/>
      <c r="AE866" s="575"/>
      <c r="AF866" s="308"/>
      <c r="AG866" s="575"/>
      <c r="AH866" s="308"/>
      <c r="AI866" s="575"/>
      <c r="AJ866" s="308"/>
      <c r="AK866" s="305"/>
      <c r="AL866" s="577"/>
      <c r="AM866" s="306"/>
      <c r="AN866" s="308"/>
      <c r="AO866" s="573"/>
      <c r="AP866" s="305"/>
      <c r="AQ866" s="308"/>
      <c r="AR866" s="573"/>
      <c r="AS866" s="578"/>
      <c r="AT866" s="577"/>
      <c r="AU866" s="579"/>
      <c r="AV866" s="578"/>
      <c r="AW866" s="308"/>
      <c r="AX866" s="307"/>
      <c r="AY866" s="307"/>
      <c r="AZ866" s="307"/>
      <c r="BA866" s="307"/>
      <c r="BB866" s="307"/>
      <c r="BC866" s="305"/>
      <c r="BD866" s="292"/>
      <c r="BE866" s="297"/>
      <c r="BF866" s="297"/>
      <c r="BG866" s="569"/>
      <c r="BH866" s="570"/>
      <c r="BI866" s="570"/>
      <c r="BJ866" s="570"/>
      <c r="BK866" s="570"/>
      <c r="BL866" s="570"/>
      <c r="BM866" s="570"/>
      <c r="BN866" s="570"/>
      <c r="BO866" s="570"/>
      <c r="BP866" s="570"/>
      <c r="BQ866" s="570"/>
      <c r="BR866" s="570"/>
      <c r="BS866" s="570"/>
      <c r="BT866" s="570"/>
      <c r="BU866" s="570"/>
      <c r="BV866" s="570"/>
      <c r="BW866" s="570"/>
      <c r="BX866" s="570"/>
      <c r="BY866" s="570"/>
      <c r="BZ866" s="571"/>
      <c r="CA866" s="571"/>
    </row>
    <row r="867" spans="2:79">
      <c r="B867" s="572">
        <v>852</v>
      </c>
      <c r="C867" s="308"/>
      <c r="D867" s="307"/>
      <c r="E867" s="307"/>
      <c r="F867" s="305"/>
      <c r="G867" s="305"/>
      <c r="H867" s="292"/>
      <c r="I867" s="574"/>
      <c r="J867" s="573"/>
      <c r="K867" s="307"/>
      <c r="L867" s="292"/>
      <c r="M867" s="308"/>
      <c r="N867" s="292"/>
      <c r="O867" s="308"/>
      <c r="P867" s="575"/>
      <c r="Q867" s="576"/>
      <c r="R867" s="308"/>
      <c r="S867" s="575"/>
      <c r="T867" s="576"/>
      <c r="U867" s="308"/>
      <c r="V867" s="575"/>
      <c r="W867" s="576"/>
      <c r="X867" s="308"/>
      <c r="Y867" s="575"/>
      <c r="Z867" s="576"/>
      <c r="AA867" s="308"/>
      <c r="AB867" s="575"/>
      <c r="AC867" s="576"/>
      <c r="AD867" s="308"/>
      <c r="AE867" s="575"/>
      <c r="AF867" s="308"/>
      <c r="AG867" s="575"/>
      <c r="AH867" s="308"/>
      <c r="AI867" s="575"/>
      <c r="AJ867" s="308"/>
      <c r="AK867" s="305"/>
      <c r="AL867" s="577"/>
      <c r="AM867" s="306"/>
      <c r="AN867" s="308"/>
      <c r="AO867" s="573"/>
      <c r="AP867" s="305"/>
      <c r="AQ867" s="308"/>
      <c r="AR867" s="573"/>
      <c r="AS867" s="578"/>
      <c r="AT867" s="577"/>
      <c r="AU867" s="579"/>
      <c r="AV867" s="578"/>
      <c r="AW867" s="308"/>
      <c r="AX867" s="307"/>
      <c r="AY867" s="307"/>
      <c r="AZ867" s="307"/>
      <c r="BA867" s="307"/>
      <c r="BB867" s="307"/>
      <c r="BC867" s="305"/>
      <c r="BD867" s="292"/>
      <c r="BE867" s="297"/>
      <c r="BF867" s="297"/>
      <c r="BG867" s="569"/>
      <c r="BH867" s="570"/>
      <c r="BI867" s="570"/>
      <c r="BJ867" s="570"/>
      <c r="BK867" s="570"/>
      <c r="BL867" s="570"/>
      <c r="BM867" s="570"/>
      <c r="BN867" s="570"/>
      <c r="BO867" s="570"/>
      <c r="BP867" s="570"/>
      <c r="BQ867" s="570"/>
      <c r="BR867" s="570"/>
      <c r="BS867" s="570"/>
      <c r="BT867" s="570"/>
      <c r="BU867" s="570"/>
      <c r="BV867" s="570"/>
      <c r="BW867" s="570"/>
      <c r="BX867" s="570"/>
      <c r="BY867" s="570"/>
      <c r="BZ867" s="571"/>
      <c r="CA867" s="571"/>
    </row>
    <row r="868" spans="2:79">
      <c r="B868" s="566">
        <v>853</v>
      </c>
      <c r="C868" s="308"/>
      <c r="D868" s="307"/>
      <c r="E868" s="307"/>
      <c r="F868" s="305"/>
      <c r="G868" s="305"/>
      <c r="H868" s="292"/>
      <c r="I868" s="574"/>
      <c r="J868" s="573"/>
      <c r="K868" s="307"/>
      <c r="L868" s="292"/>
      <c r="M868" s="308"/>
      <c r="N868" s="292"/>
      <c r="O868" s="308"/>
      <c r="P868" s="575"/>
      <c r="Q868" s="576"/>
      <c r="R868" s="308"/>
      <c r="S868" s="575"/>
      <c r="T868" s="576"/>
      <c r="U868" s="308"/>
      <c r="V868" s="575"/>
      <c r="W868" s="576"/>
      <c r="X868" s="308"/>
      <c r="Y868" s="575"/>
      <c r="Z868" s="576"/>
      <c r="AA868" s="308"/>
      <c r="AB868" s="575"/>
      <c r="AC868" s="576"/>
      <c r="AD868" s="308"/>
      <c r="AE868" s="575"/>
      <c r="AF868" s="308"/>
      <c r="AG868" s="575"/>
      <c r="AH868" s="308"/>
      <c r="AI868" s="575"/>
      <c r="AJ868" s="308"/>
      <c r="AK868" s="305"/>
      <c r="AL868" s="577"/>
      <c r="AM868" s="306"/>
      <c r="AN868" s="308"/>
      <c r="AO868" s="573"/>
      <c r="AP868" s="305"/>
      <c r="AQ868" s="308"/>
      <c r="AR868" s="573"/>
      <c r="AS868" s="578"/>
      <c r="AT868" s="577"/>
      <c r="AU868" s="579"/>
      <c r="AV868" s="578"/>
      <c r="AW868" s="308"/>
      <c r="AX868" s="307"/>
      <c r="AY868" s="307"/>
      <c r="AZ868" s="307"/>
      <c r="BA868" s="307"/>
      <c r="BB868" s="307"/>
      <c r="BC868" s="305"/>
      <c r="BD868" s="292"/>
      <c r="BE868" s="297"/>
      <c r="BF868" s="297"/>
      <c r="BG868" s="569"/>
      <c r="BH868" s="570"/>
      <c r="BI868" s="570"/>
      <c r="BJ868" s="570"/>
      <c r="BK868" s="570"/>
      <c r="BL868" s="570"/>
      <c r="BM868" s="570"/>
      <c r="BN868" s="570"/>
      <c r="BO868" s="570"/>
      <c r="BP868" s="570"/>
      <c r="BQ868" s="570"/>
      <c r="BR868" s="570"/>
      <c r="BS868" s="570"/>
      <c r="BT868" s="570"/>
      <c r="BU868" s="570"/>
      <c r="BV868" s="570"/>
      <c r="BW868" s="570"/>
      <c r="BX868" s="570"/>
      <c r="BY868" s="570"/>
      <c r="BZ868" s="571"/>
      <c r="CA868" s="571"/>
    </row>
    <row r="869" spans="2:79">
      <c r="B869" s="572">
        <v>854</v>
      </c>
      <c r="C869" s="308"/>
      <c r="D869" s="307"/>
      <c r="E869" s="307"/>
      <c r="F869" s="305"/>
      <c r="G869" s="305"/>
      <c r="H869" s="292"/>
      <c r="I869" s="574"/>
      <c r="J869" s="573"/>
      <c r="K869" s="307"/>
      <c r="L869" s="292"/>
      <c r="M869" s="308"/>
      <c r="N869" s="292"/>
      <c r="O869" s="308"/>
      <c r="P869" s="575"/>
      <c r="Q869" s="576"/>
      <c r="R869" s="308"/>
      <c r="S869" s="575"/>
      <c r="T869" s="576"/>
      <c r="U869" s="308"/>
      <c r="V869" s="575"/>
      <c r="W869" s="576"/>
      <c r="X869" s="308"/>
      <c r="Y869" s="575"/>
      <c r="Z869" s="576"/>
      <c r="AA869" s="308"/>
      <c r="AB869" s="575"/>
      <c r="AC869" s="576"/>
      <c r="AD869" s="308"/>
      <c r="AE869" s="575"/>
      <c r="AF869" s="308"/>
      <c r="AG869" s="575"/>
      <c r="AH869" s="308"/>
      <c r="AI869" s="575"/>
      <c r="AJ869" s="308"/>
      <c r="AK869" s="305"/>
      <c r="AL869" s="577"/>
      <c r="AM869" s="306"/>
      <c r="AN869" s="308"/>
      <c r="AO869" s="573"/>
      <c r="AP869" s="305"/>
      <c r="AQ869" s="308"/>
      <c r="AR869" s="573"/>
      <c r="AS869" s="578"/>
      <c r="AT869" s="577"/>
      <c r="AU869" s="579"/>
      <c r="AV869" s="578"/>
      <c r="AW869" s="308"/>
      <c r="AX869" s="307"/>
      <c r="AY869" s="307"/>
      <c r="AZ869" s="307"/>
      <c r="BA869" s="307"/>
      <c r="BB869" s="307"/>
      <c r="BC869" s="305"/>
      <c r="BD869" s="292"/>
      <c r="BE869" s="297"/>
      <c r="BF869" s="297"/>
      <c r="BG869" s="569"/>
      <c r="BH869" s="570"/>
      <c r="BI869" s="570"/>
      <c r="BJ869" s="570"/>
      <c r="BK869" s="570"/>
      <c r="BL869" s="570"/>
      <c r="BM869" s="570"/>
      <c r="BN869" s="570"/>
      <c r="BO869" s="570"/>
      <c r="BP869" s="570"/>
      <c r="BQ869" s="570"/>
      <c r="BR869" s="570"/>
      <c r="BS869" s="570"/>
      <c r="BT869" s="570"/>
      <c r="BU869" s="570"/>
      <c r="BV869" s="570"/>
      <c r="BW869" s="570"/>
      <c r="BX869" s="570"/>
      <c r="BY869" s="570"/>
      <c r="BZ869" s="571"/>
      <c r="CA869" s="571"/>
    </row>
    <row r="870" spans="2:79">
      <c r="B870" s="566">
        <v>855</v>
      </c>
      <c r="C870" s="308"/>
      <c r="D870" s="307"/>
      <c r="E870" s="307"/>
      <c r="F870" s="305"/>
      <c r="G870" s="305"/>
      <c r="H870" s="292"/>
      <c r="I870" s="574"/>
      <c r="J870" s="573"/>
      <c r="K870" s="307"/>
      <c r="L870" s="292"/>
      <c r="M870" s="308"/>
      <c r="N870" s="292"/>
      <c r="O870" s="308"/>
      <c r="P870" s="575"/>
      <c r="Q870" s="576"/>
      <c r="R870" s="308"/>
      <c r="S870" s="575"/>
      <c r="T870" s="576"/>
      <c r="U870" s="308"/>
      <c r="V870" s="575"/>
      <c r="W870" s="576"/>
      <c r="X870" s="308"/>
      <c r="Y870" s="575"/>
      <c r="Z870" s="576"/>
      <c r="AA870" s="308"/>
      <c r="AB870" s="575"/>
      <c r="AC870" s="576"/>
      <c r="AD870" s="308"/>
      <c r="AE870" s="575"/>
      <c r="AF870" s="308"/>
      <c r="AG870" s="575"/>
      <c r="AH870" s="308"/>
      <c r="AI870" s="575"/>
      <c r="AJ870" s="308"/>
      <c r="AK870" s="305"/>
      <c r="AL870" s="577"/>
      <c r="AM870" s="306"/>
      <c r="AN870" s="308"/>
      <c r="AO870" s="573"/>
      <c r="AP870" s="305"/>
      <c r="AQ870" s="308"/>
      <c r="AR870" s="573"/>
      <c r="AS870" s="578"/>
      <c r="AT870" s="577"/>
      <c r="AU870" s="579"/>
      <c r="AV870" s="578"/>
      <c r="AW870" s="308"/>
      <c r="AX870" s="307"/>
      <c r="AY870" s="307"/>
      <c r="AZ870" s="307"/>
      <c r="BA870" s="307"/>
      <c r="BB870" s="307"/>
      <c r="BC870" s="305"/>
      <c r="BD870" s="292"/>
      <c r="BE870" s="297"/>
      <c r="BF870" s="297"/>
      <c r="BG870" s="569"/>
      <c r="BH870" s="570"/>
      <c r="BI870" s="570"/>
      <c r="BJ870" s="570"/>
      <c r="BK870" s="570"/>
      <c r="BL870" s="570"/>
      <c r="BM870" s="570"/>
      <c r="BN870" s="570"/>
      <c r="BO870" s="570"/>
      <c r="BP870" s="570"/>
      <c r="BQ870" s="570"/>
      <c r="BR870" s="570"/>
      <c r="BS870" s="570"/>
      <c r="BT870" s="570"/>
      <c r="BU870" s="570"/>
      <c r="BV870" s="570"/>
      <c r="BW870" s="570"/>
      <c r="BX870" s="570"/>
      <c r="BY870" s="570"/>
      <c r="BZ870" s="571"/>
      <c r="CA870" s="571"/>
    </row>
    <row r="871" spans="2:79">
      <c r="B871" s="572">
        <v>856</v>
      </c>
      <c r="C871" s="308"/>
      <c r="D871" s="307"/>
      <c r="E871" s="307"/>
      <c r="F871" s="305"/>
      <c r="G871" s="305"/>
      <c r="H871" s="292"/>
      <c r="I871" s="574"/>
      <c r="J871" s="573"/>
      <c r="K871" s="307"/>
      <c r="L871" s="292"/>
      <c r="M871" s="308"/>
      <c r="N871" s="292"/>
      <c r="O871" s="308"/>
      <c r="P871" s="575"/>
      <c r="Q871" s="576"/>
      <c r="R871" s="308"/>
      <c r="S871" s="575"/>
      <c r="T871" s="576"/>
      <c r="U871" s="308"/>
      <c r="V871" s="575"/>
      <c r="W871" s="576"/>
      <c r="X871" s="308"/>
      <c r="Y871" s="575"/>
      <c r="Z871" s="576"/>
      <c r="AA871" s="308"/>
      <c r="AB871" s="575"/>
      <c r="AC871" s="576"/>
      <c r="AD871" s="308"/>
      <c r="AE871" s="575"/>
      <c r="AF871" s="308"/>
      <c r="AG871" s="575"/>
      <c r="AH871" s="308"/>
      <c r="AI871" s="575"/>
      <c r="AJ871" s="308"/>
      <c r="AK871" s="305"/>
      <c r="AL871" s="577"/>
      <c r="AM871" s="306"/>
      <c r="AN871" s="308"/>
      <c r="AO871" s="573"/>
      <c r="AP871" s="305"/>
      <c r="AQ871" s="308"/>
      <c r="AR871" s="573"/>
      <c r="AS871" s="578"/>
      <c r="AT871" s="577"/>
      <c r="AU871" s="579"/>
      <c r="AV871" s="578"/>
      <c r="AW871" s="308"/>
      <c r="AX871" s="307"/>
      <c r="AY871" s="307"/>
      <c r="AZ871" s="307"/>
      <c r="BA871" s="307"/>
      <c r="BB871" s="307"/>
      <c r="BC871" s="305"/>
      <c r="BD871" s="292"/>
      <c r="BE871" s="297"/>
      <c r="BF871" s="297"/>
      <c r="BG871" s="569"/>
      <c r="BH871" s="570"/>
      <c r="BI871" s="570"/>
      <c r="BJ871" s="570"/>
      <c r="BK871" s="570"/>
      <c r="BL871" s="570"/>
      <c r="BM871" s="570"/>
      <c r="BN871" s="570"/>
      <c r="BO871" s="570"/>
      <c r="BP871" s="570"/>
      <c r="BQ871" s="570"/>
      <c r="BR871" s="570"/>
      <c r="BS871" s="570"/>
      <c r="BT871" s="570"/>
      <c r="BU871" s="570"/>
      <c r="BV871" s="570"/>
      <c r="BW871" s="570"/>
      <c r="BX871" s="570"/>
      <c r="BY871" s="570"/>
      <c r="BZ871" s="571"/>
      <c r="CA871" s="571"/>
    </row>
    <row r="872" spans="2:79">
      <c r="B872" s="566">
        <v>857</v>
      </c>
      <c r="C872" s="308"/>
      <c r="D872" s="307"/>
      <c r="E872" s="307"/>
      <c r="F872" s="305"/>
      <c r="G872" s="305"/>
      <c r="H872" s="292"/>
      <c r="I872" s="574"/>
      <c r="J872" s="573"/>
      <c r="K872" s="307"/>
      <c r="L872" s="292"/>
      <c r="M872" s="308"/>
      <c r="N872" s="292"/>
      <c r="O872" s="308"/>
      <c r="P872" s="575"/>
      <c r="Q872" s="576"/>
      <c r="R872" s="308"/>
      <c r="S872" s="575"/>
      <c r="T872" s="576"/>
      <c r="U872" s="308"/>
      <c r="V872" s="575"/>
      <c r="W872" s="576"/>
      <c r="X872" s="308"/>
      <c r="Y872" s="575"/>
      <c r="Z872" s="576"/>
      <c r="AA872" s="308"/>
      <c r="AB872" s="575"/>
      <c r="AC872" s="576"/>
      <c r="AD872" s="308"/>
      <c r="AE872" s="575"/>
      <c r="AF872" s="308"/>
      <c r="AG872" s="575"/>
      <c r="AH872" s="308"/>
      <c r="AI872" s="575"/>
      <c r="AJ872" s="308"/>
      <c r="AK872" s="305"/>
      <c r="AL872" s="577"/>
      <c r="AM872" s="306"/>
      <c r="AN872" s="308"/>
      <c r="AO872" s="573"/>
      <c r="AP872" s="305"/>
      <c r="AQ872" s="308"/>
      <c r="AR872" s="573"/>
      <c r="AS872" s="578"/>
      <c r="AT872" s="577"/>
      <c r="AU872" s="579"/>
      <c r="AV872" s="578"/>
      <c r="AW872" s="308"/>
      <c r="AX872" s="307"/>
      <c r="AY872" s="307"/>
      <c r="AZ872" s="307"/>
      <c r="BA872" s="307"/>
      <c r="BB872" s="307"/>
      <c r="BC872" s="305"/>
      <c r="BD872" s="292"/>
      <c r="BE872" s="297"/>
      <c r="BF872" s="297"/>
      <c r="BG872" s="569"/>
      <c r="BH872" s="570"/>
      <c r="BI872" s="570"/>
      <c r="BJ872" s="570"/>
      <c r="BK872" s="570"/>
      <c r="BL872" s="570"/>
      <c r="BM872" s="570"/>
      <c r="BN872" s="570"/>
      <c r="BO872" s="570"/>
      <c r="BP872" s="570"/>
      <c r="BQ872" s="570"/>
      <c r="BR872" s="570"/>
      <c r="BS872" s="570"/>
      <c r="BT872" s="570"/>
      <c r="BU872" s="570"/>
      <c r="BV872" s="570"/>
      <c r="BW872" s="570"/>
      <c r="BX872" s="570"/>
      <c r="BY872" s="570"/>
      <c r="BZ872" s="571"/>
      <c r="CA872" s="571"/>
    </row>
    <row r="873" spans="2:79">
      <c r="B873" s="572">
        <v>858</v>
      </c>
      <c r="C873" s="308"/>
      <c r="D873" s="307"/>
      <c r="E873" s="307"/>
      <c r="F873" s="305"/>
      <c r="G873" s="305"/>
      <c r="H873" s="292"/>
      <c r="I873" s="574"/>
      <c r="J873" s="573"/>
      <c r="K873" s="307"/>
      <c r="L873" s="292"/>
      <c r="M873" s="308"/>
      <c r="N873" s="292"/>
      <c r="O873" s="308"/>
      <c r="P873" s="575"/>
      <c r="Q873" s="576"/>
      <c r="R873" s="308"/>
      <c r="S873" s="575"/>
      <c r="T873" s="576"/>
      <c r="U873" s="308"/>
      <c r="V873" s="575"/>
      <c r="W873" s="576"/>
      <c r="X873" s="308"/>
      <c r="Y873" s="575"/>
      <c r="Z873" s="576"/>
      <c r="AA873" s="308"/>
      <c r="AB873" s="575"/>
      <c r="AC873" s="576"/>
      <c r="AD873" s="308"/>
      <c r="AE873" s="575"/>
      <c r="AF873" s="308"/>
      <c r="AG873" s="575"/>
      <c r="AH873" s="308"/>
      <c r="AI873" s="575"/>
      <c r="AJ873" s="308"/>
      <c r="AK873" s="305"/>
      <c r="AL873" s="577"/>
      <c r="AM873" s="306"/>
      <c r="AN873" s="308"/>
      <c r="AO873" s="573"/>
      <c r="AP873" s="305"/>
      <c r="AQ873" s="308"/>
      <c r="AR873" s="573"/>
      <c r="AS873" s="578"/>
      <c r="AT873" s="577"/>
      <c r="AU873" s="579"/>
      <c r="AV873" s="578"/>
      <c r="AW873" s="308"/>
      <c r="AX873" s="307"/>
      <c r="AY873" s="307"/>
      <c r="AZ873" s="307"/>
      <c r="BA873" s="307"/>
      <c r="BB873" s="307"/>
      <c r="BC873" s="305"/>
      <c r="BD873" s="292"/>
      <c r="BE873" s="297"/>
      <c r="BF873" s="297"/>
      <c r="BG873" s="569"/>
      <c r="BH873" s="570"/>
      <c r="BI873" s="570"/>
      <c r="BJ873" s="570"/>
      <c r="BK873" s="570"/>
      <c r="BL873" s="570"/>
      <c r="BM873" s="570"/>
      <c r="BN873" s="570"/>
      <c r="BO873" s="570"/>
      <c r="BP873" s="570"/>
      <c r="BQ873" s="570"/>
      <c r="BR873" s="570"/>
      <c r="BS873" s="570"/>
      <c r="BT873" s="570"/>
      <c r="BU873" s="570"/>
      <c r="BV873" s="570"/>
      <c r="BW873" s="570"/>
      <c r="BX873" s="570"/>
      <c r="BY873" s="570"/>
      <c r="BZ873" s="571"/>
      <c r="CA873" s="571"/>
    </row>
    <row r="874" spans="2:79">
      <c r="B874" s="566">
        <v>859</v>
      </c>
      <c r="C874" s="308"/>
      <c r="D874" s="307"/>
      <c r="E874" s="307"/>
      <c r="F874" s="305"/>
      <c r="G874" s="305"/>
      <c r="H874" s="292"/>
      <c r="I874" s="574"/>
      <c r="J874" s="573"/>
      <c r="K874" s="307"/>
      <c r="L874" s="292"/>
      <c r="M874" s="308"/>
      <c r="N874" s="292"/>
      <c r="O874" s="308"/>
      <c r="P874" s="575"/>
      <c r="Q874" s="576"/>
      <c r="R874" s="308"/>
      <c r="S874" s="575"/>
      <c r="T874" s="576"/>
      <c r="U874" s="308"/>
      <c r="V874" s="575"/>
      <c r="W874" s="576"/>
      <c r="X874" s="308"/>
      <c r="Y874" s="575"/>
      <c r="Z874" s="576"/>
      <c r="AA874" s="308"/>
      <c r="AB874" s="575"/>
      <c r="AC874" s="576"/>
      <c r="AD874" s="308"/>
      <c r="AE874" s="575"/>
      <c r="AF874" s="308"/>
      <c r="AG874" s="575"/>
      <c r="AH874" s="308"/>
      <c r="AI874" s="575"/>
      <c r="AJ874" s="308"/>
      <c r="AK874" s="305"/>
      <c r="AL874" s="577"/>
      <c r="AM874" s="306"/>
      <c r="AN874" s="308"/>
      <c r="AO874" s="573"/>
      <c r="AP874" s="305"/>
      <c r="AQ874" s="308"/>
      <c r="AR874" s="573"/>
      <c r="AS874" s="578"/>
      <c r="AT874" s="577"/>
      <c r="AU874" s="579"/>
      <c r="AV874" s="578"/>
      <c r="AW874" s="308"/>
      <c r="AX874" s="307"/>
      <c r="AY874" s="307"/>
      <c r="AZ874" s="307"/>
      <c r="BA874" s="307"/>
      <c r="BB874" s="307"/>
      <c r="BC874" s="305"/>
      <c r="BD874" s="292"/>
      <c r="BE874" s="297"/>
      <c r="BF874" s="297"/>
      <c r="BG874" s="569"/>
      <c r="BH874" s="570"/>
      <c r="BI874" s="570"/>
      <c r="BJ874" s="570"/>
      <c r="BK874" s="570"/>
      <c r="BL874" s="570"/>
      <c r="BM874" s="570"/>
      <c r="BN874" s="570"/>
      <c r="BO874" s="570"/>
      <c r="BP874" s="570"/>
      <c r="BQ874" s="570"/>
      <c r="BR874" s="570"/>
      <c r="BS874" s="570"/>
      <c r="BT874" s="570"/>
      <c r="BU874" s="570"/>
      <c r="BV874" s="570"/>
      <c r="BW874" s="570"/>
      <c r="BX874" s="570"/>
      <c r="BY874" s="570"/>
      <c r="BZ874" s="571"/>
      <c r="CA874" s="571"/>
    </row>
    <row r="875" spans="2:79">
      <c r="B875" s="572">
        <v>860</v>
      </c>
      <c r="C875" s="308"/>
      <c r="D875" s="307"/>
      <c r="E875" s="307"/>
      <c r="F875" s="305"/>
      <c r="G875" s="305"/>
      <c r="H875" s="292"/>
      <c r="I875" s="574"/>
      <c r="J875" s="573"/>
      <c r="K875" s="307"/>
      <c r="L875" s="292"/>
      <c r="M875" s="308"/>
      <c r="N875" s="292"/>
      <c r="O875" s="308"/>
      <c r="P875" s="575"/>
      <c r="Q875" s="576"/>
      <c r="R875" s="308"/>
      <c r="S875" s="575"/>
      <c r="T875" s="576"/>
      <c r="U875" s="308"/>
      <c r="V875" s="575"/>
      <c r="W875" s="576"/>
      <c r="X875" s="308"/>
      <c r="Y875" s="575"/>
      <c r="Z875" s="576"/>
      <c r="AA875" s="308"/>
      <c r="AB875" s="575"/>
      <c r="AC875" s="576"/>
      <c r="AD875" s="308"/>
      <c r="AE875" s="575"/>
      <c r="AF875" s="308"/>
      <c r="AG875" s="575"/>
      <c r="AH875" s="308"/>
      <c r="AI875" s="575"/>
      <c r="AJ875" s="308"/>
      <c r="AK875" s="305"/>
      <c r="AL875" s="577"/>
      <c r="AM875" s="306"/>
      <c r="AN875" s="308"/>
      <c r="AO875" s="573"/>
      <c r="AP875" s="305"/>
      <c r="AQ875" s="308"/>
      <c r="AR875" s="573"/>
      <c r="AS875" s="578"/>
      <c r="AT875" s="577"/>
      <c r="AU875" s="579"/>
      <c r="AV875" s="578"/>
      <c r="AW875" s="308"/>
      <c r="AX875" s="307"/>
      <c r="AY875" s="307"/>
      <c r="AZ875" s="307"/>
      <c r="BA875" s="307"/>
      <c r="BB875" s="307"/>
      <c r="BC875" s="305"/>
      <c r="BD875" s="292"/>
      <c r="BE875" s="297"/>
      <c r="BF875" s="297"/>
      <c r="BG875" s="569"/>
      <c r="BH875" s="570"/>
      <c r="BI875" s="570"/>
      <c r="BJ875" s="570"/>
      <c r="BK875" s="570"/>
      <c r="BL875" s="570"/>
      <c r="BM875" s="570"/>
      <c r="BN875" s="570"/>
      <c r="BO875" s="570"/>
      <c r="BP875" s="570"/>
      <c r="BQ875" s="570"/>
      <c r="BR875" s="570"/>
      <c r="BS875" s="570"/>
      <c r="BT875" s="570"/>
      <c r="BU875" s="570"/>
      <c r="BV875" s="570"/>
      <c r="BW875" s="570"/>
      <c r="BX875" s="570"/>
      <c r="BY875" s="570"/>
      <c r="BZ875" s="571"/>
      <c r="CA875" s="571"/>
    </row>
    <row r="876" spans="2:79">
      <c r="B876" s="566">
        <v>861</v>
      </c>
      <c r="C876" s="308"/>
      <c r="D876" s="307"/>
      <c r="E876" s="307"/>
      <c r="F876" s="305"/>
      <c r="G876" s="305"/>
      <c r="H876" s="292"/>
      <c r="I876" s="574"/>
      <c r="J876" s="573"/>
      <c r="K876" s="307"/>
      <c r="L876" s="292"/>
      <c r="M876" s="308"/>
      <c r="N876" s="292"/>
      <c r="O876" s="308"/>
      <c r="P876" s="575"/>
      <c r="Q876" s="576"/>
      <c r="R876" s="308"/>
      <c r="S876" s="575"/>
      <c r="T876" s="576"/>
      <c r="U876" s="308"/>
      <c r="V876" s="575"/>
      <c r="W876" s="576"/>
      <c r="X876" s="308"/>
      <c r="Y876" s="575"/>
      <c r="Z876" s="576"/>
      <c r="AA876" s="308"/>
      <c r="AB876" s="575"/>
      <c r="AC876" s="576"/>
      <c r="AD876" s="308"/>
      <c r="AE876" s="575"/>
      <c r="AF876" s="308"/>
      <c r="AG876" s="575"/>
      <c r="AH876" s="308"/>
      <c r="AI876" s="575"/>
      <c r="AJ876" s="308"/>
      <c r="AK876" s="305"/>
      <c r="AL876" s="577"/>
      <c r="AM876" s="306"/>
      <c r="AN876" s="308"/>
      <c r="AO876" s="573"/>
      <c r="AP876" s="305"/>
      <c r="AQ876" s="308"/>
      <c r="AR876" s="573"/>
      <c r="AS876" s="578"/>
      <c r="AT876" s="577"/>
      <c r="AU876" s="579"/>
      <c r="AV876" s="578"/>
      <c r="AW876" s="308"/>
      <c r="AX876" s="307"/>
      <c r="AY876" s="307"/>
      <c r="AZ876" s="307"/>
      <c r="BA876" s="307"/>
      <c r="BB876" s="307"/>
      <c r="BC876" s="305"/>
      <c r="BD876" s="292"/>
      <c r="BE876" s="297"/>
      <c r="BF876" s="297"/>
      <c r="BG876" s="569"/>
      <c r="BH876" s="570"/>
      <c r="BI876" s="570"/>
      <c r="BJ876" s="570"/>
      <c r="BK876" s="570"/>
      <c r="BL876" s="570"/>
      <c r="BM876" s="570"/>
      <c r="BN876" s="570"/>
      <c r="BO876" s="570"/>
      <c r="BP876" s="570"/>
      <c r="BQ876" s="570"/>
      <c r="BR876" s="570"/>
      <c r="BS876" s="570"/>
      <c r="BT876" s="570"/>
      <c r="BU876" s="570"/>
      <c r="BV876" s="570"/>
      <c r="BW876" s="570"/>
      <c r="BX876" s="570"/>
      <c r="BY876" s="570"/>
      <c r="BZ876" s="571"/>
      <c r="CA876" s="571"/>
    </row>
    <row r="877" spans="2:79">
      <c r="B877" s="572">
        <v>862</v>
      </c>
      <c r="C877" s="308"/>
      <c r="D877" s="307"/>
      <c r="E877" s="307"/>
      <c r="F877" s="305"/>
      <c r="G877" s="305"/>
      <c r="H877" s="292"/>
      <c r="I877" s="574"/>
      <c r="J877" s="573"/>
      <c r="K877" s="307"/>
      <c r="L877" s="292"/>
      <c r="M877" s="308"/>
      <c r="N877" s="292"/>
      <c r="O877" s="308"/>
      <c r="P877" s="575"/>
      <c r="Q877" s="576"/>
      <c r="R877" s="308"/>
      <c r="S877" s="575"/>
      <c r="T877" s="576"/>
      <c r="U877" s="308"/>
      <c r="V877" s="575"/>
      <c r="W877" s="576"/>
      <c r="X877" s="308"/>
      <c r="Y877" s="575"/>
      <c r="Z877" s="576"/>
      <c r="AA877" s="308"/>
      <c r="AB877" s="575"/>
      <c r="AC877" s="576"/>
      <c r="AD877" s="308"/>
      <c r="AE877" s="575"/>
      <c r="AF877" s="308"/>
      <c r="AG877" s="575"/>
      <c r="AH877" s="308"/>
      <c r="AI877" s="575"/>
      <c r="AJ877" s="308"/>
      <c r="AK877" s="305"/>
      <c r="AL877" s="577"/>
      <c r="AM877" s="306"/>
      <c r="AN877" s="308"/>
      <c r="AO877" s="573"/>
      <c r="AP877" s="305"/>
      <c r="AQ877" s="308"/>
      <c r="AR877" s="573"/>
      <c r="AS877" s="578"/>
      <c r="AT877" s="577"/>
      <c r="AU877" s="579"/>
      <c r="AV877" s="578"/>
      <c r="AW877" s="308"/>
      <c r="AX877" s="307"/>
      <c r="AY877" s="307"/>
      <c r="AZ877" s="307"/>
      <c r="BA877" s="307"/>
      <c r="BB877" s="307"/>
      <c r="BC877" s="305"/>
      <c r="BD877" s="292"/>
      <c r="BE877" s="297"/>
      <c r="BF877" s="297"/>
      <c r="BG877" s="569"/>
      <c r="BH877" s="570"/>
      <c r="BI877" s="570"/>
      <c r="BJ877" s="570"/>
      <c r="BK877" s="570"/>
      <c r="BL877" s="570"/>
      <c r="BM877" s="570"/>
      <c r="BN877" s="570"/>
      <c r="BO877" s="570"/>
      <c r="BP877" s="570"/>
      <c r="BQ877" s="570"/>
      <c r="BR877" s="570"/>
      <c r="BS877" s="570"/>
      <c r="BT877" s="570"/>
      <c r="BU877" s="570"/>
      <c r="BV877" s="570"/>
      <c r="BW877" s="570"/>
      <c r="BX877" s="570"/>
      <c r="BY877" s="570"/>
      <c r="BZ877" s="571"/>
      <c r="CA877" s="571"/>
    </row>
    <row r="878" spans="2:79">
      <c r="B878" s="566">
        <v>863</v>
      </c>
      <c r="C878" s="308"/>
      <c r="D878" s="307"/>
      <c r="E878" s="307"/>
      <c r="F878" s="305"/>
      <c r="G878" s="305"/>
      <c r="H878" s="292"/>
      <c r="I878" s="574"/>
      <c r="J878" s="573"/>
      <c r="K878" s="307"/>
      <c r="L878" s="292"/>
      <c r="M878" s="308"/>
      <c r="N878" s="292"/>
      <c r="O878" s="308"/>
      <c r="P878" s="575"/>
      <c r="Q878" s="576"/>
      <c r="R878" s="308"/>
      <c r="S878" s="575"/>
      <c r="T878" s="576"/>
      <c r="U878" s="308"/>
      <c r="V878" s="575"/>
      <c r="W878" s="576"/>
      <c r="X878" s="308"/>
      <c r="Y878" s="575"/>
      <c r="Z878" s="576"/>
      <c r="AA878" s="308"/>
      <c r="AB878" s="575"/>
      <c r="AC878" s="576"/>
      <c r="AD878" s="308"/>
      <c r="AE878" s="575"/>
      <c r="AF878" s="308"/>
      <c r="AG878" s="575"/>
      <c r="AH878" s="308"/>
      <c r="AI878" s="575"/>
      <c r="AJ878" s="308"/>
      <c r="AK878" s="305"/>
      <c r="AL878" s="577"/>
      <c r="AM878" s="306"/>
      <c r="AN878" s="308"/>
      <c r="AO878" s="573"/>
      <c r="AP878" s="305"/>
      <c r="AQ878" s="308"/>
      <c r="AR878" s="573"/>
      <c r="AS878" s="578"/>
      <c r="AT878" s="577"/>
      <c r="AU878" s="579"/>
      <c r="AV878" s="578"/>
      <c r="AW878" s="308"/>
      <c r="AX878" s="307"/>
      <c r="AY878" s="307"/>
      <c r="AZ878" s="307"/>
      <c r="BA878" s="307"/>
      <c r="BB878" s="307"/>
      <c r="BC878" s="305"/>
      <c r="BD878" s="292"/>
      <c r="BE878" s="297"/>
      <c r="BF878" s="297"/>
      <c r="BG878" s="569"/>
      <c r="BH878" s="570"/>
      <c r="BI878" s="570"/>
      <c r="BJ878" s="570"/>
      <c r="BK878" s="570"/>
      <c r="BL878" s="570"/>
      <c r="BM878" s="570"/>
      <c r="BN878" s="570"/>
      <c r="BO878" s="570"/>
      <c r="BP878" s="570"/>
      <c r="BQ878" s="570"/>
      <c r="BR878" s="570"/>
      <c r="BS878" s="570"/>
      <c r="BT878" s="570"/>
      <c r="BU878" s="570"/>
      <c r="BV878" s="570"/>
      <c r="BW878" s="570"/>
      <c r="BX878" s="570"/>
      <c r="BY878" s="570"/>
      <c r="BZ878" s="571"/>
      <c r="CA878" s="571"/>
    </row>
    <row r="879" spans="2:79">
      <c r="B879" s="572">
        <v>864</v>
      </c>
      <c r="C879" s="308"/>
      <c r="D879" s="307"/>
      <c r="E879" s="307"/>
      <c r="F879" s="305"/>
      <c r="G879" s="305"/>
      <c r="H879" s="292"/>
      <c r="I879" s="574"/>
      <c r="J879" s="573"/>
      <c r="K879" s="307"/>
      <c r="L879" s="292"/>
      <c r="M879" s="308"/>
      <c r="N879" s="292"/>
      <c r="O879" s="308"/>
      <c r="P879" s="575"/>
      <c r="Q879" s="576"/>
      <c r="R879" s="308"/>
      <c r="S879" s="575"/>
      <c r="T879" s="576"/>
      <c r="U879" s="308"/>
      <c r="V879" s="575"/>
      <c r="W879" s="576"/>
      <c r="X879" s="308"/>
      <c r="Y879" s="575"/>
      <c r="Z879" s="576"/>
      <c r="AA879" s="308"/>
      <c r="AB879" s="575"/>
      <c r="AC879" s="576"/>
      <c r="AD879" s="308"/>
      <c r="AE879" s="575"/>
      <c r="AF879" s="308"/>
      <c r="AG879" s="575"/>
      <c r="AH879" s="308"/>
      <c r="AI879" s="575"/>
      <c r="AJ879" s="308"/>
      <c r="AK879" s="305"/>
      <c r="AL879" s="577"/>
      <c r="AM879" s="306"/>
      <c r="AN879" s="308"/>
      <c r="AO879" s="573"/>
      <c r="AP879" s="305"/>
      <c r="AQ879" s="308"/>
      <c r="AR879" s="573"/>
      <c r="AS879" s="578"/>
      <c r="AT879" s="577"/>
      <c r="AU879" s="579"/>
      <c r="AV879" s="578"/>
      <c r="AW879" s="308"/>
      <c r="AX879" s="307"/>
      <c r="AY879" s="307"/>
      <c r="AZ879" s="307"/>
      <c r="BA879" s="307"/>
      <c r="BB879" s="307"/>
      <c r="BC879" s="305"/>
      <c r="BD879" s="292"/>
      <c r="BE879" s="297"/>
      <c r="BF879" s="297"/>
      <c r="BG879" s="569"/>
      <c r="BH879" s="570"/>
      <c r="BI879" s="570"/>
      <c r="BJ879" s="570"/>
      <c r="BK879" s="570"/>
      <c r="BL879" s="570"/>
      <c r="BM879" s="570"/>
      <c r="BN879" s="570"/>
      <c r="BO879" s="570"/>
      <c r="BP879" s="570"/>
      <c r="BQ879" s="570"/>
      <c r="BR879" s="570"/>
      <c r="BS879" s="570"/>
      <c r="BT879" s="570"/>
      <c r="BU879" s="570"/>
      <c r="BV879" s="570"/>
      <c r="BW879" s="570"/>
      <c r="BX879" s="570"/>
      <c r="BY879" s="570"/>
      <c r="BZ879" s="571"/>
      <c r="CA879" s="571"/>
    </row>
    <row r="880" spans="2:79">
      <c r="B880" s="566">
        <v>865</v>
      </c>
      <c r="C880" s="308"/>
      <c r="D880" s="307"/>
      <c r="E880" s="307"/>
      <c r="F880" s="305"/>
      <c r="G880" s="305"/>
      <c r="H880" s="292"/>
      <c r="I880" s="574"/>
      <c r="J880" s="573"/>
      <c r="K880" s="307"/>
      <c r="L880" s="292"/>
      <c r="M880" s="308"/>
      <c r="N880" s="292"/>
      <c r="O880" s="308"/>
      <c r="P880" s="575"/>
      <c r="Q880" s="576"/>
      <c r="R880" s="308"/>
      <c r="S880" s="575"/>
      <c r="T880" s="576"/>
      <c r="U880" s="308"/>
      <c r="V880" s="575"/>
      <c r="W880" s="576"/>
      <c r="X880" s="308"/>
      <c r="Y880" s="575"/>
      <c r="Z880" s="576"/>
      <c r="AA880" s="308"/>
      <c r="AB880" s="575"/>
      <c r="AC880" s="576"/>
      <c r="AD880" s="308"/>
      <c r="AE880" s="575"/>
      <c r="AF880" s="308"/>
      <c r="AG880" s="575"/>
      <c r="AH880" s="308"/>
      <c r="AI880" s="575"/>
      <c r="AJ880" s="308"/>
      <c r="AK880" s="305"/>
      <c r="AL880" s="577"/>
      <c r="AM880" s="306"/>
      <c r="AN880" s="308"/>
      <c r="AO880" s="573"/>
      <c r="AP880" s="305"/>
      <c r="AQ880" s="308"/>
      <c r="AR880" s="573"/>
      <c r="AS880" s="578"/>
      <c r="AT880" s="577"/>
      <c r="AU880" s="579"/>
      <c r="AV880" s="578"/>
      <c r="AW880" s="308"/>
      <c r="AX880" s="307"/>
      <c r="AY880" s="307"/>
      <c r="AZ880" s="307"/>
      <c r="BA880" s="307"/>
      <c r="BB880" s="307"/>
      <c r="BC880" s="305"/>
      <c r="BD880" s="292"/>
      <c r="BE880" s="297"/>
      <c r="BF880" s="297"/>
      <c r="BG880" s="569"/>
      <c r="BH880" s="570"/>
      <c r="BI880" s="570"/>
      <c r="BJ880" s="570"/>
      <c r="BK880" s="570"/>
      <c r="BL880" s="570"/>
      <c r="BM880" s="570"/>
      <c r="BN880" s="570"/>
      <c r="BO880" s="570"/>
      <c r="BP880" s="570"/>
      <c r="BQ880" s="570"/>
      <c r="BR880" s="570"/>
      <c r="BS880" s="570"/>
      <c r="BT880" s="570"/>
      <c r="BU880" s="570"/>
      <c r="BV880" s="570"/>
      <c r="BW880" s="570"/>
      <c r="BX880" s="570"/>
      <c r="BY880" s="570"/>
      <c r="BZ880" s="571"/>
      <c r="CA880" s="571"/>
    </row>
    <row r="881" spans="2:79">
      <c r="B881" s="572">
        <v>866</v>
      </c>
      <c r="C881" s="308"/>
      <c r="D881" s="307"/>
      <c r="E881" s="307"/>
      <c r="F881" s="305"/>
      <c r="G881" s="305"/>
      <c r="H881" s="292"/>
      <c r="I881" s="574"/>
      <c r="J881" s="573"/>
      <c r="K881" s="307"/>
      <c r="L881" s="292"/>
      <c r="M881" s="308"/>
      <c r="N881" s="292"/>
      <c r="O881" s="308"/>
      <c r="P881" s="575"/>
      <c r="Q881" s="576"/>
      <c r="R881" s="308"/>
      <c r="S881" s="575"/>
      <c r="T881" s="576"/>
      <c r="U881" s="308"/>
      <c r="V881" s="575"/>
      <c r="W881" s="576"/>
      <c r="X881" s="308"/>
      <c r="Y881" s="575"/>
      <c r="Z881" s="576"/>
      <c r="AA881" s="308"/>
      <c r="AB881" s="575"/>
      <c r="AC881" s="576"/>
      <c r="AD881" s="308"/>
      <c r="AE881" s="575"/>
      <c r="AF881" s="308"/>
      <c r="AG881" s="575"/>
      <c r="AH881" s="308"/>
      <c r="AI881" s="575"/>
      <c r="AJ881" s="308"/>
      <c r="AK881" s="305"/>
      <c r="AL881" s="577"/>
      <c r="AM881" s="306"/>
      <c r="AN881" s="308"/>
      <c r="AO881" s="573"/>
      <c r="AP881" s="305"/>
      <c r="AQ881" s="308"/>
      <c r="AR881" s="573"/>
      <c r="AS881" s="578"/>
      <c r="AT881" s="577"/>
      <c r="AU881" s="579"/>
      <c r="AV881" s="578"/>
      <c r="AW881" s="308"/>
      <c r="AX881" s="307"/>
      <c r="AY881" s="307"/>
      <c r="AZ881" s="307"/>
      <c r="BA881" s="307"/>
      <c r="BB881" s="307"/>
      <c r="BC881" s="305"/>
      <c r="BD881" s="292"/>
      <c r="BE881" s="297"/>
      <c r="BF881" s="297"/>
      <c r="BG881" s="569"/>
      <c r="BH881" s="570"/>
      <c r="BI881" s="570"/>
      <c r="BJ881" s="570"/>
      <c r="BK881" s="570"/>
      <c r="BL881" s="570"/>
      <c r="BM881" s="570"/>
      <c r="BN881" s="570"/>
      <c r="BO881" s="570"/>
      <c r="BP881" s="570"/>
      <c r="BQ881" s="570"/>
      <c r="BR881" s="570"/>
      <c r="BS881" s="570"/>
      <c r="BT881" s="570"/>
      <c r="BU881" s="570"/>
      <c r="BV881" s="570"/>
      <c r="BW881" s="570"/>
      <c r="BX881" s="570"/>
      <c r="BY881" s="570"/>
      <c r="BZ881" s="571"/>
      <c r="CA881" s="571"/>
    </row>
    <row r="882" spans="2:79">
      <c r="B882" s="566">
        <v>867</v>
      </c>
      <c r="C882" s="308"/>
      <c r="D882" s="307"/>
      <c r="E882" s="307"/>
      <c r="F882" s="305"/>
      <c r="G882" s="305"/>
      <c r="H882" s="292"/>
      <c r="I882" s="574"/>
      <c r="J882" s="573"/>
      <c r="K882" s="307"/>
      <c r="L882" s="292"/>
      <c r="M882" s="308"/>
      <c r="N882" s="292"/>
      <c r="O882" s="308"/>
      <c r="P882" s="575"/>
      <c r="Q882" s="576"/>
      <c r="R882" s="308"/>
      <c r="S882" s="575"/>
      <c r="T882" s="576"/>
      <c r="U882" s="308"/>
      <c r="V882" s="575"/>
      <c r="W882" s="576"/>
      <c r="X882" s="308"/>
      <c r="Y882" s="575"/>
      <c r="Z882" s="576"/>
      <c r="AA882" s="308"/>
      <c r="AB882" s="575"/>
      <c r="AC882" s="576"/>
      <c r="AD882" s="308"/>
      <c r="AE882" s="575"/>
      <c r="AF882" s="308"/>
      <c r="AG882" s="575"/>
      <c r="AH882" s="308"/>
      <c r="AI882" s="575"/>
      <c r="AJ882" s="308"/>
      <c r="AK882" s="305"/>
      <c r="AL882" s="577"/>
      <c r="AM882" s="306"/>
      <c r="AN882" s="308"/>
      <c r="AO882" s="573"/>
      <c r="AP882" s="305"/>
      <c r="AQ882" s="308"/>
      <c r="AR882" s="573"/>
      <c r="AS882" s="578"/>
      <c r="AT882" s="577"/>
      <c r="AU882" s="579"/>
      <c r="AV882" s="578"/>
      <c r="AW882" s="308"/>
      <c r="AX882" s="307"/>
      <c r="AY882" s="307"/>
      <c r="AZ882" s="307"/>
      <c r="BA882" s="307"/>
      <c r="BB882" s="307"/>
      <c r="BC882" s="305"/>
      <c r="BD882" s="292"/>
      <c r="BE882" s="297"/>
      <c r="BF882" s="297"/>
      <c r="BG882" s="569"/>
      <c r="BH882" s="570"/>
      <c r="BI882" s="570"/>
      <c r="BJ882" s="570"/>
      <c r="BK882" s="570"/>
      <c r="BL882" s="570"/>
      <c r="BM882" s="570"/>
      <c r="BN882" s="570"/>
      <c r="BO882" s="570"/>
      <c r="BP882" s="570"/>
      <c r="BQ882" s="570"/>
      <c r="BR882" s="570"/>
      <c r="BS882" s="570"/>
      <c r="BT882" s="570"/>
      <c r="BU882" s="570"/>
      <c r="BV882" s="570"/>
      <c r="BW882" s="570"/>
      <c r="BX882" s="570"/>
      <c r="BY882" s="570"/>
      <c r="BZ882" s="571"/>
      <c r="CA882" s="571"/>
    </row>
    <row r="883" spans="2:79">
      <c r="B883" s="572">
        <v>868</v>
      </c>
      <c r="C883" s="308"/>
      <c r="D883" s="307"/>
      <c r="E883" s="307"/>
      <c r="F883" s="305"/>
      <c r="G883" s="305"/>
      <c r="H883" s="292"/>
      <c r="I883" s="574"/>
      <c r="J883" s="573"/>
      <c r="K883" s="307"/>
      <c r="L883" s="292"/>
      <c r="M883" s="308"/>
      <c r="N883" s="292"/>
      <c r="O883" s="308"/>
      <c r="P883" s="575"/>
      <c r="Q883" s="576"/>
      <c r="R883" s="308"/>
      <c r="S883" s="575"/>
      <c r="T883" s="576"/>
      <c r="U883" s="308"/>
      <c r="V883" s="575"/>
      <c r="W883" s="576"/>
      <c r="X883" s="308"/>
      <c r="Y883" s="575"/>
      <c r="Z883" s="576"/>
      <c r="AA883" s="308"/>
      <c r="AB883" s="575"/>
      <c r="AC883" s="576"/>
      <c r="AD883" s="308"/>
      <c r="AE883" s="575"/>
      <c r="AF883" s="308"/>
      <c r="AG883" s="575"/>
      <c r="AH883" s="308"/>
      <c r="AI883" s="575"/>
      <c r="AJ883" s="308"/>
      <c r="AK883" s="305"/>
      <c r="AL883" s="577"/>
      <c r="AM883" s="306"/>
      <c r="AN883" s="308"/>
      <c r="AO883" s="573"/>
      <c r="AP883" s="305"/>
      <c r="AQ883" s="308"/>
      <c r="AR883" s="573"/>
      <c r="AS883" s="578"/>
      <c r="AT883" s="577"/>
      <c r="AU883" s="579"/>
      <c r="AV883" s="578"/>
      <c r="AW883" s="308"/>
      <c r="AX883" s="307"/>
      <c r="AY883" s="307"/>
      <c r="AZ883" s="307"/>
      <c r="BA883" s="307"/>
      <c r="BB883" s="307"/>
      <c r="BC883" s="305"/>
      <c r="BD883" s="292"/>
      <c r="BE883" s="297"/>
      <c r="BF883" s="297"/>
      <c r="BG883" s="569"/>
      <c r="BH883" s="570"/>
      <c r="BI883" s="570"/>
      <c r="BJ883" s="570"/>
      <c r="BK883" s="570"/>
      <c r="BL883" s="570"/>
      <c r="BM883" s="570"/>
      <c r="BN883" s="570"/>
      <c r="BO883" s="570"/>
      <c r="BP883" s="570"/>
      <c r="BQ883" s="570"/>
      <c r="BR883" s="570"/>
      <c r="BS883" s="570"/>
      <c r="BT883" s="570"/>
      <c r="BU883" s="570"/>
      <c r="BV883" s="570"/>
      <c r="BW883" s="570"/>
      <c r="BX883" s="570"/>
      <c r="BY883" s="570"/>
      <c r="BZ883" s="571"/>
      <c r="CA883" s="571"/>
    </row>
    <row r="884" spans="2:79">
      <c r="B884" s="566">
        <v>869</v>
      </c>
      <c r="C884" s="308"/>
      <c r="D884" s="307"/>
      <c r="E884" s="307"/>
      <c r="F884" s="305"/>
      <c r="G884" s="305"/>
      <c r="H884" s="292"/>
      <c r="I884" s="574"/>
      <c r="J884" s="573"/>
      <c r="K884" s="307"/>
      <c r="L884" s="292"/>
      <c r="M884" s="308"/>
      <c r="N884" s="292"/>
      <c r="O884" s="308"/>
      <c r="P884" s="575"/>
      <c r="Q884" s="576"/>
      <c r="R884" s="308"/>
      <c r="S884" s="575"/>
      <c r="T884" s="576"/>
      <c r="U884" s="308"/>
      <c r="V884" s="575"/>
      <c r="W884" s="576"/>
      <c r="X884" s="308"/>
      <c r="Y884" s="575"/>
      <c r="Z884" s="576"/>
      <c r="AA884" s="308"/>
      <c r="AB884" s="575"/>
      <c r="AC884" s="576"/>
      <c r="AD884" s="308"/>
      <c r="AE884" s="575"/>
      <c r="AF884" s="308"/>
      <c r="AG884" s="575"/>
      <c r="AH884" s="308"/>
      <c r="AI884" s="575"/>
      <c r="AJ884" s="308"/>
      <c r="AK884" s="305"/>
      <c r="AL884" s="577"/>
      <c r="AM884" s="306"/>
      <c r="AN884" s="308"/>
      <c r="AO884" s="573"/>
      <c r="AP884" s="305"/>
      <c r="AQ884" s="308"/>
      <c r="AR884" s="573"/>
      <c r="AS884" s="578"/>
      <c r="AT884" s="577"/>
      <c r="AU884" s="579"/>
      <c r="AV884" s="578"/>
      <c r="AW884" s="308"/>
      <c r="AX884" s="307"/>
      <c r="AY884" s="307"/>
      <c r="AZ884" s="307"/>
      <c r="BA884" s="307"/>
      <c r="BB884" s="307"/>
      <c r="BC884" s="305"/>
      <c r="BD884" s="292"/>
      <c r="BE884" s="297"/>
      <c r="BF884" s="297"/>
      <c r="BG884" s="569"/>
      <c r="BH884" s="570"/>
      <c r="BI884" s="570"/>
      <c r="BJ884" s="570"/>
      <c r="BK884" s="570"/>
      <c r="BL884" s="570"/>
      <c r="BM884" s="570"/>
      <c r="BN884" s="570"/>
      <c r="BO884" s="570"/>
      <c r="BP884" s="570"/>
      <c r="BQ884" s="570"/>
      <c r="BR884" s="570"/>
      <c r="BS884" s="570"/>
      <c r="BT884" s="570"/>
      <c r="BU884" s="570"/>
      <c r="BV884" s="570"/>
      <c r="BW884" s="570"/>
      <c r="BX884" s="570"/>
      <c r="BY884" s="570"/>
      <c r="BZ884" s="571"/>
      <c r="CA884" s="571"/>
    </row>
    <row r="885" spans="2:79">
      <c r="B885" s="572">
        <v>870</v>
      </c>
      <c r="C885" s="308"/>
      <c r="D885" s="307"/>
      <c r="E885" s="307"/>
      <c r="F885" s="305"/>
      <c r="G885" s="305"/>
      <c r="H885" s="292"/>
      <c r="I885" s="574"/>
      <c r="J885" s="573"/>
      <c r="K885" s="307"/>
      <c r="L885" s="292"/>
      <c r="M885" s="308"/>
      <c r="N885" s="292"/>
      <c r="O885" s="308"/>
      <c r="P885" s="575"/>
      <c r="Q885" s="576"/>
      <c r="R885" s="308"/>
      <c r="S885" s="575"/>
      <c r="T885" s="576"/>
      <c r="U885" s="308"/>
      <c r="V885" s="575"/>
      <c r="W885" s="576"/>
      <c r="X885" s="308"/>
      <c r="Y885" s="575"/>
      <c r="Z885" s="576"/>
      <c r="AA885" s="308"/>
      <c r="AB885" s="575"/>
      <c r="AC885" s="576"/>
      <c r="AD885" s="308"/>
      <c r="AE885" s="575"/>
      <c r="AF885" s="308"/>
      <c r="AG885" s="575"/>
      <c r="AH885" s="308"/>
      <c r="AI885" s="575"/>
      <c r="AJ885" s="308"/>
      <c r="AK885" s="305"/>
      <c r="AL885" s="577"/>
      <c r="AM885" s="306"/>
      <c r="AN885" s="308"/>
      <c r="AO885" s="573"/>
      <c r="AP885" s="305"/>
      <c r="AQ885" s="308"/>
      <c r="AR885" s="573"/>
      <c r="AS885" s="578"/>
      <c r="AT885" s="577"/>
      <c r="AU885" s="579"/>
      <c r="AV885" s="578"/>
      <c r="AW885" s="308"/>
      <c r="AX885" s="307"/>
      <c r="AY885" s="307"/>
      <c r="AZ885" s="307"/>
      <c r="BA885" s="307"/>
      <c r="BB885" s="307"/>
      <c r="BC885" s="305"/>
      <c r="BD885" s="292"/>
      <c r="BE885" s="297"/>
      <c r="BF885" s="297"/>
      <c r="BG885" s="569"/>
      <c r="BH885" s="570"/>
      <c r="BI885" s="570"/>
      <c r="BJ885" s="570"/>
      <c r="BK885" s="570"/>
      <c r="BL885" s="570"/>
      <c r="BM885" s="570"/>
      <c r="BN885" s="570"/>
      <c r="BO885" s="570"/>
      <c r="BP885" s="570"/>
      <c r="BQ885" s="570"/>
      <c r="BR885" s="570"/>
      <c r="BS885" s="570"/>
      <c r="BT885" s="570"/>
      <c r="BU885" s="570"/>
      <c r="BV885" s="570"/>
      <c r="BW885" s="570"/>
      <c r="BX885" s="570"/>
      <c r="BY885" s="570"/>
      <c r="BZ885" s="571"/>
      <c r="CA885" s="571"/>
    </row>
    <row r="886" spans="2:79">
      <c r="B886" s="566">
        <v>871</v>
      </c>
      <c r="C886" s="308"/>
      <c r="D886" s="307"/>
      <c r="E886" s="307"/>
      <c r="F886" s="305"/>
      <c r="G886" s="305"/>
      <c r="H886" s="292"/>
      <c r="I886" s="574"/>
      <c r="J886" s="573"/>
      <c r="K886" s="307"/>
      <c r="L886" s="292"/>
      <c r="M886" s="308"/>
      <c r="N886" s="292"/>
      <c r="O886" s="308"/>
      <c r="P886" s="575"/>
      <c r="Q886" s="576"/>
      <c r="R886" s="308"/>
      <c r="S886" s="575"/>
      <c r="T886" s="576"/>
      <c r="U886" s="308"/>
      <c r="V886" s="575"/>
      <c r="W886" s="576"/>
      <c r="X886" s="308"/>
      <c r="Y886" s="575"/>
      <c r="Z886" s="576"/>
      <c r="AA886" s="308"/>
      <c r="AB886" s="575"/>
      <c r="AC886" s="576"/>
      <c r="AD886" s="308"/>
      <c r="AE886" s="575"/>
      <c r="AF886" s="308"/>
      <c r="AG886" s="575"/>
      <c r="AH886" s="308"/>
      <c r="AI886" s="575"/>
      <c r="AJ886" s="308"/>
      <c r="AK886" s="305"/>
      <c r="AL886" s="577"/>
      <c r="AM886" s="306"/>
      <c r="AN886" s="308"/>
      <c r="AO886" s="573"/>
      <c r="AP886" s="305"/>
      <c r="AQ886" s="308"/>
      <c r="AR886" s="573"/>
      <c r="AS886" s="578"/>
      <c r="AT886" s="577"/>
      <c r="AU886" s="579"/>
      <c r="AV886" s="578"/>
      <c r="AW886" s="308"/>
      <c r="AX886" s="307"/>
      <c r="AY886" s="307"/>
      <c r="AZ886" s="307"/>
      <c r="BA886" s="307"/>
      <c r="BB886" s="307"/>
      <c r="BC886" s="305"/>
      <c r="BD886" s="292"/>
      <c r="BE886" s="297"/>
      <c r="BF886" s="297"/>
      <c r="BG886" s="569"/>
      <c r="BH886" s="570"/>
      <c r="BI886" s="570"/>
      <c r="BJ886" s="570"/>
      <c r="BK886" s="570"/>
      <c r="BL886" s="570"/>
      <c r="BM886" s="570"/>
      <c r="BN886" s="570"/>
      <c r="BO886" s="570"/>
      <c r="BP886" s="570"/>
      <c r="BQ886" s="570"/>
      <c r="BR886" s="570"/>
      <c r="BS886" s="570"/>
      <c r="BT886" s="570"/>
      <c r="BU886" s="570"/>
      <c r="BV886" s="570"/>
      <c r="BW886" s="570"/>
      <c r="BX886" s="570"/>
      <c r="BY886" s="570"/>
      <c r="BZ886" s="571"/>
      <c r="CA886" s="571"/>
    </row>
    <row r="887" spans="2:79">
      <c r="B887" s="572">
        <v>872</v>
      </c>
      <c r="C887" s="308"/>
      <c r="D887" s="307"/>
      <c r="E887" s="307"/>
      <c r="F887" s="305"/>
      <c r="G887" s="305"/>
      <c r="H887" s="292"/>
      <c r="I887" s="574"/>
      <c r="J887" s="573"/>
      <c r="K887" s="307"/>
      <c r="L887" s="292"/>
      <c r="M887" s="308"/>
      <c r="N887" s="292"/>
      <c r="O887" s="308"/>
      <c r="P887" s="575"/>
      <c r="Q887" s="576"/>
      <c r="R887" s="308"/>
      <c r="S887" s="575"/>
      <c r="T887" s="576"/>
      <c r="U887" s="308"/>
      <c r="V887" s="575"/>
      <c r="W887" s="576"/>
      <c r="X887" s="308"/>
      <c r="Y887" s="575"/>
      <c r="Z887" s="576"/>
      <c r="AA887" s="308"/>
      <c r="AB887" s="575"/>
      <c r="AC887" s="576"/>
      <c r="AD887" s="308"/>
      <c r="AE887" s="575"/>
      <c r="AF887" s="308"/>
      <c r="AG887" s="575"/>
      <c r="AH887" s="308"/>
      <c r="AI887" s="575"/>
      <c r="AJ887" s="308"/>
      <c r="AK887" s="305"/>
      <c r="AL887" s="577"/>
      <c r="AM887" s="306"/>
      <c r="AN887" s="308"/>
      <c r="AO887" s="573"/>
      <c r="AP887" s="305"/>
      <c r="AQ887" s="308"/>
      <c r="AR887" s="573"/>
      <c r="AS887" s="578"/>
      <c r="AT887" s="577"/>
      <c r="AU887" s="579"/>
      <c r="AV887" s="578"/>
      <c r="AW887" s="308"/>
      <c r="AX887" s="307"/>
      <c r="AY887" s="307"/>
      <c r="AZ887" s="307"/>
      <c r="BA887" s="307"/>
      <c r="BB887" s="307"/>
      <c r="BC887" s="305"/>
      <c r="BD887" s="292"/>
      <c r="BE887" s="297"/>
      <c r="BF887" s="297"/>
      <c r="BG887" s="569"/>
      <c r="BH887" s="570"/>
      <c r="BI887" s="570"/>
      <c r="BJ887" s="570"/>
      <c r="BK887" s="570"/>
      <c r="BL887" s="570"/>
      <c r="BM887" s="570"/>
      <c r="BN887" s="570"/>
      <c r="BO887" s="570"/>
      <c r="BP887" s="570"/>
      <c r="BQ887" s="570"/>
      <c r="BR887" s="570"/>
      <c r="BS887" s="570"/>
      <c r="BT887" s="570"/>
      <c r="BU887" s="570"/>
      <c r="BV887" s="570"/>
      <c r="BW887" s="570"/>
      <c r="BX887" s="570"/>
      <c r="BY887" s="570"/>
      <c r="BZ887" s="571"/>
      <c r="CA887" s="571"/>
    </row>
    <row r="888" spans="2:79">
      <c r="B888" s="566">
        <v>873</v>
      </c>
      <c r="C888" s="308"/>
      <c r="D888" s="307"/>
      <c r="E888" s="307"/>
      <c r="F888" s="305"/>
      <c r="G888" s="305"/>
      <c r="H888" s="292"/>
      <c r="I888" s="574"/>
      <c r="J888" s="573"/>
      <c r="K888" s="307"/>
      <c r="L888" s="292"/>
      <c r="M888" s="308"/>
      <c r="N888" s="292"/>
      <c r="O888" s="308"/>
      <c r="P888" s="575"/>
      <c r="Q888" s="576"/>
      <c r="R888" s="308"/>
      <c r="S888" s="575"/>
      <c r="T888" s="576"/>
      <c r="U888" s="308"/>
      <c r="V888" s="575"/>
      <c r="W888" s="576"/>
      <c r="X888" s="308"/>
      <c r="Y888" s="575"/>
      <c r="Z888" s="576"/>
      <c r="AA888" s="308"/>
      <c r="AB888" s="575"/>
      <c r="AC888" s="576"/>
      <c r="AD888" s="308"/>
      <c r="AE888" s="575"/>
      <c r="AF888" s="308"/>
      <c r="AG888" s="575"/>
      <c r="AH888" s="308"/>
      <c r="AI888" s="575"/>
      <c r="AJ888" s="308"/>
      <c r="AK888" s="305"/>
      <c r="AL888" s="577"/>
      <c r="AM888" s="306"/>
      <c r="AN888" s="308"/>
      <c r="AO888" s="573"/>
      <c r="AP888" s="305"/>
      <c r="AQ888" s="308"/>
      <c r="AR888" s="573"/>
      <c r="AS888" s="578"/>
      <c r="AT888" s="577"/>
      <c r="AU888" s="579"/>
      <c r="AV888" s="578"/>
      <c r="AW888" s="308"/>
      <c r="AX888" s="307"/>
      <c r="AY888" s="307"/>
      <c r="AZ888" s="307"/>
      <c r="BA888" s="307"/>
      <c r="BB888" s="307"/>
      <c r="BC888" s="305"/>
      <c r="BD888" s="292"/>
      <c r="BE888" s="297"/>
      <c r="BF888" s="297"/>
      <c r="BG888" s="569"/>
      <c r="BH888" s="570"/>
      <c r="BI888" s="570"/>
      <c r="BJ888" s="570"/>
      <c r="BK888" s="570"/>
      <c r="BL888" s="570"/>
      <c r="BM888" s="570"/>
      <c r="BN888" s="570"/>
      <c r="BO888" s="570"/>
      <c r="BP888" s="570"/>
      <c r="BQ888" s="570"/>
      <c r="BR888" s="570"/>
      <c r="BS888" s="570"/>
      <c r="BT888" s="570"/>
      <c r="BU888" s="570"/>
      <c r="BV888" s="570"/>
      <c r="BW888" s="570"/>
      <c r="BX888" s="570"/>
      <c r="BY888" s="570"/>
      <c r="BZ888" s="571"/>
      <c r="CA888" s="571"/>
    </row>
    <row r="889" spans="2:79">
      <c r="B889" s="572">
        <v>874</v>
      </c>
      <c r="C889" s="308"/>
      <c r="D889" s="307"/>
      <c r="E889" s="307"/>
      <c r="F889" s="305"/>
      <c r="G889" s="305"/>
      <c r="H889" s="292"/>
      <c r="I889" s="574"/>
      <c r="J889" s="573"/>
      <c r="K889" s="307"/>
      <c r="L889" s="292"/>
      <c r="M889" s="308"/>
      <c r="N889" s="292"/>
      <c r="O889" s="308"/>
      <c r="P889" s="575"/>
      <c r="Q889" s="576"/>
      <c r="R889" s="308"/>
      <c r="S889" s="575"/>
      <c r="T889" s="576"/>
      <c r="U889" s="308"/>
      <c r="V889" s="575"/>
      <c r="W889" s="576"/>
      <c r="X889" s="308"/>
      <c r="Y889" s="575"/>
      <c r="Z889" s="576"/>
      <c r="AA889" s="308"/>
      <c r="AB889" s="575"/>
      <c r="AC889" s="576"/>
      <c r="AD889" s="308"/>
      <c r="AE889" s="575"/>
      <c r="AF889" s="308"/>
      <c r="AG889" s="575"/>
      <c r="AH889" s="308"/>
      <c r="AI889" s="575"/>
      <c r="AJ889" s="308"/>
      <c r="AK889" s="305"/>
      <c r="AL889" s="577"/>
      <c r="AM889" s="306"/>
      <c r="AN889" s="308"/>
      <c r="AO889" s="573"/>
      <c r="AP889" s="305"/>
      <c r="AQ889" s="308"/>
      <c r="AR889" s="573"/>
      <c r="AS889" s="578"/>
      <c r="AT889" s="577"/>
      <c r="AU889" s="579"/>
      <c r="AV889" s="578"/>
      <c r="AW889" s="308"/>
      <c r="AX889" s="307"/>
      <c r="AY889" s="307"/>
      <c r="AZ889" s="307"/>
      <c r="BA889" s="307"/>
      <c r="BB889" s="307"/>
      <c r="BC889" s="305"/>
      <c r="BD889" s="292"/>
      <c r="BE889" s="297"/>
      <c r="BF889" s="297"/>
      <c r="BG889" s="569"/>
      <c r="BH889" s="570"/>
      <c r="BI889" s="570"/>
      <c r="BJ889" s="570"/>
      <c r="BK889" s="570"/>
      <c r="BL889" s="570"/>
      <c r="BM889" s="570"/>
      <c r="BN889" s="570"/>
      <c r="BO889" s="570"/>
      <c r="BP889" s="570"/>
      <c r="BQ889" s="570"/>
      <c r="BR889" s="570"/>
      <c r="BS889" s="570"/>
      <c r="BT889" s="570"/>
      <c r="BU889" s="570"/>
      <c r="BV889" s="570"/>
      <c r="BW889" s="570"/>
      <c r="BX889" s="570"/>
      <c r="BY889" s="570"/>
      <c r="BZ889" s="571"/>
      <c r="CA889" s="571"/>
    </row>
    <row r="890" spans="2:79">
      <c r="B890" s="566">
        <v>875</v>
      </c>
      <c r="C890" s="308"/>
      <c r="D890" s="307"/>
      <c r="E890" s="307"/>
      <c r="F890" s="305"/>
      <c r="G890" s="305"/>
      <c r="H890" s="292"/>
      <c r="I890" s="574"/>
      <c r="J890" s="573"/>
      <c r="K890" s="307"/>
      <c r="L890" s="292"/>
      <c r="M890" s="308"/>
      <c r="N890" s="292"/>
      <c r="O890" s="308"/>
      <c r="P890" s="575"/>
      <c r="Q890" s="576"/>
      <c r="R890" s="308"/>
      <c r="S890" s="575"/>
      <c r="T890" s="576"/>
      <c r="U890" s="308"/>
      <c r="V890" s="575"/>
      <c r="W890" s="576"/>
      <c r="X890" s="308"/>
      <c r="Y890" s="575"/>
      <c r="Z890" s="576"/>
      <c r="AA890" s="308"/>
      <c r="AB890" s="575"/>
      <c r="AC890" s="576"/>
      <c r="AD890" s="308"/>
      <c r="AE890" s="575"/>
      <c r="AF890" s="308"/>
      <c r="AG890" s="575"/>
      <c r="AH890" s="308"/>
      <c r="AI890" s="575"/>
      <c r="AJ890" s="308"/>
      <c r="AK890" s="305"/>
      <c r="AL890" s="577"/>
      <c r="AM890" s="306"/>
      <c r="AN890" s="308"/>
      <c r="AO890" s="573"/>
      <c r="AP890" s="305"/>
      <c r="AQ890" s="308"/>
      <c r="AR890" s="573"/>
      <c r="AS890" s="578"/>
      <c r="AT890" s="577"/>
      <c r="AU890" s="579"/>
      <c r="AV890" s="578"/>
      <c r="AW890" s="308"/>
      <c r="AX890" s="307"/>
      <c r="AY890" s="307"/>
      <c r="AZ890" s="307"/>
      <c r="BA890" s="307"/>
      <c r="BB890" s="307"/>
      <c r="BC890" s="305"/>
      <c r="BD890" s="292"/>
      <c r="BE890" s="297"/>
      <c r="BF890" s="297"/>
      <c r="BG890" s="569"/>
      <c r="BH890" s="570"/>
      <c r="BI890" s="570"/>
      <c r="BJ890" s="570"/>
      <c r="BK890" s="570"/>
      <c r="BL890" s="570"/>
      <c r="BM890" s="570"/>
      <c r="BN890" s="570"/>
      <c r="BO890" s="570"/>
      <c r="BP890" s="570"/>
      <c r="BQ890" s="570"/>
      <c r="BR890" s="570"/>
      <c r="BS890" s="570"/>
      <c r="BT890" s="570"/>
      <c r="BU890" s="570"/>
      <c r="BV890" s="570"/>
      <c r="BW890" s="570"/>
      <c r="BX890" s="570"/>
      <c r="BY890" s="570"/>
      <c r="BZ890" s="571"/>
      <c r="CA890" s="571"/>
    </row>
    <row r="891" spans="2:79">
      <c r="B891" s="572">
        <v>876</v>
      </c>
      <c r="C891" s="308"/>
      <c r="D891" s="307"/>
      <c r="E891" s="307"/>
      <c r="F891" s="305"/>
      <c r="G891" s="305"/>
      <c r="H891" s="292"/>
      <c r="I891" s="574"/>
      <c r="J891" s="573"/>
      <c r="K891" s="307"/>
      <c r="L891" s="292"/>
      <c r="M891" s="308"/>
      <c r="N891" s="292"/>
      <c r="O891" s="308"/>
      <c r="P891" s="575"/>
      <c r="Q891" s="576"/>
      <c r="R891" s="308"/>
      <c r="S891" s="575"/>
      <c r="T891" s="576"/>
      <c r="U891" s="308"/>
      <c r="V891" s="575"/>
      <c r="W891" s="576"/>
      <c r="X891" s="308"/>
      <c r="Y891" s="575"/>
      <c r="Z891" s="576"/>
      <c r="AA891" s="308"/>
      <c r="AB891" s="575"/>
      <c r="AC891" s="576"/>
      <c r="AD891" s="308"/>
      <c r="AE891" s="575"/>
      <c r="AF891" s="308"/>
      <c r="AG891" s="575"/>
      <c r="AH891" s="308"/>
      <c r="AI891" s="575"/>
      <c r="AJ891" s="308"/>
      <c r="AK891" s="305"/>
      <c r="AL891" s="577"/>
      <c r="AM891" s="306"/>
      <c r="AN891" s="308"/>
      <c r="AO891" s="573"/>
      <c r="AP891" s="305"/>
      <c r="AQ891" s="308"/>
      <c r="AR891" s="573"/>
      <c r="AS891" s="578"/>
      <c r="AT891" s="577"/>
      <c r="AU891" s="579"/>
      <c r="AV891" s="578"/>
      <c r="AW891" s="308"/>
      <c r="AX891" s="307"/>
      <c r="AY891" s="307"/>
      <c r="AZ891" s="307"/>
      <c r="BA891" s="307"/>
      <c r="BB891" s="307"/>
      <c r="BC891" s="305"/>
      <c r="BD891" s="292"/>
      <c r="BE891" s="297"/>
      <c r="BF891" s="297"/>
      <c r="BG891" s="569"/>
      <c r="BH891" s="570"/>
      <c r="BI891" s="570"/>
      <c r="BJ891" s="570"/>
      <c r="BK891" s="570"/>
      <c r="BL891" s="570"/>
      <c r="BM891" s="570"/>
      <c r="BN891" s="570"/>
      <c r="BO891" s="570"/>
      <c r="BP891" s="570"/>
      <c r="BQ891" s="570"/>
      <c r="BR891" s="570"/>
      <c r="BS891" s="570"/>
      <c r="BT891" s="570"/>
      <c r="BU891" s="570"/>
      <c r="BV891" s="570"/>
      <c r="BW891" s="570"/>
      <c r="BX891" s="570"/>
      <c r="BY891" s="570"/>
      <c r="BZ891" s="571"/>
      <c r="CA891" s="571"/>
    </row>
    <row r="892" spans="2:79">
      <c r="B892" s="566">
        <v>877</v>
      </c>
      <c r="C892" s="308"/>
      <c r="D892" s="307"/>
      <c r="E892" s="307"/>
      <c r="F892" s="305"/>
      <c r="G892" s="305"/>
      <c r="H892" s="292"/>
      <c r="I892" s="574"/>
      <c r="J892" s="573"/>
      <c r="K892" s="307"/>
      <c r="L892" s="292"/>
      <c r="M892" s="308"/>
      <c r="N892" s="292"/>
      <c r="O892" s="308"/>
      <c r="P892" s="575"/>
      <c r="Q892" s="576"/>
      <c r="R892" s="308"/>
      <c r="S892" s="575"/>
      <c r="T892" s="576"/>
      <c r="U892" s="308"/>
      <c r="V892" s="575"/>
      <c r="W892" s="576"/>
      <c r="X892" s="308"/>
      <c r="Y892" s="575"/>
      <c r="Z892" s="576"/>
      <c r="AA892" s="308"/>
      <c r="AB892" s="575"/>
      <c r="AC892" s="576"/>
      <c r="AD892" s="308"/>
      <c r="AE892" s="575"/>
      <c r="AF892" s="308"/>
      <c r="AG892" s="575"/>
      <c r="AH892" s="308"/>
      <c r="AI892" s="575"/>
      <c r="AJ892" s="308"/>
      <c r="AK892" s="305"/>
      <c r="AL892" s="577"/>
      <c r="AM892" s="306"/>
      <c r="AN892" s="308"/>
      <c r="AO892" s="573"/>
      <c r="AP892" s="305"/>
      <c r="AQ892" s="308"/>
      <c r="AR892" s="573"/>
      <c r="AS892" s="578"/>
      <c r="AT892" s="577"/>
      <c r="AU892" s="579"/>
      <c r="AV892" s="578"/>
      <c r="AW892" s="308"/>
      <c r="AX892" s="307"/>
      <c r="AY892" s="307"/>
      <c r="AZ892" s="307"/>
      <c r="BA892" s="307"/>
      <c r="BB892" s="307"/>
      <c r="BC892" s="305"/>
      <c r="BD892" s="292"/>
      <c r="BE892" s="297"/>
      <c r="BF892" s="297"/>
      <c r="BG892" s="569"/>
      <c r="BH892" s="570"/>
      <c r="BI892" s="570"/>
      <c r="BJ892" s="570"/>
      <c r="BK892" s="570"/>
      <c r="BL892" s="570"/>
      <c r="BM892" s="570"/>
      <c r="BN892" s="570"/>
      <c r="BO892" s="570"/>
      <c r="BP892" s="570"/>
      <c r="BQ892" s="570"/>
      <c r="BR892" s="570"/>
      <c r="BS892" s="570"/>
      <c r="BT892" s="570"/>
      <c r="BU892" s="570"/>
      <c r="BV892" s="570"/>
      <c r="BW892" s="570"/>
      <c r="BX892" s="570"/>
      <c r="BY892" s="570"/>
      <c r="BZ892" s="571"/>
      <c r="CA892" s="571"/>
    </row>
    <row r="893" spans="2:79">
      <c r="B893" s="572">
        <v>878</v>
      </c>
      <c r="C893" s="308"/>
      <c r="D893" s="307"/>
      <c r="E893" s="307"/>
      <c r="F893" s="305"/>
      <c r="G893" s="305"/>
      <c r="H893" s="292"/>
      <c r="I893" s="574"/>
      <c r="J893" s="573"/>
      <c r="K893" s="307"/>
      <c r="L893" s="292"/>
      <c r="M893" s="308"/>
      <c r="N893" s="292"/>
      <c r="O893" s="308"/>
      <c r="P893" s="575"/>
      <c r="Q893" s="576"/>
      <c r="R893" s="308"/>
      <c r="S893" s="575"/>
      <c r="T893" s="576"/>
      <c r="U893" s="308"/>
      <c r="V893" s="575"/>
      <c r="W893" s="576"/>
      <c r="X893" s="308"/>
      <c r="Y893" s="575"/>
      <c r="Z893" s="576"/>
      <c r="AA893" s="308"/>
      <c r="AB893" s="575"/>
      <c r="AC893" s="576"/>
      <c r="AD893" s="308"/>
      <c r="AE893" s="575"/>
      <c r="AF893" s="308"/>
      <c r="AG893" s="575"/>
      <c r="AH893" s="308"/>
      <c r="AI893" s="575"/>
      <c r="AJ893" s="308"/>
      <c r="AK893" s="305"/>
      <c r="AL893" s="577"/>
      <c r="AM893" s="306"/>
      <c r="AN893" s="308"/>
      <c r="AO893" s="573"/>
      <c r="AP893" s="305"/>
      <c r="AQ893" s="308"/>
      <c r="AR893" s="573"/>
      <c r="AS893" s="578"/>
      <c r="AT893" s="577"/>
      <c r="AU893" s="579"/>
      <c r="AV893" s="578"/>
      <c r="AW893" s="308"/>
      <c r="AX893" s="307"/>
      <c r="AY893" s="307"/>
      <c r="AZ893" s="307"/>
      <c r="BA893" s="307"/>
      <c r="BB893" s="307"/>
      <c r="BC893" s="305"/>
      <c r="BD893" s="292"/>
      <c r="BE893" s="297"/>
      <c r="BF893" s="297"/>
      <c r="BG893" s="569"/>
      <c r="BH893" s="570"/>
      <c r="BI893" s="570"/>
      <c r="BJ893" s="570"/>
      <c r="BK893" s="570"/>
      <c r="BL893" s="570"/>
      <c r="BM893" s="570"/>
      <c r="BN893" s="570"/>
      <c r="BO893" s="570"/>
      <c r="BP893" s="570"/>
      <c r="BQ893" s="570"/>
      <c r="BR893" s="570"/>
      <c r="BS893" s="570"/>
      <c r="BT893" s="570"/>
      <c r="BU893" s="570"/>
      <c r="BV893" s="570"/>
      <c r="BW893" s="570"/>
      <c r="BX893" s="570"/>
      <c r="BY893" s="570"/>
      <c r="BZ893" s="571"/>
      <c r="CA893" s="571"/>
    </row>
    <row r="894" spans="2:79">
      <c r="B894" s="566">
        <v>879</v>
      </c>
      <c r="C894" s="308"/>
      <c r="D894" s="307"/>
      <c r="E894" s="307"/>
      <c r="F894" s="305"/>
      <c r="G894" s="305"/>
      <c r="H894" s="292"/>
      <c r="I894" s="574"/>
      <c r="J894" s="573"/>
      <c r="K894" s="307"/>
      <c r="L894" s="292"/>
      <c r="M894" s="308"/>
      <c r="N894" s="292"/>
      <c r="O894" s="308"/>
      <c r="P894" s="575"/>
      <c r="Q894" s="576"/>
      <c r="R894" s="308"/>
      <c r="S894" s="575"/>
      <c r="T894" s="576"/>
      <c r="U894" s="308"/>
      <c r="V894" s="575"/>
      <c r="W894" s="576"/>
      <c r="X894" s="308"/>
      <c r="Y894" s="575"/>
      <c r="Z894" s="576"/>
      <c r="AA894" s="308"/>
      <c r="AB894" s="575"/>
      <c r="AC894" s="576"/>
      <c r="AD894" s="308"/>
      <c r="AE894" s="575"/>
      <c r="AF894" s="308"/>
      <c r="AG894" s="575"/>
      <c r="AH894" s="308"/>
      <c r="AI894" s="575"/>
      <c r="AJ894" s="308"/>
      <c r="AK894" s="305"/>
      <c r="AL894" s="577"/>
      <c r="AM894" s="306"/>
      <c r="AN894" s="308"/>
      <c r="AO894" s="573"/>
      <c r="AP894" s="305"/>
      <c r="AQ894" s="308"/>
      <c r="AR894" s="573"/>
      <c r="AS894" s="578"/>
      <c r="AT894" s="577"/>
      <c r="AU894" s="579"/>
      <c r="AV894" s="578"/>
      <c r="AW894" s="308"/>
      <c r="AX894" s="307"/>
      <c r="AY894" s="307"/>
      <c r="AZ894" s="307"/>
      <c r="BA894" s="307"/>
      <c r="BB894" s="307"/>
      <c r="BC894" s="305"/>
      <c r="BD894" s="292"/>
      <c r="BE894" s="297"/>
      <c r="BF894" s="297"/>
      <c r="BG894" s="569"/>
      <c r="BH894" s="570"/>
      <c r="BI894" s="570"/>
      <c r="BJ894" s="570"/>
      <c r="BK894" s="570"/>
      <c r="BL894" s="570"/>
      <c r="BM894" s="570"/>
      <c r="BN894" s="570"/>
      <c r="BO894" s="570"/>
      <c r="BP894" s="570"/>
      <c r="BQ894" s="570"/>
      <c r="BR894" s="570"/>
      <c r="BS894" s="570"/>
      <c r="BT894" s="570"/>
      <c r="BU894" s="570"/>
      <c r="BV894" s="570"/>
      <c r="BW894" s="570"/>
      <c r="BX894" s="570"/>
      <c r="BY894" s="570"/>
      <c r="BZ894" s="571"/>
      <c r="CA894" s="571"/>
    </row>
    <row r="895" spans="2:79">
      <c r="B895" s="572">
        <v>880</v>
      </c>
      <c r="C895" s="308"/>
      <c r="D895" s="307"/>
      <c r="E895" s="307"/>
      <c r="F895" s="305"/>
      <c r="G895" s="305"/>
      <c r="H895" s="292"/>
      <c r="I895" s="574"/>
      <c r="J895" s="573"/>
      <c r="K895" s="307"/>
      <c r="L895" s="292"/>
      <c r="M895" s="308"/>
      <c r="N895" s="292"/>
      <c r="O895" s="308"/>
      <c r="P895" s="575"/>
      <c r="Q895" s="576"/>
      <c r="R895" s="308"/>
      <c r="S895" s="575"/>
      <c r="T895" s="576"/>
      <c r="U895" s="308"/>
      <c r="V895" s="575"/>
      <c r="W895" s="576"/>
      <c r="X895" s="308"/>
      <c r="Y895" s="575"/>
      <c r="Z895" s="576"/>
      <c r="AA895" s="308"/>
      <c r="AB895" s="575"/>
      <c r="AC895" s="576"/>
      <c r="AD895" s="308"/>
      <c r="AE895" s="575"/>
      <c r="AF895" s="308"/>
      <c r="AG895" s="575"/>
      <c r="AH895" s="308"/>
      <c r="AI895" s="575"/>
      <c r="AJ895" s="308"/>
      <c r="AK895" s="305"/>
      <c r="AL895" s="577"/>
      <c r="AM895" s="306"/>
      <c r="AN895" s="308"/>
      <c r="AO895" s="573"/>
      <c r="AP895" s="305"/>
      <c r="AQ895" s="308"/>
      <c r="AR895" s="573"/>
      <c r="AS895" s="578"/>
      <c r="AT895" s="577"/>
      <c r="AU895" s="579"/>
      <c r="AV895" s="578"/>
      <c r="AW895" s="308"/>
      <c r="AX895" s="307"/>
      <c r="AY895" s="307"/>
      <c r="AZ895" s="307"/>
      <c r="BA895" s="307"/>
      <c r="BB895" s="307"/>
      <c r="BC895" s="305"/>
      <c r="BD895" s="292"/>
      <c r="BE895" s="297"/>
      <c r="BF895" s="297"/>
      <c r="BG895" s="569"/>
      <c r="BH895" s="570"/>
      <c r="BI895" s="570"/>
      <c r="BJ895" s="570"/>
      <c r="BK895" s="570"/>
      <c r="BL895" s="570"/>
      <c r="BM895" s="570"/>
      <c r="BN895" s="570"/>
      <c r="BO895" s="570"/>
      <c r="BP895" s="570"/>
      <c r="BQ895" s="570"/>
      <c r="BR895" s="570"/>
      <c r="BS895" s="570"/>
      <c r="BT895" s="570"/>
      <c r="BU895" s="570"/>
      <c r="BV895" s="570"/>
      <c r="BW895" s="570"/>
      <c r="BX895" s="570"/>
      <c r="BY895" s="570"/>
      <c r="BZ895" s="571"/>
      <c r="CA895" s="571"/>
    </row>
    <row r="896" spans="2:79">
      <c r="B896" s="566">
        <v>881</v>
      </c>
      <c r="C896" s="308"/>
      <c r="D896" s="307"/>
      <c r="E896" s="307"/>
      <c r="F896" s="305"/>
      <c r="G896" s="305"/>
      <c r="H896" s="292"/>
      <c r="I896" s="574"/>
      <c r="J896" s="573"/>
      <c r="K896" s="307"/>
      <c r="L896" s="292"/>
      <c r="M896" s="308"/>
      <c r="N896" s="292"/>
      <c r="O896" s="308"/>
      <c r="P896" s="575"/>
      <c r="Q896" s="576"/>
      <c r="R896" s="308"/>
      <c r="S896" s="575"/>
      <c r="T896" s="576"/>
      <c r="U896" s="308"/>
      <c r="V896" s="575"/>
      <c r="W896" s="576"/>
      <c r="X896" s="308"/>
      <c r="Y896" s="575"/>
      <c r="Z896" s="576"/>
      <c r="AA896" s="308"/>
      <c r="AB896" s="575"/>
      <c r="AC896" s="576"/>
      <c r="AD896" s="308"/>
      <c r="AE896" s="575"/>
      <c r="AF896" s="308"/>
      <c r="AG896" s="575"/>
      <c r="AH896" s="308"/>
      <c r="AI896" s="575"/>
      <c r="AJ896" s="308"/>
      <c r="AK896" s="305"/>
      <c r="AL896" s="577"/>
      <c r="AM896" s="306"/>
      <c r="AN896" s="308"/>
      <c r="AO896" s="573"/>
      <c r="AP896" s="305"/>
      <c r="AQ896" s="308"/>
      <c r="AR896" s="573"/>
      <c r="AS896" s="578"/>
      <c r="AT896" s="577"/>
      <c r="AU896" s="579"/>
      <c r="AV896" s="578"/>
      <c r="AW896" s="308"/>
      <c r="AX896" s="307"/>
      <c r="AY896" s="307"/>
      <c r="AZ896" s="307"/>
      <c r="BA896" s="307"/>
      <c r="BB896" s="307"/>
      <c r="BC896" s="305"/>
      <c r="BD896" s="292"/>
      <c r="BE896" s="297"/>
      <c r="BF896" s="297"/>
      <c r="BG896" s="569"/>
      <c r="BH896" s="570"/>
      <c r="BI896" s="570"/>
      <c r="BJ896" s="570"/>
      <c r="BK896" s="570"/>
      <c r="BL896" s="570"/>
      <c r="BM896" s="570"/>
      <c r="BN896" s="570"/>
      <c r="BO896" s="570"/>
      <c r="BP896" s="570"/>
      <c r="BQ896" s="570"/>
      <c r="BR896" s="570"/>
      <c r="BS896" s="570"/>
      <c r="BT896" s="570"/>
      <c r="BU896" s="570"/>
      <c r="BV896" s="570"/>
      <c r="BW896" s="570"/>
      <c r="BX896" s="570"/>
      <c r="BY896" s="570"/>
      <c r="BZ896" s="571"/>
      <c r="CA896" s="571"/>
    </row>
    <row r="897" spans="2:79">
      <c r="B897" s="572">
        <v>882</v>
      </c>
      <c r="C897" s="308"/>
      <c r="D897" s="307"/>
      <c r="E897" s="307"/>
      <c r="F897" s="305"/>
      <c r="G897" s="305"/>
      <c r="H897" s="292"/>
      <c r="I897" s="574"/>
      <c r="J897" s="573"/>
      <c r="K897" s="307"/>
      <c r="L897" s="292"/>
      <c r="M897" s="308"/>
      <c r="N897" s="292"/>
      <c r="O897" s="308"/>
      <c r="P897" s="575"/>
      <c r="Q897" s="576"/>
      <c r="R897" s="308"/>
      <c r="S897" s="575"/>
      <c r="T897" s="576"/>
      <c r="U897" s="308"/>
      <c r="V897" s="575"/>
      <c r="W897" s="576"/>
      <c r="X897" s="308"/>
      <c r="Y897" s="575"/>
      <c r="Z897" s="576"/>
      <c r="AA897" s="308"/>
      <c r="AB897" s="575"/>
      <c r="AC897" s="576"/>
      <c r="AD897" s="308"/>
      <c r="AE897" s="575"/>
      <c r="AF897" s="308"/>
      <c r="AG897" s="575"/>
      <c r="AH897" s="308"/>
      <c r="AI897" s="575"/>
      <c r="AJ897" s="308"/>
      <c r="AK897" s="305"/>
      <c r="AL897" s="577"/>
      <c r="AM897" s="306"/>
      <c r="AN897" s="308"/>
      <c r="AO897" s="573"/>
      <c r="AP897" s="305"/>
      <c r="AQ897" s="308"/>
      <c r="AR897" s="573"/>
      <c r="AS897" s="578"/>
      <c r="AT897" s="577"/>
      <c r="AU897" s="579"/>
      <c r="AV897" s="578"/>
      <c r="AW897" s="308"/>
      <c r="AX897" s="307"/>
      <c r="AY897" s="307"/>
      <c r="AZ897" s="307"/>
      <c r="BA897" s="307"/>
      <c r="BB897" s="307"/>
      <c r="BC897" s="305"/>
      <c r="BD897" s="292"/>
      <c r="BE897" s="297"/>
      <c r="BF897" s="297"/>
      <c r="BG897" s="569"/>
      <c r="BH897" s="570"/>
      <c r="BI897" s="570"/>
      <c r="BJ897" s="570"/>
      <c r="BK897" s="570"/>
      <c r="BL897" s="570"/>
      <c r="BM897" s="570"/>
      <c r="BN897" s="570"/>
      <c r="BO897" s="570"/>
      <c r="BP897" s="570"/>
      <c r="BQ897" s="570"/>
      <c r="BR897" s="570"/>
      <c r="BS897" s="570"/>
      <c r="BT897" s="570"/>
      <c r="BU897" s="570"/>
      <c r="BV897" s="570"/>
      <c r="BW897" s="570"/>
      <c r="BX897" s="570"/>
      <c r="BY897" s="570"/>
      <c r="BZ897" s="571"/>
      <c r="CA897" s="571"/>
    </row>
    <row r="898" spans="2:79">
      <c r="B898" s="566">
        <v>883</v>
      </c>
      <c r="C898" s="308"/>
      <c r="D898" s="307"/>
      <c r="E898" s="307"/>
      <c r="F898" s="305"/>
      <c r="G898" s="305"/>
      <c r="H898" s="292"/>
      <c r="I898" s="574"/>
      <c r="J898" s="573"/>
      <c r="K898" s="307"/>
      <c r="L898" s="292"/>
      <c r="M898" s="308"/>
      <c r="N898" s="292"/>
      <c r="O898" s="308"/>
      <c r="P898" s="575"/>
      <c r="Q898" s="576"/>
      <c r="R898" s="308"/>
      <c r="S898" s="575"/>
      <c r="T898" s="576"/>
      <c r="U898" s="308"/>
      <c r="V898" s="575"/>
      <c r="W898" s="576"/>
      <c r="X898" s="308"/>
      <c r="Y898" s="575"/>
      <c r="Z898" s="576"/>
      <c r="AA898" s="308"/>
      <c r="AB898" s="575"/>
      <c r="AC898" s="576"/>
      <c r="AD898" s="308"/>
      <c r="AE898" s="575"/>
      <c r="AF898" s="308"/>
      <c r="AG898" s="575"/>
      <c r="AH898" s="308"/>
      <c r="AI898" s="575"/>
      <c r="AJ898" s="308"/>
      <c r="AK898" s="305"/>
      <c r="AL898" s="577"/>
      <c r="AM898" s="306"/>
      <c r="AN898" s="308"/>
      <c r="AO898" s="573"/>
      <c r="AP898" s="305"/>
      <c r="AQ898" s="308"/>
      <c r="AR898" s="573"/>
      <c r="AS898" s="578"/>
      <c r="AT898" s="577"/>
      <c r="AU898" s="579"/>
      <c r="AV898" s="578"/>
      <c r="AW898" s="308"/>
      <c r="AX898" s="307"/>
      <c r="AY898" s="307"/>
      <c r="AZ898" s="307"/>
      <c r="BA898" s="307"/>
      <c r="BB898" s="307"/>
      <c r="BC898" s="305"/>
      <c r="BD898" s="292"/>
      <c r="BE898" s="297"/>
      <c r="BF898" s="297"/>
      <c r="BG898" s="569"/>
      <c r="BH898" s="570"/>
      <c r="BI898" s="570"/>
      <c r="BJ898" s="570"/>
      <c r="BK898" s="570"/>
      <c r="BL898" s="570"/>
      <c r="BM898" s="570"/>
      <c r="BN898" s="570"/>
      <c r="BO898" s="570"/>
      <c r="BP898" s="570"/>
      <c r="BQ898" s="570"/>
      <c r="BR898" s="570"/>
      <c r="BS898" s="570"/>
      <c r="BT898" s="570"/>
      <c r="BU898" s="570"/>
      <c r="BV898" s="570"/>
      <c r="BW898" s="570"/>
      <c r="BX898" s="570"/>
      <c r="BY898" s="570"/>
      <c r="BZ898" s="571"/>
      <c r="CA898" s="571"/>
    </row>
    <row r="899" spans="2:79">
      <c r="B899" s="572">
        <v>884</v>
      </c>
      <c r="C899" s="308"/>
      <c r="D899" s="307"/>
      <c r="E899" s="307"/>
      <c r="F899" s="305"/>
      <c r="G899" s="305"/>
      <c r="H899" s="292"/>
      <c r="I899" s="574"/>
      <c r="J899" s="573"/>
      <c r="K899" s="307"/>
      <c r="L899" s="292"/>
      <c r="M899" s="308"/>
      <c r="N899" s="292"/>
      <c r="O899" s="308"/>
      <c r="P899" s="575"/>
      <c r="Q899" s="576"/>
      <c r="R899" s="308"/>
      <c r="S899" s="575"/>
      <c r="T899" s="576"/>
      <c r="U899" s="308"/>
      <c r="V899" s="575"/>
      <c r="W899" s="576"/>
      <c r="X899" s="308"/>
      <c r="Y899" s="575"/>
      <c r="Z899" s="576"/>
      <c r="AA899" s="308"/>
      <c r="AB899" s="575"/>
      <c r="AC899" s="576"/>
      <c r="AD899" s="308"/>
      <c r="AE899" s="575"/>
      <c r="AF899" s="308"/>
      <c r="AG899" s="575"/>
      <c r="AH899" s="308"/>
      <c r="AI899" s="575"/>
      <c r="AJ899" s="308"/>
      <c r="AK899" s="305"/>
      <c r="AL899" s="577"/>
      <c r="AM899" s="306"/>
      <c r="AN899" s="308"/>
      <c r="AO899" s="573"/>
      <c r="AP899" s="305"/>
      <c r="AQ899" s="308"/>
      <c r="AR899" s="573"/>
      <c r="AS899" s="578"/>
      <c r="AT899" s="577"/>
      <c r="AU899" s="579"/>
      <c r="AV899" s="578"/>
      <c r="AW899" s="308"/>
      <c r="AX899" s="307"/>
      <c r="AY899" s="307"/>
      <c r="AZ899" s="307"/>
      <c r="BA899" s="307"/>
      <c r="BB899" s="307"/>
      <c r="BC899" s="305"/>
      <c r="BD899" s="292"/>
      <c r="BE899" s="297"/>
      <c r="BF899" s="297"/>
      <c r="BG899" s="569"/>
      <c r="BH899" s="570"/>
      <c r="BI899" s="570"/>
      <c r="BJ899" s="570"/>
      <c r="BK899" s="570"/>
      <c r="BL899" s="570"/>
      <c r="BM899" s="570"/>
      <c r="BN899" s="570"/>
      <c r="BO899" s="570"/>
      <c r="BP899" s="570"/>
      <c r="BQ899" s="570"/>
      <c r="BR899" s="570"/>
      <c r="BS899" s="570"/>
      <c r="BT899" s="570"/>
      <c r="BU899" s="570"/>
      <c r="BV899" s="570"/>
      <c r="BW899" s="570"/>
      <c r="BX899" s="570"/>
      <c r="BY899" s="570"/>
      <c r="BZ899" s="571"/>
      <c r="CA899" s="571"/>
    </row>
    <row r="900" spans="2:79">
      <c r="B900" s="566">
        <v>885</v>
      </c>
      <c r="C900" s="308"/>
      <c r="D900" s="307"/>
      <c r="E900" s="307"/>
      <c r="F900" s="305"/>
      <c r="G900" s="305"/>
      <c r="H900" s="292"/>
      <c r="I900" s="574"/>
      <c r="J900" s="573"/>
      <c r="K900" s="307"/>
      <c r="L900" s="292"/>
      <c r="M900" s="308"/>
      <c r="N900" s="292"/>
      <c r="O900" s="308"/>
      <c r="P900" s="575"/>
      <c r="Q900" s="576"/>
      <c r="R900" s="308"/>
      <c r="S900" s="575"/>
      <c r="T900" s="576"/>
      <c r="U900" s="308"/>
      <c r="V900" s="575"/>
      <c r="W900" s="576"/>
      <c r="X900" s="308"/>
      <c r="Y900" s="575"/>
      <c r="Z900" s="576"/>
      <c r="AA900" s="308"/>
      <c r="AB900" s="575"/>
      <c r="AC900" s="576"/>
      <c r="AD900" s="308"/>
      <c r="AE900" s="575"/>
      <c r="AF900" s="308"/>
      <c r="AG900" s="575"/>
      <c r="AH900" s="308"/>
      <c r="AI900" s="575"/>
      <c r="AJ900" s="308"/>
      <c r="AK900" s="305"/>
      <c r="AL900" s="577"/>
      <c r="AM900" s="306"/>
      <c r="AN900" s="308"/>
      <c r="AO900" s="573"/>
      <c r="AP900" s="305"/>
      <c r="AQ900" s="308"/>
      <c r="AR900" s="573"/>
      <c r="AS900" s="578"/>
      <c r="AT900" s="577"/>
      <c r="AU900" s="579"/>
      <c r="AV900" s="578"/>
      <c r="AW900" s="308"/>
      <c r="AX900" s="307"/>
      <c r="AY900" s="307"/>
      <c r="AZ900" s="307"/>
      <c r="BA900" s="307"/>
      <c r="BB900" s="307"/>
      <c r="BC900" s="305"/>
      <c r="BD900" s="292"/>
      <c r="BE900" s="297"/>
      <c r="BF900" s="297"/>
      <c r="BG900" s="569"/>
      <c r="BH900" s="570"/>
      <c r="BI900" s="570"/>
      <c r="BJ900" s="570"/>
      <c r="BK900" s="570"/>
      <c r="BL900" s="570"/>
      <c r="BM900" s="570"/>
      <c r="BN900" s="570"/>
      <c r="BO900" s="570"/>
      <c r="BP900" s="570"/>
      <c r="BQ900" s="570"/>
      <c r="BR900" s="570"/>
      <c r="BS900" s="570"/>
      <c r="BT900" s="570"/>
      <c r="BU900" s="570"/>
      <c r="BV900" s="570"/>
      <c r="BW900" s="570"/>
      <c r="BX900" s="570"/>
      <c r="BY900" s="570"/>
      <c r="BZ900" s="571"/>
      <c r="CA900" s="571"/>
    </row>
    <row r="901" spans="2:79">
      <c r="B901" s="572">
        <v>886</v>
      </c>
      <c r="C901" s="308"/>
      <c r="D901" s="307"/>
      <c r="E901" s="307"/>
      <c r="F901" s="305"/>
      <c r="G901" s="305"/>
      <c r="H901" s="292"/>
      <c r="I901" s="574"/>
      <c r="J901" s="573"/>
      <c r="K901" s="307"/>
      <c r="L901" s="292"/>
      <c r="M901" s="308"/>
      <c r="N901" s="292"/>
      <c r="O901" s="308"/>
      <c r="P901" s="575"/>
      <c r="Q901" s="576"/>
      <c r="R901" s="308"/>
      <c r="S901" s="575"/>
      <c r="T901" s="576"/>
      <c r="U901" s="308"/>
      <c r="V901" s="575"/>
      <c r="W901" s="576"/>
      <c r="X901" s="308"/>
      <c r="Y901" s="575"/>
      <c r="Z901" s="576"/>
      <c r="AA901" s="308"/>
      <c r="AB901" s="575"/>
      <c r="AC901" s="576"/>
      <c r="AD901" s="308"/>
      <c r="AE901" s="575"/>
      <c r="AF901" s="308"/>
      <c r="AG901" s="575"/>
      <c r="AH901" s="308"/>
      <c r="AI901" s="575"/>
      <c r="AJ901" s="308"/>
      <c r="AK901" s="305"/>
      <c r="AL901" s="577"/>
      <c r="AM901" s="306"/>
      <c r="AN901" s="308"/>
      <c r="AO901" s="573"/>
      <c r="AP901" s="305"/>
      <c r="AQ901" s="308"/>
      <c r="AR901" s="573"/>
      <c r="AS901" s="578"/>
      <c r="AT901" s="577"/>
      <c r="AU901" s="579"/>
      <c r="AV901" s="578"/>
      <c r="AW901" s="308"/>
      <c r="AX901" s="307"/>
      <c r="AY901" s="307"/>
      <c r="AZ901" s="307"/>
      <c r="BA901" s="307"/>
      <c r="BB901" s="307"/>
      <c r="BC901" s="305"/>
      <c r="BD901" s="292"/>
      <c r="BE901" s="297"/>
      <c r="BF901" s="297"/>
      <c r="BG901" s="569"/>
      <c r="BH901" s="570"/>
      <c r="BI901" s="570"/>
      <c r="BJ901" s="570"/>
      <c r="BK901" s="570"/>
      <c r="BL901" s="570"/>
      <c r="BM901" s="570"/>
      <c r="BN901" s="570"/>
      <c r="BO901" s="570"/>
      <c r="BP901" s="570"/>
      <c r="BQ901" s="570"/>
      <c r="BR901" s="570"/>
      <c r="BS901" s="570"/>
      <c r="BT901" s="570"/>
      <c r="BU901" s="570"/>
      <c r="BV901" s="570"/>
      <c r="BW901" s="570"/>
      <c r="BX901" s="570"/>
      <c r="BY901" s="570"/>
      <c r="BZ901" s="571"/>
      <c r="CA901" s="571"/>
    </row>
    <row r="902" spans="2:79">
      <c r="B902" s="566">
        <v>887</v>
      </c>
      <c r="C902" s="308"/>
      <c r="D902" s="307"/>
      <c r="E902" s="307"/>
      <c r="F902" s="305"/>
      <c r="G902" s="305"/>
      <c r="H902" s="292"/>
      <c r="I902" s="574"/>
      <c r="J902" s="573"/>
      <c r="K902" s="307"/>
      <c r="L902" s="292"/>
      <c r="M902" s="308"/>
      <c r="N902" s="292"/>
      <c r="O902" s="308"/>
      <c r="P902" s="575"/>
      <c r="Q902" s="576"/>
      <c r="R902" s="308"/>
      <c r="S902" s="575"/>
      <c r="T902" s="576"/>
      <c r="U902" s="308"/>
      <c r="V902" s="575"/>
      <c r="W902" s="576"/>
      <c r="X902" s="308"/>
      <c r="Y902" s="575"/>
      <c r="Z902" s="576"/>
      <c r="AA902" s="308"/>
      <c r="AB902" s="575"/>
      <c r="AC902" s="576"/>
      <c r="AD902" s="308"/>
      <c r="AE902" s="575"/>
      <c r="AF902" s="308"/>
      <c r="AG902" s="575"/>
      <c r="AH902" s="308"/>
      <c r="AI902" s="575"/>
      <c r="AJ902" s="308"/>
      <c r="AK902" s="305"/>
      <c r="AL902" s="577"/>
      <c r="AM902" s="306"/>
      <c r="AN902" s="308"/>
      <c r="AO902" s="573"/>
      <c r="AP902" s="305"/>
      <c r="AQ902" s="308"/>
      <c r="AR902" s="573"/>
      <c r="AS902" s="578"/>
      <c r="AT902" s="577"/>
      <c r="AU902" s="579"/>
      <c r="AV902" s="578"/>
      <c r="AW902" s="308"/>
      <c r="AX902" s="307"/>
      <c r="AY902" s="307"/>
      <c r="AZ902" s="307"/>
      <c r="BA902" s="307"/>
      <c r="BB902" s="307"/>
      <c r="BC902" s="305"/>
      <c r="BD902" s="292"/>
      <c r="BE902" s="297"/>
      <c r="BF902" s="297"/>
      <c r="BG902" s="569"/>
      <c r="BH902" s="570"/>
      <c r="BI902" s="570"/>
      <c r="BJ902" s="570"/>
      <c r="BK902" s="570"/>
      <c r="BL902" s="570"/>
      <c r="BM902" s="570"/>
      <c r="BN902" s="570"/>
      <c r="BO902" s="570"/>
      <c r="BP902" s="570"/>
      <c r="BQ902" s="570"/>
      <c r="BR902" s="570"/>
      <c r="BS902" s="570"/>
      <c r="BT902" s="570"/>
      <c r="BU902" s="570"/>
      <c r="BV902" s="570"/>
      <c r="BW902" s="570"/>
      <c r="BX902" s="570"/>
      <c r="BY902" s="570"/>
      <c r="BZ902" s="571"/>
      <c r="CA902" s="571"/>
    </row>
    <row r="903" spans="2:79">
      <c r="B903" s="572">
        <v>888</v>
      </c>
      <c r="C903" s="308"/>
      <c r="D903" s="307"/>
      <c r="E903" s="307"/>
      <c r="F903" s="305"/>
      <c r="G903" s="305"/>
      <c r="H903" s="292"/>
      <c r="I903" s="574"/>
      <c r="J903" s="573"/>
      <c r="K903" s="307"/>
      <c r="L903" s="292"/>
      <c r="M903" s="308"/>
      <c r="N903" s="292"/>
      <c r="O903" s="308"/>
      <c r="P903" s="575"/>
      <c r="Q903" s="576"/>
      <c r="R903" s="308"/>
      <c r="S903" s="575"/>
      <c r="T903" s="576"/>
      <c r="U903" s="308"/>
      <c r="V903" s="575"/>
      <c r="W903" s="576"/>
      <c r="X903" s="308"/>
      <c r="Y903" s="575"/>
      <c r="Z903" s="576"/>
      <c r="AA903" s="308"/>
      <c r="AB903" s="575"/>
      <c r="AC903" s="576"/>
      <c r="AD903" s="308"/>
      <c r="AE903" s="575"/>
      <c r="AF903" s="308"/>
      <c r="AG903" s="575"/>
      <c r="AH903" s="308"/>
      <c r="AI903" s="575"/>
      <c r="AJ903" s="308"/>
      <c r="AK903" s="305"/>
      <c r="AL903" s="577"/>
      <c r="AM903" s="306"/>
      <c r="AN903" s="308"/>
      <c r="AO903" s="573"/>
      <c r="AP903" s="305"/>
      <c r="AQ903" s="308"/>
      <c r="AR903" s="573"/>
      <c r="AS903" s="578"/>
      <c r="AT903" s="577"/>
      <c r="AU903" s="579"/>
      <c r="AV903" s="578"/>
      <c r="AW903" s="308"/>
      <c r="AX903" s="307"/>
      <c r="AY903" s="307"/>
      <c r="AZ903" s="307"/>
      <c r="BA903" s="307"/>
      <c r="BB903" s="307"/>
      <c r="BC903" s="305"/>
      <c r="BD903" s="292"/>
      <c r="BE903" s="297"/>
      <c r="BF903" s="297"/>
      <c r="BG903" s="569"/>
      <c r="BH903" s="570"/>
      <c r="BI903" s="570"/>
      <c r="BJ903" s="570"/>
      <c r="BK903" s="570"/>
      <c r="BL903" s="570"/>
      <c r="BM903" s="570"/>
      <c r="BN903" s="570"/>
      <c r="BO903" s="570"/>
      <c r="BP903" s="570"/>
      <c r="BQ903" s="570"/>
      <c r="BR903" s="570"/>
      <c r="BS903" s="570"/>
      <c r="BT903" s="570"/>
      <c r="BU903" s="570"/>
      <c r="BV903" s="570"/>
      <c r="BW903" s="570"/>
      <c r="BX903" s="570"/>
      <c r="BY903" s="570"/>
      <c r="BZ903" s="571"/>
      <c r="CA903" s="571"/>
    </row>
    <row r="904" spans="2:79">
      <c r="B904" s="566">
        <v>889</v>
      </c>
      <c r="C904" s="308"/>
      <c r="D904" s="307"/>
      <c r="E904" s="307"/>
      <c r="F904" s="305"/>
      <c r="G904" s="305"/>
      <c r="H904" s="292"/>
      <c r="I904" s="574"/>
      <c r="J904" s="573"/>
      <c r="K904" s="307"/>
      <c r="L904" s="292"/>
      <c r="M904" s="308"/>
      <c r="N904" s="292"/>
      <c r="O904" s="308"/>
      <c r="P904" s="575"/>
      <c r="Q904" s="576"/>
      <c r="R904" s="308"/>
      <c r="S904" s="575"/>
      <c r="T904" s="576"/>
      <c r="U904" s="308"/>
      <c r="V904" s="575"/>
      <c r="W904" s="576"/>
      <c r="X904" s="308"/>
      <c r="Y904" s="575"/>
      <c r="Z904" s="576"/>
      <c r="AA904" s="308"/>
      <c r="AB904" s="575"/>
      <c r="AC904" s="576"/>
      <c r="AD904" s="308"/>
      <c r="AE904" s="575"/>
      <c r="AF904" s="308"/>
      <c r="AG904" s="575"/>
      <c r="AH904" s="308"/>
      <c r="AI904" s="575"/>
      <c r="AJ904" s="308"/>
      <c r="AK904" s="305"/>
      <c r="AL904" s="577"/>
      <c r="AM904" s="306"/>
      <c r="AN904" s="308"/>
      <c r="AO904" s="573"/>
      <c r="AP904" s="305"/>
      <c r="AQ904" s="308"/>
      <c r="AR904" s="573"/>
      <c r="AS904" s="578"/>
      <c r="AT904" s="577"/>
      <c r="AU904" s="579"/>
      <c r="AV904" s="578"/>
      <c r="AW904" s="308"/>
      <c r="AX904" s="307"/>
      <c r="AY904" s="307"/>
      <c r="AZ904" s="307"/>
      <c r="BA904" s="307"/>
      <c r="BB904" s="307"/>
      <c r="BC904" s="305"/>
      <c r="BD904" s="292"/>
      <c r="BE904" s="297"/>
      <c r="BF904" s="297"/>
      <c r="BG904" s="569"/>
      <c r="BH904" s="570"/>
      <c r="BI904" s="570"/>
      <c r="BJ904" s="570"/>
      <c r="BK904" s="570"/>
      <c r="BL904" s="570"/>
      <c r="BM904" s="570"/>
      <c r="BN904" s="570"/>
      <c r="BO904" s="570"/>
      <c r="BP904" s="570"/>
      <c r="BQ904" s="570"/>
      <c r="BR904" s="570"/>
      <c r="BS904" s="570"/>
      <c r="BT904" s="570"/>
      <c r="BU904" s="570"/>
      <c r="BV904" s="570"/>
      <c r="BW904" s="570"/>
      <c r="BX904" s="570"/>
      <c r="BY904" s="570"/>
      <c r="BZ904" s="571"/>
      <c r="CA904" s="571"/>
    </row>
    <row r="905" spans="2:79">
      <c r="B905" s="572">
        <v>890</v>
      </c>
      <c r="C905" s="308"/>
      <c r="D905" s="307"/>
      <c r="E905" s="307"/>
      <c r="F905" s="305"/>
      <c r="G905" s="305"/>
      <c r="H905" s="292"/>
      <c r="I905" s="574"/>
      <c r="J905" s="573"/>
      <c r="K905" s="307"/>
      <c r="L905" s="292"/>
      <c r="M905" s="308"/>
      <c r="N905" s="292"/>
      <c r="O905" s="308"/>
      <c r="P905" s="575"/>
      <c r="Q905" s="576"/>
      <c r="R905" s="308"/>
      <c r="S905" s="575"/>
      <c r="T905" s="576"/>
      <c r="U905" s="308"/>
      <c r="V905" s="575"/>
      <c r="W905" s="576"/>
      <c r="X905" s="308"/>
      <c r="Y905" s="575"/>
      <c r="Z905" s="576"/>
      <c r="AA905" s="308"/>
      <c r="AB905" s="575"/>
      <c r="AC905" s="576"/>
      <c r="AD905" s="308"/>
      <c r="AE905" s="575"/>
      <c r="AF905" s="308"/>
      <c r="AG905" s="575"/>
      <c r="AH905" s="308"/>
      <c r="AI905" s="575"/>
      <c r="AJ905" s="308"/>
      <c r="AK905" s="305"/>
      <c r="AL905" s="577"/>
      <c r="AM905" s="306"/>
      <c r="AN905" s="308"/>
      <c r="AO905" s="573"/>
      <c r="AP905" s="305"/>
      <c r="AQ905" s="308"/>
      <c r="AR905" s="573"/>
      <c r="AS905" s="578"/>
      <c r="AT905" s="577"/>
      <c r="AU905" s="579"/>
      <c r="AV905" s="578"/>
      <c r="AW905" s="308"/>
      <c r="AX905" s="307"/>
      <c r="AY905" s="307"/>
      <c r="AZ905" s="307"/>
      <c r="BA905" s="307"/>
      <c r="BB905" s="307"/>
      <c r="BC905" s="305"/>
      <c r="BD905" s="292"/>
      <c r="BE905" s="297"/>
      <c r="BF905" s="297"/>
      <c r="BG905" s="569"/>
      <c r="BH905" s="570"/>
      <c r="BI905" s="570"/>
      <c r="BJ905" s="570"/>
      <c r="BK905" s="570"/>
      <c r="BL905" s="570"/>
      <c r="BM905" s="570"/>
      <c r="BN905" s="570"/>
      <c r="BO905" s="570"/>
      <c r="BP905" s="570"/>
      <c r="BQ905" s="570"/>
      <c r="BR905" s="570"/>
      <c r="BS905" s="570"/>
      <c r="BT905" s="570"/>
      <c r="BU905" s="570"/>
      <c r="BV905" s="570"/>
      <c r="BW905" s="570"/>
      <c r="BX905" s="570"/>
      <c r="BY905" s="570"/>
      <c r="BZ905" s="571"/>
      <c r="CA905" s="571"/>
    </row>
    <row r="906" spans="2:79">
      <c r="B906" s="566">
        <v>891</v>
      </c>
      <c r="C906" s="308"/>
      <c r="D906" s="307"/>
      <c r="E906" s="307"/>
      <c r="F906" s="305"/>
      <c r="G906" s="305"/>
      <c r="H906" s="292"/>
      <c r="I906" s="574"/>
      <c r="J906" s="573"/>
      <c r="K906" s="307"/>
      <c r="L906" s="292"/>
      <c r="M906" s="308"/>
      <c r="N906" s="292"/>
      <c r="O906" s="308"/>
      <c r="P906" s="575"/>
      <c r="Q906" s="576"/>
      <c r="R906" s="308"/>
      <c r="S906" s="575"/>
      <c r="T906" s="576"/>
      <c r="U906" s="308"/>
      <c r="V906" s="575"/>
      <c r="W906" s="576"/>
      <c r="X906" s="308"/>
      <c r="Y906" s="575"/>
      <c r="Z906" s="576"/>
      <c r="AA906" s="308"/>
      <c r="AB906" s="575"/>
      <c r="AC906" s="576"/>
      <c r="AD906" s="308"/>
      <c r="AE906" s="575"/>
      <c r="AF906" s="308"/>
      <c r="AG906" s="575"/>
      <c r="AH906" s="308"/>
      <c r="AI906" s="575"/>
      <c r="AJ906" s="308"/>
      <c r="AK906" s="305"/>
      <c r="AL906" s="577"/>
      <c r="AM906" s="306"/>
      <c r="AN906" s="308"/>
      <c r="AO906" s="573"/>
      <c r="AP906" s="305"/>
      <c r="AQ906" s="308"/>
      <c r="AR906" s="573"/>
      <c r="AS906" s="578"/>
      <c r="AT906" s="577"/>
      <c r="AU906" s="579"/>
      <c r="AV906" s="578"/>
      <c r="AW906" s="308"/>
      <c r="AX906" s="307"/>
      <c r="AY906" s="307"/>
      <c r="AZ906" s="307"/>
      <c r="BA906" s="307"/>
      <c r="BB906" s="307"/>
      <c r="BC906" s="305"/>
      <c r="BD906" s="292"/>
      <c r="BE906" s="297"/>
      <c r="BF906" s="297"/>
      <c r="BG906" s="569"/>
      <c r="BH906" s="570"/>
      <c r="BI906" s="570"/>
      <c r="BJ906" s="570"/>
      <c r="BK906" s="570"/>
      <c r="BL906" s="570"/>
      <c r="BM906" s="570"/>
      <c r="BN906" s="570"/>
      <c r="BO906" s="570"/>
      <c r="BP906" s="570"/>
      <c r="BQ906" s="570"/>
      <c r="BR906" s="570"/>
      <c r="BS906" s="570"/>
      <c r="BT906" s="570"/>
      <c r="BU906" s="570"/>
      <c r="BV906" s="570"/>
      <c r="BW906" s="570"/>
      <c r="BX906" s="570"/>
      <c r="BY906" s="570"/>
      <c r="BZ906" s="571"/>
      <c r="CA906" s="571"/>
    </row>
    <row r="907" spans="2:79">
      <c r="B907" s="572">
        <v>892</v>
      </c>
      <c r="C907" s="308"/>
      <c r="D907" s="307"/>
      <c r="E907" s="307"/>
      <c r="F907" s="305"/>
      <c r="G907" s="305"/>
      <c r="H907" s="292"/>
      <c r="I907" s="574"/>
      <c r="J907" s="573"/>
      <c r="K907" s="307"/>
      <c r="L907" s="292"/>
      <c r="M907" s="308"/>
      <c r="N907" s="292"/>
      <c r="O907" s="308"/>
      <c r="P907" s="575"/>
      <c r="Q907" s="576"/>
      <c r="R907" s="308"/>
      <c r="S907" s="575"/>
      <c r="T907" s="576"/>
      <c r="U907" s="308"/>
      <c r="V907" s="575"/>
      <c r="W907" s="576"/>
      <c r="X907" s="308"/>
      <c r="Y907" s="575"/>
      <c r="Z907" s="576"/>
      <c r="AA907" s="308"/>
      <c r="AB907" s="575"/>
      <c r="AC907" s="576"/>
      <c r="AD907" s="308"/>
      <c r="AE907" s="575"/>
      <c r="AF907" s="308"/>
      <c r="AG907" s="575"/>
      <c r="AH907" s="308"/>
      <c r="AI907" s="575"/>
      <c r="AJ907" s="308"/>
      <c r="AK907" s="305"/>
      <c r="AL907" s="577"/>
      <c r="AM907" s="306"/>
      <c r="AN907" s="308"/>
      <c r="AO907" s="573"/>
      <c r="AP907" s="305"/>
      <c r="AQ907" s="308"/>
      <c r="AR907" s="573"/>
      <c r="AS907" s="578"/>
      <c r="AT907" s="577"/>
      <c r="AU907" s="579"/>
      <c r="AV907" s="578"/>
      <c r="AW907" s="308"/>
      <c r="AX907" s="307"/>
      <c r="AY907" s="307"/>
      <c r="AZ907" s="307"/>
      <c r="BA907" s="307"/>
      <c r="BB907" s="307"/>
      <c r="BC907" s="305"/>
      <c r="BD907" s="292"/>
      <c r="BE907" s="297"/>
      <c r="BF907" s="297"/>
      <c r="BG907" s="569"/>
      <c r="BH907" s="570"/>
      <c r="BI907" s="570"/>
      <c r="BJ907" s="570"/>
      <c r="BK907" s="570"/>
      <c r="BL907" s="570"/>
      <c r="BM907" s="570"/>
      <c r="BN907" s="570"/>
      <c r="BO907" s="570"/>
      <c r="BP907" s="570"/>
      <c r="BQ907" s="570"/>
      <c r="BR907" s="570"/>
      <c r="BS907" s="570"/>
      <c r="BT907" s="570"/>
      <c r="BU907" s="570"/>
      <c r="BV907" s="570"/>
      <c r="BW907" s="570"/>
      <c r="BX907" s="570"/>
      <c r="BY907" s="570"/>
      <c r="BZ907" s="571"/>
      <c r="CA907" s="571"/>
    </row>
    <row r="908" spans="2:79">
      <c r="B908" s="566">
        <v>893</v>
      </c>
      <c r="C908" s="308"/>
      <c r="D908" s="307"/>
      <c r="E908" s="307"/>
      <c r="F908" s="305"/>
      <c r="G908" s="305"/>
      <c r="H908" s="292"/>
      <c r="I908" s="574"/>
      <c r="J908" s="573"/>
      <c r="K908" s="307"/>
      <c r="L908" s="292"/>
      <c r="M908" s="308"/>
      <c r="N908" s="292"/>
      <c r="O908" s="308"/>
      <c r="P908" s="575"/>
      <c r="Q908" s="576"/>
      <c r="R908" s="308"/>
      <c r="S908" s="575"/>
      <c r="T908" s="576"/>
      <c r="U908" s="308"/>
      <c r="V908" s="575"/>
      <c r="W908" s="576"/>
      <c r="X908" s="308"/>
      <c r="Y908" s="575"/>
      <c r="Z908" s="576"/>
      <c r="AA908" s="308"/>
      <c r="AB908" s="575"/>
      <c r="AC908" s="576"/>
      <c r="AD908" s="308"/>
      <c r="AE908" s="575"/>
      <c r="AF908" s="308"/>
      <c r="AG908" s="575"/>
      <c r="AH908" s="308"/>
      <c r="AI908" s="575"/>
      <c r="AJ908" s="308"/>
      <c r="AK908" s="305"/>
      <c r="AL908" s="577"/>
      <c r="AM908" s="306"/>
      <c r="AN908" s="308"/>
      <c r="AO908" s="573"/>
      <c r="AP908" s="305"/>
      <c r="AQ908" s="308"/>
      <c r="AR908" s="573"/>
      <c r="AS908" s="578"/>
      <c r="AT908" s="577"/>
      <c r="AU908" s="579"/>
      <c r="AV908" s="578"/>
      <c r="AW908" s="308"/>
      <c r="AX908" s="307"/>
      <c r="AY908" s="307"/>
      <c r="AZ908" s="307"/>
      <c r="BA908" s="307"/>
      <c r="BB908" s="307"/>
      <c r="BC908" s="305"/>
      <c r="BD908" s="292"/>
      <c r="BE908" s="297"/>
      <c r="BF908" s="297"/>
      <c r="BG908" s="569"/>
      <c r="BH908" s="570"/>
      <c r="BI908" s="570"/>
      <c r="BJ908" s="570"/>
      <c r="BK908" s="570"/>
      <c r="BL908" s="570"/>
      <c r="BM908" s="570"/>
      <c r="BN908" s="570"/>
      <c r="BO908" s="570"/>
      <c r="BP908" s="570"/>
      <c r="BQ908" s="570"/>
      <c r="BR908" s="570"/>
      <c r="BS908" s="570"/>
      <c r="BT908" s="570"/>
      <c r="BU908" s="570"/>
      <c r="BV908" s="570"/>
      <c r="BW908" s="570"/>
      <c r="BX908" s="570"/>
      <c r="BY908" s="570"/>
      <c r="BZ908" s="571"/>
      <c r="CA908" s="571"/>
    </row>
    <row r="909" spans="2:79">
      <c r="B909" s="572">
        <v>894</v>
      </c>
      <c r="C909" s="308"/>
      <c r="D909" s="307"/>
      <c r="E909" s="307"/>
      <c r="F909" s="305"/>
      <c r="G909" s="305"/>
      <c r="H909" s="292"/>
      <c r="I909" s="574"/>
      <c r="J909" s="573"/>
      <c r="K909" s="307"/>
      <c r="L909" s="292"/>
      <c r="M909" s="308"/>
      <c r="N909" s="292"/>
      <c r="O909" s="308"/>
      <c r="P909" s="575"/>
      <c r="Q909" s="576"/>
      <c r="R909" s="308"/>
      <c r="S909" s="575"/>
      <c r="T909" s="576"/>
      <c r="U909" s="308"/>
      <c r="V909" s="575"/>
      <c r="W909" s="576"/>
      <c r="X909" s="308"/>
      <c r="Y909" s="575"/>
      <c r="Z909" s="576"/>
      <c r="AA909" s="308"/>
      <c r="AB909" s="575"/>
      <c r="AC909" s="576"/>
      <c r="AD909" s="308"/>
      <c r="AE909" s="575"/>
      <c r="AF909" s="308"/>
      <c r="AG909" s="575"/>
      <c r="AH909" s="308"/>
      <c r="AI909" s="575"/>
      <c r="AJ909" s="308"/>
      <c r="AK909" s="305"/>
      <c r="AL909" s="577"/>
      <c r="AM909" s="306"/>
      <c r="AN909" s="308"/>
      <c r="AO909" s="573"/>
      <c r="AP909" s="305"/>
      <c r="AQ909" s="308"/>
      <c r="AR909" s="573"/>
      <c r="AS909" s="578"/>
      <c r="AT909" s="577"/>
      <c r="AU909" s="579"/>
      <c r="AV909" s="578"/>
      <c r="AW909" s="308"/>
      <c r="AX909" s="307"/>
      <c r="AY909" s="307"/>
      <c r="AZ909" s="307"/>
      <c r="BA909" s="307"/>
      <c r="BB909" s="307"/>
      <c r="BC909" s="305"/>
      <c r="BD909" s="292"/>
      <c r="BE909" s="297"/>
      <c r="BF909" s="297"/>
      <c r="BG909" s="569"/>
      <c r="BH909" s="570"/>
      <c r="BI909" s="570"/>
      <c r="BJ909" s="570"/>
      <c r="BK909" s="570"/>
      <c r="BL909" s="570"/>
      <c r="BM909" s="570"/>
      <c r="BN909" s="570"/>
      <c r="BO909" s="570"/>
      <c r="BP909" s="570"/>
      <c r="BQ909" s="570"/>
      <c r="BR909" s="570"/>
      <c r="BS909" s="570"/>
      <c r="BT909" s="570"/>
      <c r="BU909" s="570"/>
      <c r="BV909" s="570"/>
      <c r="BW909" s="570"/>
      <c r="BX909" s="570"/>
      <c r="BY909" s="570"/>
      <c r="BZ909" s="571"/>
      <c r="CA909" s="571"/>
    </row>
    <row r="910" spans="2:79">
      <c r="B910" s="566">
        <v>895</v>
      </c>
      <c r="C910" s="308"/>
      <c r="D910" s="307"/>
      <c r="E910" s="307"/>
      <c r="F910" s="305"/>
      <c r="G910" s="305"/>
      <c r="H910" s="292"/>
      <c r="I910" s="574"/>
      <c r="J910" s="573"/>
      <c r="K910" s="307"/>
      <c r="L910" s="292"/>
      <c r="M910" s="308"/>
      <c r="N910" s="292"/>
      <c r="O910" s="308"/>
      <c r="P910" s="575"/>
      <c r="Q910" s="576"/>
      <c r="R910" s="308"/>
      <c r="S910" s="575"/>
      <c r="T910" s="576"/>
      <c r="U910" s="308"/>
      <c r="V910" s="575"/>
      <c r="W910" s="576"/>
      <c r="X910" s="308"/>
      <c r="Y910" s="575"/>
      <c r="Z910" s="576"/>
      <c r="AA910" s="308"/>
      <c r="AB910" s="575"/>
      <c r="AC910" s="576"/>
      <c r="AD910" s="308"/>
      <c r="AE910" s="575"/>
      <c r="AF910" s="308"/>
      <c r="AG910" s="575"/>
      <c r="AH910" s="308"/>
      <c r="AI910" s="575"/>
      <c r="AJ910" s="308"/>
      <c r="AK910" s="305"/>
      <c r="AL910" s="577"/>
      <c r="AM910" s="306"/>
      <c r="AN910" s="308"/>
      <c r="AO910" s="573"/>
      <c r="AP910" s="305"/>
      <c r="AQ910" s="308"/>
      <c r="AR910" s="573"/>
      <c r="AS910" s="578"/>
      <c r="AT910" s="577"/>
      <c r="AU910" s="579"/>
      <c r="AV910" s="578"/>
      <c r="AW910" s="308"/>
      <c r="AX910" s="307"/>
      <c r="AY910" s="307"/>
      <c r="AZ910" s="307"/>
      <c r="BA910" s="307"/>
      <c r="BB910" s="307"/>
      <c r="BC910" s="305"/>
      <c r="BD910" s="292"/>
      <c r="BE910" s="297"/>
      <c r="BF910" s="297"/>
      <c r="BG910" s="569"/>
      <c r="BH910" s="570"/>
      <c r="BI910" s="570"/>
      <c r="BJ910" s="570"/>
      <c r="BK910" s="570"/>
      <c r="BL910" s="570"/>
      <c r="BM910" s="570"/>
      <c r="BN910" s="570"/>
      <c r="BO910" s="570"/>
      <c r="BP910" s="570"/>
      <c r="BQ910" s="570"/>
      <c r="BR910" s="570"/>
      <c r="BS910" s="570"/>
      <c r="BT910" s="570"/>
      <c r="BU910" s="570"/>
      <c r="BV910" s="570"/>
      <c r="BW910" s="570"/>
      <c r="BX910" s="570"/>
      <c r="BY910" s="570"/>
      <c r="BZ910" s="571"/>
      <c r="CA910" s="571"/>
    </row>
    <row r="911" spans="2:79">
      <c r="B911" s="572">
        <v>896</v>
      </c>
      <c r="C911" s="308"/>
      <c r="D911" s="307"/>
      <c r="E911" s="307"/>
      <c r="F911" s="305"/>
      <c r="G911" s="305"/>
      <c r="H911" s="292"/>
      <c r="I911" s="574"/>
      <c r="J911" s="573"/>
      <c r="K911" s="307"/>
      <c r="L911" s="292"/>
      <c r="M911" s="308"/>
      <c r="N911" s="292"/>
      <c r="O911" s="308"/>
      <c r="P911" s="575"/>
      <c r="Q911" s="576"/>
      <c r="R911" s="308"/>
      <c r="S911" s="575"/>
      <c r="T911" s="576"/>
      <c r="U911" s="308"/>
      <c r="V911" s="575"/>
      <c r="W911" s="576"/>
      <c r="X911" s="308"/>
      <c r="Y911" s="575"/>
      <c r="Z911" s="576"/>
      <c r="AA911" s="308"/>
      <c r="AB911" s="575"/>
      <c r="AC911" s="576"/>
      <c r="AD911" s="308"/>
      <c r="AE911" s="575"/>
      <c r="AF911" s="308"/>
      <c r="AG911" s="575"/>
      <c r="AH911" s="308"/>
      <c r="AI911" s="575"/>
      <c r="AJ911" s="308"/>
      <c r="AK911" s="305"/>
      <c r="AL911" s="577"/>
      <c r="AM911" s="306"/>
      <c r="AN911" s="308"/>
      <c r="AO911" s="573"/>
      <c r="AP911" s="305"/>
      <c r="AQ911" s="308"/>
      <c r="AR911" s="573"/>
      <c r="AS911" s="578"/>
      <c r="AT911" s="577"/>
      <c r="AU911" s="579"/>
      <c r="AV911" s="578"/>
      <c r="AW911" s="308"/>
      <c r="AX911" s="307"/>
      <c r="AY911" s="307"/>
      <c r="AZ911" s="307"/>
      <c r="BA911" s="307"/>
      <c r="BB911" s="307"/>
      <c r="BC911" s="305"/>
      <c r="BD911" s="292"/>
      <c r="BE911" s="297"/>
      <c r="BF911" s="297"/>
      <c r="BG911" s="569"/>
      <c r="BH911" s="570"/>
      <c r="BI911" s="570"/>
      <c r="BJ911" s="570"/>
      <c r="BK911" s="570"/>
      <c r="BL911" s="570"/>
      <c r="BM911" s="570"/>
      <c r="BN911" s="570"/>
      <c r="BO911" s="570"/>
      <c r="BP911" s="570"/>
      <c r="BQ911" s="570"/>
      <c r="BR911" s="570"/>
      <c r="BS911" s="570"/>
      <c r="BT911" s="570"/>
      <c r="BU911" s="570"/>
      <c r="BV911" s="570"/>
      <c r="BW911" s="570"/>
      <c r="BX911" s="570"/>
      <c r="BY911" s="570"/>
      <c r="BZ911" s="571"/>
      <c r="CA911" s="571"/>
    </row>
    <row r="912" spans="2:79">
      <c r="B912" s="566">
        <v>897</v>
      </c>
      <c r="C912" s="308"/>
      <c r="D912" s="307"/>
      <c r="E912" s="307"/>
      <c r="F912" s="305"/>
      <c r="G912" s="305"/>
      <c r="H912" s="292"/>
      <c r="I912" s="574"/>
      <c r="J912" s="573"/>
      <c r="K912" s="307"/>
      <c r="L912" s="292"/>
      <c r="M912" s="308"/>
      <c r="N912" s="292"/>
      <c r="O912" s="308"/>
      <c r="P912" s="575"/>
      <c r="Q912" s="576"/>
      <c r="R912" s="308"/>
      <c r="S912" s="575"/>
      <c r="T912" s="576"/>
      <c r="U912" s="308"/>
      <c r="V912" s="575"/>
      <c r="W912" s="576"/>
      <c r="X912" s="308"/>
      <c r="Y912" s="575"/>
      <c r="Z912" s="576"/>
      <c r="AA912" s="308"/>
      <c r="AB912" s="575"/>
      <c r="AC912" s="576"/>
      <c r="AD912" s="308"/>
      <c r="AE912" s="575"/>
      <c r="AF912" s="308"/>
      <c r="AG912" s="575"/>
      <c r="AH912" s="308"/>
      <c r="AI912" s="575"/>
      <c r="AJ912" s="308"/>
      <c r="AK912" s="305"/>
      <c r="AL912" s="577"/>
      <c r="AM912" s="306"/>
      <c r="AN912" s="308"/>
      <c r="AO912" s="573"/>
      <c r="AP912" s="305"/>
      <c r="AQ912" s="308"/>
      <c r="AR912" s="573"/>
      <c r="AS912" s="578"/>
      <c r="AT912" s="577"/>
      <c r="AU912" s="579"/>
      <c r="AV912" s="578"/>
      <c r="AW912" s="308"/>
      <c r="AX912" s="307"/>
      <c r="AY912" s="307"/>
      <c r="AZ912" s="307"/>
      <c r="BA912" s="307"/>
      <c r="BB912" s="307"/>
      <c r="BC912" s="305"/>
      <c r="BD912" s="292"/>
      <c r="BE912" s="297"/>
      <c r="BF912" s="297"/>
      <c r="BG912" s="569"/>
      <c r="BH912" s="570"/>
      <c r="BI912" s="570"/>
      <c r="BJ912" s="570"/>
      <c r="BK912" s="570"/>
      <c r="BL912" s="570"/>
      <c r="BM912" s="570"/>
      <c r="BN912" s="570"/>
      <c r="BO912" s="570"/>
      <c r="BP912" s="570"/>
      <c r="BQ912" s="570"/>
      <c r="BR912" s="570"/>
      <c r="BS912" s="570"/>
      <c r="BT912" s="570"/>
      <c r="BU912" s="570"/>
      <c r="BV912" s="570"/>
      <c r="BW912" s="570"/>
      <c r="BX912" s="570"/>
      <c r="BY912" s="570"/>
      <c r="BZ912" s="571"/>
      <c r="CA912" s="571"/>
    </row>
    <row r="913" spans="2:79">
      <c r="B913" s="572">
        <v>898</v>
      </c>
      <c r="C913" s="308"/>
      <c r="D913" s="307"/>
      <c r="E913" s="307"/>
      <c r="F913" s="305"/>
      <c r="G913" s="305"/>
      <c r="H913" s="292"/>
      <c r="I913" s="574"/>
      <c r="J913" s="573"/>
      <c r="K913" s="307"/>
      <c r="L913" s="292"/>
      <c r="M913" s="308"/>
      <c r="N913" s="292"/>
      <c r="O913" s="308"/>
      <c r="P913" s="575"/>
      <c r="Q913" s="576"/>
      <c r="R913" s="308"/>
      <c r="S913" s="575"/>
      <c r="T913" s="576"/>
      <c r="U913" s="308"/>
      <c r="V913" s="575"/>
      <c r="W913" s="576"/>
      <c r="X913" s="308"/>
      <c r="Y913" s="575"/>
      <c r="Z913" s="576"/>
      <c r="AA913" s="308"/>
      <c r="AB913" s="575"/>
      <c r="AC913" s="576"/>
      <c r="AD913" s="308"/>
      <c r="AE913" s="575"/>
      <c r="AF913" s="308"/>
      <c r="AG913" s="575"/>
      <c r="AH913" s="308"/>
      <c r="AI913" s="575"/>
      <c r="AJ913" s="308"/>
      <c r="AK913" s="305"/>
      <c r="AL913" s="577"/>
      <c r="AM913" s="306"/>
      <c r="AN913" s="308"/>
      <c r="AO913" s="573"/>
      <c r="AP913" s="305"/>
      <c r="AQ913" s="308"/>
      <c r="AR913" s="573"/>
      <c r="AS913" s="578"/>
      <c r="AT913" s="577"/>
      <c r="AU913" s="579"/>
      <c r="AV913" s="578"/>
      <c r="AW913" s="308"/>
      <c r="AX913" s="307"/>
      <c r="AY913" s="307"/>
      <c r="AZ913" s="307"/>
      <c r="BA913" s="307"/>
      <c r="BB913" s="307"/>
      <c r="BC913" s="305"/>
      <c r="BD913" s="292"/>
      <c r="BE913" s="297"/>
      <c r="BF913" s="297"/>
      <c r="BG913" s="569"/>
      <c r="BH913" s="570"/>
      <c r="BI913" s="570"/>
      <c r="BJ913" s="570"/>
      <c r="BK913" s="570"/>
      <c r="BL913" s="570"/>
      <c r="BM913" s="570"/>
      <c r="BN913" s="570"/>
      <c r="BO913" s="570"/>
      <c r="BP913" s="570"/>
      <c r="BQ913" s="570"/>
      <c r="BR913" s="570"/>
      <c r="BS913" s="570"/>
      <c r="BT913" s="570"/>
      <c r="BU913" s="570"/>
      <c r="BV913" s="570"/>
      <c r="BW913" s="570"/>
      <c r="BX913" s="570"/>
      <c r="BY913" s="570"/>
      <c r="BZ913" s="571"/>
      <c r="CA913" s="571"/>
    </row>
    <row r="914" spans="2:79">
      <c r="B914" s="566">
        <v>899</v>
      </c>
      <c r="C914" s="308"/>
      <c r="D914" s="307"/>
      <c r="E914" s="307"/>
      <c r="F914" s="305"/>
      <c r="G914" s="305"/>
      <c r="H914" s="292"/>
      <c r="I914" s="574"/>
      <c r="J914" s="573"/>
      <c r="K914" s="307"/>
      <c r="L914" s="292"/>
      <c r="M914" s="308"/>
      <c r="N914" s="292"/>
      <c r="O914" s="308"/>
      <c r="P914" s="575"/>
      <c r="Q914" s="576"/>
      <c r="R914" s="308"/>
      <c r="S914" s="575"/>
      <c r="T914" s="576"/>
      <c r="U914" s="308"/>
      <c r="V914" s="575"/>
      <c r="W914" s="576"/>
      <c r="X914" s="308"/>
      <c r="Y914" s="575"/>
      <c r="Z914" s="576"/>
      <c r="AA914" s="308"/>
      <c r="AB914" s="575"/>
      <c r="AC914" s="576"/>
      <c r="AD914" s="308"/>
      <c r="AE914" s="575"/>
      <c r="AF914" s="308"/>
      <c r="AG914" s="575"/>
      <c r="AH914" s="308"/>
      <c r="AI914" s="575"/>
      <c r="AJ914" s="308"/>
      <c r="AK914" s="305"/>
      <c r="AL914" s="577"/>
      <c r="AM914" s="306"/>
      <c r="AN914" s="308"/>
      <c r="AO914" s="573"/>
      <c r="AP914" s="305"/>
      <c r="AQ914" s="308"/>
      <c r="AR914" s="573"/>
      <c r="AS914" s="578"/>
      <c r="AT914" s="577"/>
      <c r="AU914" s="579"/>
      <c r="AV914" s="578"/>
      <c r="AW914" s="308"/>
      <c r="AX914" s="307"/>
      <c r="AY914" s="307"/>
      <c r="AZ914" s="307"/>
      <c r="BA914" s="307"/>
      <c r="BB914" s="307"/>
      <c r="BC914" s="305"/>
      <c r="BD914" s="292"/>
      <c r="BE914" s="297"/>
      <c r="BF914" s="297"/>
      <c r="BG914" s="569"/>
      <c r="BH914" s="570"/>
      <c r="BI914" s="570"/>
      <c r="BJ914" s="570"/>
      <c r="BK914" s="570"/>
      <c r="BL914" s="570"/>
      <c r="BM914" s="570"/>
      <c r="BN914" s="570"/>
      <c r="BO914" s="570"/>
      <c r="BP914" s="570"/>
      <c r="BQ914" s="570"/>
      <c r="BR914" s="570"/>
      <c r="BS914" s="570"/>
      <c r="BT914" s="570"/>
      <c r="BU914" s="570"/>
      <c r="BV914" s="570"/>
      <c r="BW914" s="570"/>
      <c r="BX914" s="570"/>
      <c r="BY914" s="570"/>
      <c r="BZ914" s="571"/>
      <c r="CA914" s="571"/>
    </row>
    <row r="915" spans="2:79">
      <c r="B915" s="572">
        <v>900</v>
      </c>
      <c r="C915" s="308"/>
      <c r="D915" s="307"/>
      <c r="E915" s="307"/>
      <c r="F915" s="305"/>
      <c r="G915" s="305"/>
      <c r="H915" s="292"/>
      <c r="I915" s="574"/>
      <c r="J915" s="573"/>
      <c r="K915" s="307"/>
      <c r="L915" s="292"/>
      <c r="M915" s="308"/>
      <c r="N915" s="292"/>
      <c r="O915" s="308"/>
      <c r="P915" s="575"/>
      <c r="Q915" s="576"/>
      <c r="R915" s="308"/>
      <c r="S915" s="575"/>
      <c r="T915" s="576"/>
      <c r="U915" s="308"/>
      <c r="V915" s="575"/>
      <c r="W915" s="576"/>
      <c r="X915" s="308"/>
      <c r="Y915" s="575"/>
      <c r="Z915" s="576"/>
      <c r="AA915" s="308"/>
      <c r="AB915" s="575"/>
      <c r="AC915" s="576"/>
      <c r="AD915" s="308"/>
      <c r="AE915" s="575"/>
      <c r="AF915" s="308"/>
      <c r="AG915" s="575"/>
      <c r="AH915" s="308"/>
      <c r="AI915" s="575"/>
      <c r="AJ915" s="308"/>
      <c r="AK915" s="305"/>
      <c r="AL915" s="577"/>
      <c r="AM915" s="306"/>
      <c r="AN915" s="308"/>
      <c r="AO915" s="573"/>
      <c r="AP915" s="305"/>
      <c r="AQ915" s="308"/>
      <c r="AR915" s="573"/>
      <c r="AS915" s="578"/>
      <c r="AT915" s="577"/>
      <c r="AU915" s="579"/>
      <c r="AV915" s="578"/>
      <c r="AW915" s="308"/>
      <c r="AX915" s="307"/>
      <c r="AY915" s="307"/>
      <c r="AZ915" s="307"/>
      <c r="BA915" s="307"/>
      <c r="BB915" s="307"/>
      <c r="BC915" s="305"/>
      <c r="BD915" s="292"/>
      <c r="BE915" s="297"/>
      <c r="BF915" s="297"/>
      <c r="BG915" s="569"/>
      <c r="BH915" s="570"/>
      <c r="BI915" s="570"/>
      <c r="BJ915" s="570"/>
      <c r="BK915" s="570"/>
      <c r="BL915" s="570"/>
      <c r="BM915" s="570"/>
      <c r="BN915" s="570"/>
      <c r="BO915" s="570"/>
      <c r="BP915" s="570"/>
      <c r="BQ915" s="570"/>
      <c r="BR915" s="570"/>
      <c r="BS915" s="570"/>
      <c r="BT915" s="570"/>
      <c r="BU915" s="570"/>
      <c r="BV915" s="570"/>
      <c r="BW915" s="570"/>
      <c r="BX915" s="570"/>
      <c r="BY915" s="570"/>
      <c r="BZ915" s="571"/>
      <c r="CA915" s="571"/>
    </row>
    <row r="916" spans="2:79">
      <c r="B916" s="566">
        <v>901</v>
      </c>
      <c r="C916" s="308"/>
      <c r="D916" s="307"/>
      <c r="E916" s="307"/>
      <c r="F916" s="305"/>
      <c r="G916" s="305"/>
      <c r="H916" s="292"/>
      <c r="I916" s="574"/>
      <c r="J916" s="573"/>
      <c r="K916" s="307"/>
      <c r="L916" s="292"/>
      <c r="M916" s="308"/>
      <c r="N916" s="292"/>
      <c r="O916" s="308"/>
      <c r="P916" s="575"/>
      <c r="Q916" s="576"/>
      <c r="R916" s="308"/>
      <c r="S916" s="575"/>
      <c r="T916" s="576"/>
      <c r="U916" s="308"/>
      <c r="V916" s="575"/>
      <c r="W916" s="576"/>
      <c r="X916" s="308"/>
      <c r="Y916" s="575"/>
      <c r="Z916" s="576"/>
      <c r="AA916" s="308"/>
      <c r="AB916" s="575"/>
      <c r="AC916" s="576"/>
      <c r="AD916" s="308"/>
      <c r="AE916" s="575"/>
      <c r="AF916" s="308"/>
      <c r="AG916" s="575"/>
      <c r="AH916" s="308"/>
      <c r="AI916" s="575"/>
      <c r="AJ916" s="308"/>
      <c r="AK916" s="305"/>
      <c r="AL916" s="577"/>
      <c r="AM916" s="306"/>
      <c r="AN916" s="308"/>
      <c r="AO916" s="573"/>
      <c r="AP916" s="305"/>
      <c r="AQ916" s="308"/>
      <c r="AR916" s="573"/>
      <c r="AS916" s="578"/>
      <c r="AT916" s="577"/>
      <c r="AU916" s="579"/>
      <c r="AV916" s="578"/>
      <c r="AW916" s="308"/>
      <c r="AX916" s="307"/>
      <c r="AY916" s="307"/>
      <c r="AZ916" s="307"/>
      <c r="BA916" s="307"/>
      <c r="BB916" s="307"/>
      <c r="BC916" s="305"/>
      <c r="BD916" s="292"/>
      <c r="BE916" s="297"/>
      <c r="BF916" s="297"/>
      <c r="BG916" s="569"/>
      <c r="BH916" s="570"/>
      <c r="BI916" s="570"/>
      <c r="BJ916" s="570"/>
      <c r="BK916" s="570"/>
      <c r="BL916" s="570"/>
      <c r="BM916" s="570"/>
      <c r="BN916" s="570"/>
      <c r="BO916" s="570"/>
      <c r="BP916" s="570"/>
      <c r="BQ916" s="570"/>
      <c r="BR916" s="570"/>
      <c r="BS916" s="570"/>
      <c r="BT916" s="570"/>
      <c r="BU916" s="570"/>
      <c r="BV916" s="570"/>
      <c r="BW916" s="570"/>
      <c r="BX916" s="570"/>
      <c r="BY916" s="570"/>
      <c r="BZ916" s="571"/>
      <c r="CA916" s="571"/>
    </row>
    <row r="917" spans="2:79">
      <c r="B917" s="572">
        <v>902</v>
      </c>
      <c r="C917" s="308"/>
      <c r="D917" s="307"/>
      <c r="E917" s="307"/>
      <c r="F917" s="305"/>
      <c r="G917" s="305"/>
      <c r="H917" s="292"/>
      <c r="I917" s="574"/>
      <c r="J917" s="573"/>
      <c r="K917" s="307"/>
      <c r="L917" s="292"/>
      <c r="M917" s="308"/>
      <c r="N917" s="292"/>
      <c r="O917" s="308"/>
      <c r="P917" s="575"/>
      <c r="Q917" s="576"/>
      <c r="R917" s="308"/>
      <c r="S917" s="575"/>
      <c r="T917" s="576"/>
      <c r="U917" s="308"/>
      <c r="V917" s="575"/>
      <c r="W917" s="576"/>
      <c r="X917" s="308"/>
      <c r="Y917" s="575"/>
      <c r="Z917" s="576"/>
      <c r="AA917" s="308"/>
      <c r="AB917" s="575"/>
      <c r="AC917" s="576"/>
      <c r="AD917" s="308"/>
      <c r="AE917" s="575"/>
      <c r="AF917" s="308"/>
      <c r="AG917" s="575"/>
      <c r="AH917" s="308"/>
      <c r="AI917" s="575"/>
      <c r="AJ917" s="308"/>
      <c r="AK917" s="305"/>
      <c r="AL917" s="577"/>
      <c r="AM917" s="306"/>
      <c r="AN917" s="308"/>
      <c r="AO917" s="573"/>
      <c r="AP917" s="305"/>
      <c r="AQ917" s="308"/>
      <c r="AR917" s="573"/>
      <c r="AS917" s="578"/>
      <c r="AT917" s="577"/>
      <c r="AU917" s="579"/>
      <c r="AV917" s="578"/>
      <c r="AW917" s="308"/>
      <c r="AX917" s="307"/>
      <c r="AY917" s="307"/>
      <c r="AZ917" s="307"/>
      <c r="BA917" s="307"/>
      <c r="BB917" s="307"/>
      <c r="BC917" s="305"/>
      <c r="BD917" s="292"/>
      <c r="BE917" s="297"/>
      <c r="BF917" s="297"/>
      <c r="BG917" s="569"/>
      <c r="BH917" s="570"/>
      <c r="BI917" s="570"/>
      <c r="BJ917" s="570"/>
      <c r="BK917" s="570"/>
      <c r="BL917" s="570"/>
      <c r="BM917" s="570"/>
      <c r="BN917" s="570"/>
      <c r="BO917" s="570"/>
      <c r="BP917" s="570"/>
      <c r="BQ917" s="570"/>
      <c r="BR917" s="570"/>
      <c r="BS917" s="570"/>
      <c r="BT917" s="570"/>
      <c r="BU917" s="570"/>
      <c r="BV917" s="570"/>
      <c r="BW917" s="570"/>
      <c r="BX917" s="570"/>
      <c r="BY917" s="570"/>
      <c r="BZ917" s="571"/>
      <c r="CA917" s="571"/>
    </row>
    <row r="918" spans="2:79">
      <c r="B918" s="566">
        <v>903</v>
      </c>
      <c r="C918" s="308"/>
      <c r="D918" s="307"/>
      <c r="E918" s="307"/>
      <c r="F918" s="305"/>
      <c r="G918" s="305"/>
      <c r="H918" s="292"/>
      <c r="I918" s="574"/>
      <c r="J918" s="573"/>
      <c r="K918" s="307"/>
      <c r="L918" s="292"/>
      <c r="M918" s="308"/>
      <c r="N918" s="292"/>
      <c r="O918" s="308"/>
      <c r="P918" s="575"/>
      <c r="Q918" s="576"/>
      <c r="R918" s="308"/>
      <c r="S918" s="575"/>
      <c r="T918" s="576"/>
      <c r="U918" s="308"/>
      <c r="V918" s="575"/>
      <c r="W918" s="576"/>
      <c r="X918" s="308"/>
      <c r="Y918" s="575"/>
      <c r="Z918" s="576"/>
      <c r="AA918" s="308"/>
      <c r="AB918" s="575"/>
      <c r="AC918" s="576"/>
      <c r="AD918" s="308"/>
      <c r="AE918" s="575"/>
      <c r="AF918" s="308"/>
      <c r="AG918" s="575"/>
      <c r="AH918" s="308"/>
      <c r="AI918" s="575"/>
      <c r="AJ918" s="308"/>
      <c r="AK918" s="305"/>
      <c r="AL918" s="577"/>
      <c r="AM918" s="306"/>
      <c r="AN918" s="308"/>
      <c r="AO918" s="573"/>
      <c r="AP918" s="305"/>
      <c r="AQ918" s="308"/>
      <c r="AR918" s="573"/>
      <c r="AS918" s="578"/>
      <c r="AT918" s="577"/>
      <c r="AU918" s="579"/>
      <c r="AV918" s="578"/>
      <c r="AW918" s="308"/>
      <c r="AX918" s="307"/>
      <c r="AY918" s="307"/>
      <c r="AZ918" s="307"/>
      <c r="BA918" s="307"/>
      <c r="BB918" s="307"/>
      <c r="BC918" s="305"/>
      <c r="BD918" s="292"/>
      <c r="BE918" s="297"/>
      <c r="BF918" s="297"/>
      <c r="BG918" s="569"/>
      <c r="BH918" s="570"/>
      <c r="BI918" s="570"/>
      <c r="BJ918" s="570"/>
      <c r="BK918" s="570"/>
      <c r="BL918" s="570"/>
      <c r="BM918" s="570"/>
      <c r="BN918" s="570"/>
      <c r="BO918" s="570"/>
      <c r="BP918" s="570"/>
      <c r="BQ918" s="570"/>
      <c r="BR918" s="570"/>
      <c r="BS918" s="570"/>
      <c r="BT918" s="570"/>
      <c r="BU918" s="570"/>
      <c r="BV918" s="570"/>
      <c r="BW918" s="570"/>
      <c r="BX918" s="570"/>
      <c r="BY918" s="570"/>
      <c r="BZ918" s="571"/>
      <c r="CA918" s="571"/>
    </row>
    <row r="919" spans="2:79">
      <c r="B919" s="572">
        <v>904</v>
      </c>
      <c r="C919" s="308"/>
      <c r="D919" s="307"/>
      <c r="E919" s="307"/>
      <c r="F919" s="305"/>
      <c r="G919" s="305"/>
      <c r="H919" s="292"/>
      <c r="I919" s="574"/>
      <c r="J919" s="573"/>
      <c r="K919" s="307"/>
      <c r="L919" s="292"/>
      <c r="M919" s="308"/>
      <c r="N919" s="292"/>
      <c r="O919" s="308"/>
      <c r="P919" s="575"/>
      <c r="Q919" s="576"/>
      <c r="R919" s="308"/>
      <c r="S919" s="575"/>
      <c r="T919" s="576"/>
      <c r="U919" s="308"/>
      <c r="V919" s="575"/>
      <c r="W919" s="576"/>
      <c r="X919" s="308"/>
      <c r="Y919" s="575"/>
      <c r="Z919" s="576"/>
      <c r="AA919" s="308"/>
      <c r="AB919" s="575"/>
      <c r="AC919" s="576"/>
      <c r="AD919" s="308"/>
      <c r="AE919" s="575"/>
      <c r="AF919" s="308"/>
      <c r="AG919" s="575"/>
      <c r="AH919" s="308"/>
      <c r="AI919" s="575"/>
      <c r="AJ919" s="308"/>
      <c r="AK919" s="305"/>
      <c r="AL919" s="577"/>
      <c r="AM919" s="306"/>
      <c r="AN919" s="308"/>
      <c r="AO919" s="573"/>
      <c r="AP919" s="305"/>
      <c r="AQ919" s="308"/>
      <c r="AR919" s="573"/>
      <c r="AS919" s="578"/>
      <c r="AT919" s="577"/>
      <c r="AU919" s="579"/>
      <c r="AV919" s="578"/>
      <c r="AW919" s="308"/>
      <c r="AX919" s="307"/>
      <c r="AY919" s="307"/>
      <c r="AZ919" s="307"/>
      <c r="BA919" s="307"/>
      <c r="BB919" s="307"/>
      <c r="BC919" s="305"/>
      <c r="BD919" s="292"/>
      <c r="BE919" s="297"/>
      <c r="BF919" s="297"/>
      <c r="BG919" s="569"/>
      <c r="BH919" s="570"/>
      <c r="BI919" s="570"/>
      <c r="BJ919" s="570"/>
      <c r="BK919" s="570"/>
      <c r="BL919" s="570"/>
      <c r="BM919" s="570"/>
      <c r="BN919" s="570"/>
      <c r="BO919" s="570"/>
      <c r="BP919" s="570"/>
      <c r="BQ919" s="570"/>
      <c r="BR919" s="570"/>
      <c r="BS919" s="570"/>
      <c r="BT919" s="570"/>
      <c r="BU919" s="570"/>
      <c r="BV919" s="570"/>
      <c r="BW919" s="570"/>
      <c r="BX919" s="570"/>
      <c r="BY919" s="570"/>
      <c r="BZ919" s="571"/>
      <c r="CA919" s="571"/>
    </row>
    <row r="920" spans="2:79">
      <c r="B920" s="566">
        <v>905</v>
      </c>
      <c r="C920" s="308"/>
      <c r="D920" s="307"/>
      <c r="E920" s="307"/>
      <c r="F920" s="305"/>
      <c r="G920" s="305"/>
      <c r="H920" s="292"/>
      <c r="I920" s="574"/>
      <c r="J920" s="573"/>
      <c r="K920" s="307"/>
      <c r="L920" s="292"/>
      <c r="M920" s="308"/>
      <c r="N920" s="292"/>
      <c r="O920" s="308"/>
      <c r="P920" s="575"/>
      <c r="Q920" s="576"/>
      <c r="R920" s="308"/>
      <c r="S920" s="575"/>
      <c r="T920" s="576"/>
      <c r="U920" s="308"/>
      <c r="V920" s="575"/>
      <c r="W920" s="576"/>
      <c r="X920" s="308"/>
      <c r="Y920" s="575"/>
      <c r="Z920" s="576"/>
      <c r="AA920" s="308"/>
      <c r="AB920" s="575"/>
      <c r="AC920" s="576"/>
      <c r="AD920" s="308"/>
      <c r="AE920" s="575"/>
      <c r="AF920" s="308"/>
      <c r="AG920" s="575"/>
      <c r="AH920" s="308"/>
      <c r="AI920" s="575"/>
      <c r="AJ920" s="308"/>
      <c r="AK920" s="305"/>
      <c r="AL920" s="577"/>
      <c r="AM920" s="306"/>
      <c r="AN920" s="308"/>
      <c r="AO920" s="573"/>
      <c r="AP920" s="305"/>
      <c r="AQ920" s="308"/>
      <c r="AR920" s="573"/>
      <c r="AS920" s="578"/>
      <c r="AT920" s="577"/>
      <c r="AU920" s="579"/>
      <c r="AV920" s="578"/>
      <c r="AW920" s="308"/>
      <c r="AX920" s="307"/>
      <c r="AY920" s="307"/>
      <c r="AZ920" s="307"/>
      <c r="BA920" s="307"/>
      <c r="BB920" s="307"/>
      <c r="BC920" s="305"/>
      <c r="BD920" s="292"/>
      <c r="BE920" s="297"/>
      <c r="BF920" s="297"/>
      <c r="BG920" s="569"/>
      <c r="BH920" s="570"/>
      <c r="BI920" s="570"/>
      <c r="BJ920" s="570"/>
      <c r="BK920" s="570"/>
      <c r="BL920" s="570"/>
      <c r="BM920" s="570"/>
      <c r="BN920" s="570"/>
      <c r="BO920" s="570"/>
      <c r="BP920" s="570"/>
      <c r="BQ920" s="570"/>
      <c r="BR920" s="570"/>
      <c r="BS920" s="570"/>
      <c r="BT920" s="570"/>
      <c r="BU920" s="570"/>
      <c r="BV920" s="570"/>
      <c r="BW920" s="570"/>
      <c r="BX920" s="570"/>
      <c r="BY920" s="570"/>
      <c r="BZ920" s="571"/>
      <c r="CA920" s="571"/>
    </row>
    <row r="921" spans="2:79">
      <c r="B921" s="572">
        <v>906</v>
      </c>
      <c r="C921" s="308"/>
      <c r="D921" s="307"/>
      <c r="E921" s="307"/>
      <c r="F921" s="305"/>
      <c r="G921" s="305"/>
      <c r="H921" s="292"/>
      <c r="I921" s="574"/>
      <c r="J921" s="573"/>
      <c r="K921" s="307"/>
      <c r="L921" s="292"/>
      <c r="M921" s="308"/>
      <c r="N921" s="292"/>
      <c r="O921" s="308"/>
      <c r="P921" s="575"/>
      <c r="Q921" s="576"/>
      <c r="R921" s="308"/>
      <c r="S921" s="575"/>
      <c r="T921" s="576"/>
      <c r="U921" s="308"/>
      <c r="V921" s="575"/>
      <c r="W921" s="576"/>
      <c r="X921" s="308"/>
      <c r="Y921" s="575"/>
      <c r="Z921" s="576"/>
      <c r="AA921" s="308"/>
      <c r="AB921" s="575"/>
      <c r="AC921" s="576"/>
      <c r="AD921" s="308"/>
      <c r="AE921" s="575"/>
      <c r="AF921" s="308"/>
      <c r="AG921" s="575"/>
      <c r="AH921" s="308"/>
      <c r="AI921" s="575"/>
      <c r="AJ921" s="308"/>
      <c r="AK921" s="305"/>
      <c r="AL921" s="577"/>
      <c r="AM921" s="306"/>
      <c r="AN921" s="308"/>
      <c r="AO921" s="573"/>
      <c r="AP921" s="305"/>
      <c r="AQ921" s="308"/>
      <c r="AR921" s="573"/>
      <c r="AS921" s="578"/>
      <c r="AT921" s="577"/>
      <c r="AU921" s="579"/>
      <c r="AV921" s="578"/>
      <c r="AW921" s="308"/>
      <c r="AX921" s="307"/>
      <c r="AY921" s="307"/>
      <c r="AZ921" s="307"/>
      <c r="BA921" s="307"/>
      <c r="BB921" s="307"/>
      <c r="BC921" s="305"/>
      <c r="BD921" s="292"/>
      <c r="BE921" s="297"/>
      <c r="BF921" s="297"/>
      <c r="BG921" s="569"/>
      <c r="BH921" s="570"/>
      <c r="BI921" s="570"/>
      <c r="BJ921" s="570"/>
      <c r="BK921" s="570"/>
      <c r="BL921" s="570"/>
      <c r="BM921" s="570"/>
      <c r="BN921" s="570"/>
      <c r="BO921" s="570"/>
      <c r="BP921" s="570"/>
      <c r="BQ921" s="570"/>
      <c r="BR921" s="570"/>
      <c r="BS921" s="570"/>
      <c r="BT921" s="570"/>
      <c r="BU921" s="570"/>
      <c r="BV921" s="570"/>
      <c r="BW921" s="570"/>
      <c r="BX921" s="570"/>
      <c r="BY921" s="570"/>
      <c r="BZ921" s="571"/>
      <c r="CA921" s="571"/>
    </row>
    <row r="922" spans="2:79">
      <c r="B922" s="566">
        <v>907</v>
      </c>
      <c r="C922" s="308"/>
      <c r="D922" s="307"/>
      <c r="E922" s="307"/>
      <c r="F922" s="305"/>
      <c r="G922" s="305"/>
      <c r="H922" s="292"/>
      <c r="I922" s="574"/>
      <c r="J922" s="573"/>
      <c r="K922" s="307"/>
      <c r="L922" s="292"/>
      <c r="M922" s="308"/>
      <c r="N922" s="292"/>
      <c r="O922" s="308"/>
      <c r="P922" s="575"/>
      <c r="Q922" s="576"/>
      <c r="R922" s="308"/>
      <c r="S922" s="575"/>
      <c r="T922" s="576"/>
      <c r="U922" s="308"/>
      <c r="V922" s="575"/>
      <c r="W922" s="576"/>
      <c r="X922" s="308"/>
      <c r="Y922" s="575"/>
      <c r="Z922" s="576"/>
      <c r="AA922" s="308"/>
      <c r="AB922" s="575"/>
      <c r="AC922" s="576"/>
      <c r="AD922" s="308"/>
      <c r="AE922" s="575"/>
      <c r="AF922" s="308"/>
      <c r="AG922" s="575"/>
      <c r="AH922" s="308"/>
      <c r="AI922" s="575"/>
      <c r="AJ922" s="308"/>
      <c r="AK922" s="305"/>
      <c r="AL922" s="577"/>
      <c r="AM922" s="306"/>
      <c r="AN922" s="308"/>
      <c r="AO922" s="573"/>
      <c r="AP922" s="305"/>
      <c r="AQ922" s="308"/>
      <c r="AR922" s="573"/>
      <c r="AS922" s="578"/>
      <c r="AT922" s="577"/>
      <c r="AU922" s="579"/>
      <c r="AV922" s="578"/>
      <c r="AW922" s="308"/>
      <c r="AX922" s="307"/>
      <c r="AY922" s="307"/>
      <c r="AZ922" s="307"/>
      <c r="BA922" s="307"/>
      <c r="BB922" s="307"/>
      <c r="BC922" s="305"/>
      <c r="BD922" s="292"/>
      <c r="BE922" s="297"/>
      <c r="BF922" s="297"/>
      <c r="BG922" s="569"/>
      <c r="BH922" s="570"/>
      <c r="BI922" s="570"/>
      <c r="BJ922" s="570"/>
      <c r="BK922" s="570"/>
      <c r="BL922" s="570"/>
      <c r="BM922" s="570"/>
      <c r="BN922" s="570"/>
      <c r="BO922" s="570"/>
      <c r="BP922" s="570"/>
      <c r="BQ922" s="570"/>
      <c r="BR922" s="570"/>
      <c r="BS922" s="570"/>
      <c r="BT922" s="570"/>
      <c r="BU922" s="570"/>
      <c r="BV922" s="570"/>
      <c r="BW922" s="570"/>
      <c r="BX922" s="570"/>
      <c r="BY922" s="570"/>
      <c r="BZ922" s="571"/>
      <c r="CA922" s="571"/>
    </row>
    <row r="923" spans="2:79">
      <c r="B923" s="572">
        <v>908</v>
      </c>
      <c r="C923" s="308"/>
      <c r="D923" s="307"/>
      <c r="E923" s="307"/>
      <c r="F923" s="305"/>
      <c r="G923" s="305"/>
      <c r="H923" s="292"/>
      <c r="I923" s="574"/>
      <c r="J923" s="573"/>
      <c r="K923" s="307"/>
      <c r="L923" s="292"/>
      <c r="M923" s="308"/>
      <c r="N923" s="292"/>
      <c r="O923" s="308"/>
      <c r="P923" s="575"/>
      <c r="Q923" s="576"/>
      <c r="R923" s="308"/>
      <c r="S923" s="575"/>
      <c r="T923" s="576"/>
      <c r="U923" s="308"/>
      <c r="V923" s="575"/>
      <c r="W923" s="576"/>
      <c r="X923" s="308"/>
      <c r="Y923" s="575"/>
      <c r="Z923" s="576"/>
      <c r="AA923" s="308"/>
      <c r="AB923" s="575"/>
      <c r="AC923" s="576"/>
      <c r="AD923" s="308"/>
      <c r="AE923" s="575"/>
      <c r="AF923" s="308"/>
      <c r="AG923" s="575"/>
      <c r="AH923" s="308"/>
      <c r="AI923" s="575"/>
      <c r="AJ923" s="308"/>
      <c r="AK923" s="305"/>
      <c r="AL923" s="577"/>
      <c r="AM923" s="306"/>
      <c r="AN923" s="308"/>
      <c r="AO923" s="573"/>
      <c r="AP923" s="305"/>
      <c r="AQ923" s="308"/>
      <c r="AR923" s="573"/>
      <c r="AS923" s="578"/>
      <c r="AT923" s="577"/>
      <c r="AU923" s="579"/>
      <c r="AV923" s="578"/>
      <c r="AW923" s="308"/>
      <c r="AX923" s="307"/>
      <c r="AY923" s="307"/>
      <c r="AZ923" s="307"/>
      <c r="BA923" s="307"/>
      <c r="BB923" s="307"/>
      <c r="BC923" s="305"/>
      <c r="BD923" s="292"/>
      <c r="BE923" s="297"/>
      <c r="BF923" s="297"/>
      <c r="BG923" s="569"/>
      <c r="BH923" s="570"/>
      <c r="BI923" s="570"/>
      <c r="BJ923" s="570"/>
      <c r="BK923" s="570"/>
      <c r="BL923" s="570"/>
      <c r="BM923" s="570"/>
      <c r="BN923" s="570"/>
      <c r="BO923" s="570"/>
      <c r="BP923" s="570"/>
      <c r="BQ923" s="570"/>
      <c r="BR923" s="570"/>
      <c r="BS923" s="570"/>
      <c r="BT923" s="570"/>
      <c r="BU923" s="570"/>
      <c r="BV923" s="570"/>
      <c r="BW923" s="570"/>
      <c r="BX923" s="570"/>
      <c r="BY923" s="570"/>
      <c r="BZ923" s="571"/>
      <c r="CA923" s="571"/>
    </row>
    <row r="924" spans="2:79">
      <c r="B924" s="566">
        <v>909</v>
      </c>
      <c r="C924" s="308"/>
      <c r="D924" s="307"/>
      <c r="E924" s="307"/>
      <c r="F924" s="305"/>
      <c r="G924" s="305"/>
      <c r="H924" s="292"/>
      <c r="I924" s="574"/>
      <c r="J924" s="573"/>
      <c r="K924" s="307"/>
      <c r="L924" s="292"/>
      <c r="M924" s="308"/>
      <c r="N924" s="292"/>
      <c r="O924" s="308"/>
      <c r="P924" s="575"/>
      <c r="Q924" s="576"/>
      <c r="R924" s="308"/>
      <c r="S924" s="575"/>
      <c r="T924" s="576"/>
      <c r="U924" s="308"/>
      <c r="V924" s="575"/>
      <c r="W924" s="576"/>
      <c r="X924" s="308"/>
      <c r="Y924" s="575"/>
      <c r="Z924" s="576"/>
      <c r="AA924" s="308"/>
      <c r="AB924" s="575"/>
      <c r="AC924" s="576"/>
      <c r="AD924" s="308"/>
      <c r="AE924" s="575"/>
      <c r="AF924" s="308"/>
      <c r="AG924" s="575"/>
      <c r="AH924" s="308"/>
      <c r="AI924" s="575"/>
      <c r="AJ924" s="308"/>
      <c r="AK924" s="305"/>
      <c r="AL924" s="577"/>
      <c r="AM924" s="306"/>
      <c r="AN924" s="308"/>
      <c r="AO924" s="573"/>
      <c r="AP924" s="305"/>
      <c r="AQ924" s="308"/>
      <c r="AR924" s="573"/>
      <c r="AS924" s="578"/>
      <c r="AT924" s="577"/>
      <c r="AU924" s="579"/>
      <c r="AV924" s="578"/>
      <c r="AW924" s="308"/>
      <c r="AX924" s="307"/>
      <c r="AY924" s="307"/>
      <c r="AZ924" s="307"/>
      <c r="BA924" s="307"/>
      <c r="BB924" s="307"/>
      <c r="BC924" s="305"/>
      <c r="BD924" s="292"/>
      <c r="BE924" s="297"/>
      <c r="BF924" s="297"/>
      <c r="BG924" s="569"/>
      <c r="BH924" s="570"/>
      <c r="BI924" s="570"/>
      <c r="BJ924" s="570"/>
      <c r="BK924" s="570"/>
      <c r="BL924" s="570"/>
      <c r="BM924" s="570"/>
      <c r="BN924" s="570"/>
      <c r="BO924" s="570"/>
      <c r="BP924" s="570"/>
      <c r="BQ924" s="570"/>
      <c r="BR924" s="570"/>
      <c r="BS924" s="570"/>
      <c r="BT924" s="570"/>
      <c r="BU924" s="570"/>
      <c r="BV924" s="570"/>
      <c r="BW924" s="570"/>
      <c r="BX924" s="570"/>
      <c r="BY924" s="570"/>
      <c r="BZ924" s="571"/>
      <c r="CA924" s="571"/>
    </row>
    <row r="925" spans="2:79">
      <c r="B925" s="572">
        <v>910</v>
      </c>
      <c r="C925" s="308"/>
      <c r="D925" s="307"/>
      <c r="E925" s="307"/>
      <c r="F925" s="305"/>
      <c r="G925" s="305"/>
      <c r="H925" s="292"/>
      <c r="I925" s="574"/>
      <c r="J925" s="573"/>
      <c r="K925" s="307"/>
      <c r="L925" s="292"/>
      <c r="M925" s="308"/>
      <c r="N925" s="292"/>
      <c r="O925" s="308"/>
      <c r="P925" s="575"/>
      <c r="Q925" s="576"/>
      <c r="R925" s="308"/>
      <c r="S925" s="575"/>
      <c r="T925" s="576"/>
      <c r="U925" s="308"/>
      <c r="V925" s="575"/>
      <c r="W925" s="576"/>
      <c r="X925" s="308"/>
      <c r="Y925" s="575"/>
      <c r="Z925" s="576"/>
      <c r="AA925" s="308"/>
      <c r="AB925" s="575"/>
      <c r="AC925" s="576"/>
      <c r="AD925" s="308"/>
      <c r="AE925" s="575"/>
      <c r="AF925" s="308"/>
      <c r="AG925" s="575"/>
      <c r="AH925" s="308"/>
      <c r="AI925" s="575"/>
      <c r="AJ925" s="308"/>
      <c r="AK925" s="305"/>
      <c r="AL925" s="577"/>
      <c r="AM925" s="306"/>
      <c r="AN925" s="308"/>
      <c r="AO925" s="573"/>
      <c r="AP925" s="305"/>
      <c r="AQ925" s="308"/>
      <c r="AR925" s="573"/>
      <c r="AS925" s="578"/>
      <c r="AT925" s="577"/>
      <c r="AU925" s="579"/>
      <c r="AV925" s="578"/>
      <c r="AW925" s="308"/>
      <c r="AX925" s="307"/>
      <c r="AY925" s="307"/>
      <c r="AZ925" s="307"/>
      <c r="BA925" s="307"/>
      <c r="BB925" s="307"/>
      <c r="BC925" s="305"/>
      <c r="BD925" s="292"/>
      <c r="BE925" s="297"/>
      <c r="BF925" s="297"/>
      <c r="BG925" s="569"/>
      <c r="BH925" s="570"/>
      <c r="BI925" s="570"/>
      <c r="BJ925" s="570"/>
      <c r="BK925" s="570"/>
      <c r="BL925" s="570"/>
      <c r="BM925" s="570"/>
      <c r="BN925" s="570"/>
      <c r="BO925" s="570"/>
      <c r="BP925" s="570"/>
      <c r="BQ925" s="570"/>
      <c r="BR925" s="570"/>
      <c r="BS925" s="570"/>
      <c r="BT925" s="570"/>
      <c r="BU925" s="570"/>
      <c r="BV925" s="570"/>
      <c r="BW925" s="570"/>
      <c r="BX925" s="570"/>
      <c r="BY925" s="570"/>
      <c r="BZ925" s="571"/>
      <c r="CA925" s="571"/>
    </row>
    <row r="926" spans="2:79">
      <c r="B926" s="566">
        <v>911</v>
      </c>
      <c r="C926" s="308"/>
      <c r="D926" s="307"/>
      <c r="E926" s="307"/>
      <c r="F926" s="305"/>
      <c r="G926" s="305"/>
      <c r="H926" s="292"/>
      <c r="I926" s="574"/>
      <c r="J926" s="573"/>
      <c r="K926" s="307"/>
      <c r="L926" s="292"/>
      <c r="M926" s="308"/>
      <c r="N926" s="292"/>
      <c r="O926" s="308"/>
      <c r="P926" s="575"/>
      <c r="Q926" s="576"/>
      <c r="R926" s="308"/>
      <c r="S926" s="575"/>
      <c r="T926" s="576"/>
      <c r="U926" s="308"/>
      <c r="V926" s="575"/>
      <c r="W926" s="576"/>
      <c r="X926" s="308"/>
      <c r="Y926" s="575"/>
      <c r="Z926" s="576"/>
      <c r="AA926" s="308"/>
      <c r="AB926" s="575"/>
      <c r="AC926" s="576"/>
      <c r="AD926" s="308"/>
      <c r="AE926" s="575"/>
      <c r="AF926" s="308"/>
      <c r="AG926" s="575"/>
      <c r="AH926" s="308"/>
      <c r="AI926" s="575"/>
      <c r="AJ926" s="308"/>
      <c r="AK926" s="305"/>
      <c r="AL926" s="577"/>
      <c r="AM926" s="306"/>
      <c r="AN926" s="308"/>
      <c r="AO926" s="573"/>
      <c r="AP926" s="305"/>
      <c r="AQ926" s="308"/>
      <c r="AR926" s="573"/>
      <c r="AS926" s="578"/>
      <c r="AT926" s="577"/>
      <c r="AU926" s="579"/>
      <c r="AV926" s="578"/>
      <c r="AW926" s="308"/>
      <c r="AX926" s="307"/>
      <c r="AY926" s="307"/>
      <c r="AZ926" s="307"/>
      <c r="BA926" s="307"/>
      <c r="BB926" s="307"/>
      <c r="BC926" s="305"/>
      <c r="BD926" s="292"/>
      <c r="BE926" s="297"/>
      <c r="BF926" s="297"/>
      <c r="BG926" s="569"/>
      <c r="BH926" s="570"/>
      <c r="BI926" s="570"/>
      <c r="BJ926" s="570"/>
      <c r="BK926" s="570"/>
      <c r="BL926" s="570"/>
      <c r="BM926" s="570"/>
      <c r="BN926" s="570"/>
      <c r="BO926" s="570"/>
      <c r="BP926" s="570"/>
      <c r="BQ926" s="570"/>
      <c r="BR926" s="570"/>
      <c r="BS926" s="570"/>
      <c r="BT926" s="570"/>
      <c r="BU926" s="570"/>
      <c r="BV926" s="570"/>
      <c r="BW926" s="570"/>
      <c r="BX926" s="570"/>
      <c r="BY926" s="570"/>
      <c r="BZ926" s="571"/>
      <c r="CA926" s="571"/>
    </row>
    <row r="927" spans="2:79">
      <c r="B927" s="572">
        <v>912</v>
      </c>
      <c r="C927" s="308"/>
      <c r="D927" s="307"/>
      <c r="E927" s="307"/>
      <c r="F927" s="305"/>
      <c r="G927" s="305"/>
      <c r="H927" s="292"/>
      <c r="I927" s="574"/>
      <c r="J927" s="573"/>
      <c r="K927" s="307"/>
      <c r="L927" s="292"/>
      <c r="M927" s="308"/>
      <c r="N927" s="292"/>
      <c r="O927" s="308"/>
      <c r="P927" s="575"/>
      <c r="Q927" s="576"/>
      <c r="R927" s="308"/>
      <c r="S927" s="575"/>
      <c r="T927" s="576"/>
      <c r="U927" s="308"/>
      <c r="V927" s="575"/>
      <c r="W927" s="576"/>
      <c r="X927" s="308"/>
      <c r="Y927" s="575"/>
      <c r="Z927" s="576"/>
      <c r="AA927" s="308"/>
      <c r="AB927" s="575"/>
      <c r="AC927" s="576"/>
      <c r="AD927" s="308"/>
      <c r="AE927" s="575"/>
      <c r="AF927" s="308"/>
      <c r="AG927" s="575"/>
      <c r="AH927" s="308"/>
      <c r="AI927" s="575"/>
      <c r="AJ927" s="308"/>
      <c r="AK927" s="305"/>
      <c r="AL927" s="577"/>
      <c r="AM927" s="306"/>
      <c r="AN927" s="308"/>
      <c r="AO927" s="573"/>
      <c r="AP927" s="305"/>
      <c r="AQ927" s="308"/>
      <c r="AR927" s="573"/>
      <c r="AS927" s="578"/>
      <c r="AT927" s="577"/>
      <c r="AU927" s="579"/>
      <c r="AV927" s="578"/>
      <c r="AW927" s="308"/>
      <c r="AX927" s="307"/>
      <c r="AY927" s="307"/>
      <c r="AZ927" s="307"/>
      <c r="BA927" s="307"/>
      <c r="BB927" s="307"/>
      <c r="BC927" s="305"/>
      <c r="BD927" s="292"/>
      <c r="BE927" s="297"/>
      <c r="BF927" s="297"/>
      <c r="BG927" s="569"/>
      <c r="BH927" s="570"/>
      <c r="BI927" s="570"/>
      <c r="BJ927" s="570"/>
      <c r="BK927" s="570"/>
      <c r="BL927" s="570"/>
      <c r="BM927" s="570"/>
      <c r="BN927" s="570"/>
      <c r="BO927" s="570"/>
      <c r="BP927" s="570"/>
      <c r="BQ927" s="570"/>
      <c r="BR927" s="570"/>
      <c r="BS927" s="570"/>
      <c r="BT927" s="570"/>
      <c r="BU927" s="570"/>
      <c r="BV927" s="570"/>
      <c r="BW927" s="570"/>
      <c r="BX927" s="570"/>
      <c r="BY927" s="570"/>
      <c r="BZ927" s="571"/>
      <c r="CA927" s="571"/>
    </row>
    <row r="928" spans="2:79">
      <c r="B928" s="566">
        <v>913</v>
      </c>
      <c r="C928" s="308"/>
      <c r="D928" s="307"/>
      <c r="E928" s="307"/>
      <c r="F928" s="305"/>
      <c r="G928" s="305"/>
      <c r="H928" s="292"/>
      <c r="I928" s="574"/>
      <c r="J928" s="573"/>
      <c r="K928" s="307"/>
      <c r="L928" s="292"/>
      <c r="M928" s="308"/>
      <c r="N928" s="292"/>
      <c r="O928" s="308"/>
      <c r="P928" s="575"/>
      <c r="Q928" s="576"/>
      <c r="R928" s="308"/>
      <c r="S928" s="575"/>
      <c r="T928" s="576"/>
      <c r="U928" s="308"/>
      <c r="V928" s="575"/>
      <c r="W928" s="576"/>
      <c r="X928" s="308"/>
      <c r="Y928" s="575"/>
      <c r="Z928" s="576"/>
      <c r="AA928" s="308"/>
      <c r="AB928" s="575"/>
      <c r="AC928" s="576"/>
      <c r="AD928" s="308"/>
      <c r="AE928" s="575"/>
      <c r="AF928" s="308"/>
      <c r="AG928" s="575"/>
      <c r="AH928" s="308"/>
      <c r="AI928" s="575"/>
      <c r="AJ928" s="308"/>
      <c r="AK928" s="305"/>
      <c r="AL928" s="577"/>
      <c r="AM928" s="306"/>
      <c r="AN928" s="308"/>
      <c r="AO928" s="573"/>
      <c r="AP928" s="305"/>
      <c r="AQ928" s="308"/>
      <c r="AR928" s="573"/>
      <c r="AS928" s="578"/>
      <c r="AT928" s="577"/>
      <c r="AU928" s="579"/>
      <c r="AV928" s="578"/>
      <c r="AW928" s="308"/>
      <c r="AX928" s="307"/>
      <c r="AY928" s="307"/>
      <c r="AZ928" s="307"/>
      <c r="BA928" s="307"/>
      <c r="BB928" s="307"/>
      <c r="BC928" s="305"/>
      <c r="BD928" s="292"/>
      <c r="BE928" s="297"/>
      <c r="BF928" s="297"/>
      <c r="BG928" s="569"/>
      <c r="BH928" s="570"/>
      <c r="BI928" s="570"/>
      <c r="BJ928" s="570"/>
      <c r="BK928" s="570"/>
      <c r="BL928" s="570"/>
      <c r="BM928" s="570"/>
      <c r="BN928" s="570"/>
      <c r="BO928" s="570"/>
      <c r="BP928" s="570"/>
      <c r="BQ928" s="570"/>
      <c r="BR928" s="570"/>
      <c r="BS928" s="570"/>
      <c r="BT928" s="570"/>
      <c r="BU928" s="570"/>
      <c r="BV928" s="570"/>
      <c r="BW928" s="570"/>
      <c r="BX928" s="570"/>
      <c r="BY928" s="570"/>
      <c r="BZ928" s="571"/>
      <c r="CA928" s="571"/>
    </row>
    <row r="929" spans="2:79">
      <c r="B929" s="572">
        <v>914</v>
      </c>
      <c r="C929" s="308"/>
      <c r="D929" s="307"/>
      <c r="E929" s="307"/>
      <c r="F929" s="305"/>
      <c r="G929" s="305"/>
      <c r="H929" s="292"/>
      <c r="I929" s="574"/>
      <c r="J929" s="573"/>
      <c r="K929" s="307"/>
      <c r="L929" s="292"/>
      <c r="M929" s="308"/>
      <c r="N929" s="292"/>
      <c r="O929" s="308"/>
      <c r="P929" s="575"/>
      <c r="Q929" s="576"/>
      <c r="R929" s="308"/>
      <c r="S929" s="575"/>
      <c r="T929" s="576"/>
      <c r="U929" s="308"/>
      <c r="V929" s="575"/>
      <c r="W929" s="576"/>
      <c r="X929" s="308"/>
      <c r="Y929" s="575"/>
      <c r="Z929" s="576"/>
      <c r="AA929" s="308"/>
      <c r="AB929" s="575"/>
      <c r="AC929" s="576"/>
      <c r="AD929" s="308"/>
      <c r="AE929" s="575"/>
      <c r="AF929" s="308"/>
      <c r="AG929" s="575"/>
      <c r="AH929" s="308"/>
      <c r="AI929" s="575"/>
      <c r="AJ929" s="308"/>
      <c r="AK929" s="305"/>
      <c r="AL929" s="577"/>
      <c r="AM929" s="306"/>
      <c r="AN929" s="308"/>
      <c r="AO929" s="573"/>
      <c r="AP929" s="305"/>
      <c r="AQ929" s="308"/>
      <c r="AR929" s="573"/>
      <c r="AS929" s="578"/>
      <c r="AT929" s="577"/>
      <c r="AU929" s="579"/>
      <c r="AV929" s="578"/>
      <c r="AW929" s="308"/>
      <c r="AX929" s="307"/>
      <c r="AY929" s="307"/>
      <c r="AZ929" s="307"/>
      <c r="BA929" s="307"/>
      <c r="BB929" s="307"/>
      <c r="BC929" s="305"/>
      <c r="BD929" s="292"/>
      <c r="BE929" s="297"/>
      <c r="BF929" s="297"/>
      <c r="BG929" s="569"/>
      <c r="BH929" s="570"/>
      <c r="BI929" s="570"/>
      <c r="BJ929" s="570"/>
      <c r="BK929" s="570"/>
      <c r="BL929" s="570"/>
      <c r="BM929" s="570"/>
      <c r="BN929" s="570"/>
      <c r="BO929" s="570"/>
      <c r="BP929" s="570"/>
      <c r="BQ929" s="570"/>
      <c r="BR929" s="570"/>
      <c r="BS929" s="570"/>
      <c r="BT929" s="570"/>
      <c r="BU929" s="570"/>
      <c r="BV929" s="570"/>
      <c r="BW929" s="570"/>
      <c r="BX929" s="570"/>
      <c r="BY929" s="570"/>
      <c r="BZ929" s="571"/>
      <c r="CA929" s="571"/>
    </row>
    <row r="930" spans="2:79">
      <c r="B930" s="566">
        <v>915</v>
      </c>
      <c r="C930" s="308"/>
      <c r="D930" s="307"/>
      <c r="E930" s="307"/>
      <c r="F930" s="305"/>
      <c r="G930" s="305"/>
      <c r="H930" s="292"/>
      <c r="I930" s="574"/>
      <c r="J930" s="573"/>
      <c r="K930" s="307"/>
      <c r="L930" s="292"/>
      <c r="M930" s="308"/>
      <c r="N930" s="292"/>
      <c r="O930" s="308"/>
      <c r="P930" s="575"/>
      <c r="Q930" s="576"/>
      <c r="R930" s="308"/>
      <c r="S930" s="575"/>
      <c r="T930" s="576"/>
      <c r="U930" s="308"/>
      <c r="V930" s="575"/>
      <c r="W930" s="576"/>
      <c r="X930" s="308"/>
      <c r="Y930" s="575"/>
      <c r="Z930" s="576"/>
      <c r="AA930" s="308"/>
      <c r="AB930" s="575"/>
      <c r="AC930" s="576"/>
      <c r="AD930" s="308"/>
      <c r="AE930" s="575"/>
      <c r="AF930" s="308"/>
      <c r="AG930" s="575"/>
      <c r="AH930" s="308"/>
      <c r="AI930" s="575"/>
      <c r="AJ930" s="308"/>
      <c r="AK930" s="305"/>
      <c r="AL930" s="577"/>
      <c r="AM930" s="306"/>
      <c r="AN930" s="308"/>
      <c r="AO930" s="573"/>
      <c r="AP930" s="305"/>
      <c r="AQ930" s="308"/>
      <c r="AR930" s="573"/>
      <c r="AS930" s="578"/>
      <c r="AT930" s="577"/>
      <c r="AU930" s="579"/>
      <c r="AV930" s="578"/>
      <c r="AW930" s="308"/>
      <c r="AX930" s="307"/>
      <c r="AY930" s="307"/>
      <c r="AZ930" s="307"/>
      <c r="BA930" s="307"/>
      <c r="BB930" s="307"/>
      <c r="BC930" s="305"/>
      <c r="BD930" s="292"/>
      <c r="BE930" s="297"/>
      <c r="BF930" s="297"/>
      <c r="BG930" s="569"/>
      <c r="BH930" s="570"/>
      <c r="BI930" s="570"/>
      <c r="BJ930" s="570"/>
      <c r="BK930" s="570"/>
      <c r="BL930" s="570"/>
      <c r="BM930" s="570"/>
      <c r="BN930" s="570"/>
      <c r="BO930" s="570"/>
      <c r="BP930" s="570"/>
      <c r="BQ930" s="570"/>
      <c r="BR930" s="570"/>
      <c r="BS930" s="570"/>
      <c r="BT930" s="570"/>
      <c r="BU930" s="570"/>
      <c r="BV930" s="570"/>
      <c r="BW930" s="570"/>
      <c r="BX930" s="570"/>
      <c r="BY930" s="570"/>
      <c r="BZ930" s="571"/>
      <c r="CA930" s="571"/>
    </row>
    <row r="931" spans="2:79">
      <c r="B931" s="572">
        <v>916</v>
      </c>
      <c r="C931" s="308"/>
      <c r="D931" s="307"/>
      <c r="E931" s="307"/>
      <c r="F931" s="305"/>
      <c r="G931" s="305"/>
      <c r="H931" s="292"/>
      <c r="I931" s="574"/>
      <c r="J931" s="573"/>
      <c r="K931" s="307"/>
      <c r="L931" s="292"/>
      <c r="M931" s="308"/>
      <c r="N931" s="292"/>
      <c r="O931" s="308"/>
      <c r="P931" s="575"/>
      <c r="Q931" s="576"/>
      <c r="R931" s="308"/>
      <c r="S931" s="575"/>
      <c r="T931" s="576"/>
      <c r="U931" s="308"/>
      <c r="V931" s="575"/>
      <c r="W931" s="576"/>
      <c r="X931" s="308"/>
      <c r="Y931" s="575"/>
      <c r="Z931" s="576"/>
      <c r="AA931" s="308"/>
      <c r="AB931" s="575"/>
      <c r="AC931" s="576"/>
      <c r="AD931" s="308"/>
      <c r="AE931" s="575"/>
      <c r="AF931" s="308"/>
      <c r="AG931" s="575"/>
      <c r="AH931" s="308"/>
      <c r="AI931" s="575"/>
      <c r="AJ931" s="308"/>
      <c r="AK931" s="305"/>
      <c r="AL931" s="577"/>
      <c r="AM931" s="306"/>
      <c r="AN931" s="308"/>
      <c r="AO931" s="573"/>
      <c r="AP931" s="305"/>
      <c r="AQ931" s="308"/>
      <c r="AR931" s="573"/>
      <c r="AS931" s="578"/>
      <c r="AT931" s="577"/>
      <c r="AU931" s="579"/>
      <c r="AV931" s="578"/>
      <c r="AW931" s="308"/>
      <c r="AX931" s="307"/>
      <c r="AY931" s="307"/>
      <c r="AZ931" s="307"/>
      <c r="BA931" s="307"/>
      <c r="BB931" s="307"/>
      <c r="BC931" s="305"/>
      <c r="BD931" s="292"/>
      <c r="BE931" s="297"/>
      <c r="BF931" s="297"/>
      <c r="BG931" s="569"/>
      <c r="BH931" s="570"/>
      <c r="BI931" s="570"/>
      <c r="BJ931" s="570"/>
      <c r="BK931" s="570"/>
      <c r="BL931" s="570"/>
      <c r="BM931" s="570"/>
      <c r="BN931" s="570"/>
      <c r="BO931" s="570"/>
      <c r="BP931" s="570"/>
      <c r="BQ931" s="570"/>
      <c r="BR931" s="570"/>
      <c r="BS931" s="570"/>
      <c r="BT931" s="570"/>
      <c r="BU931" s="570"/>
      <c r="BV931" s="570"/>
      <c r="BW931" s="570"/>
      <c r="BX931" s="570"/>
      <c r="BY931" s="570"/>
      <c r="BZ931" s="571"/>
      <c r="CA931" s="571"/>
    </row>
    <row r="932" spans="2:79">
      <c r="B932" s="566">
        <v>917</v>
      </c>
      <c r="C932" s="308"/>
      <c r="D932" s="307"/>
      <c r="E932" s="307"/>
      <c r="F932" s="305"/>
      <c r="G932" s="305"/>
      <c r="H932" s="292"/>
      <c r="I932" s="574"/>
      <c r="J932" s="573"/>
      <c r="K932" s="307"/>
      <c r="L932" s="292"/>
      <c r="M932" s="308"/>
      <c r="N932" s="292"/>
      <c r="O932" s="308"/>
      <c r="P932" s="575"/>
      <c r="Q932" s="576"/>
      <c r="R932" s="308"/>
      <c r="S932" s="575"/>
      <c r="T932" s="576"/>
      <c r="U932" s="308"/>
      <c r="V932" s="575"/>
      <c r="W932" s="576"/>
      <c r="X932" s="308"/>
      <c r="Y932" s="575"/>
      <c r="Z932" s="576"/>
      <c r="AA932" s="308"/>
      <c r="AB932" s="575"/>
      <c r="AC932" s="576"/>
      <c r="AD932" s="308"/>
      <c r="AE932" s="575"/>
      <c r="AF932" s="308"/>
      <c r="AG932" s="575"/>
      <c r="AH932" s="308"/>
      <c r="AI932" s="575"/>
      <c r="AJ932" s="308"/>
      <c r="AK932" s="305"/>
      <c r="AL932" s="577"/>
      <c r="AM932" s="306"/>
      <c r="AN932" s="308"/>
      <c r="AO932" s="573"/>
      <c r="AP932" s="305"/>
      <c r="AQ932" s="308"/>
      <c r="AR932" s="573"/>
      <c r="AS932" s="578"/>
      <c r="AT932" s="577"/>
      <c r="AU932" s="579"/>
      <c r="AV932" s="578"/>
      <c r="AW932" s="308"/>
      <c r="AX932" s="307"/>
      <c r="AY932" s="307"/>
      <c r="AZ932" s="307"/>
      <c r="BA932" s="307"/>
      <c r="BB932" s="307"/>
      <c r="BC932" s="305"/>
      <c r="BD932" s="292"/>
      <c r="BE932" s="297"/>
      <c r="BF932" s="297"/>
      <c r="BG932" s="569"/>
      <c r="BH932" s="570"/>
      <c r="BI932" s="570"/>
      <c r="BJ932" s="570"/>
      <c r="BK932" s="570"/>
      <c r="BL932" s="570"/>
      <c r="BM932" s="570"/>
      <c r="BN932" s="570"/>
      <c r="BO932" s="570"/>
      <c r="BP932" s="570"/>
      <c r="BQ932" s="570"/>
      <c r="BR932" s="570"/>
      <c r="BS932" s="570"/>
      <c r="BT932" s="570"/>
      <c r="BU932" s="570"/>
      <c r="BV932" s="570"/>
      <c r="BW932" s="570"/>
      <c r="BX932" s="570"/>
      <c r="BY932" s="570"/>
      <c r="BZ932" s="571"/>
      <c r="CA932" s="571"/>
    </row>
    <row r="933" spans="2:79">
      <c r="B933" s="572">
        <v>918</v>
      </c>
      <c r="C933" s="308"/>
      <c r="D933" s="307"/>
      <c r="E933" s="307"/>
      <c r="F933" s="305"/>
      <c r="G933" s="305"/>
      <c r="H933" s="292"/>
      <c r="I933" s="574"/>
      <c r="J933" s="573"/>
      <c r="K933" s="307"/>
      <c r="L933" s="292"/>
      <c r="M933" s="308"/>
      <c r="N933" s="292"/>
      <c r="O933" s="308"/>
      <c r="P933" s="575"/>
      <c r="Q933" s="576"/>
      <c r="R933" s="308"/>
      <c r="S933" s="575"/>
      <c r="T933" s="576"/>
      <c r="U933" s="308"/>
      <c r="V933" s="575"/>
      <c r="W933" s="576"/>
      <c r="X933" s="308"/>
      <c r="Y933" s="575"/>
      <c r="Z933" s="576"/>
      <c r="AA933" s="308"/>
      <c r="AB933" s="575"/>
      <c r="AC933" s="576"/>
      <c r="AD933" s="308"/>
      <c r="AE933" s="575"/>
      <c r="AF933" s="308"/>
      <c r="AG933" s="575"/>
      <c r="AH933" s="308"/>
      <c r="AI933" s="575"/>
      <c r="AJ933" s="308"/>
      <c r="AK933" s="305"/>
      <c r="AL933" s="577"/>
      <c r="AM933" s="306"/>
      <c r="AN933" s="308"/>
      <c r="AO933" s="573"/>
      <c r="AP933" s="305"/>
      <c r="AQ933" s="308"/>
      <c r="AR933" s="573"/>
      <c r="AS933" s="578"/>
      <c r="AT933" s="577"/>
      <c r="AU933" s="579"/>
      <c r="AV933" s="578"/>
      <c r="AW933" s="308"/>
      <c r="AX933" s="307"/>
      <c r="AY933" s="307"/>
      <c r="AZ933" s="307"/>
      <c r="BA933" s="307"/>
      <c r="BB933" s="307"/>
      <c r="BC933" s="305"/>
      <c r="BD933" s="292"/>
      <c r="BE933" s="297"/>
      <c r="BF933" s="297"/>
      <c r="BG933" s="569"/>
      <c r="BH933" s="570"/>
      <c r="BI933" s="570"/>
      <c r="BJ933" s="570"/>
      <c r="BK933" s="570"/>
      <c r="BL933" s="570"/>
      <c r="BM933" s="570"/>
      <c r="BN933" s="570"/>
      <c r="BO933" s="570"/>
      <c r="BP933" s="570"/>
      <c r="BQ933" s="570"/>
      <c r="BR933" s="570"/>
      <c r="BS933" s="570"/>
      <c r="BT933" s="570"/>
      <c r="BU933" s="570"/>
      <c r="BV933" s="570"/>
      <c r="BW933" s="570"/>
      <c r="BX933" s="570"/>
      <c r="BY933" s="570"/>
      <c r="BZ933" s="571"/>
      <c r="CA933" s="571"/>
    </row>
    <row r="934" spans="2:79">
      <c r="B934" s="566">
        <v>919</v>
      </c>
      <c r="C934" s="308"/>
      <c r="D934" s="307"/>
      <c r="E934" s="307"/>
      <c r="F934" s="305"/>
      <c r="G934" s="305"/>
      <c r="H934" s="292"/>
      <c r="I934" s="574"/>
      <c r="J934" s="573"/>
      <c r="K934" s="307"/>
      <c r="L934" s="292"/>
      <c r="M934" s="308"/>
      <c r="N934" s="292"/>
      <c r="O934" s="308"/>
      <c r="P934" s="575"/>
      <c r="Q934" s="576"/>
      <c r="R934" s="308"/>
      <c r="S934" s="575"/>
      <c r="T934" s="576"/>
      <c r="U934" s="308"/>
      <c r="V934" s="575"/>
      <c r="W934" s="576"/>
      <c r="X934" s="308"/>
      <c r="Y934" s="575"/>
      <c r="Z934" s="576"/>
      <c r="AA934" s="308"/>
      <c r="AB934" s="575"/>
      <c r="AC934" s="576"/>
      <c r="AD934" s="308"/>
      <c r="AE934" s="575"/>
      <c r="AF934" s="308"/>
      <c r="AG934" s="575"/>
      <c r="AH934" s="308"/>
      <c r="AI934" s="575"/>
      <c r="AJ934" s="308"/>
      <c r="AK934" s="305"/>
      <c r="AL934" s="577"/>
      <c r="AM934" s="306"/>
      <c r="AN934" s="308"/>
      <c r="AO934" s="573"/>
      <c r="AP934" s="305"/>
      <c r="AQ934" s="308"/>
      <c r="AR934" s="573"/>
      <c r="AS934" s="578"/>
      <c r="AT934" s="577"/>
      <c r="AU934" s="579"/>
      <c r="AV934" s="578"/>
      <c r="AW934" s="308"/>
      <c r="AX934" s="307"/>
      <c r="AY934" s="307"/>
      <c r="AZ934" s="307"/>
      <c r="BA934" s="307"/>
      <c r="BB934" s="307"/>
      <c r="BC934" s="305"/>
      <c r="BD934" s="292"/>
      <c r="BE934" s="297"/>
      <c r="BF934" s="297"/>
      <c r="BG934" s="569"/>
      <c r="BH934" s="570"/>
      <c r="BI934" s="570"/>
      <c r="BJ934" s="570"/>
      <c r="BK934" s="570"/>
      <c r="BL934" s="570"/>
      <c r="BM934" s="570"/>
      <c r="BN934" s="570"/>
      <c r="BO934" s="570"/>
      <c r="BP934" s="570"/>
      <c r="BQ934" s="570"/>
      <c r="BR934" s="570"/>
      <c r="BS934" s="570"/>
      <c r="BT934" s="570"/>
      <c r="BU934" s="570"/>
      <c r="BV934" s="570"/>
      <c r="BW934" s="570"/>
      <c r="BX934" s="570"/>
      <c r="BY934" s="570"/>
      <c r="BZ934" s="571"/>
      <c r="CA934" s="571"/>
    </row>
    <row r="935" spans="2:79">
      <c r="B935" s="572">
        <v>920</v>
      </c>
      <c r="C935" s="308"/>
      <c r="D935" s="307"/>
      <c r="E935" s="307"/>
      <c r="F935" s="305"/>
      <c r="G935" s="305"/>
      <c r="H935" s="292"/>
      <c r="I935" s="574"/>
      <c r="J935" s="573"/>
      <c r="K935" s="307"/>
      <c r="L935" s="292"/>
      <c r="M935" s="308"/>
      <c r="N935" s="292"/>
      <c r="O935" s="308"/>
      <c r="P935" s="575"/>
      <c r="Q935" s="576"/>
      <c r="R935" s="308"/>
      <c r="S935" s="575"/>
      <c r="T935" s="576"/>
      <c r="U935" s="308"/>
      <c r="V935" s="575"/>
      <c r="W935" s="576"/>
      <c r="X935" s="308"/>
      <c r="Y935" s="575"/>
      <c r="Z935" s="576"/>
      <c r="AA935" s="308"/>
      <c r="AB935" s="575"/>
      <c r="AC935" s="576"/>
      <c r="AD935" s="308"/>
      <c r="AE935" s="575"/>
      <c r="AF935" s="308"/>
      <c r="AG935" s="575"/>
      <c r="AH935" s="308"/>
      <c r="AI935" s="575"/>
      <c r="AJ935" s="308"/>
      <c r="AK935" s="305"/>
      <c r="AL935" s="577"/>
      <c r="AM935" s="306"/>
      <c r="AN935" s="308"/>
      <c r="AO935" s="573"/>
      <c r="AP935" s="305"/>
      <c r="AQ935" s="308"/>
      <c r="AR935" s="573"/>
      <c r="AS935" s="578"/>
      <c r="AT935" s="577"/>
      <c r="AU935" s="579"/>
      <c r="AV935" s="578"/>
      <c r="AW935" s="308"/>
      <c r="AX935" s="307"/>
      <c r="AY935" s="307"/>
      <c r="AZ935" s="307"/>
      <c r="BA935" s="307"/>
      <c r="BB935" s="307"/>
      <c r="BC935" s="305"/>
      <c r="BD935" s="292"/>
      <c r="BE935" s="297"/>
      <c r="BF935" s="297"/>
      <c r="BG935" s="569"/>
      <c r="BH935" s="570"/>
      <c r="BI935" s="570"/>
      <c r="BJ935" s="570"/>
      <c r="BK935" s="570"/>
      <c r="BL935" s="570"/>
      <c r="BM935" s="570"/>
      <c r="BN935" s="570"/>
      <c r="BO935" s="570"/>
      <c r="BP935" s="570"/>
      <c r="BQ935" s="570"/>
      <c r="BR935" s="570"/>
      <c r="BS935" s="570"/>
      <c r="BT935" s="570"/>
      <c r="BU935" s="570"/>
      <c r="BV935" s="570"/>
      <c r="BW935" s="570"/>
      <c r="BX935" s="570"/>
      <c r="BY935" s="570"/>
      <c r="BZ935" s="571"/>
      <c r="CA935" s="571"/>
    </row>
    <row r="936" spans="2:79">
      <c r="B936" s="566">
        <v>921</v>
      </c>
      <c r="C936" s="308"/>
      <c r="D936" s="307"/>
      <c r="E936" s="307"/>
      <c r="F936" s="305"/>
      <c r="G936" s="305"/>
      <c r="H936" s="292"/>
      <c r="I936" s="574"/>
      <c r="J936" s="573"/>
      <c r="K936" s="307"/>
      <c r="L936" s="292"/>
      <c r="M936" s="308"/>
      <c r="N936" s="292"/>
      <c r="O936" s="308"/>
      <c r="P936" s="575"/>
      <c r="Q936" s="576"/>
      <c r="R936" s="308"/>
      <c r="S936" s="575"/>
      <c r="T936" s="576"/>
      <c r="U936" s="308"/>
      <c r="V936" s="575"/>
      <c r="W936" s="576"/>
      <c r="X936" s="308"/>
      <c r="Y936" s="575"/>
      <c r="Z936" s="576"/>
      <c r="AA936" s="308"/>
      <c r="AB936" s="575"/>
      <c r="AC936" s="576"/>
      <c r="AD936" s="308"/>
      <c r="AE936" s="575"/>
      <c r="AF936" s="308"/>
      <c r="AG936" s="575"/>
      <c r="AH936" s="308"/>
      <c r="AI936" s="575"/>
      <c r="AJ936" s="308"/>
      <c r="AK936" s="305"/>
      <c r="AL936" s="577"/>
      <c r="AM936" s="306"/>
      <c r="AN936" s="308"/>
      <c r="AO936" s="573"/>
      <c r="AP936" s="305"/>
      <c r="AQ936" s="308"/>
      <c r="AR936" s="573"/>
      <c r="AS936" s="578"/>
      <c r="AT936" s="577"/>
      <c r="AU936" s="579"/>
      <c r="AV936" s="578"/>
      <c r="AW936" s="308"/>
      <c r="AX936" s="307"/>
      <c r="AY936" s="307"/>
      <c r="AZ936" s="307"/>
      <c r="BA936" s="307"/>
      <c r="BB936" s="307"/>
      <c r="BC936" s="305"/>
      <c r="BD936" s="292"/>
      <c r="BE936" s="297"/>
      <c r="BF936" s="297"/>
      <c r="BG936" s="569"/>
      <c r="BH936" s="570"/>
      <c r="BI936" s="570"/>
      <c r="BJ936" s="570"/>
      <c r="BK936" s="570"/>
      <c r="BL936" s="570"/>
      <c r="BM936" s="570"/>
      <c r="BN936" s="570"/>
      <c r="BO936" s="570"/>
      <c r="BP936" s="570"/>
      <c r="BQ936" s="570"/>
      <c r="BR936" s="570"/>
      <c r="BS936" s="570"/>
      <c r="BT936" s="570"/>
      <c r="BU936" s="570"/>
      <c r="BV936" s="570"/>
      <c r="BW936" s="570"/>
      <c r="BX936" s="570"/>
      <c r="BY936" s="570"/>
      <c r="BZ936" s="571"/>
      <c r="CA936" s="571"/>
    </row>
    <row r="937" spans="2:79">
      <c r="B937" s="572">
        <v>922</v>
      </c>
      <c r="C937" s="308"/>
      <c r="D937" s="307"/>
      <c r="E937" s="307"/>
      <c r="F937" s="305"/>
      <c r="G937" s="305"/>
      <c r="H937" s="292"/>
      <c r="I937" s="574"/>
      <c r="J937" s="573"/>
      <c r="K937" s="307"/>
      <c r="L937" s="292"/>
      <c r="M937" s="308"/>
      <c r="N937" s="292"/>
      <c r="O937" s="308"/>
      <c r="P937" s="575"/>
      <c r="Q937" s="576"/>
      <c r="R937" s="308"/>
      <c r="S937" s="575"/>
      <c r="T937" s="576"/>
      <c r="U937" s="308"/>
      <c r="V937" s="575"/>
      <c r="W937" s="576"/>
      <c r="X937" s="308"/>
      <c r="Y937" s="575"/>
      <c r="Z937" s="576"/>
      <c r="AA937" s="308"/>
      <c r="AB937" s="575"/>
      <c r="AC937" s="576"/>
      <c r="AD937" s="308"/>
      <c r="AE937" s="575"/>
      <c r="AF937" s="308"/>
      <c r="AG937" s="575"/>
      <c r="AH937" s="308"/>
      <c r="AI937" s="575"/>
      <c r="AJ937" s="308"/>
      <c r="AK937" s="305"/>
      <c r="AL937" s="577"/>
      <c r="AM937" s="306"/>
      <c r="AN937" s="308"/>
      <c r="AO937" s="573"/>
      <c r="AP937" s="305"/>
      <c r="AQ937" s="308"/>
      <c r="AR937" s="573"/>
      <c r="AS937" s="578"/>
      <c r="AT937" s="577"/>
      <c r="AU937" s="579"/>
      <c r="AV937" s="578"/>
      <c r="AW937" s="308"/>
      <c r="AX937" s="307"/>
      <c r="AY937" s="307"/>
      <c r="AZ937" s="307"/>
      <c r="BA937" s="307"/>
      <c r="BB937" s="307"/>
      <c r="BC937" s="305"/>
      <c r="BD937" s="292"/>
      <c r="BE937" s="297"/>
      <c r="BF937" s="297"/>
      <c r="BG937" s="569"/>
      <c r="BH937" s="570"/>
      <c r="BI937" s="570"/>
      <c r="BJ937" s="570"/>
      <c r="BK937" s="570"/>
      <c r="BL937" s="570"/>
      <c r="BM937" s="570"/>
      <c r="BN937" s="570"/>
      <c r="BO937" s="570"/>
      <c r="BP937" s="570"/>
      <c r="BQ937" s="570"/>
      <c r="BR937" s="570"/>
      <c r="BS937" s="570"/>
      <c r="BT937" s="570"/>
      <c r="BU937" s="570"/>
      <c r="BV937" s="570"/>
      <c r="BW937" s="570"/>
      <c r="BX937" s="570"/>
      <c r="BY937" s="570"/>
      <c r="BZ937" s="571"/>
      <c r="CA937" s="571"/>
    </row>
    <row r="938" spans="2:79">
      <c r="B938" s="566">
        <v>923</v>
      </c>
      <c r="C938" s="308"/>
      <c r="D938" s="307"/>
      <c r="E938" s="307"/>
      <c r="F938" s="305"/>
      <c r="G938" s="305"/>
      <c r="H938" s="292"/>
      <c r="I938" s="574"/>
      <c r="J938" s="573"/>
      <c r="K938" s="307"/>
      <c r="L938" s="292"/>
      <c r="M938" s="308"/>
      <c r="N938" s="292"/>
      <c r="O938" s="308"/>
      <c r="P938" s="575"/>
      <c r="Q938" s="576"/>
      <c r="R938" s="308"/>
      <c r="S938" s="575"/>
      <c r="T938" s="576"/>
      <c r="U938" s="308"/>
      <c r="V938" s="575"/>
      <c r="W938" s="576"/>
      <c r="X938" s="308"/>
      <c r="Y938" s="575"/>
      <c r="Z938" s="576"/>
      <c r="AA938" s="308"/>
      <c r="AB938" s="575"/>
      <c r="AC938" s="576"/>
      <c r="AD938" s="308"/>
      <c r="AE938" s="575"/>
      <c r="AF938" s="308"/>
      <c r="AG938" s="575"/>
      <c r="AH938" s="308"/>
      <c r="AI938" s="575"/>
      <c r="AJ938" s="308"/>
      <c r="AK938" s="305"/>
      <c r="AL938" s="577"/>
      <c r="AM938" s="306"/>
      <c r="AN938" s="308"/>
      <c r="AO938" s="573"/>
      <c r="AP938" s="305"/>
      <c r="AQ938" s="308"/>
      <c r="AR938" s="573"/>
      <c r="AS938" s="578"/>
      <c r="AT938" s="577"/>
      <c r="AU938" s="579"/>
      <c r="AV938" s="578"/>
      <c r="AW938" s="308"/>
      <c r="AX938" s="307"/>
      <c r="AY938" s="307"/>
      <c r="AZ938" s="307"/>
      <c r="BA938" s="307"/>
      <c r="BB938" s="307"/>
      <c r="BC938" s="305"/>
      <c r="BD938" s="292"/>
      <c r="BE938" s="297"/>
      <c r="BF938" s="297"/>
      <c r="BG938" s="569"/>
      <c r="BH938" s="570"/>
      <c r="BI938" s="570"/>
      <c r="BJ938" s="570"/>
      <c r="BK938" s="570"/>
      <c r="BL938" s="570"/>
      <c r="BM938" s="570"/>
      <c r="BN938" s="570"/>
      <c r="BO938" s="570"/>
      <c r="BP938" s="570"/>
      <c r="BQ938" s="570"/>
      <c r="BR938" s="570"/>
      <c r="BS938" s="570"/>
      <c r="BT938" s="570"/>
      <c r="BU938" s="570"/>
      <c r="BV938" s="570"/>
      <c r="BW938" s="570"/>
      <c r="BX938" s="570"/>
      <c r="BY938" s="570"/>
      <c r="BZ938" s="571"/>
      <c r="CA938" s="571"/>
    </row>
    <row r="939" spans="2:79">
      <c r="B939" s="572">
        <v>924</v>
      </c>
      <c r="C939" s="308"/>
      <c r="D939" s="307"/>
      <c r="E939" s="307"/>
      <c r="F939" s="305"/>
      <c r="G939" s="305"/>
      <c r="H939" s="292"/>
      <c r="I939" s="574"/>
      <c r="J939" s="573"/>
      <c r="K939" s="307"/>
      <c r="L939" s="292"/>
      <c r="M939" s="308"/>
      <c r="N939" s="292"/>
      <c r="O939" s="308"/>
      <c r="P939" s="575"/>
      <c r="Q939" s="576"/>
      <c r="R939" s="308"/>
      <c r="S939" s="575"/>
      <c r="T939" s="576"/>
      <c r="U939" s="308"/>
      <c r="V939" s="575"/>
      <c r="W939" s="576"/>
      <c r="X939" s="308"/>
      <c r="Y939" s="575"/>
      <c r="Z939" s="576"/>
      <c r="AA939" s="308"/>
      <c r="AB939" s="575"/>
      <c r="AC939" s="576"/>
      <c r="AD939" s="308"/>
      <c r="AE939" s="575"/>
      <c r="AF939" s="308"/>
      <c r="AG939" s="575"/>
      <c r="AH939" s="308"/>
      <c r="AI939" s="575"/>
      <c r="AJ939" s="308"/>
      <c r="AK939" s="305"/>
      <c r="AL939" s="577"/>
      <c r="AM939" s="306"/>
      <c r="AN939" s="308"/>
      <c r="AO939" s="573"/>
      <c r="AP939" s="305"/>
      <c r="AQ939" s="308"/>
      <c r="AR939" s="573"/>
      <c r="AS939" s="578"/>
      <c r="AT939" s="577"/>
      <c r="AU939" s="579"/>
      <c r="AV939" s="578"/>
      <c r="AW939" s="308"/>
      <c r="AX939" s="307"/>
      <c r="AY939" s="307"/>
      <c r="AZ939" s="307"/>
      <c r="BA939" s="307"/>
      <c r="BB939" s="307"/>
      <c r="BC939" s="305"/>
      <c r="BD939" s="292"/>
      <c r="BE939" s="297"/>
      <c r="BF939" s="297"/>
      <c r="BG939" s="569"/>
      <c r="BH939" s="570"/>
      <c r="BI939" s="570"/>
      <c r="BJ939" s="570"/>
      <c r="BK939" s="570"/>
      <c r="BL939" s="570"/>
      <c r="BM939" s="570"/>
      <c r="BN939" s="570"/>
      <c r="BO939" s="570"/>
      <c r="BP939" s="570"/>
      <c r="BQ939" s="570"/>
      <c r="BR939" s="570"/>
      <c r="BS939" s="570"/>
      <c r="BT939" s="570"/>
      <c r="BU939" s="570"/>
      <c r="BV939" s="570"/>
      <c r="BW939" s="570"/>
      <c r="BX939" s="570"/>
      <c r="BY939" s="570"/>
      <c r="BZ939" s="571"/>
      <c r="CA939" s="571"/>
    </row>
    <row r="940" spans="2:79">
      <c r="B940" s="566">
        <v>925</v>
      </c>
      <c r="C940" s="308"/>
      <c r="D940" s="307"/>
      <c r="E940" s="307"/>
      <c r="F940" s="305"/>
      <c r="G940" s="305"/>
      <c r="H940" s="292"/>
      <c r="I940" s="574"/>
      <c r="J940" s="573"/>
      <c r="K940" s="307"/>
      <c r="L940" s="292"/>
      <c r="M940" s="308"/>
      <c r="N940" s="292"/>
      <c r="O940" s="308"/>
      <c r="P940" s="575"/>
      <c r="Q940" s="576"/>
      <c r="R940" s="308"/>
      <c r="S940" s="575"/>
      <c r="T940" s="576"/>
      <c r="U940" s="308"/>
      <c r="V940" s="575"/>
      <c r="W940" s="576"/>
      <c r="X940" s="308"/>
      <c r="Y940" s="575"/>
      <c r="Z940" s="576"/>
      <c r="AA940" s="308"/>
      <c r="AB940" s="575"/>
      <c r="AC940" s="576"/>
      <c r="AD940" s="308"/>
      <c r="AE940" s="575"/>
      <c r="AF940" s="308"/>
      <c r="AG940" s="575"/>
      <c r="AH940" s="308"/>
      <c r="AI940" s="575"/>
      <c r="AJ940" s="308"/>
      <c r="AK940" s="305"/>
      <c r="AL940" s="577"/>
      <c r="AM940" s="306"/>
      <c r="AN940" s="308"/>
      <c r="AO940" s="573"/>
      <c r="AP940" s="305"/>
      <c r="AQ940" s="308"/>
      <c r="AR940" s="573"/>
      <c r="AS940" s="578"/>
      <c r="AT940" s="577"/>
      <c r="AU940" s="579"/>
      <c r="AV940" s="578"/>
      <c r="AW940" s="308"/>
      <c r="AX940" s="307"/>
      <c r="AY940" s="307"/>
      <c r="AZ940" s="307"/>
      <c r="BA940" s="307"/>
      <c r="BB940" s="307"/>
      <c r="BC940" s="305"/>
      <c r="BD940" s="292"/>
      <c r="BE940" s="297"/>
      <c r="BF940" s="297"/>
      <c r="BG940" s="569"/>
      <c r="BH940" s="570"/>
      <c r="BI940" s="570"/>
      <c r="BJ940" s="570"/>
      <c r="BK940" s="570"/>
      <c r="BL940" s="570"/>
      <c r="BM940" s="570"/>
      <c r="BN940" s="570"/>
      <c r="BO940" s="570"/>
      <c r="BP940" s="570"/>
      <c r="BQ940" s="570"/>
      <c r="BR940" s="570"/>
      <c r="BS940" s="570"/>
      <c r="BT940" s="570"/>
      <c r="BU940" s="570"/>
      <c r="BV940" s="570"/>
      <c r="BW940" s="570"/>
      <c r="BX940" s="570"/>
      <c r="BY940" s="570"/>
      <c r="BZ940" s="571"/>
      <c r="CA940" s="571"/>
    </row>
    <row r="941" spans="2:79">
      <c r="B941" s="572">
        <v>926</v>
      </c>
      <c r="C941" s="308"/>
      <c r="D941" s="307"/>
      <c r="E941" s="307"/>
      <c r="F941" s="305"/>
      <c r="G941" s="305"/>
      <c r="H941" s="292"/>
      <c r="I941" s="574"/>
      <c r="J941" s="573"/>
      <c r="K941" s="307"/>
      <c r="L941" s="292"/>
      <c r="M941" s="308"/>
      <c r="N941" s="292"/>
      <c r="O941" s="308"/>
      <c r="P941" s="575"/>
      <c r="Q941" s="576"/>
      <c r="R941" s="308"/>
      <c r="S941" s="575"/>
      <c r="T941" s="576"/>
      <c r="U941" s="308"/>
      <c r="V941" s="575"/>
      <c r="W941" s="576"/>
      <c r="X941" s="308"/>
      <c r="Y941" s="575"/>
      <c r="Z941" s="576"/>
      <c r="AA941" s="308"/>
      <c r="AB941" s="575"/>
      <c r="AC941" s="576"/>
      <c r="AD941" s="308"/>
      <c r="AE941" s="575"/>
      <c r="AF941" s="308"/>
      <c r="AG941" s="575"/>
      <c r="AH941" s="308"/>
      <c r="AI941" s="575"/>
      <c r="AJ941" s="308"/>
      <c r="AK941" s="305"/>
      <c r="AL941" s="577"/>
      <c r="AM941" s="306"/>
      <c r="AN941" s="308"/>
      <c r="AO941" s="573"/>
      <c r="AP941" s="305"/>
      <c r="AQ941" s="308"/>
      <c r="AR941" s="573"/>
      <c r="AS941" s="578"/>
      <c r="AT941" s="577"/>
      <c r="AU941" s="579"/>
      <c r="AV941" s="578"/>
      <c r="AW941" s="308"/>
      <c r="AX941" s="307"/>
      <c r="AY941" s="307"/>
      <c r="AZ941" s="307"/>
      <c r="BA941" s="307"/>
      <c r="BB941" s="307"/>
      <c r="BC941" s="305"/>
      <c r="BD941" s="292"/>
      <c r="BE941" s="297"/>
      <c r="BF941" s="297"/>
      <c r="BG941" s="569"/>
      <c r="BH941" s="570"/>
      <c r="BI941" s="570"/>
      <c r="BJ941" s="570"/>
      <c r="BK941" s="570"/>
      <c r="BL941" s="570"/>
      <c r="BM941" s="570"/>
      <c r="BN941" s="570"/>
      <c r="BO941" s="570"/>
      <c r="BP941" s="570"/>
      <c r="BQ941" s="570"/>
      <c r="BR941" s="570"/>
      <c r="BS941" s="570"/>
      <c r="BT941" s="570"/>
      <c r="BU941" s="570"/>
      <c r="BV941" s="570"/>
      <c r="BW941" s="570"/>
      <c r="BX941" s="570"/>
      <c r="BY941" s="570"/>
      <c r="BZ941" s="571"/>
      <c r="CA941" s="571"/>
    </row>
    <row r="942" spans="2:79">
      <c r="B942" s="566">
        <v>927</v>
      </c>
      <c r="C942" s="308"/>
      <c r="D942" s="307"/>
      <c r="E942" s="307"/>
      <c r="F942" s="305"/>
      <c r="G942" s="305"/>
      <c r="H942" s="292"/>
      <c r="I942" s="574"/>
      <c r="J942" s="573"/>
      <c r="K942" s="307"/>
      <c r="L942" s="292"/>
      <c r="M942" s="308"/>
      <c r="N942" s="292"/>
      <c r="O942" s="308"/>
      <c r="P942" s="575"/>
      <c r="Q942" s="576"/>
      <c r="R942" s="308"/>
      <c r="S942" s="575"/>
      <c r="T942" s="576"/>
      <c r="U942" s="308"/>
      <c r="V942" s="575"/>
      <c r="W942" s="576"/>
      <c r="X942" s="308"/>
      <c r="Y942" s="575"/>
      <c r="Z942" s="576"/>
      <c r="AA942" s="308"/>
      <c r="AB942" s="575"/>
      <c r="AC942" s="576"/>
      <c r="AD942" s="308"/>
      <c r="AE942" s="575"/>
      <c r="AF942" s="308"/>
      <c r="AG942" s="575"/>
      <c r="AH942" s="308"/>
      <c r="AI942" s="575"/>
      <c r="AJ942" s="308"/>
      <c r="AK942" s="305"/>
      <c r="AL942" s="577"/>
      <c r="AM942" s="306"/>
      <c r="AN942" s="308"/>
      <c r="AO942" s="573"/>
      <c r="AP942" s="305"/>
      <c r="AQ942" s="308"/>
      <c r="AR942" s="573"/>
      <c r="AS942" s="578"/>
      <c r="AT942" s="577"/>
      <c r="AU942" s="579"/>
      <c r="AV942" s="578"/>
      <c r="AW942" s="308"/>
      <c r="AX942" s="307"/>
      <c r="AY942" s="307"/>
      <c r="AZ942" s="307"/>
      <c r="BA942" s="307"/>
      <c r="BB942" s="307"/>
      <c r="BC942" s="305"/>
      <c r="BD942" s="292"/>
      <c r="BE942" s="297"/>
      <c r="BF942" s="297"/>
      <c r="BG942" s="569"/>
      <c r="BH942" s="570"/>
      <c r="BI942" s="570"/>
      <c r="BJ942" s="570"/>
      <c r="BK942" s="570"/>
      <c r="BL942" s="570"/>
      <c r="BM942" s="570"/>
      <c r="BN942" s="570"/>
      <c r="BO942" s="570"/>
      <c r="BP942" s="570"/>
      <c r="BQ942" s="570"/>
      <c r="BR942" s="570"/>
      <c r="BS942" s="570"/>
      <c r="BT942" s="570"/>
      <c r="BU942" s="570"/>
      <c r="BV942" s="570"/>
      <c r="BW942" s="570"/>
      <c r="BX942" s="570"/>
      <c r="BY942" s="570"/>
      <c r="BZ942" s="571"/>
      <c r="CA942" s="571"/>
    </row>
    <row r="943" spans="2:79">
      <c r="B943" s="572">
        <v>928</v>
      </c>
      <c r="C943" s="308"/>
      <c r="D943" s="307"/>
      <c r="E943" s="307"/>
      <c r="F943" s="305"/>
      <c r="G943" s="305"/>
      <c r="H943" s="292"/>
      <c r="I943" s="574"/>
      <c r="J943" s="573"/>
      <c r="K943" s="307"/>
      <c r="L943" s="292"/>
      <c r="M943" s="308"/>
      <c r="N943" s="292"/>
      <c r="O943" s="308"/>
      <c r="P943" s="575"/>
      <c r="Q943" s="576"/>
      <c r="R943" s="308"/>
      <c r="S943" s="575"/>
      <c r="T943" s="576"/>
      <c r="U943" s="308"/>
      <c r="V943" s="575"/>
      <c r="W943" s="576"/>
      <c r="X943" s="308"/>
      <c r="Y943" s="575"/>
      <c r="Z943" s="576"/>
      <c r="AA943" s="308"/>
      <c r="AB943" s="575"/>
      <c r="AC943" s="576"/>
      <c r="AD943" s="308"/>
      <c r="AE943" s="575"/>
      <c r="AF943" s="308"/>
      <c r="AG943" s="575"/>
      <c r="AH943" s="308"/>
      <c r="AI943" s="575"/>
      <c r="AJ943" s="308"/>
      <c r="AK943" s="305"/>
      <c r="AL943" s="577"/>
      <c r="AM943" s="306"/>
      <c r="AN943" s="308"/>
      <c r="AO943" s="573"/>
      <c r="AP943" s="305"/>
      <c r="AQ943" s="308"/>
      <c r="AR943" s="573"/>
      <c r="AS943" s="578"/>
      <c r="AT943" s="577"/>
      <c r="AU943" s="579"/>
      <c r="AV943" s="578"/>
      <c r="AW943" s="308"/>
      <c r="AX943" s="307"/>
      <c r="AY943" s="307"/>
      <c r="AZ943" s="307"/>
      <c r="BA943" s="307"/>
      <c r="BB943" s="307"/>
      <c r="BC943" s="305"/>
      <c r="BD943" s="292"/>
      <c r="BE943" s="297"/>
      <c r="BF943" s="297"/>
      <c r="BG943" s="569"/>
      <c r="BH943" s="570"/>
      <c r="BI943" s="570"/>
      <c r="BJ943" s="570"/>
      <c r="BK943" s="570"/>
      <c r="BL943" s="570"/>
      <c r="BM943" s="570"/>
      <c r="BN943" s="570"/>
      <c r="BO943" s="570"/>
      <c r="BP943" s="570"/>
      <c r="BQ943" s="570"/>
      <c r="BR943" s="570"/>
      <c r="BS943" s="570"/>
      <c r="BT943" s="570"/>
      <c r="BU943" s="570"/>
      <c r="BV943" s="570"/>
      <c r="BW943" s="570"/>
      <c r="BX943" s="570"/>
      <c r="BY943" s="570"/>
      <c r="BZ943" s="571"/>
      <c r="CA943" s="571"/>
    </row>
    <row r="944" spans="2:79">
      <c r="B944" s="566">
        <v>929</v>
      </c>
      <c r="C944" s="308"/>
      <c r="D944" s="307"/>
      <c r="E944" s="307"/>
      <c r="F944" s="305"/>
      <c r="G944" s="305"/>
      <c r="H944" s="292"/>
      <c r="I944" s="574"/>
      <c r="J944" s="573"/>
      <c r="K944" s="307"/>
      <c r="L944" s="292"/>
      <c r="M944" s="308"/>
      <c r="N944" s="292"/>
      <c r="O944" s="308"/>
      <c r="P944" s="575"/>
      <c r="Q944" s="576"/>
      <c r="R944" s="308"/>
      <c r="S944" s="575"/>
      <c r="T944" s="576"/>
      <c r="U944" s="308"/>
      <c r="V944" s="575"/>
      <c r="W944" s="576"/>
      <c r="X944" s="308"/>
      <c r="Y944" s="575"/>
      <c r="Z944" s="576"/>
      <c r="AA944" s="308"/>
      <c r="AB944" s="575"/>
      <c r="AC944" s="576"/>
      <c r="AD944" s="308"/>
      <c r="AE944" s="575"/>
      <c r="AF944" s="308"/>
      <c r="AG944" s="575"/>
      <c r="AH944" s="308"/>
      <c r="AI944" s="575"/>
      <c r="AJ944" s="308"/>
      <c r="AK944" s="305"/>
      <c r="AL944" s="577"/>
      <c r="AM944" s="306"/>
      <c r="AN944" s="308"/>
      <c r="AO944" s="573"/>
      <c r="AP944" s="305"/>
      <c r="AQ944" s="308"/>
      <c r="AR944" s="573"/>
      <c r="AS944" s="578"/>
      <c r="AT944" s="577"/>
      <c r="AU944" s="579"/>
      <c r="AV944" s="578"/>
      <c r="AW944" s="308"/>
      <c r="AX944" s="307"/>
      <c r="AY944" s="307"/>
      <c r="AZ944" s="307"/>
      <c r="BA944" s="307"/>
      <c r="BB944" s="307"/>
      <c r="BC944" s="305"/>
      <c r="BD944" s="292"/>
      <c r="BE944" s="297"/>
      <c r="BF944" s="297"/>
      <c r="BG944" s="569"/>
      <c r="BH944" s="570"/>
      <c r="BI944" s="570"/>
      <c r="BJ944" s="570"/>
      <c r="BK944" s="570"/>
      <c r="BL944" s="570"/>
      <c r="BM944" s="570"/>
      <c r="BN944" s="570"/>
      <c r="BO944" s="570"/>
      <c r="BP944" s="570"/>
      <c r="BQ944" s="570"/>
      <c r="BR944" s="570"/>
      <c r="BS944" s="570"/>
      <c r="BT944" s="570"/>
      <c r="BU944" s="570"/>
      <c r="BV944" s="570"/>
      <c r="BW944" s="570"/>
      <c r="BX944" s="570"/>
      <c r="BY944" s="570"/>
      <c r="BZ944" s="571"/>
      <c r="CA944" s="571"/>
    </row>
    <row r="945" spans="2:79">
      <c r="B945" s="572">
        <v>930</v>
      </c>
      <c r="C945" s="308"/>
      <c r="D945" s="307"/>
      <c r="E945" s="307"/>
      <c r="F945" s="305"/>
      <c r="G945" s="305"/>
      <c r="H945" s="292"/>
      <c r="I945" s="574"/>
      <c r="J945" s="573"/>
      <c r="K945" s="307"/>
      <c r="L945" s="292"/>
      <c r="M945" s="308"/>
      <c r="N945" s="292"/>
      <c r="O945" s="308"/>
      <c r="P945" s="575"/>
      <c r="Q945" s="576"/>
      <c r="R945" s="308"/>
      <c r="S945" s="575"/>
      <c r="T945" s="576"/>
      <c r="U945" s="308"/>
      <c r="V945" s="575"/>
      <c r="W945" s="576"/>
      <c r="X945" s="308"/>
      <c r="Y945" s="575"/>
      <c r="Z945" s="576"/>
      <c r="AA945" s="308"/>
      <c r="AB945" s="575"/>
      <c r="AC945" s="576"/>
      <c r="AD945" s="308"/>
      <c r="AE945" s="575"/>
      <c r="AF945" s="308"/>
      <c r="AG945" s="575"/>
      <c r="AH945" s="308"/>
      <c r="AI945" s="575"/>
      <c r="AJ945" s="308"/>
      <c r="AK945" s="305"/>
      <c r="AL945" s="577"/>
      <c r="AM945" s="306"/>
      <c r="AN945" s="308"/>
      <c r="AO945" s="573"/>
      <c r="AP945" s="305"/>
      <c r="AQ945" s="308"/>
      <c r="AR945" s="573"/>
      <c r="AS945" s="578"/>
      <c r="AT945" s="577"/>
      <c r="AU945" s="579"/>
      <c r="AV945" s="578"/>
      <c r="AW945" s="308"/>
      <c r="AX945" s="307"/>
      <c r="AY945" s="307"/>
      <c r="AZ945" s="307"/>
      <c r="BA945" s="307"/>
      <c r="BB945" s="307"/>
      <c r="BC945" s="305"/>
      <c r="BD945" s="292"/>
      <c r="BE945" s="297"/>
      <c r="BF945" s="297"/>
      <c r="BG945" s="569"/>
      <c r="BH945" s="570"/>
      <c r="BI945" s="570"/>
      <c r="BJ945" s="570"/>
      <c r="BK945" s="570"/>
      <c r="BL945" s="570"/>
      <c r="BM945" s="570"/>
      <c r="BN945" s="570"/>
      <c r="BO945" s="570"/>
      <c r="BP945" s="570"/>
      <c r="BQ945" s="570"/>
      <c r="BR945" s="570"/>
      <c r="BS945" s="570"/>
      <c r="BT945" s="570"/>
      <c r="BU945" s="570"/>
      <c r="BV945" s="570"/>
      <c r="BW945" s="570"/>
      <c r="BX945" s="570"/>
      <c r="BY945" s="570"/>
      <c r="BZ945" s="571"/>
      <c r="CA945" s="571"/>
    </row>
    <row r="946" spans="2:79">
      <c r="B946" s="566">
        <v>931</v>
      </c>
      <c r="C946" s="308"/>
      <c r="D946" s="307"/>
      <c r="E946" s="307"/>
      <c r="F946" s="305"/>
      <c r="G946" s="305"/>
      <c r="H946" s="292"/>
      <c r="I946" s="574"/>
      <c r="J946" s="573"/>
      <c r="K946" s="307"/>
      <c r="L946" s="292"/>
      <c r="M946" s="308"/>
      <c r="N946" s="292"/>
      <c r="O946" s="308"/>
      <c r="P946" s="575"/>
      <c r="Q946" s="576"/>
      <c r="R946" s="308"/>
      <c r="S946" s="575"/>
      <c r="T946" s="576"/>
      <c r="U946" s="308"/>
      <c r="V946" s="575"/>
      <c r="W946" s="576"/>
      <c r="X946" s="308"/>
      <c r="Y946" s="575"/>
      <c r="Z946" s="576"/>
      <c r="AA946" s="308"/>
      <c r="AB946" s="575"/>
      <c r="AC946" s="576"/>
      <c r="AD946" s="308"/>
      <c r="AE946" s="575"/>
      <c r="AF946" s="308"/>
      <c r="AG946" s="575"/>
      <c r="AH946" s="308"/>
      <c r="AI946" s="575"/>
      <c r="AJ946" s="308"/>
      <c r="AK946" s="305"/>
      <c r="AL946" s="577"/>
      <c r="AM946" s="306"/>
      <c r="AN946" s="308"/>
      <c r="AO946" s="573"/>
      <c r="AP946" s="305"/>
      <c r="AQ946" s="308"/>
      <c r="AR946" s="573"/>
      <c r="AS946" s="578"/>
      <c r="AT946" s="577"/>
      <c r="AU946" s="579"/>
      <c r="AV946" s="578"/>
      <c r="AW946" s="308"/>
      <c r="AX946" s="307"/>
      <c r="AY946" s="307"/>
      <c r="AZ946" s="307"/>
      <c r="BA946" s="307"/>
      <c r="BB946" s="307"/>
      <c r="BC946" s="305"/>
      <c r="BD946" s="292"/>
      <c r="BE946" s="297"/>
      <c r="BF946" s="297"/>
      <c r="BG946" s="569"/>
      <c r="BH946" s="570"/>
      <c r="BI946" s="570"/>
      <c r="BJ946" s="570"/>
      <c r="BK946" s="570"/>
      <c r="BL946" s="570"/>
      <c r="BM946" s="570"/>
      <c r="BN946" s="570"/>
      <c r="BO946" s="570"/>
      <c r="BP946" s="570"/>
      <c r="BQ946" s="570"/>
      <c r="BR946" s="570"/>
      <c r="BS946" s="570"/>
      <c r="BT946" s="570"/>
      <c r="BU946" s="570"/>
      <c r="BV946" s="570"/>
      <c r="BW946" s="570"/>
      <c r="BX946" s="570"/>
      <c r="BY946" s="570"/>
      <c r="BZ946" s="571"/>
      <c r="CA946" s="571"/>
    </row>
    <row r="947" spans="2:79">
      <c r="B947" s="572">
        <v>932</v>
      </c>
      <c r="C947" s="308"/>
      <c r="D947" s="307"/>
      <c r="E947" s="307"/>
      <c r="F947" s="305"/>
      <c r="G947" s="305"/>
      <c r="H947" s="292"/>
      <c r="I947" s="574"/>
      <c r="J947" s="573"/>
      <c r="K947" s="307"/>
      <c r="L947" s="292"/>
      <c r="M947" s="308"/>
      <c r="N947" s="292"/>
      <c r="O947" s="308"/>
      <c r="P947" s="575"/>
      <c r="Q947" s="576"/>
      <c r="R947" s="308"/>
      <c r="S947" s="575"/>
      <c r="T947" s="576"/>
      <c r="U947" s="308"/>
      <c r="V947" s="575"/>
      <c r="W947" s="576"/>
      <c r="X947" s="308"/>
      <c r="Y947" s="575"/>
      <c r="Z947" s="576"/>
      <c r="AA947" s="308"/>
      <c r="AB947" s="575"/>
      <c r="AC947" s="576"/>
      <c r="AD947" s="308"/>
      <c r="AE947" s="575"/>
      <c r="AF947" s="308"/>
      <c r="AG947" s="575"/>
      <c r="AH947" s="308"/>
      <c r="AI947" s="575"/>
      <c r="AJ947" s="308"/>
      <c r="AK947" s="305"/>
      <c r="AL947" s="577"/>
      <c r="AM947" s="306"/>
      <c r="AN947" s="308"/>
      <c r="AO947" s="573"/>
      <c r="AP947" s="305"/>
      <c r="AQ947" s="308"/>
      <c r="AR947" s="573"/>
      <c r="AS947" s="578"/>
      <c r="AT947" s="577"/>
      <c r="AU947" s="579"/>
      <c r="AV947" s="578"/>
      <c r="AW947" s="308"/>
      <c r="AX947" s="307"/>
      <c r="AY947" s="307"/>
      <c r="AZ947" s="307"/>
      <c r="BA947" s="307"/>
      <c r="BB947" s="307"/>
      <c r="BC947" s="305"/>
      <c r="BD947" s="292"/>
      <c r="BE947" s="297"/>
      <c r="BF947" s="297"/>
      <c r="BG947" s="569"/>
      <c r="BH947" s="570"/>
      <c r="BI947" s="570"/>
      <c r="BJ947" s="570"/>
      <c r="BK947" s="570"/>
      <c r="BL947" s="570"/>
      <c r="BM947" s="570"/>
      <c r="BN947" s="570"/>
      <c r="BO947" s="570"/>
      <c r="BP947" s="570"/>
      <c r="BQ947" s="570"/>
      <c r="BR947" s="570"/>
      <c r="BS947" s="570"/>
      <c r="BT947" s="570"/>
      <c r="BU947" s="570"/>
      <c r="BV947" s="570"/>
      <c r="BW947" s="570"/>
      <c r="BX947" s="570"/>
      <c r="BY947" s="570"/>
      <c r="BZ947" s="571"/>
      <c r="CA947" s="571"/>
    </row>
    <row r="948" spans="2:79">
      <c r="B948" s="566">
        <v>933</v>
      </c>
      <c r="C948" s="308"/>
      <c r="D948" s="307"/>
      <c r="E948" s="307"/>
      <c r="F948" s="305"/>
      <c r="G948" s="305"/>
      <c r="H948" s="292"/>
      <c r="I948" s="574"/>
      <c r="J948" s="573"/>
      <c r="K948" s="307"/>
      <c r="L948" s="292"/>
      <c r="M948" s="308"/>
      <c r="N948" s="292"/>
      <c r="O948" s="308"/>
      <c r="P948" s="575"/>
      <c r="Q948" s="576"/>
      <c r="R948" s="308"/>
      <c r="S948" s="575"/>
      <c r="T948" s="576"/>
      <c r="U948" s="308"/>
      <c r="V948" s="575"/>
      <c r="W948" s="576"/>
      <c r="X948" s="308"/>
      <c r="Y948" s="575"/>
      <c r="Z948" s="576"/>
      <c r="AA948" s="308"/>
      <c r="AB948" s="575"/>
      <c r="AC948" s="576"/>
      <c r="AD948" s="308"/>
      <c r="AE948" s="575"/>
      <c r="AF948" s="308"/>
      <c r="AG948" s="575"/>
      <c r="AH948" s="308"/>
      <c r="AI948" s="575"/>
      <c r="AJ948" s="308"/>
      <c r="AK948" s="305"/>
      <c r="AL948" s="577"/>
      <c r="AM948" s="306"/>
      <c r="AN948" s="308"/>
      <c r="AO948" s="573"/>
      <c r="AP948" s="305"/>
      <c r="AQ948" s="308"/>
      <c r="AR948" s="573"/>
      <c r="AS948" s="578"/>
      <c r="AT948" s="577"/>
      <c r="AU948" s="579"/>
      <c r="AV948" s="578"/>
      <c r="AW948" s="308"/>
      <c r="AX948" s="307"/>
      <c r="AY948" s="307"/>
      <c r="AZ948" s="307"/>
      <c r="BA948" s="307"/>
      <c r="BB948" s="307"/>
      <c r="BC948" s="305"/>
      <c r="BD948" s="292"/>
      <c r="BE948" s="297"/>
      <c r="BF948" s="297"/>
      <c r="BG948" s="569"/>
      <c r="BH948" s="570"/>
      <c r="BI948" s="570"/>
      <c r="BJ948" s="570"/>
      <c r="BK948" s="570"/>
      <c r="BL948" s="570"/>
      <c r="BM948" s="570"/>
      <c r="BN948" s="570"/>
      <c r="BO948" s="570"/>
      <c r="BP948" s="570"/>
      <c r="BQ948" s="570"/>
      <c r="BR948" s="570"/>
      <c r="BS948" s="570"/>
      <c r="BT948" s="570"/>
      <c r="BU948" s="570"/>
      <c r="BV948" s="570"/>
      <c r="BW948" s="570"/>
      <c r="BX948" s="570"/>
      <c r="BY948" s="570"/>
      <c r="BZ948" s="571"/>
      <c r="CA948" s="571"/>
    </row>
    <row r="949" spans="2:79">
      <c r="B949" s="572">
        <v>934</v>
      </c>
      <c r="C949" s="308"/>
      <c r="D949" s="307"/>
      <c r="E949" s="307"/>
      <c r="F949" s="305"/>
      <c r="G949" s="305"/>
      <c r="H949" s="292"/>
      <c r="I949" s="574"/>
      <c r="J949" s="573"/>
      <c r="K949" s="307"/>
      <c r="L949" s="292"/>
      <c r="M949" s="308"/>
      <c r="N949" s="292"/>
      <c r="O949" s="308"/>
      <c r="P949" s="575"/>
      <c r="Q949" s="576"/>
      <c r="R949" s="308"/>
      <c r="S949" s="575"/>
      <c r="T949" s="576"/>
      <c r="U949" s="308"/>
      <c r="V949" s="575"/>
      <c r="W949" s="576"/>
      <c r="X949" s="308"/>
      <c r="Y949" s="575"/>
      <c r="Z949" s="576"/>
      <c r="AA949" s="308"/>
      <c r="AB949" s="575"/>
      <c r="AC949" s="576"/>
      <c r="AD949" s="308"/>
      <c r="AE949" s="575"/>
      <c r="AF949" s="308"/>
      <c r="AG949" s="575"/>
      <c r="AH949" s="308"/>
      <c r="AI949" s="575"/>
      <c r="AJ949" s="308"/>
      <c r="AK949" s="305"/>
      <c r="AL949" s="577"/>
      <c r="AM949" s="306"/>
      <c r="AN949" s="308"/>
      <c r="AO949" s="573"/>
      <c r="AP949" s="305"/>
      <c r="AQ949" s="308"/>
      <c r="AR949" s="573"/>
      <c r="AS949" s="578"/>
      <c r="AT949" s="577"/>
      <c r="AU949" s="579"/>
      <c r="AV949" s="578"/>
      <c r="AW949" s="308"/>
      <c r="AX949" s="307"/>
      <c r="AY949" s="307"/>
      <c r="AZ949" s="307"/>
      <c r="BA949" s="307"/>
      <c r="BB949" s="307"/>
      <c r="BC949" s="305"/>
      <c r="BD949" s="292"/>
      <c r="BE949" s="297"/>
      <c r="BF949" s="297"/>
      <c r="BG949" s="569"/>
      <c r="BH949" s="570"/>
      <c r="BI949" s="570"/>
      <c r="BJ949" s="570"/>
      <c r="BK949" s="570"/>
      <c r="BL949" s="570"/>
      <c r="BM949" s="570"/>
      <c r="BN949" s="570"/>
      <c r="BO949" s="570"/>
      <c r="BP949" s="570"/>
      <c r="BQ949" s="570"/>
      <c r="BR949" s="570"/>
      <c r="BS949" s="570"/>
      <c r="BT949" s="570"/>
      <c r="BU949" s="570"/>
      <c r="BV949" s="570"/>
      <c r="BW949" s="570"/>
      <c r="BX949" s="570"/>
      <c r="BY949" s="570"/>
      <c r="BZ949" s="571"/>
      <c r="CA949" s="571"/>
    </row>
    <row r="950" spans="2:79">
      <c r="B950" s="566">
        <v>935</v>
      </c>
      <c r="C950" s="308"/>
      <c r="D950" s="307"/>
      <c r="E950" s="307"/>
      <c r="F950" s="305"/>
      <c r="G950" s="305"/>
      <c r="H950" s="292"/>
      <c r="I950" s="574"/>
      <c r="J950" s="573"/>
      <c r="K950" s="307"/>
      <c r="L950" s="292"/>
      <c r="M950" s="308"/>
      <c r="N950" s="292"/>
      <c r="O950" s="308"/>
      <c r="P950" s="575"/>
      <c r="Q950" s="576"/>
      <c r="R950" s="308"/>
      <c r="S950" s="575"/>
      <c r="T950" s="576"/>
      <c r="U950" s="308"/>
      <c r="V950" s="575"/>
      <c r="W950" s="576"/>
      <c r="X950" s="308"/>
      <c r="Y950" s="575"/>
      <c r="Z950" s="576"/>
      <c r="AA950" s="308"/>
      <c r="AB950" s="575"/>
      <c r="AC950" s="576"/>
      <c r="AD950" s="308"/>
      <c r="AE950" s="575"/>
      <c r="AF950" s="308"/>
      <c r="AG950" s="575"/>
      <c r="AH950" s="308"/>
      <c r="AI950" s="575"/>
      <c r="AJ950" s="308"/>
      <c r="AK950" s="305"/>
      <c r="AL950" s="577"/>
      <c r="AM950" s="306"/>
      <c r="AN950" s="308"/>
      <c r="AO950" s="573"/>
      <c r="AP950" s="305"/>
      <c r="AQ950" s="308"/>
      <c r="AR950" s="573"/>
      <c r="AS950" s="578"/>
      <c r="AT950" s="577"/>
      <c r="AU950" s="579"/>
      <c r="AV950" s="578"/>
      <c r="AW950" s="308"/>
      <c r="AX950" s="307"/>
      <c r="AY950" s="307"/>
      <c r="AZ950" s="307"/>
      <c r="BA950" s="307"/>
      <c r="BB950" s="307"/>
      <c r="BC950" s="305"/>
      <c r="BD950" s="292"/>
      <c r="BE950" s="297"/>
      <c r="BF950" s="297"/>
      <c r="BG950" s="569"/>
      <c r="BH950" s="570"/>
      <c r="BI950" s="570"/>
      <c r="BJ950" s="570"/>
      <c r="BK950" s="570"/>
      <c r="BL950" s="570"/>
      <c r="BM950" s="570"/>
      <c r="BN950" s="570"/>
      <c r="BO950" s="570"/>
      <c r="BP950" s="570"/>
      <c r="BQ950" s="570"/>
      <c r="BR950" s="570"/>
      <c r="BS950" s="570"/>
      <c r="BT950" s="570"/>
      <c r="BU950" s="570"/>
      <c r="BV950" s="570"/>
      <c r="BW950" s="570"/>
      <c r="BX950" s="570"/>
      <c r="BY950" s="570"/>
      <c r="BZ950" s="571"/>
      <c r="CA950" s="571"/>
    </row>
    <row r="951" spans="2:79">
      <c r="B951" s="572">
        <v>936</v>
      </c>
      <c r="C951" s="308"/>
      <c r="D951" s="307"/>
      <c r="E951" s="307"/>
      <c r="F951" s="305"/>
      <c r="G951" s="305"/>
      <c r="H951" s="292"/>
      <c r="I951" s="574"/>
      <c r="J951" s="573"/>
      <c r="K951" s="307"/>
      <c r="L951" s="292"/>
      <c r="M951" s="308"/>
      <c r="N951" s="292"/>
      <c r="O951" s="308"/>
      <c r="P951" s="575"/>
      <c r="Q951" s="576"/>
      <c r="R951" s="308"/>
      <c r="S951" s="575"/>
      <c r="T951" s="576"/>
      <c r="U951" s="308"/>
      <c r="V951" s="575"/>
      <c r="W951" s="576"/>
      <c r="X951" s="308"/>
      <c r="Y951" s="575"/>
      <c r="Z951" s="576"/>
      <c r="AA951" s="308"/>
      <c r="AB951" s="575"/>
      <c r="AC951" s="576"/>
      <c r="AD951" s="308"/>
      <c r="AE951" s="575"/>
      <c r="AF951" s="308"/>
      <c r="AG951" s="575"/>
      <c r="AH951" s="308"/>
      <c r="AI951" s="575"/>
      <c r="AJ951" s="308"/>
      <c r="AK951" s="305"/>
      <c r="AL951" s="577"/>
      <c r="AM951" s="306"/>
      <c r="AN951" s="308"/>
      <c r="AO951" s="573"/>
      <c r="AP951" s="305"/>
      <c r="AQ951" s="308"/>
      <c r="AR951" s="573"/>
      <c r="AS951" s="578"/>
      <c r="AT951" s="577"/>
      <c r="AU951" s="579"/>
      <c r="AV951" s="578"/>
      <c r="AW951" s="308"/>
      <c r="AX951" s="307"/>
      <c r="AY951" s="307"/>
      <c r="AZ951" s="307"/>
      <c r="BA951" s="307"/>
      <c r="BB951" s="307"/>
      <c r="BC951" s="305"/>
      <c r="BD951" s="292"/>
      <c r="BE951" s="297"/>
      <c r="BF951" s="297"/>
      <c r="BG951" s="569"/>
      <c r="BH951" s="570"/>
      <c r="BI951" s="570"/>
      <c r="BJ951" s="570"/>
      <c r="BK951" s="570"/>
      <c r="BL951" s="570"/>
      <c r="BM951" s="570"/>
      <c r="BN951" s="570"/>
      <c r="BO951" s="570"/>
      <c r="BP951" s="570"/>
      <c r="BQ951" s="570"/>
      <c r="BR951" s="570"/>
      <c r="BS951" s="570"/>
      <c r="BT951" s="570"/>
      <c r="BU951" s="570"/>
      <c r="BV951" s="570"/>
      <c r="BW951" s="570"/>
      <c r="BX951" s="570"/>
      <c r="BY951" s="570"/>
      <c r="BZ951" s="571"/>
      <c r="CA951" s="571"/>
    </row>
    <row r="952" spans="2:79">
      <c r="B952" s="566">
        <v>937</v>
      </c>
      <c r="C952" s="308"/>
      <c r="D952" s="307"/>
      <c r="E952" s="307"/>
      <c r="F952" s="305"/>
      <c r="G952" s="305"/>
      <c r="H952" s="292"/>
      <c r="I952" s="574"/>
      <c r="J952" s="573"/>
      <c r="K952" s="307"/>
      <c r="L952" s="292"/>
      <c r="M952" s="308"/>
      <c r="N952" s="292"/>
      <c r="O952" s="308"/>
      <c r="P952" s="575"/>
      <c r="Q952" s="576"/>
      <c r="R952" s="308"/>
      <c r="S952" s="575"/>
      <c r="T952" s="576"/>
      <c r="U952" s="308"/>
      <c r="V952" s="575"/>
      <c r="W952" s="576"/>
      <c r="X952" s="308"/>
      <c r="Y952" s="575"/>
      <c r="Z952" s="576"/>
      <c r="AA952" s="308"/>
      <c r="AB952" s="575"/>
      <c r="AC952" s="576"/>
      <c r="AD952" s="308"/>
      <c r="AE952" s="575"/>
      <c r="AF952" s="308"/>
      <c r="AG952" s="575"/>
      <c r="AH952" s="308"/>
      <c r="AI952" s="575"/>
      <c r="AJ952" s="308"/>
      <c r="AK952" s="305"/>
      <c r="AL952" s="577"/>
      <c r="AM952" s="306"/>
      <c r="AN952" s="308"/>
      <c r="AO952" s="573"/>
      <c r="AP952" s="305"/>
      <c r="AQ952" s="308"/>
      <c r="AR952" s="573"/>
      <c r="AS952" s="578"/>
      <c r="AT952" s="577"/>
      <c r="AU952" s="579"/>
      <c r="AV952" s="578"/>
      <c r="AW952" s="308"/>
      <c r="AX952" s="307"/>
      <c r="AY952" s="307"/>
      <c r="AZ952" s="307"/>
      <c r="BA952" s="307"/>
      <c r="BB952" s="307"/>
      <c r="BC952" s="305"/>
      <c r="BD952" s="292"/>
      <c r="BE952" s="297"/>
      <c r="BF952" s="297"/>
      <c r="BG952" s="569"/>
      <c r="BH952" s="570"/>
      <c r="BI952" s="570"/>
      <c r="BJ952" s="570"/>
      <c r="BK952" s="570"/>
      <c r="BL952" s="570"/>
      <c r="BM952" s="570"/>
      <c r="BN952" s="570"/>
      <c r="BO952" s="570"/>
      <c r="BP952" s="570"/>
      <c r="BQ952" s="570"/>
      <c r="BR952" s="570"/>
      <c r="BS952" s="570"/>
      <c r="BT952" s="570"/>
      <c r="BU952" s="570"/>
      <c r="BV952" s="570"/>
      <c r="BW952" s="570"/>
      <c r="BX952" s="570"/>
      <c r="BY952" s="570"/>
      <c r="BZ952" s="571"/>
      <c r="CA952" s="571"/>
    </row>
    <row r="953" spans="2:79">
      <c r="B953" s="572">
        <v>938</v>
      </c>
      <c r="C953" s="308"/>
      <c r="D953" s="307"/>
      <c r="E953" s="307"/>
      <c r="F953" s="305"/>
      <c r="G953" s="305"/>
      <c r="H953" s="292"/>
      <c r="I953" s="574"/>
      <c r="J953" s="573"/>
      <c r="K953" s="307"/>
      <c r="L953" s="292"/>
      <c r="M953" s="308"/>
      <c r="N953" s="292"/>
      <c r="O953" s="308"/>
      <c r="P953" s="575"/>
      <c r="Q953" s="576"/>
      <c r="R953" s="308"/>
      <c r="S953" s="575"/>
      <c r="T953" s="576"/>
      <c r="U953" s="308"/>
      <c r="V953" s="575"/>
      <c r="W953" s="576"/>
      <c r="X953" s="308"/>
      <c r="Y953" s="575"/>
      <c r="Z953" s="576"/>
      <c r="AA953" s="308"/>
      <c r="AB953" s="575"/>
      <c r="AC953" s="576"/>
      <c r="AD953" s="308"/>
      <c r="AE953" s="575"/>
      <c r="AF953" s="308"/>
      <c r="AG953" s="575"/>
      <c r="AH953" s="308"/>
      <c r="AI953" s="575"/>
      <c r="AJ953" s="308"/>
      <c r="AK953" s="305"/>
      <c r="AL953" s="577"/>
      <c r="AM953" s="306"/>
      <c r="AN953" s="308"/>
      <c r="AO953" s="573"/>
      <c r="AP953" s="305"/>
      <c r="AQ953" s="308"/>
      <c r="AR953" s="573"/>
      <c r="AS953" s="578"/>
      <c r="AT953" s="577"/>
      <c r="AU953" s="579"/>
      <c r="AV953" s="578"/>
      <c r="AW953" s="308"/>
      <c r="AX953" s="307"/>
      <c r="AY953" s="307"/>
      <c r="AZ953" s="307"/>
      <c r="BA953" s="307"/>
      <c r="BB953" s="307"/>
      <c r="BC953" s="305"/>
      <c r="BD953" s="292"/>
      <c r="BE953" s="297"/>
      <c r="BF953" s="297"/>
      <c r="BG953" s="569"/>
      <c r="BH953" s="570"/>
      <c r="BI953" s="570"/>
      <c r="BJ953" s="570"/>
      <c r="BK953" s="570"/>
      <c r="BL953" s="570"/>
      <c r="BM953" s="570"/>
      <c r="BN953" s="570"/>
      <c r="BO953" s="570"/>
      <c r="BP953" s="570"/>
      <c r="BQ953" s="570"/>
      <c r="BR953" s="570"/>
      <c r="BS953" s="570"/>
      <c r="BT953" s="570"/>
      <c r="BU953" s="570"/>
      <c r="BV953" s="570"/>
      <c r="BW953" s="570"/>
      <c r="BX953" s="570"/>
      <c r="BY953" s="570"/>
      <c r="BZ953" s="571"/>
      <c r="CA953" s="571"/>
    </row>
    <row r="954" spans="2:79">
      <c r="B954" s="566">
        <v>939</v>
      </c>
      <c r="C954" s="308"/>
      <c r="D954" s="307"/>
      <c r="E954" s="307"/>
      <c r="F954" s="305"/>
      <c r="G954" s="305"/>
      <c r="H954" s="292"/>
      <c r="I954" s="574"/>
      <c r="J954" s="573"/>
      <c r="K954" s="307"/>
      <c r="L954" s="292"/>
      <c r="M954" s="308"/>
      <c r="N954" s="292"/>
      <c r="O954" s="308"/>
      <c r="P954" s="575"/>
      <c r="Q954" s="576"/>
      <c r="R954" s="308"/>
      <c r="S954" s="575"/>
      <c r="T954" s="576"/>
      <c r="U954" s="308"/>
      <c r="V954" s="575"/>
      <c r="W954" s="576"/>
      <c r="X954" s="308"/>
      <c r="Y954" s="575"/>
      <c r="Z954" s="576"/>
      <c r="AA954" s="308"/>
      <c r="AB954" s="575"/>
      <c r="AC954" s="576"/>
      <c r="AD954" s="308"/>
      <c r="AE954" s="575"/>
      <c r="AF954" s="308"/>
      <c r="AG954" s="575"/>
      <c r="AH954" s="308"/>
      <c r="AI954" s="575"/>
      <c r="AJ954" s="308"/>
      <c r="AK954" s="305"/>
      <c r="AL954" s="577"/>
      <c r="AM954" s="306"/>
      <c r="AN954" s="308"/>
      <c r="AO954" s="573"/>
      <c r="AP954" s="305"/>
      <c r="AQ954" s="308"/>
      <c r="AR954" s="573"/>
      <c r="AS954" s="578"/>
      <c r="AT954" s="577"/>
      <c r="AU954" s="579"/>
      <c r="AV954" s="578"/>
      <c r="AW954" s="308"/>
      <c r="AX954" s="307"/>
      <c r="AY954" s="307"/>
      <c r="AZ954" s="307"/>
      <c r="BA954" s="307"/>
      <c r="BB954" s="307"/>
      <c r="BC954" s="305"/>
      <c r="BD954" s="292"/>
      <c r="BE954" s="297"/>
      <c r="BF954" s="297"/>
      <c r="BG954" s="569"/>
      <c r="BH954" s="570"/>
      <c r="BI954" s="570"/>
      <c r="BJ954" s="570"/>
      <c r="BK954" s="570"/>
      <c r="BL954" s="570"/>
      <c r="BM954" s="570"/>
      <c r="BN954" s="570"/>
      <c r="BO954" s="570"/>
      <c r="BP954" s="570"/>
      <c r="BQ954" s="570"/>
      <c r="BR954" s="570"/>
      <c r="BS954" s="570"/>
      <c r="BT954" s="570"/>
      <c r="BU954" s="570"/>
      <c r="BV954" s="570"/>
      <c r="BW954" s="570"/>
      <c r="BX954" s="570"/>
      <c r="BY954" s="570"/>
      <c r="BZ954" s="571"/>
      <c r="CA954" s="571"/>
    </row>
    <row r="955" spans="2:79">
      <c r="B955" s="572">
        <v>940</v>
      </c>
      <c r="C955" s="308"/>
      <c r="D955" s="307"/>
      <c r="E955" s="307"/>
      <c r="F955" s="305"/>
      <c r="G955" s="305"/>
      <c r="H955" s="292"/>
      <c r="I955" s="574"/>
      <c r="J955" s="573"/>
      <c r="K955" s="307"/>
      <c r="L955" s="292"/>
      <c r="M955" s="308"/>
      <c r="N955" s="292"/>
      <c r="O955" s="308"/>
      <c r="P955" s="575"/>
      <c r="Q955" s="576"/>
      <c r="R955" s="308"/>
      <c r="S955" s="575"/>
      <c r="T955" s="576"/>
      <c r="U955" s="308"/>
      <c r="V955" s="575"/>
      <c r="W955" s="576"/>
      <c r="X955" s="308"/>
      <c r="Y955" s="575"/>
      <c r="Z955" s="576"/>
      <c r="AA955" s="308"/>
      <c r="AB955" s="575"/>
      <c r="AC955" s="576"/>
      <c r="AD955" s="308"/>
      <c r="AE955" s="575"/>
      <c r="AF955" s="308"/>
      <c r="AG955" s="575"/>
      <c r="AH955" s="308"/>
      <c r="AI955" s="575"/>
      <c r="AJ955" s="308"/>
      <c r="AK955" s="305"/>
      <c r="AL955" s="577"/>
      <c r="AM955" s="306"/>
      <c r="AN955" s="308"/>
      <c r="AO955" s="573"/>
      <c r="AP955" s="305"/>
      <c r="AQ955" s="308"/>
      <c r="AR955" s="573"/>
      <c r="AS955" s="578"/>
      <c r="AT955" s="577"/>
      <c r="AU955" s="579"/>
      <c r="AV955" s="578"/>
      <c r="AW955" s="308"/>
      <c r="AX955" s="307"/>
      <c r="AY955" s="307"/>
      <c r="AZ955" s="307"/>
      <c r="BA955" s="307"/>
      <c r="BB955" s="307"/>
      <c r="BC955" s="305"/>
      <c r="BD955" s="292"/>
      <c r="BE955" s="297"/>
      <c r="BF955" s="297"/>
      <c r="BG955" s="569"/>
      <c r="BH955" s="570"/>
      <c r="BI955" s="570"/>
      <c r="BJ955" s="570"/>
      <c r="BK955" s="570"/>
      <c r="BL955" s="570"/>
      <c r="BM955" s="570"/>
      <c r="BN955" s="570"/>
      <c r="BO955" s="570"/>
      <c r="BP955" s="570"/>
      <c r="BQ955" s="570"/>
      <c r="BR955" s="570"/>
      <c r="BS955" s="570"/>
      <c r="BT955" s="570"/>
      <c r="BU955" s="570"/>
      <c r="BV955" s="570"/>
      <c r="BW955" s="570"/>
      <c r="BX955" s="570"/>
      <c r="BY955" s="570"/>
      <c r="BZ955" s="571"/>
      <c r="CA955" s="571"/>
    </row>
    <row r="956" spans="2:79">
      <c r="B956" s="566">
        <v>941</v>
      </c>
      <c r="C956" s="308"/>
      <c r="D956" s="307"/>
      <c r="E956" s="307"/>
      <c r="F956" s="305"/>
      <c r="G956" s="305"/>
      <c r="H956" s="292"/>
      <c r="I956" s="574"/>
      <c r="J956" s="573"/>
      <c r="K956" s="307"/>
      <c r="L956" s="292"/>
      <c r="M956" s="308"/>
      <c r="N956" s="292"/>
      <c r="O956" s="308"/>
      <c r="P956" s="575"/>
      <c r="Q956" s="576"/>
      <c r="R956" s="308"/>
      <c r="S956" s="575"/>
      <c r="T956" s="576"/>
      <c r="U956" s="308"/>
      <c r="V956" s="575"/>
      <c r="W956" s="576"/>
      <c r="X956" s="308"/>
      <c r="Y956" s="575"/>
      <c r="Z956" s="576"/>
      <c r="AA956" s="308"/>
      <c r="AB956" s="575"/>
      <c r="AC956" s="576"/>
      <c r="AD956" s="308"/>
      <c r="AE956" s="575"/>
      <c r="AF956" s="308"/>
      <c r="AG956" s="575"/>
      <c r="AH956" s="308"/>
      <c r="AI956" s="575"/>
      <c r="AJ956" s="308"/>
      <c r="AK956" s="305"/>
      <c r="AL956" s="577"/>
      <c r="AM956" s="306"/>
      <c r="AN956" s="308"/>
      <c r="AO956" s="573"/>
      <c r="AP956" s="305"/>
      <c r="AQ956" s="308"/>
      <c r="AR956" s="573"/>
      <c r="AS956" s="578"/>
      <c r="AT956" s="577"/>
      <c r="AU956" s="579"/>
      <c r="AV956" s="578"/>
      <c r="AW956" s="308"/>
      <c r="AX956" s="307"/>
      <c r="AY956" s="307"/>
      <c r="AZ956" s="307"/>
      <c r="BA956" s="307"/>
      <c r="BB956" s="307"/>
      <c r="BC956" s="305"/>
      <c r="BD956" s="292"/>
      <c r="BE956" s="297"/>
      <c r="BF956" s="297"/>
      <c r="BG956" s="569"/>
      <c r="BH956" s="570"/>
      <c r="BI956" s="570"/>
      <c r="BJ956" s="570"/>
      <c r="BK956" s="570"/>
      <c r="BL956" s="570"/>
      <c r="BM956" s="570"/>
      <c r="BN956" s="570"/>
      <c r="BO956" s="570"/>
      <c r="BP956" s="570"/>
      <c r="BQ956" s="570"/>
      <c r="BR956" s="570"/>
      <c r="BS956" s="570"/>
      <c r="BT956" s="570"/>
      <c r="BU956" s="570"/>
      <c r="BV956" s="570"/>
      <c r="BW956" s="570"/>
      <c r="BX956" s="570"/>
      <c r="BY956" s="570"/>
      <c r="BZ956" s="571"/>
      <c r="CA956" s="571"/>
    </row>
    <row r="957" spans="2:79">
      <c r="B957" s="572">
        <v>942</v>
      </c>
      <c r="C957" s="308"/>
      <c r="D957" s="307"/>
      <c r="E957" s="307"/>
      <c r="F957" s="305"/>
      <c r="G957" s="305"/>
      <c r="H957" s="292"/>
      <c r="I957" s="574"/>
      <c r="J957" s="573"/>
      <c r="K957" s="307"/>
      <c r="L957" s="292"/>
      <c r="M957" s="308"/>
      <c r="N957" s="292"/>
      <c r="O957" s="308"/>
      <c r="P957" s="575"/>
      <c r="Q957" s="576"/>
      <c r="R957" s="308"/>
      <c r="S957" s="575"/>
      <c r="T957" s="576"/>
      <c r="U957" s="308"/>
      <c r="V957" s="575"/>
      <c r="W957" s="576"/>
      <c r="X957" s="308"/>
      <c r="Y957" s="575"/>
      <c r="Z957" s="576"/>
      <c r="AA957" s="308"/>
      <c r="AB957" s="575"/>
      <c r="AC957" s="576"/>
      <c r="AD957" s="308"/>
      <c r="AE957" s="575"/>
      <c r="AF957" s="308"/>
      <c r="AG957" s="575"/>
      <c r="AH957" s="308"/>
      <c r="AI957" s="575"/>
      <c r="AJ957" s="308"/>
      <c r="AK957" s="305"/>
      <c r="AL957" s="577"/>
      <c r="AM957" s="306"/>
      <c r="AN957" s="308"/>
      <c r="AO957" s="573"/>
      <c r="AP957" s="305"/>
      <c r="AQ957" s="308"/>
      <c r="AR957" s="573"/>
      <c r="AS957" s="578"/>
      <c r="AT957" s="577"/>
      <c r="AU957" s="579"/>
      <c r="AV957" s="578"/>
      <c r="AW957" s="308"/>
      <c r="AX957" s="307"/>
      <c r="AY957" s="307"/>
      <c r="AZ957" s="307"/>
      <c r="BA957" s="307"/>
      <c r="BB957" s="307"/>
      <c r="BC957" s="305"/>
      <c r="BD957" s="292"/>
      <c r="BE957" s="297"/>
      <c r="BF957" s="297"/>
      <c r="BG957" s="569"/>
      <c r="BH957" s="570"/>
      <c r="BI957" s="570"/>
      <c r="BJ957" s="570"/>
      <c r="BK957" s="570"/>
      <c r="BL957" s="570"/>
      <c r="BM957" s="570"/>
      <c r="BN957" s="570"/>
      <c r="BO957" s="570"/>
      <c r="BP957" s="570"/>
      <c r="BQ957" s="570"/>
      <c r="BR957" s="570"/>
      <c r="BS957" s="570"/>
      <c r="BT957" s="570"/>
      <c r="BU957" s="570"/>
      <c r="BV957" s="570"/>
      <c r="BW957" s="570"/>
      <c r="BX957" s="570"/>
      <c r="BY957" s="570"/>
      <c r="BZ957" s="571"/>
      <c r="CA957" s="571"/>
    </row>
    <row r="958" spans="2:79">
      <c r="B958" s="566">
        <v>943</v>
      </c>
      <c r="C958" s="308"/>
      <c r="D958" s="307"/>
      <c r="E958" s="307"/>
      <c r="F958" s="305"/>
      <c r="G958" s="305"/>
      <c r="H958" s="292"/>
      <c r="I958" s="574"/>
      <c r="J958" s="573"/>
      <c r="K958" s="307"/>
      <c r="L958" s="292"/>
      <c r="M958" s="308"/>
      <c r="N958" s="292"/>
      <c r="O958" s="308"/>
      <c r="P958" s="575"/>
      <c r="Q958" s="576"/>
      <c r="R958" s="308"/>
      <c r="S958" s="575"/>
      <c r="T958" s="576"/>
      <c r="U958" s="308"/>
      <c r="V958" s="575"/>
      <c r="W958" s="576"/>
      <c r="X958" s="308"/>
      <c r="Y958" s="575"/>
      <c r="Z958" s="576"/>
      <c r="AA958" s="308"/>
      <c r="AB958" s="575"/>
      <c r="AC958" s="576"/>
      <c r="AD958" s="308"/>
      <c r="AE958" s="575"/>
      <c r="AF958" s="308"/>
      <c r="AG958" s="575"/>
      <c r="AH958" s="308"/>
      <c r="AI958" s="575"/>
      <c r="AJ958" s="308"/>
      <c r="AK958" s="305"/>
      <c r="AL958" s="577"/>
      <c r="AM958" s="306"/>
      <c r="AN958" s="308"/>
      <c r="AO958" s="573"/>
      <c r="AP958" s="305"/>
      <c r="AQ958" s="308"/>
      <c r="AR958" s="573"/>
      <c r="AS958" s="578"/>
      <c r="AT958" s="577"/>
      <c r="AU958" s="579"/>
      <c r="AV958" s="578"/>
      <c r="AW958" s="308"/>
      <c r="AX958" s="307"/>
      <c r="AY958" s="307"/>
      <c r="AZ958" s="307"/>
      <c r="BA958" s="307"/>
      <c r="BB958" s="307"/>
      <c r="BC958" s="305"/>
      <c r="BD958" s="292"/>
      <c r="BE958" s="297"/>
      <c r="BF958" s="297"/>
      <c r="BG958" s="569"/>
      <c r="BH958" s="570"/>
      <c r="BI958" s="570"/>
      <c r="BJ958" s="570"/>
      <c r="BK958" s="570"/>
      <c r="BL958" s="570"/>
      <c r="BM958" s="570"/>
      <c r="BN958" s="570"/>
      <c r="BO958" s="570"/>
      <c r="BP958" s="570"/>
      <c r="BQ958" s="570"/>
      <c r="BR958" s="570"/>
      <c r="BS958" s="570"/>
      <c r="BT958" s="570"/>
      <c r="BU958" s="570"/>
      <c r="BV958" s="570"/>
      <c r="BW958" s="570"/>
      <c r="BX958" s="570"/>
      <c r="BY958" s="570"/>
      <c r="BZ958" s="571"/>
      <c r="CA958" s="571"/>
    </row>
    <row r="959" spans="2:79">
      <c r="B959" s="572">
        <v>944</v>
      </c>
      <c r="C959" s="308"/>
      <c r="D959" s="307"/>
      <c r="E959" s="307"/>
      <c r="F959" s="305"/>
      <c r="G959" s="305"/>
      <c r="H959" s="292"/>
      <c r="I959" s="574"/>
      <c r="J959" s="573"/>
      <c r="K959" s="307"/>
      <c r="L959" s="292"/>
      <c r="M959" s="308"/>
      <c r="N959" s="292"/>
      <c r="O959" s="308"/>
      <c r="P959" s="575"/>
      <c r="Q959" s="576"/>
      <c r="R959" s="308"/>
      <c r="S959" s="575"/>
      <c r="T959" s="576"/>
      <c r="U959" s="308"/>
      <c r="V959" s="575"/>
      <c r="W959" s="576"/>
      <c r="X959" s="308"/>
      <c r="Y959" s="575"/>
      <c r="Z959" s="576"/>
      <c r="AA959" s="308"/>
      <c r="AB959" s="575"/>
      <c r="AC959" s="576"/>
      <c r="AD959" s="308"/>
      <c r="AE959" s="575"/>
      <c r="AF959" s="308"/>
      <c r="AG959" s="575"/>
      <c r="AH959" s="308"/>
      <c r="AI959" s="575"/>
      <c r="AJ959" s="308"/>
      <c r="AK959" s="305"/>
      <c r="AL959" s="577"/>
      <c r="AM959" s="306"/>
      <c r="AN959" s="308"/>
      <c r="AO959" s="573"/>
      <c r="AP959" s="305"/>
      <c r="AQ959" s="308"/>
      <c r="AR959" s="573"/>
      <c r="AS959" s="578"/>
      <c r="AT959" s="577"/>
      <c r="AU959" s="579"/>
      <c r="AV959" s="578"/>
      <c r="AW959" s="308"/>
      <c r="AX959" s="307"/>
      <c r="AY959" s="307"/>
      <c r="AZ959" s="307"/>
      <c r="BA959" s="307"/>
      <c r="BB959" s="307"/>
      <c r="BC959" s="305"/>
      <c r="BD959" s="292"/>
      <c r="BE959" s="297"/>
      <c r="BF959" s="297"/>
      <c r="BG959" s="569"/>
      <c r="BH959" s="570"/>
      <c r="BI959" s="570"/>
      <c r="BJ959" s="570"/>
      <c r="BK959" s="570"/>
      <c r="BL959" s="570"/>
      <c r="BM959" s="570"/>
      <c r="BN959" s="570"/>
      <c r="BO959" s="570"/>
      <c r="BP959" s="570"/>
      <c r="BQ959" s="570"/>
      <c r="BR959" s="570"/>
      <c r="BS959" s="570"/>
      <c r="BT959" s="570"/>
      <c r="BU959" s="570"/>
      <c r="BV959" s="570"/>
      <c r="BW959" s="570"/>
      <c r="BX959" s="570"/>
      <c r="BY959" s="570"/>
      <c r="BZ959" s="571"/>
      <c r="CA959" s="571"/>
    </row>
    <row r="960" spans="2:79">
      <c r="B960" s="566">
        <v>945</v>
      </c>
      <c r="C960" s="308"/>
      <c r="D960" s="307"/>
      <c r="E960" s="307"/>
      <c r="F960" s="305"/>
      <c r="G960" s="305"/>
      <c r="H960" s="292"/>
      <c r="I960" s="574"/>
      <c r="J960" s="573"/>
      <c r="K960" s="307"/>
      <c r="L960" s="292"/>
      <c r="M960" s="308"/>
      <c r="N960" s="292"/>
      <c r="O960" s="308"/>
      <c r="P960" s="575"/>
      <c r="Q960" s="576"/>
      <c r="R960" s="308"/>
      <c r="S960" s="575"/>
      <c r="T960" s="576"/>
      <c r="U960" s="308"/>
      <c r="V960" s="575"/>
      <c r="W960" s="576"/>
      <c r="X960" s="308"/>
      <c r="Y960" s="575"/>
      <c r="Z960" s="576"/>
      <c r="AA960" s="308"/>
      <c r="AB960" s="575"/>
      <c r="AC960" s="576"/>
      <c r="AD960" s="308"/>
      <c r="AE960" s="575"/>
      <c r="AF960" s="308"/>
      <c r="AG960" s="575"/>
      <c r="AH960" s="308"/>
      <c r="AI960" s="575"/>
      <c r="AJ960" s="308"/>
      <c r="AK960" s="305"/>
      <c r="AL960" s="577"/>
      <c r="AM960" s="306"/>
      <c r="AN960" s="308"/>
      <c r="AO960" s="573"/>
      <c r="AP960" s="305"/>
      <c r="AQ960" s="308"/>
      <c r="AR960" s="573"/>
      <c r="AS960" s="578"/>
      <c r="AT960" s="577"/>
      <c r="AU960" s="579"/>
      <c r="AV960" s="578"/>
      <c r="AW960" s="308"/>
      <c r="AX960" s="307"/>
      <c r="AY960" s="307"/>
      <c r="AZ960" s="307"/>
      <c r="BA960" s="307"/>
      <c r="BB960" s="307"/>
      <c r="BC960" s="305"/>
      <c r="BD960" s="292"/>
      <c r="BE960" s="297"/>
      <c r="BF960" s="297"/>
      <c r="BG960" s="569"/>
      <c r="BH960" s="570"/>
      <c r="BI960" s="570"/>
      <c r="BJ960" s="570"/>
      <c r="BK960" s="570"/>
      <c r="BL960" s="570"/>
      <c r="BM960" s="570"/>
      <c r="BN960" s="570"/>
      <c r="BO960" s="570"/>
      <c r="BP960" s="570"/>
      <c r="BQ960" s="570"/>
      <c r="BR960" s="570"/>
      <c r="BS960" s="570"/>
      <c r="BT960" s="570"/>
      <c r="BU960" s="570"/>
      <c r="BV960" s="570"/>
      <c r="BW960" s="570"/>
      <c r="BX960" s="570"/>
      <c r="BY960" s="570"/>
      <c r="BZ960" s="571"/>
      <c r="CA960" s="571"/>
    </row>
    <row r="961" spans="2:79">
      <c r="B961" s="572">
        <v>946</v>
      </c>
      <c r="C961" s="308"/>
      <c r="D961" s="307"/>
      <c r="E961" s="307"/>
      <c r="F961" s="305"/>
      <c r="G961" s="305"/>
      <c r="H961" s="292"/>
      <c r="I961" s="574"/>
      <c r="J961" s="573"/>
      <c r="K961" s="307"/>
      <c r="L961" s="292"/>
      <c r="M961" s="308"/>
      <c r="N961" s="292"/>
      <c r="O961" s="308"/>
      <c r="P961" s="575"/>
      <c r="Q961" s="576"/>
      <c r="R961" s="308"/>
      <c r="S961" s="575"/>
      <c r="T961" s="576"/>
      <c r="U961" s="308"/>
      <c r="V961" s="575"/>
      <c r="W961" s="576"/>
      <c r="X961" s="308"/>
      <c r="Y961" s="575"/>
      <c r="Z961" s="576"/>
      <c r="AA961" s="308"/>
      <c r="AB961" s="575"/>
      <c r="AC961" s="576"/>
      <c r="AD961" s="308"/>
      <c r="AE961" s="575"/>
      <c r="AF961" s="308"/>
      <c r="AG961" s="575"/>
      <c r="AH961" s="308"/>
      <c r="AI961" s="575"/>
      <c r="AJ961" s="308"/>
      <c r="AK961" s="305"/>
      <c r="AL961" s="577"/>
      <c r="AM961" s="306"/>
      <c r="AN961" s="308"/>
      <c r="AO961" s="573"/>
      <c r="AP961" s="305"/>
      <c r="AQ961" s="308"/>
      <c r="AR961" s="573"/>
      <c r="AS961" s="578"/>
      <c r="AT961" s="577"/>
      <c r="AU961" s="579"/>
      <c r="AV961" s="578"/>
      <c r="AW961" s="308"/>
      <c r="AX961" s="307"/>
      <c r="AY961" s="307"/>
      <c r="AZ961" s="307"/>
      <c r="BA961" s="307"/>
      <c r="BB961" s="307"/>
      <c r="BC961" s="305"/>
      <c r="BD961" s="292"/>
      <c r="BE961" s="297"/>
      <c r="BF961" s="297"/>
      <c r="BG961" s="569"/>
      <c r="BH961" s="570"/>
      <c r="BI961" s="570"/>
      <c r="BJ961" s="570"/>
      <c r="BK961" s="570"/>
      <c r="BL961" s="570"/>
      <c r="BM961" s="570"/>
      <c r="BN961" s="570"/>
      <c r="BO961" s="570"/>
      <c r="BP961" s="570"/>
      <c r="BQ961" s="570"/>
      <c r="BR961" s="570"/>
      <c r="BS961" s="570"/>
      <c r="BT961" s="570"/>
      <c r="BU961" s="570"/>
      <c r="BV961" s="570"/>
      <c r="BW961" s="570"/>
      <c r="BX961" s="570"/>
      <c r="BY961" s="570"/>
      <c r="BZ961" s="571"/>
      <c r="CA961" s="571"/>
    </row>
    <row r="962" spans="2:79">
      <c r="B962" s="566">
        <v>947</v>
      </c>
      <c r="C962" s="308"/>
      <c r="D962" s="307"/>
      <c r="E962" s="307"/>
      <c r="F962" s="305"/>
      <c r="G962" s="305"/>
      <c r="H962" s="292"/>
      <c r="I962" s="574"/>
      <c r="J962" s="573"/>
      <c r="K962" s="307"/>
      <c r="L962" s="292"/>
      <c r="M962" s="308"/>
      <c r="N962" s="292"/>
      <c r="O962" s="308"/>
      <c r="P962" s="575"/>
      <c r="Q962" s="576"/>
      <c r="R962" s="308"/>
      <c r="S962" s="575"/>
      <c r="T962" s="576"/>
      <c r="U962" s="308"/>
      <c r="V962" s="575"/>
      <c r="W962" s="576"/>
      <c r="X962" s="308"/>
      <c r="Y962" s="575"/>
      <c r="Z962" s="576"/>
      <c r="AA962" s="308"/>
      <c r="AB962" s="575"/>
      <c r="AC962" s="576"/>
      <c r="AD962" s="308"/>
      <c r="AE962" s="575"/>
      <c r="AF962" s="308"/>
      <c r="AG962" s="575"/>
      <c r="AH962" s="308"/>
      <c r="AI962" s="575"/>
      <c r="AJ962" s="308"/>
      <c r="AK962" s="305"/>
      <c r="AL962" s="577"/>
      <c r="AM962" s="306"/>
      <c r="AN962" s="308"/>
      <c r="AO962" s="573"/>
      <c r="AP962" s="305"/>
      <c r="AQ962" s="308"/>
      <c r="AR962" s="573"/>
      <c r="AS962" s="578"/>
      <c r="AT962" s="577"/>
      <c r="AU962" s="579"/>
      <c r="AV962" s="578"/>
      <c r="AW962" s="308"/>
      <c r="AX962" s="307"/>
      <c r="AY962" s="307"/>
      <c r="AZ962" s="307"/>
      <c r="BA962" s="307"/>
      <c r="BB962" s="307"/>
      <c r="BC962" s="305"/>
      <c r="BD962" s="292"/>
      <c r="BE962" s="297"/>
      <c r="BF962" s="297"/>
      <c r="BG962" s="569"/>
      <c r="BH962" s="570"/>
      <c r="BI962" s="570"/>
      <c r="BJ962" s="570"/>
      <c r="BK962" s="570"/>
      <c r="BL962" s="570"/>
      <c r="BM962" s="570"/>
      <c r="BN962" s="570"/>
      <c r="BO962" s="570"/>
      <c r="BP962" s="570"/>
      <c r="BQ962" s="570"/>
      <c r="BR962" s="570"/>
      <c r="BS962" s="570"/>
      <c r="BT962" s="570"/>
      <c r="BU962" s="570"/>
      <c r="BV962" s="570"/>
      <c r="BW962" s="570"/>
      <c r="BX962" s="570"/>
      <c r="BY962" s="570"/>
      <c r="BZ962" s="571"/>
      <c r="CA962" s="571"/>
    </row>
    <row r="963" spans="2:79">
      <c r="B963" s="572">
        <v>948</v>
      </c>
      <c r="C963" s="308"/>
      <c r="D963" s="307"/>
      <c r="E963" s="307"/>
      <c r="F963" s="305"/>
      <c r="G963" s="305"/>
      <c r="H963" s="292"/>
      <c r="I963" s="574"/>
      <c r="J963" s="573"/>
      <c r="K963" s="307"/>
      <c r="L963" s="292"/>
      <c r="M963" s="308"/>
      <c r="N963" s="292"/>
      <c r="O963" s="308"/>
      <c r="P963" s="575"/>
      <c r="Q963" s="576"/>
      <c r="R963" s="308"/>
      <c r="S963" s="575"/>
      <c r="T963" s="576"/>
      <c r="U963" s="308"/>
      <c r="V963" s="575"/>
      <c r="W963" s="576"/>
      <c r="X963" s="308"/>
      <c r="Y963" s="575"/>
      <c r="Z963" s="576"/>
      <c r="AA963" s="308"/>
      <c r="AB963" s="575"/>
      <c r="AC963" s="576"/>
      <c r="AD963" s="308"/>
      <c r="AE963" s="575"/>
      <c r="AF963" s="308"/>
      <c r="AG963" s="575"/>
      <c r="AH963" s="308"/>
      <c r="AI963" s="575"/>
      <c r="AJ963" s="308"/>
      <c r="AK963" s="305"/>
      <c r="AL963" s="577"/>
      <c r="AM963" s="306"/>
      <c r="AN963" s="308"/>
      <c r="AO963" s="573"/>
      <c r="AP963" s="305"/>
      <c r="AQ963" s="308"/>
      <c r="AR963" s="573"/>
      <c r="AS963" s="578"/>
      <c r="AT963" s="577"/>
      <c r="AU963" s="579"/>
      <c r="AV963" s="578"/>
      <c r="AW963" s="308"/>
      <c r="AX963" s="307"/>
      <c r="AY963" s="307"/>
      <c r="AZ963" s="307"/>
      <c r="BA963" s="307"/>
      <c r="BB963" s="307"/>
      <c r="BC963" s="305"/>
      <c r="BD963" s="292"/>
      <c r="BE963" s="297"/>
      <c r="BF963" s="297"/>
      <c r="BG963" s="569"/>
      <c r="BH963" s="570"/>
      <c r="BI963" s="570"/>
      <c r="BJ963" s="570"/>
      <c r="BK963" s="570"/>
      <c r="BL963" s="570"/>
      <c r="BM963" s="570"/>
      <c r="BN963" s="570"/>
      <c r="BO963" s="570"/>
      <c r="BP963" s="570"/>
      <c r="BQ963" s="570"/>
      <c r="BR963" s="570"/>
      <c r="BS963" s="570"/>
      <c r="BT963" s="570"/>
      <c r="BU963" s="570"/>
      <c r="BV963" s="570"/>
      <c r="BW963" s="570"/>
      <c r="BX963" s="570"/>
      <c r="BY963" s="570"/>
      <c r="BZ963" s="571"/>
      <c r="CA963" s="571"/>
    </row>
    <row r="964" spans="2:79">
      <c r="B964" s="566">
        <v>949</v>
      </c>
      <c r="C964" s="308"/>
      <c r="D964" s="307"/>
      <c r="E964" s="307"/>
      <c r="F964" s="305"/>
      <c r="G964" s="305"/>
      <c r="H964" s="292"/>
      <c r="I964" s="574"/>
      <c r="J964" s="573"/>
      <c r="K964" s="307"/>
      <c r="L964" s="292"/>
      <c r="M964" s="308"/>
      <c r="N964" s="292"/>
      <c r="O964" s="308"/>
      <c r="P964" s="575"/>
      <c r="Q964" s="576"/>
      <c r="R964" s="308"/>
      <c r="S964" s="575"/>
      <c r="T964" s="576"/>
      <c r="U964" s="308"/>
      <c r="V964" s="575"/>
      <c r="W964" s="576"/>
      <c r="X964" s="308"/>
      <c r="Y964" s="575"/>
      <c r="Z964" s="576"/>
      <c r="AA964" s="308"/>
      <c r="AB964" s="575"/>
      <c r="AC964" s="576"/>
      <c r="AD964" s="308"/>
      <c r="AE964" s="575"/>
      <c r="AF964" s="308"/>
      <c r="AG964" s="575"/>
      <c r="AH964" s="308"/>
      <c r="AI964" s="575"/>
      <c r="AJ964" s="308"/>
      <c r="AK964" s="305"/>
      <c r="AL964" s="577"/>
      <c r="AM964" s="306"/>
      <c r="AN964" s="308"/>
      <c r="AO964" s="573"/>
      <c r="AP964" s="305"/>
      <c r="AQ964" s="308"/>
      <c r="AR964" s="573"/>
      <c r="AS964" s="578"/>
      <c r="AT964" s="577"/>
      <c r="AU964" s="579"/>
      <c r="AV964" s="578"/>
      <c r="AW964" s="308"/>
      <c r="AX964" s="307"/>
      <c r="AY964" s="307"/>
      <c r="AZ964" s="307"/>
      <c r="BA964" s="307"/>
      <c r="BB964" s="307"/>
      <c r="BC964" s="305"/>
      <c r="BD964" s="292"/>
      <c r="BE964" s="297"/>
      <c r="BF964" s="297"/>
      <c r="BG964" s="569"/>
      <c r="BH964" s="570"/>
      <c r="BI964" s="570"/>
      <c r="BJ964" s="570"/>
      <c r="BK964" s="570"/>
      <c r="BL964" s="570"/>
      <c r="BM964" s="570"/>
      <c r="BN964" s="570"/>
      <c r="BO964" s="570"/>
      <c r="BP964" s="570"/>
      <c r="BQ964" s="570"/>
      <c r="BR964" s="570"/>
      <c r="BS964" s="570"/>
      <c r="BT964" s="570"/>
      <c r="BU964" s="570"/>
      <c r="BV964" s="570"/>
      <c r="BW964" s="570"/>
      <c r="BX964" s="570"/>
      <c r="BY964" s="570"/>
      <c r="BZ964" s="571"/>
      <c r="CA964" s="571"/>
    </row>
    <row r="965" spans="2:79">
      <c r="B965" s="572">
        <v>950</v>
      </c>
      <c r="C965" s="308"/>
      <c r="D965" s="307"/>
      <c r="E965" s="307"/>
      <c r="F965" s="305"/>
      <c r="G965" s="305"/>
      <c r="H965" s="292"/>
      <c r="I965" s="574"/>
      <c r="J965" s="573"/>
      <c r="K965" s="307"/>
      <c r="L965" s="292"/>
      <c r="M965" s="308"/>
      <c r="N965" s="292"/>
      <c r="O965" s="308"/>
      <c r="P965" s="575"/>
      <c r="Q965" s="576"/>
      <c r="R965" s="308"/>
      <c r="S965" s="575"/>
      <c r="T965" s="576"/>
      <c r="U965" s="308"/>
      <c r="V965" s="575"/>
      <c r="W965" s="576"/>
      <c r="X965" s="308"/>
      <c r="Y965" s="575"/>
      <c r="Z965" s="576"/>
      <c r="AA965" s="308"/>
      <c r="AB965" s="575"/>
      <c r="AC965" s="576"/>
      <c r="AD965" s="308"/>
      <c r="AE965" s="575"/>
      <c r="AF965" s="308"/>
      <c r="AG965" s="575"/>
      <c r="AH965" s="308"/>
      <c r="AI965" s="575"/>
      <c r="AJ965" s="308"/>
      <c r="AK965" s="305"/>
      <c r="AL965" s="577"/>
      <c r="AM965" s="306"/>
      <c r="AN965" s="308"/>
      <c r="AO965" s="573"/>
      <c r="AP965" s="305"/>
      <c r="AQ965" s="308"/>
      <c r="AR965" s="573"/>
      <c r="AS965" s="578"/>
      <c r="AT965" s="577"/>
      <c r="AU965" s="579"/>
      <c r="AV965" s="578"/>
      <c r="AW965" s="308"/>
      <c r="AX965" s="307"/>
      <c r="AY965" s="307"/>
      <c r="AZ965" s="307"/>
      <c r="BA965" s="307"/>
      <c r="BB965" s="307"/>
      <c r="BC965" s="305"/>
      <c r="BD965" s="292"/>
      <c r="BE965" s="297"/>
      <c r="BF965" s="297"/>
      <c r="BG965" s="569"/>
      <c r="BH965" s="570"/>
      <c r="BI965" s="570"/>
      <c r="BJ965" s="570"/>
      <c r="BK965" s="570"/>
      <c r="BL965" s="570"/>
      <c r="BM965" s="570"/>
      <c r="BN965" s="570"/>
      <c r="BO965" s="570"/>
      <c r="BP965" s="570"/>
      <c r="BQ965" s="570"/>
      <c r="BR965" s="570"/>
      <c r="BS965" s="570"/>
      <c r="BT965" s="570"/>
      <c r="BU965" s="570"/>
      <c r="BV965" s="570"/>
      <c r="BW965" s="570"/>
      <c r="BX965" s="570"/>
      <c r="BY965" s="570"/>
      <c r="BZ965" s="571"/>
      <c r="CA965" s="571"/>
    </row>
    <row r="966" spans="2:79">
      <c r="B966" s="566">
        <v>951</v>
      </c>
      <c r="C966" s="308"/>
      <c r="D966" s="307"/>
      <c r="E966" s="307"/>
      <c r="F966" s="305"/>
      <c r="G966" s="305"/>
      <c r="H966" s="292"/>
      <c r="I966" s="574"/>
      <c r="J966" s="573"/>
      <c r="K966" s="307"/>
      <c r="L966" s="292"/>
      <c r="M966" s="308"/>
      <c r="N966" s="292"/>
      <c r="O966" s="308"/>
      <c r="P966" s="575"/>
      <c r="Q966" s="576"/>
      <c r="R966" s="308"/>
      <c r="S966" s="575"/>
      <c r="T966" s="576"/>
      <c r="U966" s="308"/>
      <c r="V966" s="575"/>
      <c r="W966" s="576"/>
      <c r="X966" s="308"/>
      <c r="Y966" s="575"/>
      <c r="Z966" s="576"/>
      <c r="AA966" s="308"/>
      <c r="AB966" s="575"/>
      <c r="AC966" s="576"/>
      <c r="AD966" s="308"/>
      <c r="AE966" s="575"/>
      <c r="AF966" s="308"/>
      <c r="AG966" s="575"/>
      <c r="AH966" s="308"/>
      <c r="AI966" s="575"/>
      <c r="AJ966" s="308"/>
      <c r="AK966" s="305"/>
      <c r="AL966" s="577"/>
      <c r="AM966" s="306"/>
      <c r="AN966" s="308"/>
      <c r="AO966" s="573"/>
      <c r="AP966" s="305"/>
      <c r="AQ966" s="308"/>
      <c r="AR966" s="573"/>
      <c r="AS966" s="578"/>
      <c r="AT966" s="577"/>
      <c r="AU966" s="579"/>
      <c r="AV966" s="578"/>
      <c r="AW966" s="308"/>
      <c r="AX966" s="307"/>
      <c r="AY966" s="307"/>
      <c r="AZ966" s="307"/>
      <c r="BA966" s="307"/>
      <c r="BB966" s="307"/>
      <c r="BC966" s="305"/>
      <c r="BD966" s="292"/>
      <c r="BE966" s="297"/>
      <c r="BF966" s="297"/>
      <c r="BG966" s="569"/>
      <c r="BH966" s="570"/>
      <c r="BI966" s="570"/>
      <c r="BJ966" s="570"/>
      <c r="BK966" s="570"/>
      <c r="BL966" s="570"/>
      <c r="BM966" s="570"/>
      <c r="BN966" s="570"/>
      <c r="BO966" s="570"/>
      <c r="BP966" s="570"/>
      <c r="BQ966" s="570"/>
      <c r="BR966" s="570"/>
      <c r="BS966" s="570"/>
      <c r="BT966" s="570"/>
      <c r="BU966" s="570"/>
      <c r="BV966" s="570"/>
      <c r="BW966" s="570"/>
      <c r="BX966" s="570"/>
      <c r="BY966" s="570"/>
      <c r="BZ966" s="571"/>
      <c r="CA966" s="571"/>
    </row>
    <row r="967" spans="2:79">
      <c r="B967" s="572">
        <v>952</v>
      </c>
      <c r="C967" s="308"/>
      <c r="D967" s="307"/>
      <c r="E967" s="307"/>
      <c r="F967" s="305"/>
      <c r="G967" s="305"/>
      <c r="H967" s="292"/>
      <c r="I967" s="574"/>
      <c r="J967" s="573"/>
      <c r="K967" s="307"/>
      <c r="L967" s="292"/>
      <c r="M967" s="308"/>
      <c r="N967" s="292"/>
      <c r="O967" s="308"/>
      <c r="P967" s="575"/>
      <c r="Q967" s="576"/>
      <c r="R967" s="308"/>
      <c r="S967" s="575"/>
      <c r="T967" s="576"/>
      <c r="U967" s="308"/>
      <c r="V967" s="575"/>
      <c r="W967" s="576"/>
      <c r="X967" s="308"/>
      <c r="Y967" s="575"/>
      <c r="Z967" s="576"/>
      <c r="AA967" s="308"/>
      <c r="AB967" s="575"/>
      <c r="AC967" s="576"/>
      <c r="AD967" s="308"/>
      <c r="AE967" s="575"/>
      <c r="AF967" s="308"/>
      <c r="AG967" s="575"/>
      <c r="AH967" s="308"/>
      <c r="AI967" s="575"/>
      <c r="AJ967" s="308"/>
      <c r="AK967" s="305"/>
      <c r="AL967" s="577"/>
      <c r="AM967" s="306"/>
      <c r="AN967" s="308"/>
      <c r="AO967" s="573"/>
      <c r="AP967" s="305"/>
      <c r="AQ967" s="308"/>
      <c r="AR967" s="573"/>
      <c r="AS967" s="578"/>
      <c r="AT967" s="577"/>
      <c r="AU967" s="579"/>
      <c r="AV967" s="578"/>
      <c r="AW967" s="308"/>
      <c r="AX967" s="307"/>
      <c r="AY967" s="307"/>
      <c r="AZ967" s="307"/>
      <c r="BA967" s="307"/>
      <c r="BB967" s="307"/>
      <c r="BC967" s="305"/>
      <c r="BD967" s="292"/>
      <c r="BE967" s="297"/>
      <c r="BF967" s="297"/>
      <c r="BG967" s="569"/>
      <c r="BH967" s="570"/>
      <c r="BI967" s="570"/>
      <c r="BJ967" s="570"/>
      <c r="BK967" s="570"/>
      <c r="BL967" s="570"/>
      <c r="BM967" s="570"/>
      <c r="BN967" s="570"/>
      <c r="BO967" s="570"/>
      <c r="BP967" s="570"/>
      <c r="BQ967" s="570"/>
      <c r="BR967" s="570"/>
      <c r="BS967" s="570"/>
      <c r="BT967" s="570"/>
      <c r="BU967" s="570"/>
      <c r="BV967" s="570"/>
      <c r="BW967" s="570"/>
      <c r="BX967" s="570"/>
      <c r="BY967" s="570"/>
      <c r="BZ967" s="571"/>
      <c r="CA967" s="571"/>
    </row>
    <row r="968" spans="2:79">
      <c r="B968" s="566">
        <v>953</v>
      </c>
      <c r="C968" s="308"/>
      <c r="D968" s="307"/>
      <c r="E968" s="307"/>
      <c r="F968" s="305"/>
      <c r="G968" s="305"/>
      <c r="H968" s="292"/>
      <c r="I968" s="574"/>
      <c r="J968" s="573"/>
      <c r="K968" s="307"/>
      <c r="L968" s="292"/>
      <c r="M968" s="308"/>
      <c r="N968" s="292"/>
      <c r="O968" s="308"/>
      <c r="P968" s="575"/>
      <c r="Q968" s="576"/>
      <c r="R968" s="308"/>
      <c r="S968" s="575"/>
      <c r="T968" s="576"/>
      <c r="U968" s="308"/>
      <c r="V968" s="575"/>
      <c r="W968" s="576"/>
      <c r="X968" s="308"/>
      <c r="Y968" s="575"/>
      <c r="Z968" s="576"/>
      <c r="AA968" s="308"/>
      <c r="AB968" s="575"/>
      <c r="AC968" s="576"/>
      <c r="AD968" s="308"/>
      <c r="AE968" s="575"/>
      <c r="AF968" s="308"/>
      <c r="AG968" s="575"/>
      <c r="AH968" s="308"/>
      <c r="AI968" s="575"/>
      <c r="AJ968" s="308"/>
      <c r="AK968" s="305"/>
      <c r="AL968" s="577"/>
      <c r="AM968" s="306"/>
      <c r="AN968" s="308"/>
      <c r="AO968" s="573"/>
      <c r="AP968" s="305"/>
      <c r="AQ968" s="308"/>
      <c r="AR968" s="573"/>
      <c r="AS968" s="578"/>
      <c r="AT968" s="577"/>
      <c r="AU968" s="579"/>
      <c r="AV968" s="578"/>
      <c r="AW968" s="308"/>
      <c r="AX968" s="307"/>
      <c r="AY968" s="307"/>
      <c r="AZ968" s="307"/>
      <c r="BA968" s="307"/>
      <c r="BB968" s="307"/>
      <c r="BC968" s="305"/>
      <c r="BD968" s="292"/>
      <c r="BE968" s="297"/>
      <c r="BF968" s="297"/>
      <c r="BG968" s="569"/>
      <c r="BH968" s="570"/>
      <c r="BI968" s="570"/>
      <c r="BJ968" s="570"/>
      <c r="BK968" s="570"/>
      <c r="BL968" s="570"/>
      <c r="BM968" s="570"/>
      <c r="BN968" s="570"/>
      <c r="BO968" s="570"/>
      <c r="BP968" s="570"/>
      <c r="BQ968" s="570"/>
      <c r="BR968" s="570"/>
      <c r="BS968" s="570"/>
      <c r="BT968" s="570"/>
      <c r="BU968" s="570"/>
      <c r="BV968" s="570"/>
      <c r="BW968" s="570"/>
      <c r="BX968" s="570"/>
      <c r="BY968" s="570"/>
      <c r="BZ968" s="571"/>
      <c r="CA968" s="571"/>
    </row>
    <row r="969" spans="2:79">
      <c r="B969" s="572">
        <v>954</v>
      </c>
      <c r="C969" s="308"/>
      <c r="D969" s="307"/>
      <c r="E969" s="307"/>
      <c r="F969" s="305"/>
      <c r="G969" s="305"/>
      <c r="H969" s="292"/>
      <c r="I969" s="574"/>
      <c r="J969" s="573"/>
      <c r="K969" s="307"/>
      <c r="L969" s="292"/>
      <c r="M969" s="308"/>
      <c r="N969" s="292"/>
      <c r="O969" s="308"/>
      <c r="P969" s="575"/>
      <c r="Q969" s="576"/>
      <c r="R969" s="308"/>
      <c r="S969" s="575"/>
      <c r="T969" s="576"/>
      <c r="U969" s="308"/>
      <c r="V969" s="575"/>
      <c r="W969" s="576"/>
      <c r="X969" s="308"/>
      <c r="Y969" s="575"/>
      <c r="Z969" s="576"/>
      <c r="AA969" s="308"/>
      <c r="AB969" s="575"/>
      <c r="AC969" s="576"/>
      <c r="AD969" s="308"/>
      <c r="AE969" s="575"/>
      <c r="AF969" s="308"/>
      <c r="AG969" s="575"/>
      <c r="AH969" s="308"/>
      <c r="AI969" s="575"/>
      <c r="AJ969" s="308"/>
      <c r="AK969" s="305"/>
      <c r="AL969" s="577"/>
      <c r="AM969" s="306"/>
      <c r="AN969" s="308"/>
      <c r="AO969" s="573"/>
      <c r="AP969" s="305"/>
      <c r="AQ969" s="308"/>
      <c r="AR969" s="573"/>
      <c r="AS969" s="578"/>
      <c r="AT969" s="577"/>
      <c r="AU969" s="579"/>
      <c r="AV969" s="578"/>
      <c r="AW969" s="308"/>
      <c r="AX969" s="307"/>
      <c r="AY969" s="307"/>
      <c r="AZ969" s="307"/>
      <c r="BA969" s="307"/>
      <c r="BB969" s="307"/>
      <c r="BC969" s="305"/>
      <c r="BD969" s="292"/>
      <c r="BE969" s="297"/>
      <c r="BF969" s="297"/>
      <c r="BG969" s="569"/>
      <c r="BH969" s="570"/>
      <c r="BI969" s="570"/>
      <c r="BJ969" s="570"/>
      <c r="BK969" s="570"/>
      <c r="BL969" s="570"/>
      <c r="BM969" s="570"/>
      <c r="BN969" s="570"/>
      <c r="BO969" s="570"/>
      <c r="BP969" s="570"/>
      <c r="BQ969" s="570"/>
      <c r="BR969" s="570"/>
      <c r="BS969" s="570"/>
      <c r="BT969" s="570"/>
      <c r="BU969" s="570"/>
      <c r="BV969" s="570"/>
      <c r="BW969" s="570"/>
      <c r="BX969" s="570"/>
      <c r="BY969" s="570"/>
      <c r="BZ969" s="571"/>
      <c r="CA969" s="571"/>
    </row>
    <row r="970" spans="2:79">
      <c r="B970" s="566">
        <v>955</v>
      </c>
      <c r="C970" s="308"/>
      <c r="D970" s="307"/>
      <c r="E970" s="307"/>
      <c r="F970" s="305"/>
      <c r="G970" s="305"/>
      <c r="H970" s="292"/>
      <c r="I970" s="574"/>
      <c r="J970" s="573"/>
      <c r="K970" s="307"/>
      <c r="L970" s="292"/>
      <c r="M970" s="308"/>
      <c r="N970" s="292"/>
      <c r="O970" s="308"/>
      <c r="P970" s="575"/>
      <c r="Q970" s="576"/>
      <c r="R970" s="308"/>
      <c r="S970" s="575"/>
      <c r="T970" s="576"/>
      <c r="U970" s="308"/>
      <c r="V970" s="575"/>
      <c r="W970" s="576"/>
      <c r="X970" s="308"/>
      <c r="Y970" s="575"/>
      <c r="Z970" s="576"/>
      <c r="AA970" s="308"/>
      <c r="AB970" s="575"/>
      <c r="AC970" s="576"/>
      <c r="AD970" s="308"/>
      <c r="AE970" s="575"/>
      <c r="AF970" s="308"/>
      <c r="AG970" s="575"/>
      <c r="AH970" s="308"/>
      <c r="AI970" s="575"/>
      <c r="AJ970" s="308"/>
      <c r="AK970" s="305"/>
      <c r="AL970" s="577"/>
      <c r="AM970" s="306"/>
      <c r="AN970" s="308"/>
      <c r="AO970" s="573"/>
      <c r="AP970" s="305"/>
      <c r="AQ970" s="308"/>
      <c r="AR970" s="573"/>
      <c r="AS970" s="578"/>
      <c r="AT970" s="577"/>
      <c r="AU970" s="579"/>
      <c r="AV970" s="578"/>
      <c r="AW970" s="308"/>
      <c r="AX970" s="307"/>
      <c r="AY970" s="307"/>
      <c r="AZ970" s="307"/>
      <c r="BA970" s="307"/>
      <c r="BB970" s="307"/>
      <c r="BC970" s="305"/>
      <c r="BD970" s="292"/>
      <c r="BE970" s="297"/>
      <c r="BF970" s="297"/>
      <c r="BG970" s="569"/>
      <c r="BH970" s="570"/>
      <c r="BI970" s="570"/>
      <c r="BJ970" s="570"/>
      <c r="BK970" s="570"/>
      <c r="BL970" s="570"/>
      <c r="BM970" s="570"/>
      <c r="BN970" s="570"/>
      <c r="BO970" s="570"/>
      <c r="BP970" s="570"/>
      <c r="BQ970" s="570"/>
      <c r="BR970" s="570"/>
      <c r="BS970" s="570"/>
      <c r="BT970" s="570"/>
      <c r="BU970" s="570"/>
      <c r="BV970" s="570"/>
      <c r="BW970" s="570"/>
      <c r="BX970" s="570"/>
      <c r="BY970" s="570"/>
      <c r="BZ970" s="571"/>
      <c r="CA970" s="571"/>
    </row>
    <row r="971" spans="2:79">
      <c r="B971" s="572">
        <v>956</v>
      </c>
      <c r="C971" s="308"/>
      <c r="D971" s="307"/>
      <c r="E971" s="307"/>
      <c r="F971" s="305"/>
      <c r="G971" s="305"/>
      <c r="H971" s="292"/>
      <c r="I971" s="574"/>
      <c r="J971" s="573"/>
      <c r="K971" s="307"/>
      <c r="L971" s="292"/>
      <c r="M971" s="308"/>
      <c r="N971" s="292"/>
      <c r="O971" s="308"/>
      <c r="P971" s="575"/>
      <c r="Q971" s="576"/>
      <c r="R971" s="308"/>
      <c r="S971" s="575"/>
      <c r="T971" s="576"/>
      <c r="U971" s="308"/>
      <c r="V971" s="575"/>
      <c r="W971" s="576"/>
      <c r="X971" s="308"/>
      <c r="Y971" s="575"/>
      <c r="Z971" s="576"/>
      <c r="AA971" s="308"/>
      <c r="AB971" s="575"/>
      <c r="AC971" s="576"/>
      <c r="AD971" s="308"/>
      <c r="AE971" s="575"/>
      <c r="AF971" s="308"/>
      <c r="AG971" s="575"/>
      <c r="AH971" s="308"/>
      <c r="AI971" s="575"/>
      <c r="AJ971" s="308"/>
      <c r="AK971" s="305"/>
      <c r="AL971" s="577"/>
      <c r="AM971" s="306"/>
      <c r="AN971" s="308"/>
      <c r="AO971" s="573"/>
      <c r="AP971" s="305"/>
      <c r="AQ971" s="308"/>
      <c r="AR971" s="573"/>
      <c r="AS971" s="578"/>
      <c r="AT971" s="577"/>
      <c r="AU971" s="579"/>
      <c r="AV971" s="578"/>
      <c r="AW971" s="308"/>
      <c r="AX971" s="307"/>
      <c r="AY971" s="307"/>
      <c r="AZ971" s="307"/>
      <c r="BA971" s="307"/>
      <c r="BB971" s="307"/>
      <c r="BC971" s="305"/>
      <c r="BD971" s="292"/>
      <c r="BE971" s="297"/>
      <c r="BF971" s="297"/>
      <c r="BG971" s="569"/>
      <c r="BH971" s="570"/>
      <c r="BI971" s="570"/>
      <c r="BJ971" s="570"/>
      <c r="BK971" s="570"/>
      <c r="BL971" s="570"/>
      <c r="BM971" s="570"/>
      <c r="BN971" s="570"/>
      <c r="BO971" s="570"/>
      <c r="BP971" s="570"/>
      <c r="BQ971" s="570"/>
      <c r="BR971" s="570"/>
      <c r="BS971" s="570"/>
      <c r="BT971" s="570"/>
      <c r="BU971" s="570"/>
      <c r="BV971" s="570"/>
      <c r="BW971" s="570"/>
      <c r="BX971" s="570"/>
      <c r="BY971" s="570"/>
      <c r="BZ971" s="571"/>
      <c r="CA971" s="571"/>
    </row>
    <row r="972" spans="2:79">
      <c r="B972" s="566">
        <v>957</v>
      </c>
      <c r="C972" s="308"/>
      <c r="D972" s="307"/>
      <c r="E972" s="307"/>
      <c r="F972" s="305"/>
      <c r="G972" s="305"/>
      <c r="H972" s="292"/>
      <c r="I972" s="574"/>
      <c r="J972" s="573"/>
      <c r="K972" s="307"/>
      <c r="L972" s="292"/>
      <c r="M972" s="308"/>
      <c r="N972" s="292"/>
      <c r="O972" s="308"/>
      <c r="P972" s="575"/>
      <c r="Q972" s="576"/>
      <c r="R972" s="308"/>
      <c r="S972" s="575"/>
      <c r="T972" s="576"/>
      <c r="U972" s="308"/>
      <c r="V972" s="575"/>
      <c r="W972" s="576"/>
      <c r="X972" s="308"/>
      <c r="Y972" s="575"/>
      <c r="Z972" s="576"/>
      <c r="AA972" s="308"/>
      <c r="AB972" s="575"/>
      <c r="AC972" s="576"/>
      <c r="AD972" s="308"/>
      <c r="AE972" s="575"/>
      <c r="AF972" s="308"/>
      <c r="AG972" s="575"/>
      <c r="AH972" s="308"/>
      <c r="AI972" s="575"/>
      <c r="AJ972" s="308"/>
      <c r="AK972" s="305"/>
      <c r="AL972" s="577"/>
      <c r="AM972" s="306"/>
      <c r="AN972" s="308"/>
      <c r="AO972" s="573"/>
      <c r="AP972" s="305"/>
      <c r="AQ972" s="308"/>
      <c r="AR972" s="573"/>
      <c r="AS972" s="578"/>
      <c r="AT972" s="577"/>
      <c r="AU972" s="579"/>
      <c r="AV972" s="578"/>
      <c r="AW972" s="308"/>
      <c r="AX972" s="307"/>
      <c r="AY972" s="307"/>
      <c r="AZ972" s="307"/>
      <c r="BA972" s="307"/>
      <c r="BB972" s="307"/>
      <c r="BC972" s="305"/>
      <c r="BD972" s="292"/>
      <c r="BE972" s="297"/>
      <c r="BF972" s="297"/>
      <c r="BG972" s="569"/>
      <c r="BH972" s="570"/>
      <c r="BI972" s="570"/>
      <c r="BJ972" s="570"/>
      <c r="BK972" s="570"/>
      <c r="BL972" s="570"/>
      <c r="BM972" s="570"/>
      <c r="BN972" s="570"/>
      <c r="BO972" s="570"/>
      <c r="BP972" s="570"/>
      <c r="BQ972" s="570"/>
      <c r="BR972" s="570"/>
      <c r="BS972" s="570"/>
      <c r="BT972" s="570"/>
      <c r="BU972" s="570"/>
      <c r="BV972" s="570"/>
      <c r="BW972" s="570"/>
      <c r="BX972" s="570"/>
      <c r="BY972" s="570"/>
      <c r="BZ972" s="571"/>
      <c r="CA972" s="571"/>
    </row>
    <row r="973" spans="2:79">
      <c r="B973" s="572">
        <v>958</v>
      </c>
      <c r="C973" s="308"/>
      <c r="D973" s="307"/>
      <c r="E973" s="307"/>
      <c r="F973" s="305"/>
      <c r="G973" s="305"/>
      <c r="H973" s="292"/>
      <c r="I973" s="574"/>
      <c r="J973" s="573"/>
      <c r="K973" s="307"/>
      <c r="L973" s="292"/>
      <c r="M973" s="308"/>
      <c r="N973" s="292"/>
      <c r="O973" s="308"/>
      <c r="P973" s="575"/>
      <c r="Q973" s="576"/>
      <c r="R973" s="308"/>
      <c r="S973" s="575"/>
      <c r="T973" s="576"/>
      <c r="U973" s="308"/>
      <c r="V973" s="575"/>
      <c r="W973" s="576"/>
      <c r="X973" s="308"/>
      <c r="Y973" s="575"/>
      <c r="Z973" s="576"/>
      <c r="AA973" s="308"/>
      <c r="AB973" s="575"/>
      <c r="AC973" s="576"/>
      <c r="AD973" s="308"/>
      <c r="AE973" s="575"/>
      <c r="AF973" s="308"/>
      <c r="AG973" s="575"/>
      <c r="AH973" s="308"/>
      <c r="AI973" s="575"/>
      <c r="AJ973" s="308"/>
      <c r="AK973" s="305"/>
      <c r="AL973" s="577"/>
      <c r="AM973" s="306"/>
      <c r="AN973" s="308"/>
      <c r="AO973" s="573"/>
      <c r="AP973" s="305"/>
      <c r="AQ973" s="308"/>
      <c r="AR973" s="573"/>
      <c r="AS973" s="578"/>
      <c r="AT973" s="577"/>
      <c r="AU973" s="579"/>
      <c r="AV973" s="578"/>
      <c r="AW973" s="308"/>
      <c r="AX973" s="307"/>
      <c r="AY973" s="307"/>
      <c r="AZ973" s="307"/>
      <c r="BA973" s="307"/>
      <c r="BB973" s="307"/>
      <c r="BC973" s="305"/>
      <c r="BD973" s="292"/>
      <c r="BE973" s="297"/>
      <c r="BF973" s="297"/>
      <c r="BG973" s="569"/>
      <c r="BH973" s="570"/>
      <c r="BI973" s="570"/>
      <c r="BJ973" s="570"/>
      <c r="BK973" s="570"/>
      <c r="BL973" s="570"/>
      <c r="BM973" s="570"/>
      <c r="BN973" s="570"/>
      <c r="BO973" s="570"/>
      <c r="BP973" s="570"/>
      <c r="BQ973" s="570"/>
      <c r="BR973" s="570"/>
      <c r="BS973" s="570"/>
      <c r="BT973" s="570"/>
      <c r="BU973" s="570"/>
      <c r="BV973" s="570"/>
      <c r="BW973" s="570"/>
      <c r="BX973" s="570"/>
      <c r="BY973" s="570"/>
      <c r="BZ973" s="571"/>
      <c r="CA973" s="571"/>
    </row>
    <row r="974" spans="2:79">
      <c r="B974" s="566">
        <v>959</v>
      </c>
      <c r="C974" s="308"/>
      <c r="D974" s="307"/>
      <c r="E974" s="307"/>
      <c r="F974" s="305"/>
      <c r="G974" s="305"/>
      <c r="H974" s="292"/>
      <c r="I974" s="574"/>
      <c r="J974" s="573"/>
      <c r="K974" s="307"/>
      <c r="L974" s="292"/>
      <c r="M974" s="308"/>
      <c r="N974" s="292"/>
      <c r="O974" s="308"/>
      <c r="P974" s="575"/>
      <c r="Q974" s="576"/>
      <c r="R974" s="308"/>
      <c r="S974" s="575"/>
      <c r="T974" s="576"/>
      <c r="U974" s="308"/>
      <c r="V974" s="575"/>
      <c r="W974" s="576"/>
      <c r="X974" s="308"/>
      <c r="Y974" s="575"/>
      <c r="Z974" s="576"/>
      <c r="AA974" s="308"/>
      <c r="AB974" s="575"/>
      <c r="AC974" s="576"/>
      <c r="AD974" s="308"/>
      <c r="AE974" s="575"/>
      <c r="AF974" s="308"/>
      <c r="AG974" s="575"/>
      <c r="AH974" s="308"/>
      <c r="AI974" s="575"/>
      <c r="AJ974" s="308"/>
      <c r="AK974" s="305"/>
      <c r="AL974" s="577"/>
      <c r="AM974" s="306"/>
      <c r="AN974" s="308"/>
      <c r="AO974" s="573"/>
      <c r="AP974" s="305"/>
      <c r="AQ974" s="308"/>
      <c r="AR974" s="573"/>
      <c r="AS974" s="578"/>
      <c r="AT974" s="577"/>
      <c r="AU974" s="579"/>
      <c r="AV974" s="578"/>
      <c r="AW974" s="308"/>
      <c r="AX974" s="307"/>
      <c r="AY974" s="307"/>
      <c r="AZ974" s="307"/>
      <c r="BA974" s="307"/>
      <c r="BB974" s="307"/>
      <c r="BC974" s="305"/>
      <c r="BD974" s="292"/>
      <c r="BE974" s="297"/>
      <c r="BF974" s="297"/>
      <c r="BG974" s="569"/>
      <c r="BH974" s="570"/>
      <c r="BI974" s="570"/>
      <c r="BJ974" s="570"/>
      <c r="BK974" s="570"/>
      <c r="BL974" s="570"/>
      <c r="BM974" s="570"/>
      <c r="BN974" s="570"/>
      <c r="BO974" s="570"/>
      <c r="BP974" s="570"/>
      <c r="BQ974" s="570"/>
      <c r="BR974" s="570"/>
      <c r="BS974" s="570"/>
      <c r="BT974" s="570"/>
      <c r="BU974" s="570"/>
      <c r="BV974" s="570"/>
      <c r="BW974" s="570"/>
      <c r="BX974" s="570"/>
      <c r="BY974" s="570"/>
      <c r="BZ974" s="571"/>
      <c r="CA974" s="571"/>
    </row>
    <row r="975" spans="2:79">
      <c r="B975" s="572">
        <v>960</v>
      </c>
      <c r="C975" s="308"/>
      <c r="D975" s="307"/>
      <c r="E975" s="307"/>
      <c r="F975" s="305"/>
      <c r="G975" s="305"/>
      <c r="H975" s="292"/>
      <c r="I975" s="574"/>
      <c r="J975" s="573"/>
      <c r="K975" s="307"/>
      <c r="L975" s="292"/>
      <c r="M975" s="308"/>
      <c r="N975" s="292"/>
      <c r="O975" s="308"/>
      <c r="P975" s="575"/>
      <c r="Q975" s="576"/>
      <c r="R975" s="308"/>
      <c r="S975" s="575"/>
      <c r="T975" s="576"/>
      <c r="U975" s="308"/>
      <c r="V975" s="575"/>
      <c r="W975" s="576"/>
      <c r="X975" s="308"/>
      <c r="Y975" s="575"/>
      <c r="Z975" s="576"/>
      <c r="AA975" s="308"/>
      <c r="AB975" s="575"/>
      <c r="AC975" s="576"/>
      <c r="AD975" s="308"/>
      <c r="AE975" s="575"/>
      <c r="AF975" s="308"/>
      <c r="AG975" s="575"/>
      <c r="AH975" s="308"/>
      <c r="AI975" s="575"/>
      <c r="AJ975" s="308"/>
      <c r="AK975" s="305"/>
      <c r="AL975" s="577"/>
      <c r="AM975" s="306"/>
      <c r="AN975" s="308"/>
      <c r="AO975" s="573"/>
      <c r="AP975" s="305"/>
      <c r="AQ975" s="308"/>
      <c r="AR975" s="573"/>
      <c r="AS975" s="578"/>
      <c r="AT975" s="577"/>
      <c r="AU975" s="579"/>
      <c r="AV975" s="578"/>
      <c r="AW975" s="308"/>
      <c r="AX975" s="307"/>
      <c r="AY975" s="307"/>
      <c r="AZ975" s="307"/>
      <c r="BA975" s="307"/>
      <c r="BB975" s="307"/>
      <c r="BC975" s="305"/>
      <c r="BD975" s="292"/>
      <c r="BE975" s="297"/>
      <c r="BF975" s="297"/>
      <c r="BG975" s="569"/>
      <c r="BH975" s="570"/>
      <c r="BI975" s="570"/>
      <c r="BJ975" s="570"/>
      <c r="BK975" s="570"/>
      <c r="BL975" s="570"/>
      <c r="BM975" s="570"/>
      <c r="BN975" s="570"/>
      <c r="BO975" s="570"/>
      <c r="BP975" s="570"/>
      <c r="BQ975" s="570"/>
      <c r="BR975" s="570"/>
      <c r="BS975" s="570"/>
      <c r="BT975" s="570"/>
      <c r="BU975" s="570"/>
      <c r="BV975" s="570"/>
      <c r="BW975" s="570"/>
      <c r="BX975" s="570"/>
      <c r="BY975" s="570"/>
      <c r="BZ975" s="571"/>
      <c r="CA975" s="571"/>
    </row>
    <row r="976" spans="2:79">
      <c r="B976" s="566">
        <v>961</v>
      </c>
      <c r="C976" s="308"/>
      <c r="D976" s="307"/>
      <c r="E976" s="307"/>
      <c r="F976" s="305"/>
      <c r="G976" s="305"/>
      <c r="H976" s="292"/>
      <c r="I976" s="574"/>
      <c r="J976" s="573"/>
      <c r="K976" s="307"/>
      <c r="L976" s="292"/>
      <c r="M976" s="308"/>
      <c r="N976" s="292"/>
      <c r="O976" s="308"/>
      <c r="P976" s="575"/>
      <c r="Q976" s="576"/>
      <c r="R976" s="308"/>
      <c r="S976" s="575"/>
      <c r="T976" s="576"/>
      <c r="U976" s="308"/>
      <c r="V976" s="575"/>
      <c r="W976" s="576"/>
      <c r="X976" s="308"/>
      <c r="Y976" s="575"/>
      <c r="Z976" s="576"/>
      <c r="AA976" s="308"/>
      <c r="AB976" s="575"/>
      <c r="AC976" s="576"/>
      <c r="AD976" s="308"/>
      <c r="AE976" s="575"/>
      <c r="AF976" s="308"/>
      <c r="AG976" s="575"/>
      <c r="AH976" s="308"/>
      <c r="AI976" s="575"/>
      <c r="AJ976" s="308"/>
      <c r="AK976" s="305"/>
      <c r="AL976" s="577"/>
      <c r="AM976" s="306"/>
      <c r="AN976" s="308"/>
      <c r="AO976" s="573"/>
      <c r="AP976" s="305"/>
      <c r="AQ976" s="308"/>
      <c r="AR976" s="573"/>
      <c r="AS976" s="578"/>
      <c r="AT976" s="577"/>
      <c r="AU976" s="579"/>
      <c r="AV976" s="578"/>
      <c r="AW976" s="308"/>
      <c r="AX976" s="307"/>
      <c r="AY976" s="307"/>
      <c r="AZ976" s="307"/>
      <c r="BA976" s="307"/>
      <c r="BB976" s="307"/>
      <c r="BC976" s="305"/>
      <c r="BD976" s="292"/>
      <c r="BE976" s="297"/>
      <c r="BF976" s="297"/>
      <c r="BG976" s="569"/>
      <c r="BH976" s="570"/>
      <c r="BI976" s="570"/>
      <c r="BJ976" s="570"/>
      <c r="BK976" s="570"/>
      <c r="BL976" s="570"/>
      <c r="BM976" s="570"/>
      <c r="BN976" s="570"/>
      <c r="BO976" s="570"/>
      <c r="BP976" s="570"/>
      <c r="BQ976" s="570"/>
      <c r="BR976" s="570"/>
      <c r="BS976" s="570"/>
      <c r="BT976" s="570"/>
      <c r="BU976" s="570"/>
      <c r="BV976" s="570"/>
      <c r="BW976" s="570"/>
      <c r="BX976" s="570"/>
      <c r="BY976" s="570"/>
      <c r="BZ976" s="571"/>
      <c r="CA976" s="571"/>
    </row>
    <row r="977" spans="2:79">
      <c r="B977" s="572">
        <v>962</v>
      </c>
      <c r="C977" s="308"/>
      <c r="D977" s="307"/>
      <c r="E977" s="307"/>
      <c r="F977" s="305"/>
      <c r="G977" s="305"/>
      <c r="H977" s="292"/>
      <c r="I977" s="574"/>
      <c r="J977" s="573"/>
      <c r="K977" s="307"/>
      <c r="L977" s="292"/>
      <c r="M977" s="308"/>
      <c r="N977" s="292"/>
      <c r="O977" s="308"/>
      <c r="P977" s="575"/>
      <c r="Q977" s="576"/>
      <c r="R977" s="308"/>
      <c r="S977" s="575"/>
      <c r="T977" s="576"/>
      <c r="U977" s="308"/>
      <c r="V977" s="575"/>
      <c r="W977" s="576"/>
      <c r="X977" s="308"/>
      <c r="Y977" s="575"/>
      <c r="Z977" s="576"/>
      <c r="AA977" s="308"/>
      <c r="AB977" s="575"/>
      <c r="AC977" s="576"/>
      <c r="AD977" s="308"/>
      <c r="AE977" s="575"/>
      <c r="AF977" s="308"/>
      <c r="AG977" s="575"/>
      <c r="AH977" s="308"/>
      <c r="AI977" s="575"/>
      <c r="AJ977" s="308"/>
      <c r="AK977" s="305"/>
      <c r="AL977" s="577"/>
      <c r="AM977" s="306"/>
      <c r="AN977" s="308"/>
      <c r="AO977" s="573"/>
      <c r="AP977" s="305"/>
      <c r="AQ977" s="308"/>
      <c r="AR977" s="573"/>
      <c r="AS977" s="578"/>
      <c r="AT977" s="577"/>
      <c r="AU977" s="579"/>
      <c r="AV977" s="578"/>
      <c r="AW977" s="308"/>
      <c r="AX977" s="307"/>
      <c r="AY977" s="307"/>
      <c r="AZ977" s="307"/>
      <c r="BA977" s="307"/>
      <c r="BB977" s="307"/>
      <c r="BC977" s="305"/>
      <c r="BD977" s="292"/>
      <c r="BE977" s="297"/>
      <c r="BF977" s="297"/>
      <c r="BG977" s="569"/>
      <c r="BH977" s="570"/>
      <c r="BI977" s="570"/>
      <c r="BJ977" s="570"/>
      <c r="BK977" s="570"/>
      <c r="BL977" s="570"/>
      <c r="BM977" s="570"/>
      <c r="BN977" s="570"/>
      <c r="BO977" s="570"/>
      <c r="BP977" s="570"/>
      <c r="BQ977" s="570"/>
      <c r="BR977" s="570"/>
      <c r="BS977" s="570"/>
      <c r="BT977" s="570"/>
      <c r="BU977" s="570"/>
      <c r="BV977" s="570"/>
      <c r="BW977" s="570"/>
      <c r="BX977" s="570"/>
      <c r="BY977" s="570"/>
      <c r="BZ977" s="571"/>
      <c r="CA977" s="571"/>
    </row>
    <row r="978" spans="2:79">
      <c r="B978" s="566">
        <v>963</v>
      </c>
      <c r="C978" s="308"/>
      <c r="D978" s="307"/>
      <c r="E978" s="307"/>
      <c r="F978" s="305"/>
      <c r="G978" s="305"/>
      <c r="H978" s="292"/>
      <c r="I978" s="574"/>
      <c r="J978" s="573"/>
      <c r="K978" s="307"/>
      <c r="L978" s="292"/>
      <c r="M978" s="308"/>
      <c r="N978" s="292"/>
      <c r="O978" s="308"/>
      <c r="P978" s="575"/>
      <c r="Q978" s="576"/>
      <c r="R978" s="308"/>
      <c r="S978" s="575"/>
      <c r="T978" s="576"/>
      <c r="U978" s="308"/>
      <c r="V978" s="575"/>
      <c r="W978" s="576"/>
      <c r="X978" s="308"/>
      <c r="Y978" s="575"/>
      <c r="Z978" s="576"/>
      <c r="AA978" s="308"/>
      <c r="AB978" s="575"/>
      <c r="AC978" s="576"/>
      <c r="AD978" s="308"/>
      <c r="AE978" s="575"/>
      <c r="AF978" s="308"/>
      <c r="AG978" s="575"/>
      <c r="AH978" s="308"/>
      <c r="AI978" s="575"/>
      <c r="AJ978" s="308"/>
      <c r="AK978" s="305"/>
      <c r="AL978" s="577"/>
      <c r="AM978" s="306"/>
      <c r="AN978" s="308"/>
      <c r="AO978" s="573"/>
      <c r="AP978" s="305"/>
      <c r="AQ978" s="308"/>
      <c r="AR978" s="573"/>
      <c r="AS978" s="578"/>
      <c r="AT978" s="577"/>
      <c r="AU978" s="579"/>
      <c r="AV978" s="578"/>
      <c r="AW978" s="308"/>
      <c r="AX978" s="307"/>
      <c r="AY978" s="307"/>
      <c r="AZ978" s="307"/>
      <c r="BA978" s="307"/>
      <c r="BB978" s="307"/>
      <c r="BC978" s="305"/>
      <c r="BD978" s="292"/>
      <c r="BE978" s="297"/>
      <c r="BF978" s="297"/>
      <c r="BG978" s="569"/>
      <c r="BH978" s="570"/>
      <c r="BI978" s="570"/>
      <c r="BJ978" s="570"/>
      <c r="BK978" s="570"/>
      <c r="BL978" s="570"/>
      <c r="BM978" s="570"/>
      <c r="BN978" s="570"/>
      <c r="BO978" s="570"/>
      <c r="BP978" s="570"/>
      <c r="BQ978" s="570"/>
      <c r="BR978" s="570"/>
      <c r="BS978" s="570"/>
      <c r="BT978" s="570"/>
      <c r="BU978" s="570"/>
      <c r="BV978" s="570"/>
      <c r="BW978" s="570"/>
      <c r="BX978" s="570"/>
      <c r="BY978" s="570"/>
      <c r="BZ978" s="571"/>
      <c r="CA978" s="571"/>
    </row>
    <row r="979" spans="2:79">
      <c r="B979" s="572">
        <v>964</v>
      </c>
      <c r="C979" s="308"/>
      <c r="D979" s="307"/>
      <c r="E979" s="307"/>
      <c r="F979" s="305"/>
      <c r="G979" s="305"/>
      <c r="H979" s="292"/>
      <c r="I979" s="574"/>
      <c r="J979" s="573"/>
      <c r="K979" s="307"/>
      <c r="L979" s="292"/>
      <c r="M979" s="308"/>
      <c r="N979" s="292"/>
      <c r="O979" s="308"/>
      <c r="P979" s="575"/>
      <c r="Q979" s="576"/>
      <c r="R979" s="308"/>
      <c r="S979" s="575"/>
      <c r="T979" s="576"/>
      <c r="U979" s="308"/>
      <c r="V979" s="575"/>
      <c r="W979" s="576"/>
      <c r="X979" s="308"/>
      <c r="Y979" s="575"/>
      <c r="Z979" s="576"/>
      <c r="AA979" s="308"/>
      <c r="AB979" s="575"/>
      <c r="AC979" s="576"/>
      <c r="AD979" s="308"/>
      <c r="AE979" s="575"/>
      <c r="AF979" s="308"/>
      <c r="AG979" s="575"/>
      <c r="AH979" s="308"/>
      <c r="AI979" s="575"/>
      <c r="AJ979" s="308"/>
      <c r="AK979" s="305"/>
      <c r="AL979" s="577"/>
      <c r="AM979" s="306"/>
      <c r="AN979" s="308"/>
      <c r="AO979" s="573"/>
      <c r="AP979" s="305"/>
      <c r="AQ979" s="308"/>
      <c r="AR979" s="573"/>
      <c r="AS979" s="578"/>
      <c r="AT979" s="577"/>
      <c r="AU979" s="579"/>
      <c r="AV979" s="578"/>
      <c r="AW979" s="308"/>
      <c r="AX979" s="307"/>
      <c r="AY979" s="307"/>
      <c r="AZ979" s="307"/>
      <c r="BA979" s="307"/>
      <c r="BB979" s="307"/>
      <c r="BC979" s="305"/>
      <c r="BD979" s="292"/>
      <c r="BE979" s="297"/>
      <c r="BF979" s="297"/>
      <c r="BG979" s="569"/>
      <c r="BH979" s="570"/>
      <c r="BI979" s="570"/>
      <c r="BJ979" s="570"/>
      <c r="BK979" s="570"/>
      <c r="BL979" s="570"/>
      <c r="BM979" s="570"/>
      <c r="BN979" s="570"/>
      <c r="BO979" s="570"/>
      <c r="BP979" s="570"/>
      <c r="BQ979" s="570"/>
      <c r="BR979" s="570"/>
      <c r="BS979" s="570"/>
      <c r="BT979" s="570"/>
      <c r="BU979" s="570"/>
      <c r="BV979" s="570"/>
      <c r="BW979" s="570"/>
      <c r="BX979" s="570"/>
      <c r="BY979" s="570"/>
      <c r="BZ979" s="571"/>
      <c r="CA979" s="571"/>
    </row>
    <row r="980" spans="2:79">
      <c r="B980" s="566">
        <v>965</v>
      </c>
      <c r="C980" s="308"/>
      <c r="D980" s="307"/>
      <c r="E980" s="307"/>
      <c r="F980" s="305"/>
      <c r="G980" s="305"/>
      <c r="H980" s="292"/>
      <c r="I980" s="574"/>
      <c r="J980" s="573"/>
      <c r="K980" s="307"/>
      <c r="L980" s="292"/>
      <c r="M980" s="308"/>
      <c r="N980" s="292"/>
      <c r="O980" s="308"/>
      <c r="P980" s="575"/>
      <c r="Q980" s="576"/>
      <c r="R980" s="308"/>
      <c r="S980" s="575"/>
      <c r="T980" s="576"/>
      <c r="U980" s="308"/>
      <c r="V980" s="575"/>
      <c r="W980" s="576"/>
      <c r="X980" s="308"/>
      <c r="Y980" s="575"/>
      <c r="Z980" s="576"/>
      <c r="AA980" s="308"/>
      <c r="AB980" s="575"/>
      <c r="AC980" s="576"/>
      <c r="AD980" s="308"/>
      <c r="AE980" s="575"/>
      <c r="AF980" s="308"/>
      <c r="AG980" s="575"/>
      <c r="AH980" s="308"/>
      <c r="AI980" s="575"/>
      <c r="AJ980" s="308"/>
      <c r="AK980" s="305"/>
      <c r="AL980" s="577"/>
      <c r="AM980" s="306"/>
      <c r="AN980" s="308"/>
      <c r="AO980" s="573"/>
      <c r="AP980" s="305"/>
      <c r="AQ980" s="308"/>
      <c r="AR980" s="573"/>
      <c r="AS980" s="578"/>
      <c r="AT980" s="577"/>
      <c r="AU980" s="579"/>
      <c r="AV980" s="578"/>
      <c r="AW980" s="308"/>
      <c r="AX980" s="307"/>
      <c r="AY980" s="307"/>
      <c r="AZ980" s="307"/>
      <c r="BA980" s="307"/>
      <c r="BB980" s="307"/>
      <c r="BC980" s="305"/>
      <c r="BD980" s="292"/>
      <c r="BE980" s="297"/>
      <c r="BF980" s="297"/>
      <c r="BG980" s="569"/>
      <c r="BH980" s="570"/>
      <c r="BI980" s="570"/>
      <c r="BJ980" s="570"/>
      <c r="BK980" s="570"/>
      <c r="BL980" s="570"/>
      <c r="BM980" s="570"/>
      <c r="BN980" s="570"/>
      <c r="BO980" s="570"/>
      <c r="BP980" s="570"/>
      <c r="BQ980" s="570"/>
      <c r="BR980" s="570"/>
      <c r="BS980" s="570"/>
      <c r="BT980" s="570"/>
      <c r="BU980" s="570"/>
      <c r="BV980" s="570"/>
      <c r="BW980" s="570"/>
      <c r="BX980" s="570"/>
      <c r="BY980" s="570"/>
      <c r="BZ980" s="571"/>
      <c r="CA980" s="571"/>
    </row>
    <row r="981" spans="2:79">
      <c r="B981" s="572">
        <v>966</v>
      </c>
      <c r="C981" s="308"/>
      <c r="D981" s="307"/>
      <c r="E981" s="307"/>
      <c r="F981" s="305"/>
      <c r="G981" s="305"/>
      <c r="H981" s="292"/>
      <c r="I981" s="574"/>
      <c r="J981" s="573"/>
      <c r="K981" s="307"/>
      <c r="L981" s="292"/>
      <c r="M981" s="308"/>
      <c r="N981" s="292"/>
      <c r="O981" s="308"/>
      <c r="P981" s="575"/>
      <c r="Q981" s="576"/>
      <c r="R981" s="308"/>
      <c r="S981" s="575"/>
      <c r="T981" s="576"/>
      <c r="U981" s="308"/>
      <c r="V981" s="575"/>
      <c r="W981" s="576"/>
      <c r="X981" s="308"/>
      <c r="Y981" s="575"/>
      <c r="Z981" s="576"/>
      <c r="AA981" s="308"/>
      <c r="AB981" s="575"/>
      <c r="AC981" s="576"/>
      <c r="AD981" s="308"/>
      <c r="AE981" s="575"/>
      <c r="AF981" s="308"/>
      <c r="AG981" s="575"/>
      <c r="AH981" s="308"/>
      <c r="AI981" s="575"/>
      <c r="AJ981" s="308"/>
      <c r="AK981" s="305"/>
      <c r="AL981" s="577"/>
      <c r="AM981" s="306"/>
      <c r="AN981" s="308"/>
      <c r="AO981" s="573"/>
      <c r="AP981" s="305"/>
      <c r="AQ981" s="308"/>
      <c r="AR981" s="573"/>
      <c r="AS981" s="578"/>
      <c r="AT981" s="577"/>
      <c r="AU981" s="579"/>
      <c r="AV981" s="578"/>
      <c r="AW981" s="308"/>
      <c r="AX981" s="307"/>
      <c r="AY981" s="307"/>
      <c r="AZ981" s="307"/>
      <c r="BA981" s="307"/>
      <c r="BB981" s="307"/>
      <c r="BC981" s="305"/>
      <c r="BD981" s="292"/>
      <c r="BE981" s="297"/>
      <c r="BF981" s="297"/>
      <c r="BG981" s="569"/>
      <c r="BH981" s="570"/>
      <c r="BI981" s="570"/>
      <c r="BJ981" s="570"/>
      <c r="BK981" s="570"/>
      <c r="BL981" s="570"/>
      <c r="BM981" s="570"/>
      <c r="BN981" s="570"/>
      <c r="BO981" s="570"/>
      <c r="BP981" s="570"/>
      <c r="BQ981" s="570"/>
      <c r="BR981" s="570"/>
      <c r="BS981" s="570"/>
      <c r="BT981" s="570"/>
      <c r="BU981" s="570"/>
      <c r="BV981" s="570"/>
      <c r="BW981" s="570"/>
      <c r="BX981" s="570"/>
      <c r="BY981" s="570"/>
      <c r="BZ981" s="571"/>
      <c r="CA981" s="571"/>
    </row>
    <row r="982" spans="2:79">
      <c r="B982" s="566">
        <v>967</v>
      </c>
      <c r="C982" s="308"/>
      <c r="D982" s="307"/>
      <c r="E982" s="307"/>
      <c r="F982" s="305"/>
      <c r="G982" s="305"/>
      <c r="H982" s="292"/>
      <c r="I982" s="574"/>
      <c r="J982" s="573"/>
      <c r="K982" s="307"/>
      <c r="L982" s="292"/>
      <c r="M982" s="308"/>
      <c r="N982" s="292"/>
      <c r="O982" s="308"/>
      <c r="P982" s="575"/>
      <c r="Q982" s="576"/>
      <c r="R982" s="308"/>
      <c r="S982" s="575"/>
      <c r="T982" s="576"/>
      <c r="U982" s="308"/>
      <c r="V982" s="575"/>
      <c r="W982" s="576"/>
      <c r="X982" s="308"/>
      <c r="Y982" s="575"/>
      <c r="Z982" s="576"/>
      <c r="AA982" s="308"/>
      <c r="AB982" s="575"/>
      <c r="AC982" s="576"/>
      <c r="AD982" s="308"/>
      <c r="AE982" s="575"/>
      <c r="AF982" s="308"/>
      <c r="AG982" s="575"/>
      <c r="AH982" s="308"/>
      <c r="AI982" s="575"/>
      <c r="AJ982" s="308"/>
      <c r="AK982" s="305"/>
      <c r="AL982" s="577"/>
      <c r="AM982" s="306"/>
      <c r="AN982" s="308"/>
      <c r="AO982" s="573"/>
      <c r="AP982" s="305"/>
      <c r="AQ982" s="308"/>
      <c r="AR982" s="573"/>
      <c r="AS982" s="578"/>
      <c r="AT982" s="577"/>
      <c r="AU982" s="579"/>
      <c r="AV982" s="578"/>
      <c r="AW982" s="308"/>
      <c r="AX982" s="307"/>
      <c r="AY982" s="307"/>
      <c r="AZ982" s="307"/>
      <c r="BA982" s="307"/>
      <c r="BB982" s="307"/>
      <c r="BC982" s="305"/>
      <c r="BD982" s="292"/>
      <c r="BE982" s="297"/>
      <c r="BF982" s="297"/>
      <c r="BG982" s="569"/>
      <c r="BH982" s="570"/>
      <c r="BI982" s="570"/>
      <c r="BJ982" s="570"/>
      <c r="BK982" s="570"/>
      <c r="BL982" s="570"/>
      <c r="BM982" s="570"/>
      <c r="BN982" s="570"/>
      <c r="BO982" s="570"/>
      <c r="BP982" s="570"/>
      <c r="BQ982" s="570"/>
      <c r="BR982" s="570"/>
      <c r="BS982" s="570"/>
      <c r="BT982" s="570"/>
      <c r="BU982" s="570"/>
      <c r="BV982" s="570"/>
      <c r="BW982" s="570"/>
      <c r="BX982" s="570"/>
      <c r="BY982" s="570"/>
      <c r="BZ982" s="571"/>
      <c r="CA982" s="571"/>
    </row>
    <row r="983" spans="2:79">
      <c r="B983" s="572">
        <v>968</v>
      </c>
      <c r="C983" s="308"/>
      <c r="D983" s="307"/>
      <c r="E983" s="307"/>
      <c r="F983" s="305"/>
      <c r="G983" s="305"/>
      <c r="H983" s="292"/>
      <c r="I983" s="574"/>
      <c r="J983" s="573"/>
      <c r="K983" s="307"/>
      <c r="L983" s="292"/>
      <c r="M983" s="308"/>
      <c r="N983" s="292"/>
      <c r="O983" s="308"/>
      <c r="P983" s="575"/>
      <c r="Q983" s="576"/>
      <c r="R983" s="308"/>
      <c r="S983" s="575"/>
      <c r="T983" s="576"/>
      <c r="U983" s="308"/>
      <c r="V983" s="575"/>
      <c r="W983" s="576"/>
      <c r="X983" s="308"/>
      <c r="Y983" s="575"/>
      <c r="Z983" s="576"/>
      <c r="AA983" s="308"/>
      <c r="AB983" s="575"/>
      <c r="AC983" s="576"/>
      <c r="AD983" s="308"/>
      <c r="AE983" s="575"/>
      <c r="AF983" s="308"/>
      <c r="AG983" s="575"/>
      <c r="AH983" s="308"/>
      <c r="AI983" s="575"/>
      <c r="AJ983" s="308"/>
      <c r="AK983" s="305"/>
      <c r="AL983" s="577"/>
      <c r="AM983" s="306"/>
      <c r="AN983" s="308"/>
      <c r="AO983" s="573"/>
      <c r="AP983" s="305"/>
      <c r="AQ983" s="308"/>
      <c r="AR983" s="573"/>
      <c r="AS983" s="578"/>
      <c r="AT983" s="577"/>
      <c r="AU983" s="579"/>
      <c r="AV983" s="578"/>
      <c r="AW983" s="308"/>
      <c r="AX983" s="307"/>
      <c r="AY983" s="307"/>
      <c r="AZ983" s="307"/>
      <c r="BA983" s="307"/>
      <c r="BB983" s="307"/>
      <c r="BC983" s="305"/>
      <c r="BD983" s="292"/>
      <c r="BE983" s="297"/>
      <c r="BF983" s="297"/>
      <c r="BG983" s="569"/>
      <c r="BH983" s="570"/>
      <c r="BI983" s="570"/>
      <c r="BJ983" s="570"/>
      <c r="BK983" s="570"/>
      <c r="BL983" s="570"/>
      <c r="BM983" s="570"/>
      <c r="BN983" s="570"/>
      <c r="BO983" s="570"/>
      <c r="BP983" s="570"/>
      <c r="BQ983" s="570"/>
      <c r="BR983" s="570"/>
      <c r="BS983" s="570"/>
      <c r="BT983" s="570"/>
      <c r="BU983" s="570"/>
      <c r="BV983" s="570"/>
      <c r="BW983" s="570"/>
      <c r="BX983" s="570"/>
      <c r="BY983" s="570"/>
      <c r="BZ983" s="571"/>
      <c r="CA983" s="571"/>
    </row>
    <row r="984" spans="2:79">
      <c r="B984" s="566">
        <v>969</v>
      </c>
      <c r="C984" s="308"/>
      <c r="D984" s="307"/>
      <c r="E984" s="307"/>
      <c r="F984" s="305"/>
      <c r="G984" s="305"/>
      <c r="H984" s="292"/>
      <c r="I984" s="574"/>
      <c r="J984" s="573"/>
      <c r="K984" s="307"/>
      <c r="L984" s="292"/>
      <c r="M984" s="308"/>
      <c r="N984" s="292"/>
      <c r="O984" s="308"/>
      <c r="P984" s="575"/>
      <c r="Q984" s="576"/>
      <c r="R984" s="308"/>
      <c r="S984" s="575"/>
      <c r="T984" s="576"/>
      <c r="U984" s="308"/>
      <c r="V984" s="575"/>
      <c r="W984" s="576"/>
      <c r="X984" s="308"/>
      <c r="Y984" s="575"/>
      <c r="Z984" s="576"/>
      <c r="AA984" s="308"/>
      <c r="AB984" s="575"/>
      <c r="AC984" s="576"/>
      <c r="AD984" s="308"/>
      <c r="AE984" s="575"/>
      <c r="AF984" s="308"/>
      <c r="AG984" s="575"/>
      <c r="AH984" s="308"/>
      <c r="AI984" s="575"/>
      <c r="AJ984" s="308"/>
      <c r="AK984" s="305"/>
      <c r="AL984" s="577"/>
      <c r="AM984" s="306"/>
      <c r="AN984" s="308"/>
      <c r="AO984" s="573"/>
      <c r="AP984" s="305"/>
      <c r="AQ984" s="308"/>
      <c r="AR984" s="573"/>
      <c r="AS984" s="578"/>
      <c r="AT984" s="577"/>
      <c r="AU984" s="579"/>
      <c r="AV984" s="578"/>
      <c r="AW984" s="308"/>
      <c r="AX984" s="307"/>
      <c r="AY984" s="307"/>
      <c r="AZ984" s="307"/>
      <c r="BA984" s="307"/>
      <c r="BB984" s="307"/>
      <c r="BC984" s="305"/>
      <c r="BD984" s="292"/>
      <c r="BE984" s="297"/>
      <c r="BF984" s="297"/>
      <c r="BG984" s="569"/>
      <c r="BH984" s="570"/>
      <c r="BI984" s="570"/>
      <c r="BJ984" s="570"/>
      <c r="BK984" s="570"/>
      <c r="BL984" s="570"/>
      <c r="BM984" s="570"/>
      <c r="BN984" s="570"/>
      <c r="BO984" s="570"/>
      <c r="BP984" s="570"/>
      <c r="BQ984" s="570"/>
      <c r="BR984" s="570"/>
      <c r="BS984" s="570"/>
      <c r="BT984" s="570"/>
      <c r="BU984" s="570"/>
      <c r="BV984" s="570"/>
      <c r="BW984" s="570"/>
      <c r="BX984" s="570"/>
      <c r="BY984" s="570"/>
      <c r="BZ984" s="571"/>
      <c r="CA984" s="571"/>
    </row>
    <row r="985" spans="2:79">
      <c r="B985" s="572">
        <v>970</v>
      </c>
      <c r="C985" s="308"/>
      <c r="D985" s="307"/>
      <c r="E985" s="307"/>
      <c r="F985" s="305"/>
      <c r="G985" s="305"/>
      <c r="H985" s="292"/>
      <c r="I985" s="574"/>
      <c r="J985" s="573"/>
      <c r="K985" s="307"/>
      <c r="L985" s="292"/>
      <c r="M985" s="308"/>
      <c r="N985" s="292"/>
      <c r="O985" s="308"/>
      <c r="P985" s="575"/>
      <c r="Q985" s="576"/>
      <c r="R985" s="308"/>
      <c r="S985" s="575"/>
      <c r="T985" s="576"/>
      <c r="U985" s="308"/>
      <c r="V985" s="575"/>
      <c r="W985" s="576"/>
      <c r="X985" s="308"/>
      <c r="Y985" s="575"/>
      <c r="Z985" s="576"/>
      <c r="AA985" s="308"/>
      <c r="AB985" s="575"/>
      <c r="AC985" s="576"/>
      <c r="AD985" s="308"/>
      <c r="AE985" s="575"/>
      <c r="AF985" s="308"/>
      <c r="AG985" s="575"/>
      <c r="AH985" s="308"/>
      <c r="AI985" s="575"/>
      <c r="AJ985" s="308"/>
      <c r="AK985" s="305"/>
      <c r="AL985" s="577"/>
      <c r="AM985" s="306"/>
      <c r="AN985" s="308"/>
      <c r="AO985" s="573"/>
      <c r="AP985" s="305"/>
      <c r="AQ985" s="308"/>
      <c r="AR985" s="573"/>
      <c r="AS985" s="578"/>
      <c r="AT985" s="577"/>
      <c r="AU985" s="579"/>
      <c r="AV985" s="578"/>
      <c r="AW985" s="308"/>
      <c r="AX985" s="307"/>
      <c r="AY985" s="307"/>
      <c r="AZ985" s="307"/>
      <c r="BA985" s="307"/>
      <c r="BB985" s="307"/>
      <c r="BC985" s="305"/>
      <c r="BD985" s="292"/>
      <c r="BE985" s="297"/>
      <c r="BF985" s="297"/>
      <c r="BG985" s="569"/>
      <c r="BH985" s="570"/>
      <c r="BI985" s="570"/>
      <c r="BJ985" s="570"/>
      <c r="BK985" s="570"/>
      <c r="BL985" s="570"/>
      <c r="BM985" s="570"/>
      <c r="BN985" s="570"/>
      <c r="BO985" s="570"/>
      <c r="BP985" s="570"/>
      <c r="BQ985" s="570"/>
      <c r="BR985" s="570"/>
      <c r="BS985" s="570"/>
      <c r="BT985" s="570"/>
      <c r="BU985" s="570"/>
      <c r="BV985" s="570"/>
      <c r="BW985" s="570"/>
      <c r="BX985" s="570"/>
      <c r="BY985" s="570"/>
      <c r="BZ985" s="571"/>
      <c r="CA985" s="571"/>
    </row>
    <row r="986" spans="2:79">
      <c r="B986" s="566">
        <v>971</v>
      </c>
      <c r="C986" s="308"/>
      <c r="D986" s="307"/>
      <c r="E986" s="307"/>
      <c r="F986" s="305"/>
      <c r="G986" s="305"/>
      <c r="H986" s="292"/>
      <c r="I986" s="574"/>
      <c r="J986" s="573"/>
      <c r="K986" s="307"/>
      <c r="L986" s="292"/>
      <c r="M986" s="308"/>
      <c r="N986" s="292"/>
      <c r="O986" s="308"/>
      <c r="P986" s="575"/>
      <c r="Q986" s="576"/>
      <c r="R986" s="308"/>
      <c r="S986" s="575"/>
      <c r="T986" s="576"/>
      <c r="U986" s="308"/>
      <c r="V986" s="575"/>
      <c r="W986" s="576"/>
      <c r="X986" s="308"/>
      <c r="Y986" s="575"/>
      <c r="Z986" s="576"/>
      <c r="AA986" s="308"/>
      <c r="AB986" s="575"/>
      <c r="AC986" s="576"/>
      <c r="AD986" s="308"/>
      <c r="AE986" s="575"/>
      <c r="AF986" s="308"/>
      <c r="AG986" s="575"/>
      <c r="AH986" s="308"/>
      <c r="AI986" s="575"/>
      <c r="AJ986" s="308"/>
      <c r="AK986" s="305"/>
      <c r="AL986" s="577"/>
      <c r="AM986" s="306"/>
      <c r="AN986" s="308"/>
      <c r="AO986" s="573"/>
      <c r="AP986" s="305"/>
      <c r="AQ986" s="308"/>
      <c r="AR986" s="573"/>
      <c r="AS986" s="578"/>
      <c r="AT986" s="577"/>
      <c r="AU986" s="579"/>
      <c r="AV986" s="578"/>
      <c r="AW986" s="308"/>
      <c r="AX986" s="307"/>
      <c r="AY986" s="307"/>
      <c r="AZ986" s="307"/>
      <c r="BA986" s="307"/>
      <c r="BB986" s="307"/>
      <c r="BC986" s="305"/>
      <c r="BD986" s="292"/>
      <c r="BE986" s="297"/>
      <c r="BF986" s="297"/>
      <c r="BG986" s="569"/>
      <c r="BH986" s="570"/>
      <c r="BI986" s="570"/>
      <c r="BJ986" s="570"/>
      <c r="BK986" s="570"/>
      <c r="BL986" s="570"/>
      <c r="BM986" s="570"/>
      <c r="BN986" s="570"/>
      <c r="BO986" s="570"/>
      <c r="BP986" s="570"/>
      <c r="BQ986" s="570"/>
      <c r="BR986" s="570"/>
      <c r="BS986" s="570"/>
      <c r="BT986" s="570"/>
      <c r="BU986" s="570"/>
      <c r="BV986" s="570"/>
      <c r="BW986" s="570"/>
      <c r="BX986" s="570"/>
      <c r="BY986" s="570"/>
      <c r="BZ986" s="571"/>
      <c r="CA986" s="571"/>
    </row>
    <row r="987" spans="2:79">
      <c r="B987" s="572">
        <v>972</v>
      </c>
      <c r="C987" s="308"/>
      <c r="D987" s="307"/>
      <c r="E987" s="307"/>
      <c r="F987" s="305"/>
      <c r="G987" s="305"/>
      <c r="H987" s="292"/>
      <c r="I987" s="574"/>
      <c r="J987" s="573"/>
      <c r="K987" s="307"/>
      <c r="L987" s="292"/>
      <c r="M987" s="308"/>
      <c r="N987" s="292"/>
      <c r="O987" s="308"/>
      <c r="P987" s="575"/>
      <c r="Q987" s="576"/>
      <c r="R987" s="308"/>
      <c r="S987" s="575"/>
      <c r="T987" s="576"/>
      <c r="U987" s="308"/>
      <c r="V987" s="575"/>
      <c r="W987" s="576"/>
      <c r="X987" s="308"/>
      <c r="Y987" s="575"/>
      <c r="Z987" s="576"/>
      <c r="AA987" s="308"/>
      <c r="AB987" s="575"/>
      <c r="AC987" s="576"/>
      <c r="AD987" s="308"/>
      <c r="AE987" s="575"/>
      <c r="AF987" s="308"/>
      <c r="AG987" s="575"/>
      <c r="AH987" s="308"/>
      <c r="AI987" s="575"/>
      <c r="AJ987" s="308"/>
      <c r="AK987" s="305"/>
      <c r="AL987" s="577"/>
      <c r="AM987" s="306"/>
      <c r="AN987" s="308"/>
      <c r="AO987" s="573"/>
      <c r="AP987" s="305"/>
      <c r="AQ987" s="308"/>
      <c r="AR987" s="573"/>
      <c r="AS987" s="578"/>
      <c r="AT987" s="577"/>
      <c r="AU987" s="579"/>
      <c r="AV987" s="578"/>
      <c r="AW987" s="308"/>
      <c r="AX987" s="307"/>
      <c r="AY987" s="307"/>
      <c r="AZ987" s="307"/>
      <c r="BA987" s="307"/>
      <c r="BB987" s="307"/>
      <c r="BC987" s="305"/>
      <c r="BD987" s="292"/>
      <c r="BE987" s="297"/>
      <c r="BF987" s="297"/>
      <c r="BG987" s="569"/>
      <c r="BH987" s="570"/>
      <c r="BI987" s="570"/>
      <c r="BJ987" s="570"/>
      <c r="BK987" s="570"/>
      <c r="BL987" s="570"/>
      <c r="BM987" s="570"/>
      <c r="BN987" s="570"/>
      <c r="BO987" s="570"/>
      <c r="BP987" s="570"/>
      <c r="BQ987" s="570"/>
      <c r="BR987" s="570"/>
      <c r="BS987" s="570"/>
      <c r="BT987" s="570"/>
      <c r="BU987" s="570"/>
      <c r="BV987" s="570"/>
      <c r="BW987" s="570"/>
      <c r="BX987" s="570"/>
      <c r="BY987" s="570"/>
      <c r="BZ987" s="571"/>
      <c r="CA987" s="571"/>
    </row>
    <row r="988" spans="2:79">
      <c r="B988" s="566">
        <v>973</v>
      </c>
      <c r="C988" s="308"/>
      <c r="D988" s="307"/>
      <c r="E988" s="307"/>
      <c r="F988" s="305"/>
      <c r="G988" s="305"/>
      <c r="H988" s="292"/>
      <c r="I988" s="574"/>
      <c r="J988" s="573"/>
      <c r="K988" s="307"/>
      <c r="L988" s="292"/>
      <c r="M988" s="308"/>
      <c r="N988" s="292"/>
      <c r="O988" s="308"/>
      <c r="P988" s="575"/>
      <c r="Q988" s="576"/>
      <c r="R988" s="308"/>
      <c r="S988" s="575"/>
      <c r="T988" s="576"/>
      <c r="U988" s="308"/>
      <c r="V988" s="575"/>
      <c r="W988" s="576"/>
      <c r="X988" s="308"/>
      <c r="Y988" s="575"/>
      <c r="Z988" s="576"/>
      <c r="AA988" s="308"/>
      <c r="AB988" s="575"/>
      <c r="AC988" s="576"/>
      <c r="AD988" s="308"/>
      <c r="AE988" s="575"/>
      <c r="AF988" s="308"/>
      <c r="AG988" s="575"/>
      <c r="AH988" s="308"/>
      <c r="AI988" s="575"/>
      <c r="AJ988" s="308"/>
      <c r="AK988" s="305"/>
      <c r="AL988" s="577"/>
      <c r="AM988" s="306"/>
      <c r="AN988" s="308"/>
      <c r="AO988" s="573"/>
      <c r="AP988" s="305"/>
      <c r="AQ988" s="308"/>
      <c r="AR988" s="573"/>
      <c r="AS988" s="578"/>
      <c r="AT988" s="577"/>
      <c r="AU988" s="579"/>
      <c r="AV988" s="578"/>
      <c r="AW988" s="308"/>
      <c r="AX988" s="307"/>
      <c r="AY988" s="307"/>
      <c r="AZ988" s="307"/>
      <c r="BA988" s="307"/>
      <c r="BB988" s="307"/>
      <c r="BC988" s="305"/>
      <c r="BD988" s="292"/>
      <c r="BE988" s="297"/>
      <c r="BF988" s="297"/>
      <c r="BG988" s="569"/>
      <c r="BH988" s="570"/>
      <c r="BI988" s="570"/>
      <c r="BJ988" s="570"/>
      <c r="BK988" s="570"/>
      <c r="BL988" s="570"/>
      <c r="BM988" s="570"/>
      <c r="BN988" s="570"/>
      <c r="BO988" s="570"/>
      <c r="BP988" s="570"/>
      <c r="BQ988" s="570"/>
      <c r="BR988" s="570"/>
      <c r="BS988" s="570"/>
      <c r="BT988" s="570"/>
      <c r="BU988" s="570"/>
      <c r="BV988" s="570"/>
      <c r="BW988" s="570"/>
      <c r="BX988" s="570"/>
      <c r="BY988" s="570"/>
      <c r="BZ988" s="571"/>
      <c r="CA988" s="571"/>
    </row>
    <row r="989" spans="2:79">
      <c r="B989" s="572">
        <v>974</v>
      </c>
      <c r="C989" s="308"/>
      <c r="D989" s="307"/>
      <c r="E989" s="307"/>
      <c r="F989" s="305"/>
      <c r="G989" s="305"/>
      <c r="H989" s="292"/>
      <c r="I989" s="574"/>
      <c r="J989" s="573"/>
      <c r="K989" s="307"/>
      <c r="L989" s="292"/>
      <c r="M989" s="308"/>
      <c r="N989" s="292"/>
      <c r="O989" s="308"/>
      <c r="P989" s="575"/>
      <c r="Q989" s="576"/>
      <c r="R989" s="308"/>
      <c r="S989" s="575"/>
      <c r="T989" s="576"/>
      <c r="U989" s="308"/>
      <c r="V989" s="575"/>
      <c r="W989" s="576"/>
      <c r="X989" s="308"/>
      <c r="Y989" s="575"/>
      <c r="Z989" s="576"/>
      <c r="AA989" s="308"/>
      <c r="AB989" s="575"/>
      <c r="AC989" s="576"/>
      <c r="AD989" s="308"/>
      <c r="AE989" s="575"/>
      <c r="AF989" s="308"/>
      <c r="AG989" s="575"/>
      <c r="AH989" s="308"/>
      <c r="AI989" s="575"/>
      <c r="AJ989" s="308"/>
      <c r="AK989" s="305"/>
      <c r="AL989" s="577"/>
      <c r="AM989" s="306"/>
      <c r="AN989" s="308"/>
      <c r="AO989" s="573"/>
      <c r="AP989" s="305"/>
      <c r="AQ989" s="308"/>
      <c r="AR989" s="573"/>
      <c r="AS989" s="578"/>
      <c r="AT989" s="577"/>
      <c r="AU989" s="579"/>
      <c r="AV989" s="578"/>
      <c r="AW989" s="308"/>
      <c r="AX989" s="307"/>
      <c r="AY989" s="307"/>
      <c r="AZ989" s="307"/>
      <c r="BA989" s="307"/>
      <c r="BB989" s="307"/>
      <c r="BC989" s="305"/>
      <c r="BD989" s="292"/>
      <c r="BE989" s="297"/>
      <c r="BF989" s="297"/>
      <c r="BG989" s="569"/>
      <c r="BH989" s="570"/>
      <c r="BI989" s="570"/>
      <c r="BJ989" s="570"/>
      <c r="BK989" s="570"/>
      <c r="BL989" s="570"/>
      <c r="BM989" s="570"/>
      <c r="BN989" s="570"/>
      <c r="BO989" s="570"/>
      <c r="BP989" s="570"/>
      <c r="BQ989" s="570"/>
      <c r="BR989" s="570"/>
      <c r="BS989" s="570"/>
      <c r="BT989" s="570"/>
      <c r="BU989" s="570"/>
      <c r="BV989" s="570"/>
      <c r="BW989" s="570"/>
      <c r="BX989" s="570"/>
      <c r="BY989" s="570"/>
      <c r="BZ989" s="571"/>
      <c r="CA989" s="571"/>
    </row>
    <row r="990" spans="2:79">
      <c r="B990" s="566">
        <v>975</v>
      </c>
      <c r="C990" s="308"/>
      <c r="D990" s="307"/>
      <c r="E990" s="307"/>
      <c r="F990" s="305"/>
      <c r="G990" s="305"/>
      <c r="H990" s="292"/>
      <c r="I990" s="574"/>
      <c r="J990" s="573"/>
      <c r="K990" s="307"/>
      <c r="L990" s="292"/>
      <c r="M990" s="308"/>
      <c r="N990" s="292"/>
      <c r="O990" s="308"/>
      <c r="P990" s="575"/>
      <c r="Q990" s="576"/>
      <c r="R990" s="308"/>
      <c r="S990" s="575"/>
      <c r="T990" s="576"/>
      <c r="U990" s="308"/>
      <c r="V990" s="575"/>
      <c r="W990" s="576"/>
      <c r="X990" s="308"/>
      <c r="Y990" s="575"/>
      <c r="Z990" s="576"/>
      <c r="AA990" s="308"/>
      <c r="AB990" s="575"/>
      <c r="AC990" s="576"/>
      <c r="AD990" s="308"/>
      <c r="AE990" s="575"/>
      <c r="AF990" s="308"/>
      <c r="AG990" s="575"/>
      <c r="AH990" s="308"/>
      <c r="AI990" s="575"/>
      <c r="AJ990" s="308"/>
      <c r="AK990" s="305"/>
      <c r="AL990" s="577"/>
      <c r="AM990" s="306"/>
      <c r="AN990" s="308"/>
      <c r="AO990" s="573"/>
      <c r="AP990" s="305"/>
      <c r="AQ990" s="308"/>
      <c r="AR990" s="573"/>
      <c r="AS990" s="578"/>
      <c r="AT990" s="577"/>
      <c r="AU990" s="579"/>
      <c r="AV990" s="578"/>
      <c r="AW990" s="308"/>
      <c r="AX990" s="307"/>
      <c r="AY990" s="307"/>
      <c r="AZ990" s="307"/>
      <c r="BA990" s="307"/>
      <c r="BB990" s="307"/>
      <c r="BC990" s="305"/>
      <c r="BD990" s="292"/>
      <c r="BE990" s="297"/>
      <c r="BF990" s="297"/>
      <c r="BG990" s="569"/>
      <c r="BH990" s="570"/>
      <c r="BI990" s="570"/>
      <c r="BJ990" s="570"/>
      <c r="BK990" s="570"/>
      <c r="BL990" s="570"/>
      <c r="BM990" s="570"/>
      <c r="BN990" s="570"/>
      <c r="BO990" s="570"/>
      <c r="BP990" s="570"/>
      <c r="BQ990" s="570"/>
      <c r="BR990" s="570"/>
      <c r="BS990" s="570"/>
      <c r="BT990" s="570"/>
      <c r="BU990" s="570"/>
      <c r="BV990" s="570"/>
      <c r="BW990" s="570"/>
      <c r="BX990" s="570"/>
      <c r="BY990" s="570"/>
      <c r="BZ990" s="571"/>
      <c r="CA990" s="571"/>
    </row>
    <row r="991" spans="2:79">
      <c r="B991" s="572">
        <v>976</v>
      </c>
      <c r="C991" s="308"/>
      <c r="D991" s="307"/>
      <c r="E991" s="307"/>
      <c r="F991" s="305"/>
      <c r="G991" s="305"/>
      <c r="H991" s="292"/>
      <c r="I991" s="574"/>
      <c r="J991" s="573"/>
      <c r="K991" s="307"/>
      <c r="L991" s="292"/>
      <c r="M991" s="308"/>
      <c r="N991" s="292"/>
      <c r="O991" s="308"/>
      <c r="P991" s="575"/>
      <c r="Q991" s="576"/>
      <c r="R991" s="308"/>
      <c r="S991" s="575"/>
      <c r="T991" s="576"/>
      <c r="U991" s="308"/>
      <c r="V991" s="575"/>
      <c r="W991" s="576"/>
      <c r="X991" s="308"/>
      <c r="Y991" s="575"/>
      <c r="Z991" s="576"/>
      <c r="AA991" s="308"/>
      <c r="AB991" s="575"/>
      <c r="AC991" s="576"/>
      <c r="AD991" s="308"/>
      <c r="AE991" s="575"/>
      <c r="AF991" s="308"/>
      <c r="AG991" s="575"/>
      <c r="AH991" s="308"/>
      <c r="AI991" s="575"/>
      <c r="AJ991" s="308"/>
      <c r="AK991" s="305"/>
      <c r="AL991" s="577"/>
      <c r="AM991" s="306"/>
      <c r="AN991" s="308"/>
      <c r="AO991" s="573"/>
      <c r="AP991" s="305"/>
      <c r="AQ991" s="308"/>
      <c r="AR991" s="573"/>
      <c r="AS991" s="578"/>
      <c r="AT991" s="577"/>
      <c r="AU991" s="579"/>
      <c r="AV991" s="578"/>
      <c r="AW991" s="308"/>
      <c r="AX991" s="307"/>
      <c r="AY991" s="307"/>
      <c r="AZ991" s="307"/>
      <c r="BA991" s="307"/>
      <c r="BB991" s="307"/>
      <c r="BC991" s="305"/>
      <c r="BD991" s="292"/>
      <c r="BE991" s="297"/>
      <c r="BF991" s="297"/>
      <c r="BG991" s="569"/>
      <c r="BH991" s="570"/>
      <c r="BI991" s="570"/>
      <c r="BJ991" s="570"/>
      <c r="BK991" s="570"/>
      <c r="BL991" s="570"/>
      <c r="BM991" s="570"/>
      <c r="BN991" s="570"/>
      <c r="BO991" s="570"/>
      <c r="BP991" s="570"/>
      <c r="BQ991" s="570"/>
      <c r="BR991" s="570"/>
      <c r="BS991" s="570"/>
      <c r="BT991" s="570"/>
      <c r="BU991" s="570"/>
      <c r="BV991" s="570"/>
      <c r="BW991" s="570"/>
      <c r="BX991" s="570"/>
      <c r="BY991" s="570"/>
      <c r="BZ991" s="571"/>
      <c r="CA991" s="571"/>
    </row>
    <row r="992" spans="2:79">
      <c r="B992" s="566">
        <v>977</v>
      </c>
      <c r="C992" s="308"/>
      <c r="D992" s="307"/>
      <c r="E992" s="307"/>
      <c r="F992" s="305"/>
      <c r="G992" s="305"/>
      <c r="H992" s="292"/>
      <c r="I992" s="574"/>
      <c r="J992" s="573"/>
      <c r="K992" s="307"/>
      <c r="L992" s="292"/>
      <c r="M992" s="308"/>
      <c r="N992" s="292"/>
      <c r="O992" s="308"/>
      <c r="P992" s="575"/>
      <c r="Q992" s="576"/>
      <c r="R992" s="308"/>
      <c r="S992" s="575"/>
      <c r="T992" s="576"/>
      <c r="U992" s="308"/>
      <c r="V992" s="575"/>
      <c r="W992" s="576"/>
      <c r="X992" s="308"/>
      <c r="Y992" s="575"/>
      <c r="Z992" s="576"/>
      <c r="AA992" s="308"/>
      <c r="AB992" s="575"/>
      <c r="AC992" s="576"/>
      <c r="AD992" s="308"/>
      <c r="AE992" s="575"/>
      <c r="AF992" s="308"/>
      <c r="AG992" s="575"/>
      <c r="AH992" s="308"/>
      <c r="AI992" s="575"/>
      <c r="AJ992" s="308"/>
      <c r="AK992" s="305"/>
      <c r="AL992" s="577"/>
      <c r="AM992" s="306"/>
      <c r="AN992" s="308"/>
      <c r="AO992" s="573"/>
      <c r="AP992" s="305"/>
      <c r="AQ992" s="308"/>
      <c r="AR992" s="573"/>
      <c r="AS992" s="578"/>
      <c r="AT992" s="577"/>
      <c r="AU992" s="579"/>
      <c r="AV992" s="578"/>
      <c r="AW992" s="308"/>
      <c r="AX992" s="307"/>
      <c r="AY992" s="307"/>
      <c r="AZ992" s="307"/>
      <c r="BA992" s="307"/>
      <c r="BB992" s="307"/>
      <c r="BC992" s="305"/>
      <c r="BD992" s="292"/>
      <c r="BE992" s="297"/>
      <c r="BF992" s="297"/>
      <c r="BG992" s="569"/>
      <c r="BH992" s="570"/>
      <c r="BI992" s="570"/>
      <c r="BJ992" s="570"/>
      <c r="BK992" s="570"/>
      <c r="BL992" s="570"/>
      <c r="BM992" s="570"/>
      <c r="BN992" s="570"/>
      <c r="BO992" s="570"/>
      <c r="BP992" s="570"/>
      <c r="BQ992" s="570"/>
      <c r="BR992" s="570"/>
      <c r="BS992" s="570"/>
      <c r="BT992" s="570"/>
      <c r="BU992" s="570"/>
      <c r="BV992" s="570"/>
      <c r="BW992" s="570"/>
      <c r="BX992" s="570"/>
      <c r="BY992" s="570"/>
      <c r="BZ992" s="571"/>
      <c r="CA992" s="571"/>
    </row>
    <row r="993" spans="2:79">
      <c r="B993" s="572">
        <v>978</v>
      </c>
      <c r="C993" s="308"/>
      <c r="D993" s="307"/>
      <c r="E993" s="307"/>
      <c r="F993" s="305"/>
      <c r="G993" s="305"/>
      <c r="H993" s="292"/>
      <c r="I993" s="574"/>
      <c r="J993" s="573"/>
      <c r="K993" s="307"/>
      <c r="L993" s="292"/>
      <c r="M993" s="308"/>
      <c r="N993" s="292"/>
      <c r="O993" s="308"/>
      <c r="P993" s="575"/>
      <c r="Q993" s="576"/>
      <c r="R993" s="308"/>
      <c r="S993" s="575"/>
      <c r="T993" s="576"/>
      <c r="U993" s="308"/>
      <c r="V993" s="575"/>
      <c r="W993" s="576"/>
      <c r="X993" s="308"/>
      <c r="Y993" s="575"/>
      <c r="Z993" s="576"/>
      <c r="AA993" s="308"/>
      <c r="AB993" s="575"/>
      <c r="AC993" s="576"/>
      <c r="AD993" s="308"/>
      <c r="AE993" s="575"/>
      <c r="AF993" s="308"/>
      <c r="AG993" s="575"/>
      <c r="AH993" s="308"/>
      <c r="AI993" s="575"/>
      <c r="AJ993" s="308"/>
      <c r="AK993" s="305"/>
      <c r="AL993" s="577"/>
      <c r="AM993" s="306"/>
      <c r="AN993" s="308"/>
      <c r="AO993" s="573"/>
      <c r="AP993" s="305"/>
      <c r="AQ993" s="308"/>
      <c r="AR993" s="573"/>
      <c r="AS993" s="578"/>
      <c r="AT993" s="577"/>
      <c r="AU993" s="579"/>
      <c r="AV993" s="578"/>
      <c r="AW993" s="308"/>
      <c r="AX993" s="307"/>
      <c r="AY993" s="307"/>
      <c r="AZ993" s="307"/>
      <c r="BA993" s="307"/>
      <c r="BB993" s="307"/>
      <c r="BC993" s="305"/>
      <c r="BD993" s="292"/>
      <c r="BE993" s="297"/>
      <c r="BF993" s="297"/>
      <c r="BG993" s="569"/>
      <c r="BH993" s="570"/>
      <c r="BI993" s="570"/>
      <c r="BJ993" s="570"/>
      <c r="BK993" s="570"/>
      <c r="BL993" s="570"/>
      <c r="BM993" s="570"/>
      <c r="BN993" s="570"/>
      <c r="BO993" s="570"/>
      <c r="BP993" s="570"/>
      <c r="BQ993" s="570"/>
      <c r="BR993" s="570"/>
      <c r="BS993" s="570"/>
      <c r="BT993" s="570"/>
      <c r="BU993" s="570"/>
      <c r="BV993" s="570"/>
      <c r="BW993" s="570"/>
      <c r="BX993" s="570"/>
      <c r="BY993" s="570"/>
      <c r="BZ993" s="571"/>
      <c r="CA993" s="571"/>
    </row>
    <row r="994" spans="2:79">
      <c r="B994" s="566">
        <v>979</v>
      </c>
      <c r="C994" s="308"/>
      <c r="D994" s="307"/>
      <c r="E994" s="307"/>
      <c r="F994" s="305"/>
      <c r="G994" s="305"/>
      <c r="H994" s="292"/>
      <c r="I994" s="574"/>
      <c r="J994" s="573"/>
      <c r="K994" s="307"/>
      <c r="L994" s="292"/>
      <c r="M994" s="308"/>
      <c r="N994" s="292"/>
      <c r="O994" s="308"/>
      <c r="P994" s="575"/>
      <c r="Q994" s="576"/>
      <c r="R994" s="308"/>
      <c r="S994" s="575"/>
      <c r="T994" s="576"/>
      <c r="U994" s="308"/>
      <c r="V994" s="575"/>
      <c r="W994" s="576"/>
      <c r="X994" s="308"/>
      <c r="Y994" s="575"/>
      <c r="Z994" s="576"/>
      <c r="AA994" s="308"/>
      <c r="AB994" s="575"/>
      <c r="AC994" s="576"/>
      <c r="AD994" s="308"/>
      <c r="AE994" s="575"/>
      <c r="AF994" s="308"/>
      <c r="AG994" s="575"/>
      <c r="AH994" s="308"/>
      <c r="AI994" s="575"/>
      <c r="AJ994" s="308"/>
      <c r="AK994" s="305"/>
      <c r="AL994" s="577"/>
      <c r="AM994" s="306"/>
      <c r="AN994" s="308"/>
      <c r="AO994" s="573"/>
      <c r="AP994" s="305"/>
      <c r="AQ994" s="308"/>
      <c r="AR994" s="573"/>
      <c r="AS994" s="578"/>
      <c r="AT994" s="577"/>
      <c r="AU994" s="579"/>
      <c r="AV994" s="578"/>
      <c r="AW994" s="308"/>
      <c r="AX994" s="307"/>
      <c r="AY994" s="307"/>
      <c r="AZ994" s="307"/>
      <c r="BA994" s="307"/>
      <c r="BB994" s="307"/>
      <c r="BC994" s="305"/>
      <c r="BD994" s="292"/>
      <c r="BE994" s="297"/>
      <c r="BF994" s="297"/>
      <c r="BG994" s="569"/>
      <c r="BH994" s="570"/>
      <c r="BI994" s="570"/>
      <c r="BJ994" s="570"/>
      <c r="BK994" s="570"/>
      <c r="BL994" s="570"/>
      <c r="BM994" s="570"/>
      <c r="BN994" s="570"/>
      <c r="BO994" s="570"/>
      <c r="BP994" s="570"/>
      <c r="BQ994" s="570"/>
      <c r="BR994" s="570"/>
      <c r="BS994" s="570"/>
      <c r="BT994" s="570"/>
      <c r="BU994" s="570"/>
      <c r="BV994" s="570"/>
      <c r="BW994" s="570"/>
      <c r="BX994" s="570"/>
      <c r="BY994" s="570"/>
      <c r="BZ994" s="571"/>
      <c r="CA994" s="571"/>
    </row>
    <row r="995" spans="2:79">
      <c r="B995" s="572">
        <v>980</v>
      </c>
      <c r="C995" s="308"/>
      <c r="D995" s="307"/>
      <c r="E995" s="307"/>
      <c r="F995" s="305"/>
      <c r="G995" s="305"/>
      <c r="H995" s="292"/>
      <c r="I995" s="574"/>
      <c r="J995" s="573"/>
      <c r="K995" s="307"/>
      <c r="L995" s="292"/>
      <c r="M995" s="308"/>
      <c r="N995" s="292"/>
      <c r="O995" s="308"/>
      <c r="P995" s="575"/>
      <c r="Q995" s="576"/>
      <c r="R995" s="308"/>
      <c r="S995" s="575"/>
      <c r="T995" s="576"/>
      <c r="U995" s="308"/>
      <c r="V995" s="575"/>
      <c r="W995" s="576"/>
      <c r="X995" s="308"/>
      <c r="Y995" s="575"/>
      <c r="Z995" s="576"/>
      <c r="AA995" s="308"/>
      <c r="AB995" s="575"/>
      <c r="AC995" s="576"/>
      <c r="AD995" s="308"/>
      <c r="AE995" s="575"/>
      <c r="AF995" s="308"/>
      <c r="AG995" s="575"/>
      <c r="AH995" s="308"/>
      <c r="AI995" s="575"/>
      <c r="AJ995" s="308"/>
      <c r="AK995" s="305"/>
      <c r="AL995" s="577"/>
      <c r="AM995" s="306"/>
      <c r="AN995" s="308"/>
      <c r="AO995" s="573"/>
      <c r="AP995" s="305"/>
      <c r="AQ995" s="308"/>
      <c r="AR995" s="573"/>
      <c r="AS995" s="578"/>
      <c r="AT995" s="577"/>
      <c r="AU995" s="579"/>
      <c r="AV995" s="578"/>
      <c r="AW995" s="308"/>
      <c r="AX995" s="307"/>
      <c r="AY995" s="307"/>
      <c r="AZ995" s="307"/>
      <c r="BA995" s="307"/>
      <c r="BB995" s="307"/>
      <c r="BC995" s="305"/>
      <c r="BD995" s="292"/>
      <c r="BE995" s="297"/>
      <c r="BF995" s="297"/>
      <c r="BG995" s="569"/>
      <c r="BH995" s="570"/>
      <c r="BI995" s="570"/>
      <c r="BJ995" s="570"/>
      <c r="BK995" s="570"/>
      <c r="BL995" s="570"/>
      <c r="BM995" s="570"/>
      <c r="BN995" s="570"/>
      <c r="BO995" s="570"/>
      <c r="BP995" s="570"/>
      <c r="BQ995" s="570"/>
      <c r="BR995" s="570"/>
      <c r="BS995" s="570"/>
      <c r="BT995" s="570"/>
      <c r="BU995" s="570"/>
      <c r="BV995" s="570"/>
      <c r="BW995" s="570"/>
      <c r="BX995" s="570"/>
      <c r="BY995" s="570"/>
      <c r="BZ995" s="571"/>
      <c r="CA995" s="571"/>
    </row>
    <row r="996" spans="2:79">
      <c r="B996" s="566">
        <v>981</v>
      </c>
      <c r="C996" s="308"/>
      <c r="D996" s="307"/>
      <c r="E996" s="307"/>
      <c r="F996" s="305"/>
      <c r="G996" s="305"/>
      <c r="H996" s="292"/>
      <c r="I996" s="574"/>
      <c r="J996" s="573"/>
      <c r="K996" s="307"/>
      <c r="L996" s="292"/>
      <c r="M996" s="308"/>
      <c r="N996" s="292"/>
      <c r="O996" s="308"/>
      <c r="P996" s="575"/>
      <c r="Q996" s="576"/>
      <c r="R996" s="308"/>
      <c r="S996" s="575"/>
      <c r="T996" s="576"/>
      <c r="U996" s="308"/>
      <c r="V996" s="575"/>
      <c r="W996" s="576"/>
      <c r="X996" s="308"/>
      <c r="Y996" s="575"/>
      <c r="Z996" s="576"/>
      <c r="AA996" s="308"/>
      <c r="AB996" s="575"/>
      <c r="AC996" s="576"/>
      <c r="AD996" s="308"/>
      <c r="AE996" s="575"/>
      <c r="AF996" s="308"/>
      <c r="AG996" s="575"/>
      <c r="AH996" s="308"/>
      <c r="AI996" s="575"/>
      <c r="AJ996" s="308"/>
      <c r="AK996" s="305"/>
      <c r="AL996" s="577"/>
      <c r="AM996" s="306"/>
      <c r="AN996" s="308"/>
      <c r="AO996" s="573"/>
      <c r="AP996" s="305"/>
      <c r="AQ996" s="308"/>
      <c r="AR996" s="573"/>
      <c r="AS996" s="578"/>
      <c r="AT996" s="577"/>
      <c r="AU996" s="579"/>
      <c r="AV996" s="578"/>
      <c r="AW996" s="308"/>
      <c r="AX996" s="307"/>
      <c r="AY996" s="307"/>
      <c r="AZ996" s="307"/>
      <c r="BA996" s="307"/>
      <c r="BB996" s="307"/>
      <c r="BC996" s="305"/>
      <c r="BD996" s="292"/>
      <c r="BE996" s="297"/>
      <c r="BF996" s="297"/>
      <c r="BG996" s="569"/>
      <c r="BH996" s="570"/>
      <c r="BI996" s="570"/>
      <c r="BJ996" s="570"/>
      <c r="BK996" s="570"/>
      <c r="BL996" s="570"/>
      <c r="BM996" s="570"/>
      <c r="BN996" s="570"/>
      <c r="BO996" s="570"/>
      <c r="BP996" s="570"/>
      <c r="BQ996" s="570"/>
      <c r="BR996" s="570"/>
      <c r="BS996" s="570"/>
      <c r="BT996" s="570"/>
      <c r="BU996" s="570"/>
      <c r="BV996" s="570"/>
      <c r="BW996" s="570"/>
      <c r="BX996" s="570"/>
      <c r="BY996" s="570"/>
      <c r="BZ996" s="571"/>
      <c r="CA996" s="571"/>
    </row>
    <row r="997" spans="2:79">
      <c r="B997" s="572">
        <v>982</v>
      </c>
      <c r="C997" s="308"/>
      <c r="D997" s="307"/>
      <c r="E997" s="307"/>
      <c r="F997" s="305"/>
      <c r="G997" s="305"/>
      <c r="H997" s="292"/>
      <c r="I997" s="574"/>
      <c r="J997" s="573"/>
      <c r="K997" s="307"/>
      <c r="L997" s="292"/>
      <c r="M997" s="308"/>
      <c r="N997" s="292"/>
      <c r="O997" s="308"/>
      <c r="P997" s="575"/>
      <c r="Q997" s="576"/>
      <c r="R997" s="308"/>
      <c r="S997" s="575"/>
      <c r="T997" s="576"/>
      <c r="U997" s="308"/>
      <c r="V997" s="575"/>
      <c r="W997" s="576"/>
      <c r="X997" s="308"/>
      <c r="Y997" s="575"/>
      <c r="Z997" s="576"/>
      <c r="AA997" s="308"/>
      <c r="AB997" s="575"/>
      <c r="AC997" s="576"/>
      <c r="AD997" s="308"/>
      <c r="AE997" s="575"/>
      <c r="AF997" s="308"/>
      <c r="AG997" s="575"/>
      <c r="AH997" s="308"/>
      <c r="AI997" s="575"/>
      <c r="AJ997" s="308"/>
      <c r="AK997" s="305"/>
      <c r="AL997" s="577"/>
      <c r="AM997" s="306"/>
      <c r="AN997" s="308"/>
      <c r="AO997" s="573"/>
      <c r="AP997" s="305"/>
      <c r="AQ997" s="308"/>
      <c r="AR997" s="573"/>
      <c r="AS997" s="578"/>
      <c r="AT997" s="577"/>
      <c r="AU997" s="579"/>
      <c r="AV997" s="578"/>
      <c r="AW997" s="308"/>
      <c r="AX997" s="307"/>
      <c r="AY997" s="307"/>
      <c r="AZ997" s="307"/>
      <c r="BA997" s="307"/>
      <c r="BB997" s="307"/>
      <c r="BC997" s="305"/>
      <c r="BD997" s="292"/>
      <c r="BE997" s="297"/>
      <c r="BF997" s="297"/>
      <c r="BG997" s="569"/>
      <c r="BH997" s="570"/>
      <c r="BI997" s="570"/>
      <c r="BJ997" s="570"/>
      <c r="BK997" s="570"/>
      <c r="BL997" s="570"/>
      <c r="BM997" s="570"/>
      <c r="BN997" s="570"/>
      <c r="BO997" s="570"/>
      <c r="BP997" s="570"/>
      <c r="BQ997" s="570"/>
      <c r="BR997" s="570"/>
      <c r="BS997" s="570"/>
      <c r="BT997" s="570"/>
      <c r="BU997" s="570"/>
      <c r="BV997" s="570"/>
      <c r="BW997" s="570"/>
      <c r="BX997" s="570"/>
      <c r="BY997" s="570"/>
      <c r="BZ997" s="571"/>
      <c r="CA997" s="571"/>
    </row>
    <row r="998" spans="2:79">
      <c r="B998" s="566">
        <v>983</v>
      </c>
      <c r="C998" s="308"/>
      <c r="D998" s="307"/>
      <c r="E998" s="307"/>
      <c r="F998" s="305"/>
      <c r="G998" s="305"/>
      <c r="H998" s="292"/>
      <c r="I998" s="574"/>
      <c r="J998" s="573"/>
      <c r="K998" s="307"/>
      <c r="L998" s="292"/>
      <c r="M998" s="308"/>
      <c r="N998" s="292"/>
      <c r="O998" s="308"/>
      <c r="P998" s="575"/>
      <c r="Q998" s="576"/>
      <c r="R998" s="308"/>
      <c r="S998" s="575"/>
      <c r="T998" s="576"/>
      <c r="U998" s="308"/>
      <c r="V998" s="575"/>
      <c r="W998" s="576"/>
      <c r="X998" s="308"/>
      <c r="Y998" s="575"/>
      <c r="Z998" s="576"/>
      <c r="AA998" s="308"/>
      <c r="AB998" s="575"/>
      <c r="AC998" s="576"/>
      <c r="AD998" s="308"/>
      <c r="AE998" s="575"/>
      <c r="AF998" s="308"/>
      <c r="AG998" s="575"/>
      <c r="AH998" s="308"/>
      <c r="AI998" s="575"/>
      <c r="AJ998" s="308"/>
      <c r="AK998" s="305"/>
      <c r="AL998" s="577"/>
      <c r="AM998" s="306"/>
      <c r="AN998" s="308"/>
      <c r="AO998" s="573"/>
      <c r="AP998" s="305"/>
      <c r="AQ998" s="308"/>
      <c r="AR998" s="573"/>
      <c r="AS998" s="578"/>
      <c r="AT998" s="577"/>
      <c r="AU998" s="579"/>
      <c r="AV998" s="578"/>
      <c r="AW998" s="308"/>
      <c r="AX998" s="307"/>
      <c r="AY998" s="307"/>
      <c r="AZ998" s="307"/>
      <c r="BA998" s="307"/>
      <c r="BB998" s="307"/>
      <c r="BC998" s="305"/>
      <c r="BD998" s="292"/>
      <c r="BE998" s="297"/>
      <c r="BF998" s="297"/>
      <c r="BG998" s="569"/>
      <c r="BH998" s="570"/>
      <c r="BI998" s="570"/>
      <c r="BJ998" s="570"/>
      <c r="BK998" s="570"/>
      <c r="BL998" s="570"/>
      <c r="BM998" s="570"/>
      <c r="BN998" s="570"/>
      <c r="BO998" s="570"/>
      <c r="BP998" s="570"/>
      <c r="BQ998" s="570"/>
      <c r="BR998" s="570"/>
      <c r="BS998" s="570"/>
      <c r="BT998" s="570"/>
      <c r="BU998" s="570"/>
      <c r="BV998" s="570"/>
      <c r="BW998" s="570"/>
      <c r="BX998" s="570"/>
      <c r="BY998" s="570"/>
      <c r="BZ998" s="571"/>
      <c r="CA998" s="571"/>
    </row>
    <row r="999" spans="2:79">
      <c r="B999" s="572">
        <v>984</v>
      </c>
      <c r="C999" s="308"/>
      <c r="D999" s="307"/>
      <c r="E999" s="307"/>
      <c r="F999" s="305"/>
      <c r="G999" s="305"/>
      <c r="H999" s="292"/>
      <c r="I999" s="574"/>
      <c r="J999" s="573"/>
      <c r="K999" s="307"/>
      <c r="L999" s="292"/>
      <c r="M999" s="308"/>
      <c r="N999" s="292"/>
      <c r="O999" s="308"/>
      <c r="P999" s="575"/>
      <c r="Q999" s="576"/>
      <c r="R999" s="308"/>
      <c r="S999" s="575"/>
      <c r="T999" s="576"/>
      <c r="U999" s="308"/>
      <c r="V999" s="575"/>
      <c r="W999" s="576"/>
      <c r="X999" s="308"/>
      <c r="Y999" s="575"/>
      <c r="Z999" s="576"/>
      <c r="AA999" s="308"/>
      <c r="AB999" s="575"/>
      <c r="AC999" s="576"/>
      <c r="AD999" s="308"/>
      <c r="AE999" s="575"/>
      <c r="AF999" s="308"/>
      <c r="AG999" s="575"/>
      <c r="AH999" s="308"/>
      <c r="AI999" s="575"/>
      <c r="AJ999" s="308"/>
      <c r="AK999" s="305"/>
      <c r="AL999" s="577"/>
      <c r="AM999" s="306"/>
      <c r="AN999" s="308"/>
      <c r="AO999" s="573"/>
      <c r="AP999" s="305"/>
      <c r="AQ999" s="308"/>
      <c r="AR999" s="573"/>
      <c r="AS999" s="578"/>
      <c r="AT999" s="577"/>
      <c r="AU999" s="579"/>
      <c r="AV999" s="578"/>
      <c r="AW999" s="308"/>
      <c r="AX999" s="307"/>
      <c r="AY999" s="307"/>
      <c r="AZ999" s="307"/>
      <c r="BA999" s="307"/>
      <c r="BB999" s="307"/>
      <c r="BC999" s="305"/>
      <c r="BD999" s="292"/>
      <c r="BE999" s="297"/>
      <c r="BF999" s="297"/>
      <c r="BG999" s="569"/>
      <c r="BH999" s="570"/>
      <c r="BI999" s="570"/>
      <c r="BJ999" s="570"/>
      <c r="BK999" s="570"/>
      <c r="BL999" s="570"/>
      <c r="BM999" s="570"/>
      <c r="BN999" s="570"/>
      <c r="BO999" s="570"/>
      <c r="BP999" s="570"/>
      <c r="BQ999" s="570"/>
      <c r="BR999" s="570"/>
      <c r="BS999" s="570"/>
      <c r="BT999" s="570"/>
      <c r="BU999" s="570"/>
      <c r="BV999" s="570"/>
      <c r="BW999" s="570"/>
      <c r="BX999" s="570"/>
      <c r="BY999" s="570"/>
      <c r="BZ999" s="571"/>
      <c r="CA999" s="571"/>
    </row>
    <row r="1000" spans="2:79">
      <c r="B1000" s="566">
        <v>985</v>
      </c>
      <c r="C1000" s="308"/>
      <c r="D1000" s="307"/>
      <c r="E1000" s="307"/>
      <c r="F1000" s="305"/>
      <c r="G1000" s="305"/>
      <c r="H1000" s="292"/>
      <c r="I1000" s="574"/>
      <c r="J1000" s="573"/>
      <c r="K1000" s="307"/>
      <c r="L1000" s="292"/>
      <c r="M1000" s="308"/>
      <c r="N1000" s="292"/>
      <c r="O1000" s="308"/>
      <c r="P1000" s="575"/>
      <c r="Q1000" s="576"/>
      <c r="R1000" s="308"/>
      <c r="S1000" s="575"/>
      <c r="T1000" s="576"/>
      <c r="U1000" s="308"/>
      <c r="V1000" s="575"/>
      <c r="W1000" s="576"/>
      <c r="X1000" s="308"/>
      <c r="Y1000" s="575"/>
      <c r="Z1000" s="576"/>
      <c r="AA1000" s="308"/>
      <c r="AB1000" s="575"/>
      <c r="AC1000" s="576"/>
      <c r="AD1000" s="308"/>
      <c r="AE1000" s="575"/>
      <c r="AF1000" s="308"/>
      <c r="AG1000" s="575"/>
      <c r="AH1000" s="308"/>
      <c r="AI1000" s="575"/>
      <c r="AJ1000" s="308"/>
      <c r="AK1000" s="305"/>
      <c r="AL1000" s="577"/>
      <c r="AM1000" s="306"/>
      <c r="AN1000" s="308"/>
      <c r="AO1000" s="573"/>
      <c r="AP1000" s="305"/>
      <c r="AQ1000" s="308"/>
      <c r="AR1000" s="573"/>
      <c r="AS1000" s="578"/>
      <c r="AT1000" s="577"/>
      <c r="AU1000" s="579"/>
      <c r="AV1000" s="578"/>
      <c r="AW1000" s="308"/>
      <c r="AX1000" s="307"/>
      <c r="AY1000" s="307"/>
      <c r="AZ1000" s="307"/>
      <c r="BA1000" s="307"/>
      <c r="BB1000" s="307"/>
      <c r="BC1000" s="305"/>
      <c r="BD1000" s="292"/>
      <c r="BE1000" s="297"/>
      <c r="BF1000" s="297"/>
      <c r="BG1000" s="569"/>
      <c r="BH1000" s="570"/>
      <c r="BI1000" s="570"/>
      <c r="BJ1000" s="570"/>
      <c r="BK1000" s="570"/>
      <c r="BL1000" s="570"/>
      <c r="BM1000" s="570"/>
      <c r="BN1000" s="570"/>
      <c r="BO1000" s="570"/>
      <c r="BP1000" s="570"/>
      <c r="BQ1000" s="570"/>
      <c r="BR1000" s="570"/>
      <c r="BS1000" s="570"/>
      <c r="BT1000" s="570"/>
      <c r="BU1000" s="570"/>
      <c r="BV1000" s="570"/>
      <c r="BW1000" s="570"/>
      <c r="BX1000" s="570"/>
      <c r="BY1000" s="570"/>
      <c r="BZ1000" s="571"/>
      <c r="CA1000" s="571"/>
    </row>
    <row r="1001" spans="2:79">
      <c r="B1001" s="572">
        <v>986</v>
      </c>
      <c r="C1001" s="308"/>
      <c r="D1001" s="307"/>
      <c r="E1001" s="307"/>
      <c r="F1001" s="305"/>
      <c r="G1001" s="305"/>
      <c r="H1001" s="292"/>
      <c r="I1001" s="574"/>
      <c r="J1001" s="573"/>
      <c r="K1001" s="307"/>
      <c r="L1001" s="292"/>
      <c r="M1001" s="308"/>
      <c r="N1001" s="292"/>
      <c r="O1001" s="308"/>
      <c r="P1001" s="575"/>
      <c r="Q1001" s="576"/>
      <c r="R1001" s="308"/>
      <c r="S1001" s="575"/>
      <c r="T1001" s="576"/>
      <c r="U1001" s="308"/>
      <c r="V1001" s="575"/>
      <c r="W1001" s="576"/>
      <c r="X1001" s="308"/>
      <c r="Y1001" s="575"/>
      <c r="Z1001" s="576"/>
      <c r="AA1001" s="308"/>
      <c r="AB1001" s="575"/>
      <c r="AC1001" s="576"/>
      <c r="AD1001" s="308"/>
      <c r="AE1001" s="575"/>
      <c r="AF1001" s="308"/>
      <c r="AG1001" s="575"/>
      <c r="AH1001" s="308"/>
      <c r="AI1001" s="575"/>
      <c r="AJ1001" s="308"/>
      <c r="AK1001" s="305"/>
      <c r="AL1001" s="577"/>
      <c r="AM1001" s="306"/>
      <c r="AN1001" s="308"/>
      <c r="AO1001" s="573"/>
      <c r="AP1001" s="305"/>
      <c r="AQ1001" s="308"/>
      <c r="AR1001" s="573"/>
      <c r="AS1001" s="578"/>
      <c r="AT1001" s="577"/>
      <c r="AU1001" s="579"/>
      <c r="AV1001" s="578"/>
      <c r="AW1001" s="308"/>
      <c r="AX1001" s="307"/>
      <c r="AY1001" s="307"/>
      <c r="AZ1001" s="307"/>
      <c r="BA1001" s="307"/>
      <c r="BB1001" s="307"/>
      <c r="BC1001" s="305"/>
      <c r="BD1001" s="292"/>
      <c r="BE1001" s="297"/>
      <c r="BF1001" s="297"/>
      <c r="BG1001" s="569"/>
      <c r="BH1001" s="570"/>
      <c r="BI1001" s="570"/>
      <c r="BJ1001" s="570"/>
      <c r="BK1001" s="570"/>
      <c r="BL1001" s="570"/>
      <c r="BM1001" s="570"/>
      <c r="BN1001" s="570"/>
      <c r="BO1001" s="570"/>
      <c r="BP1001" s="570"/>
      <c r="BQ1001" s="570"/>
      <c r="BR1001" s="570"/>
      <c r="BS1001" s="570"/>
      <c r="BT1001" s="570"/>
      <c r="BU1001" s="570"/>
      <c r="BV1001" s="570"/>
      <c r="BW1001" s="570"/>
      <c r="BX1001" s="570"/>
      <c r="BY1001" s="570"/>
      <c r="BZ1001" s="571"/>
      <c r="CA1001" s="571"/>
    </row>
    <row r="1002" spans="2:79">
      <c r="B1002" s="566">
        <v>987</v>
      </c>
      <c r="C1002" s="308"/>
      <c r="D1002" s="307"/>
      <c r="E1002" s="307"/>
      <c r="F1002" s="305"/>
      <c r="G1002" s="305"/>
      <c r="H1002" s="292"/>
      <c r="I1002" s="574"/>
      <c r="J1002" s="573"/>
      <c r="K1002" s="307"/>
      <c r="L1002" s="292"/>
      <c r="M1002" s="308"/>
      <c r="N1002" s="292"/>
      <c r="O1002" s="308"/>
      <c r="P1002" s="575"/>
      <c r="Q1002" s="576"/>
      <c r="R1002" s="308"/>
      <c r="S1002" s="575"/>
      <c r="T1002" s="576"/>
      <c r="U1002" s="308"/>
      <c r="V1002" s="575"/>
      <c r="W1002" s="576"/>
      <c r="X1002" s="308"/>
      <c r="Y1002" s="575"/>
      <c r="Z1002" s="576"/>
      <c r="AA1002" s="308"/>
      <c r="AB1002" s="575"/>
      <c r="AC1002" s="576"/>
      <c r="AD1002" s="308"/>
      <c r="AE1002" s="575"/>
      <c r="AF1002" s="308"/>
      <c r="AG1002" s="575"/>
      <c r="AH1002" s="308"/>
      <c r="AI1002" s="575"/>
      <c r="AJ1002" s="308"/>
      <c r="AK1002" s="305"/>
      <c r="AL1002" s="577"/>
      <c r="AM1002" s="306"/>
      <c r="AN1002" s="308"/>
      <c r="AO1002" s="573"/>
      <c r="AP1002" s="305"/>
      <c r="AQ1002" s="308"/>
      <c r="AR1002" s="573"/>
      <c r="AS1002" s="578"/>
      <c r="AT1002" s="577"/>
      <c r="AU1002" s="579"/>
      <c r="AV1002" s="578"/>
      <c r="AW1002" s="308"/>
      <c r="AX1002" s="307"/>
      <c r="AY1002" s="307"/>
      <c r="AZ1002" s="307"/>
      <c r="BA1002" s="307"/>
      <c r="BB1002" s="307"/>
      <c r="BC1002" s="305"/>
      <c r="BD1002" s="292"/>
      <c r="BE1002" s="297"/>
      <c r="BF1002" s="297"/>
      <c r="BG1002" s="569"/>
      <c r="BH1002" s="570"/>
      <c r="BI1002" s="570"/>
      <c r="BJ1002" s="570"/>
      <c r="BK1002" s="570"/>
      <c r="BL1002" s="570"/>
      <c r="BM1002" s="570"/>
      <c r="BN1002" s="570"/>
      <c r="BO1002" s="570"/>
      <c r="BP1002" s="570"/>
      <c r="BQ1002" s="570"/>
      <c r="BR1002" s="570"/>
      <c r="BS1002" s="570"/>
      <c r="BT1002" s="570"/>
      <c r="BU1002" s="570"/>
      <c r="BV1002" s="570"/>
      <c r="BW1002" s="570"/>
      <c r="BX1002" s="570"/>
      <c r="BY1002" s="570"/>
      <c r="BZ1002" s="571"/>
      <c r="CA1002" s="571"/>
    </row>
    <row r="1003" spans="2:79">
      <c r="B1003" s="572">
        <v>988</v>
      </c>
      <c r="C1003" s="308"/>
      <c r="D1003" s="307"/>
      <c r="E1003" s="307"/>
      <c r="F1003" s="305"/>
      <c r="G1003" s="305"/>
      <c r="H1003" s="292"/>
      <c r="I1003" s="574"/>
      <c r="J1003" s="573"/>
      <c r="K1003" s="307"/>
      <c r="L1003" s="292"/>
      <c r="M1003" s="308"/>
      <c r="N1003" s="292"/>
      <c r="O1003" s="308"/>
      <c r="P1003" s="575"/>
      <c r="Q1003" s="576"/>
      <c r="R1003" s="308"/>
      <c r="S1003" s="575"/>
      <c r="T1003" s="576"/>
      <c r="U1003" s="308"/>
      <c r="V1003" s="575"/>
      <c r="W1003" s="576"/>
      <c r="X1003" s="308"/>
      <c r="Y1003" s="575"/>
      <c r="Z1003" s="576"/>
      <c r="AA1003" s="308"/>
      <c r="AB1003" s="575"/>
      <c r="AC1003" s="576"/>
      <c r="AD1003" s="308"/>
      <c r="AE1003" s="575"/>
      <c r="AF1003" s="308"/>
      <c r="AG1003" s="575"/>
      <c r="AH1003" s="308"/>
      <c r="AI1003" s="575"/>
      <c r="AJ1003" s="308"/>
      <c r="AK1003" s="305"/>
      <c r="AL1003" s="577"/>
      <c r="AM1003" s="306"/>
      <c r="AN1003" s="308"/>
      <c r="AO1003" s="573"/>
      <c r="AP1003" s="305"/>
      <c r="AQ1003" s="308"/>
      <c r="AR1003" s="573"/>
      <c r="AS1003" s="578"/>
      <c r="AT1003" s="577"/>
      <c r="AU1003" s="579"/>
      <c r="AV1003" s="578"/>
      <c r="AW1003" s="308"/>
      <c r="AX1003" s="307"/>
      <c r="AY1003" s="307"/>
      <c r="AZ1003" s="307"/>
      <c r="BA1003" s="307"/>
      <c r="BB1003" s="307"/>
      <c r="BC1003" s="305"/>
      <c r="BD1003" s="292"/>
      <c r="BE1003" s="297"/>
      <c r="BF1003" s="297"/>
      <c r="BG1003" s="569"/>
      <c r="BH1003" s="570"/>
      <c r="BI1003" s="570"/>
      <c r="BJ1003" s="570"/>
      <c r="BK1003" s="570"/>
      <c r="BL1003" s="570"/>
      <c r="BM1003" s="570"/>
      <c r="BN1003" s="570"/>
      <c r="BO1003" s="570"/>
      <c r="BP1003" s="570"/>
      <c r="BQ1003" s="570"/>
      <c r="BR1003" s="570"/>
      <c r="BS1003" s="570"/>
      <c r="BT1003" s="570"/>
      <c r="BU1003" s="570"/>
      <c r="BV1003" s="570"/>
      <c r="BW1003" s="570"/>
      <c r="BX1003" s="570"/>
      <c r="BY1003" s="570"/>
      <c r="BZ1003" s="571"/>
      <c r="CA1003" s="571"/>
    </row>
    <row r="1004" spans="2:79">
      <c r="B1004" s="566">
        <v>989</v>
      </c>
      <c r="C1004" s="308"/>
      <c r="D1004" s="307"/>
      <c r="E1004" s="307"/>
      <c r="F1004" s="305"/>
      <c r="G1004" s="305"/>
      <c r="H1004" s="292"/>
      <c r="I1004" s="574"/>
      <c r="J1004" s="573"/>
      <c r="K1004" s="307"/>
      <c r="L1004" s="292"/>
      <c r="M1004" s="308"/>
      <c r="N1004" s="292"/>
      <c r="O1004" s="308"/>
      <c r="P1004" s="575"/>
      <c r="Q1004" s="576"/>
      <c r="R1004" s="308"/>
      <c r="S1004" s="575"/>
      <c r="T1004" s="576"/>
      <c r="U1004" s="308"/>
      <c r="V1004" s="575"/>
      <c r="W1004" s="576"/>
      <c r="X1004" s="308"/>
      <c r="Y1004" s="575"/>
      <c r="Z1004" s="576"/>
      <c r="AA1004" s="308"/>
      <c r="AB1004" s="575"/>
      <c r="AC1004" s="576"/>
      <c r="AD1004" s="308"/>
      <c r="AE1004" s="575"/>
      <c r="AF1004" s="308"/>
      <c r="AG1004" s="575"/>
      <c r="AH1004" s="308"/>
      <c r="AI1004" s="575"/>
      <c r="AJ1004" s="308"/>
      <c r="AK1004" s="305"/>
      <c r="AL1004" s="577"/>
      <c r="AM1004" s="306"/>
      <c r="AN1004" s="308"/>
      <c r="AO1004" s="573"/>
      <c r="AP1004" s="305"/>
      <c r="AQ1004" s="308"/>
      <c r="AR1004" s="573"/>
      <c r="AS1004" s="578"/>
      <c r="AT1004" s="577"/>
      <c r="AU1004" s="579"/>
      <c r="AV1004" s="578"/>
      <c r="AW1004" s="308"/>
      <c r="AX1004" s="307"/>
      <c r="AY1004" s="307"/>
      <c r="AZ1004" s="307"/>
      <c r="BA1004" s="307"/>
      <c r="BB1004" s="307"/>
      <c r="BC1004" s="305"/>
      <c r="BD1004" s="292"/>
      <c r="BE1004" s="297"/>
      <c r="BF1004" s="297"/>
      <c r="BG1004" s="569"/>
      <c r="BH1004" s="570"/>
      <c r="BI1004" s="570"/>
      <c r="BJ1004" s="570"/>
      <c r="BK1004" s="570"/>
      <c r="BL1004" s="570"/>
      <c r="BM1004" s="570"/>
      <c r="BN1004" s="570"/>
      <c r="BO1004" s="570"/>
      <c r="BP1004" s="570"/>
      <c r="BQ1004" s="570"/>
      <c r="BR1004" s="570"/>
      <c r="BS1004" s="570"/>
      <c r="BT1004" s="570"/>
      <c r="BU1004" s="570"/>
      <c r="BV1004" s="570"/>
      <c r="BW1004" s="570"/>
      <c r="BX1004" s="570"/>
      <c r="BY1004" s="570"/>
      <c r="BZ1004" s="571"/>
      <c r="CA1004" s="571"/>
    </row>
    <row r="1005" spans="2:79">
      <c r="B1005" s="572">
        <v>990</v>
      </c>
      <c r="C1005" s="308"/>
      <c r="D1005" s="307"/>
      <c r="E1005" s="307"/>
      <c r="F1005" s="305"/>
      <c r="G1005" s="305"/>
      <c r="H1005" s="292"/>
      <c r="I1005" s="574"/>
      <c r="J1005" s="573"/>
      <c r="K1005" s="307"/>
      <c r="L1005" s="292"/>
      <c r="M1005" s="308"/>
      <c r="N1005" s="292"/>
      <c r="O1005" s="308"/>
      <c r="P1005" s="575"/>
      <c r="Q1005" s="576"/>
      <c r="R1005" s="308"/>
      <c r="S1005" s="575"/>
      <c r="T1005" s="576"/>
      <c r="U1005" s="308"/>
      <c r="V1005" s="575"/>
      <c r="W1005" s="576"/>
      <c r="X1005" s="308"/>
      <c r="Y1005" s="575"/>
      <c r="Z1005" s="576"/>
      <c r="AA1005" s="308"/>
      <c r="AB1005" s="575"/>
      <c r="AC1005" s="576"/>
      <c r="AD1005" s="308"/>
      <c r="AE1005" s="575"/>
      <c r="AF1005" s="308"/>
      <c r="AG1005" s="575"/>
      <c r="AH1005" s="308"/>
      <c r="AI1005" s="575"/>
      <c r="AJ1005" s="308"/>
      <c r="AK1005" s="305"/>
      <c r="AL1005" s="577"/>
      <c r="AM1005" s="306"/>
      <c r="AN1005" s="308"/>
      <c r="AO1005" s="573"/>
      <c r="AP1005" s="305"/>
      <c r="AQ1005" s="308"/>
      <c r="AR1005" s="573"/>
      <c r="AS1005" s="578"/>
      <c r="AT1005" s="577"/>
      <c r="AU1005" s="579"/>
      <c r="AV1005" s="578"/>
      <c r="AW1005" s="308"/>
      <c r="AX1005" s="307"/>
      <c r="AY1005" s="307"/>
      <c r="AZ1005" s="307"/>
      <c r="BA1005" s="307"/>
      <c r="BB1005" s="307"/>
      <c r="BC1005" s="305"/>
      <c r="BD1005" s="292"/>
      <c r="BE1005" s="297"/>
      <c r="BF1005" s="297"/>
      <c r="BG1005" s="569"/>
      <c r="BH1005" s="570"/>
      <c r="BI1005" s="570"/>
      <c r="BJ1005" s="570"/>
      <c r="BK1005" s="570"/>
      <c r="BL1005" s="570"/>
      <c r="BM1005" s="570"/>
      <c r="BN1005" s="570"/>
      <c r="BO1005" s="570"/>
      <c r="BP1005" s="570"/>
      <c r="BQ1005" s="570"/>
      <c r="BR1005" s="570"/>
      <c r="BS1005" s="570"/>
      <c r="BT1005" s="570"/>
      <c r="BU1005" s="570"/>
      <c r="BV1005" s="570"/>
      <c r="BW1005" s="570"/>
      <c r="BX1005" s="570"/>
      <c r="BY1005" s="570"/>
      <c r="BZ1005" s="571"/>
      <c r="CA1005" s="571"/>
    </row>
    <row r="1006" spans="2:79">
      <c r="B1006" s="566">
        <v>991</v>
      </c>
      <c r="C1006" s="308"/>
      <c r="D1006" s="307"/>
      <c r="E1006" s="307"/>
      <c r="F1006" s="305"/>
      <c r="G1006" s="305"/>
      <c r="H1006" s="292"/>
      <c r="I1006" s="574"/>
      <c r="J1006" s="573"/>
      <c r="K1006" s="307"/>
      <c r="L1006" s="292"/>
      <c r="M1006" s="308"/>
      <c r="N1006" s="292"/>
      <c r="O1006" s="308"/>
      <c r="P1006" s="575"/>
      <c r="Q1006" s="576"/>
      <c r="R1006" s="308"/>
      <c r="S1006" s="575"/>
      <c r="T1006" s="576"/>
      <c r="U1006" s="308"/>
      <c r="V1006" s="575"/>
      <c r="W1006" s="576"/>
      <c r="X1006" s="308"/>
      <c r="Y1006" s="575"/>
      <c r="Z1006" s="576"/>
      <c r="AA1006" s="308"/>
      <c r="AB1006" s="575"/>
      <c r="AC1006" s="576"/>
      <c r="AD1006" s="308"/>
      <c r="AE1006" s="575"/>
      <c r="AF1006" s="308"/>
      <c r="AG1006" s="575"/>
      <c r="AH1006" s="308"/>
      <c r="AI1006" s="575"/>
      <c r="AJ1006" s="308"/>
      <c r="AK1006" s="305"/>
      <c r="AL1006" s="577"/>
      <c r="AM1006" s="306"/>
      <c r="AN1006" s="308"/>
      <c r="AO1006" s="573"/>
      <c r="AP1006" s="305"/>
      <c r="AQ1006" s="308"/>
      <c r="AR1006" s="573"/>
      <c r="AS1006" s="578"/>
      <c r="AT1006" s="577"/>
      <c r="AU1006" s="579"/>
      <c r="AV1006" s="578"/>
      <c r="AW1006" s="308"/>
      <c r="AX1006" s="307"/>
      <c r="AY1006" s="307"/>
      <c r="AZ1006" s="307"/>
      <c r="BA1006" s="307"/>
      <c r="BB1006" s="307"/>
      <c r="BC1006" s="305"/>
      <c r="BD1006" s="292"/>
      <c r="BE1006" s="297"/>
      <c r="BF1006" s="297"/>
      <c r="BG1006" s="569"/>
      <c r="BH1006" s="570"/>
      <c r="BI1006" s="570"/>
      <c r="BJ1006" s="570"/>
      <c r="BK1006" s="570"/>
      <c r="BL1006" s="570"/>
      <c r="BM1006" s="570"/>
      <c r="BN1006" s="570"/>
      <c r="BO1006" s="570"/>
      <c r="BP1006" s="570"/>
      <c r="BQ1006" s="570"/>
      <c r="BR1006" s="570"/>
      <c r="BS1006" s="570"/>
      <c r="BT1006" s="570"/>
      <c r="BU1006" s="570"/>
      <c r="BV1006" s="570"/>
      <c r="BW1006" s="570"/>
      <c r="BX1006" s="570"/>
      <c r="BY1006" s="570"/>
      <c r="BZ1006" s="571"/>
      <c r="CA1006" s="571"/>
    </row>
    <row r="1007" spans="2:79">
      <c r="B1007" s="572">
        <v>992</v>
      </c>
      <c r="C1007" s="308"/>
      <c r="D1007" s="307"/>
      <c r="E1007" s="307"/>
      <c r="F1007" s="305"/>
      <c r="G1007" s="305"/>
      <c r="H1007" s="292"/>
      <c r="I1007" s="574"/>
      <c r="J1007" s="573"/>
      <c r="K1007" s="307"/>
      <c r="L1007" s="292"/>
      <c r="M1007" s="308"/>
      <c r="N1007" s="292"/>
      <c r="O1007" s="308"/>
      <c r="P1007" s="575"/>
      <c r="Q1007" s="576"/>
      <c r="R1007" s="308"/>
      <c r="S1007" s="575"/>
      <c r="T1007" s="576"/>
      <c r="U1007" s="308"/>
      <c r="V1007" s="575"/>
      <c r="W1007" s="576"/>
      <c r="X1007" s="308"/>
      <c r="Y1007" s="575"/>
      <c r="Z1007" s="576"/>
      <c r="AA1007" s="308"/>
      <c r="AB1007" s="575"/>
      <c r="AC1007" s="576"/>
      <c r="AD1007" s="308"/>
      <c r="AE1007" s="575"/>
      <c r="AF1007" s="308"/>
      <c r="AG1007" s="575"/>
      <c r="AH1007" s="308"/>
      <c r="AI1007" s="575"/>
      <c r="AJ1007" s="308"/>
      <c r="AK1007" s="305"/>
      <c r="AL1007" s="577"/>
      <c r="AM1007" s="306"/>
      <c r="AN1007" s="308"/>
      <c r="AO1007" s="573"/>
      <c r="AP1007" s="305"/>
      <c r="AQ1007" s="308"/>
      <c r="AR1007" s="573"/>
      <c r="AS1007" s="578"/>
      <c r="AT1007" s="577"/>
      <c r="AU1007" s="579"/>
      <c r="AV1007" s="578"/>
      <c r="AW1007" s="308"/>
      <c r="AX1007" s="307"/>
      <c r="AY1007" s="307"/>
      <c r="AZ1007" s="307"/>
      <c r="BA1007" s="307"/>
      <c r="BB1007" s="307"/>
      <c r="BC1007" s="305"/>
      <c r="BD1007" s="292"/>
      <c r="BE1007" s="297"/>
      <c r="BF1007" s="297"/>
      <c r="BG1007" s="569"/>
      <c r="BH1007" s="570"/>
      <c r="BI1007" s="570"/>
      <c r="BJ1007" s="570"/>
      <c r="BK1007" s="570"/>
      <c r="BL1007" s="570"/>
      <c r="BM1007" s="570"/>
      <c r="BN1007" s="570"/>
      <c r="BO1007" s="570"/>
      <c r="BP1007" s="570"/>
      <c r="BQ1007" s="570"/>
      <c r="BR1007" s="570"/>
      <c r="BS1007" s="570"/>
      <c r="BT1007" s="570"/>
      <c r="BU1007" s="570"/>
      <c r="BV1007" s="570"/>
      <c r="BW1007" s="570"/>
      <c r="BX1007" s="570"/>
      <c r="BY1007" s="570"/>
      <c r="BZ1007" s="571"/>
      <c r="CA1007" s="571"/>
    </row>
    <row r="1008" spans="2:79">
      <c r="B1008" s="566">
        <v>993</v>
      </c>
      <c r="C1008" s="308"/>
      <c r="D1008" s="307"/>
      <c r="E1008" s="307"/>
      <c r="F1008" s="305"/>
      <c r="G1008" s="305"/>
      <c r="H1008" s="292"/>
      <c r="I1008" s="574"/>
      <c r="J1008" s="573"/>
      <c r="K1008" s="307"/>
      <c r="L1008" s="292"/>
      <c r="M1008" s="308"/>
      <c r="N1008" s="292"/>
      <c r="O1008" s="308"/>
      <c r="P1008" s="575"/>
      <c r="Q1008" s="576"/>
      <c r="R1008" s="308"/>
      <c r="S1008" s="575"/>
      <c r="T1008" s="576"/>
      <c r="U1008" s="308"/>
      <c r="V1008" s="575"/>
      <c r="W1008" s="576"/>
      <c r="X1008" s="308"/>
      <c r="Y1008" s="575"/>
      <c r="Z1008" s="576"/>
      <c r="AA1008" s="308"/>
      <c r="AB1008" s="575"/>
      <c r="AC1008" s="576"/>
      <c r="AD1008" s="308"/>
      <c r="AE1008" s="575"/>
      <c r="AF1008" s="308"/>
      <c r="AG1008" s="575"/>
      <c r="AH1008" s="308"/>
      <c r="AI1008" s="575"/>
      <c r="AJ1008" s="308"/>
      <c r="AK1008" s="305"/>
      <c r="AL1008" s="577"/>
      <c r="AM1008" s="306"/>
      <c r="AN1008" s="308"/>
      <c r="AO1008" s="573"/>
      <c r="AP1008" s="305"/>
      <c r="AQ1008" s="308"/>
      <c r="AR1008" s="573"/>
      <c r="AS1008" s="578"/>
      <c r="AT1008" s="577"/>
      <c r="AU1008" s="579"/>
      <c r="AV1008" s="578"/>
      <c r="AW1008" s="308"/>
      <c r="AX1008" s="307"/>
      <c r="AY1008" s="307"/>
      <c r="AZ1008" s="307"/>
      <c r="BA1008" s="307"/>
      <c r="BB1008" s="307"/>
      <c r="BC1008" s="305"/>
      <c r="BD1008" s="292"/>
      <c r="BE1008" s="297"/>
      <c r="BF1008" s="297"/>
      <c r="BG1008" s="569"/>
      <c r="BH1008" s="570"/>
      <c r="BI1008" s="570"/>
      <c r="BJ1008" s="570"/>
      <c r="BK1008" s="570"/>
      <c r="BL1008" s="570"/>
      <c r="BM1008" s="570"/>
      <c r="BN1008" s="570"/>
      <c r="BO1008" s="570"/>
      <c r="BP1008" s="570"/>
      <c r="BQ1008" s="570"/>
      <c r="BR1008" s="570"/>
      <c r="BS1008" s="570"/>
      <c r="BT1008" s="570"/>
      <c r="BU1008" s="570"/>
      <c r="BV1008" s="570"/>
      <c r="BW1008" s="570"/>
      <c r="BX1008" s="570"/>
      <c r="BY1008" s="570"/>
      <c r="BZ1008" s="571"/>
      <c r="CA1008" s="571"/>
    </row>
    <row r="1009" spans="2:79">
      <c r="B1009" s="572">
        <v>994</v>
      </c>
      <c r="C1009" s="308"/>
      <c r="D1009" s="307"/>
      <c r="E1009" s="307"/>
      <c r="F1009" s="305"/>
      <c r="G1009" s="305"/>
      <c r="H1009" s="292"/>
      <c r="I1009" s="574"/>
      <c r="J1009" s="573"/>
      <c r="K1009" s="307"/>
      <c r="L1009" s="292"/>
      <c r="M1009" s="308"/>
      <c r="N1009" s="292"/>
      <c r="O1009" s="308"/>
      <c r="P1009" s="575"/>
      <c r="Q1009" s="576"/>
      <c r="R1009" s="308"/>
      <c r="S1009" s="575"/>
      <c r="T1009" s="576"/>
      <c r="U1009" s="308"/>
      <c r="V1009" s="575"/>
      <c r="W1009" s="576"/>
      <c r="X1009" s="308"/>
      <c r="Y1009" s="575"/>
      <c r="Z1009" s="576"/>
      <c r="AA1009" s="308"/>
      <c r="AB1009" s="575"/>
      <c r="AC1009" s="576"/>
      <c r="AD1009" s="308"/>
      <c r="AE1009" s="575"/>
      <c r="AF1009" s="308"/>
      <c r="AG1009" s="575"/>
      <c r="AH1009" s="308"/>
      <c r="AI1009" s="575"/>
      <c r="AJ1009" s="308"/>
      <c r="AK1009" s="305"/>
      <c r="AL1009" s="577"/>
      <c r="AM1009" s="306"/>
      <c r="AN1009" s="308"/>
      <c r="AO1009" s="573"/>
      <c r="AP1009" s="305"/>
      <c r="AQ1009" s="308"/>
      <c r="AR1009" s="573"/>
      <c r="AS1009" s="578"/>
      <c r="AT1009" s="577"/>
      <c r="AU1009" s="579"/>
      <c r="AV1009" s="578"/>
      <c r="AW1009" s="308"/>
      <c r="AX1009" s="307"/>
      <c r="AY1009" s="307"/>
      <c r="AZ1009" s="307"/>
      <c r="BA1009" s="307"/>
      <c r="BB1009" s="307"/>
      <c r="BC1009" s="305"/>
      <c r="BD1009" s="292"/>
      <c r="BE1009" s="297"/>
      <c r="BF1009" s="297"/>
      <c r="BG1009" s="569"/>
      <c r="BH1009" s="570"/>
      <c r="BI1009" s="570"/>
      <c r="BJ1009" s="570"/>
      <c r="BK1009" s="570"/>
      <c r="BL1009" s="570"/>
      <c r="BM1009" s="570"/>
      <c r="BN1009" s="570"/>
      <c r="BO1009" s="570"/>
      <c r="BP1009" s="570"/>
      <c r="BQ1009" s="570"/>
      <c r="BR1009" s="570"/>
      <c r="BS1009" s="570"/>
      <c r="BT1009" s="570"/>
      <c r="BU1009" s="570"/>
      <c r="BV1009" s="570"/>
      <c r="BW1009" s="570"/>
      <c r="BX1009" s="570"/>
      <c r="BY1009" s="570"/>
      <c r="BZ1009" s="571"/>
      <c r="CA1009" s="571"/>
    </row>
    <row r="1010" spans="2:79">
      <c r="B1010" s="566">
        <v>995</v>
      </c>
      <c r="C1010" s="308"/>
      <c r="D1010" s="307"/>
      <c r="E1010" s="307"/>
      <c r="F1010" s="305"/>
      <c r="G1010" s="305"/>
      <c r="H1010" s="292"/>
      <c r="I1010" s="574"/>
      <c r="J1010" s="573"/>
      <c r="K1010" s="307"/>
      <c r="L1010" s="292"/>
      <c r="M1010" s="308"/>
      <c r="N1010" s="292"/>
      <c r="O1010" s="308"/>
      <c r="P1010" s="575"/>
      <c r="Q1010" s="576"/>
      <c r="R1010" s="308"/>
      <c r="S1010" s="575"/>
      <c r="T1010" s="576"/>
      <c r="U1010" s="308"/>
      <c r="V1010" s="575"/>
      <c r="W1010" s="576"/>
      <c r="X1010" s="308"/>
      <c r="Y1010" s="575"/>
      <c r="Z1010" s="576"/>
      <c r="AA1010" s="308"/>
      <c r="AB1010" s="575"/>
      <c r="AC1010" s="576"/>
      <c r="AD1010" s="308"/>
      <c r="AE1010" s="575"/>
      <c r="AF1010" s="308"/>
      <c r="AG1010" s="575"/>
      <c r="AH1010" s="308"/>
      <c r="AI1010" s="575"/>
      <c r="AJ1010" s="308"/>
      <c r="AK1010" s="305"/>
      <c r="AL1010" s="577"/>
      <c r="AM1010" s="306"/>
      <c r="AN1010" s="308"/>
      <c r="AO1010" s="573"/>
      <c r="AP1010" s="305"/>
      <c r="AQ1010" s="308"/>
      <c r="AR1010" s="573"/>
      <c r="AS1010" s="578"/>
      <c r="AT1010" s="577"/>
      <c r="AU1010" s="579"/>
      <c r="AV1010" s="578"/>
      <c r="AW1010" s="308"/>
      <c r="AX1010" s="307"/>
      <c r="AY1010" s="307"/>
      <c r="AZ1010" s="307"/>
      <c r="BA1010" s="307"/>
      <c r="BB1010" s="307"/>
      <c r="BC1010" s="305"/>
      <c r="BD1010" s="292"/>
      <c r="BE1010" s="297"/>
      <c r="BF1010" s="297"/>
      <c r="BG1010" s="569"/>
      <c r="BH1010" s="570"/>
      <c r="BI1010" s="570"/>
      <c r="BJ1010" s="570"/>
      <c r="BK1010" s="570"/>
      <c r="BL1010" s="570"/>
      <c r="BM1010" s="570"/>
      <c r="BN1010" s="570"/>
      <c r="BO1010" s="570"/>
      <c r="BP1010" s="570"/>
      <c r="BQ1010" s="570"/>
      <c r="BR1010" s="570"/>
      <c r="BS1010" s="570"/>
      <c r="BT1010" s="570"/>
      <c r="BU1010" s="570"/>
      <c r="BV1010" s="570"/>
      <c r="BW1010" s="570"/>
      <c r="BX1010" s="570"/>
      <c r="BY1010" s="570"/>
      <c r="BZ1010" s="571"/>
      <c r="CA1010" s="571"/>
    </row>
    <row r="1011" spans="2:79">
      <c r="B1011" s="572">
        <v>996</v>
      </c>
      <c r="C1011" s="308"/>
      <c r="D1011" s="307"/>
      <c r="E1011" s="307"/>
      <c r="F1011" s="305"/>
      <c r="G1011" s="305"/>
      <c r="H1011" s="292"/>
      <c r="I1011" s="574"/>
      <c r="J1011" s="573"/>
      <c r="K1011" s="307"/>
      <c r="L1011" s="292"/>
      <c r="M1011" s="308"/>
      <c r="N1011" s="292"/>
      <c r="O1011" s="308"/>
      <c r="P1011" s="575"/>
      <c r="Q1011" s="576"/>
      <c r="R1011" s="308"/>
      <c r="S1011" s="575"/>
      <c r="T1011" s="576"/>
      <c r="U1011" s="308"/>
      <c r="V1011" s="575"/>
      <c r="W1011" s="576"/>
      <c r="X1011" s="308"/>
      <c r="Y1011" s="575"/>
      <c r="Z1011" s="576"/>
      <c r="AA1011" s="308"/>
      <c r="AB1011" s="575"/>
      <c r="AC1011" s="576"/>
      <c r="AD1011" s="308"/>
      <c r="AE1011" s="575"/>
      <c r="AF1011" s="308"/>
      <c r="AG1011" s="575"/>
      <c r="AH1011" s="308"/>
      <c r="AI1011" s="575"/>
      <c r="AJ1011" s="308"/>
      <c r="AK1011" s="305"/>
      <c r="AL1011" s="577"/>
      <c r="AM1011" s="306"/>
      <c r="AN1011" s="308"/>
      <c r="AO1011" s="573"/>
      <c r="AP1011" s="305"/>
      <c r="AQ1011" s="308"/>
      <c r="AR1011" s="573"/>
      <c r="AS1011" s="578"/>
      <c r="AT1011" s="577"/>
      <c r="AU1011" s="579"/>
      <c r="AV1011" s="578"/>
      <c r="AW1011" s="308"/>
      <c r="AX1011" s="307"/>
      <c r="AY1011" s="307"/>
      <c r="AZ1011" s="307"/>
      <c r="BA1011" s="307"/>
      <c r="BB1011" s="307"/>
      <c r="BC1011" s="305"/>
      <c r="BD1011" s="292"/>
      <c r="BE1011" s="297"/>
      <c r="BF1011" s="297"/>
      <c r="BG1011" s="569"/>
      <c r="BH1011" s="570"/>
      <c r="BI1011" s="570"/>
      <c r="BJ1011" s="570"/>
      <c r="BK1011" s="570"/>
      <c r="BL1011" s="570"/>
      <c r="BM1011" s="570"/>
      <c r="BN1011" s="570"/>
      <c r="BO1011" s="570"/>
      <c r="BP1011" s="570"/>
      <c r="BQ1011" s="570"/>
      <c r="BR1011" s="570"/>
      <c r="BS1011" s="570"/>
      <c r="BT1011" s="570"/>
      <c r="BU1011" s="570"/>
      <c r="BV1011" s="570"/>
      <c r="BW1011" s="570"/>
      <c r="BX1011" s="570"/>
      <c r="BY1011" s="570"/>
      <c r="BZ1011" s="571"/>
      <c r="CA1011" s="571"/>
    </row>
    <row r="1012" spans="2:79">
      <c r="B1012" s="566">
        <v>997</v>
      </c>
      <c r="C1012" s="308"/>
      <c r="D1012" s="307"/>
      <c r="E1012" s="307"/>
      <c r="F1012" s="305"/>
      <c r="G1012" s="305"/>
      <c r="H1012" s="292"/>
      <c r="I1012" s="574"/>
      <c r="J1012" s="573"/>
      <c r="K1012" s="307"/>
      <c r="L1012" s="292"/>
      <c r="M1012" s="308"/>
      <c r="N1012" s="292"/>
      <c r="O1012" s="308"/>
      <c r="P1012" s="575"/>
      <c r="Q1012" s="576"/>
      <c r="R1012" s="308"/>
      <c r="S1012" s="575"/>
      <c r="T1012" s="576"/>
      <c r="U1012" s="308"/>
      <c r="V1012" s="575"/>
      <c r="W1012" s="576"/>
      <c r="X1012" s="308"/>
      <c r="Y1012" s="575"/>
      <c r="Z1012" s="576"/>
      <c r="AA1012" s="308"/>
      <c r="AB1012" s="575"/>
      <c r="AC1012" s="576"/>
      <c r="AD1012" s="308"/>
      <c r="AE1012" s="575"/>
      <c r="AF1012" s="308"/>
      <c r="AG1012" s="575"/>
      <c r="AH1012" s="308"/>
      <c r="AI1012" s="575"/>
      <c r="AJ1012" s="308"/>
      <c r="AK1012" s="305"/>
      <c r="AL1012" s="577"/>
      <c r="AM1012" s="306"/>
      <c r="AN1012" s="308"/>
      <c r="AO1012" s="573"/>
      <c r="AP1012" s="305"/>
      <c r="AQ1012" s="308"/>
      <c r="AR1012" s="573"/>
      <c r="AS1012" s="578"/>
      <c r="AT1012" s="577"/>
      <c r="AU1012" s="579"/>
      <c r="AV1012" s="578"/>
      <c r="AW1012" s="308"/>
      <c r="AX1012" s="307"/>
      <c r="AY1012" s="307"/>
      <c r="AZ1012" s="307"/>
      <c r="BA1012" s="307"/>
      <c r="BB1012" s="307"/>
      <c r="BC1012" s="305"/>
      <c r="BD1012" s="292"/>
      <c r="BE1012" s="297"/>
      <c r="BF1012" s="297"/>
      <c r="BG1012" s="569"/>
      <c r="BH1012" s="570"/>
      <c r="BI1012" s="570"/>
      <c r="BJ1012" s="570"/>
      <c r="BK1012" s="570"/>
      <c r="BL1012" s="570"/>
      <c r="BM1012" s="570"/>
      <c r="BN1012" s="570"/>
      <c r="BO1012" s="570"/>
      <c r="BP1012" s="570"/>
      <c r="BQ1012" s="570"/>
      <c r="BR1012" s="570"/>
      <c r="BS1012" s="570"/>
      <c r="BT1012" s="570"/>
      <c r="BU1012" s="570"/>
      <c r="BV1012" s="570"/>
      <c r="BW1012" s="570"/>
      <c r="BX1012" s="570"/>
      <c r="BY1012" s="570"/>
      <c r="BZ1012" s="571"/>
      <c r="CA1012" s="571"/>
    </row>
    <row r="1013" spans="2:79">
      <c r="B1013" s="572">
        <v>998</v>
      </c>
      <c r="C1013" s="308"/>
      <c r="D1013" s="307"/>
      <c r="E1013" s="307"/>
      <c r="F1013" s="305"/>
      <c r="G1013" s="305"/>
      <c r="H1013" s="292"/>
      <c r="I1013" s="574"/>
      <c r="J1013" s="573"/>
      <c r="K1013" s="307"/>
      <c r="L1013" s="292"/>
      <c r="M1013" s="308"/>
      <c r="N1013" s="292"/>
      <c r="O1013" s="308"/>
      <c r="P1013" s="575"/>
      <c r="Q1013" s="576"/>
      <c r="R1013" s="308"/>
      <c r="S1013" s="575"/>
      <c r="T1013" s="576"/>
      <c r="U1013" s="308"/>
      <c r="V1013" s="575"/>
      <c r="W1013" s="576"/>
      <c r="X1013" s="308"/>
      <c r="Y1013" s="575"/>
      <c r="Z1013" s="576"/>
      <c r="AA1013" s="308"/>
      <c r="AB1013" s="575"/>
      <c r="AC1013" s="576"/>
      <c r="AD1013" s="308"/>
      <c r="AE1013" s="575"/>
      <c r="AF1013" s="308"/>
      <c r="AG1013" s="575"/>
      <c r="AH1013" s="308"/>
      <c r="AI1013" s="575"/>
      <c r="AJ1013" s="308"/>
      <c r="AK1013" s="305"/>
      <c r="AL1013" s="577"/>
      <c r="AM1013" s="306"/>
      <c r="AN1013" s="308"/>
      <c r="AO1013" s="573"/>
      <c r="AP1013" s="305"/>
      <c r="AQ1013" s="308"/>
      <c r="AR1013" s="573"/>
      <c r="AS1013" s="578"/>
      <c r="AT1013" s="577"/>
      <c r="AU1013" s="579"/>
      <c r="AV1013" s="578"/>
      <c r="AW1013" s="308"/>
      <c r="AX1013" s="307"/>
      <c r="AY1013" s="307"/>
      <c r="AZ1013" s="307"/>
      <c r="BA1013" s="307"/>
      <c r="BB1013" s="307"/>
      <c r="BC1013" s="305"/>
      <c r="BD1013" s="292"/>
      <c r="BE1013" s="297"/>
      <c r="BF1013" s="297"/>
      <c r="BG1013" s="569"/>
      <c r="BH1013" s="570"/>
      <c r="BI1013" s="570"/>
      <c r="BJ1013" s="570"/>
      <c r="BK1013" s="570"/>
      <c r="BL1013" s="570"/>
      <c r="BM1013" s="570"/>
      <c r="BN1013" s="570"/>
      <c r="BO1013" s="570"/>
      <c r="BP1013" s="570"/>
      <c r="BQ1013" s="570"/>
      <c r="BR1013" s="570"/>
      <c r="BS1013" s="570"/>
      <c r="BT1013" s="570"/>
      <c r="BU1013" s="570"/>
      <c r="BV1013" s="570"/>
      <c r="BW1013" s="570"/>
      <c r="BX1013" s="570"/>
      <c r="BY1013" s="570"/>
      <c r="BZ1013" s="571"/>
      <c r="CA1013" s="571"/>
    </row>
    <row r="1014" spans="2:79">
      <c r="B1014" s="566">
        <v>999</v>
      </c>
      <c r="C1014" s="308"/>
      <c r="D1014" s="307"/>
      <c r="E1014" s="307"/>
      <c r="F1014" s="305"/>
      <c r="G1014" s="305"/>
      <c r="H1014" s="292"/>
      <c r="I1014" s="574"/>
      <c r="J1014" s="573"/>
      <c r="K1014" s="307"/>
      <c r="L1014" s="292"/>
      <c r="M1014" s="308"/>
      <c r="N1014" s="292"/>
      <c r="O1014" s="308"/>
      <c r="P1014" s="575"/>
      <c r="Q1014" s="576"/>
      <c r="R1014" s="308"/>
      <c r="S1014" s="575"/>
      <c r="T1014" s="576"/>
      <c r="U1014" s="308"/>
      <c r="V1014" s="575"/>
      <c r="W1014" s="576"/>
      <c r="X1014" s="308"/>
      <c r="Y1014" s="575"/>
      <c r="Z1014" s="576"/>
      <c r="AA1014" s="308"/>
      <c r="AB1014" s="575"/>
      <c r="AC1014" s="576"/>
      <c r="AD1014" s="308"/>
      <c r="AE1014" s="575"/>
      <c r="AF1014" s="308"/>
      <c r="AG1014" s="575"/>
      <c r="AH1014" s="308"/>
      <c r="AI1014" s="575"/>
      <c r="AJ1014" s="308"/>
      <c r="AK1014" s="305"/>
      <c r="AL1014" s="577"/>
      <c r="AM1014" s="306"/>
      <c r="AN1014" s="308"/>
      <c r="AO1014" s="573"/>
      <c r="AP1014" s="305"/>
      <c r="AQ1014" s="308"/>
      <c r="AR1014" s="573"/>
      <c r="AS1014" s="578"/>
      <c r="AT1014" s="577"/>
      <c r="AU1014" s="579"/>
      <c r="AV1014" s="578"/>
      <c r="AW1014" s="308"/>
      <c r="AX1014" s="307"/>
      <c r="AY1014" s="307"/>
      <c r="AZ1014" s="307"/>
      <c r="BA1014" s="307"/>
      <c r="BB1014" s="307"/>
      <c r="BC1014" s="305"/>
      <c r="BD1014" s="292"/>
      <c r="BE1014" s="297"/>
      <c r="BF1014" s="297"/>
      <c r="BG1014" s="569"/>
      <c r="BH1014" s="570"/>
      <c r="BI1014" s="570"/>
      <c r="BJ1014" s="570"/>
      <c r="BK1014" s="570"/>
      <c r="BL1014" s="570"/>
      <c r="BM1014" s="570"/>
      <c r="BN1014" s="570"/>
      <c r="BO1014" s="570"/>
      <c r="BP1014" s="570"/>
      <c r="BQ1014" s="570"/>
      <c r="BR1014" s="570"/>
      <c r="BS1014" s="570"/>
      <c r="BT1014" s="570"/>
      <c r="BU1014" s="570"/>
      <c r="BV1014" s="570"/>
      <c r="BW1014" s="570"/>
      <c r="BX1014" s="570"/>
      <c r="BY1014" s="570"/>
      <c r="BZ1014" s="571"/>
      <c r="CA1014" s="571"/>
    </row>
    <row r="1015" spans="2:79" ht="13.5" thickBot="1">
      <c r="B1015" s="580">
        <v>1000</v>
      </c>
      <c r="C1015" s="291"/>
      <c r="D1015" s="290"/>
      <c r="E1015" s="290"/>
      <c r="F1015" s="288"/>
      <c r="G1015" s="288"/>
      <c r="H1015" s="275"/>
      <c r="I1015" s="574"/>
      <c r="J1015" s="581"/>
      <c r="K1015" s="307"/>
      <c r="L1015" s="275"/>
      <c r="M1015" s="308"/>
      <c r="N1015" s="275"/>
      <c r="O1015" s="291"/>
      <c r="P1015" s="583"/>
      <c r="Q1015" s="584"/>
      <c r="R1015" s="291"/>
      <c r="S1015" s="583"/>
      <c r="T1015" s="584"/>
      <c r="U1015" s="291"/>
      <c r="V1015" s="583"/>
      <c r="W1015" s="584"/>
      <c r="X1015" s="291"/>
      <c r="Y1015" s="583"/>
      <c r="Z1015" s="584"/>
      <c r="AA1015" s="291"/>
      <c r="AB1015" s="583"/>
      <c r="AC1015" s="584"/>
      <c r="AD1015" s="291"/>
      <c r="AE1015" s="583"/>
      <c r="AF1015" s="291"/>
      <c r="AG1015" s="583"/>
      <c r="AH1015" s="291"/>
      <c r="AI1015" s="583"/>
      <c r="AJ1015" s="291"/>
      <c r="AK1015" s="288"/>
      <c r="AL1015" s="585"/>
      <c r="AM1015" s="289"/>
      <c r="AN1015" s="291"/>
      <c r="AO1015" s="581"/>
      <c r="AP1015" s="288"/>
      <c r="AQ1015" s="291"/>
      <c r="AR1015" s="581"/>
      <c r="AS1015" s="586"/>
      <c r="AT1015" s="585"/>
      <c r="AU1015" s="587"/>
      <c r="AV1015" s="586"/>
      <c r="AW1015" s="291"/>
      <c r="AX1015" s="290"/>
      <c r="AY1015" s="290"/>
      <c r="AZ1015" s="290"/>
      <c r="BA1015" s="290"/>
      <c r="BB1015" s="290"/>
      <c r="BC1015" s="288"/>
      <c r="BD1015" s="275"/>
      <c r="BE1015" s="280"/>
      <c r="BF1015" s="297"/>
      <c r="BG1015" s="569"/>
      <c r="BH1015" s="588"/>
      <c r="BI1015" s="588"/>
      <c r="BJ1015" s="588"/>
      <c r="BK1015" s="588"/>
      <c r="BL1015" s="588"/>
      <c r="BM1015" s="588"/>
      <c r="BN1015" s="588"/>
      <c r="BO1015" s="588"/>
      <c r="BP1015" s="588"/>
      <c r="BQ1015" s="588"/>
      <c r="BR1015" s="588"/>
      <c r="BS1015" s="588"/>
      <c r="BT1015" s="588"/>
      <c r="BU1015" s="588"/>
      <c r="BV1015" s="588"/>
      <c r="BW1015" s="588"/>
      <c r="BX1015" s="588"/>
      <c r="BY1015" s="588"/>
      <c r="BZ1015" s="589"/>
      <c r="CA1015" s="589"/>
    </row>
  </sheetData>
  <sheetProtection sheet="1" objects="1" scenarios="1"/>
  <mergeCells count="29">
    <mergeCell ref="C14:H14"/>
    <mergeCell ref="X14:Z14"/>
    <mergeCell ref="AA14:AC14"/>
    <mergeCell ref="AD14:AE14"/>
    <mergeCell ref="AF14:AG14"/>
    <mergeCell ref="I14:L14"/>
    <mergeCell ref="M14:N14"/>
    <mergeCell ref="R14:T14"/>
    <mergeCell ref="U14:W14"/>
    <mergeCell ref="O14:Q14"/>
    <mergeCell ref="AW12:BE12"/>
    <mergeCell ref="BG12:BZ12"/>
    <mergeCell ref="BC8:BE8"/>
    <mergeCell ref="BC9:BE9"/>
    <mergeCell ref="AH14:AI14"/>
    <mergeCell ref="AJ14:AK14"/>
    <mergeCell ref="BG14:BZ14"/>
    <mergeCell ref="AL14:AM14"/>
    <mergeCell ref="AN14:AP14"/>
    <mergeCell ref="AQ14:AS14"/>
    <mergeCell ref="AT14:AV14"/>
    <mergeCell ref="AW14:BD14"/>
    <mergeCell ref="BF2:BZ2"/>
    <mergeCell ref="BC10:BE10"/>
    <mergeCell ref="BC11:BE11"/>
    <mergeCell ref="BC2:BD2"/>
    <mergeCell ref="B2:J2"/>
    <mergeCell ref="B3:J3"/>
    <mergeCell ref="B4:J4"/>
  </mergeCells>
  <conditionalFormatting sqref="M17:M1015 K17:K1015">
    <cfRule type="cellIs" dxfId="1" priority="1" operator="equal">
      <formula>0</formula>
    </cfRule>
  </conditionalFormatting>
  <printOptions horizontalCentered="1"/>
  <pageMargins left="0.5" right="0.5" top="0.75" bottom="1" header="0.5" footer="0.5"/>
  <pageSetup orientation="portrait" horizontalDpi="4294967294" verticalDpi="1200" r:id="rId1"/>
  <headerFooter alignWithMargins="0">
    <oddFooter>&amp;R&amp;D</oddFooter>
  </headerFooter>
  <legacyDrawing r:id="rId2"/>
</worksheet>
</file>

<file path=xl/worksheets/sheet7.xml><?xml version="1.0" encoding="utf-8"?>
<worksheet xmlns="http://schemas.openxmlformats.org/spreadsheetml/2006/main" xmlns:r="http://schemas.openxmlformats.org/officeDocument/2006/relationships">
  <sheetPr codeName="Sheet12">
    <pageSetUpPr autoPageBreaks="0" fitToPage="1"/>
  </sheetPr>
  <dimension ref="B2:R37"/>
  <sheetViews>
    <sheetView showGridLines="0" zoomScale="75" workbookViewId="0"/>
  </sheetViews>
  <sheetFormatPr defaultRowHeight="12.75"/>
  <cols>
    <col min="1" max="1" width="3.5703125" style="76" customWidth="1"/>
    <col min="2" max="2" width="11.28515625" style="76" customWidth="1"/>
    <col min="3" max="3" width="9.28515625" style="76" bestFit="1" customWidth="1"/>
    <col min="4" max="4" width="8.85546875" style="76" bestFit="1" customWidth="1"/>
    <col min="5" max="5" width="6.28515625" style="76" bestFit="1" customWidth="1"/>
    <col min="6" max="6" width="6.42578125" style="76" bestFit="1" customWidth="1"/>
    <col min="7" max="7" width="8.85546875" style="76" bestFit="1" customWidth="1"/>
    <col min="8" max="8" width="12" style="76" bestFit="1" customWidth="1"/>
    <col min="9" max="9" width="10.5703125" style="76" bestFit="1" customWidth="1"/>
    <col min="10" max="10" width="18" style="76" bestFit="1" customWidth="1"/>
    <col min="11" max="11" width="15.7109375" style="76" bestFit="1" customWidth="1"/>
    <col min="12" max="12" width="12" style="76" bestFit="1" customWidth="1"/>
    <col min="13" max="14" width="12" style="76" customWidth="1"/>
    <col min="15" max="15" width="21.140625" style="76" bestFit="1" customWidth="1"/>
    <col min="16" max="16" width="10.42578125" style="76" bestFit="1" customWidth="1"/>
    <col min="17" max="17" width="8.85546875" style="76" bestFit="1" customWidth="1"/>
    <col min="18" max="18" width="8.5703125" style="76" bestFit="1" customWidth="1"/>
    <col min="19" max="258" width="9.140625" style="76"/>
    <col min="259" max="259" width="3.5703125" style="76" customWidth="1"/>
    <col min="260" max="260" width="6.5703125" style="76" bestFit="1" customWidth="1"/>
    <col min="261" max="261" width="9.28515625" style="76" bestFit="1" customWidth="1"/>
    <col min="262" max="262" width="8.85546875" style="76" bestFit="1" customWidth="1"/>
    <col min="263" max="263" width="8.7109375" style="76" customWidth="1"/>
    <col min="264" max="264" width="20.140625" style="76" bestFit="1" customWidth="1"/>
    <col min="265" max="265" width="4" style="76" customWidth="1"/>
    <col min="266" max="266" width="11.7109375" style="76" bestFit="1" customWidth="1"/>
    <col min="267" max="267" width="8.7109375" style="76" customWidth="1"/>
    <col min="268" max="268" width="8.85546875" style="76" bestFit="1" customWidth="1"/>
    <col min="269" max="269" width="8.7109375" style="76" customWidth="1"/>
    <col min="270" max="270" width="8.140625" style="76" customWidth="1"/>
    <col min="271" max="271" width="12" style="76" bestFit="1" customWidth="1"/>
    <col min="272" max="272" width="10.42578125" style="76" bestFit="1" customWidth="1"/>
    <col min="273" max="273" width="8.85546875" style="76" bestFit="1" customWidth="1"/>
    <col min="274" max="274" width="8.5703125" style="76" bestFit="1" customWidth="1"/>
    <col min="275" max="514" width="9.140625" style="76"/>
    <col min="515" max="515" width="3.5703125" style="76" customWidth="1"/>
    <col min="516" max="516" width="6.5703125" style="76" bestFit="1" customWidth="1"/>
    <col min="517" max="517" width="9.28515625" style="76" bestFit="1" customWidth="1"/>
    <col min="518" max="518" width="8.85546875" style="76" bestFit="1" customWidth="1"/>
    <col min="519" max="519" width="8.7109375" style="76" customWidth="1"/>
    <col min="520" max="520" width="20.140625" style="76" bestFit="1" customWidth="1"/>
    <col min="521" max="521" width="4" style="76" customWidth="1"/>
    <col min="522" max="522" width="11.7109375" style="76" bestFit="1" customWidth="1"/>
    <col min="523" max="523" width="8.7109375" style="76" customWidth="1"/>
    <col min="524" max="524" width="8.85546875" style="76" bestFit="1" customWidth="1"/>
    <col min="525" max="525" width="8.7109375" style="76" customWidth="1"/>
    <col min="526" max="526" width="8.140625" style="76" customWidth="1"/>
    <col min="527" max="527" width="12" style="76" bestFit="1" customWidth="1"/>
    <col min="528" max="528" width="10.42578125" style="76" bestFit="1" customWidth="1"/>
    <col min="529" max="529" width="8.85546875" style="76" bestFit="1" customWidth="1"/>
    <col min="530" max="530" width="8.5703125" style="76" bestFit="1" customWidth="1"/>
    <col min="531" max="770" width="9.140625" style="76"/>
    <col min="771" max="771" width="3.5703125" style="76" customWidth="1"/>
    <col min="772" max="772" width="6.5703125" style="76" bestFit="1" customWidth="1"/>
    <col min="773" max="773" width="9.28515625" style="76" bestFit="1" customWidth="1"/>
    <col min="774" max="774" width="8.85546875" style="76" bestFit="1" customWidth="1"/>
    <col min="775" max="775" width="8.7109375" style="76" customWidth="1"/>
    <col min="776" max="776" width="20.140625" style="76" bestFit="1" customWidth="1"/>
    <col min="777" max="777" width="4" style="76" customWidth="1"/>
    <col min="778" max="778" width="11.7109375" style="76" bestFit="1" customWidth="1"/>
    <col min="779" max="779" width="8.7109375" style="76" customWidth="1"/>
    <col min="780" max="780" width="8.85546875" style="76" bestFit="1" customWidth="1"/>
    <col min="781" max="781" width="8.7109375" style="76" customWidth="1"/>
    <col min="782" max="782" width="8.140625" style="76" customWidth="1"/>
    <col min="783" max="783" width="12" style="76" bestFit="1" customWidth="1"/>
    <col min="784" max="784" width="10.42578125" style="76" bestFit="1" customWidth="1"/>
    <col min="785" max="785" width="8.85546875" style="76" bestFit="1" customWidth="1"/>
    <col min="786" max="786" width="8.5703125" style="76" bestFit="1" customWidth="1"/>
    <col min="787" max="1026" width="9.140625" style="76"/>
    <col min="1027" max="1027" width="3.5703125" style="76" customWidth="1"/>
    <col min="1028" max="1028" width="6.5703125" style="76" bestFit="1" customWidth="1"/>
    <col min="1029" max="1029" width="9.28515625" style="76" bestFit="1" customWidth="1"/>
    <col min="1030" max="1030" width="8.85546875" style="76" bestFit="1" customWidth="1"/>
    <col min="1031" max="1031" width="8.7109375" style="76" customWidth="1"/>
    <col min="1032" max="1032" width="20.140625" style="76" bestFit="1" customWidth="1"/>
    <col min="1033" max="1033" width="4" style="76" customWidth="1"/>
    <col min="1034" max="1034" width="11.7109375" style="76" bestFit="1" customWidth="1"/>
    <col min="1035" max="1035" width="8.7109375" style="76" customWidth="1"/>
    <col min="1036" max="1036" width="8.85546875" style="76" bestFit="1" customWidth="1"/>
    <col min="1037" max="1037" width="8.7109375" style="76" customWidth="1"/>
    <col min="1038" max="1038" width="8.140625" style="76" customWidth="1"/>
    <col min="1039" max="1039" width="12" style="76" bestFit="1" customWidth="1"/>
    <col min="1040" max="1040" width="10.42578125" style="76" bestFit="1" customWidth="1"/>
    <col min="1041" max="1041" width="8.85546875" style="76" bestFit="1" customWidth="1"/>
    <col min="1042" max="1042" width="8.5703125" style="76" bestFit="1" customWidth="1"/>
    <col min="1043" max="1282" width="9.140625" style="76"/>
    <col min="1283" max="1283" width="3.5703125" style="76" customWidth="1"/>
    <col min="1284" max="1284" width="6.5703125" style="76" bestFit="1" customWidth="1"/>
    <col min="1285" max="1285" width="9.28515625" style="76" bestFit="1" customWidth="1"/>
    <col min="1286" max="1286" width="8.85546875" style="76" bestFit="1" customWidth="1"/>
    <col min="1287" max="1287" width="8.7109375" style="76" customWidth="1"/>
    <col min="1288" max="1288" width="20.140625" style="76" bestFit="1" customWidth="1"/>
    <col min="1289" max="1289" width="4" style="76" customWidth="1"/>
    <col min="1290" max="1290" width="11.7109375" style="76" bestFit="1" customWidth="1"/>
    <col min="1291" max="1291" width="8.7109375" style="76" customWidth="1"/>
    <col min="1292" max="1292" width="8.85546875" style="76" bestFit="1" customWidth="1"/>
    <col min="1293" max="1293" width="8.7109375" style="76" customWidth="1"/>
    <col min="1294" max="1294" width="8.140625" style="76" customWidth="1"/>
    <col min="1295" max="1295" width="12" style="76" bestFit="1" customWidth="1"/>
    <col min="1296" max="1296" width="10.42578125" style="76" bestFit="1" customWidth="1"/>
    <col min="1297" max="1297" width="8.85546875" style="76" bestFit="1" customWidth="1"/>
    <col min="1298" max="1298" width="8.5703125" style="76" bestFit="1" customWidth="1"/>
    <col min="1299" max="1538" width="9.140625" style="76"/>
    <col min="1539" max="1539" width="3.5703125" style="76" customWidth="1"/>
    <col min="1540" max="1540" width="6.5703125" style="76" bestFit="1" customWidth="1"/>
    <col min="1541" max="1541" width="9.28515625" style="76" bestFit="1" customWidth="1"/>
    <col min="1542" max="1542" width="8.85546875" style="76" bestFit="1" customWidth="1"/>
    <col min="1543" max="1543" width="8.7109375" style="76" customWidth="1"/>
    <col min="1544" max="1544" width="20.140625" style="76" bestFit="1" customWidth="1"/>
    <col min="1545" max="1545" width="4" style="76" customWidth="1"/>
    <col min="1546" max="1546" width="11.7109375" style="76" bestFit="1" customWidth="1"/>
    <col min="1547" max="1547" width="8.7109375" style="76" customWidth="1"/>
    <col min="1548" max="1548" width="8.85546875" style="76" bestFit="1" customWidth="1"/>
    <col min="1549" max="1549" width="8.7109375" style="76" customWidth="1"/>
    <col min="1550" max="1550" width="8.140625" style="76" customWidth="1"/>
    <col min="1551" max="1551" width="12" style="76" bestFit="1" customWidth="1"/>
    <col min="1552" max="1552" width="10.42578125" style="76" bestFit="1" customWidth="1"/>
    <col min="1553" max="1553" width="8.85546875" style="76" bestFit="1" customWidth="1"/>
    <col min="1554" max="1554" width="8.5703125" style="76" bestFit="1" customWidth="1"/>
    <col min="1555" max="1794" width="9.140625" style="76"/>
    <col min="1795" max="1795" width="3.5703125" style="76" customWidth="1"/>
    <col min="1796" max="1796" width="6.5703125" style="76" bestFit="1" customWidth="1"/>
    <col min="1797" max="1797" width="9.28515625" style="76" bestFit="1" customWidth="1"/>
    <col min="1798" max="1798" width="8.85546875" style="76" bestFit="1" customWidth="1"/>
    <col min="1799" max="1799" width="8.7109375" style="76" customWidth="1"/>
    <col min="1800" max="1800" width="20.140625" style="76" bestFit="1" customWidth="1"/>
    <col min="1801" max="1801" width="4" style="76" customWidth="1"/>
    <col min="1802" max="1802" width="11.7109375" style="76" bestFit="1" customWidth="1"/>
    <col min="1803" max="1803" width="8.7109375" style="76" customWidth="1"/>
    <col min="1804" max="1804" width="8.85546875" style="76" bestFit="1" customWidth="1"/>
    <col min="1805" max="1805" width="8.7109375" style="76" customWidth="1"/>
    <col min="1806" max="1806" width="8.140625" style="76" customWidth="1"/>
    <col min="1807" max="1807" width="12" style="76" bestFit="1" customWidth="1"/>
    <col min="1808" max="1808" width="10.42578125" style="76" bestFit="1" customWidth="1"/>
    <col min="1809" max="1809" width="8.85546875" style="76" bestFit="1" customWidth="1"/>
    <col min="1810" max="1810" width="8.5703125" style="76" bestFit="1" customWidth="1"/>
    <col min="1811" max="2050" width="9.140625" style="76"/>
    <col min="2051" max="2051" width="3.5703125" style="76" customWidth="1"/>
    <col min="2052" max="2052" width="6.5703125" style="76" bestFit="1" customWidth="1"/>
    <col min="2053" max="2053" width="9.28515625" style="76" bestFit="1" customWidth="1"/>
    <col min="2054" max="2054" width="8.85546875" style="76" bestFit="1" customWidth="1"/>
    <col min="2055" max="2055" width="8.7109375" style="76" customWidth="1"/>
    <col min="2056" max="2056" width="20.140625" style="76" bestFit="1" customWidth="1"/>
    <col min="2057" max="2057" width="4" style="76" customWidth="1"/>
    <col min="2058" max="2058" width="11.7109375" style="76" bestFit="1" customWidth="1"/>
    <col min="2059" max="2059" width="8.7109375" style="76" customWidth="1"/>
    <col min="2060" max="2060" width="8.85546875" style="76" bestFit="1" customWidth="1"/>
    <col min="2061" max="2061" width="8.7109375" style="76" customWidth="1"/>
    <col min="2062" max="2062" width="8.140625" style="76" customWidth="1"/>
    <col min="2063" max="2063" width="12" style="76" bestFit="1" customWidth="1"/>
    <col min="2064" max="2064" width="10.42578125" style="76" bestFit="1" customWidth="1"/>
    <col min="2065" max="2065" width="8.85546875" style="76" bestFit="1" customWidth="1"/>
    <col min="2066" max="2066" width="8.5703125" style="76" bestFit="1" customWidth="1"/>
    <col min="2067" max="2306" width="9.140625" style="76"/>
    <col min="2307" max="2307" width="3.5703125" style="76" customWidth="1"/>
    <col min="2308" max="2308" width="6.5703125" style="76" bestFit="1" customWidth="1"/>
    <col min="2309" max="2309" width="9.28515625" style="76" bestFit="1" customWidth="1"/>
    <col min="2310" max="2310" width="8.85546875" style="76" bestFit="1" customWidth="1"/>
    <col min="2311" max="2311" width="8.7109375" style="76" customWidth="1"/>
    <col min="2312" max="2312" width="20.140625" style="76" bestFit="1" customWidth="1"/>
    <col min="2313" max="2313" width="4" style="76" customWidth="1"/>
    <col min="2314" max="2314" width="11.7109375" style="76" bestFit="1" customWidth="1"/>
    <col min="2315" max="2315" width="8.7109375" style="76" customWidth="1"/>
    <col min="2316" max="2316" width="8.85546875" style="76" bestFit="1" customWidth="1"/>
    <col min="2317" max="2317" width="8.7109375" style="76" customWidth="1"/>
    <col min="2318" max="2318" width="8.140625" style="76" customWidth="1"/>
    <col min="2319" max="2319" width="12" style="76" bestFit="1" customWidth="1"/>
    <col min="2320" max="2320" width="10.42578125" style="76" bestFit="1" customWidth="1"/>
    <col min="2321" max="2321" width="8.85546875" style="76" bestFit="1" customWidth="1"/>
    <col min="2322" max="2322" width="8.5703125" style="76" bestFit="1" customWidth="1"/>
    <col min="2323" max="2562" width="9.140625" style="76"/>
    <col min="2563" max="2563" width="3.5703125" style="76" customWidth="1"/>
    <col min="2564" max="2564" width="6.5703125" style="76" bestFit="1" customWidth="1"/>
    <col min="2565" max="2565" width="9.28515625" style="76" bestFit="1" customWidth="1"/>
    <col min="2566" max="2566" width="8.85546875" style="76" bestFit="1" customWidth="1"/>
    <col min="2567" max="2567" width="8.7109375" style="76" customWidth="1"/>
    <col min="2568" max="2568" width="20.140625" style="76" bestFit="1" customWidth="1"/>
    <col min="2569" max="2569" width="4" style="76" customWidth="1"/>
    <col min="2570" max="2570" width="11.7109375" style="76" bestFit="1" customWidth="1"/>
    <col min="2571" max="2571" width="8.7109375" style="76" customWidth="1"/>
    <col min="2572" max="2572" width="8.85546875" style="76" bestFit="1" customWidth="1"/>
    <col min="2573" max="2573" width="8.7109375" style="76" customWidth="1"/>
    <col min="2574" max="2574" width="8.140625" style="76" customWidth="1"/>
    <col min="2575" max="2575" width="12" style="76" bestFit="1" customWidth="1"/>
    <col min="2576" max="2576" width="10.42578125" style="76" bestFit="1" customWidth="1"/>
    <col min="2577" max="2577" width="8.85546875" style="76" bestFit="1" customWidth="1"/>
    <col min="2578" max="2578" width="8.5703125" style="76" bestFit="1" customWidth="1"/>
    <col min="2579" max="2818" width="9.140625" style="76"/>
    <col min="2819" max="2819" width="3.5703125" style="76" customWidth="1"/>
    <col min="2820" max="2820" width="6.5703125" style="76" bestFit="1" customWidth="1"/>
    <col min="2821" max="2821" width="9.28515625" style="76" bestFit="1" customWidth="1"/>
    <col min="2822" max="2822" width="8.85546875" style="76" bestFit="1" customWidth="1"/>
    <col min="2823" max="2823" width="8.7109375" style="76" customWidth="1"/>
    <col min="2824" max="2824" width="20.140625" style="76" bestFit="1" customWidth="1"/>
    <col min="2825" max="2825" width="4" style="76" customWidth="1"/>
    <col min="2826" max="2826" width="11.7109375" style="76" bestFit="1" customWidth="1"/>
    <col min="2827" max="2827" width="8.7109375" style="76" customWidth="1"/>
    <col min="2828" max="2828" width="8.85546875" style="76" bestFit="1" customWidth="1"/>
    <col min="2829" max="2829" width="8.7109375" style="76" customWidth="1"/>
    <col min="2830" max="2830" width="8.140625" style="76" customWidth="1"/>
    <col min="2831" max="2831" width="12" style="76" bestFit="1" customWidth="1"/>
    <col min="2832" max="2832" width="10.42578125" style="76" bestFit="1" customWidth="1"/>
    <col min="2833" max="2833" width="8.85546875" style="76" bestFit="1" customWidth="1"/>
    <col min="2834" max="2834" width="8.5703125" style="76" bestFit="1" customWidth="1"/>
    <col min="2835" max="3074" width="9.140625" style="76"/>
    <col min="3075" max="3075" width="3.5703125" style="76" customWidth="1"/>
    <col min="3076" max="3076" width="6.5703125" style="76" bestFit="1" customWidth="1"/>
    <col min="3077" max="3077" width="9.28515625" style="76" bestFit="1" customWidth="1"/>
    <col min="3078" max="3078" width="8.85546875" style="76" bestFit="1" customWidth="1"/>
    <col min="3079" max="3079" width="8.7109375" style="76" customWidth="1"/>
    <col min="3080" max="3080" width="20.140625" style="76" bestFit="1" customWidth="1"/>
    <col min="3081" max="3081" width="4" style="76" customWidth="1"/>
    <col min="3082" max="3082" width="11.7109375" style="76" bestFit="1" customWidth="1"/>
    <col min="3083" max="3083" width="8.7109375" style="76" customWidth="1"/>
    <col min="3084" max="3084" width="8.85546875" style="76" bestFit="1" customWidth="1"/>
    <col min="3085" max="3085" width="8.7109375" style="76" customWidth="1"/>
    <col min="3086" max="3086" width="8.140625" style="76" customWidth="1"/>
    <col min="3087" max="3087" width="12" style="76" bestFit="1" customWidth="1"/>
    <col min="3088" max="3088" width="10.42578125" style="76" bestFit="1" customWidth="1"/>
    <col min="3089" max="3089" width="8.85546875" style="76" bestFit="1" customWidth="1"/>
    <col min="3090" max="3090" width="8.5703125" style="76" bestFit="1" customWidth="1"/>
    <col min="3091" max="3330" width="9.140625" style="76"/>
    <col min="3331" max="3331" width="3.5703125" style="76" customWidth="1"/>
    <col min="3332" max="3332" width="6.5703125" style="76" bestFit="1" customWidth="1"/>
    <col min="3333" max="3333" width="9.28515625" style="76" bestFit="1" customWidth="1"/>
    <col min="3334" max="3334" width="8.85546875" style="76" bestFit="1" customWidth="1"/>
    <col min="3335" max="3335" width="8.7109375" style="76" customWidth="1"/>
    <col min="3336" max="3336" width="20.140625" style="76" bestFit="1" customWidth="1"/>
    <col min="3337" max="3337" width="4" style="76" customWidth="1"/>
    <col min="3338" max="3338" width="11.7109375" style="76" bestFit="1" customWidth="1"/>
    <col min="3339" max="3339" width="8.7109375" style="76" customWidth="1"/>
    <col min="3340" max="3340" width="8.85546875" style="76" bestFit="1" customWidth="1"/>
    <col min="3341" max="3341" width="8.7109375" style="76" customWidth="1"/>
    <col min="3342" max="3342" width="8.140625" style="76" customWidth="1"/>
    <col min="3343" max="3343" width="12" style="76" bestFit="1" customWidth="1"/>
    <col min="3344" max="3344" width="10.42578125" style="76" bestFit="1" customWidth="1"/>
    <col min="3345" max="3345" width="8.85546875" style="76" bestFit="1" customWidth="1"/>
    <col min="3346" max="3346" width="8.5703125" style="76" bestFit="1" customWidth="1"/>
    <col min="3347" max="3586" width="9.140625" style="76"/>
    <col min="3587" max="3587" width="3.5703125" style="76" customWidth="1"/>
    <col min="3588" max="3588" width="6.5703125" style="76" bestFit="1" customWidth="1"/>
    <col min="3589" max="3589" width="9.28515625" style="76" bestFit="1" customWidth="1"/>
    <col min="3590" max="3590" width="8.85546875" style="76" bestFit="1" customWidth="1"/>
    <col min="3591" max="3591" width="8.7109375" style="76" customWidth="1"/>
    <col min="3592" max="3592" width="20.140625" style="76" bestFit="1" customWidth="1"/>
    <col min="3593" max="3593" width="4" style="76" customWidth="1"/>
    <col min="3594" max="3594" width="11.7109375" style="76" bestFit="1" customWidth="1"/>
    <col min="3595" max="3595" width="8.7109375" style="76" customWidth="1"/>
    <col min="3596" max="3596" width="8.85546875" style="76" bestFit="1" customWidth="1"/>
    <col min="3597" max="3597" width="8.7109375" style="76" customWidth="1"/>
    <col min="3598" max="3598" width="8.140625" style="76" customWidth="1"/>
    <col min="3599" max="3599" width="12" style="76" bestFit="1" customWidth="1"/>
    <col min="3600" max="3600" width="10.42578125" style="76" bestFit="1" customWidth="1"/>
    <col min="3601" max="3601" width="8.85546875" style="76" bestFit="1" customWidth="1"/>
    <col min="3602" max="3602" width="8.5703125" style="76" bestFit="1" customWidth="1"/>
    <col min="3603" max="3842" width="9.140625" style="76"/>
    <col min="3843" max="3843" width="3.5703125" style="76" customWidth="1"/>
    <col min="3844" max="3844" width="6.5703125" style="76" bestFit="1" customWidth="1"/>
    <col min="3845" max="3845" width="9.28515625" style="76" bestFit="1" customWidth="1"/>
    <col min="3846" max="3846" width="8.85546875" style="76" bestFit="1" customWidth="1"/>
    <col min="3847" max="3847" width="8.7109375" style="76" customWidth="1"/>
    <col min="3848" max="3848" width="20.140625" style="76" bestFit="1" customWidth="1"/>
    <col min="3849" max="3849" width="4" style="76" customWidth="1"/>
    <col min="3850" max="3850" width="11.7109375" style="76" bestFit="1" customWidth="1"/>
    <col min="3851" max="3851" width="8.7109375" style="76" customWidth="1"/>
    <col min="3852" max="3852" width="8.85546875" style="76" bestFit="1" customWidth="1"/>
    <col min="3853" max="3853" width="8.7109375" style="76" customWidth="1"/>
    <col min="3854" max="3854" width="8.140625" style="76" customWidth="1"/>
    <col min="3855" max="3855" width="12" style="76" bestFit="1" customWidth="1"/>
    <col min="3856" max="3856" width="10.42578125" style="76" bestFit="1" customWidth="1"/>
    <col min="3857" max="3857" width="8.85546875" style="76" bestFit="1" customWidth="1"/>
    <col min="3858" max="3858" width="8.5703125" style="76" bestFit="1" customWidth="1"/>
    <col min="3859" max="4098" width="9.140625" style="76"/>
    <col min="4099" max="4099" width="3.5703125" style="76" customWidth="1"/>
    <col min="4100" max="4100" width="6.5703125" style="76" bestFit="1" customWidth="1"/>
    <col min="4101" max="4101" width="9.28515625" style="76" bestFit="1" customWidth="1"/>
    <col min="4102" max="4102" width="8.85546875" style="76" bestFit="1" customWidth="1"/>
    <col min="4103" max="4103" width="8.7109375" style="76" customWidth="1"/>
    <col min="4104" max="4104" width="20.140625" style="76" bestFit="1" customWidth="1"/>
    <col min="4105" max="4105" width="4" style="76" customWidth="1"/>
    <col min="4106" max="4106" width="11.7109375" style="76" bestFit="1" customWidth="1"/>
    <col min="4107" max="4107" width="8.7109375" style="76" customWidth="1"/>
    <col min="4108" max="4108" width="8.85546875" style="76" bestFit="1" customWidth="1"/>
    <col min="4109" max="4109" width="8.7109375" style="76" customWidth="1"/>
    <col min="4110" max="4110" width="8.140625" style="76" customWidth="1"/>
    <col min="4111" max="4111" width="12" style="76" bestFit="1" customWidth="1"/>
    <col min="4112" max="4112" width="10.42578125" style="76" bestFit="1" customWidth="1"/>
    <col min="4113" max="4113" width="8.85546875" style="76" bestFit="1" customWidth="1"/>
    <col min="4114" max="4114" width="8.5703125" style="76" bestFit="1" customWidth="1"/>
    <col min="4115" max="4354" width="9.140625" style="76"/>
    <col min="4355" max="4355" width="3.5703125" style="76" customWidth="1"/>
    <col min="4356" max="4356" width="6.5703125" style="76" bestFit="1" customWidth="1"/>
    <col min="4357" max="4357" width="9.28515625" style="76" bestFit="1" customWidth="1"/>
    <col min="4358" max="4358" width="8.85546875" style="76" bestFit="1" customWidth="1"/>
    <col min="4359" max="4359" width="8.7109375" style="76" customWidth="1"/>
    <col min="4360" max="4360" width="20.140625" style="76" bestFit="1" customWidth="1"/>
    <col min="4361" max="4361" width="4" style="76" customWidth="1"/>
    <col min="4362" max="4362" width="11.7109375" style="76" bestFit="1" customWidth="1"/>
    <col min="4363" max="4363" width="8.7109375" style="76" customWidth="1"/>
    <col min="4364" max="4364" width="8.85546875" style="76" bestFit="1" customWidth="1"/>
    <col min="4365" max="4365" width="8.7109375" style="76" customWidth="1"/>
    <col min="4366" max="4366" width="8.140625" style="76" customWidth="1"/>
    <col min="4367" max="4367" width="12" style="76" bestFit="1" customWidth="1"/>
    <col min="4368" max="4368" width="10.42578125" style="76" bestFit="1" customWidth="1"/>
    <col min="4369" max="4369" width="8.85546875" style="76" bestFit="1" customWidth="1"/>
    <col min="4370" max="4370" width="8.5703125" style="76" bestFit="1" customWidth="1"/>
    <col min="4371" max="4610" width="9.140625" style="76"/>
    <col min="4611" max="4611" width="3.5703125" style="76" customWidth="1"/>
    <col min="4612" max="4612" width="6.5703125" style="76" bestFit="1" customWidth="1"/>
    <col min="4613" max="4613" width="9.28515625" style="76" bestFit="1" customWidth="1"/>
    <col min="4614" max="4614" width="8.85546875" style="76" bestFit="1" customWidth="1"/>
    <col min="4615" max="4615" width="8.7109375" style="76" customWidth="1"/>
    <col min="4616" max="4616" width="20.140625" style="76" bestFit="1" customWidth="1"/>
    <col min="4617" max="4617" width="4" style="76" customWidth="1"/>
    <col min="4618" max="4618" width="11.7109375" style="76" bestFit="1" customWidth="1"/>
    <col min="4619" max="4619" width="8.7109375" style="76" customWidth="1"/>
    <col min="4620" max="4620" width="8.85546875" style="76" bestFit="1" customWidth="1"/>
    <col min="4621" max="4621" width="8.7109375" style="76" customWidth="1"/>
    <col min="4622" max="4622" width="8.140625" style="76" customWidth="1"/>
    <col min="4623" max="4623" width="12" style="76" bestFit="1" customWidth="1"/>
    <col min="4624" max="4624" width="10.42578125" style="76" bestFit="1" customWidth="1"/>
    <col min="4625" max="4625" width="8.85546875" style="76" bestFit="1" customWidth="1"/>
    <col min="4626" max="4626" width="8.5703125" style="76" bestFit="1" customWidth="1"/>
    <col min="4627" max="4866" width="9.140625" style="76"/>
    <col min="4867" max="4867" width="3.5703125" style="76" customWidth="1"/>
    <col min="4868" max="4868" width="6.5703125" style="76" bestFit="1" customWidth="1"/>
    <col min="4869" max="4869" width="9.28515625" style="76" bestFit="1" customWidth="1"/>
    <col min="4870" max="4870" width="8.85546875" style="76" bestFit="1" customWidth="1"/>
    <col min="4871" max="4871" width="8.7109375" style="76" customWidth="1"/>
    <col min="4872" max="4872" width="20.140625" style="76" bestFit="1" customWidth="1"/>
    <col min="4873" max="4873" width="4" style="76" customWidth="1"/>
    <col min="4874" max="4874" width="11.7109375" style="76" bestFit="1" customWidth="1"/>
    <col min="4875" max="4875" width="8.7109375" style="76" customWidth="1"/>
    <col min="4876" max="4876" width="8.85546875" style="76" bestFit="1" customWidth="1"/>
    <col min="4877" max="4877" width="8.7109375" style="76" customWidth="1"/>
    <col min="4878" max="4878" width="8.140625" style="76" customWidth="1"/>
    <col min="4879" max="4879" width="12" style="76" bestFit="1" customWidth="1"/>
    <col min="4880" max="4880" width="10.42578125" style="76" bestFit="1" customWidth="1"/>
    <col min="4881" max="4881" width="8.85546875" style="76" bestFit="1" customWidth="1"/>
    <col min="4882" max="4882" width="8.5703125" style="76" bestFit="1" customWidth="1"/>
    <col min="4883" max="5122" width="9.140625" style="76"/>
    <col min="5123" max="5123" width="3.5703125" style="76" customWidth="1"/>
    <col min="5124" max="5124" width="6.5703125" style="76" bestFit="1" customWidth="1"/>
    <col min="5125" max="5125" width="9.28515625" style="76" bestFit="1" customWidth="1"/>
    <col min="5126" max="5126" width="8.85546875" style="76" bestFit="1" customWidth="1"/>
    <col min="5127" max="5127" width="8.7109375" style="76" customWidth="1"/>
    <col min="5128" max="5128" width="20.140625" style="76" bestFit="1" customWidth="1"/>
    <col min="5129" max="5129" width="4" style="76" customWidth="1"/>
    <col min="5130" max="5130" width="11.7109375" style="76" bestFit="1" customWidth="1"/>
    <col min="5131" max="5131" width="8.7109375" style="76" customWidth="1"/>
    <col min="5132" max="5132" width="8.85546875" style="76" bestFit="1" customWidth="1"/>
    <col min="5133" max="5133" width="8.7109375" style="76" customWidth="1"/>
    <col min="5134" max="5134" width="8.140625" style="76" customWidth="1"/>
    <col min="5135" max="5135" width="12" style="76" bestFit="1" customWidth="1"/>
    <col min="5136" max="5136" width="10.42578125" style="76" bestFit="1" customWidth="1"/>
    <col min="5137" max="5137" width="8.85546875" style="76" bestFit="1" customWidth="1"/>
    <col min="5138" max="5138" width="8.5703125" style="76" bestFit="1" customWidth="1"/>
    <col min="5139" max="5378" width="9.140625" style="76"/>
    <col min="5379" max="5379" width="3.5703125" style="76" customWidth="1"/>
    <col min="5380" max="5380" width="6.5703125" style="76" bestFit="1" customWidth="1"/>
    <col min="5381" max="5381" width="9.28515625" style="76" bestFit="1" customWidth="1"/>
    <col min="5382" max="5382" width="8.85546875" style="76" bestFit="1" customWidth="1"/>
    <col min="5383" max="5383" width="8.7109375" style="76" customWidth="1"/>
    <col min="5384" max="5384" width="20.140625" style="76" bestFit="1" customWidth="1"/>
    <col min="5385" max="5385" width="4" style="76" customWidth="1"/>
    <col min="5386" max="5386" width="11.7109375" style="76" bestFit="1" customWidth="1"/>
    <col min="5387" max="5387" width="8.7109375" style="76" customWidth="1"/>
    <col min="5388" max="5388" width="8.85546875" style="76" bestFit="1" customWidth="1"/>
    <col min="5389" max="5389" width="8.7109375" style="76" customWidth="1"/>
    <col min="5390" max="5390" width="8.140625" style="76" customWidth="1"/>
    <col min="5391" max="5391" width="12" style="76" bestFit="1" customWidth="1"/>
    <col min="5392" max="5392" width="10.42578125" style="76" bestFit="1" customWidth="1"/>
    <col min="5393" max="5393" width="8.85546875" style="76" bestFit="1" customWidth="1"/>
    <col min="5394" max="5394" width="8.5703125" style="76" bestFit="1" customWidth="1"/>
    <col min="5395" max="5634" width="9.140625" style="76"/>
    <col min="5635" max="5635" width="3.5703125" style="76" customWidth="1"/>
    <col min="5636" max="5636" width="6.5703125" style="76" bestFit="1" customWidth="1"/>
    <col min="5637" max="5637" width="9.28515625" style="76" bestFit="1" customWidth="1"/>
    <col min="5638" max="5638" width="8.85546875" style="76" bestFit="1" customWidth="1"/>
    <col min="5639" max="5639" width="8.7109375" style="76" customWidth="1"/>
    <col min="5640" max="5640" width="20.140625" style="76" bestFit="1" customWidth="1"/>
    <col min="5641" max="5641" width="4" style="76" customWidth="1"/>
    <col min="5642" max="5642" width="11.7109375" style="76" bestFit="1" customWidth="1"/>
    <col min="5643" max="5643" width="8.7109375" style="76" customWidth="1"/>
    <col min="5644" max="5644" width="8.85546875" style="76" bestFit="1" customWidth="1"/>
    <col min="5645" max="5645" width="8.7109375" style="76" customWidth="1"/>
    <col min="5646" max="5646" width="8.140625" style="76" customWidth="1"/>
    <col min="5647" max="5647" width="12" style="76" bestFit="1" customWidth="1"/>
    <col min="5648" max="5648" width="10.42578125" style="76" bestFit="1" customWidth="1"/>
    <col min="5649" max="5649" width="8.85546875" style="76" bestFit="1" customWidth="1"/>
    <col min="5650" max="5650" width="8.5703125" style="76" bestFit="1" customWidth="1"/>
    <col min="5651" max="5890" width="9.140625" style="76"/>
    <col min="5891" max="5891" width="3.5703125" style="76" customWidth="1"/>
    <col min="5892" max="5892" width="6.5703125" style="76" bestFit="1" customWidth="1"/>
    <col min="5893" max="5893" width="9.28515625" style="76" bestFit="1" customWidth="1"/>
    <col min="5894" max="5894" width="8.85546875" style="76" bestFit="1" customWidth="1"/>
    <col min="5895" max="5895" width="8.7109375" style="76" customWidth="1"/>
    <col min="5896" max="5896" width="20.140625" style="76" bestFit="1" customWidth="1"/>
    <col min="5897" max="5897" width="4" style="76" customWidth="1"/>
    <col min="5898" max="5898" width="11.7109375" style="76" bestFit="1" customWidth="1"/>
    <col min="5899" max="5899" width="8.7109375" style="76" customWidth="1"/>
    <col min="5900" max="5900" width="8.85546875" style="76" bestFit="1" customWidth="1"/>
    <col min="5901" max="5901" width="8.7109375" style="76" customWidth="1"/>
    <col min="5902" max="5902" width="8.140625" style="76" customWidth="1"/>
    <col min="5903" max="5903" width="12" style="76" bestFit="1" customWidth="1"/>
    <col min="5904" max="5904" width="10.42578125" style="76" bestFit="1" customWidth="1"/>
    <col min="5905" max="5905" width="8.85546875" style="76" bestFit="1" customWidth="1"/>
    <col min="5906" max="5906" width="8.5703125" style="76" bestFit="1" customWidth="1"/>
    <col min="5907" max="6146" width="9.140625" style="76"/>
    <col min="6147" max="6147" width="3.5703125" style="76" customWidth="1"/>
    <col min="6148" max="6148" width="6.5703125" style="76" bestFit="1" customWidth="1"/>
    <col min="6149" max="6149" width="9.28515625" style="76" bestFit="1" customWidth="1"/>
    <col min="6150" max="6150" width="8.85546875" style="76" bestFit="1" customWidth="1"/>
    <col min="6151" max="6151" width="8.7109375" style="76" customWidth="1"/>
    <col min="6152" max="6152" width="20.140625" style="76" bestFit="1" customWidth="1"/>
    <col min="6153" max="6153" width="4" style="76" customWidth="1"/>
    <col min="6154" max="6154" width="11.7109375" style="76" bestFit="1" customWidth="1"/>
    <col min="6155" max="6155" width="8.7109375" style="76" customWidth="1"/>
    <col min="6156" max="6156" width="8.85546875" style="76" bestFit="1" customWidth="1"/>
    <col min="6157" max="6157" width="8.7109375" style="76" customWidth="1"/>
    <col min="6158" max="6158" width="8.140625" style="76" customWidth="1"/>
    <col min="6159" max="6159" width="12" style="76" bestFit="1" customWidth="1"/>
    <col min="6160" max="6160" width="10.42578125" style="76" bestFit="1" customWidth="1"/>
    <col min="6161" max="6161" width="8.85546875" style="76" bestFit="1" customWidth="1"/>
    <col min="6162" max="6162" width="8.5703125" style="76" bestFit="1" customWidth="1"/>
    <col min="6163" max="6402" width="9.140625" style="76"/>
    <col min="6403" max="6403" width="3.5703125" style="76" customWidth="1"/>
    <col min="6404" max="6404" width="6.5703125" style="76" bestFit="1" customWidth="1"/>
    <col min="6405" max="6405" width="9.28515625" style="76" bestFit="1" customWidth="1"/>
    <col min="6406" max="6406" width="8.85546875" style="76" bestFit="1" customWidth="1"/>
    <col min="6407" max="6407" width="8.7109375" style="76" customWidth="1"/>
    <col min="6408" max="6408" width="20.140625" style="76" bestFit="1" customWidth="1"/>
    <col min="6409" max="6409" width="4" style="76" customWidth="1"/>
    <col min="6410" max="6410" width="11.7109375" style="76" bestFit="1" customWidth="1"/>
    <col min="6411" max="6411" width="8.7109375" style="76" customWidth="1"/>
    <col min="6412" max="6412" width="8.85546875" style="76" bestFit="1" customWidth="1"/>
    <col min="6413" max="6413" width="8.7109375" style="76" customWidth="1"/>
    <col min="6414" max="6414" width="8.140625" style="76" customWidth="1"/>
    <col min="6415" max="6415" width="12" style="76" bestFit="1" customWidth="1"/>
    <col min="6416" max="6416" width="10.42578125" style="76" bestFit="1" customWidth="1"/>
    <col min="6417" max="6417" width="8.85546875" style="76" bestFit="1" customWidth="1"/>
    <col min="6418" max="6418" width="8.5703125" style="76" bestFit="1" customWidth="1"/>
    <col min="6419" max="6658" width="9.140625" style="76"/>
    <col min="6659" max="6659" width="3.5703125" style="76" customWidth="1"/>
    <col min="6660" max="6660" width="6.5703125" style="76" bestFit="1" customWidth="1"/>
    <col min="6661" max="6661" width="9.28515625" style="76" bestFit="1" customWidth="1"/>
    <col min="6662" max="6662" width="8.85546875" style="76" bestFit="1" customWidth="1"/>
    <col min="6663" max="6663" width="8.7109375" style="76" customWidth="1"/>
    <col min="6664" max="6664" width="20.140625" style="76" bestFit="1" customWidth="1"/>
    <col min="6665" max="6665" width="4" style="76" customWidth="1"/>
    <col min="6666" max="6666" width="11.7109375" style="76" bestFit="1" customWidth="1"/>
    <col min="6667" max="6667" width="8.7109375" style="76" customWidth="1"/>
    <col min="6668" max="6668" width="8.85546875" style="76" bestFit="1" customWidth="1"/>
    <col min="6669" max="6669" width="8.7109375" style="76" customWidth="1"/>
    <col min="6670" max="6670" width="8.140625" style="76" customWidth="1"/>
    <col min="6671" max="6671" width="12" style="76" bestFit="1" customWidth="1"/>
    <col min="6672" max="6672" width="10.42578125" style="76" bestFit="1" customWidth="1"/>
    <col min="6673" max="6673" width="8.85546875" style="76" bestFit="1" customWidth="1"/>
    <col min="6674" max="6674" width="8.5703125" style="76" bestFit="1" customWidth="1"/>
    <col min="6675" max="6914" width="9.140625" style="76"/>
    <col min="6915" max="6915" width="3.5703125" style="76" customWidth="1"/>
    <col min="6916" max="6916" width="6.5703125" style="76" bestFit="1" customWidth="1"/>
    <col min="6917" max="6917" width="9.28515625" style="76" bestFit="1" customWidth="1"/>
    <col min="6918" max="6918" width="8.85546875" style="76" bestFit="1" customWidth="1"/>
    <col min="6919" max="6919" width="8.7109375" style="76" customWidth="1"/>
    <col min="6920" max="6920" width="20.140625" style="76" bestFit="1" customWidth="1"/>
    <col min="6921" max="6921" width="4" style="76" customWidth="1"/>
    <col min="6922" max="6922" width="11.7109375" style="76" bestFit="1" customWidth="1"/>
    <col min="6923" max="6923" width="8.7109375" style="76" customWidth="1"/>
    <col min="6924" max="6924" width="8.85546875" style="76" bestFit="1" customWidth="1"/>
    <col min="6925" max="6925" width="8.7109375" style="76" customWidth="1"/>
    <col min="6926" max="6926" width="8.140625" style="76" customWidth="1"/>
    <col min="6927" max="6927" width="12" style="76" bestFit="1" customWidth="1"/>
    <col min="6928" max="6928" width="10.42578125" style="76" bestFit="1" customWidth="1"/>
    <col min="6929" max="6929" width="8.85546875" style="76" bestFit="1" customWidth="1"/>
    <col min="6930" max="6930" width="8.5703125" style="76" bestFit="1" customWidth="1"/>
    <col min="6931" max="7170" width="9.140625" style="76"/>
    <col min="7171" max="7171" width="3.5703125" style="76" customWidth="1"/>
    <col min="7172" max="7172" width="6.5703125" style="76" bestFit="1" customWidth="1"/>
    <col min="7173" max="7173" width="9.28515625" style="76" bestFit="1" customWidth="1"/>
    <col min="7174" max="7174" width="8.85546875" style="76" bestFit="1" customWidth="1"/>
    <col min="7175" max="7175" width="8.7109375" style="76" customWidth="1"/>
    <col min="7176" max="7176" width="20.140625" style="76" bestFit="1" customWidth="1"/>
    <col min="7177" max="7177" width="4" style="76" customWidth="1"/>
    <col min="7178" max="7178" width="11.7109375" style="76" bestFit="1" customWidth="1"/>
    <col min="7179" max="7179" width="8.7109375" style="76" customWidth="1"/>
    <col min="7180" max="7180" width="8.85546875" style="76" bestFit="1" customWidth="1"/>
    <col min="7181" max="7181" width="8.7109375" style="76" customWidth="1"/>
    <col min="7182" max="7182" width="8.140625" style="76" customWidth="1"/>
    <col min="7183" max="7183" width="12" style="76" bestFit="1" customWidth="1"/>
    <col min="7184" max="7184" width="10.42578125" style="76" bestFit="1" customWidth="1"/>
    <col min="7185" max="7185" width="8.85546875" style="76" bestFit="1" customWidth="1"/>
    <col min="7186" max="7186" width="8.5703125" style="76" bestFit="1" customWidth="1"/>
    <col min="7187" max="7426" width="9.140625" style="76"/>
    <col min="7427" max="7427" width="3.5703125" style="76" customWidth="1"/>
    <col min="7428" max="7428" width="6.5703125" style="76" bestFit="1" customWidth="1"/>
    <col min="7429" max="7429" width="9.28515625" style="76" bestFit="1" customWidth="1"/>
    <col min="7430" max="7430" width="8.85546875" style="76" bestFit="1" customWidth="1"/>
    <col min="7431" max="7431" width="8.7109375" style="76" customWidth="1"/>
    <col min="7432" max="7432" width="20.140625" style="76" bestFit="1" customWidth="1"/>
    <col min="7433" max="7433" width="4" style="76" customWidth="1"/>
    <col min="7434" max="7434" width="11.7109375" style="76" bestFit="1" customWidth="1"/>
    <col min="7435" max="7435" width="8.7109375" style="76" customWidth="1"/>
    <col min="7436" max="7436" width="8.85546875" style="76" bestFit="1" customWidth="1"/>
    <col min="7437" max="7437" width="8.7109375" style="76" customWidth="1"/>
    <col min="7438" max="7438" width="8.140625" style="76" customWidth="1"/>
    <col min="7439" max="7439" width="12" style="76" bestFit="1" customWidth="1"/>
    <col min="7440" max="7440" width="10.42578125" style="76" bestFit="1" customWidth="1"/>
    <col min="7441" max="7441" width="8.85546875" style="76" bestFit="1" customWidth="1"/>
    <col min="7442" max="7442" width="8.5703125" style="76" bestFit="1" customWidth="1"/>
    <col min="7443" max="7682" width="9.140625" style="76"/>
    <col min="7683" max="7683" width="3.5703125" style="76" customWidth="1"/>
    <col min="7684" max="7684" width="6.5703125" style="76" bestFit="1" customWidth="1"/>
    <col min="7685" max="7685" width="9.28515625" style="76" bestFit="1" customWidth="1"/>
    <col min="7686" max="7686" width="8.85546875" style="76" bestFit="1" customWidth="1"/>
    <col min="7687" max="7687" width="8.7109375" style="76" customWidth="1"/>
    <col min="7688" max="7688" width="20.140625" style="76" bestFit="1" customWidth="1"/>
    <col min="7689" max="7689" width="4" style="76" customWidth="1"/>
    <col min="7690" max="7690" width="11.7109375" style="76" bestFit="1" customWidth="1"/>
    <col min="7691" max="7691" width="8.7109375" style="76" customWidth="1"/>
    <col min="7692" max="7692" width="8.85546875" style="76" bestFit="1" customWidth="1"/>
    <col min="7693" max="7693" width="8.7109375" style="76" customWidth="1"/>
    <col min="7694" max="7694" width="8.140625" style="76" customWidth="1"/>
    <col min="7695" max="7695" width="12" style="76" bestFit="1" customWidth="1"/>
    <col min="7696" max="7696" width="10.42578125" style="76" bestFit="1" customWidth="1"/>
    <col min="7697" max="7697" width="8.85546875" style="76" bestFit="1" customWidth="1"/>
    <col min="7698" max="7698" width="8.5703125" style="76" bestFit="1" customWidth="1"/>
    <col min="7699" max="7938" width="9.140625" style="76"/>
    <col min="7939" max="7939" width="3.5703125" style="76" customWidth="1"/>
    <col min="7940" max="7940" width="6.5703125" style="76" bestFit="1" customWidth="1"/>
    <col min="7941" max="7941" width="9.28515625" style="76" bestFit="1" customWidth="1"/>
    <col min="7942" max="7942" width="8.85546875" style="76" bestFit="1" customWidth="1"/>
    <col min="7943" max="7943" width="8.7109375" style="76" customWidth="1"/>
    <col min="7944" max="7944" width="20.140625" style="76" bestFit="1" customWidth="1"/>
    <col min="7945" max="7945" width="4" style="76" customWidth="1"/>
    <col min="7946" max="7946" width="11.7109375" style="76" bestFit="1" customWidth="1"/>
    <col min="7947" max="7947" width="8.7109375" style="76" customWidth="1"/>
    <col min="7948" max="7948" width="8.85546875" style="76" bestFit="1" customWidth="1"/>
    <col min="7949" max="7949" width="8.7109375" style="76" customWidth="1"/>
    <col min="7950" max="7950" width="8.140625" style="76" customWidth="1"/>
    <col min="7951" max="7951" width="12" style="76" bestFit="1" customWidth="1"/>
    <col min="7952" max="7952" width="10.42578125" style="76" bestFit="1" customWidth="1"/>
    <col min="7953" max="7953" width="8.85546875" style="76" bestFit="1" customWidth="1"/>
    <col min="7954" max="7954" width="8.5703125" style="76" bestFit="1" customWidth="1"/>
    <col min="7955" max="8194" width="9.140625" style="76"/>
    <col min="8195" max="8195" width="3.5703125" style="76" customWidth="1"/>
    <col min="8196" max="8196" width="6.5703125" style="76" bestFit="1" customWidth="1"/>
    <col min="8197" max="8197" width="9.28515625" style="76" bestFit="1" customWidth="1"/>
    <col min="8198" max="8198" width="8.85546875" style="76" bestFit="1" customWidth="1"/>
    <col min="8199" max="8199" width="8.7109375" style="76" customWidth="1"/>
    <col min="8200" max="8200" width="20.140625" style="76" bestFit="1" customWidth="1"/>
    <col min="8201" max="8201" width="4" style="76" customWidth="1"/>
    <col min="8202" max="8202" width="11.7109375" style="76" bestFit="1" customWidth="1"/>
    <col min="8203" max="8203" width="8.7109375" style="76" customWidth="1"/>
    <col min="8204" max="8204" width="8.85546875" style="76" bestFit="1" customWidth="1"/>
    <col min="8205" max="8205" width="8.7109375" style="76" customWidth="1"/>
    <col min="8206" max="8206" width="8.140625" style="76" customWidth="1"/>
    <col min="8207" max="8207" width="12" style="76" bestFit="1" customWidth="1"/>
    <col min="8208" max="8208" width="10.42578125" style="76" bestFit="1" customWidth="1"/>
    <col min="8209" max="8209" width="8.85546875" style="76" bestFit="1" customWidth="1"/>
    <col min="8210" max="8210" width="8.5703125" style="76" bestFit="1" customWidth="1"/>
    <col min="8211" max="8450" width="9.140625" style="76"/>
    <col min="8451" max="8451" width="3.5703125" style="76" customWidth="1"/>
    <col min="8452" max="8452" width="6.5703125" style="76" bestFit="1" customWidth="1"/>
    <col min="8453" max="8453" width="9.28515625" style="76" bestFit="1" customWidth="1"/>
    <col min="8454" max="8454" width="8.85546875" style="76" bestFit="1" customWidth="1"/>
    <col min="8455" max="8455" width="8.7109375" style="76" customWidth="1"/>
    <col min="8456" max="8456" width="20.140625" style="76" bestFit="1" customWidth="1"/>
    <col min="8457" max="8457" width="4" style="76" customWidth="1"/>
    <col min="8458" max="8458" width="11.7109375" style="76" bestFit="1" customWidth="1"/>
    <col min="8459" max="8459" width="8.7109375" style="76" customWidth="1"/>
    <col min="8460" max="8460" width="8.85546875" style="76" bestFit="1" customWidth="1"/>
    <col min="8461" max="8461" width="8.7109375" style="76" customWidth="1"/>
    <col min="8462" max="8462" width="8.140625" style="76" customWidth="1"/>
    <col min="8463" max="8463" width="12" style="76" bestFit="1" customWidth="1"/>
    <col min="8464" max="8464" width="10.42578125" style="76" bestFit="1" customWidth="1"/>
    <col min="8465" max="8465" width="8.85546875" style="76" bestFit="1" customWidth="1"/>
    <col min="8466" max="8466" width="8.5703125" style="76" bestFit="1" customWidth="1"/>
    <col min="8467" max="8706" width="9.140625" style="76"/>
    <col min="8707" max="8707" width="3.5703125" style="76" customWidth="1"/>
    <col min="8708" max="8708" width="6.5703125" style="76" bestFit="1" customWidth="1"/>
    <col min="8709" max="8709" width="9.28515625" style="76" bestFit="1" customWidth="1"/>
    <col min="8710" max="8710" width="8.85546875" style="76" bestFit="1" customWidth="1"/>
    <col min="8711" max="8711" width="8.7109375" style="76" customWidth="1"/>
    <col min="8712" max="8712" width="20.140625" style="76" bestFit="1" customWidth="1"/>
    <col min="8713" max="8713" width="4" style="76" customWidth="1"/>
    <col min="8714" max="8714" width="11.7109375" style="76" bestFit="1" customWidth="1"/>
    <col min="8715" max="8715" width="8.7109375" style="76" customWidth="1"/>
    <col min="8716" max="8716" width="8.85546875" style="76" bestFit="1" customWidth="1"/>
    <col min="8717" max="8717" width="8.7109375" style="76" customWidth="1"/>
    <col min="8718" max="8718" width="8.140625" style="76" customWidth="1"/>
    <col min="8719" max="8719" width="12" style="76" bestFit="1" customWidth="1"/>
    <col min="8720" max="8720" width="10.42578125" style="76" bestFit="1" customWidth="1"/>
    <col min="8721" max="8721" width="8.85546875" style="76" bestFit="1" customWidth="1"/>
    <col min="8722" max="8722" width="8.5703125" style="76" bestFit="1" customWidth="1"/>
    <col min="8723" max="8962" width="9.140625" style="76"/>
    <col min="8963" max="8963" width="3.5703125" style="76" customWidth="1"/>
    <col min="8964" max="8964" width="6.5703125" style="76" bestFit="1" customWidth="1"/>
    <col min="8965" max="8965" width="9.28515625" style="76" bestFit="1" customWidth="1"/>
    <col min="8966" max="8966" width="8.85546875" style="76" bestFit="1" customWidth="1"/>
    <col min="8967" max="8967" width="8.7109375" style="76" customWidth="1"/>
    <col min="8968" max="8968" width="20.140625" style="76" bestFit="1" customWidth="1"/>
    <col min="8969" max="8969" width="4" style="76" customWidth="1"/>
    <col min="8970" max="8970" width="11.7109375" style="76" bestFit="1" customWidth="1"/>
    <col min="8971" max="8971" width="8.7109375" style="76" customWidth="1"/>
    <col min="8972" max="8972" width="8.85546875" style="76" bestFit="1" customWidth="1"/>
    <col min="8973" max="8973" width="8.7109375" style="76" customWidth="1"/>
    <col min="8974" max="8974" width="8.140625" style="76" customWidth="1"/>
    <col min="8975" max="8975" width="12" style="76" bestFit="1" customWidth="1"/>
    <col min="8976" max="8976" width="10.42578125" style="76" bestFit="1" customWidth="1"/>
    <col min="8977" max="8977" width="8.85546875" style="76" bestFit="1" customWidth="1"/>
    <col min="8978" max="8978" width="8.5703125" style="76" bestFit="1" customWidth="1"/>
    <col min="8979" max="9218" width="9.140625" style="76"/>
    <col min="9219" max="9219" width="3.5703125" style="76" customWidth="1"/>
    <col min="9220" max="9220" width="6.5703125" style="76" bestFit="1" customWidth="1"/>
    <col min="9221" max="9221" width="9.28515625" style="76" bestFit="1" customWidth="1"/>
    <col min="9222" max="9222" width="8.85546875" style="76" bestFit="1" customWidth="1"/>
    <col min="9223" max="9223" width="8.7109375" style="76" customWidth="1"/>
    <col min="9224" max="9224" width="20.140625" style="76" bestFit="1" customWidth="1"/>
    <col min="9225" max="9225" width="4" style="76" customWidth="1"/>
    <col min="9226" max="9226" width="11.7109375" style="76" bestFit="1" customWidth="1"/>
    <col min="9227" max="9227" width="8.7109375" style="76" customWidth="1"/>
    <col min="9228" max="9228" width="8.85546875" style="76" bestFit="1" customWidth="1"/>
    <col min="9229" max="9229" width="8.7109375" style="76" customWidth="1"/>
    <col min="9230" max="9230" width="8.140625" style="76" customWidth="1"/>
    <col min="9231" max="9231" width="12" style="76" bestFit="1" customWidth="1"/>
    <col min="9232" max="9232" width="10.42578125" style="76" bestFit="1" customWidth="1"/>
    <col min="9233" max="9233" width="8.85546875" style="76" bestFit="1" customWidth="1"/>
    <col min="9234" max="9234" width="8.5703125" style="76" bestFit="1" customWidth="1"/>
    <col min="9235" max="9474" width="9.140625" style="76"/>
    <col min="9475" max="9475" width="3.5703125" style="76" customWidth="1"/>
    <col min="9476" max="9476" width="6.5703125" style="76" bestFit="1" customWidth="1"/>
    <col min="9477" max="9477" width="9.28515625" style="76" bestFit="1" customWidth="1"/>
    <col min="9478" max="9478" width="8.85546875" style="76" bestFit="1" customWidth="1"/>
    <col min="9479" max="9479" width="8.7109375" style="76" customWidth="1"/>
    <col min="9480" max="9480" width="20.140625" style="76" bestFit="1" customWidth="1"/>
    <col min="9481" max="9481" width="4" style="76" customWidth="1"/>
    <col min="9482" max="9482" width="11.7109375" style="76" bestFit="1" customWidth="1"/>
    <col min="9483" max="9483" width="8.7109375" style="76" customWidth="1"/>
    <col min="9484" max="9484" width="8.85546875" style="76" bestFit="1" customWidth="1"/>
    <col min="9485" max="9485" width="8.7109375" style="76" customWidth="1"/>
    <col min="9486" max="9486" width="8.140625" style="76" customWidth="1"/>
    <col min="9487" max="9487" width="12" style="76" bestFit="1" customWidth="1"/>
    <col min="9488" max="9488" width="10.42578125" style="76" bestFit="1" customWidth="1"/>
    <col min="9489" max="9489" width="8.85546875" style="76" bestFit="1" customWidth="1"/>
    <col min="9490" max="9490" width="8.5703125" style="76" bestFit="1" customWidth="1"/>
    <col min="9491" max="9730" width="9.140625" style="76"/>
    <col min="9731" max="9731" width="3.5703125" style="76" customWidth="1"/>
    <col min="9732" max="9732" width="6.5703125" style="76" bestFit="1" customWidth="1"/>
    <col min="9733" max="9733" width="9.28515625" style="76" bestFit="1" customWidth="1"/>
    <col min="9734" max="9734" width="8.85546875" style="76" bestFit="1" customWidth="1"/>
    <col min="9735" max="9735" width="8.7109375" style="76" customWidth="1"/>
    <col min="9736" max="9736" width="20.140625" style="76" bestFit="1" customWidth="1"/>
    <col min="9737" max="9737" width="4" style="76" customWidth="1"/>
    <col min="9738" max="9738" width="11.7109375" style="76" bestFit="1" customWidth="1"/>
    <col min="9739" max="9739" width="8.7109375" style="76" customWidth="1"/>
    <col min="9740" max="9740" width="8.85546875" style="76" bestFit="1" customWidth="1"/>
    <col min="9741" max="9741" width="8.7109375" style="76" customWidth="1"/>
    <col min="9742" max="9742" width="8.140625" style="76" customWidth="1"/>
    <col min="9743" max="9743" width="12" style="76" bestFit="1" customWidth="1"/>
    <col min="9744" max="9744" width="10.42578125" style="76" bestFit="1" customWidth="1"/>
    <col min="9745" max="9745" width="8.85546875" style="76" bestFit="1" customWidth="1"/>
    <col min="9746" max="9746" width="8.5703125" style="76" bestFit="1" customWidth="1"/>
    <col min="9747" max="9986" width="9.140625" style="76"/>
    <col min="9987" max="9987" width="3.5703125" style="76" customWidth="1"/>
    <col min="9988" max="9988" width="6.5703125" style="76" bestFit="1" customWidth="1"/>
    <col min="9989" max="9989" width="9.28515625" style="76" bestFit="1" customWidth="1"/>
    <col min="9990" max="9990" width="8.85546875" style="76" bestFit="1" customWidth="1"/>
    <col min="9991" max="9991" width="8.7109375" style="76" customWidth="1"/>
    <col min="9992" max="9992" width="20.140625" style="76" bestFit="1" customWidth="1"/>
    <col min="9993" max="9993" width="4" style="76" customWidth="1"/>
    <col min="9994" max="9994" width="11.7109375" style="76" bestFit="1" customWidth="1"/>
    <col min="9995" max="9995" width="8.7109375" style="76" customWidth="1"/>
    <col min="9996" max="9996" width="8.85546875" style="76" bestFit="1" customWidth="1"/>
    <col min="9997" max="9997" width="8.7109375" style="76" customWidth="1"/>
    <col min="9998" max="9998" width="8.140625" style="76" customWidth="1"/>
    <col min="9999" max="9999" width="12" style="76" bestFit="1" customWidth="1"/>
    <col min="10000" max="10000" width="10.42578125" style="76" bestFit="1" customWidth="1"/>
    <col min="10001" max="10001" width="8.85546875" style="76" bestFit="1" customWidth="1"/>
    <col min="10002" max="10002" width="8.5703125" style="76" bestFit="1" customWidth="1"/>
    <col min="10003" max="10242" width="9.140625" style="76"/>
    <col min="10243" max="10243" width="3.5703125" style="76" customWidth="1"/>
    <col min="10244" max="10244" width="6.5703125" style="76" bestFit="1" customWidth="1"/>
    <col min="10245" max="10245" width="9.28515625" style="76" bestFit="1" customWidth="1"/>
    <col min="10246" max="10246" width="8.85546875" style="76" bestFit="1" customWidth="1"/>
    <col min="10247" max="10247" width="8.7109375" style="76" customWidth="1"/>
    <col min="10248" max="10248" width="20.140625" style="76" bestFit="1" customWidth="1"/>
    <col min="10249" max="10249" width="4" style="76" customWidth="1"/>
    <col min="10250" max="10250" width="11.7109375" style="76" bestFit="1" customWidth="1"/>
    <col min="10251" max="10251" width="8.7109375" style="76" customWidth="1"/>
    <col min="10252" max="10252" width="8.85546875" style="76" bestFit="1" customWidth="1"/>
    <col min="10253" max="10253" width="8.7109375" style="76" customWidth="1"/>
    <col min="10254" max="10254" width="8.140625" style="76" customWidth="1"/>
    <col min="10255" max="10255" width="12" style="76" bestFit="1" customWidth="1"/>
    <col min="10256" max="10256" width="10.42578125" style="76" bestFit="1" customWidth="1"/>
    <col min="10257" max="10257" width="8.85546875" style="76" bestFit="1" customWidth="1"/>
    <col min="10258" max="10258" width="8.5703125" style="76" bestFit="1" customWidth="1"/>
    <col min="10259" max="10498" width="9.140625" style="76"/>
    <col min="10499" max="10499" width="3.5703125" style="76" customWidth="1"/>
    <col min="10500" max="10500" width="6.5703125" style="76" bestFit="1" customWidth="1"/>
    <col min="10501" max="10501" width="9.28515625" style="76" bestFit="1" customWidth="1"/>
    <col min="10502" max="10502" width="8.85546875" style="76" bestFit="1" customWidth="1"/>
    <col min="10503" max="10503" width="8.7109375" style="76" customWidth="1"/>
    <col min="10504" max="10504" width="20.140625" style="76" bestFit="1" customWidth="1"/>
    <col min="10505" max="10505" width="4" style="76" customWidth="1"/>
    <col min="10506" max="10506" width="11.7109375" style="76" bestFit="1" customWidth="1"/>
    <col min="10507" max="10507" width="8.7109375" style="76" customWidth="1"/>
    <col min="10508" max="10508" width="8.85546875" style="76" bestFit="1" customWidth="1"/>
    <col min="10509" max="10509" width="8.7109375" style="76" customWidth="1"/>
    <col min="10510" max="10510" width="8.140625" style="76" customWidth="1"/>
    <col min="10511" max="10511" width="12" style="76" bestFit="1" customWidth="1"/>
    <col min="10512" max="10512" width="10.42578125" style="76" bestFit="1" customWidth="1"/>
    <col min="10513" max="10513" width="8.85546875" style="76" bestFit="1" customWidth="1"/>
    <col min="10514" max="10514" width="8.5703125" style="76" bestFit="1" customWidth="1"/>
    <col min="10515" max="10754" width="9.140625" style="76"/>
    <col min="10755" max="10755" width="3.5703125" style="76" customWidth="1"/>
    <col min="10756" max="10756" width="6.5703125" style="76" bestFit="1" customWidth="1"/>
    <col min="10757" max="10757" width="9.28515625" style="76" bestFit="1" customWidth="1"/>
    <col min="10758" max="10758" width="8.85546875" style="76" bestFit="1" customWidth="1"/>
    <col min="10759" max="10759" width="8.7109375" style="76" customWidth="1"/>
    <col min="10760" max="10760" width="20.140625" style="76" bestFit="1" customWidth="1"/>
    <col min="10761" max="10761" width="4" style="76" customWidth="1"/>
    <col min="10762" max="10762" width="11.7109375" style="76" bestFit="1" customWidth="1"/>
    <col min="10763" max="10763" width="8.7109375" style="76" customWidth="1"/>
    <col min="10764" max="10764" width="8.85546875" style="76" bestFit="1" customWidth="1"/>
    <col min="10765" max="10765" width="8.7109375" style="76" customWidth="1"/>
    <col min="10766" max="10766" width="8.140625" style="76" customWidth="1"/>
    <col min="10767" max="10767" width="12" style="76" bestFit="1" customWidth="1"/>
    <col min="10768" max="10768" width="10.42578125" style="76" bestFit="1" customWidth="1"/>
    <col min="10769" max="10769" width="8.85546875" style="76" bestFit="1" customWidth="1"/>
    <col min="10770" max="10770" width="8.5703125" style="76" bestFit="1" customWidth="1"/>
    <col min="10771" max="11010" width="9.140625" style="76"/>
    <col min="11011" max="11011" width="3.5703125" style="76" customWidth="1"/>
    <col min="11012" max="11012" width="6.5703125" style="76" bestFit="1" customWidth="1"/>
    <col min="11013" max="11013" width="9.28515625" style="76" bestFit="1" customWidth="1"/>
    <col min="11014" max="11014" width="8.85546875" style="76" bestFit="1" customWidth="1"/>
    <col min="11015" max="11015" width="8.7109375" style="76" customWidth="1"/>
    <col min="11016" max="11016" width="20.140625" style="76" bestFit="1" customWidth="1"/>
    <col min="11017" max="11017" width="4" style="76" customWidth="1"/>
    <col min="11018" max="11018" width="11.7109375" style="76" bestFit="1" customWidth="1"/>
    <col min="11019" max="11019" width="8.7109375" style="76" customWidth="1"/>
    <col min="11020" max="11020" width="8.85546875" style="76" bestFit="1" customWidth="1"/>
    <col min="11021" max="11021" width="8.7109375" style="76" customWidth="1"/>
    <col min="11022" max="11022" width="8.140625" style="76" customWidth="1"/>
    <col min="11023" max="11023" width="12" style="76" bestFit="1" customWidth="1"/>
    <col min="11024" max="11024" width="10.42578125" style="76" bestFit="1" customWidth="1"/>
    <col min="11025" max="11025" width="8.85546875" style="76" bestFit="1" customWidth="1"/>
    <col min="11026" max="11026" width="8.5703125" style="76" bestFit="1" customWidth="1"/>
    <col min="11027" max="11266" width="9.140625" style="76"/>
    <col min="11267" max="11267" width="3.5703125" style="76" customWidth="1"/>
    <col min="11268" max="11268" width="6.5703125" style="76" bestFit="1" customWidth="1"/>
    <col min="11269" max="11269" width="9.28515625" style="76" bestFit="1" customWidth="1"/>
    <col min="11270" max="11270" width="8.85546875" style="76" bestFit="1" customWidth="1"/>
    <col min="11271" max="11271" width="8.7109375" style="76" customWidth="1"/>
    <col min="11272" max="11272" width="20.140625" style="76" bestFit="1" customWidth="1"/>
    <col min="11273" max="11273" width="4" style="76" customWidth="1"/>
    <col min="11274" max="11274" width="11.7109375" style="76" bestFit="1" customWidth="1"/>
    <col min="11275" max="11275" width="8.7109375" style="76" customWidth="1"/>
    <col min="11276" max="11276" width="8.85546875" style="76" bestFit="1" customWidth="1"/>
    <col min="11277" max="11277" width="8.7109375" style="76" customWidth="1"/>
    <col min="11278" max="11278" width="8.140625" style="76" customWidth="1"/>
    <col min="11279" max="11279" width="12" style="76" bestFit="1" customWidth="1"/>
    <col min="11280" max="11280" width="10.42578125" style="76" bestFit="1" customWidth="1"/>
    <col min="11281" max="11281" width="8.85546875" style="76" bestFit="1" customWidth="1"/>
    <col min="11282" max="11282" width="8.5703125" style="76" bestFit="1" customWidth="1"/>
    <col min="11283" max="11522" width="9.140625" style="76"/>
    <col min="11523" max="11523" width="3.5703125" style="76" customWidth="1"/>
    <col min="11524" max="11524" width="6.5703125" style="76" bestFit="1" customWidth="1"/>
    <col min="11525" max="11525" width="9.28515625" style="76" bestFit="1" customWidth="1"/>
    <col min="11526" max="11526" width="8.85546875" style="76" bestFit="1" customWidth="1"/>
    <col min="11527" max="11527" width="8.7109375" style="76" customWidth="1"/>
    <col min="11528" max="11528" width="20.140625" style="76" bestFit="1" customWidth="1"/>
    <col min="11529" max="11529" width="4" style="76" customWidth="1"/>
    <col min="11530" max="11530" width="11.7109375" style="76" bestFit="1" customWidth="1"/>
    <col min="11531" max="11531" width="8.7109375" style="76" customWidth="1"/>
    <col min="11532" max="11532" width="8.85546875" style="76" bestFit="1" customWidth="1"/>
    <col min="11533" max="11533" width="8.7109375" style="76" customWidth="1"/>
    <col min="11534" max="11534" width="8.140625" style="76" customWidth="1"/>
    <col min="11535" max="11535" width="12" style="76" bestFit="1" customWidth="1"/>
    <col min="11536" max="11536" width="10.42578125" style="76" bestFit="1" customWidth="1"/>
    <col min="11537" max="11537" width="8.85546875" style="76" bestFit="1" customWidth="1"/>
    <col min="11538" max="11538" width="8.5703125" style="76" bestFit="1" customWidth="1"/>
    <col min="11539" max="11778" width="9.140625" style="76"/>
    <col min="11779" max="11779" width="3.5703125" style="76" customWidth="1"/>
    <col min="11780" max="11780" width="6.5703125" style="76" bestFit="1" customWidth="1"/>
    <col min="11781" max="11781" width="9.28515625" style="76" bestFit="1" customWidth="1"/>
    <col min="11782" max="11782" width="8.85546875" style="76" bestFit="1" customWidth="1"/>
    <col min="11783" max="11783" width="8.7109375" style="76" customWidth="1"/>
    <col min="11784" max="11784" width="20.140625" style="76" bestFit="1" customWidth="1"/>
    <col min="11785" max="11785" width="4" style="76" customWidth="1"/>
    <col min="11786" max="11786" width="11.7109375" style="76" bestFit="1" customWidth="1"/>
    <col min="11787" max="11787" width="8.7109375" style="76" customWidth="1"/>
    <col min="11788" max="11788" width="8.85546875" style="76" bestFit="1" customWidth="1"/>
    <col min="11789" max="11789" width="8.7109375" style="76" customWidth="1"/>
    <col min="11790" max="11790" width="8.140625" style="76" customWidth="1"/>
    <col min="11791" max="11791" width="12" style="76" bestFit="1" customWidth="1"/>
    <col min="11792" max="11792" width="10.42578125" style="76" bestFit="1" customWidth="1"/>
    <col min="11793" max="11793" width="8.85546875" style="76" bestFit="1" customWidth="1"/>
    <col min="11794" max="11794" width="8.5703125" style="76" bestFit="1" customWidth="1"/>
    <col min="11795" max="12034" width="9.140625" style="76"/>
    <col min="12035" max="12035" width="3.5703125" style="76" customWidth="1"/>
    <col min="12036" max="12036" width="6.5703125" style="76" bestFit="1" customWidth="1"/>
    <col min="12037" max="12037" width="9.28515625" style="76" bestFit="1" customWidth="1"/>
    <col min="12038" max="12038" width="8.85546875" style="76" bestFit="1" customWidth="1"/>
    <col min="12039" max="12039" width="8.7109375" style="76" customWidth="1"/>
    <col min="12040" max="12040" width="20.140625" style="76" bestFit="1" customWidth="1"/>
    <col min="12041" max="12041" width="4" style="76" customWidth="1"/>
    <col min="12042" max="12042" width="11.7109375" style="76" bestFit="1" customWidth="1"/>
    <col min="12043" max="12043" width="8.7109375" style="76" customWidth="1"/>
    <col min="12044" max="12044" width="8.85546875" style="76" bestFit="1" customWidth="1"/>
    <col min="12045" max="12045" width="8.7109375" style="76" customWidth="1"/>
    <col min="12046" max="12046" width="8.140625" style="76" customWidth="1"/>
    <col min="12047" max="12047" width="12" style="76" bestFit="1" customWidth="1"/>
    <col min="12048" max="12048" width="10.42578125" style="76" bestFit="1" customWidth="1"/>
    <col min="12049" max="12049" width="8.85546875" style="76" bestFit="1" customWidth="1"/>
    <col min="12050" max="12050" width="8.5703125" style="76" bestFit="1" customWidth="1"/>
    <col min="12051" max="12290" width="9.140625" style="76"/>
    <col min="12291" max="12291" width="3.5703125" style="76" customWidth="1"/>
    <col min="12292" max="12292" width="6.5703125" style="76" bestFit="1" customWidth="1"/>
    <col min="12293" max="12293" width="9.28515625" style="76" bestFit="1" customWidth="1"/>
    <col min="12294" max="12294" width="8.85546875" style="76" bestFit="1" customWidth="1"/>
    <col min="12295" max="12295" width="8.7109375" style="76" customWidth="1"/>
    <col min="12296" max="12296" width="20.140625" style="76" bestFit="1" customWidth="1"/>
    <col min="12297" max="12297" width="4" style="76" customWidth="1"/>
    <col min="12298" max="12298" width="11.7109375" style="76" bestFit="1" customWidth="1"/>
    <col min="12299" max="12299" width="8.7109375" style="76" customWidth="1"/>
    <col min="12300" max="12300" width="8.85546875" style="76" bestFit="1" customWidth="1"/>
    <col min="12301" max="12301" width="8.7109375" style="76" customWidth="1"/>
    <col min="12302" max="12302" width="8.140625" style="76" customWidth="1"/>
    <col min="12303" max="12303" width="12" style="76" bestFit="1" customWidth="1"/>
    <col min="12304" max="12304" width="10.42578125" style="76" bestFit="1" customWidth="1"/>
    <col min="12305" max="12305" width="8.85546875" style="76" bestFit="1" customWidth="1"/>
    <col min="12306" max="12306" width="8.5703125" style="76" bestFit="1" customWidth="1"/>
    <col min="12307" max="12546" width="9.140625" style="76"/>
    <col min="12547" max="12547" width="3.5703125" style="76" customWidth="1"/>
    <col min="12548" max="12548" width="6.5703125" style="76" bestFit="1" customWidth="1"/>
    <col min="12549" max="12549" width="9.28515625" style="76" bestFit="1" customWidth="1"/>
    <col min="12550" max="12550" width="8.85546875" style="76" bestFit="1" customWidth="1"/>
    <col min="12551" max="12551" width="8.7109375" style="76" customWidth="1"/>
    <col min="12552" max="12552" width="20.140625" style="76" bestFit="1" customWidth="1"/>
    <col min="12553" max="12553" width="4" style="76" customWidth="1"/>
    <col min="12554" max="12554" width="11.7109375" style="76" bestFit="1" customWidth="1"/>
    <col min="12555" max="12555" width="8.7109375" style="76" customWidth="1"/>
    <col min="12556" max="12556" width="8.85546875" style="76" bestFit="1" customWidth="1"/>
    <col min="12557" max="12557" width="8.7109375" style="76" customWidth="1"/>
    <col min="12558" max="12558" width="8.140625" style="76" customWidth="1"/>
    <col min="12559" max="12559" width="12" style="76" bestFit="1" customWidth="1"/>
    <col min="12560" max="12560" width="10.42578125" style="76" bestFit="1" customWidth="1"/>
    <col min="12561" max="12561" width="8.85546875" style="76" bestFit="1" customWidth="1"/>
    <col min="12562" max="12562" width="8.5703125" style="76" bestFit="1" customWidth="1"/>
    <col min="12563" max="12802" width="9.140625" style="76"/>
    <col min="12803" max="12803" width="3.5703125" style="76" customWidth="1"/>
    <col min="12804" max="12804" width="6.5703125" style="76" bestFit="1" customWidth="1"/>
    <col min="12805" max="12805" width="9.28515625" style="76" bestFit="1" customWidth="1"/>
    <col min="12806" max="12806" width="8.85546875" style="76" bestFit="1" customWidth="1"/>
    <col min="12807" max="12807" width="8.7109375" style="76" customWidth="1"/>
    <col min="12808" max="12808" width="20.140625" style="76" bestFit="1" customWidth="1"/>
    <col min="12809" max="12809" width="4" style="76" customWidth="1"/>
    <col min="12810" max="12810" width="11.7109375" style="76" bestFit="1" customWidth="1"/>
    <col min="12811" max="12811" width="8.7109375" style="76" customWidth="1"/>
    <col min="12812" max="12812" width="8.85546875" style="76" bestFit="1" customWidth="1"/>
    <col min="12813" max="12813" width="8.7109375" style="76" customWidth="1"/>
    <col min="12814" max="12814" width="8.140625" style="76" customWidth="1"/>
    <col min="12815" max="12815" width="12" style="76" bestFit="1" customWidth="1"/>
    <col min="12816" max="12816" width="10.42578125" style="76" bestFit="1" customWidth="1"/>
    <col min="12817" max="12817" width="8.85546875" style="76" bestFit="1" customWidth="1"/>
    <col min="12818" max="12818" width="8.5703125" style="76" bestFit="1" customWidth="1"/>
    <col min="12819" max="13058" width="9.140625" style="76"/>
    <col min="13059" max="13059" width="3.5703125" style="76" customWidth="1"/>
    <col min="13060" max="13060" width="6.5703125" style="76" bestFit="1" customWidth="1"/>
    <col min="13061" max="13061" width="9.28515625" style="76" bestFit="1" customWidth="1"/>
    <col min="13062" max="13062" width="8.85546875" style="76" bestFit="1" customWidth="1"/>
    <col min="13063" max="13063" width="8.7109375" style="76" customWidth="1"/>
    <col min="13064" max="13064" width="20.140625" style="76" bestFit="1" customWidth="1"/>
    <col min="13065" max="13065" width="4" style="76" customWidth="1"/>
    <col min="13066" max="13066" width="11.7109375" style="76" bestFit="1" customWidth="1"/>
    <col min="13067" max="13067" width="8.7109375" style="76" customWidth="1"/>
    <col min="13068" max="13068" width="8.85546875" style="76" bestFit="1" customWidth="1"/>
    <col min="13069" max="13069" width="8.7109375" style="76" customWidth="1"/>
    <col min="13070" max="13070" width="8.140625" style="76" customWidth="1"/>
    <col min="13071" max="13071" width="12" style="76" bestFit="1" customWidth="1"/>
    <col min="13072" max="13072" width="10.42578125" style="76" bestFit="1" customWidth="1"/>
    <col min="13073" max="13073" width="8.85546875" style="76" bestFit="1" customWidth="1"/>
    <col min="13074" max="13074" width="8.5703125" style="76" bestFit="1" customWidth="1"/>
    <col min="13075" max="13314" width="9.140625" style="76"/>
    <col min="13315" max="13315" width="3.5703125" style="76" customWidth="1"/>
    <col min="13316" max="13316" width="6.5703125" style="76" bestFit="1" customWidth="1"/>
    <col min="13317" max="13317" width="9.28515625" style="76" bestFit="1" customWidth="1"/>
    <col min="13318" max="13318" width="8.85546875" style="76" bestFit="1" customWidth="1"/>
    <col min="13319" max="13319" width="8.7109375" style="76" customWidth="1"/>
    <col min="13320" max="13320" width="20.140625" style="76" bestFit="1" customWidth="1"/>
    <col min="13321" max="13321" width="4" style="76" customWidth="1"/>
    <col min="13322" max="13322" width="11.7109375" style="76" bestFit="1" customWidth="1"/>
    <col min="13323" max="13323" width="8.7109375" style="76" customWidth="1"/>
    <col min="13324" max="13324" width="8.85546875" style="76" bestFit="1" customWidth="1"/>
    <col min="13325" max="13325" width="8.7109375" style="76" customWidth="1"/>
    <col min="13326" max="13326" width="8.140625" style="76" customWidth="1"/>
    <col min="13327" max="13327" width="12" style="76" bestFit="1" customWidth="1"/>
    <col min="13328" max="13328" width="10.42578125" style="76" bestFit="1" customWidth="1"/>
    <col min="13329" max="13329" width="8.85546875" style="76" bestFit="1" customWidth="1"/>
    <col min="13330" max="13330" width="8.5703125" style="76" bestFit="1" customWidth="1"/>
    <col min="13331" max="13570" width="9.140625" style="76"/>
    <col min="13571" max="13571" width="3.5703125" style="76" customWidth="1"/>
    <col min="13572" max="13572" width="6.5703125" style="76" bestFit="1" customWidth="1"/>
    <col min="13573" max="13573" width="9.28515625" style="76" bestFit="1" customWidth="1"/>
    <col min="13574" max="13574" width="8.85546875" style="76" bestFit="1" customWidth="1"/>
    <col min="13575" max="13575" width="8.7109375" style="76" customWidth="1"/>
    <col min="13576" max="13576" width="20.140625" style="76" bestFit="1" customWidth="1"/>
    <col min="13577" max="13577" width="4" style="76" customWidth="1"/>
    <col min="13578" max="13578" width="11.7109375" style="76" bestFit="1" customWidth="1"/>
    <col min="13579" max="13579" width="8.7109375" style="76" customWidth="1"/>
    <col min="13580" max="13580" width="8.85546875" style="76" bestFit="1" customWidth="1"/>
    <col min="13581" max="13581" width="8.7109375" style="76" customWidth="1"/>
    <col min="13582" max="13582" width="8.140625" style="76" customWidth="1"/>
    <col min="13583" max="13583" width="12" style="76" bestFit="1" customWidth="1"/>
    <col min="13584" max="13584" width="10.42578125" style="76" bestFit="1" customWidth="1"/>
    <col min="13585" max="13585" width="8.85546875" style="76" bestFit="1" customWidth="1"/>
    <col min="13586" max="13586" width="8.5703125" style="76" bestFit="1" customWidth="1"/>
    <col min="13587" max="13826" width="9.140625" style="76"/>
    <col min="13827" max="13827" width="3.5703125" style="76" customWidth="1"/>
    <col min="13828" max="13828" width="6.5703125" style="76" bestFit="1" customWidth="1"/>
    <col min="13829" max="13829" width="9.28515625" style="76" bestFit="1" customWidth="1"/>
    <col min="13830" max="13830" width="8.85546875" style="76" bestFit="1" customWidth="1"/>
    <col min="13831" max="13831" width="8.7109375" style="76" customWidth="1"/>
    <col min="13832" max="13832" width="20.140625" style="76" bestFit="1" customWidth="1"/>
    <col min="13833" max="13833" width="4" style="76" customWidth="1"/>
    <col min="13834" max="13834" width="11.7109375" style="76" bestFit="1" customWidth="1"/>
    <col min="13835" max="13835" width="8.7109375" style="76" customWidth="1"/>
    <col min="13836" max="13836" width="8.85546875" style="76" bestFit="1" customWidth="1"/>
    <col min="13837" max="13837" width="8.7109375" style="76" customWidth="1"/>
    <col min="13838" max="13838" width="8.140625" style="76" customWidth="1"/>
    <col min="13839" max="13839" width="12" style="76" bestFit="1" customWidth="1"/>
    <col min="13840" max="13840" width="10.42578125" style="76" bestFit="1" customWidth="1"/>
    <col min="13841" max="13841" width="8.85546875" style="76" bestFit="1" customWidth="1"/>
    <col min="13842" max="13842" width="8.5703125" style="76" bestFit="1" customWidth="1"/>
    <col min="13843" max="14082" width="9.140625" style="76"/>
    <col min="14083" max="14083" width="3.5703125" style="76" customWidth="1"/>
    <col min="14084" max="14084" width="6.5703125" style="76" bestFit="1" customWidth="1"/>
    <col min="14085" max="14085" width="9.28515625" style="76" bestFit="1" customWidth="1"/>
    <col min="14086" max="14086" width="8.85546875" style="76" bestFit="1" customWidth="1"/>
    <col min="14087" max="14087" width="8.7109375" style="76" customWidth="1"/>
    <col min="14088" max="14088" width="20.140625" style="76" bestFit="1" customWidth="1"/>
    <col min="14089" max="14089" width="4" style="76" customWidth="1"/>
    <col min="14090" max="14090" width="11.7109375" style="76" bestFit="1" customWidth="1"/>
    <col min="14091" max="14091" width="8.7109375" style="76" customWidth="1"/>
    <col min="14092" max="14092" width="8.85546875" style="76" bestFit="1" customWidth="1"/>
    <col min="14093" max="14093" width="8.7109375" style="76" customWidth="1"/>
    <col min="14094" max="14094" width="8.140625" style="76" customWidth="1"/>
    <col min="14095" max="14095" width="12" style="76" bestFit="1" customWidth="1"/>
    <col min="14096" max="14096" width="10.42578125" style="76" bestFit="1" customWidth="1"/>
    <col min="14097" max="14097" width="8.85546875" style="76" bestFit="1" customWidth="1"/>
    <col min="14098" max="14098" width="8.5703125" style="76" bestFit="1" customWidth="1"/>
    <col min="14099" max="14338" width="9.140625" style="76"/>
    <col min="14339" max="14339" width="3.5703125" style="76" customWidth="1"/>
    <col min="14340" max="14340" width="6.5703125" style="76" bestFit="1" customWidth="1"/>
    <col min="14341" max="14341" width="9.28515625" style="76" bestFit="1" customWidth="1"/>
    <col min="14342" max="14342" width="8.85546875" style="76" bestFit="1" customWidth="1"/>
    <col min="14343" max="14343" width="8.7109375" style="76" customWidth="1"/>
    <col min="14344" max="14344" width="20.140625" style="76" bestFit="1" customWidth="1"/>
    <col min="14345" max="14345" width="4" style="76" customWidth="1"/>
    <col min="14346" max="14346" width="11.7109375" style="76" bestFit="1" customWidth="1"/>
    <col min="14347" max="14347" width="8.7109375" style="76" customWidth="1"/>
    <col min="14348" max="14348" width="8.85546875" style="76" bestFit="1" customWidth="1"/>
    <col min="14349" max="14349" width="8.7109375" style="76" customWidth="1"/>
    <col min="14350" max="14350" width="8.140625" style="76" customWidth="1"/>
    <col min="14351" max="14351" width="12" style="76" bestFit="1" customWidth="1"/>
    <col min="14352" max="14352" width="10.42578125" style="76" bestFit="1" customWidth="1"/>
    <col min="14353" max="14353" width="8.85546875" style="76" bestFit="1" customWidth="1"/>
    <col min="14354" max="14354" width="8.5703125" style="76" bestFit="1" customWidth="1"/>
    <col min="14355" max="14594" width="9.140625" style="76"/>
    <col min="14595" max="14595" width="3.5703125" style="76" customWidth="1"/>
    <col min="14596" max="14596" width="6.5703125" style="76" bestFit="1" customWidth="1"/>
    <col min="14597" max="14597" width="9.28515625" style="76" bestFit="1" customWidth="1"/>
    <col min="14598" max="14598" width="8.85546875" style="76" bestFit="1" customWidth="1"/>
    <col min="14599" max="14599" width="8.7109375" style="76" customWidth="1"/>
    <col min="14600" max="14600" width="20.140625" style="76" bestFit="1" customWidth="1"/>
    <col min="14601" max="14601" width="4" style="76" customWidth="1"/>
    <col min="14602" max="14602" width="11.7109375" style="76" bestFit="1" customWidth="1"/>
    <col min="14603" max="14603" width="8.7109375" style="76" customWidth="1"/>
    <col min="14604" max="14604" width="8.85546875" style="76" bestFit="1" customWidth="1"/>
    <col min="14605" max="14605" width="8.7109375" style="76" customWidth="1"/>
    <col min="14606" max="14606" width="8.140625" style="76" customWidth="1"/>
    <col min="14607" max="14607" width="12" style="76" bestFit="1" customWidth="1"/>
    <col min="14608" max="14608" width="10.42578125" style="76" bestFit="1" customWidth="1"/>
    <col min="14609" max="14609" width="8.85546875" style="76" bestFit="1" customWidth="1"/>
    <col min="14610" max="14610" width="8.5703125" style="76" bestFit="1" customWidth="1"/>
    <col min="14611" max="14850" width="9.140625" style="76"/>
    <col min="14851" max="14851" width="3.5703125" style="76" customWidth="1"/>
    <col min="14852" max="14852" width="6.5703125" style="76" bestFit="1" customWidth="1"/>
    <col min="14853" max="14853" width="9.28515625" style="76" bestFit="1" customWidth="1"/>
    <col min="14854" max="14854" width="8.85546875" style="76" bestFit="1" customWidth="1"/>
    <col min="14855" max="14855" width="8.7109375" style="76" customWidth="1"/>
    <col min="14856" max="14856" width="20.140625" style="76" bestFit="1" customWidth="1"/>
    <col min="14857" max="14857" width="4" style="76" customWidth="1"/>
    <col min="14858" max="14858" width="11.7109375" style="76" bestFit="1" customWidth="1"/>
    <col min="14859" max="14859" width="8.7109375" style="76" customWidth="1"/>
    <col min="14860" max="14860" width="8.85546875" style="76" bestFit="1" customWidth="1"/>
    <col min="14861" max="14861" width="8.7109375" style="76" customWidth="1"/>
    <col min="14862" max="14862" width="8.140625" style="76" customWidth="1"/>
    <col min="14863" max="14863" width="12" style="76" bestFit="1" customWidth="1"/>
    <col min="14864" max="14864" width="10.42578125" style="76" bestFit="1" customWidth="1"/>
    <col min="14865" max="14865" width="8.85546875" style="76" bestFit="1" customWidth="1"/>
    <col min="14866" max="14866" width="8.5703125" style="76" bestFit="1" customWidth="1"/>
    <col min="14867" max="15106" width="9.140625" style="76"/>
    <col min="15107" max="15107" width="3.5703125" style="76" customWidth="1"/>
    <col min="15108" max="15108" width="6.5703125" style="76" bestFit="1" customWidth="1"/>
    <col min="15109" max="15109" width="9.28515625" style="76" bestFit="1" customWidth="1"/>
    <col min="15110" max="15110" width="8.85546875" style="76" bestFit="1" customWidth="1"/>
    <col min="15111" max="15111" width="8.7109375" style="76" customWidth="1"/>
    <col min="15112" max="15112" width="20.140625" style="76" bestFit="1" customWidth="1"/>
    <col min="15113" max="15113" width="4" style="76" customWidth="1"/>
    <col min="15114" max="15114" width="11.7109375" style="76" bestFit="1" customWidth="1"/>
    <col min="15115" max="15115" width="8.7109375" style="76" customWidth="1"/>
    <col min="15116" max="15116" width="8.85546875" style="76" bestFit="1" customWidth="1"/>
    <col min="15117" max="15117" width="8.7109375" style="76" customWidth="1"/>
    <col min="15118" max="15118" width="8.140625" style="76" customWidth="1"/>
    <col min="15119" max="15119" width="12" style="76" bestFit="1" customWidth="1"/>
    <col min="15120" max="15120" width="10.42578125" style="76" bestFit="1" customWidth="1"/>
    <col min="15121" max="15121" width="8.85546875" style="76" bestFit="1" customWidth="1"/>
    <col min="15122" max="15122" width="8.5703125" style="76" bestFit="1" customWidth="1"/>
    <col min="15123" max="15362" width="9.140625" style="76"/>
    <col min="15363" max="15363" width="3.5703125" style="76" customWidth="1"/>
    <col min="15364" max="15364" width="6.5703125" style="76" bestFit="1" customWidth="1"/>
    <col min="15365" max="15365" width="9.28515625" style="76" bestFit="1" customWidth="1"/>
    <col min="15366" max="15366" width="8.85546875" style="76" bestFit="1" customWidth="1"/>
    <col min="15367" max="15367" width="8.7109375" style="76" customWidth="1"/>
    <col min="15368" max="15368" width="20.140625" style="76" bestFit="1" customWidth="1"/>
    <col min="15369" max="15369" width="4" style="76" customWidth="1"/>
    <col min="15370" max="15370" width="11.7109375" style="76" bestFit="1" customWidth="1"/>
    <col min="15371" max="15371" width="8.7109375" style="76" customWidth="1"/>
    <col min="15372" max="15372" width="8.85546875" style="76" bestFit="1" customWidth="1"/>
    <col min="15373" max="15373" width="8.7109375" style="76" customWidth="1"/>
    <col min="15374" max="15374" width="8.140625" style="76" customWidth="1"/>
    <col min="15375" max="15375" width="12" style="76" bestFit="1" customWidth="1"/>
    <col min="15376" max="15376" width="10.42578125" style="76" bestFit="1" customWidth="1"/>
    <col min="15377" max="15377" width="8.85546875" style="76" bestFit="1" customWidth="1"/>
    <col min="15378" max="15378" width="8.5703125" style="76" bestFit="1" customWidth="1"/>
    <col min="15379" max="15618" width="9.140625" style="76"/>
    <col min="15619" max="15619" width="3.5703125" style="76" customWidth="1"/>
    <col min="15620" max="15620" width="6.5703125" style="76" bestFit="1" customWidth="1"/>
    <col min="15621" max="15621" width="9.28515625" style="76" bestFit="1" customWidth="1"/>
    <col min="15622" max="15622" width="8.85546875" style="76" bestFit="1" customWidth="1"/>
    <col min="15623" max="15623" width="8.7109375" style="76" customWidth="1"/>
    <col min="15624" max="15624" width="20.140625" style="76" bestFit="1" customWidth="1"/>
    <col min="15625" max="15625" width="4" style="76" customWidth="1"/>
    <col min="15626" max="15626" width="11.7109375" style="76" bestFit="1" customWidth="1"/>
    <col min="15627" max="15627" width="8.7109375" style="76" customWidth="1"/>
    <col min="15628" max="15628" width="8.85546875" style="76" bestFit="1" customWidth="1"/>
    <col min="15629" max="15629" width="8.7109375" style="76" customWidth="1"/>
    <col min="15630" max="15630" width="8.140625" style="76" customWidth="1"/>
    <col min="15631" max="15631" width="12" style="76" bestFit="1" customWidth="1"/>
    <col min="15632" max="15632" width="10.42578125" style="76" bestFit="1" customWidth="1"/>
    <col min="15633" max="15633" width="8.85546875" style="76" bestFit="1" customWidth="1"/>
    <col min="15634" max="15634" width="8.5703125" style="76" bestFit="1" customWidth="1"/>
    <col min="15635" max="15874" width="9.140625" style="76"/>
    <col min="15875" max="15875" width="3.5703125" style="76" customWidth="1"/>
    <col min="15876" max="15876" width="6.5703125" style="76" bestFit="1" customWidth="1"/>
    <col min="15877" max="15877" width="9.28515625" style="76" bestFit="1" customWidth="1"/>
    <col min="15878" max="15878" width="8.85546875" style="76" bestFit="1" customWidth="1"/>
    <col min="15879" max="15879" width="8.7109375" style="76" customWidth="1"/>
    <col min="15880" max="15880" width="20.140625" style="76" bestFit="1" customWidth="1"/>
    <col min="15881" max="15881" width="4" style="76" customWidth="1"/>
    <col min="15882" max="15882" width="11.7109375" style="76" bestFit="1" customWidth="1"/>
    <col min="15883" max="15883" width="8.7109375" style="76" customWidth="1"/>
    <col min="15884" max="15884" width="8.85546875" style="76" bestFit="1" customWidth="1"/>
    <col min="15885" max="15885" width="8.7109375" style="76" customWidth="1"/>
    <col min="15886" max="15886" width="8.140625" style="76" customWidth="1"/>
    <col min="15887" max="15887" width="12" style="76" bestFit="1" customWidth="1"/>
    <col min="15888" max="15888" width="10.42578125" style="76" bestFit="1" customWidth="1"/>
    <col min="15889" max="15889" width="8.85546875" style="76" bestFit="1" customWidth="1"/>
    <col min="15890" max="15890" width="8.5703125" style="76" bestFit="1" customWidth="1"/>
    <col min="15891" max="16130" width="9.140625" style="76"/>
    <col min="16131" max="16131" width="3.5703125" style="76" customWidth="1"/>
    <col min="16132" max="16132" width="6.5703125" style="76" bestFit="1" customWidth="1"/>
    <col min="16133" max="16133" width="9.28515625" style="76" bestFit="1" customWidth="1"/>
    <col min="16134" max="16134" width="8.85546875" style="76" bestFit="1" customWidth="1"/>
    <col min="16135" max="16135" width="8.7109375" style="76" customWidth="1"/>
    <col min="16136" max="16136" width="20.140625" style="76" bestFit="1" customWidth="1"/>
    <col min="16137" max="16137" width="4" style="76" customWidth="1"/>
    <col min="16138" max="16138" width="11.7109375" style="76" bestFit="1" customWidth="1"/>
    <col min="16139" max="16139" width="8.7109375" style="76" customWidth="1"/>
    <col min="16140" max="16140" width="8.85546875" style="76" bestFit="1" customWidth="1"/>
    <col min="16141" max="16141" width="8.7109375" style="76" customWidth="1"/>
    <col min="16142" max="16142" width="8.140625" style="76" customWidth="1"/>
    <col min="16143" max="16143" width="12" style="76" bestFit="1" customWidth="1"/>
    <col min="16144" max="16144" width="10.42578125" style="76" bestFit="1" customWidth="1"/>
    <col min="16145" max="16145" width="8.85546875" style="76" bestFit="1" customWidth="1"/>
    <col min="16146" max="16146" width="8.5703125" style="76" bestFit="1" customWidth="1"/>
    <col min="16147" max="16384" width="9.140625" style="76"/>
  </cols>
  <sheetData>
    <row r="2" spans="2:18" ht="20.25">
      <c r="B2" s="1567" t="s">
        <v>1131</v>
      </c>
      <c r="C2" s="1567"/>
      <c r="D2" s="1567"/>
      <c r="E2" s="1567"/>
      <c r="F2" s="1567"/>
      <c r="G2" s="1567"/>
      <c r="H2" s="1567"/>
      <c r="I2" s="1567"/>
      <c r="J2" s="1567"/>
      <c r="K2" s="1567"/>
      <c r="L2" s="1567"/>
      <c r="M2" s="1567"/>
      <c r="N2" s="1567"/>
      <c r="O2" s="1567"/>
      <c r="P2" s="658"/>
      <c r="Q2" s="658"/>
      <c r="R2" s="658"/>
    </row>
    <row r="3" spans="2:18" ht="13.5" thickBot="1">
      <c r="F3" s="885"/>
      <c r="G3" s="885"/>
      <c r="H3" s="885"/>
      <c r="I3" s="885"/>
      <c r="J3" s="885"/>
      <c r="K3" s="885"/>
      <c r="L3" s="885"/>
      <c r="M3" s="885"/>
      <c r="N3" s="885"/>
    </row>
    <row r="4" spans="2:18" ht="13.5" thickBot="1">
      <c r="B4" s="613" t="s">
        <v>943</v>
      </c>
      <c r="C4" s="1474" t="s">
        <v>1112</v>
      </c>
      <c r="D4" s="1475"/>
      <c r="E4" s="1476"/>
      <c r="F4" s="1474" t="s">
        <v>1172</v>
      </c>
      <c r="G4" s="1475"/>
      <c r="H4" s="1475"/>
      <c r="I4" s="1475"/>
      <c r="J4" s="1475"/>
      <c r="K4" s="1475"/>
      <c r="L4" s="1475"/>
      <c r="M4" s="1475"/>
      <c r="N4" s="1476"/>
      <c r="O4" s="197" t="s">
        <v>1217</v>
      </c>
    </row>
    <row r="5" spans="2:18" ht="13.5" thickBot="1">
      <c r="B5" s="616" t="s">
        <v>947</v>
      </c>
      <c r="C5" s="843" t="s">
        <v>948</v>
      </c>
      <c r="D5" s="845" t="s">
        <v>55</v>
      </c>
      <c r="E5" s="844" t="s">
        <v>893</v>
      </c>
      <c r="F5" s="1213" t="s">
        <v>1051</v>
      </c>
      <c r="G5" s="1214" t="s">
        <v>1054</v>
      </c>
      <c r="H5" s="1214" t="s">
        <v>1055</v>
      </c>
      <c r="I5" s="1212" t="s">
        <v>1211</v>
      </c>
      <c r="J5" s="1211" t="s">
        <v>1177</v>
      </c>
      <c r="K5" s="1214" t="s">
        <v>1214</v>
      </c>
      <c r="L5" s="1223" t="s">
        <v>1212</v>
      </c>
      <c r="M5" s="1214" t="s">
        <v>1543</v>
      </c>
      <c r="N5" s="1201" t="s">
        <v>1545</v>
      </c>
      <c r="O5" s="619" t="s">
        <v>1213</v>
      </c>
    </row>
    <row r="6" spans="2:18">
      <c r="B6" s="659">
        <v>1</v>
      </c>
      <c r="C6" s="660" t="str">
        <f>'MD Summary'!C8</f>
        <v/>
      </c>
      <c r="D6" s="661" t="str">
        <f>'MD Summary'!D8</f>
        <v>AMAP</v>
      </c>
      <c r="E6" s="886" t="str">
        <f>'MD Summary'!E8</f>
        <v/>
      </c>
      <c r="F6" s="1222">
        <f>'MD Details'!$BG$3</f>
        <v>0</v>
      </c>
      <c r="G6" s="410">
        <f>'MD Details'!$BG$4</f>
        <v>0</v>
      </c>
      <c r="H6" s="410">
        <f>'MD Details'!$BG$5</f>
        <v>0</v>
      </c>
      <c r="I6" s="406">
        <f>'MD Details'!$BG$6</f>
        <v>0</v>
      </c>
      <c r="J6" s="784">
        <f>'MD Details'!$BG$7</f>
        <v>0</v>
      </c>
      <c r="K6" s="890">
        <f>'MD Details'!$BG$8</f>
        <v>0</v>
      </c>
      <c r="L6" s="890">
        <f>'MD Details'!$BG$9</f>
        <v>0</v>
      </c>
      <c r="M6" s="890" t="str">
        <f>'MD Details'!$BG$10</f>
        <v/>
      </c>
      <c r="N6" s="629" t="str">
        <f>'MD Details'!$BG$11</f>
        <v/>
      </c>
      <c r="O6" s="889">
        <f>'MD Details'!BG13</f>
        <v>100</v>
      </c>
    </row>
    <row r="7" spans="2:18">
      <c r="B7" s="662">
        <v>2</v>
      </c>
      <c r="C7" s="663" t="str">
        <f>'MD Summary'!C9</f>
        <v/>
      </c>
      <c r="D7" s="664" t="str">
        <f>'MD Summary'!D9</f>
        <v/>
      </c>
      <c r="E7" s="887" t="str">
        <f>'MD Summary'!E9</f>
        <v/>
      </c>
      <c r="F7" s="891" t="str">
        <f>'MD Details'!$BH$3</f>
        <v/>
      </c>
      <c r="G7" s="298" t="str">
        <f>'MD Details'!$BH$4</f>
        <v/>
      </c>
      <c r="H7" s="307" t="str">
        <f>'MD Details'!$BH$5</f>
        <v/>
      </c>
      <c r="I7" s="635" t="str">
        <f>'MD Details'!$BH$6</f>
        <v/>
      </c>
      <c r="J7" s="891" t="str">
        <f>'MD Details'!$BH$7</f>
        <v/>
      </c>
      <c r="K7" s="298" t="str">
        <f>'MD Details'!$BH$8</f>
        <v/>
      </c>
      <c r="L7" s="298" t="str">
        <f>'MD Details'!$BH$9</f>
        <v/>
      </c>
      <c r="M7" s="298" t="str">
        <f>'MD Details'!$BH$10</f>
        <v/>
      </c>
      <c r="N7" s="635" t="str">
        <f>'MD Details'!$BH$11</f>
        <v/>
      </c>
      <c r="O7" s="665" t="str">
        <f>'MD Details'!BH13</f>
        <v/>
      </c>
    </row>
    <row r="8" spans="2:18">
      <c r="B8" s="662">
        <v>3</v>
      </c>
      <c r="C8" s="663" t="str">
        <f>'MD Summary'!C10</f>
        <v/>
      </c>
      <c r="D8" s="664" t="str">
        <f>'MD Summary'!D10</f>
        <v/>
      </c>
      <c r="E8" s="887" t="str">
        <f>'MD Summary'!E10</f>
        <v/>
      </c>
      <c r="F8" s="891" t="str">
        <f>'MD Details'!$BI$3</f>
        <v/>
      </c>
      <c r="G8" s="298" t="str">
        <f>'MD Details'!$BI$4</f>
        <v/>
      </c>
      <c r="H8" s="307" t="str">
        <f>'MD Details'!$BI$5</f>
        <v/>
      </c>
      <c r="I8" s="635" t="str">
        <f>'MD Details'!$BI$6</f>
        <v/>
      </c>
      <c r="J8" s="891" t="str">
        <f>'MD Details'!$BI$7</f>
        <v/>
      </c>
      <c r="K8" s="298" t="str">
        <f>'MD Details'!$BI$8</f>
        <v/>
      </c>
      <c r="L8" s="298" t="str">
        <f>'MD Details'!$BI$9</f>
        <v/>
      </c>
      <c r="M8" s="298" t="str">
        <f>'MD Details'!$BI$10</f>
        <v/>
      </c>
      <c r="N8" s="635" t="str">
        <f>'MD Details'!$BI$11</f>
        <v/>
      </c>
      <c r="O8" s="665" t="str">
        <f>'MD Details'!BI13</f>
        <v/>
      </c>
    </row>
    <row r="9" spans="2:18">
      <c r="B9" s="662">
        <v>4</v>
      </c>
      <c r="C9" s="663" t="str">
        <f>'MD Summary'!C11</f>
        <v/>
      </c>
      <c r="D9" s="664" t="str">
        <f>'MD Summary'!D11</f>
        <v/>
      </c>
      <c r="E9" s="887" t="str">
        <f>'MD Summary'!E11</f>
        <v/>
      </c>
      <c r="F9" s="891" t="str">
        <f>'MD Details'!$BJ$3</f>
        <v/>
      </c>
      <c r="G9" s="298" t="str">
        <f>'MD Details'!$BJ$4</f>
        <v/>
      </c>
      <c r="H9" s="307" t="str">
        <f>'MD Details'!$BJ$5</f>
        <v/>
      </c>
      <c r="I9" s="635" t="str">
        <f>'MD Details'!$BJ$6</f>
        <v/>
      </c>
      <c r="J9" s="891" t="str">
        <f>'MD Details'!$BJ$7</f>
        <v/>
      </c>
      <c r="K9" s="298" t="str">
        <f>'MD Details'!$BJ$8</f>
        <v/>
      </c>
      <c r="L9" s="298" t="str">
        <f>'MD Details'!$BJ$9</f>
        <v/>
      </c>
      <c r="M9" s="298" t="str">
        <f>'MD Details'!$BJ$10</f>
        <v/>
      </c>
      <c r="N9" s="635" t="str">
        <f>'MD Details'!$BJ$11</f>
        <v/>
      </c>
      <c r="O9" s="665" t="str">
        <f>'MD Details'!BJ13</f>
        <v/>
      </c>
    </row>
    <row r="10" spans="2:18">
      <c r="B10" s="662">
        <v>5</v>
      </c>
      <c r="C10" s="663" t="str">
        <f>'MD Summary'!C12</f>
        <v/>
      </c>
      <c r="D10" s="664" t="str">
        <f>'MD Summary'!D12</f>
        <v/>
      </c>
      <c r="E10" s="887" t="str">
        <f>'MD Summary'!E12</f>
        <v/>
      </c>
      <c r="F10" s="891" t="str">
        <f>'MD Details'!$BK$3</f>
        <v/>
      </c>
      <c r="G10" s="298" t="str">
        <f>'MD Details'!$BK$4</f>
        <v/>
      </c>
      <c r="H10" s="307" t="str">
        <f>'MD Details'!$BK$5</f>
        <v/>
      </c>
      <c r="I10" s="635" t="str">
        <f>'MD Details'!$BK$6</f>
        <v/>
      </c>
      <c r="J10" s="891" t="str">
        <f>'MD Details'!$BK$7</f>
        <v/>
      </c>
      <c r="K10" s="298" t="str">
        <f>'MD Details'!$BK$8</f>
        <v/>
      </c>
      <c r="L10" s="298" t="str">
        <f>'MD Details'!$BK$9</f>
        <v/>
      </c>
      <c r="M10" s="298" t="str">
        <f>'MD Details'!$BK$10</f>
        <v/>
      </c>
      <c r="N10" s="635" t="str">
        <f>'MD Details'!$BK$11</f>
        <v/>
      </c>
      <c r="O10" s="665" t="str">
        <f>'MD Details'!BK13</f>
        <v/>
      </c>
    </row>
    <row r="11" spans="2:18">
      <c r="B11" s="662">
        <v>6</v>
      </c>
      <c r="C11" s="663" t="str">
        <f>'MD Summary'!C13</f>
        <v/>
      </c>
      <c r="D11" s="664" t="str">
        <f>'MD Summary'!D13</f>
        <v/>
      </c>
      <c r="E11" s="887" t="str">
        <f>'MD Summary'!E13</f>
        <v/>
      </c>
      <c r="F11" s="891" t="str">
        <f>'MD Details'!$BL$3</f>
        <v/>
      </c>
      <c r="G11" s="298" t="str">
        <f>'MD Details'!$BL$4</f>
        <v/>
      </c>
      <c r="H11" s="307" t="str">
        <f>'MD Details'!$BL$5</f>
        <v/>
      </c>
      <c r="I11" s="635" t="str">
        <f>'MD Details'!$BL$6</f>
        <v/>
      </c>
      <c r="J11" s="891" t="str">
        <f>'MD Details'!$BL$7</f>
        <v/>
      </c>
      <c r="K11" s="298" t="str">
        <f>'MD Details'!$BL$8</f>
        <v/>
      </c>
      <c r="L11" s="298" t="str">
        <f>'MD Details'!$BL$9</f>
        <v/>
      </c>
      <c r="M11" s="298" t="str">
        <f>'MD Details'!$BL$10</f>
        <v/>
      </c>
      <c r="N11" s="635" t="str">
        <f>'MD Details'!$BL$11</f>
        <v/>
      </c>
      <c r="O11" s="665" t="str">
        <f>'MD Details'!BL13</f>
        <v/>
      </c>
    </row>
    <row r="12" spans="2:18">
      <c r="B12" s="662">
        <v>7</v>
      </c>
      <c r="C12" s="663" t="str">
        <f>'MD Summary'!C14</f>
        <v/>
      </c>
      <c r="D12" s="664" t="str">
        <f>'MD Summary'!D14</f>
        <v/>
      </c>
      <c r="E12" s="887" t="str">
        <f>'MD Summary'!E14</f>
        <v/>
      </c>
      <c r="F12" s="891" t="str">
        <f>'MD Details'!$BM$3</f>
        <v/>
      </c>
      <c r="G12" s="298" t="str">
        <f>'MD Details'!$BM$4</f>
        <v/>
      </c>
      <c r="H12" s="307" t="str">
        <f>'MD Details'!$BM$5</f>
        <v/>
      </c>
      <c r="I12" s="635" t="str">
        <f>'MD Details'!$BM$6</f>
        <v/>
      </c>
      <c r="J12" s="891" t="str">
        <f>'MD Details'!$BM$7</f>
        <v/>
      </c>
      <c r="K12" s="298" t="str">
        <f>'MD Details'!$BM$8</f>
        <v/>
      </c>
      <c r="L12" s="298" t="str">
        <f>'MD Details'!$BM$9</f>
        <v/>
      </c>
      <c r="M12" s="298" t="str">
        <f>'MD Details'!$BM$10</f>
        <v/>
      </c>
      <c r="N12" s="635" t="str">
        <f>'MD Details'!$BM$11</f>
        <v/>
      </c>
      <c r="O12" s="665" t="str">
        <f>'MD Details'!BM13</f>
        <v/>
      </c>
    </row>
    <row r="13" spans="2:18">
      <c r="B13" s="662">
        <v>8</v>
      </c>
      <c r="C13" s="663" t="str">
        <f>'MD Summary'!C15</f>
        <v/>
      </c>
      <c r="D13" s="664" t="str">
        <f>'MD Summary'!D15</f>
        <v/>
      </c>
      <c r="E13" s="887" t="str">
        <f>'MD Summary'!E15</f>
        <v/>
      </c>
      <c r="F13" s="891" t="str">
        <f>'MD Details'!$BN$3</f>
        <v/>
      </c>
      <c r="G13" s="298" t="str">
        <f>'MD Details'!$BN$4</f>
        <v/>
      </c>
      <c r="H13" s="307" t="str">
        <f>'MD Details'!$BN$5</f>
        <v/>
      </c>
      <c r="I13" s="635" t="str">
        <f>'MD Details'!$BN$6</f>
        <v/>
      </c>
      <c r="J13" s="891" t="str">
        <f>'MD Details'!$BN$7</f>
        <v/>
      </c>
      <c r="K13" s="298" t="str">
        <f>'MD Details'!$BN$8</f>
        <v/>
      </c>
      <c r="L13" s="298" t="str">
        <f>'MD Details'!$BN$9</f>
        <v/>
      </c>
      <c r="M13" s="298" t="str">
        <f>'MD Details'!$BN$10</f>
        <v/>
      </c>
      <c r="N13" s="635" t="str">
        <f>'MD Details'!$BN$11</f>
        <v/>
      </c>
      <c r="O13" s="665" t="str">
        <f>'MD Details'!BN13</f>
        <v/>
      </c>
    </row>
    <row r="14" spans="2:18">
      <c r="B14" s="662">
        <v>9</v>
      </c>
      <c r="C14" s="663" t="str">
        <f>'MD Summary'!C16</f>
        <v/>
      </c>
      <c r="D14" s="664" t="str">
        <f>'MD Summary'!D16</f>
        <v/>
      </c>
      <c r="E14" s="887" t="str">
        <f>'MD Summary'!E16</f>
        <v/>
      </c>
      <c r="F14" s="891" t="str">
        <f>'MD Details'!$BO$3</f>
        <v/>
      </c>
      <c r="G14" s="298" t="str">
        <f>'MD Details'!$BO$4</f>
        <v/>
      </c>
      <c r="H14" s="307" t="str">
        <f>'MD Details'!$BO$5</f>
        <v/>
      </c>
      <c r="I14" s="635" t="str">
        <f>'MD Details'!$BO$6</f>
        <v/>
      </c>
      <c r="J14" s="891" t="str">
        <f>'MD Details'!$BO$7</f>
        <v/>
      </c>
      <c r="K14" s="298" t="str">
        <f>'MD Details'!$BO$8</f>
        <v/>
      </c>
      <c r="L14" s="298" t="str">
        <f>'MD Details'!$BO$9</f>
        <v/>
      </c>
      <c r="M14" s="298" t="str">
        <f>'MD Details'!$BO$10</f>
        <v/>
      </c>
      <c r="N14" s="635" t="str">
        <f>'MD Details'!$BO$11</f>
        <v/>
      </c>
      <c r="O14" s="665" t="str">
        <f>'MD Details'!BO13</f>
        <v/>
      </c>
    </row>
    <row r="15" spans="2:18">
      <c r="B15" s="662">
        <v>10</v>
      </c>
      <c r="C15" s="663" t="str">
        <f>'MD Summary'!C17</f>
        <v/>
      </c>
      <c r="D15" s="664" t="str">
        <f>'MD Summary'!D17</f>
        <v/>
      </c>
      <c r="E15" s="887" t="str">
        <f>'MD Summary'!E17</f>
        <v/>
      </c>
      <c r="F15" s="891" t="str">
        <f>'MD Details'!$BP$3</f>
        <v/>
      </c>
      <c r="G15" s="298" t="str">
        <f>'MD Details'!$BP$4</f>
        <v/>
      </c>
      <c r="H15" s="307" t="str">
        <f>'MD Details'!$BP$5</f>
        <v/>
      </c>
      <c r="I15" s="635" t="str">
        <f>'MD Details'!$BP$6</f>
        <v/>
      </c>
      <c r="J15" s="891" t="str">
        <f>'MD Details'!$BP$7</f>
        <v/>
      </c>
      <c r="K15" s="298" t="str">
        <f>'MD Details'!$BP$8</f>
        <v/>
      </c>
      <c r="L15" s="298" t="str">
        <f>'MD Details'!$BP$9</f>
        <v/>
      </c>
      <c r="M15" s="298" t="str">
        <f>'MD Details'!$BP$10</f>
        <v/>
      </c>
      <c r="N15" s="635" t="str">
        <f>'MD Details'!$BP$11</f>
        <v/>
      </c>
      <c r="O15" s="665" t="str">
        <f>'MD Details'!BP13</f>
        <v/>
      </c>
    </row>
    <row r="16" spans="2:18">
      <c r="B16" s="662">
        <v>11</v>
      </c>
      <c r="C16" s="663" t="str">
        <f>'MD Summary'!C18</f>
        <v/>
      </c>
      <c r="D16" s="664" t="str">
        <f>'MD Summary'!D18</f>
        <v/>
      </c>
      <c r="E16" s="887" t="str">
        <f>'MD Summary'!E18</f>
        <v/>
      </c>
      <c r="F16" s="891" t="str">
        <f>'MD Details'!$BQ$3</f>
        <v/>
      </c>
      <c r="G16" s="298" t="str">
        <f>'MD Details'!$BQ$4</f>
        <v/>
      </c>
      <c r="H16" s="307" t="str">
        <f>'MD Details'!$BQ$5</f>
        <v/>
      </c>
      <c r="I16" s="635" t="str">
        <f>'MD Details'!$BQ$6</f>
        <v/>
      </c>
      <c r="J16" s="891" t="str">
        <f>'MD Details'!$BQ$7</f>
        <v/>
      </c>
      <c r="K16" s="298" t="str">
        <f>'MD Details'!$BQ$8</f>
        <v/>
      </c>
      <c r="L16" s="298" t="str">
        <f>'MD Details'!$BQ$9</f>
        <v/>
      </c>
      <c r="M16" s="298" t="str">
        <f>'MD Details'!$BQ$10</f>
        <v/>
      </c>
      <c r="N16" s="635" t="str">
        <f>'MD Details'!$BQ$11</f>
        <v/>
      </c>
      <c r="O16" s="665" t="str">
        <f>'MD Details'!BQ13</f>
        <v/>
      </c>
    </row>
    <row r="17" spans="2:15">
      <c r="B17" s="662">
        <v>12</v>
      </c>
      <c r="C17" s="663" t="str">
        <f>'MD Summary'!C19</f>
        <v/>
      </c>
      <c r="D17" s="664" t="str">
        <f>'MD Summary'!D19</f>
        <v/>
      </c>
      <c r="E17" s="887" t="str">
        <f>'MD Summary'!E19</f>
        <v/>
      </c>
      <c r="F17" s="891" t="str">
        <f>'MD Details'!$BR$3</f>
        <v/>
      </c>
      <c r="G17" s="298" t="str">
        <f>'MD Details'!$BR$4</f>
        <v/>
      </c>
      <c r="H17" s="307" t="str">
        <f>'MD Details'!$BR$5</f>
        <v/>
      </c>
      <c r="I17" s="635" t="str">
        <f>'MD Details'!$BR$6</f>
        <v/>
      </c>
      <c r="J17" s="891" t="str">
        <f>'MD Details'!$BR$7</f>
        <v/>
      </c>
      <c r="K17" s="298" t="str">
        <f>'MD Details'!$BR$8</f>
        <v/>
      </c>
      <c r="L17" s="298" t="str">
        <f>'MD Details'!$BR$9</f>
        <v/>
      </c>
      <c r="M17" s="298" t="str">
        <f>'MD Details'!$BR$10</f>
        <v/>
      </c>
      <c r="N17" s="635" t="str">
        <f>'MD Details'!$BR$11</f>
        <v/>
      </c>
      <c r="O17" s="665" t="str">
        <f>'MD Details'!BR13</f>
        <v/>
      </c>
    </row>
    <row r="18" spans="2:15">
      <c r="B18" s="662">
        <v>13</v>
      </c>
      <c r="C18" s="663" t="str">
        <f>'MD Summary'!C20</f>
        <v/>
      </c>
      <c r="D18" s="664" t="str">
        <f>'MD Summary'!D20</f>
        <v/>
      </c>
      <c r="E18" s="887" t="str">
        <f>'MD Summary'!E20</f>
        <v/>
      </c>
      <c r="F18" s="891" t="str">
        <f>'MD Details'!$BS$3</f>
        <v/>
      </c>
      <c r="G18" s="298" t="str">
        <f>'MD Details'!$BS$4</f>
        <v/>
      </c>
      <c r="H18" s="307" t="str">
        <f>'MD Details'!$BS$5</f>
        <v/>
      </c>
      <c r="I18" s="635" t="str">
        <f>'MD Details'!$BS$6</f>
        <v/>
      </c>
      <c r="J18" s="891" t="str">
        <f>'MD Details'!$BS$7</f>
        <v/>
      </c>
      <c r="K18" s="298" t="str">
        <f>'MD Details'!$BS$8</f>
        <v/>
      </c>
      <c r="L18" s="298" t="str">
        <f>'MD Details'!$BS$9</f>
        <v/>
      </c>
      <c r="M18" s="298" t="str">
        <f>'MD Details'!$BS$10</f>
        <v/>
      </c>
      <c r="N18" s="635" t="str">
        <f>'MD Details'!$BS$11</f>
        <v/>
      </c>
      <c r="O18" s="665" t="str">
        <f>'MD Details'!BS13</f>
        <v/>
      </c>
    </row>
    <row r="19" spans="2:15">
      <c r="B19" s="662">
        <v>14</v>
      </c>
      <c r="C19" s="663" t="str">
        <f>'MD Summary'!C21</f>
        <v/>
      </c>
      <c r="D19" s="664" t="str">
        <f>'MD Summary'!D21</f>
        <v/>
      </c>
      <c r="E19" s="887" t="str">
        <f>'MD Summary'!E21</f>
        <v/>
      </c>
      <c r="F19" s="891" t="str">
        <f>'MD Details'!$BT$3</f>
        <v/>
      </c>
      <c r="G19" s="298" t="str">
        <f>'MD Details'!$BT$4</f>
        <v/>
      </c>
      <c r="H19" s="307" t="str">
        <f>'MD Details'!$BT$5</f>
        <v/>
      </c>
      <c r="I19" s="635" t="str">
        <f>'MD Details'!$BT$6</f>
        <v/>
      </c>
      <c r="J19" s="891" t="str">
        <f>'MD Details'!$BT$7</f>
        <v/>
      </c>
      <c r="K19" s="298" t="str">
        <f>'MD Details'!$BT$8</f>
        <v/>
      </c>
      <c r="L19" s="298" t="str">
        <f>'MD Details'!$BT$9</f>
        <v/>
      </c>
      <c r="M19" s="298" t="str">
        <f>'MD Details'!$BT$10</f>
        <v/>
      </c>
      <c r="N19" s="635" t="str">
        <f>'MD Details'!$BT$11</f>
        <v/>
      </c>
      <c r="O19" s="665" t="str">
        <f>'MD Details'!BT13</f>
        <v/>
      </c>
    </row>
    <row r="20" spans="2:15">
      <c r="B20" s="662">
        <v>15</v>
      </c>
      <c r="C20" s="663" t="str">
        <f>'MD Summary'!C22</f>
        <v/>
      </c>
      <c r="D20" s="664" t="str">
        <f>'MD Summary'!D22</f>
        <v/>
      </c>
      <c r="E20" s="887" t="str">
        <f>'MD Summary'!E22</f>
        <v/>
      </c>
      <c r="F20" s="891" t="str">
        <f>'MD Details'!$BU$3</f>
        <v/>
      </c>
      <c r="G20" s="298" t="str">
        <f>'MD Details'!$BU$4</f>
        <v/>
      </c>
      <c r="H20" s="307" t="str">
        <f>'MD Details'!$BU$5</f>
        <v/>
      </c>
      <c r="I20" s="635" t="str">
        <f>'MD Details'!$BU$6</f>
        <v/>
      </c>
      <c r="J20" s="891" t="str">
        <f>'MD Details'!$BU$7</f>
        <v/>
      </c>
      <c r="K20" s="298" t="str">
        <f>'MD Details'!$BU$8</f>
        <v/>
      </c>
      <c r="L20" s="298" t="str">
        <f>'MD Details'!$BU$9</f>
        <v/>
      </c>
      <c r="M20" s="298" t="str">
        <f>'MD Details'!$BU$10</f>
        <v/>
      </c>
      <c r="N20" s="635" t="str">
        <f>'MD Details'!$BU$11</f>
        <v/>
      </c>
      <c r="O20" s="665" t="str">
        <f>'MD Details'!BU13</f>
        <v/>
      </c>
    </row>
    <row r="21" spans="2:15">
      <c r="B21" s="662">
        <v>16</v>
      </c>
      <c r="C21" s="663" t="str">
        <f>'MD Summary'!C23</f>
        <v/>
      </c>
      <c r="D21" s="664" t="str">
        <f>'MD Summary'!D23</f>
        <v/>
      </c>
      <c r="E21" s="887" t="str">
        <f>'MD Summary'!E23</f>
        <v/>
      </c>
      <c r="F21" s="891" t="str">
        <f>'MD Details'!$BV$3</f>
        <v/>
      </c>
      <c r="G21" s="298" t="str">
        <f>'MD Details'!$BV$4</f>
        <v/>
      </c>
      <c r="H21" s="307" t="str">
        <f>'MD Details'!$BV$5</f>
        <v/>
      </c>
      <c r="I21" s="635" t="str">
        <f>'MD Details'!$BV$6</f>
        <v/>
      </c>
      <c r="J21" s="891" t="str">
        <f>'MD Details'!$BV$7</f>
        <v/>
      </c>
      <c r="K21" s="298" t="str">
        <f>'MD Details'!$BV$8</f>
        <v/>
      </c>
      <c r="L21" s="298" t="str">
        <f>'MD Details'!$BV$9</f>
        <v/>
      </c>
      <c r="M21" s="298" t="str">
        <f>'MD Details'!$BV$10</f>
        <v/>
      </c>
      <c r="N21" s="635" t="str">
        <f>'MD Details'!$BV$11</f>
        <v/>
      </c>
      <c r="O21" s="665" t="str">
        <f>'MD Details'!BV13</f>
        <v/>
      </c>
    </row>
    <row r="22" spans="2:15">
      <c r="B22" s="662">
        <v>17</v>
      </c>
      <c r="C22" s="663" t="str">
        <f>'MD Summary'!C24</f>
        <v/>
      </c>
      <c r="D22" s="664" t="str">
        <f>'MD Summary'!D24</f>
        <v/>
      </c>
      <c r="E22" s="887" t="str">
        <f>'MD Summary'!E24</f>
        <v/>
      </c>
      <c r="F22" s="891" t="str">
        <f>'MD Details'!$BW$3</f>
        <v/>
      </c>
      <c r="G22" s="298" t="str">
        <f>'MD Details'!$BW$4</f>
        <v/>
      </c>
      <c r="H22" s="307" t="str">
        <f>'MD Details'!$BW$5</f>
        <v/>
      </c>
      <c r="I22" s="635" t="str">
        <f>'MD Details'!$BW$6</f>
        <v/>
      </c>
      <c r="J22" s="891" t="str">
        <f>'MD Details'!$BW$7</f>
        <v/>
      </c>
      <c r="K22" s="298" t="str">
        <f>'MD Details'!$BW$8</f>
        <v/>
      </c>
      <c r="L22" s="298" t="str">
        <f>'MD Details'!$BW$9</f>
        <v/>
      </c>
      <c r="M22" s="298" t="str">
        <f>'MD Details'!$BW$10</f>
        <v/>
      </c>
      <c r="N22" s="635" t="str">
        <f>'MD Details'!$BW$11</f>
        <v/>
      </c>
      <c r="O22" s="665" t="str">
        <f>'MD Details'!BW13</f>
        <v/>
      </c>
    </row>
    <row r="23" spans="2:15">
      <c r="B23" s="662">
        <v>18</v>
      </c>
      <c r="C23" s="663" t="str">
        <f>'MD Summary'!C25</f>
        <v/>
      </c>
      <c r="D23" s="664" t="str">
        <f>'MD Summary'!D25</f>
        <v/>
      </c>
      <c r="E23" s="887" t="str">
        <f>'MD Summary'!E25</f>
        <v/>
      </c>
      <c r="F23" s="891" t="str">
        <f>'MD Details'!$BX$3</f>
        <v/>
      </c>
      <c r="G23" s="298" t="str">
        <f>'MD Details'!$BX$4</f>
        <v/>
      </c>
      <c r="H23" s="307" t="str">
        <f>'MD Details'!$BX$5</f>
        <v/>
      </c>
      <c r="I23" s="635" t="str">
        <f>'MD Details'!$BX$6</f>
        <v/>
      </c>
      <c r="J23" s="891" t="str">
        <f>'MD Details'!$BX$7</f>
        <v/>
      </c>
      <c r="K23" s="298" t="str">
        <f>'MD Details'!$BX$8</f>
        <v/>
      </c>
      <c r="L23" s="298" t="str">
        <f>'MD Details'!$BX$9</f>
        <v/>
      </c>
      <c r="M23" s="298" t="str">
        <f>'MD Details'!$BX$10</f>
        <v/>
      </c>
      <c r="N23" s="635" t="str">
        <f>'MD Details'!$BX$11</f>
        <v/>
      </c>
      <c r="O23" s="665" t="str">
        <f>'MD Details'!BX13</f>
        <v/>
      </c>
    </row>
    <row r="24" spans="2:15">
      <c r="B24" s="662">
        <v>19</v>
      </c>
      <c r="C24" s="663" t="str">
        <f>'MD Summary'!C26</f>
        <v/>
      </c>
      <c r="D24" s="664" t="str">
        <f>'MD Summary'!D26</f>
        <v/>
      </c>
      <c r="E24" s="887" t="str">
        <f>'MD Summary'!E26</f>
        <v/>
      </c>
      <c r="F24" s="891" t="str">
        <f>'MD Details'!$BY$3</f>
        <v/>
      </c>
      <c r="G24" s="298" t="str">
        <f>'MD Details'!$BY$4</f>
        <v/>
      </c>
      <c r="H24" s="307" t="str">
        <f>'MD Details'!$BY$5</f>
        <v/>
      </c>
      <c r="I24" s="635" t="str">
        <f>'MD Details'!$BY$6</f>
        <v/>
      </c>
      <c r="J24" s="891" t="str">
        <f>'MD Details'!$BY$7</f>
        <v/>
      </c>
      <c r="K24" s="298" t="str">
        <f>'MD Details'!$BY$8</f>
        <v/>
      </c>
      <c r="L24" s="298" t="str">
        <f>'MD Details'!$BY$9</f>
        <v/>
      </c>
      <c r="M24" s="298" t="str">
        <f>'MD Details'!$BY$10</f>
        <v/>
      </c>
      <c r="N24" s="635" t="str">
        <f>'MD Details'!$BY$11</f>
        <v/>
      </c>
      <c r="O24" s="665" t="str">
        <f>'MD Details'!BY13</f>
        <v/>
      </c>
    </row>
    <row r="25" spans="2:15" ht="13.5" thickBot="1">
      <c r="B25" s="666">
        <v>20</v>
      </c>
      <c r="C25" s="667" t="str">
        <f>'MD Summary'!C27</f>
        <v/>
      </c>
      <c r="D25" s="668" t="str">
        <f>'MD Summary'!D27</f>
        <v/>
      </c>
      <c r="E25" s="888" t="str">
        <f>'MD Summary'!E27</f>
        <v/>
      </c>
      <c r="F25" s="892" t="str">
        <f>'MD Details'!$BZ$3</f>
        <v/>
      </c>
      <c r="G25" s="281" t="str">
        <f>'MD Details'!$BZ$4</f>
        <v/>
      </c>
      <c r="H25" s="290" t="str">
        <f>'MD Details'!$BZ$5</f>
        <v/>
      </c>
      <c r="I25" s="893" t="str">
        <f>'MD Details'!$BZ$6</f>
        <v/>
      </c>
      <c r="J25" s="892" t="str">
        <f>'MD Details'!$BZ$7</f>
        <v/>
      </c>
      <c r="K25" s="281" t="str">
        <f>'MD Details'!$BZ$8</f>
        <v/>
      </c>
      <c r="L25" s="281" t="str">
        <f>'MD Details'!$BZ$9</f>
        <v/>
      </c>
      <c r="M25" s="281" t="str">
        <f>'MD Details'!$BZ$10</f>
        <v/>
      </c>
      <c r="N25" s="893" t="str">
        <f>'MD Details'!$BZ$11</f>
        <v/>
      </c>
      <c r="O25" s="669" t="str">
        <f>'MD Details'!BZ13</f>
        <v/>
      </c>
    </row>
    <row r="26" spans="2:15" ht="13.5" customHeight="1" thickBot="1">
      <c r="N26" s="846" t="s">
        <v>1180</v>
      </c>
      <c r="O26" s="894">
        <f>'MD Details'!BE2</f>
        <v>100</v>
      </c>
    </row>
    <row r="27" spans="2:15" ht="13.5" customHeight="1" thickBot="1">
      <c r="B27" s="1408" t="s">
        <v>1210</v>
      </c>
      <c r="C27" s="1409"/>
      <c r="D27" s="1409"/>
      <c r="E27" s="1409"/>
      <c r="F27" s="1409"/>
      <c r="G27" s="1410"/>
      <c r="H27" s="1"/>
      <c r="I27" s="1"/>
      <c r="J27" s="1"/>
    </row>
    <row r="28" spans="2:15" ht="15">
      <c r="B28" s="897" t="s">
        <v>1547</v>
      </c>
      <c r="C28" s="895"/>
      <c r="D28" s="895"/>
      <c r="E28" s="895"/>
      <c r="F28" s="895"/>
      <c r="G28" s="896"/>
      <c r="H28" s="1"/>
      <c r="I28" s="1"/>
    </row>
    <row r="29" spans="2:15" ht="15">
      <c r="B29" s="897" t="s">
        <v>1548</v>
      </c>
      <c r="C29" s="264"/>
      <c r="D29" s="264"/>
      <c r="E29" s="264"/>
      <c r="F29" s="264"/>
      <c r="G29" s="898"/>
      <c r="H29" s="1"/>
      <c r="I29" s="1"/>
    </row>
    <row r="30" spans="2:15" ht="15.75" thickBot="1">
      <c r="B30" s="173" t="s">
        <v>1215</v>
      </c>
      <c r="C30" s="899"/>
      <c r="D30" s="899"/>
      <c r="E30" s="899"/>
      <c r="F30" s="899"/>
      <c r="G30" s="900"/>
      <c r="H30" s="1"/>
      <c r="I30" s="1"/>
    </row>
    <row r="31" spans="2:15" ht="15">
      <c r="H31" s="1"/>
      <c r="I31" s="1"/>
    </row>
    <row r="32" spans="2:15" ht="15">
      <c r="B32" s="671"/>
    </row>
    <row r="33" spans="2:15" ht="15">
      <c r="B33" s="671"/>
    </row>
    <row r="37" spans="2:15">
      <c r="O37" s="76" t="s">
        <v>1216</v>
      </c>
    </row>
  </sheetData>
  <sheetProtection password="C2EC" sheet="1" objects="1" scenarios="1"/>
  <mergeCells count="4">
    <mergeCell ref="B2:O2"/>
    <mergeCell ref="B27:G27"/>
    <mergeCell ref="C4:E4"/>
    <mergeCell ref="F4:N4"/>
  </mergeCells>
  <printOptions horizontalCentered="1"/>
  <pageMargins left="0.5" right="0.5" top="0.5" bottom="1" header="0.5" footer="0.5"/>
  <pageSetup scale="92" orientation="landscape" horizontalDpi="300" verticalDpi="300" r:id="rId1"/>
  <headerFooter alignWithMargins="0">
    <oddFooter>&amp;R&amp;D</oddFooter>
  </headerFooter>
  <legacyDrawing r:id="rId2"/>
</worksheet>
</file>

<file path=xl/worksheets/sheet8.xml><?xml version="1.0" encoding="utf-8"?>
<worksheet xmlns="http://schemas.openxmlformats.org/spreadsheetml/2006/main" xmlns:r="http://schemas.openxmlformats.org/officeDocument/2006/relationships">
  <sheetPr codeName="Sheet8">
    <pageSetUpPr autoPageBreaks="0" fitToPage="1"/>
  </sheetPr>
  <dimension ref="B3:L34"/>
  <sheetViews>
    <sheetView showGridLines="0" zoomScale="75" workbookViewId="0">
      <selection activeCell="E41" sqref="E41"/>
    </sheetView>
  </sheetViews>
  <sheetFormatPr defaultRowHeight="12.75"/>
  <cols>
    <col min="1" max="1" width="3.5703125" style="76" customWidth="1"/>
    <col min="2" max="2" width="13.140625" style="76" bestFit="1" customWidth="1"/>
    <col min="3" max="3" width="11.7109375" style="76" customWidth="1"/>
    <col min="4" max="4" width="12.5703125" style="76" bestFit="1" customWidth="1"/>
    <col min="5" max="5" width="13.7109375" style="76" bestFit="1" customWidth="1"/>
    <col min="6" max="6" width="12.28515625" style="76" customWidth="1"/>
    <col min="7" max="7" width="10.28515625" style="76" bestFit="1" customWidth="1"/>
    <col min="8" max="8" width="8.85546875" style="76" customWidth="1"/>
    <col min="9" max="9" width="12" style="76" bestFit="1" customWidth="1"/>
    <col min="10" max="10" width="10.42578125" style="76" bestFit="1" customWidth="1"/>
    <col min="11" max="11" width="8.7109375" style="76" bestFit="1" customWidth="1"/>
    <col min="12" max="12" width="8.85546875" style="76" customWidth="1"/>
    <col min="13" max="256" width="9.140625" style="76"/>
    <col min="257" max="257" width="3.5703125" style="76" customWidth="1"/>
    <col min="258" max="258" width="13.140625" style="76" bestFit="1" customWidth="1"/>
    <col min="259" max="259" width="11.7109375" style="76" customWidth="1"/>
    <col min="260" max="260" width="12.5703125" style="76" bestFit="1" customWidth="1"/>
    <col min="261" max="261" width="13.7109375" style="76" bestFit="1" customWidth="1"/>
    <col min="262" max="262" width="12.28515625" style="76" customWidth="1"/>
    <col min="263" max="263" width="10.28515625" style="76" bestFit="1" customWidth="1"/>
    <col min="264" max="264" width="8.85546875" style="76" customWidth="1"/>
    <col min="265" max="265" width="12" style="76" bestFit="1" customWidth="1"/>
    <col min="266" max="266" width="10.42578125" style="76" bestFit="1" customWidth="1"/>
    <col min="267" max="267" width="8.7109375" style="76" bestFit="1" customWidth="1"/>
    <col min="268" max="268" width="8.85546875" style="76" customWidth="1"/>
    <col min="269" max="512" width="9.140625" style="76"/>
    <col min="513" max="513" width="3.5703125" style="76" customWidth="1"/>
    <col min="514" max="514" width="13.140625" style="76" bestFit="1" customWidth="1"/>
    <col min="515" max="515" width="11.7109375" style="76" customWidth="1"/>
    <col min="516" max="516" width="12.5703125" style="76" bestFit="1" customWidth="1"/>
    <col min="517" max="517" width="13.7109375" style="76" bestFit="1" customWidth="1"/>
    <col min="518" max="518" width="12.28515625" style="76" customWidth="1"/>
    <col min="519" max="519" width="10.28515625" style="76" bestFit="1" customWidth="1"/>
    <col min="520" max="520" width="8.85546875" style="76" customWidth="1"/>
    <col min="521" max="521" width="12" style="76" bestFit="1" customWidth="1"/>
    <col min="522" max="522" width="10.42578125" style="76" bestFit="1" customWidth="1"/>
    <col min="523" max="523" width="8.7109375" style="76" bestFit="1" customWidth="1"/>
    <col min="524" max="524" width="8.85546875" style="76" customWidth="1"/>
    <col min="525" max="768" width="9.140625" style="76"/>
    <col min="769" max="769" width="3.5703125" style="76" customWidth="1"/>
    <col min="770" max="770" width="13.140625" style="76" bestFit="1" customWidth="1"/>
    <col min="771" max="771" width="11.7109375" style="76" customWidth="1"/>
    <col min="772" max="772" width="12.5703125" style="76" bestFit="1" customWidth="1"/>
    <col min="773" max="773" width="13.7109375" style="76" bestFit="1" customWidth="1"/>
    <col min="774" max="774" width="12.28515625" style="76" customWidth="1"/>
    <col min="775" max="775" width="10.28515625" style="76" bestFit="1" customWidth="1"/>
    <col min="776" max="776" width="8.85546875" style="76" customWidth="1"/>
    <col min="777" max="777" width="12" style="76" bestFit="1" customWidth="1"/>
    <col min="778" max="778" width="10.42578125" style="76" bestFit="1" customWidth="1"/>
    <col min="779" max="779" width="8.7109375" style="76" bestFit="1" customWidth="1"/>
    <col min="780" max="780" width="8.85546875" style="76" customWidth="1"/>
    <col min="781" max="1024" width="9.140625" style="76"/>
    <col min="1025" max="1025" width="3.5703125" style="76" customWidth="1"/>
    <col min="1026" max="1026" width="13.140625" style="76" bestFit="1" customWidth="1"/>
    <col min="1027" max="1027" width="11.7109375" style="76" customWidth="1"/>
    <col min="1028" max="1028" width="12.5703125" style="76" bestFit="1" customWidth="1"/>
    <col min="1029" max="1029" width="13.7109375" style="76" bestFit="1" customWidth="1"/>
    <col min="1030" max="1030" width="12.28515625" style="76" customWidth="1"/>
    <col min="1031" max="1031" width="10.28515625" style="76" bestFit="1" customWidth="1"/>
    <col min="1032" max="1032" width="8.85546875" style="76" customWidth="1"/>
    <col min="1033" max="1033" width="12" style="76" bestFit="1" customWidth="1"/>
    <col min="1034" max="1034" width="10.42578125" style="76" bestFit="1" customWidth="1"/>
    <col min="1035" max="1035" width="8.7109375" style="76" bestFit="1" customWidth="1"/>
    <col min="1036" max="1036" width="8.85546875" style="76" customWidth="1"/>
    <col min="1037" max="1280" width="9.140625" style="76"/>
    <col min="1281" max="1281" width="3.5703125" style="76" customWidth="1"/>
    <col min="1282" max="1282" width="13.140625" style="76" bestFit="1" customWidth="1"/>
    <col min="1283" max="1283" width="11.7109375" style="76" customWidth="1"/>
    <col min="1284" max="1284" width="12.5703125" style="76" bestFit="1" customWidth="1"/>
    <col min="1285" max="1285" width="13.7109375" style="76" bestFit="1" customWidth="1"/>
    <col min="1286" max="1286" width="12.28515625" style="76" customWidth="1"/>
    <col min="1287" max="1287" width="10.28515625" style="76" bestFit="1" customWidth="1"/>
    <col min="1288" max="1288" width="8.85546875" style="76" customWidth="1"/>
    <col min="1289" max="1289" width="12" style="76" bestFit="1" customWidth="1"/>
    <col min="1290" max="1290" width="10.42578125" style="76" bestFit="1" customWidth="1"/>
    <col min="1291" max="1291" width="8.7109375" style="76" bestFit="1" customWidth="1"/>
    <col min="1292" max="1292" width="8.85546875" style="76" customWidth="1"/>
    <col min="1293" max="1536" width="9.140625" style="76"/>
    <col min="1537" max="1537" width="3.5703125" style="76" customWidth="1"/>
    <col min="1538" max="1538" width="13.140625" style="76" bestFit="1" customWidth="1"/>
    <col min="1539" max="1539" width="11.7109375" style="76" customWidth="1"/>
    <col min="1540" max="1540" width="12.5703125" style="76" bestFit="1" customWidth="1"/>
    <col min="1541" max="1541" width="13.7109375" style="76" bestFit="1" customWidth="1"/>
    <col min="1542" max="1542" width="12.28515625" style="76" customWidth="1"/>
    <col min="1543" max="1543" width="10.28515625" style="76" bestFit="1" customWidth="1"/>
    <col min="1544" max="1544" width="8.85546875" style="76" customWidth="1"/>
    <col min="1545" max="1545" width="12" style="76" bestFit="1" customWidth="1"/>
    <col min="1546" max="1546" width="10.42578125" style="76" bestFit="1" customWidth="1"/>
    <col min="1547" max="1547" width="8.7109375" style="76" bestFit="1" customWidth="1"/>
    <col min="1548" max="1548" width="8.85546875" style="76" customWidth="1"/>
    <col min="1549" max="1792" width="9.140625" style="76"/>
    <col min="1793" max="1793" width="3.5703125" style="76" customWidth="1"/>
    <col min="1794" max="1794" width="13.140625" style="76" bestFit="1" customWidth="1"/>
    <col min="1795" max="1795" width="11.7109375" style="76" customWidth="1"/>
    <col min="1796" max="1796" width="12.5703125" style="76" bestFit="1" customWidth="1"/>
    <col min="1797" max="1797" width="13.7109375" style="76" bestFit="1" customWidth="1"/>
    <col min="1798" max="1798" width="12.28515625" style="76" customWidth="1"/>
    <col min="1799" max="1799" width="10.28515625" style="76" bestFit="1" customWidth="1"/>
    <col min="1800" max="1800" width="8.85546875" style="76" customWidth="1"/>
    <col min="1801" max="1801" width="12" style="76" bestFit="1" customWidth="1"/>
    <col min="1802" max="1802" width="10.42578125" style="76" bestFit="1" customWidth="1"/>
    <col min="1803" max="1803" width="8.7109375" style="76" bestFit="1" customWidth="1"/>
    <col min="1804" max="1804" width="8.85546875" style="76" customWidth="1"/>
    <col min="1805" max="2048" width="9.140625" style="76"/>
    <col min="2049" max="2049" width="3.5703125" style="76" customWidth="1"/>
    <col min="2050" max="2050" width="13.140625" style="76" bestFit="1" customWidth="1"/>
    <col min="2051" max="2051" width="11.7109375" style="76" customWidth="1"/>
    <col min="2052" max="2052" width="12.5703125" style="76" bestFit="1" customWidth="1"/>
    <col min="2053" max="2053" width="13.7109375" style="76" bestFit="1" customWidth="1"/>
    <col min="2054" max="2054" width="12.28515625" style="76" customWidth="1"/>
    <col min="2055" max="2055" width="10.28515625" style="76" bestFit="1" customWidth="1"/>
    <col min="2056" max="2056" width="8.85546875" style="76" customWidth="1"/>
    <col min="2057" max="2057" width="12" style="76" bestFit="1" customWidth="1"/>
    <col min="2058" max="2058" width="10.42578125" style="76" bestFit="1" customWidth="1"/>
    <col min="2059" max="2059" width="8.7109375" style="76" bestFit="1" customWidth="1"/>
    <col min="2060" max="2060" width="8.85546875" style="76" customWidth="1"/>
    <col min="2061" max="2304" width="9.140625" style="76"/>
    <col min="2305" max="2305" width="3.5703125" style="76" customWidth="1"/>
    <col min="2306" max="2306" width="13.140625" style="76" bestFit="1" customWidth="1"/>
    <col min="2307" max="2307" width="11.7109375" style="76" customWidth="1"/>
    <col min="2308" max="2308" width="12.5703125" style="76" bestFit="1" customWidth="1"/>
    <col min="2309" max="2309" width="13.7109375" style="76" bestFit="1" customWidth="1"/>
    <col min="2310" max="2310" width="12.28515625" style="76" customWidth="1"/>
    <col min="2311" max="2311" width="10.28515625" style="76" bestFit="1" customWidth="1"/>
    <col min="2312" max="2312" width="8.85546875" style="76" customWidth="1"/>
    <col min="2313" max="2313" width="12" style="76" bestFit="1" customWidth="1"/>
    <col min="2314" max="2314" width="10.42578125" style="76" bestFit="1" customWidth="1"/>
    <col min="2315" max="2315" width="8.7109375" style="76" bestFit="1" customWidth="1"/>
    <col min="2316" max="2316" width="8.85546875" style="76" customWidth="1"/>
    <col min="2317" max="2560" width="9.140625" style="76"/>
    <col min="2561" max="2561" width="3.5703125" style="76" customWidth="1"/>
    <col min="2562" max="2562" width="13.140625" style="76" bestFit="1" customWidth="1"/>
    <col min="2563" max="2563" width="11.7109375" style="76" customWidth="1"/>
    <col min="2564" max="2564" width="12.5703125" style="76" bestFit="1" customWidth="1"/>
    <col min="2565" max="2565" width="13.7109375" style="76" bestFit="1" customWidth="1"/>
    <col min="2566" max="2566" width="12.28515625" style="76" customWidth="1"/>
    <col min="2567" max="2567" width="10.28515625" style="76" bestFit="1" customWidth="1"/>
    <col min="2568" max="2568" width="8.85546875" style="76" customWidth="1"/>
    <col min="2569" max="2569" width="12" style="76" bestFit="1" customWidth="1"/>
    <col min="2570" max="2570" width="10.42578125" style="76" bestFit="1" customWidth="1"/>
    <col min="2571" max="2571" width="8.7109375" style="76" bestFit="1" customWidth="1"/>
    <col min="2572" max="2572" width="8.85546875" style="76" customWidth="1"/>
    <col min="2573" max="2816" width="9.140625" style="76"/>
    <col min="2817" max="2817" width="3.5703125" style="76" customWidth="1"/>
    <col min="2818" max="2818" width="13.140625" style="76" bestFit="1" customWidth="1"/>
    <col min="2819" max="2819" width="11.7109375" style="76" customWidth="1"/>
    <col min="2820" max="2820" width="12.5703125" style="76" bestFit="1" customWidth="1"/>
    <col min="2821" max="2821" width="13.7109375" style="76" bestFit="1" customWidth="1"/>
    <col min="2822" max="2822" width="12.28515625" style="76" customWidth="1"/>
    <col min="2823" max="2823" width="10.28515625" style="76" bestFit="1" customWidth="1"/>
    <col min="2824" max="2824" width="8.85546875" style="76" customWidth="1"/>
    <col min="2825" max="2825" width="12" style="76" bestFit="1" customWidth="1"/>
    <col min="2826" max="2826" width="10.42578125" style="76" bestFit="1" customWidth="1"/>
    <col min="2827" max="2827" width="8.7109375" style="76" bestFit="1" customWidth="1"/>
    <col min="2828" max="2828" width="8.85546875" style="76" customWidth="1"/>
    <col min="2829" max="3072" width="9.140625" style="76"/>
    <col min="3073" max="3073" width="3.5703125" style="76" customWidth="1"/>
    <col min="3074" max="3074" width="13.140625" style="76" bestFit="1" customWidth="1"/>
    <col min="3075" max="3075" width="11.7109375" style="76" customWidth="1"/>
    <col min="3076" max="3076" width="12.5703125" style="76" bestFit="1" customWidth="1"/>
    <col min="3077" max="3077" width="13.7109375" style="76" bestFit="1" customWidth="1"/>
    <col min="3078" max="3078" width="12.28515625" style="76" customWidth="1"/>
    <col min="3079" max="3079" width="10.28515625" style="76" bestFit="1" customWidth="1"/>
    <col min="3080" max="3080" width="8.85546875" style="76" customWidth="1"/>
    <col min="3081" max="3081" width="12" style="76" bestFit="1" customWidth="1"/>
    <col min="3082" max="3082" width="10.42578125" style="76" bestFit="1" customWidth="1"/>
    <col min="3083" max="3083" width="8.7109375" style="76" bestFit="1" customWidth="1"/>
    <col min="3084" max="3084" width="8.85546875" style="76" customWidth="1"/>
    <col min="3085" max="3328" width="9.140625" style="76"/>
    <col min="3329" max="3329" width="3.5703125" style="76" customWidth="1"/>
    <col min="3330" max="3330" width="13.140625" style="76" bestFit="1" customWidth="1"/>
    <col min="3331" max="3331" width="11.7109375" style="76" customWidth="1"/>
    <col min="3332" max="3332" width="12.5703125" style="76" bestFit="1" customWidth="1"/>
    <col min="3333" max="3333" width="13.7109375" style="76" bestFit="1" customWidth="1"/>
    <col min="3334" max="3334" width="12.28515625" style="76" customWidth="1"/>
    <col min="3335" max="3335" width="10.28515625" style="76" bestFit="1" customWidth="1"/>
    <col min="3336" max="3336" width="8.85546875" style="76" customWidth="1"/>
    <col min="3337" max="3337" width="12" style="76" bestFit="1" customWidth="1"/>
    <col min="3338" max="3338" width="10.42578125" style="76" bestFit="1" customWidth="1"/>
    <col min="3339" max="3339" width="8.7109375" style="76" bestFit="1" customWidth="1"/>
    <col min="3340" max="3340" width="8.85546875" style="76" customWidth="1"/>
    <col min="3341" max="3584" width="9.140625" style="76"/>
    <col min="3585" max="3585" width="3.5703125" style="76" customWidth="1"/>
    <col min="3586" max="3586" width="13.140625" style="76" bestFit="1" customWidth="1"/>
    <col min="3587" max="3587" width="11.7109375" style="76" customWidth="1"/>
    <col min="3588" max="3588" width="12.5703125" style="76" bestFit="1" customWidth="1"/>
    <col min="3589" max="3589" width="13.7109375" style="76" bestFit="1" customWidth="1"/>
    <col min="3590" max="3590" width="12.28515625" style="76" customWidth="1"/>
    <col min="3591" max="3591" width="10.28515625" style="76" bestFit="1" customWidth="1"/>
    <col min="3592" max="3592" width="8.85546875" style="76" customWidth="1"/>
    <col min="3593" max="3593" width="12" style="76" bestFit="1" customWidth="1"/>
    <col min="3594" max="3594" width="10.42578125" style="76" bestFit="1" customWidth="1"/>
    <col min="3595" max="3595" width="8.7109375" style="76" bestFit="1" customWidth="1"/>
    <col min="3596" max="3596" width="8.85546875" style="76" customWidth="1"/>
    <col min="3597" max="3840" width="9.140625" style="76"/>
    <col min="3841" max="3841" width="3.5703125" style="76" customWidth="1"/>
    <col min="3842" max="3842" width="13.140625" style="76" bestFit="1" customWidth="1"/>
    <col min="3843" max="3843" width="11.7109375" style="76" customWidth="1"/>
    <col min="3844" max="3844" width="12.5703125" style="76" bestFit="1" customWidth="1"/>
    <col min="3845" max="3845" width="13.7109375" style="76" bestFit="1" customWidth="1"/>
    <col min="3846" max="3846" width="12.28515625" style="76" customWidth="1"/>
    <col min="3847" max="3847" width="10.28515625" style="76" bestFit="1" customWidth="1"/>
    <col min="3848" max="3848" width="8.85546875" style="76" customWidth="1"/>
    <col min="3849" max="3849" width="12" style="76" bestFit="1" customWidth="1"/>
    <col min="3850" max="3850" width="10.42578125" style="76" bestFit="1" customWidth="1"/>
    <col min="3851" max="3851" width="8.7109375" style="76" bestFit="1" customWidth="1"/>
    <col min="3852" max="3852" width="8.85546875" style="76" customWidth="1"/>
    <col min="3853" max="4096" width="9.140625" style="76"/>
    <col min="4097" max="4097" width="3.5703125" style="76" customWidth="1"/>
    <col min="4098" max="4098" width="13.140625" style="76" bestFit="1" customWidth="1"/>
    <col min="4099" max="4099" width="11.7109375" style="76" customWidth="1"/>
    <col min="4100" max="4100" width="12.5703125" style="76" bestFit="1" customWidth="1"/>
    <col min="4101" max="4101" width="13.7109375" style="76" bestFit="1" customWidth="1"/>
    <col min="4102" max="4102" width="12.28515625" style="76" customWidth="1"/>
    <col min="4103" max="4103" width="10.28515625" style="76" bestFit="1" customWidth="1"/>
    <col min="4104" max="4104" width="8.85546875" style="76" customWidth="1"/>
    <col min="4105" max="4105" width="12" style="76" bestFit="1" customWidth="1"/>
    <col min="4106" max="4106" width="10.42578125" style="76" bestFit="1" customWidth="1"/>
    <col min="4107" max="4107" width="8.7109375" style="76" bestFit="1" customWidth="1"/>
    <col min="4108" max="4108" width="8.85546875" style="76" customWidth="1"/>
    <col min="4109" max="4352" width="9.140625" style="76"/>
    <col min="4353" max="4353" width="3.5703125" style="76" customWidth="1"/>
    <col min="4354" max="4354" width="13.140625" style="76" bestFit="1" customWidth="1"/>
    <col min="4355" max="4355" width="11.7109375" style="76" customWidth="1"/>
    <col min="4356" max="4356" width="12.5703125" style="76" bestFit="1" customWidth="1"/>
    <col min="4357" max="4357" width="13.7109375" style="76" bestFit="1" customWidth="1"/>
    <col min="4358" max="4358" width="12.28515625" style="76" customWidth="1"/>
    <col min="4359" max="4359" width="10.28515625" style="76" bestFit="1" customWidth="1"/>
    <col min="4360" max="4360" width="8.85546875" style="76" customWidth="1"/>
    <col min="4361" max="4361" width="12" style="76" bestFit="1" customWidth="1"/>
    <col min="4362" max="4362" width="10.42578125" style="76" bestFit="1" customWidth="1"/>
    <col min="4363" max="4363" width="8.7109375" style="76" bestFit="1" customWidth="1"/>
    <col min="4364" max="4364" width="8.85546875" style="76" customWidth="1"/>
    <col min="4365" max="4608" width="9.140625" style="76"/>
    <col min="4609" max="4609" width="3.5703125" style="76" customWidth="1"/>
    <col min="4610" max="4610" width="13.140625" style="76" bestFit="1" customWidth="1"/>
    <col min="4611" max="4611" width="11.7109375" style="76" customWidth="1"/>
    <col min="4612" max="4612" width="12.5703125" style="76" bestFit="1" customWidth="1"/>
    <col min="4613" max="4613" width="13.7109375" style="76" bestFit="1" customWidth="1"/>
    <col min="4614" max="4614" width="12.28515625" style="76" customWidth="1"/>
    <col min="4615" max="4615" width="10.28515625" style="76" bestFit="1" customWidth="1"/>
    <col min="4616" max="4616" width="8.85546875" style="76" customWidth="1"/>
    <col min="4617" max="4617" width="12" style="76" bestFit="1" customWidth="1"/>
    <col min="4618" max="4618" width="10.42578125" style="76" bestFit="1" customWidth="1"/>
    <col min="4619" max="4619" width="8.7109375" style="76" bestFit="1" customWidth="1"/>
    <col min="4620" max="4620" width="8.85546875" style="76" customWidth="1"/>
    <col min="4621" max="4864" width="9.140625" style="76"/>
    <col min="4865" max="4865" width="3.5703125" style="76" customWidth="1"/>
    <col min="4866" max="4866" width="13.140625" style="76" bestFit="1" customWidth="1"/>
    <col min="4867" max="4867" width="11.7109375" style="76" customWidth="1"/>
    <col min="4868" max="4868" width="12.5703125" style="76" bestFit="1" customWidth="1"/>
    <col min="4869" max="4869" width="13.7109375" style="76" bestFit="1" customWidth="1"/>
    <col min="4870" max="4870" width="12.28515625" style="76" customWidth="1"/>
    <col min="4871" max="4871" width="10.28515625" style="76" bestFit="1" customWidth="1"/>
    <col min="4872" max="4872" width="8.85546875" style="76" customWidth="1"/>
    <col min="4873" max="4873" width="12" style="76" bestFit="1" customWidth="1"/>
    <col min="4874" max="4874" width="10.42578125" style="76" bestFit="1" customWidth="1"/>
    <col min="4875" max="4875" width="8.7109375" style="76" bestFit="1" customWidth="1"/>
    <col min="4876" max="4876" width="8.85546875" style="76" customWidth="1"/>
    <col min="4877" max="5120" width="9.140625" style="76"/>
    <col min="5121" max="5121" width="3.5703125" style="76" customWidth="1"/>
    <col min="5122" max="5122" width="13.140625" style="76" bestFit="1" customWidth="1"/>
    <col min="5123" max="5123" width="11.7109375" style="76" customWidth="1"/>
    <col min="5124" max="5124" width="12.5703125" style="76" bestFit="1" customWidth="1"/>
    <col min="5125" max="5125" width="13.7109375" style="76" bestFit="1" customWidth="1"/>
    <col min="5126" max="5126" width="12.28515625" style="76" customWidth="1"/>
    <col min="5127" max="5127" width="10.28515625" style="76" bestFit="1" customWidth="1"/>
    <col min="5128" max="5128" width="8.85546875" style="76" customWidth="1"/>
    <col min="5129" max="5129" width="12" style="76" bestFit="1" customWidth="1"/>
    <col min="5130" max="5130" width="10.42578125" style="76" bestFit="1" customWidth="1"/>
    <col min="5131" max="5131" width="8.7109375" style="76" bestFit="1" customWidth="1"/>
    <col min="5132" max="5132" width="8.85546875" style="76" customWidth="1"/>
    <col min="5133" max="5376" width="9.140625" style="76"/>
    <col min="5377" max="5377" width="3.5703125" style="76" customWidth="1"/>
    <col min="5378" max="5378" width="13.140625" style="76" bestFit="1" customWidth="1"/>
    <col min="5379" max="5379" width="11.7109375" style="76" customWidth="1"/>
    <col min="5380" max="5380" width="12.5703125" style="76" bestFit="1" customWidth="1"/>
    <col min="5381" max="5381" width="13.7109375" style="76" bestFit="1" customWidth="1"/>
    <col min="5382" max="5382" width="12.28515625" style="76" customWidth="1"/>
    <col min="5383" max="5383" width="10.28515625" style="76" bestFit="1" customWidth="1"/>
    <col min="5384" max="5384" width="8.85546875" style="76" customWidth="1"/>
    <col min="5385" max="5385" width="12" style="76" bestFit="1" customWidth="1"/>
    <col min="5386" max="5386" width="10.42578125" style="76" bestFit="1" customWidth="1"/>
    <col min="5387" max="5387" width="8.7109375" style="76" bestFit="1" customWidth="1"/>
    <col min="5388" max="5388" width="8.85546875" style="76" customWidth="1"/>
    <col min="5389" max="5632" width="9.140625" style="76"/>
    <col min="5633" max="5633" width="3.5703125" style="76" customWidth="1"/>
    <col min="5634" max="5634" width="13.140625" style="76" bestFit="1" customWidth="1"/>
    <col min="5635" max="5635" width="11.7109375" style="76" customWidth="1"/>
    <col min="5636" max="5636" width="12.5703125" style="76" bestFit="1" customWidth="1"/>
    <col min="5637" max="5637" width="13.7109375" style="76" bestFit="1" customWidth="1"/>
    <col min="5638" max="5638" width="12.28515625" style="76" customWidth="1"/>
    <col min="5639" max="5639" width="10.28515625" style="76" bestFit="1" customWidth="1"/>
    <col min="5640" max="5640" width="8.85546875" style="76" customWidth="1"/>
    <col min="5641" max="5641" width="12" style="76" bestFit="1" customWidth="1"/>
    <col min="5642" max="5642" width="10.42578125" style="76" bestFit="1" customWidth="1"/>
    <col min="5643" max="5643" width="8.7109375" style="76" bestFit="1" customWidth="1"/>
    <col min="5644" max="5644" width="8.85546875" style="76" customWidth="1"/>
    <col min="5645" max="5888" width="9.140625" style="76"/>
    <col min="5889" max="5889" width="3.5703125" style="76" customWidth="1"/>
    <col min="5890" max="5890" width="13.140625" style="76" bestFit="1" customWidth="1"/>
    <col min="5891" max="5891" width="11.7109375" style="76" customWidth="1"/>
    <col min="5892" max="5892" width="12.5703125" style="76" bestFit="1" customWidth="1"/>
    <col min="5893" max="5893" width="13.7109375" style="76" bestFit="1" customWidth="1"/>
    <col min="5894" max="5894" width="12.28515625" style="76" customWidth="1"/>
    <col min="5895" max="5895" width="10.28515625" style="76" bestFit="1" customWidth="1"/>
    <col min="5896" max="5896" width="8.85546875" style="76" customWidth="1"/>
    <col min="5897" max="5897" width="12" style="76" bestFit="1" customWidth="1"/>
    <col min="5898" max="5898" width="10.42578125" style="76" bestFit="1" customWidth="1"/>
    <col min="5899" max="5899" width="8.7109375" style="76" bestFit="1" customWidth="1"/>
    <col min="5900" max="5900" width="8.85546875" style="76" customWidth="1"/>
    <col min="5901" max="6144" width="9.140625" style="76"/>
    <col min="6145" max="6145" width="3.5703125" style="76" customWidth="1"/>
    <col min="6146" max="6146" width="13.140625" style="76" bestFit="1" customWidth="1"/>
    <col min="6147" max="6147" width="11.7109375" style="76" customWidth="1"/>
    <col min="6148" max="6148" width="12.5703125" style="76" bestFit="1" customWidth="1"/>
    <col min="6149" max="6149" width="13.7109375" style="76" bestFit="1" customWidth="1"/>
    <col min="6150" max="6150" width="12.28515625" style="76" customWidth="1"/>
    <col min="6151" max="6151" width="10.28515625" style="76" bestFit="1" customWidth="1"/>
    <col min="6152" max="6152" width="8.85546875" style="76" customWidth="1"/>
    <col min="6153" max="6153" width="12" style="76" bestFit="1" customWidth="1"/>
    <col min="6154" max="6154" width="10.42578125" style="76" bestFit="1" customWidth="1"/>
    <col min="6155" max="6155" width="8.7109375" style="76" bestFit="1" customWidth="1"/>
    <col min="6156" max="6156" width="8.85546875" style="76" customWidth="1"/>
    <col min="6157" max="6400" width="9.140625" style="76"/>
    <col min="6401" max="6401" width="3.5703125" style="76" customWidth="1"/>
    <col min="6402" max="6402" width="13.140625" style="76" bestFit="1" customWidth="1"/>
    <col min="6403" max="6403" width="11.7109375" style="76" customWidth="1"/>
    <col min="6404" max="6404" width="12.5703125" style="76" bestFit="1" customWidth="1"/>
    <col min="6405" max="6405" width="13.7109375" style="76" bestFit="1" customWidth="1"/>
    <col min="6406" max="6406" width="12.28515625" style="76" customWidth="1"/>
    <col min="6407" max="6407" width="10.28515625" style="76" bestFit="1" customWidth="1"/>
    <col min="6408" max="6408" width="8.85546875" style="76" customWidth="1"/>
    <col min="6409" max="6409" width="12" style="76" bestFit="1" customWidth="1"/>
    <col min="6410" max="6410" width="10.42578125" style="76" bestFit="1" customWidth="1"/>
    <col min="6411" max="6411" width="8.7109375" style="76" bestFit="1" customWidth="1"/>
    <col min="6412" max="6412" width="8.85546875" style="76" customWidth="1"/>
    <col min="6413" max="6656" width="9.140625" style="76"/>
    <col min="6657" max="6657" width="3.5703125" style="76" customWidth="1"/>
    <col min="6658" max="6658" width="13.140625" style="76" bestFit="1" customWidth="1"/>
    <col min="6659" max="6659" width="11.7109375" style="76" customWidth="1"/>
    <col min="6660" max="6660" width="12.5703125" style="76" bestFit="1" customWidth="1"/>
    <col min="6661" max="6661" width="13.7109375" style="76" bestFit="1" customWidth="1"/>
    <col min="6662" max="6662" width="12.28515625" style="76" customWidth="1"/>
    <col min="6663" max="6663" width="10.28515625" style="76" bestFit="1" customWidth="1"/>
    <col min="6664" max="6664" width="8.85546875" style="76" customWidth="1"/>
    <col min="6665" max="6665" width="12" style="76" bestFit="1" customWidth="1"/>
    <col min="6666" max="6666" width="10.42578125" style="76" bestFit="1" customWidth="1"/>
    <col min="6667" max="6667" width="8.7109375" style="76" bestFit="1" customWidth="1"/>
    <col min="6668" max="6668" width="8.85546875" style="76" customWidth="1"/>
    <col min="6669" max="6912" width="9.140625" style="76"/>
    <col min="6913" max="6913" width="3.5703125" style="76" customWidth="1"/>
    <col min="6914" max="6914" width="13.140625" style="76" bestFit="1" customWidth="1"/>
    <col min="6915" max="6915" width="11.7109375" style="76" customWidth="1"/>
    <col min="6916" max="6916" width="12.5703125" style="76" bestFit="1" customWidth="1"/>
    <col min="6917" max="6917" width="13.7109375" style="76" bestFit="1" customWidth="1"/>
    <col min="6918" max="6918" width="12.28515625" style="76" customWidth="1"/>
    <col min="6919" max="6919" width="10.28515625" style="76" bestFit="1" customWidth="1"/>
    <col min="6920" max="6920" width="8.85546875" style="76" customWidth="1"/>
    <col min="6921" max="6921" width="12" style="76" bestFit="1" customWidth="1"/>
    <col min="6922" max="6922" width="10.42578125" style="76" bestFit="1" customWidth="1"/>
    <col min="6923" max="6923" width="8.7109375" style="76" bestFit="1" customWidth="1"/>
    <col min="6924" max="6924" width="8.85546875" style="76" customWidth="1"/>
    <col min="6925" max="7168" width="9.140625" style="76"/>
    <col min="7169" max="7169" width="3.5703125" style="76" customWidth="1"/>
    <col min="7170" max="7170" width="13.140625" style="76" bestFit="1" customWidth="1"/>
    <col min="7171" max="7171" width="11.7109375" style="76" customWidth="1"/>
    <col min="7172" max="7172" width="12.5703125" style="76" bestFit="1" customWidth="1"/>
    <col min="7173" max="7173" width="13.7109375" style="76" bestFit="1" customWidth="1"/>
    <col min="7174" max="7174" width="12.28515625" style="76" customWidth="1"/>
    <col min="7175" max="7175" width="10.28515625" style="76" bestFit="1" customWidth="1"/>
    <col min="7176" max="7176" width="8.85546875" style="76" customWidth="1"/>
    <col min="7177" max="7177" width="12" style="76" bestFit="1" customWidth="1"/>
    <col min="7178" max="7178" width="10.42578125" style="76" bestFit="1" customWidth="1"/>
    <col min="7179" max="7179" width="8.7109375" style="76" bestFit="1" customWidth="1"/>
    <col min="7180" max="7180" width="8.85546875" style="76" customWidth="1"/>
    <col min="7181" max="7424" width="9.140625" style="76"/>
    <col min="7425" max="7425" width="3.5703125" style="76" customWidth="1"/>
    <col min="7426" max="7426" width="13.140625" style="76" bestFit="1" customWidth="1"/>
    <col min="7427" max="7427" width="11.7109375" style="76" customWidth="1"/>
    <col min="7428" max="7428" width="12.5703125" style="76" bestFit="1" customWidth="1"/>
    <col min="7429" max="7429" width="13.7109375" style="76" bestFit="1" customWidth="1"/>
    <col min="7430" max="7430" width="12.28515625" style="76" customWidth="1"/>
    <col min="7431" max="7431" width="10.28515625" style="76" bestFit="1" customWidth="1"/>
    <col min="7432" max="7432" width="8.85546875" style="76" customWidth="1"/>
    <col min="7433" max="7433" width="12" style="76" bestFit="1" customWidth="1"/>
    <col min="7434" max="7434" width="10.42578125" style="76" bestFit="1" customWidth="1"/>
    <col min="7435" max="7435" width="8.7109375" style="76" bestFit="1" customWidth="1"/>
    <col min="7436" max="7436" width="8.85546875" style="76" customWidth="1"/>
    <col min="7437" max="7680" width="9.140625" style="76"/>
    <col min="7681" max="7681" width="3.5703125" style="76" customWidth="1"/>
    <col min="7682" max="7682" width="13.140625" style="76" bestFit="1" customWidth="1"/>
    <col min="7683" max="7683" width="11.7109375" style="76" customWidth="1"/>
    <col min="7684" max="7684" width="12.5703125" style="76" bestFit="1" customWidth="1"/>
    <col min="7685" max="7685" width="13.7109375" style="76" bestFit="1" customWidth="1"/>
    <col min="7686" max="7686" width="12.28515625" style="76" customWidth="1"/>
    <col min="7687" max="7687" width="10.28515625" style="76" bestFit="1" customWidth="1"/>
    <col min="7688" max="7688" width="8.85546875" style="76" customWidth="1"/>
    <col min="7689" max="7689" width="12" style="76" bestFit="1" customWidth="1"/>
    <col min="7690" max="7690" width="10.42578125" style="76" bestFit="1" customWidth="1"/>
    <col min="7691" max="7691" width="8.7109375" style="76" bestFit="1" customWidth="1"/>
    <col min="7692" max="7692" width="8.85546875" style="76" customWidth="1"/>
    <col min="7693" max="7936" width="9.140625" style="76"/>
    <col min="7937" max="7937" width="3.5703125" style="76" customWidth="1"/>
    <col min="7938" max="7938" width="13.140625" style="76" bestFit="1" customWidth="1"/>
    <col min="7939" max="7939" width="11.7109375" style="76" customWidth="1"/>
    <col min="7940" max="7940" width="12.5703125" style="76" bestFit="1" customWidth="1"/>
    <col min="7941" max="7941" width="13.7109375" style="76" bestFit="1" customWidth="1"/>
    <col min="7942" max="7942" width="12.28515625" style="76" customWidth="1"/>
    <col min="7943" max="7943" width="10.28515625" style="76" bestFit="1" customWidth="1"/>
    <col min="7944" max="7944" width="8.85546875" style="76" customWidth="1"/>
    <col min="7945" max="7945" width="12" style="76" bestFit="1" customWidth="1"/>
    <col min="7946" max="7946" width="10.42578125" style="76" bestFit="1" customWidth="1"/>
    <col min="7947" max="7947" width="8.7109375" style="76" bestFit="1" customWidth="1"/>
    <col min="7948" max="7948" width="8.85546875" style="76" customWidth="1"/>
    <col min="7949" max="8192" width="9.140625" style="76"/>
    <col min="8193" max="8193" width="3.5703125" style="76" customWidth="1"/>
    <col min="8194" max="8194" width="13.140625" style="76" bestFit="1" customWidth="1"/>
    <col min="8195" max="8195" width="11.7109375" style="76" customWidth="1"/>
    <col min="8196" max="8196" width="12.5703125" style="76" bestFit="1" customWidth="1"/>
    <col min="8197" max="8197" width="13.7109375" style="76" bestFit="1" customWidth="1"/>
    <col min="8198" max="8198" width="12.28515625" style="76" customWidth="1"/>
    <col min="8199" max="8199" width="10.28515625" style="76" bestFit="1" customWidth="1"/>
    <col min="8200" max="8200" width="8.85546875" style="76" customWidth="1"/>
    <col min="8201" max="8201" width="12" style="76" bestFit="1" customWidth="1"/>
    <col min="8202" max="8202" width="10.42578125" style="76" bestFit="1" customWidth="1"/>
    <col min="8203" max="8203" width="8.7109375" style="76" bestFit="1" customWidth="1"/>
    <col min="8204" max="8204" width="8.85546875" style="76" customWidth="1"/>
    <col min="8205" max="8448" width="9.140625" style="76"/>
    <col min="8449" max="8449" width="3.5703125" style="76" customWidth="1"/>
    <col min="8450" max="8450" width="13.140625" style="76" bestFit="1" customWidth="1"/>
    <col min="8451" max="8451" width="11.7109375" style="76" customWidth="1"/>
    <col min="8452" max="8452" width="12.5703125" style="76" bestFit="1" customWidth="1"/>
    <col min="8453" max="8453" width="13.7109375" style="76" bestFit="1" customWidth="1"/>
    <col min="8454" max="8454" width="12.28515625" style="76" customWidth="1"/>
    <col min="8455" max="8455" width="10.28515625" style="76" bestFit="1" customWidth="1"/>
    <col min="8456" max="8456" width="8.85546875" style="76" customWidth="1"/>
    <col min="8457" max="8457" width="12" style="76" bestFit="1" customWidth="1"/>
    <col min="8458" max="8458" width="10.42578125" style="76" bestFit="1" customWidth="1"/>
    <col min="8459" max="8459" width="8.7109375" style="76" bestFit="1" customWidth="1"/>
    <col min="8460" max="8460" width="8.85546875" style="76" customWidth="1"/>
    <col min="8461" max="8704" width="9.140625" style="76"/>
    <col min="8705" max="8705" width="3.5703125" style="76" customWidth="1"/>
    <col min="8706" max="8706" width="13.140625" style="76" bestFit="1" customWidth="1"/>
    <col min="8707" max="8707" width="11.7109375" style="76" customWidth="1"/>
    <col min="8708" max="8708" width="12.5703125" style="76" bestFit="1" customWidth="1"/>
    <col min="8709" max="8709" width="13.7109375" style="76" bestFit="1" customWidth="1"/>
    <col min="8710" max="8710" width="12.28515625" style="76" customWidth="1"/>
    <col min="8711" max="8711" width="10.28515625" style="76" bestFit="1" customWidth="1"/>
    <col min="8712" max="8712" width="8.85546875" style="76" customWidth="1"/>
    <col min="8713" max="8713" width="12" style="76" bestFit="1" customWidth="1"/>
    <col min="8714" max="8714" width="10.42578125" style="76" bestFit="1" customWidth="1"/>
    <col min="8715" max="8715" width="8.7109375" style="76" bestFit="1" customWidth="1"/>
    <col min="8716" max="8716" width="8.85546875" style="76" customWidth="1"/>
    <col min="8717" max="8960" width="9.140625" style="76"/>
    <col min="8961" max="8961" width="3.5703125" style="76" customWidth="1"/>
    <col min="8962" max="8962" width="13.140625" style="76" bestFit="1" customWidth="1"/>
    <col min="8963" max="8963" width="11.7109375" style="76" customWidth="1"/>
    <col min="8964" max="8964" width="12.5703125" style="76" bestFit="1" customWidth="1"/>
    <col min="8965" max="8965" width="13.7109375" style="76" bestFit="1" customWidth="1"/>
    <col min="8966" max="8966" width="12.28515625" style="76" customWidth="1"/>
    <col min="8967" max="8967" width="10.28515625" style="76" bestFit="1" customWidth="1"/>
    <col min="8968" max="8968" width="8.85546875" style="76" customWidth="1"/>
    <col min="8969" max="8969" width="12" style="76" bestFit="1" customWidth="1"/>
    <col min="8970" max="8970" width="10.42578125" style="76" bestFit="1" customWidth="1"/>
    <col min="8971" max="8971" width="8.7109375" style="76" bestFit="1" customWidth="1"/>
    <col min="8972" max="8972" width="8.85546875" style="76" customWidth="1"/>
    <col min="8973" max="9216" width="9.140625" style="76"/>
    <col min="9217" max="9217" width="3.5703125" style="76" customWidth="1"/>
    <col min="9218" max="9218" width="13.140625" style="76" bestFit="1" customWidth="1"/>
    <col min="9219" max="9219" width="11.7109375" style="76" customWidth="1"/>
    <col min="9220" max="9220" width="12.5703125" style="76" bestFit="1" customWidth="1"/>
    <col min="9221" max="9221" width="13.7109375" style="76" bestFit="1" customWidth="1"/>
    <col min="9222" max="9222" width="12.28515625" style="76" customWidth="1"/>
    <col min="9223" max="9223" width="10.28515625" style="76" bestFit="1" customWidth="1"/>
    <col min="9224" max="9224" width="8.85546875" style="76" customWidth="1"/>
    <col min="9225" max="9225" width="12" style="76" bestFit="1" customWidth="1"/>
    <col min="9226" max="9226" width="10.42578125" style="76" bestFit="1" customWidth="1"/>
    <col min="9227" max="9227" width="8.7109375" style="76" bestFit="1" customWidth="1"/>
    <col min="9228" max="9228" width="8.85546875" style="76" customWidth="1"/>
    <col min="9229" max="9472" width="9.140625" style="76"/>
    <col min="9473" max="9473" width="3.5703125" style="76" customWidth="1"/>
    <col min="9474" max="9474" width="13.140625" style="76" bestFit="1" customWidth="1"/>
    <col min="9475" max="9475" width="11.7109375" style="76" customWidth="1"/>
    <col min="9476" max="9476" width="12.5703125" style="76" bestFit="1" customWidth="1"/>
    <col min="9477" max="9477" width="13.7109375" style="76" bestFit="1" customWidth="1"/>
    <col min="9478" max="9478" width="12.28515625" style="76" customWidth="1"/>
    <col min="9479" max="9479" width="10.28515625" style="76" bestFit="1" customWidth="1"/>
    <col min="9480" max="9480" width="8.85546875" style="76" customWidth="1"/>
    <col min="9481" max="9481" width="12" style="76" bestFit="1" customWidth="1"/>
    <col min="9482" max="9482" width="10.42578125" style="76" bestFit="1" customWidth="1"/>
    <col min="9483" max="9483" width="8.7109375" style="76" bestFit="1" customWidth="1"/>
    <col min="9484" max="9484" width="8.85546875" style="76" customWidth="1"/>
    <col min="9485" max="9728" width="9.140625" style="76"/>
    <col min="9729" max="9729" width="3.5703125" style="76" customWidth="1"/>
    <col min="9730" max="9730" width="13.140625" style="76" bestFit="1" customWidth="1"/>
    <col min="9731" max="9731" width="11.7109375" style="76" customWidth="1"/>
    <col min="9732" max="9732" width="12.5703125" style="76" bestFit="1" customWidth="1"/>
    <col min="9733" max="9733" width="13.7109375" style="76" bestFit="1" customWidth="1"/>
    <col min="9734" max="9734" width="12.28515625" style="76" customWidth="1"/>
    <col min="9735" max="9735" width="10.28515625" style="76" bestFit="1" customWidth="1"/>
    <col min="9736" max="9736" width="8.85546875" style="76" customWidth="1"/>
    <col min="9737" max="9737" width="12" style="76" bestFit="1" customWidth="1"/>
    <col min="9738" max="9738" width="10.42578125" style="76" bestFit="1" customWidth="1"/>
    <col min="9739" max="9739" width="8.7109375" style="76" bestFit="1" customWidth="1"/>
    <col min="9740" max="9740" width="8.85546875" style="76" customWidth="1"/>
    <col min="9741" max="9984" width="9.140625" style="76"/>
    <col min="9985" max="9985" width="3.5703125" style="76" customWidth="1"/>
    <col min="9986" max="9986" width="13.140625" style="76" bestFit="1" customWidth="1"/>
    <col min="9987" max="9987" width="11.7109375" style="76" customWidth="1"/>
    <col min="9988" max="9988" width="12.5703125" style="76" bestFit="1" customWidth="1"/>
    <col min="9989" max="9989" width="13.7109375" style="76" bestFit="1" customWidth="1"/>
    <col min="9990" max="9990" width="12.28515625" style="76" customWidth="1"/>
    <col min="9991" max="9991" width="10.28515625" style="76" bestFit="1" customWidth="1"/>
    <col min="9992" max="9992" width="8.85546875" style="76" customWidth="1"/>
    <col min="9993" max="9993" width="12" style="76" bestFit="1" customWidth="1"/>
    <col min="9994" max="9994" width="10.42578125" style="76" bestFit="1" customWidth="1"/>
    <col min="9995" max="9995" width="8.7109375" style="76" bestFit="1" customWidth="1"/>
    <col min="9996" max="9996" width="8.85546875" style="76" customWidth="1"/>
    <col min="9997" max="10240" width="9.140625" style="76"/>
    <col min="10241" max="10241" width="3.5703125" style="76" customWidth="1"/>
    <col min="10242" max="10242" width="13.140625" style="76" bestFit="1" customWidth="1"/>
    <col min="10243" max="10243" width="11.7109375" style="76" customWidth="1"/>
    <col min="10244" max="10244" width="12.5703125" style="76" bestFit="1" customWidth="1"/>
    <col min="10245" max="10245" width="13.7109375" style="76" bestFit="1" customWidth="1"/>
    <col min="10246" max="10246" width="12.28515625" style="76" customWidth="1"/>
    <col min="10247" max="10247" width="10.28515625" style="76" bestFit="1" customWidth="1"/>
    <col min="10248" max="10248" width="8.85546875" style="76" customWidth="1"/>
    <col min="10249" max="10249" width="12" style="76" bestFit="1" customWidth="1"/>
    <col min="10250" max="10250" width="10.42578125" style="76" bestFit="1" customWidth="1"/>
    <col min="10251" max="10251" width="8.7109375" style="76" bestFit="1" customWidth="1"/>
    <col min="10252" max="10252" width="8.85546875" style="76" customWidth="1"/>
    <col min="10253" max="10496" width="9.140625" style="76"/>
    <col min="10497" max="10497" width="3.5703125" style="76" customWidth="1"/>
    <col min="10498" max="10498" width="13.140625" style="76" bestFit="1" customWidth="1"/>
    <col min="10499" max="10499" width="11.7109375" style="76" customWidth="1"/>
    <col min="10500" max="10500" width="12.5703125" style="76" bestFit="1" customWidth="1"/>
    <col min="10501" max="10501" width="13.7109375" style="76" bestFit="1" customWidth="1"/>
    <col min="10502" max="10502" width="12.28515625" style="76" customWidth="1"/>
    <col min="10503" max="10503" width="10.28515625" style="76" bestFit="1" customWidth="1"/>
    <col min="10504" max="10504" width="8.85546875" style="76" customWidth="1"/>
    <col min="10505" max="10505" width="12" style="76" bestFit="1" customWidth="1"/>
    <col min="10506" max="10506" width="10.42578125" style="76" bestFit="1" customWidth="1"/>
    <col min="10507" max="10507" width="8.7109375" style="76" bestFit="1" customWidth="1"/>
    <col min="10508" max="10508" width="8.85546875" style="76" customWidth="1"/>
    <col min="10509" max="10752" width="9.140625" style="76"/>
    <col min="10753" max="10753" width="3.5703125" style="76" customWidth="1"/>
    <col min="10754" max="10754" width="13.140625" style="76" bestFit="1" customWidth="1"/>
    <col min="10755" max="10755" width="11.7109375" style="76" customWidth="1"/>
    <col min="10756" max="10756" width="12.5703125" style="76" bestFit="1" customWidth="1"/>
    <col min="10757" max="10757" width="13.7109375" style="76" bestFit="1" customWidth="1"/>
    <col min="10758" max="10758" width="12.28515625" style="76" customWidth="1"/>
    <col min="10759" max="10759" width="10.28515625" style="76" bestFit="1" customWidth="1"/>
    <col min="10760" max="10760" width="8.85546875" style="76" customWidth="1"/>
    <col min="10761" max="10761" width="12" style="76" bestFit="1" customWidth="1"/>
    <col min="10762" max="10762" width="10.42578125" style="76" bestFit="1" customWidth="1"/>
    <col min="10763" max="10763" width="8.7109375" style="76" bestFit="1" customWidth="1"/>
    <col min="10764" max="10764" width="8.85546875" style="76" customWidth="1"/>
    <col min="10765" max="11008" width="9.140625" style="76"/>
    <col min="11009" max="11009" width="3.5703125" style="76" customWidth="1"/>
    <col min="11010" max="11010" width="13.140625" style="76" bestFit="1" customWidth="1"/>
    <col min="11011" max="11011" width="11.7109375" style="76" customWidth="1"/>
    <col min="11012" max="11012" width="12.5703125" style="76" bestFit="1" customWidth="1"/>
    <col min="11013" max="11013" width="13.7109375" style="76" bestFit="1" customWidth="1"/>
    <col min="11014" max="11014" width="12.28515625" style="76" customWidth="1"/>
    <col min="11015" max="11015" width="10.28515625" style="76" bestFit="1" customWidth="1"/>
    <col min="11016" max="11016" width="8.85546875" style="76" customWidth="1"/>
    <col min="11017" max="11017" width="12" style="76" bestFit="1" customWidth="1"/>
    <col min="11018" max="11018" width="10.42578125" style="76" bestFit="1" customWidth="1"/>
    <col min="11019" max="11019" width="8.7109375" style="76" bestFit="1" customWidth="1"/>
    <col min="11020" max="11020" width="8.85546875" style="76" customWidth="1"/>
    <col min="11021" max="11264" width="9.140625" style="76"/>
    <col min="11265" max="11265" width="3.5703125" style="76" customWidth="1"/>
    <col min="11266" max="11266" width="13.140625" style="76" bestFit="1" customWidth="1"/>
    <col min="11267" max="11267" width="11.7109375" style="76" customWidth="1"/>
    <col min="11268" max="11268" width="12.5703125" style="76" bestFit="1" customWidth="1"/>
    <col min="11269" max="11269" width="13.7109375" style="76" bestFit="1" customWidth="1"/>
    <col min="11270" max="11270" width="12.28515625" style="76" customWidth="1"/>
    <col min="11271" max="11271" width="10.28515625" style="76" bestFit="1" customWidth="1"/>
    <col min="11272" max="11272" width="8.85546875" style="76" customWidth="1"/>
    <col min="11273" max="11273" width="12" style="76" bestFit="1" customWidth="1"/>
    <col min="11274" max="11274" width="10.42578125" style="76" bestFit="1" customWidth="1"/>
    <col min="11275" max="11275" width="8.7109375" style="76" bestFit="1" customWidth="1"/>
    <col min="11276" max="11276" width="8.85546875" style="76" customWidth="1"/>
    <col min="11277" max="11520" width="9.140625" style="76"/>
    <col min="11521" max="11521" width="3.5703125" style="76" customWidth="1"/>
    <col min="11522" max="11522" width="13.140625" style="76" bestFit="1" customWidth="1"/>
    <col min="11523" max="11523" width="11.7109375" style="76" customWidth="1"/>
    <col min="11524" max="11524" width="12.5703125" style="76" bestFit="1" customWidth="1"/>
    <col min="11525" max="11525" width="13.7109375" style="76" bestFit="1" customWidth="1"/>
    <col min="11526" max="11526" width="12.28515625" style="76" customWidth="1"/>
    <col min="11527" max="11527" width="10.28515625" style="76" bestFit="1" customWidth="1"/>
    <col min="11528" max="11528" width="8.85546875" style="76" customWidth="1"/>
    <col min="11529" max="11529" width="12" style="76" bestFit="1" customWidth="1"/>
    <col min="11530" max="11530" width="10.42578125" style="76" bestFit="1" customWidth="1"/>
    <col min="11531" max="11531" width="8.7109375" style="76" bestFit="1" customWidth="1"/>
    <col min="11532" max="11532" width="8.85546875" style="76" customWidth="1"/>
    <col min="11533" max="11776" width="9.140625" style="76"/>
    <col min="11777" max="11777" width="3.5703125" style="76" customWidth="1"/>
    <col min="11778" max="11778" width="13.140625" style="76" bestFit="1" customWidth="1"/>
    <col min="11779" max="11779" width="11.7109375" style="76" customWidth="1"/>
    <col min="11780" max="11780" width="12.5703125" style="76" bestFit="1" customWidth="1"/>
    <col min="11781" max="11781" width="13.7109375" style="76" bestFit="1" customWidth="1"/>
    <col min="11782" max="11782" width="12.28515625" style="76" customWidth="1"/>
    <col min="11783" max="11783" width="10.28515625" style="76" bestFit="1" customWidth="1"/>
    <col min="11784" max="11784" width="8.85546875" style="76" customWidth="1"/>
    <col min="11785" max="11785" width="12" style="76" bestFit="1" customWidth="1"/>
    <col min="11786" max="11786" width="10.42578125" style="76" bestFit="1" customWidth="1"/>
    <col min="11787" max="11787" width="8.7109375" style="76" bestFit="1" customWidth="1"/>
    <col min="11788" max="11788" width="8.85546875" style="76" customWidth="1"/>
    <col min="11789" max="12032" width="9.140625" style="76"/>
    <col min="12033" max="12033" width="3.5703125" style="76" customWidth="1"/>
    <col min="12034" max="12034" width="13.140625" style="76" bestFit="1" customWidth="1"/>
    <col min="12035" max="12035" width="11.7109375" style="76" customWidth="1"/>
    <col min="12036" max="12036" width="12.5703125" style="76" bestFit="1" customWidth="1"/>
    <col min="12037" max="12037" width="13.7109375" style="76" bestFit="1" customWidth="1"/>
    <col min="12038" max="12038" width="12.28515625" style="76" customWidth="1"/>
    <col min="12039" max="12039" width="10.28515625" style="76" bestFit="1" customWidth="1"/>
    <col min="12040" max="12040" width="8.85546875" style="76" customWidth="1"/>
    <col min="12041" max="12041" width="12" style="76" bestFit="1" customWidth="1"/>
    <col min="12042" max="12042" width="10.42578125" style="76" bestFit="1" customWidth="1"/>
    <col min="12043" max="12043" width="8.7109375" style="76" bestFit="1" customWidth="1"/>
    <col min="12044" max="12044" width="8.85546875" style="76" customWidth="1"/>
    <col min="12045" max="12288" width="9.140625" style="76"/>
    <col min="12289" max="12289" width="3.5703125" style="76" customWidth="1"/>
    <col min="12290" max="12290" width="13.140625" style="76" bestFit="1" customWidth="1"/>
    <col min="12291" max="12291" width="11.7109375" style="76" customWidth="1"/>
    <col min="12292" max="12292" width="12.5703125" style="76" bestFit="1" customWidth="1"/>
    <col min="12293" max="12293" width="13.7109375" style="76" bestFit="1" customWidth="1"/>
    <col min="12294" max="12294" width="12.28515625" style="76" customWidth="1"/>
    <col min="12295" max="12295" width="10.28515625" style="76" bestFit="1" customWidth="1"/>
    <col min="12296" max="12296" width="8.85546875" style="76" customWidth="1"/>
    <col min="12297" max="12297" width="12" style="76" bestFit="1" customWidth="1"/>
    <col min="12298" max="12298" width="10.42578125" style="76" bestFit="1" customWidth="1"/>
    <col min="12299" max="12299" width="8.7109375" style="76" bestFit="1" customWidth="1"/>
    <col min="12300" max="12300" width="8.85546875" style="76" customWidth="1"/>
    <col min="12301" max="12544" width="9.140625" style="76"/>
    <col min="12545" max="12545" width="3.5703125" style="76" customWidth="1"/>
    <col min="12546" max="12546" width="13.140625" style="76" bestFit="1" customWidth="1"/>
    <col min="12547" max="12547" width="11.7109375" style="76" customWidth="1"/>
    <col min="12548" max="12548" width="12.5703125" style="76" bestFit="1" customWidth="1"/>
    <col min="12549" max="12549" width="13.7109375" style="76" bestFit="1" customWidth="1"/>
    <col min="12550" max="12550" width="12.28515625" style="76" customWidth="1"/>
    <col min="12551" max="12551" width="10.28515625" style="76" bestFit="1" customWidth="1"/>
    <col min="12552" max="12552" width="8.85546875" style="76" customWidth="1"/>
    <col min="12553" max="12553" width="12" style="76" bestFit="1" customWidth="1"/>
    <col min="12554" max="12554" width="10.42578125" style="76" bestFit="1" customWidth="1"/>
    <col min="12555" max="12555" width="8.7109375" style="76" bestFit="1" customWidth="1"/>
    <col min="12556" max="12556" width="8.85546875" style="76" customWidth="1"/>
    <col min="12557" max="12800" width="9.140625" style="76"/>
    <col min="12801" max="12801" width="3.5703125" style="76" customWidth="1"/>
    <col min="12802" max="12802" width="13.140625" style="76" bestFit="1" customWidth="1"/>
    <col min="12803" max="12803" width="11.7109375" style="76" customWidth="1"/>
    <col min="12804" max="12804" width="12.5703125" style="76" bestFit="1" customWidth="1"/>
    <col min="12805" max="12805" width="13.7109375" style="76" bestFit="1" customWidth="1"/>
    <col min="12806" max="12806" width="12.28515625" style="76" customWidth="1"/>
    <col min="12807" max="12807" width="10.28515625" style="76" bestFit="1" customWidth="1"/>
    <col min="12808" max="12808" width="8.85546875" style="76" customWidth="1"/>
    <col min="12809" max="12809" width="12" style="76" bestFit="1" customWidth="1"/>
    <col min="12810" max="12810" width="10.42578125" style="76" bestFit="1" customWidth="1"/>
    <col min="12811" max="12811" width="8.7109375" style="76" bestFit="1" customWidth="1"/>
    <col min="12812" max="12812" width="8.85546875" style="76" customWidth="1"/>
    <col min="12813" max="13056" width="9.140625" style="76"/>
    <col min="13057" max="13057" width="3.5703125" style="76" customWidth="1"/>
    <col min="13058" max="13058" width="13.140625" style="76" bestFit="1" customWidth="1"/>
    <col min="13059" max="13059" width="11.7109375" style="76" customWidth="1"/>
    <col min="13060" max="13060" width="12.5703125" style="76" bestFit="1" customWidth="1"/>
    <col min="13061" max="13061" width="13.7109375" style="76" bestFit="1" customWidth="1"/>
    <col min="13062" max="13062" width="12.28515625" style="76" customWidth="1"/>
    <col min="13063" max="13063" width="10.28515625" style="76" bestFit="1" customWidth="1"/>
    <col min="13064" max="13064" width="8.85546875" style="76" customWidth="1"/>
    <col min="13065" max="13065" width="12" style="76" bestFit="1" customWidth="1"/>
    <col min="13066" max="13066" width="10.42578125" style="76" bestFit="1" customWidth="1"/>
    <col min="13067" max="13067" width="8.7109375" style="76" bestFit="1" customWidth="1"/>
    <col min="13068" max="13068" width="8.85546875" style="76" customWidth="1"/>
    <col min="13069" max="13312" width="9.140625" style="76"/>
    <col min="13313" max="13313" width="3.5703125" style="76" customWidth="1"/>
    <col min="13314" max="13314" width="13.140625" style="76" bestFit="1" customWidth="1"/>
    <col min="13315" max="13315" width="11.7109375" style="76" customWidth="1"/>
    <col min="13316" max="13316" width="12.5703125" style="76" bestFit="1" customWidth="1"/>
    <col min="13317" max="13317" width="13.7109375" style="76" bestFit="1" customWidth="1"/>
    <col min="13318" max="13318" width="12.28515625" style="76" customWidth="1"/>
    <col min="13319" max="13319" width="10.28515625" style="76" bestFit="1" customWidth="1"/>
    <col min="13320" max="13320" width="8.85546875" style="76" customWidth="1"/>
    <col min="13321" max="13321" width="12" style="76" bestFit="1" customWidth="1"/>
    <col min="13322" max="13322" width="10.42578125" style="76" bestFit="1" customWidth="1"/>
    <col min="13323" max="13323" width="8.7109375" style="76" bestFit="1" customWidth="1"/>
    <col min="13324" max="13324" width="8.85546875" style="76" customWidth="1"/>
    <col min="13325" max="13568" width="9.140625" style="76"/>
    <col min="13569" max="13569" width="3.5703125" style="76" customWidth="1"/>
    <col min="13570" max="13570" width="13.140625" style="76" bestFit="1" customWidth="1"/>
    <col min="13571" max="13571" width="11.7109375" style="76" customWidth="1"/>
    <col min="13572" max="13572" width="12.5703125" style="76" bestFit="1" customWidth="1"/>
    <col min="13573" max="13573" width="13.7109375" style="76" bestFit="1" customWidth="1"/>
    <col min="13574" max="13574" width="12.28515625" style="76" customWidth="1"/>
    <col min="13575" max="13575" width="10.28515625" style="76" bestFit="1" customWidth="1"/>
    <col min="13576" max="13576" width="8.85546875" style="76" customWidth="1"/>
    <col min="13577" max="13577" width="12" style="76" bestFit="1" customWidth="1"/>
    <col min="13578" max="13578" width="10.42578125" style="76" bestFit="1" customWidth="1"/>
    <col min="13579" max="13579" width="8.7109375" style="76" bestFit="1" customWidth="1"/>
    <col min="13580" max="13580" width="8.85546875" style="76" customWidth="1"/>
    <col min="13581" max="13824" width="9.140625" style="76"/>
    <col min="13825" max="13825" width="3.5703125" style="76" customWidth="1"/>
    <col min="13826" max="13826" width="13.140625" style="76" bestFit="1" customWidth="1"/>
    <col min="13827" max="13827" width="11.7109375" style="76" customWidth="1"/>
    <col min="13828" max="13828" width="12.5703125" style="76" bestFit="1" customWidth="1"/>
    <col min="13829" max="13829" width="13.7109375" style="76" bestFit="1" customWidth="1"/>
    <col min="13830" max="13830" width="12.28515625" style="76" customWidth="1"/>
    <col min="13831" max="13831" width="10.28515625" style="76" bestFit="1" customWidth="1"/>
    <col min="13832" max="13832" width="8.85546875" style="76" customWidth="1"/>
    <col min="13833" max="13833" width="12" style="76" bestFit="1" customWidth="1"/>
    <col min="13834" max="13834" width="10.42578125" style="76" bestFit="1" customWidth="1"/>
    <col min="13835" max="13835" width="8.7109375" style="76" bestFit="1" customWidth="1"/>
    <col min="13836" max="13836" width="8.85546875" style="76" customWidth="1"/>
    <col min="13837" max="14080" width="9.140625" style="76"/>
    <col min="14081" max="14081" width="3.5703125" style="76" customWidth="1"/>
    <col min="14082" max="14082" width="13.140625" style="76" bestFit="1" customWidth="1"/>
    <col min="14083" max="14083" width="11.7109375" style="76" customWidth="1"/>
    <col min="14084" max="14084" width="12.5703125" style="76" bestFit="1" customWidth="1"/>
    <col min="14085" max="14085" width="13.7109375" style="76" bestFit="1" customWidth="1"/>
    <col min="14086" max="14086" width="12.28515625" style="76" customWidth="1"/>
    <col min="14087" max="14087" width="10.28515625" style="76" bestFit="1" customWidth="1"/>
    <col min="14088" max="14088" width="8.85546875" style="76" customWidth="1"/>
    <col min="14089" max="14089" width="12" style="76" bestFit="1" customWidth="1"/>
    <col min="14090" max="14090" width="10.42578125" style="76" bestFit="1" customWidth="1"/>
    <col min="14091" max="14091" width="8.7109375" style="76" bestFit="1" customWidth="1"/>
    <col min="14092" max="14092" width="8.85546875" style="76" customWidth="1"/>
    <col min="14093" max="14336" width="9.140625" style="76"/>
    <col min="14337" max="14337" width="3.5703125" style="76" customWidth="1"/>
    <col min="14338" max="14338" width="13.140625" style="76" bestFit="1" customWidth="1"/>
    <col min="14339" max="14339" width="11.7109375" style="76" customWidth="1"/>
    <col min="14340" max="14340" width="12.5703125" style="76" bestFit="1" customWidth="1"/>
    <col min="14341" max="14341" width="13.7109375" style="76" bestFit="1" customWidth="1"/>
    <col min="14342" max="14342" width="12.28515625" style="76" customWidth="1"/>
    <col min="14343" max="14343" width="10.28515625" style="76" bestFit="1" customWidth="1"/>
    <col min="14344" max="14344" width="8.85546875" style="76" customWidth="1"/>
    <col min="14345" max="14345" width="12" style="76" bestFit="1" customWidth="1"/>
    <col min="14346" max="14346" width="10.42578125" style="76" bestFit="1" customWidth="1"/>
    <col min="14347" max="14347" width="8.7109375" style="76" bestFit="1" customWidth="1"/>
    <col min="14348" max="14348" width="8.85546875" style="76" customWidth="1"/>
    <col min="14349" max="14592" width="9.140625" style="76"/>
    <col min="14593" max="14593" width="3.5703125" style="76" customWidth="1"/>
    <col min="14594" max="14594" width="13.140625" style="76" bestFit="1" customWidth="1"/>
    <col min="14595" max="14595" width="11.7109375" style="76" customWidth="1"/>
    <col min="14596" max="14596" width="12.5703125" style="76" bestFit="1" customWidth="1"/>
    <col min="14597" max="14597" width="13.7109375" style="76" bestFit="1" customWidth="1"/>
    <col min="14598" max="14598" width="12.28515625" style="76" customWidth="1"/>
    <col min="14599" max="14599" width="10.28515625" style="76" bestFit="1" customWidth="1"/>
    <col min="14600" max="14600" width="8.85546875" style="76" customWidth="1"/>
    <col min="14601" max="14601" width="12" style="76" bestFit="1" customWidth="1"/>
    <col min="14602" max="14602" width="10.42578125" style="76" bestFit="1" customWidth="1"/>
    <col min="14603" max="14603" width="8.7109375" style="76" bestFit="1" customWidth="1"/>
    <col min="14604" max="14604" width="8.85546875" style="76" customWidth="1"/>
    <col min="14605" max="14848" width="9.140625" style="76"/>
    <col min="14849" max="14849" width="3.5703125" style="76" customWidth="1"/>
    <col min="14850" max="14850" width="13.140625" style="76" bestFit="1" customWidth="1"/>
    <col min="14851" max="14851" width="11.7109375" style="76" customWidth="1"/>
    <col min="14852" max="14852" width="12.5703125" style="76" bestFit="1" customWidth="1"/>
    <col min="14853" max="14853" width="13.7109375" style="76" bestFit="1" customWidth="1"/>
    <col min="14854" max="14854" width="12.28515625" style="76" customWidth="1"/>
    <col min="14855" max="14855" width="10.28515625" style="76" bestFit="1" customWidth="1"/>
    <col min="14856" max="14856" width="8.85546875" style="76" customWidth="1"/>
    <col min="14857" max="14857" width="12" style="76" bestFit="1" customWidth="1"/>
    <col min="14858" max="14858" width="10.42578125" style="76" bestFit="1" customWidth="1"/>
    <col min="14859" max="14859" width="8.7109375" style="76" bestFit="1" customWidth="1"/>
    <col min="14860" max="14860" width="8.85546875" style="76" customWidth="1"/>
    <col min="14861" max="15104" width="9.140625" style="76"/>
    <col min="15105" max="15105" width="3.5703125" style="76" customWidth="1"/>
    <col min="15106" max="15106" width="13.140625" style="76" bestFit="1" customWidth="1"/>
    <col min="15107" max="15107" width="11.7109375" style="76" customWidth="1"/>
    <col min="15108" max="15108" width="12.5703125" style="76" bestFit="1" customWidth="1"/>
    <col min="15109" max="15109" width="13.7109375" style="76" bestFit="1" customWidth="1"/>
    <col min="15110" max="15110" width="12.28515625" style="76" customWidth="1"/>
    <col min="15111" max="15111" width="10.28515625" style="76" bestFit="1" customWidth="1"/>
    <col min="15112" max="15112" width="8.85546875" style="76" customWidth="1"/>
    <col min="15113" max="15113" width="12" style="76" bestFit="1" customWidth="1"/>
    <col min="15114" max="15114" width="10.42578125" style="76" bestFit="1" customWidth="1"/>
    <col min="15115" max="15115" width="8.7109375" style="76" bestFit="1" customWidth="1"/>
    <col min="15116" max="15116" width="8.85546875" style="76" customWidth="1"/>
    <col min="15117" max="15360" width="9.140625" style="76"/>
    <col min="15361" max="15361" width="3.5703125" style="76" customWidth="1"/>
    <col min="15362" max="15362" width="13.140625" style="76" bestFit="1" customWidth="1"/>
    <col min="15363" max="15363" width="11.7109375" style="76" customWidth="1"/>
    <col min="15364" max="15364" width="12.5703125" style="76" bestFit="1" customWidth="1"/>
    <col min="15365" max="15365" width="13.7109375" style="76" bestFit="1" customWidth="1"/>
    <col min="15366" max="15366" width="12.28515625" style="76" customWidth="1"/>
    <col min="15367" max="15367" width="10.28515625" style="76" bestFit="1" customWidth="1"/>
    <col min="15368" max="15368" width="8.85546875" style="76" customWidth="1"/>
    <col min="15369" max="15369" width="12" style="76" bestFit="1" customWidth="1"/>
    <col min="15370" max="15370" width="10.42578125" style="76" bestFit="1" customWidth="1"/>
    <col min="15371" max="15371" width="8.7109375" style="76" bestFit="1" customWidth="1"/>
    <col min="15372" max="15372" width="8.85546875" style="76" customWidth="1"/>
    <col min="15373" max="15616" width="9.140625" style="76"/>
    <col min="15617" max="15617" width="3.5703125" style="76" customWidth="1"/>
    <col min="15618" max="15618" width="13.140625" style="76" bestFit="1" customWidth="1"/>
    <col min="15619" max="15619" width="11.7109375" style="76" customWidth="1"/>
    <col min="15620" max="15620" width="12.5703125" style="76" bestFit="1" customWidth="1"/>
    <col min="15621" max="15621" width="13.7109375" style="76" bestFit="1" customWidth="1"/>
    <col min="15622" max="15622" width="12.28515625" style="76" customWidth="1"/>
    <col min="15623" max="15623" width="10.28515625" style="76" bestFit="1" customWidth="1"/>
    <col min="15624" max="15624" width="8.85546875" style="76" customWidth="1"/>
    <col min="15625" max="15625" width="12" style="76" bestFit="1" customWidth="1"/>
    <col min="15626" max="15626" width="10.42578125" style="76" bestFit="1" customWidth="1"/>
    <col min="15627" max="15627" width="8.7109375" style="76" bestFit="1" customWidth="1"/>
    <col min="15628" max="15628" width="8.85546875" style="76" customWidth="1"/>
    <col min="15629" max="15872" width="9.140625" style="76"/>
    <col min="15873" max="15873" width="3.5703125" style="76" customWidth="1"/>
    <col min="15874" max="15874" width="13.140625" style="76" bestFit="1" customWidth="1"/>
    <col min="15875" max="15875" width="11.7109375" style="76" customWidth="1"/>
    <col min="15876" max="15876" width="12.5703125" style="76" bestFit="1" customWidth="1"/>
    <col min="15877" max="15877" width="13.7109375" style="76" bestFit="1" customWidth="1"/>
    <col min="15878" max="15878" width="12.28515625" style="76" customWidth="1"/>
    <col min="15879" max="15879" width="10.28515625" style="76" bestFit="1" customWidth="1"/>
    <col min="15880" max="15880" width="8.85546875" style="76" customWidth="1"/>
    <col min="15881" max="15881" width="12" style="76" bestFit="1" customWidth="1"/>
    <col min="15882" max="15882" width="10.42578125" style="76" bestFit="1" customWidth="1"/>
    <col min="15883" max="15883" width="8.7109375" style="76" bestFit="1" customWidth="1"/>
    <col min="15884" max="15884" width="8.85546875" style="76" customWidth="1"/>
    <col min="15885" max="16128" width="9.140625" style="76"/>
    <col min="16129" max="16129" width="3.5703125" style="76" customWidth="1"/>
    <col min="16130" max="16130" width="13.140625" style="76" bestFit="1" customWidth="1"/>
    <col min="16131" max="16131" width="11.7109375" style="76" customWidth="1"/>
    <col min="16132" max="16132" width="12.5703125" style="76" bestFit="1" customWidth="1"/>
    <col min="16133" max="16133" width="13.7109375" style="76" bestFit="1" customWidth="1"/>
    <col min="16134" max="16134" width="12.28515625" style="76" customWidth="1"/>
    <col min="16135" max="16135" width="10.28515625" style="76" bestFit="1" customWidth="1"/>
    <col min="16136" max="16136" width="8.85546875" style="76" customWidth="1"/>
    <col min="16137" max="16137" width="12" style="76" bestFit="1" customWidth="1"/>
    <col min="16138" max="16138" width="10.42578125" style="76" bestFit="1" customWidth="1"/>
    <col min="16139" max="16139" width="8.7109375" style="76" bestFit="1" customWidth="1"/>
    <col min="16140" max="16140" width="8.85546875" style="76" customWidth="1"/>
    <col min="16141" max="16384" width="9.140625" style="76"/>
  </cols>
  <sheetData>
    <row r="3" spans="2:12" ht="23.25">
      <c r="B3" s="1522" t="s">
        <v>1132</v>
      </c>
      <c r="C3" s="1522"/>
      <c r="D3" s="1522"/>
      <c r="E3" s="1522"/>
      <c r="F3" s="1522"/>
      <c r="G3" s="1522"/>
      <c r="H3" s="1522"/>
      <c r="I3" s="1522"/>
      <c r="J3" s="1522"/>
      <c r="K3" s="1522"/>
      <c r="L3" s="1522"/>
    </row>
    <row r="4" spans="2:12" ht="13.5" thickBot="1"/>
    <row r="5" spans="2:12" ht="13.5" thickBot="1">
      <c r="B5" s="197" t="s">
        <v>1133</v>
      </c>
      <c r="C5" s="1578" t="s">
        <v>1134</v>
      </c>
      <c r="D5" s="1569"/>
      <c r="E5" s="1578" t="s">
        <v>1135</v>
      </c>
      <c r="F5" s="1579"/>
      <c r="G5" s="1579"/>
      <c r="H5" s="1579"/>
      <c r="I5" s="1569"/>
      <c r="J5" s="1474" t="s">
        <v>14</v>
      </c>
      <c r="K5" s="1475"/>
      <c r="L5" s="1476"/>
    </row>
    <row r="6" spans="2:12" ht="13.5" thickBot="1">
      <c r="B6" s="619" t="s">
        <v>1136</v>
      </c>
      <c r="C6" s="620" t="s">
        <v>943</v>
      </c>
      <c r="D6" s="621" t="s">
        <v>1137</v>
      </c>
      <c r="E6" s="672" t="s">
        <v>1138</v>
      </c>
      <c r="F6" s="673" t="s">
        <v>1139</v>
      </c>
      <c r="G6" s="673" t="s">
        <v>1140</v>
      </c>
      <c r="H6" s="673" t="s">
        <v>55</v>
      </c>
      <c r="I6" s="674" t="s">
        <v>1141</v>
      </c>
      <c r="J6" s="672" t="s">
        <v>1075</v>
      </c>
      <c r="K6" s="675" t="s">
        <v>1076</v>
      </c>
      <c r="L6" s="674" t="s">
        <v>1077</v>
      </c>
    </row>
    <row r="7" spans="2:12">
      <c r="B7" s="676" t="s">
        <v>1</v>
      </c>
      <c r="C7" s="628"/>
      <c r="D7" s="627"/>
      <c r="E7" s="628"/>
      <c r="F7" s="677"/>
      <c r="G7" s="677"/>
      <c r="H7" s="677"/>
      <c r="I7" s="627"/>
      <c r="J7" s="678"/>
      <c r="K7" s="679"/>
      <c r="L7" s="680"/>
    </row>
    <row r="8" spans="2:12" ht="13.5" thickBot="1">
      <c r="B8" s="681" t="s">
        <v>2</v>
      </c>
      <c r="C8" s="642"/>
      <c r="D8" s="641"/>
      <c r="E8" s="642"/>
      <c r="F8" s="682"/>
      <c r="G8" s="682"/>
      <c r="H8" s="682"/>
      <c r="I8" s="641"/>
      <c r="J8" s="683"/>
      <c r="K8" s="684"/>
      <c r="L8" s="685"/>
    </row>
    <row r="9" spans="2:12">
      <c r="B9" s="686" t="s">
        <v>4</v>
      </c>
      <c r="C9" s="687"/>
      <c r="D9" s="688"/>
      <c r="E9" s="687"/>
      <c r="F9" s="689"/>
      <c r="G9" s="689"/>
      <c r="H9" s="689"/>
      <c r="I9" s="688"/>
      <c r="J9" s="690"/>
      <c r="K9" s="691"/>
      <c r="L9" s="692"/>
    </row>
    <row r="10" spans="2:12" ht="13.5" thickBot="1">
      <c r="B10" s="681" t="s">
        <v>6</v>
      </c>
      <c r="C10" s="642"/>
      <c r="D10" s="641"/>
      <c r="E10" s="642"/>
      <c r="F10" s="640"/>
      <c r="G10" s="682"/>
      <c r="H10" s="640"/>
      <c r="I10" s="641"/>
      <c r="J10" s="642"/>
      <c r="K10" s="693"/>
      <c r="L10" s="641"/>
    </row>
    <row r="12" spans="2:12" ht="13.5" thickBot="1"/>
    <row r="13" spans="2:12" ht="13.5" thickBot="1">
      <c r="B13" s="197" t="s">
        <v>1133</v>
      </c>
      <c r="C13" s="1474" t="s">
        <v>1065</v>
      </c>
      <c r="D13" s="1580"/>
      <c r="E13" s="1580"/>
      <c r="F13" s="1580"/>
      <c r="G13" s="1581"/>
      <c r="H13" s="1474" t="s">
        <v>1142</v>
      </c>
      <c r="I13" s="1580"/>
      <c r="J13" s="1581"/>
      <c r="K13" s="1517" t="s">
        <v>1143</v>
      </c>
      <c r="L13" s="1581"/>
    </row>
    <row r="14" spans="2:12" ht="13.5" thickBot="1">
      <c r="B14" s="619" t="s">
        <v>1136</v>
      </c>
      <c r="C14" s="672" t="s">
        <v>1144</v>
      </c>
      <c r="D14" s="673" t="s">
        <v>1145</v>
      </c>
      <c r="E14" s="673" t="s">
        <v>1146</v>
      </c>
      <c r="F14" s="673" t="s">
        <v>55</v>
      </c>
      <c r="G14" s="674" t="s">
        <v>893</v>
      </c>
      <c r="H14" s="672" t="s">
        <v>1146</v>
      </c>
      <c r="I14" s="673" t="s">
        <v>1055</v>
      </c>
      <c r="J14" s="675" t="s">
        <v>1056</v>
      </c>
      <c r="K14" s="672" t="s">
        <v>24</v>
      </c>
      <c r="L14" s="674" t="s">
        <v>25</v>
      </c>
    </row>
    <row r="15" spans="2:12">
      <c r="B15" s="676" t="s">
        <v>1</v>
      </c>
      <c r="C15" s="628"/>
      <c r="D15" s="626"/>
      <c r="E15" s="626"/>
      <c r="F15" s="626"/>
      <c r="G15" s="627"/>
      <c r="H15" s="628"/>
      <c r="I15" s="626"/>
      <c r="J15" s="627"/>
      <c r="K15" s="679"/>
      <c r="L15" s="680"/>
    </row>
    <row r="16" spans="2:12" ht="13.5" thickBot="1">
      <c r="B16" s="681" t="s">
        <v>2</v>
      </c>
      <c r="C16" s="642"/>
      <c r="D16" s="640"/>
      <c r="E16" s="640"/>
      <c r="F16" s="640"/>
      <c r="G16" s="641"/>
      <c r="H16" s="642"/>
      <c r="I16" s="640"/>
      <c r="J16" s="641"/>
      <c r="K16" s="684"/>
      <c r="L16" s="685"/>
    </row>
    <row r="17" spans="2:12">
      <c r="B17" s="686" t="s">
        <v>4</v>
      </c>
      <c r="C17" s="687"/>
      <c r="D17" s="694"/>
      <c r="E17" s="694"/>
      <c r="F17" s="694"/>
      <c r="G17" s="688"/>
      <c r="H17" s="687"/>
      <c r="I17" s="694"/>
      <c r="J17" s="688"/>
      <c r="K17" s="691"/>
      <c r="L17" s="692"/>
    </row>
    <row r="18" spans="2:12" ht="13.5" thickBot="1">
      <c r="B18" s="681" t="s">
        <v>6</v>
      </c>
      <c r="C18" s="642"/>
      <c r="D18" s="640"/>
      <c r="E18" s="640"/>
      <c r="F18" s="682"/>
      <c r="G18" s="641"/>
      <c r="H18" s="695"/>
      <c r="I18" s="640"/>
      <c r="J18" s="696"/>
      <c r="K18" s="697"/>
      <c r="L18" s="696"/>
    </row>
    <row r="20" spans="2:12" ht="13.5" thickBot="1"/>
    <row r="21" spans="2:12" ht="13.5" thickBot="1">
      <c r="B21" s="197" t="s">
        <v>1133</v>
      </c>
      <c r="C21" s="1570" t="s">
        <v>1147</v>
      </c>
      <c r="D21" s="1571"/>
      <c r="E21" s="1572" t="s">
        <v>1148</v>
      </c>
      <c r="F21" s="1572"/>
      <c r="G21" s="1573" t="s">
        <v>11</v>
      </c>
      <c r="H21" s="1574"/>
      <c r="I21" s="1575" t="s">
        <v>1149</v>
      </c>
      <c r="J21" s="1574"/>
      <c r="K21" s="1576" t="s">
        <v>1150</v>
      </c>
      <c r="L21" s="1577"/>
    </row>
    <row r="22" spans="2:12" ht="13.5" thickBot="1">
      <c r="B22" s="619" t="s">
        <v>1136</v>
      </c>
      <c r="C22" s="698" t="s">
        <v>24</v>
      </c>
      <c r="D22" s="699" t="s">
        <v>25</v>
      </c>
      <c r="E22" s="700" t="s">
        <v>24</v>
      </c>
      <c r="F22" s="701" t="s">
        <v>25</v>
      </c>
      <c r="G22" s="214" t="s">
        <v>24</v>
      </c>
      <c r="H22" s="216" t="s">
        <v>25</v>
      </c>
      <c r="I22" s="702" t="s">
        <v>24</v>
      </c>
      <c r="J22" s="216" t="s">
        <v>25</v>
      </c>
      <c r="K22" s="214" t="s">
        <v>24</v>
      </c>
      <c r="L22" s="216" t="s">
        <v>25</v>
      </c>
    </row>
    <row r="23" spans="2:12">
      <c r="B23" s="676" t="s">
        <v>1</v>
      </c>
      <c r="C23" s="628"/>
      <c r="D23" s="627"/>
      <c r="E23" s="703"/>
      <c r="F23" s="704"/>
      <c r="G23" s="678"/>
      <c r="H23" s="705"/>
      <c r="I23" s="706"/>
      <c r="J23" s="680"/>
      <c r="K23" s="679"/>
      <c r="L23" s="680"/>
    </row>
    <row r="24" spans="2:12" ht="13.5" thickBot="1">
      <c r="B24" s="681" t="s">
        <v>2</v>
      </c>
      <c r="C24" s="642"/>
      <c r="D24" s="641"/>
      <c r="E24" s="707"/>
      <c r="F24" s="693"/>
      <c r="G24" s="683"/>
      <c r="H24" s="708"/>
      <c r="I24" s="709"/>
      <c r="J24" s="685"/>
      <c r="K24" s="684"/>
      <c r="L24" s="685"/>
    </row>
    <row r="25" spans="2:12">
      <c r="B25" s="686" t="s">
        <v>4</v>
      </c>
      <c r="C25" s="687"/>
      <c r="D25" s="688"/>
      <c r="E25" s="710"/>
      <c r="F25" s="711"/>
      <c r="G25" s="690"/>
      <c r="H25" s="712"/>
      <c r="I25" s="713"/>
      <c r="J25" s="692"/>
      <c r="K25" s="691"/>
      <c r="L25" s="692"/>
    </row>
    <row r="26" spans="2:12" ht="13.5" thickBot="1">
      <c r="B26" s="681" t="s">
        <v>6</v>
      </c>
      <c r="C26" s="695"/>
      <c r="D26" s="696"/>
      <c r="E26" s="714"/>
      <c r="F26" s="697"/>
      <c r="G26" s="695"/>
      <c r="H26" s="715"/>
      <c r="I26" s="714"/>
      <c r="J26" s="696"/>
      <c r="K26" s="697"/>
      <c r="L26" s="696"/>
    </row>
    <row r="28" spans="2:12" ht="13.5" thickBot="1"/>
    <row r="29" spans="2:12" ht="13.5" thickBot="1">
      <c r="C29" s="1474" t="s">
        <v>1151</v>
      </c>
      <c r="D29" s="1475"/>
      <c r="E29" s="1475"/>
      <c r="F29" s="1475"/>
      <c r="G29" s="1475"/>
      <c r="H29" s="1475"/>
      <c r="I29" s="1475"/>
      <c r="J29" s="1475"/>
      <c r="K29" s="1476"/>
    </row>
    <row r="30" spans="2:12" ht="13.5" thickBot="1">
      <c r="B30" s="197" t="s">
        <v>1152</v>
      </c>
      <c r="C30" s="235" t="s">
        <v>1153</v>
      </c>
      <c r="D30" s="1474" t="s">
        <v>1154</v>
      </c>
      <c r="E30" s="1475"/>
      <c r="F30" s="1475"/>
      <c r="G30" s="1475"/>
      <c r="H30" s="1475"/>
      <c r="I30" s="1476"/>
      <c r="J30" s="1568" t="s">
        <v>1155</v>
      </c>
      <c r="K30" s="1569"/>
    </row>
    <row r="31" spans="2:12" ht="13.5" thickBot="1">
      <c r="B31" s="619" t="s">
        <v>1122</v>
      </c>
      <c r="C31" s="716" t="s">
        <v>1066</v>
      </c>
      <c r="D31" s="717" t="s">
        <v>1156</v>
      </c>
      <c r="E31" s="718" t="s">
        <v>25</v>
      </c>
      <c r="F31" s="718" t="s">
        <v>32</v>
      </c>
      <c r="G31" s="718" t="s">
        <v>34</v>
      </c>
      <c r="H31" s="718" t="s">
        <v>1079</v>
      </c>
      <c r="I31" s="719" t="s">
        <v>1080</v>
      </c>
      <c r="J31" s="672" t="s">
        <v>1157</v>
      </c>
      <c r="K31" s="674" t="s">
        <v>1158</v>
      </c>
    </row>
    <row r="32" spans="2:12" ht="13.5" thickBot="1">
      <c r="B32" s="720"/>
      <c r="C32" s="721"/>
      <c r="D32" s="722"/>
      <c r="E32" s="723"/>
      <c r="F32" s="723"/>
      <c r="G32" s="723"/>
      <c r="H32" s="723"/>
      <c r="I32" s="724"/>
      <c r="J32" s="725"/>
      <c r="K32" s="726"/>
    </row>
    <row r="34" spans="2:2" ht="15">
      <c r="B34" s="670" t="s">
        <v>1159</v>
      </c>
    </row>
  </sheetData>
  <mergeCells count="15">
    <mergeCell ref="B3:L3"/>
    <mergeCell ref="C5:D5"/>
    <mergeCell ref="E5:I5"/>
    <mergeCell ref="J5:L5"/>
    <mergeCell ref="C13:G13"/>
    <mergeCell ref="H13:J13"/>
    <mergeCell ref="K13:L13"/>
    <mergeCell ref="D30:I30"/>
    <mergeCell ref="J30:K30"/>
    <mergeCell ref="C21:D21"/>
    <mergeCell ref="E21:F21"/>
    <mergeCell ref="G21:H21"/>
    <mergeCell ref="I21:J21"/>
    <mergeCell ref="K21:L21"/>
    <mergeCell ref="C29:K29"/>
  </mergeCells>
  <printOptions horizontalCentered="1"/>
  <pageMargins left="0.25" right="0.25" top="0.75" bottom="1" header="0.5" footer="0.5"/>
  <pageSetup orientation="landscape" horizontalDpi="4294967294" verticalDpi="1200" r:id="rId1"/>
  <headerFooter alignWithMargins="0">
    <oddFooter>&amp;R&amp;D</oddFooter>
  </headerFooter>
  <legacyDrawing r:id="rId2"/>
</worksheet>
</file>

<file path=xl/worksheets/sheet9.xml><?xml version="1.0" encoding="utf-8"?>
<worksheet xmlns="http://schemas.openxmlformats.org/spreadsheetml/2006/main" xmlns:r="http://schemas.openxmlformats.org/officeDocument/2006/relationships">
  <sheetPr codeName="Sheet15">
    <pageSetUpPr fitToPage="1"/>
  </sheetPr>
  <dimension ref="B1:CA1015"/>
  <sheetViews>
    <sheetView showGridLines="0" zoomScale="75" zoomScaleNormal="75" workbookViewId="0"/>
  </sheetViews>
  <sheetFormatPr defaultRowHeight="12.75"/>
  <cols>
    <col min="1" max="1" width="3.5703125" style="798" customWidth="1"/>
    <col min="2" max="3" width="11.7109375" style="798" customWidth="1"/>
    <col min="4" max="32" width="7.7109375" style="798" customWidth="1"/>
    <col min="33" max="33" width="8.5703125" style="798" bestFit="1" customWidth="1"/>
    <col min="34" max="34" width="8.28515625" style="798" bestFit="1" customWidth="1"/>
    <col min="35" max="35" width="8.5703125" style="798" bestFit="1" customWidth="1"/>
    <col min="36" max="36" width="10.42578125" style="798" bestFit="1" customWidth="1"/>
    <col min="37" max="38" width="7.7109375" style="799" customWidth="1"/>
    <col min="39" max="40" width="7.7109375" style="800" customWidth="1"/>
    <col min="41" max="41" width="7.7109375" style="799" customWidth="1"/>
    <col min="42" max="42" width="7.7109375" style="798" customWidth="1"/>
    <col min="43" max="43" width="8.85546875" style="798" bestFit="1" customWidth="1"/>
    <col min="44" max="44" width="12.5703125" style="798" bestFit="1" customWidth="1"/>
    <col min="45" max="45" width="8.5703125" style="798" bestFit="1" customWidth="1"/>
    <col min="46" max="51" width="6.7109375" style="798" customWidth="1"/>
    <col min="52" max="52" width="8.5703125" style="798" bestFit="1" customWidth="1"/>
    <col min="53" max="53" width="15.28515625" style="798" customWidth="1"/>
    <col min="54" max="54" width="6.7109375" style="798" hidden="1" customWidth="1"/>
    <col min="55" max="57" width="6.7109375" style="798" customWidth="1"/>
    <col min="58" max="58" width="8.5703125" style="798" bestFit="1" customWidth="1"/>
    <col min="59" max="78" width="4.7109375" style="798" customWidth="1"/>
    <col min="79" max="79" width="6" style="798" hidden="1" customWidth="1"/>
    <col min="80" max="257" width="9.140625" style="798"/>
    <col min="258" max="258" width="3.5703125" style="798" customWidth="1"/>
    <col min="259" max="259" width="11.7109375" style="798" customWidth="1"/>
    <col min="260" max="260" width="0" style="798" hidden="1" customWidth="1"/>
    <col min="261" max="262" width="6.28515625" style="798" bestFit="1" customWidth="1"/>
    <col min="263" max="263" width="5.7109375" style="798" bestFit="1" customWidth="1"/>
    <col min="264" max="264" width="5.140625" style="798" bestFit="1" customWidth="1"/>
    <col min="265" max="265" width="5.140625" style="798" customWidth="1"/>
    <col min="266" max="266" width="6.85546875" style="798" bestFit="1" customWidth="1"/>
    <col min="267" max="267" width="5.42578125" style="798" bestFit="1" customWidth="1"/>
    <col min="268" max="268" width="5.85546875" style="798" bestFit="1" customWidth="1"/>
    <col min="269" max="269" width="6" style="798" customWidth="1"/>
    <col min="270" max="271" width="6.7109375" style="798" customWidth="1"/>
    <col min="272" max="272" width="6.42578125" style="798" bestFit="1" customWidth="1"/>
    <col min="273" max="283" width="6.42578125" style="798" customWidth="1"/>
    <col min="284" max="289" width="7.28515625" style="798" customWidth="1"/>
    <col min="290" max="290" width="8.5703125" style="798" bestFit="1" customWidth="1"/>
    <col min="291" max="291" width="8.28515625" style="798" customWidth="1"/>
    <col min="292" max="292" width="9" style="798" customWidth="1"/>
    <col min="293" max="293" width="8.7109375" style="798" customWidth="1"/>
    <col min="294" max="295" width="9.7109375" style="798" customWidth="1"/>
    <col min="296" max="296" width="8.5703125" style="798" bestFit="1" customWidth="1"/>
    <col min="297" max="297" width="10.42578125" style="798" bestFit="1" customWidth="1"/>
    <col min="298" max="298" width="6.7109375" style="798" customWidth="1"/>
    <col min="299" max="299" width="5.85546875" style="798" bestFit="1" customWidth="1"/>
    <col min="300" max="301" width="7.5703125" style="798" bestFit="1" customWidth="1"/>
    <col min="302" max="302" width="7.42578125" style="798" bestFit="1" customWidth="1"/>
    <col min="303" max="303" width="5.7109375" style="798" bestFit="1" customWidth="1"/>
    <col min="304" max="304" width="8.85546875" style="798" bestFit="1" customWidth="1"/>
    <col min="305" max="305" width="12.5703125" style="798" bestFit="1" customWidth="1"/>
    <col min="306" max="306" width="8.5703125" style="798" bestFit="1" customWidth="1"/>
    <col min="307" max="309" width="6.7109375" style="798" customWidth="1"/>
    <col min="310" max="310" width="7.5703125" style="798" bestFit="1" customWidth="1"/>
    <col min="311" max="311" width="6.7109375" style="798" customWidth="1"/>
    <col min="312" max="312" width="12" style="798" bestFit="1" customWidth="1"/>
    <col min="313" max="332" width="4.7109375" style="798" customWidth="1"/>
    <col min="333" max="513" width="9.140625" style="798"/>
    <col min="514" max="514" width="3.5703125" style="798" customWidth="1"/>
    <col min="515" max="515" width="11.7109375" style="798" customWidth="1"/>
    <col min="516" max="516" width="0" style="798" hidden="1" customWidth="1"/>
    <col min="517" max="518" width="6.28515625" style="798" bestFit="1" customWidth="1"/>
    <col min="519" max="519" width="5.7109375" style="798" bestFit="1" customWidth="1"/>
    <col min="520" max="520" width="5.140625" style="798" bestFit="1" customWidth="1"/>
    <col min="521" max="521" width="5.140625" style="798" customWidth="1"/>
    <col min="522" max="522" width="6.85546875" style="798" bestFit="1" customWidth="1"/>
    <col min="523" max="523" width="5.42578125" style="798" bestFit="1" customWidth="1"/>
    <col min="524" max="524" width="5.85546875" style="798" bestFit="1" customWidth="1"/>
    <col min="525" max="525" width="6" style="798" customWidth="1"/>
    <col min="526" max="527" width="6.7109375" style="798" customWidth="1"/>
    <col min="528" max="528" width="6.42578125" style="798" bestFit="1" customWidth="1"/>
    <col min="529" max="539" width="6.42578125" style="798" customWidth="1"/>
    <col min="540" max="545" width="7.28515625" style="798" customWidth="1"/>
    <col min="546" max="546" width="8.5703125" style="798" bestFit="1" customWidth="1"/>
    <col min="547" max="547" width="8.28515625" style="798" customWidth="1"/>
    <col min="548" max="548" width="9" style="798" customWidth="1"/>
    <col min="549" max="549" width="8.7109375" style="798" customWidth="1"/>
    <col min="550" max="551" width="9.7109375" style="798" customWidth="1"/>
    <col min="552" max="552" width="8.5703125" style="798" bestFit="1" customWidth="1"/>
    <col min="553" max="553" width="10.42578125" style="798" bestFit="1" customWidth="1"/>
    <col min="554" max="554" width="6.7109375" style="798" customWidth="1"/>
    <col min="555" max="555" width="5.85546875" style="798" bestFit="1" customWidth="1"/>
    <col min="556" max="557" width="7.5703125" style="798" bestFit="1" customWidth="1"/>
    <col min="558" max="558" width="7.42578125" style="798" bestFit="1" customWidth="1"/>
    <col min="559" max="559" width="5.7109375" style="798" bestFit="1" customWidth="1"/>
    <col min="560" max="560" width="8.85546875" style="798" bestFit="1" customWidth="1"/>
    <col min="561" max="561" width="12.5703125" style="798" bestFit="1" customWidth="1"/>
    <col min="562" max="562" width="8.5703125" style="798" bestFit="1" customWidth="1"/>
    <col min="563" max="565" width="6.7109375" style="798" customWidth="1"/>
    <col min="566" max="566" width="7.5703125" style="798" bestFit="1" customWidth="1"/>
    <col min="567" max="567" width="6.7109375" style="798" customWidth="1"/>
    <col min="568" max="568" width="12" style="798" bestFit="1" customWidth="1"/>
    <col min="569" max="588" width="4.7109375" style="798" customWidth="1"/>
    <col min="589" max="769" width="9.140625" style="798"/>
    <col min="770" max="770" width="3.5703125" style="798" customWidth="1"/>
    <col min="771" max="771" width="11.7109375" style="798" customWidth="1"/>
    <col min="772" max="772" width="0" style="798" hidden="1" customWidth="1"/>
    <col min="773" max="774" width="6.28515625" style="798" bestFit="1" customWidth="1"/>
    <col min="775" max="775" width="5.7109375" style="798" bestFit="1" customWidth="1"/>
    <col min="776" max="776" width="5.140625" style="798" bestFit="1" customWidth="1"/>
    <col min="777" max="777" width="5.140625" style="798" customWidth="1"/>
    <col min="778" max="778" width="6.85546875" style="798" bestFit="1" customWidth="1"/>
    <col min="779" max="779" width="5.42578125" style="798" bestFit="1" customWidth="1"/>
    <col min="780" max="780" width="5.85546875" style="798" bestFit="1" customWidth="1"/>
    <col min="781" max="781" width="6" style="798" customWidth="1"/>
    <col min="782" max="783" width="6.7109375" style="798" customWidth="1"/>
    <col min="784" max="784" width="6.42578125" style="798" bestFit="1" customWidth="1"/>
    <col min="785" max="795" width="6.42578125" style="798" customWidth="1"/>
    <col min="796" max="801" width="7.28515625" style="798" customWidth="1"/>
    <col min="802" max="802" width="8.5703125" style="798" bestFit="1" customWidth="1"/>
    <col min="803" max="803" width="8.28515625" style="798" customWidth="1"/>
    <col min="804" max="804" width="9" style="798" customWidth="1"/>
    <col min="805" max="805" width="8.7109375" style="798" customWidth="1"/>
    <col min="806" max="807" width="9.7109375" style="798" customWidth="1"/>
    <col min="808" max="808" width="8.5703125" style="798" bestFit="1" customWidth="1"/>
    <col min="809" max="809" width="10.42578125" style="798" bestFit="1" customWidth="1"/>
    <col min="810" max="810" width="6.7109375" style="798" customWidth="1"/>
    <col min="811" max="811" width="5.85546875" style="798" bestFit="1" customWidth="1"/>
    <col min="812" max="813" width="7.5703125" style="798" bestFit="1" customWidth="1"/>
    <col min="814" max="814" width="7.42578125" style="798" bestFit="1" customWidth="1"/>
    <col min="815" max="815" width="5.7109375" style="798" bestFit="1" customWidth="1"/>
    <col min="816" max="816" width="8.85546875" style="798" bestFit="1" customWidth="1"/>
    <col min="817" max="817" width="12.5703125" style="798" bestFit="1" customWidth="1"/>
    <col min="818" max="818" width="8.5703125" style="798" bestFit="1" customWidth="1"/>
    <col min="819" max="821" width="6.7109375" style="798" customWidth="1"/>
    <col min="822" max="822" width="7.5703125" style="798" bestFit="1" customWidth="1"/>
    <col min="823" max="823" width="6.7109375" style="798" customWidth="1"/>
    <col min="824" max="824" width="12" style="798" bestFit="1" customWidth="1"/>
    <col min="825" max="844" width="4.7109375" style="798" customWidth="1"/>
    <col min="845" max="1025" width="9.140625" style="798"/>
    <col min="1026" max="1026" width="3.5703125" style="798" customWidth="1"/>
    <col min="1027" max="1027" width="11.7109375" style="798" customWidth="1"/>
    <col min="1028" max="1028" width="0" style="798" hidden="1" customWidth="1"/>
    <col min="1029" max="1030" width="6.28515625" style="798" bestFit="1" customWidth="1"/>
    <col min="1031" max="1031" width="5.7109375" style="798" bestFit="1" customWidth="1"/>
    <col min="1032" max="1032" width="5.140625" style="798" bestFit="1" customWidth="1"/>
    <col min="1033" max="1033" width="5.140625" style="798" customWidth="1"/>
    <col min="1034" max="1034" width="6.85546875" style="798" bestFit="1" customWidth="1"/>
    <col min="1035" max="1035" width="5.42578125" style="798" bestFit="1" customWidth="1"/>
    <col min="1036" max="1036" width="5.85546875" style="798" bestFit="1" customWidth="1"/>
    <col min="1037" max="1037" width="6" style="798" customWidth="1"/>
    <col min="1038" max="1039" width="6.7109375" style="798" customWidth="1"/>
    <col min="1040" max="1040" width="6.42578125" style="798" bestFit="1" customWidth="1"/>
    <col min="1041" max="1051" width="6.42578125" style="798" customWidth="1"/>
    <col min="1052" max="1057" width="7.28515625" style="798" customWidth="1"/>
    <col min="1058" max="1058" width="8.5703125" style="798" bestFit="1" customWidth="1"/>
    <col min="1059" max="1059" width="8.28515625" style="798" customWidth="1"/>
    <col min="1060" max="1060" width="9" style="798" customWidth="1"/>
    <col min="1061" max="1061" width="8.7109375" style="798" customWidth="1"/>
    <col min="1062" max="1063" width="9.7109375" style="798" customWidth="1"/>
    <col min="1064" max="1064" width="8.5703125" style="798" bestFit="1" customWidth="1"/>
    <col min="1065" max="1065" width="10.42578125" style="798" bestFit="1" customWidth="1"/>
    <col min="1066" max="1066" width="6.7109375" style="798" customWidth="1"/>
    <col min="1067" max="1067" width="5.85546875" style="798" bestFit="1" customWidth="1"/>
    <col min="1068" max="1069" width="7.5703125" style="798" bestFit="1" customWidth="1"/>
    <col min="1070" max="1070" width="7.42578125" style="798" bestFit="1" customWidth="1"/>
    <col min="1071" max="1071" width="5.7109375" style="798" bestFit="1" customWidth="1"/>
    <col min="1072" max="1072" width="8.85546875" style="798" bestFit="1" customWidth="1"/>
    <col min="1073" max="1073" width="12.5703125" style="798" bestFit="1" customWidth="1"/>
    <col min="1074" max="1074" width="8.5703125" style="798" bestFit="1" customWidth="1"/>
    <col min="1075" max="1077" width="6.7109375" style="798" customWidth="1"/>
    <col min="1078" max="1078" width="7.5703125" style="798" bestFit="1" customWidth="1"/>
    <col min="1079" max="1079" width="6.7109375" style="798" customWidth="1"/>
    <col min="1080" max="1080" width="12" style="798" bestFit="1" customWidth="1"/>
    <col min="1081" max="1100" width="4.7109375" style="798" customWidth="1"/>
    <col min="1101" max="1281" width="9.140625" style="798"/>
    <col min="1282" max="1282" width="3.5703125" style="798" customWidth="1"/>
    <col min="1283" max="1283" width="11.7109375" style="798" customWidth="1"/>
    <col min="1284" max="1284" width="0" style="798" hidden="1" customWidth="1"/>
    <col min="1285" max="1286" width="6.28515625" style="798" bestFit="1" customWidth="1"/>
    <col min="1287" max="1287" width="5.7109375" style="798" bestFit="1" customWidth="1"/>
    <col min="1288" max="1288" width="5.140625" style="798" bestFit="1" customWidth="1"/>
    <col min="1289" max="1289" width="5.140625" style="798" customWidth="1"/>
    <col min="1290" max="1290" width="6.85546875" style="798" bestFit="1" customWidth="1"/>
    <col min="1291" max="1291" width="5.42578125" style="798" bestFit="1" customWidth="1"/>
    <col min="1292" max="1292" width="5.85546875" style="798" bestFit="1" customWidth="1"/>
    <col min="1293" max="1293" width="6" style="798" customWidth="1"/>
    <col min="1294" max="1295" width="6.7109375" style="798" customWidth="1"/>
    <col min="1296" max="1296" width="6.42578125" style="798" bestFit="1" customWidth="1"/>
    <col min="1297" max="1307" width="6.42578125" style="798" customWidth="1"/>
    <col min="1308" max="1313" width="7.28515625" style="798" customWidth="1"/>
    <col min="1314" max="1314" width="8.5703125" style="798" bestFit="1" customWidth="1"/>
    <col min="1315" max="1315" width="8.28515625" style="798" customWidth="1"/>
    <col min="1316" max="1316" width="9" style="798" customWidth="1"/>
    <col min="1317" max="1317" width="8.7109375" style="798" customWidth="1"/>
    <col min="1318" max="1319" width="9.7109375" style="798" customWidth="1"/>
    <col min="1320" max="1320" width="8.5703125" style="798" bestFit="1" customWidth="1"/>
    <col min="1321" max="1321" width="10.42578125" style="798" bestFit="1" customWidth="1"/>
    <col min="1322" max="1322" width="6.7109375" style="798" customWidth="1"/>
    <col min="1323" max="1323" width="5.85546875" style="798" bestFit="1" customWidth="1"/>
    <col min="1324" max="1325" width="7.5703125" style="798" bestFit="1" customWidth="1"/>
    <col min="1326" max="1326" width="7.42578125" style="798" bestFit="1" customWidth="1"/>
    <col min="1327" max="1327" width="5.7109375" style="798" bestFit="1" customWidth="1"/>
    <col min="1328" max="1328" width="8.85546875" style="798" bestFit="1" customWidth="1"/>
    <col min="1329" max="1329" width="12.5703125" style="798" bestFit="1" customWidth="1"/>
    <col min="1330" max="1330" width="8.5703125" style="798" bestFit="1" customWidth="1"/>
    <col min="1331" max="1333" width="6.7109375" style="798" customWidth="1"/>
    <col min="1334" max="1334" width="7.5703125" style="798" bestFit="1" customWidth="1"/>
    <col min="1335" max="1335" width="6.7109375" style="798" customWidth="1"/>
    <col min="1336" max="1336" width="12" style="798" bestFit="1" customWidth="1"/>
    <col min="1337" max="1356" width="4.7109375" style="798" customWidth="1"/>
    <col min="1357" max="1537" width="9.140625" style="798"/>
    <col min="1538" max="1538" width="3.5703125" style="798" customWidth="1"/>
    <col min="1539" max="1539" width="11.7109375" style="798" customWidth="1"/>
    <col min="1540" max="1540" width="0" style="798" hidden="1" customWidth="1"/>
    <col min="1541" max="1542" width="6.28515625" style="798" bestFit="1" customWidth="1"/>
    <col min="1543" max="1543" width="5.7109375" style="798" bestFit="1" customWidth="1"/>
    <col min="1544" max="1544" width="5.140625" style="798" bestFit="1" customWidth="1"/>
    <col min="1545" max="1545" width="5.140625" style="798" customWidth="1"/>
    <col min="1546" max="1546" width="6.85546875" style="798" bestFit="1" customWidth="1"/>
    <col min="1547" max="1547" width="5.42578125" style="798" bestFit="1" customWidth="1"/>
    <col min="1548" max="1548" width="5.85546875" style="798" bestFit="1" customWidth="1"/>
    <col min="1549" max="1549" width="6" style="798" customWidth="1"/>
    <col min="1550" max="1551" width="6.7109375" style="798" customWidth="1"/>
    <col min="1552" max="1552" width="6.42578125" style="798" bestFit="1" customWidth="1"/>
    <col min="1553" max="1563" width="6.42578125" style="798" customWidth="1"/>
    <col min="1564" max="1569" width="7.28515625" style="798" customWidth="1"/>
    <col min="1570" max="1570" width="8.5703125" style="798" bestFit="1" customWidth="1"/>
    <col min="1571" max="1571" width="8.28515625" style="798" customWidth="1"/>
    <col min="1572" max="1572" width="9" style="798" customWidth="1"/>
    <col min="1573" max="1573" width="8.7109375" style="798" customWidth="1"/>
    <col min="1574" max="1575" width="9.7109375" style="798" customWidth="1"/>
    <col min="1576" max="1576" width="8.5703125" style="798" bestFit="1" customWidth="1"/>
    <col min="1577" max="1577" width="10.42578125" style="798" bestFit="1" customWidth="1"/>
    <col min="1578" max="1578" width="6.7109375" style="798" customWidth="1"/>
    <col min="1579" max="1579" width="5.85546875" style="798" bestFit="1" customWidth="1"/>
    <col min="1580" max="1581" width="7.5703125" style="798" bestFit="1" customWidth="1"/>
    <col min="1582" max="1582" width="7.42578125" style="798" bestFit="1" customWidth="1"/>
    <col min="1583" max="1583" width="5.7109375" style="798" bestFit="1" customWidth="1"/>
    <col min="1584" max="1584" width="8.85546875" style="798" bestFit="1" customWidth="1"/>
    <col min="1585" max="1585" width="12.5703125" style="798" bestFit="1" customWidth="1"/>
    <col min="1586" max="1586" width="8.5703125" style="798" bestFit="1" customWidth="1"/>
    <col min="1587" max="1589" width="6.7109375" style="798" customWidth="1"/>
    <col min="1590" max="1590" width="7.5703125" style="798" bestFit="1" customWidth="1"/>
    <col min="1591" max="1591" width="6.7109375" style="798" customWidth="1"/>
    <col min="1592" max="1592" width="12" style="798" bestFit="1" customWidth="1"/>
    <col min="1593" max="1612" width="4.7109375" style="798" customWidth="1"/>
    <col min="1613" max="1793" width="9.140625" style="798"/>
    <col min="1794" max="1794" width="3.5703125" style="798" customWidth="1"/>
    <col min="1795" max="1795" width="11.7109375" style="798" customWidth="1"/>
    <col min="1796" max="1796" width="0" style="798" hidden="1" customWidth="1"/>
    <col min="1797" max="1798" width="6.28515625" style="798" bestFit="1" customWidth="1"/>
    <col min="1799" max="1799" width="5.7109375" style="798" bestFit="1" customWidth="1"/>
    <col min="1800" max="1800" width="5.140625" style="798" bestFit="1" customWidth="1"/>
    <col min="1801" max="1801" width="5.140625" style="798" customWidth="1"/>
    <col min="1802" max="1802" width="6.85546875" style="798" bestFit="1" customWidth="1"/>
    <col min="1803" max="1803" width="5.42578125" style="798" bestFit="1" customWidth="1"/>
    <col min="1804" max="1804" width="5.85546875" style="798" bestFit="1" customWidth="1"/>
    <col min="1805" max="1805" width="6" style="798" customWidth="1"/>
    <col min="1806" max="1807" width="6.7109375" style="798" customWidth="1"/>
    <col min="1808" max="1808" width="6.42578125" style="798" bestFit="1" customWidth="1"/>
    <col min="1809" max="1819" width="6.42578125" style="798" customWidth="1"/>
    <col min="1820" max="1825" width="7.28515625" style="798" customWidth="1"/>
    <col min="1826" max="1826" width="8.5703125" style="798" bestFit="1" customWidth="1"/>
    <col min="1827" max="1827" width="8.28515625" style="798" customWidth="1"/>
    <col min="1828" max="1828" width="9" style="798" customWidth="1"/>
    <col min="1829" max="1829" width="8.7109375" style="798" customWidth="1"/>
    <col min="1830" max="1831" width="9.7109375" style="798" customWidth="1"/>
    <col min="1832" max="1832" width="8.5703125" style="798" bestFit="1" customWidth="1"/>
    <col min="1833" max="1833" width="10.42578125" style="798" bestFit="1" customWidth="1"/>
    <col min="1834" max="1834" width="6.7109375" style="798" customWidth="1"/>
    <col min="1835" max="1835" width="5.85546875" style="798" bestFit="1" customWidth="1"/>
    <col min="1836" max="1837" width="7.5703125" style="798" bestFit="1" customWidth="1"/>
    <col min="1838" max="1838" width="7.42578125" style="798" bestFit="1" customWidth="1"/>
    <col min="1839" max="1839" width="5.7109375" style="798" bestFit="1" customWidth="1"/>
    <col min="1840" max="1840" width="8.85546875" style="798" bestFit="1" customWidth="1"/>
    <col min="1841" max="1841" width="12.5703125" style="798" bestFit="1" customWidth="1"/>
    <col min="1842" max="1842" width="8.5703125" style="798" bestFit="1" customWidth="1"/>
    <col min="1843" max="1845" width="6.7109375" style="798" customWidth="1"/>
    <col min="1846" max="1846" width="7.5703125" style="798" bestFit="1" customWidth="1"/>
    <col min="1847" max="1847" width="6.7109375" style="798" customWidth="1"/>
    <col min="1848" max="1848" width="12" style="798" bestFit="1" customWidth="1"/>
    <col min="1849" max="1868" width="4.7109375" style="798" customWidth="1"/>
    <col min="1869" max="2049" width="9.140625" style="798"/>
    <col min="2050" max="2050" width="3.5703125" style="798" customWidth="1"/>
    <col min="2051" max="2051" width="11.7109375" style="798" customWidth="1"/>
    <col min="2052" max="2052" width="0" style="798" hidden="1" customWidth="1"/>
    <col min="2053" max="2054" width="6.28515625" style="798" bestFit="1" customWidth="1"/>
    <col min="2055" max="2055" width="5.7109375" style="798" bestFit="1" customWidth="1"/>
    <col min="2056" max="2056" width="5.140625" style="798" bestFit="1" customWidth="1"/>
    <col min="2057" max="2057" width="5.140625" style="798" customWidth="1"/>
    <col min="2058" max="2058" width="6.85546875" style="798" bestFit="1" customWidth="1"/>
    <col min="2059" max="2059" width="5.42578125" style="798" bestFit="1" customWidth="1"/>
    <col min="2060" max="2060" width="5.85546875" style="798" bestFit="1" customWidth="1"/>
    <col min="2061" max="2061" width="6" style="798" customWidth="1"/>
    <col min="2062" max="2063" width="6.7109375" style="798" customWidth="1"/>
    <col min="2064" max="2064" width="6.42578125" style="798" bestFit="1" customWidth="1"/>
    <col min="2065" max="2075" width="6.42578125" style="798" customWidth="1"/>
    <col min="2076" max="2081" width="7.28515625" style="798" customWidth="1"/>
    <col min="2082" max="2082" width="8.5703125" style="798" bestFit="1" customWidth="1"/>
    <col min="2083" max="2083" width="8.28515625" style="798" customWidth="1"/>
    <col min="2084" max="2084" width="9" style="798" customWidth="1"/>
    <col min="2085" max="2085" width="8.7109375" style="798" customWidth="1"/>
    <col min="2086" max="2087" width="9.7109375" style="798" customWidth="1"/>
    <col min="2088" max="2088" width="8.5703125" style="798" bestFit="1" customWidth="1"/>
    <col min="2089" max="2089" width="10.42578125" style="798" bestFit="1" customWidth="1"/>
    <col min="2090" max="2090" width="6.7109375" style="798" customWidth="1"/>
    <col min="2091" max="2091" width="5.85546875" style="798" bestFit="1" customWidth="1"/>
    <col min="2092" max="2093" width="7.5703125" style="798" bestFit="1" customWidth="1"/>
    <col min="2094" max="2094" width="7.42578125" style="798" bestFit="1" customWidth="1"/>
    <col min="2095" max="2095" width="5.7109375" style="798" bestFit="1" customWidth="1"/>
    <col min="2096" max="2096" width="8.85546875" style="798" bestFit="1" customWidth="1"/>
    <col min="2097" max="2097" width="12.5703125" style="798" bestFit="1" customWidth="1"/>
    <col min="2098" max="2098" width="8.5703125" style="798" bestFit="1" customWidth="1"/>
    <col min="2099" max="2101" width="6.7109375" style="798" customWidth="1"/>
    <col min="2102" max="2102" width="7.5703125" style="798" bestFit="1" customWidth="1"/>
    <col min="2103" max="2103" width="6.7109375" style="798" customWidth="1"/>
    <col min="2104" max="2104" width="12" style="798" bestFit="1" customWidth="1"/>
    <col min="2105" max="2124" width="4.7109375" style="798" customWidth="1"/>
    <col min="2125" max="2305" width="9.140625" style="798"/>
    <col min="2306" max="2306" width="3.5703125" style="798" customWidth="1"/>
    <col min="2307" max="2307" width="11.7109375" style="798" customWidth="1"/>
    <col min="2308" max="2308" width="0" style="798" hidden="1" customWidth="1"/>
    <col min="2309" max="2310" width="6.28515625" style="798" bestFit="1" customWidth="1"/>
    <col min="2311" max="2311" width="5.7109375" style="798" bestFit="1" customWidth="1"/>
    <col min="2312" max="2312" width="5.140625" style="798" bestFit="1" customWidth="1"/>
    <col min="2313" max="2313" width="5.140625" style="798" customWidth="1"/>
    <col min="2314" max="2314" width="6.85546875" style="798" bestFit="1" customWidth="1"/>
    <col min="2315" max="2315" width="5.42578125" style="798" bestFit="1" customWidth="1"/>
    <col min="2316" max="2316" width="5.85546875" style="798" bestFit="1" customWidth="1"/>
    <col min="2317" max="2317" width="6" style="798" customWidth="1"/>
    <col min="2318" max="2319" width="6.7109375" style="798" customWidth="1"/>
    <col min="2320" max="2320" width="6.42578125" style="798" bestFit="1" customWidth="1"/>
    <col min="2321" max="2331" width="6.42578125" style="798" customWidth="1"/>
    <col min="2332" max="2337" width="7.28515625" style="798" customWidth="1"/>
    <col min="2338" max="2338" width="8.5703125" style="798" bestFit="1" customWidth="1"/>
    <col min="2339" max="2339" width="8.28515625" style="798" customWidth="1"/>
    <col min="2340" max="2340" width="9" style="798" customWidth="1"/>
    <col min="2341" max="2341" width="8.7109375" style="798" customWidth="1"/>
    <col min="2342" max="2343" width="9.7109375" style="798" customWidth="1"/>
    <col min="2344" max="2344" width="8.5703125" style="798" bestFit="1" customWidth="1"/>
    <col min="2345" max="2345" width="10.42578125" style="798" bestFit="1" customWidth="1"/>
    <col min="2346" max="2346" width="6.7109375" style="798" customWidth="1"/>
    <col min="2347" max="2347" width="5.85546875" style="798" bestFit="1" customWidth="1"/>
    <col min="2348" max="2349" width="7.5703125" style="798" bestFit="1" customWidth="1"/>
    <col min="2350" max="2350" width="7.42578125" style="798" bestFit="1" customWidth="1"/>
    <col min="2351" max="2351" width="5.7109375" style="798" bestFit="1" customWidth="1"/>
    <col min="2352" max="2352" width="8.85546875" style="798" bestFit="1" customWidth="1"/>
    <col min="2353" max="2353" width="12.5703125" style="798" bestFit="1" customWidth="1"/>
    <col min="2354" max="2354" width="8.5703125" style="798" bestFit="1" customWidth="1"/>
    <col min="2355" max="2357" width="6.7109375" style="798" customWidth="1"/>
    <col min="2358" max="2358" width="7.5703125" style="798" bestFit="1" customWidth="1"/>
    <col min="2359" max="2359" width="6.7109375" style="798" customWidth="1"/>
    <col min="2360" max="2360" width="12" style="798" bestFit="1" customWidth="1"/>
    <col min="2361" max="2380" width="4.7109375" style="798" customWidth="1"/>
    <col min="2381" max="2561" width="9.140625" style="798"/>
    <col min="2562" max="2562" width="3.5703125" style="798" customWidth="1"/>
    <col min="2563" max="2563" width="11.7109375" style="798" customWidth="1"/>
    <col min="2564" max="2564" width="0" style="798" hidden="1" customWidth="1"/>
    <col min="2565" max="2566" width="6.28515625" style="798" bestFit="1" customWidth="1"/>
    <col min="2567" max="2567" width="5.7109375" style="798" bestFit="1" customWidth="1"/>
    <col min="2568" max="2568" width="5.140625" style="798" bestFit="1" customWidth="1"/>
    <col min="2569" max="2569" width="5.140625" style="798" customWidth="1"/>
    <col min="2570" max="2570" width="6.85546875" style="798" bestFit="1" customWidth="1"/>
    <col min="2571" max="2571" width="5.42578125" style="798" bestFit="1" customWidth="1"/>
    <col min="2572" max="2572" width="5.85546875" style="798" bestFit="1" customWidth="1"/>
    <col min="2573" max="2573" width="6" style="798" customWidth="1"/>
    <col min="2574" max="2575" width="6.7109375" style="798" customWidth="1"/>
    <col min="2576" max="2576" width="6.42578125" style="798" bestFit="1" customWidth="1"/>
    <col min="2577" max="2587" width="6.42578125" style="798" customWidth="1"/>
    <col min="2588" max="2593" width="7.28515625" style="798" customWidth="1"/>
    <col min="2594" max="2594" width="8.5703125" style="798" bestFit="1" customWidth="1"/>
    <col min="2595" max="2595" width="8.28515625" style="798" customWidth="1"/>
    <col min="2596" max="2596" width="9" style="798" customWidth="1"/>
    <col min="2597" max="2597" width="8.7109375" style="798" customWidth="1"/>
    <col min="2598" max="2599" width="9.7109375" style="798" customWidth="1"/>
    <col min="2600" max="2600" width="8.5703125" style="798" bestFit="1" customWidth="1"/>
    <col min="2601" max="2601" width="10.42578125" style="798" bestFit="1" customWidth="1"/>
    <col min="2602" max="2602" width="6.7109375" style="798" customWidth="1"/>
    <col min="2603" max="2603" width="5.85546875" style="798" bestFit="1" customWidth="1"/>
    <col min="2604" max="2605" width="7.5703125" style="798" bestFit="1" customWidth="1"/>
    <col min="2606" max="2606" width="7.42578125" style="798" bestFit="1" customWidth="1"/>
    <col min="2607" max="2607" width="5.7109375" style="798" bestFit="1" customWidth="1"/>
    <col min="2608" max="2608" width="8.85546875" style="798" bestFit="1" customWidth="1"/>
    <col min="2609" max="2609" width="12.5703125" style="798" bestFit="1" customWidth="1"/>
    <col min="2610" max="2610" width="8.5703125" style="798" bestFit="1" customWidth="1"/>
    <col min="2611" max="2613" width="6.7109375" style="798" customWidth="1"/>
    <col min="2614" max="2614" width="7.5703125" style="798" bestFit="1" customWidth="1"/>
    <col min="2615" max="2615" width="6.7109375" style="798" customWidth="1"/>
    <col min="2616" max="2616" width="12" style="798" bestFit="1" customWidth="1"/>
    <col min="2617" max="2636" width="4.7109375" style="798" customWidth="1"/>
    <col min="2637" max="2817" width="9.140625" style="798"/>
    <col min="2818" max="2818" width="3.5703125" style="798" customWidth="1"/>
    <col min="2819" max="2819" width="11.7109375" style="798" customWidth="1"/>
    <col min="2820" max="2820" width="0" style="798" hidden="1" customWidth="1"/>
    <col min="2821" max="2822" width="6.28515625" style="798" bestFit="1" customWidth="1"/>
    <col min="2823" max="2823" width="5.7109375" style="798" bestFit="1" customWidth="1"/>
    <col min="2824" max="2824" width="5.140625" style="798" bestFit="1" customWidth="1"/>
    <col min="2825" max="2825" width="5.140625" style="798" customWidth="1"/>
    <col min="2826" max="2826" width="6.85546875" style="798" bestFit="1" customWidth="1"/>
    <col min="2827" max="2827" width="5.42578125" style="798" bestFit="1" customWidth="1"/>
    <col min="2828" max="2828" width="5.85546875" style="798" bestFit="1" customWidth="1"/>
    <col min="2829" max="2829" width="6" style="798" customWidth="1"/>
    <col min="2830" max="2831" width="6.7109375" style="798" customWidth="1"/>
    <col min="2832" max="2832" width="6.42578125" style="798" bestFit="1" customWidth="1"/>
    <col min="2833" max="2843" width="6.42578125" style="798" customWidth="1"/>
    <col min="2844" max="2849" width="7.28515625" style="798" customWidth="1"/>
    <col min="2850" max="2850" width="8.5703125" style="798" bestFit="1" customWidth="1"/>
    <col min="2851" max="2851" width="8.28515625" style="798" customWidth="1"/>
    <col min="2852" max="2852" width="9" style="798" customWidth="1"/>
    <col min="2853" max="2853" width="8.7109375" style="798" customWidth="1"/>
    <col min="2854" max="2855" width="9.7109375" style="798" customWidth="1"/>
    <col min="2856" max="2856" width="8.5703125" style="798" bestFit="1" customWidth="1"/>
    <col min="2857" max="2857" width="10.42578125" style="798" bestFit="1" customWidth="1"/>
    <col min="2858" max="2858" width="6.7109375" style="798" customWidth="1"/>
    <col min="2859" max="2859" width="5.85546875" style="798" bestFit="1" customWidth="1"/>
    <col min="2860" max="2861" width="7.5703125" style="798" bestFit="1" customWidth="1"/>
    <col min="2862" max="2862" width="7.42578125" style="798" bestFit="1" customWidth="1"/>
    <col min="2863" max="2863" width="5.7109375" style="798" bestFit="1" customWidth="1"/>
    <col min="2864" max="2864" width="8.85546875" style="798" bestFit="1" customWidth="1"/>
    <col min="2865" max="2865" width="12.5703125" style="798" bestFit="1" customWidth="1"/>
    <col min="2866" max="2866" width="8.5703125" style="798" bestFit="1" customWidth="1"/>
    <col min="2867" max="2869" width="6.7109375" style="798" customWidth="1"/>
    <col min="2870" max="2870" width="7.5703125" style="798" bestFit="1" customWidth="1"/>
    <col min="2871" max="2871" width="6.7109375" style="798" customWidth="1"/>
    <col min="2872" max="2872" width="12" style="798" bestFit="1" customWidth="1"/>
    <col min="2873" max="2892" width="4.7109375" style="798" customWidth="1"/>
    <col min="2893" max="3073" width="9.140625" style="798"/>
    <col min="3074" max="3074" width="3.5703125" style="798" customWidth="1"/>
    <col min="3075" max="3075" width="11.7109375" style="798" customWidth="1"/>
    <col min="3076" max="3076" width="0" style="798" hidden="1" customWidth="1"/>
    <col min="3077" max="3078" width="6.28515625" style="798" bestFit="1" customWidth="1"/>
    <col min="3079" max="3079" width="5.7109375" style="798" bestFit="1" customWidth="1"/>
    <col min="3080" max="3080" width="5.140625" style="798" bestFit="1" customWidth="1"/>
    <col min="3081" max="3081" width="5.140625" style="798" customWidth="1"/>
    <col min="3082" max="3082" width="6.85546875" style="798" bestFit="1" customWidth="1"/>
    <col min="3083" max="3083" width="5.42578125" style="798" bestFit="1" customWidth="1"/>
    <col min="3084" max="3084" width="5.85546875" style="798" bestFit="1" customWidth="1"/>
    <col min="3085" max="3085" width="6" style="798" customWidth="1"/>
    <col min="3086" max="3087" width="6.7109375" style="798" customWidth="1"/>
    <col min="3088" max="3088" width="6.42578125" style="798" bestFit="1" customWidth="1"/>
    <col min="3089" max="3099" width="6.42578125" style="798" customWidth="1"/>
    <col min="3100" max="3105" width="7.28515625" style="798" customWidth="1"/>
    <col min="3106" max="3106" width="8.5703125" style="798" bestFit="1" customWidth="1"/>
    <col min="3107" max="3107" width="8.28515625" style="798" customWidth="1"/>
    <col min="3108" max="3108" width="9" style="798" customWidth="1"/>
    <col min="3109" max="3109" width="8.7109375" style="798" customWidth="1"/>
    <col min="3110" max="3111" width="9.7109375" style="798" customWidth="1"/>
    <col min="3112" max="3112" width="8.5703125" style="798" bestFit="1" customWidth="1"/>
    <col min="3113" max="3113" width="10.42578125" style="798" bestFit="1" customWidth="1"/>
    <col min="3114" max="3114" width="6.7109375" style="798" customWidth="1"/>
    <col min="3115" max="3115" width="5.85546875" style="798" bestFit="1" customWidth="1"/>
    <col min="3116" max="3117" width="7.5703125" style="798" bestFit="1" customWidth="1"/>
    <col min="3118" max="3118" width="7.42578125" style="798" bestFit="1" customWidth="1"/>
    <col min="3119" max="3119" width="5.7109375" style="798" bestFit="1" customWidth="1"/>
    <col min="3120" max="3120" width="8.85546875" style="798" bestFit="1" customWidth="1"/>
    <col min="3121" max="3121" width="12.5703125" style="798" bestFit="1" customWidth="1"/>
    <col min="3122" max="3122" width="8.5703125" style="798" bestFit="1" customWidth="1"/>
    <col min="3123" max="3125" width="6.7109375" style="798" customWidth="1"/>
    <col min="3126" max="3126" width="7.5703125" style="798" bestFit="1" customWidth="1"/>
    <col min="3127" max="3127" width="6.7109375" style="798" customWidth="1"/>
    <col min="3128" max="3128" width="12" style="798" bestFit="1" customWidth="1"/>
    <col min="3129" max="3148" width="4.7109375" style="798" customWidth="1"/>
    <col min="3149" max="3329" width="9.140625" style="798"/>
    <col min="3330" max="3330" width="3.5703125" style="798" customWidth="1"/>
    <col min="3331" max="3331" width="11.7109375" style="798" customWidth="1"/>
    <col min="3332" max="3332" width="0" style="798" hidden="1" customWidth="1"/>
    <col min="3333" max="3334" width="6.28515625" style="798" bestFit="1" customWidth="1"/>
    <col min="3335" max="3335" width="5.7109375" style="798" bestFit="1" customWidth="1"/>
    <col min="3336" max="3336" width="5.140625" style="798" bestFit="1" customWidth="1"/>
    <col min="3337" max="3337" width="5.140625" style="798" customWidth="1"/>
    <col min="3338" max="3338" width="6.85546875" style="798" bestFit="1" customWidth="1"/>
    <col min="3339" max="3339" width="5.42578125" style="798" bestFit="1" customWidth="1"/>
    <col min="3340" max="3340" width="5.85546875" style="798" bestFit="1" customWidth="1"/>
    <col min="3341" max="3341" width="6" style="798" customWidth="1"/>
    <col min="3342" max="3343" width="6.7109375" style="798" customWidth="1"/>
    <col min="3344" max="3344" width="6.42578125" style="798" bestFit="1" customWidth="1"/>
    <col min="3345" max="3355" width="6.42578125" style="798" customWidth="1"/>
    <col min="3356" max="3361" width="7.28515625" style="798" customWidth="1"/>
    <col min="3362" max="3362" width="8.5703125" style="798" bestFit="1" customWidth="1"/>
    <col min="3363" max="3363" width="8.28515625" style="798" customWidth="1"/>
    <col min="3364" max="3364" width="9" style="798" customWidth="1"/>
    <col min="3365" max="3365" width="8.7109375" style="798" customWidth="1"/>
    <col min="3366" max="3367" width="9.7109375" style="798" customWidth="1"/>
    <col min="3368" max="3368" width="8.5703125" style="798" bestFit="1" customWidth="1"/>
    <col min="3369" max="3369" width="10.42578125" style="798" bestFit="1" customWidth="1"/>
    <col min="3370" max="3370" width="6.7109375" style="798" customWidth="1"/>
    <col min="3371" max="3371" width="5.85546875" style="798" bestFit="1" customWidth="1"/>
    <col min="3372" max="3373" width="7.5703125" style="798" bestFit="1" customWidth="1"/>
    <col min="3374" max="3374" width="7.42578125" style="798" bestFit="1" customWidth="1"/>
    <col min="3375" max="3375" width="5.7109375" style="798" bestFit="1" customWidth="1"/>
    <col min="3376" max="3376" width="8.85546875" style="798" bestFit="1" customWidth="1"/>
    <col min="3377" max="3377" width="12.5703125" style="798" bestFit="1" customWidth="1"/>
    <col min="3378" max="3378" width="8.5703125" style="798" bestFit="1" customWidth="1"/>
    <col min="3379" max="3381" width="6.7109375" style="798" customWidth="1"/>
    <col min="3382" max="3382" width="7.5703125" style="798" bestFit="1" customWidth="1"/>
    <col min="3383" max="3383" width="6.7109375" style="798" customWidth="1"/>
    <col min="3384" max="3384" width="12" style="798" bestFit="1" customWidth="1"/>
    <col min="3385" max="3404" width="4.7109375" style="798" customWidth="1"/>
    <col min="3405" max="3585" width="9.140625" style="798"/>
    <col min="3586" max="3586" width="3.5703125" style="798" customWidth="1"/>
    <col min="3587" max="3587" width="11.7109375" style="798" customWidth="1"/>
    <col min="3588" max="3588" width="0" style="798" hidden="1" customWidth="1"/>
    <col min="3589" max="3590" width="6.28515625" style="798" bestFit="1" customWidth="1"/>
    <col min="3591" max="3591" width="5.7109375" style="798" bestFit="1" customWidth="1"/>
    <col min="3592" max="3592" width="5.140625" style="798" bestFit="1" customWidth="1"/>
    <col min="3593" max="3593" width="5.140625" style="798" customWidth="1"/>
    <col min="3594" max="3594" width="6.85546875" style="798" bestFit="1" customWidth="1"/>
    <col min="3595" max="3595" width="5.42578125" style="798" bestFit="1" customWidth="1"/>
    <col min="3596" max="3596" width="5.85546875" style="798" bestFit="1" customWidth="1"/>
    <col min="3597" max="3597" width="6" style="798" customWidth="1"/>
    <col min="3598" max="3599" width="6.7109375" style="798" customWidth="1"/>
    <col min="3600" max="3600" width="6.42578125" style="798" bestFit="1" customWidth="1"/>
    <col min="3601" max="3611" width="6.42578125" style="798" customWidth="1"/>
    <col min="3612" max="3617" width="7.28515625" style="798" customWidth="1"/>
    <col min="3618" max="3618" width="8.5703125" style="798" bestFit="1" customWidth="1"/>
    <col min="3619" max="3619" width="8.28515625" style="798" customWidth="1"/>
    <col min="3620" max="3620" width="9" style="798" customWidth="1"/>
    <col min="3621" max="3621" width="8.7109375" style="798" customWidth="1"/>
    <col min="3622" max="3623" width="9.7109375" style="798" customWidth="1"/>
    <col min="3624" max="3624" width="8.5703125" style="798" bestFit="1" customWidth="1"/>
    <col min="3625" max="3625" width="10.42578125" style="798" bestFit="1" customWidth="1"/>
    <col min="3626" max="3626" width="6.7109375" style="798" customWidth="1"/>
    <col min="3627" max="3627" width="5.85546875" style="798" bestFit="1" customWidth="1"/>
    <col min="3628" max="3629" width="7.5703125" style="798" bestFit="1" customWidth="1"/>
    <col min="3630" max="3630" width="7.42578125" style="798" bestFit="1" customWidth="1"/>
    <col min="3631" max="3631" width="5.7109375" style="798" bestFit="1" customWidth="1"/>
    <col min="3632" max="3632" width="8.85546875" style="798" bestFit="1" customWidth="1"/>
    <col min="3633" max="3633" width="12.5703125" style="798" bestFit="1" customWidth="1"/>
    <col min="3634" max="3634" width="8.5703125" style="798" bestFit="1" customWidth="1"/>
    <col min="3635" max="3637" width="6.7109375" style="798" customWidth="1"/>
    <col min="3638" max="3638" width="7.5703125" style="798" bestFit="1" customWidth="1"/>
    <col min="3639" max="3639" width="6.7109375" style="798" customWidth="1"/>
    <col min="3640" max="3640" width="12" style="798" bestFit="1" customWidth="1"/>
    <col min="3641" max="3660" width="4.7109375" style="798" customWidth="1"/>
    <col min="3661" max="3841" width="9.140625" style="798"/>
    <col min="3842" max="3842" width="3.5703125" style="798" customWidth="1"/>
    <col min="3843" max="3843" width="11.7109375" style="798" customWidth="1"/>
    <col min="3844" max="3844" width="0" style="798" hidden="1" customWidth="1"/>
    <col min="3845" max="3846" width="6.28515625" style="798" bestFit="1" customWidth="1"/>
    <col min="3847" max="3847" width="5.7109375" style="798" bestFit="1" customWidth="1"/>
    <col min="3848" max="3848" width="5.140625" style="798" bestFit="1" customWidth="1"/>
    <col min="3849" max="3849" width="5.140625" style="798" customWidth="1"/>
    <col min="3850" max="3850" width="6.85546875" style="798" bestFit="1" customWidth="1"/>
    <col min="3851" max="3851" width="5.42578125" style="798" bestFit="1" customWidth="1"/>
    <col min="3852" max="3852" width="5.85546875" style="798" bestFit="1" customWidth="1"/>
    <col min="3853" max="3853" width="6" style="798" customWidth="1"/>
    <col min="3854" max="3855" width="6.7109375" style="798" customWidth="1"/>
    <col min="3856" max="3856" width="6.42578125" style="798" bestFit="1" customWidth="1"/>
    <col min="3857" max="3867" width="6.42578125" style="798" customWidth="1"/>
    <col min="3868" max="3873" width="7.28515625" style="798" customWidth="1"/>
    <col min="3874" max="3874" width="8.5703125" style="798" bestFit="1" customWidth="1"/>
    <col min="3875" max="3875" width="8.28515625" style="798" customWidth="1"/>
    <col min="3876" max="3876" width="9" style="798" customWidth="1"/>
    <col min="3877" max="3877" width="8.7109375" style="798" customWidth="1"/>
    <col min="3878" max="3879" width="9.7109375" style="798" customWidth="1"/>
    <col min="3880" max="3880" width="8.5703125" style="798" bestFit="1" customWidth="1"/>
    <col min="3881" max="3881" width="10.42578125" style="798" bestFit="1" customWidth="1"/>
    <col min="3882" max="3882" width="6.7109375" style="798" customWidth="1"/>
    <col min="3883" max="3883" width="5.85546875" style="798" bestFit="1" customWidth="1"/>
    <col min="3884" max="3885" width="7.5703125" style="798" bestFit="1" customWidth="1"/>
    <col min="3886" max="3886" width="7.42578125" style="798" bestFit="1" customWidth="1"/>
    <col min="3887" max="3887" width="5.7109375" style="798" bestFit="1" customWidth="1"/>
    <col min="3888" max="3888" width="8.85546875" style="798" bestFit="1" customWidth="1"/>
    <col min="3889" max="3889" width="12.5703125" style="798" bestFit="1" customWidth="1"/>
    <col min="3890" max="3890" width="8.5703125" style="798" bestFit="1" customWidth="1"/>
    <col min="3891" max="3893" width="6.7109375" style="798" customWidth="1"/>
    <col min="3894" max="3894" width="7.5703125" style="798" bestFit="1" customWidth="1"/>
    <col min="3895" max="3895" width="6.7109375" style="798" customWidth="1"/>
    <col min="3896" max="3896" width="12" style="798" bestFit="1" customWidth="1"/>
    <col min="3897" max="3916" width="4.7109375" style="798" customWidth="1"/>
    <col min="3917" max="4097" width="9.140625" style="798"/>
    <col min="4098" max="4098" width="3.5703125" style="798" customWidth="1"/>
    <col min="4099" max="4099" width="11.7109375" style="798" customWidth="1"/>
    <col min="4100" max="4100" width="0" style="798" hidden="1" customWidth="1"/>
    <col min="4101" max="4102" width="6.28515625" style="798" bestFit="1" customWidth="1"/>
    <col min="4103" max="4103" width="5.7109375" style="798" bestFit="1" customWidth="1"/>
    <col min="4104" max="4104" width="5.140625" style="798" bestFit="1" customWidth="1"/>
    <col min="4105" max="4105" width="5.140625" style="798" customWidth="1"/>
    <col min="4106" max="4106" width="6.85546875" style="798" bestFit="1" customWidth="1"/>
    <col min="4107" max="4107" width="5.42578125" style="798" bestFit="1" customWidth="1"/>
    <col min="4108" max="4108" width="5.85546875" style="798" bestFit="1" customWidth="1"/>
    <col min="4109" max="4109" width="6" style="798" customWidth="1"/>
    <col min="4110" max="4111" width="6.7109375" style="798" customWidth="1"/>
    <col min="4112" max="4112" width="6.42578125" style="798" bestFit="1" customWidth="1"/>
    <col min="4113" max="4123" width="6.42578125" style="798" customWidth="1"/>
    <col min="4124" max="4129" width="7.28515625" style="798" customWidth="1"/>
    <col min="4130" max="4130" width="8.5703125" style="798" bestFit="1" customWidth="1"/>
    <col min="4131" max="4131" width="8.28515625" style="798" customWidth="1"/>
    <col min="4132" max="4132" width="9" style="798" customWidth="1"/>
    <col min="4133" max="4133" width="8.7109375" style="798" customWidth="1"/>
    <col min="4134" max="4135" width="9.7109375" style="798" customWidth="1"/>
    <col min="4136" max="4136" width="8.5703125" style="798" bestFit="1" customWidth="1"/>
    <col min="4137" max="4137" width="10.42578125" style="798" bestFit="1" customWidth="1"/>
    <col min="4138" max="4138" width="6.7109375" style="798" customWidth="1"/>
    <col min="4139" max="4139" width="5.85546875" style="798" bestFit="1" customWidth="1"/>
    <col min="4140" max="4141" width="7.5703125" style="798" bestFit="1" customWidth="1"/>
    <col min="4142" max="4142" width="7.42578125" style="798" bestFit="1" customWidth="1"/>
    <col min="4143" max="4143" width="5.7109375" style="798" bestFit="1" customWidth="1"/>
    <col min="4144" max="4144" width="8.85546875" style="798" bestFit="1" customWidth="1"/>
    <col min="4145" max="4145" width="12.5703125" style="798" bestFit="1" customWidth="1"/>
    <col min="4146" max="4146" width="8.5703125" style="798" bestFit="1" customWidth="1"/>
    <col min="4147" max="4149" width="6.7109375" style="798" customWidth="1"/>
    <col min="4150" max="4150" width="7.5703125" style="798" bestFit="1" customWidth="1"/>
    <col min="4151" max="4151" width="6.7109375" style="798" customWidth="1"/>
    <col min="4152" max="4152" width="12" style="798" bestFit="1" customWidth="1"/>
    <col min="4153" max="4172" width="4.7109375" style="798" customWidth="1"/>
    <col min="4173" max="4353" width="9.140625" style="798"/>
    <col min="4354" max="4354" width="3.5703125" style="798" customWidth="1"/>
    <col min="4355" max="4355" width="11.7109375" style="798" customWidth="1"/>
    <col min="4356" max="4356" width="0" style="798" hidden="1" customWidth="1"/>
    <col min="4357" max="4358" width="6.28515625" style="798" bestFit="1" customWidth="1"/>
    <col min="4359" max="4359" width="5.7109375" style="798" bestFit="1" customWidth="1"/>
    <col min="4360" max="4360" width="5.140625" style="798" bestFit="1" customWidth="1"/>
    <col min="4361" max="4361" width="5.140625" style="798" customWidth="1"/>
    <col min="4362" max="4362" width="6.85546875" style="798" bestFit="1" customWidth="1"/>
    <col min="4363" max="4363" width="5.42578125" style="798" bestFit="1" customWidth="1"/>
    <col min="4364" max="4364" width="5.85546875" style="798" bestFit="1" customWidth="1"/>
    <col min="4365" max="4365" width="6" style="798" customWidth="1"/>
    <col min="4366" max="4367" width="6.7109375" style="798" customWidth="1"/>
    <col min="4368" max="4368" width="6.42578125" style="798" bestFit="1" customWidth="1"/>
    <col min="4369" max="4379" width="6.42578125" style="798" customWidth="1"/>
    <col min="4380" max="4385" width="7.28515625" style="798" customWidth="1"/>
    <col min="4386" max="4386" width="8.5703125" style="798" bestFit="1" customWidth="1"/>
    <col min="4387" max="4387" width="8.28515625" style="798" customWidth="1"/>
    <col min="4388" max="4388" width="9" style="798" customWidth="1"/>
    <col min="4389" max="4389" width="8.7109375" style="798" customWidth="1"/>
    <col min="4390" max="4391" width="9.7109375" style="798" customWidth="1"/>
    <col min="4392" max="4392" width="8.5703125" style="798" bestFit="1" customWidth="1"/>
    <col min="4393" max="4393" width="10.42578125" style="798" bestFit="1" customWidth="1"/>
    <col min="4394" max="4394" width="6.7109375" style="798" customWidth="1"/>
    <col min="4395" max="4395" width="5.85546875" style="798" bestFit="1" customWidth="1"/>
    <col min="4396" max="4397" width="7.5703125" style="798" bestFit="1" customWidth="1"/>
    <col min="4398" max="4398" width="7.42578125" style="798" bestFit="1" customWidth="1"/>
    <col min="4399" max="4399" width="5.7109375" style="798" bestFit="1" customWidth="1"/>
    <col min="4400" max="4400" width="8.85546875" style="798" bestFit="1" customWidth="1"/>
    <col min="4401" max="4401" width="12.5703125" style="798" bestFit="1" customWidth="1"/>
    <col min="4402" max="4402" width="8.5703125" style="798" bestFit="1" customWidth="1"/>
    <col min="4403" max="4405" width="6.7109375" style="798" customWidth="1"/>
    <col min="4406" max="4406" width="7.5703125" style="798" bestFit="1" customWidth="1"/>
    <col min="4407" max="4407" width="6.7109375" style="798" customWidth="1"/>
    <col min="4408" max="4408" width="12" style="798" bestFit="1" customWidth="1"/>
    <col min="4409" max="4428" width="4.7109375" style="798" customWidth="1"/>
    <col min="4429" max="4609" width="9.140625" style="798"/>
    <col min="4610" max="4610" width="3.5703125" style="798" customWidth="1"/>
    <col min="4611" max="4611" width="11.7109375" style="798" customWidth="1"/>
    <col min="4612" max="4612" width="0" style="798" hidden="1" customWidth="1"/>
    <col min="4613" max="4614" width="6.28515625" style="798" bestFit="1" customWidth="1"/>
    <col min="4615" max="4615" width="5.7109375" style="798" bestFit="1" customWidth="1"/>
    <col min="4616" max="4616" width="5.140625" style="798" bestFit="1" customWidth="1"/>
    <col min="4617" max="4617" width="5.140625" style="798" customWidth="1"/>
    <col min="4618" max="4618" width="6.85546875" style="798" bestFit="1" customWidth="1"/>
    <col min="4619" max="4619" width="5.42578125" style="798" bestFit="1" customWidth="1"/>
    <col min="4620" max="4620" width="5.85546875" style="798" bestFit="1" customWidth="1"/>
    <col min="4621" max="4621" width="6" style="798" customWidth="1"/>
    <col min="4622" max="4623" width="6.7109375" style="798" customWidth="1"/>
    <col min="4624" max="4624" width="6.42578125" style="798" bestFit="1" customWidth="1"/>
    <col min="4625" max="4635" width="6.42578125" style="798" customWidth="1"/>
    <col min="4636" max="4641" width="7.28515625" style="798" customWidth="1"/>
    <col min="4642" max="4642" width="8.5703125" style="798" bestFit="1" customWidth="1"/>
    <col min="4643" max="4643" width="8.28515625" style="798" customWidth="1"/>
    <col min="4644" max="4644" width="9" style="798" customWidth="1"/>
    <col min="4645" max="4645" width="8.7109375" style="798" customWidth="1"/>
    <col min="4646" max="4647" width="9.7109375" style="798" customWidth="1"/>
    <col min="4648" max="4648" width="8.5703125" style="798" bestFit="1" customWidth="1"/>
    <col min="4649" max="4649" width="10.42578125" style="798" bestFit="1" customWidth="1"/>
    <col min="4650" max="4650" width="6.7109375" style="798" customWidth="1"/>
    <col min="4651" max="4651" width="5.85546875" style="798" bestFit="1" customWidth="1"/>
    <col min="4652" max="4653" width="7.5703125" style="798" bestFit="1" customWidth="1"/>
    <col min="4654" max="4654" width="7.42578125" style="798" bestFit="1" customWidth="1"/>
    <col min="4655" max="4655" width="5.7109375" style="798" bestFit="1" customWidth="1"/>
    <col min="4656" max="4656" width="8.85546875" style="798" bestFit="1" customWidth="1"/>
    <col min="4657" max="4657" width="12.5703125" style="798" bestFit="1" customWidth="1"/>
    <col min="4658" max="4658" width="8.5703125" style="798" bestFit="1" customWidth="1"/>
    <col min="4659" max="4661" width="6.7109375" style="798" customWidth="1"/>
    <col min="4662" max="4662" width="7.5703125" style="798" bestFit="1" customWidth="1"/>
    <col min="4663" max="4663" width="6.7109375" style="798" customWidth="1"/>
    <col min="4664" max="4664" width="12" style="798" bestFit="1" customWidth="1"/>
    <col min="4665" max="4684" width="4.7109375" style="798" customWidth="1"/>
    <col min="4685" max="4865" width="9.140625" style="798"/>
    <col min="4866" max="4866" width="3.5703125" style="798" customWidth="1"/>
    <col min="4867" max="4867" width="11.7109375" style="798" customWidth="1"/>
    <col min="4868" max="4868" width="0" style="798" hidden="1" customWidth="1"/>
    <col min="4869" max="4870" width="6.28515625" style="798" bestFit="1" customWidth="1"/>
    <col min="4871" max="4871" width="5.7109375" style="798" bestFit="1" customWidth="1"/>
    <col min="4872" max="4872" width="5.140625" style="798" bestFit="1" customWidth="1"/>
    <col min="4873" max="4873" width="5.140625" style="798" customWidth="1"/>
    <col min="4874" max="4874" width="6.85546875" style="798" bestFit="1" customWidth="1"/>
    <col min="4875" max="4875" width="5.42578125" style="798" bestFit="1" customWidth="1"/>
    <col min="4876" max="4876" width="5.85546875" style="798" bestFit="1" customWidth="1"/>
    <col min="4877" max="4877" width="6" style="798" customWidth="1"/>
    <col min="4878" max="4879" width="6.7109375" style="798" customWidth="1"/>
    <col min="4880" max="4880" width="6.42578125" style="798" bestFit="1" customWidth="1"/>
    <col min="4881" max="4891" width="6.42578125" style="798" customWidth="1"/>
    <col min="4892" max="4897" width="7.28515625" style="798" customWidth="1"/>
    <col min="4898" max="4898" width="8.5703125" style="798" bestFit="1" customWidth="1"/>
    <col min="4899" max="4899" width="8.28515625" style="798" customWidth="1"/>
    <col min="4900" max="4900" width="9" style="798" customWidth="1"/>
    <col min="4901" max="4901" width="8.7109375" style="798" customWidth="1"/>
    <col min="4902" max="4903" width="9.7109375" style="798" customWidth="1"/>
    <col min="4904" max="4904" width="8.5703125" style="798" bestFit="1" customWidth="1"/>
    <col min="4905" max="4905" width="10.42578125" style="798" bestFit="1" customWidth="1"/>
    <col min="4906" max="4906" width="6.7109375" style="798" customWidth="1"/>
    <col min="4907" max="4907" width="5.85546875" style="798" bestFit="1" customWidth="1"/>
    <col min="4908" max="4909" width="7.5703125" style="798" bestFit="1" customWidth="1"/>
    <col min="4910" max="4910" width="7.42578125" style="798" bestFit="1" customWidth="1"/>
    <col min="4911" max="4911" width="5.7109375" style="798" bestFit="1" customWidth="1"/>
    <col min="4912" max="4912" width="8.85546875" style="798" bestFit="1" customWidth="1"/>
    <col min="4913" max="4913" width="12.5703125" style="798" bestFit="1" customWidth="1"/>
    <col min="4914" max="4914" width="8.5703125" style="798" bestFit="1" customWidth="1"/>
    <col min="4915" max="4917" width="6.7109375" style="798" customWidth="1"/>
    <col min="4918" max="4918" width="7.5703125" style="798" bestFit="1" customWidth="1"/>
    <col min="4919" max="4919" width="6.7109375" style="798" customWidth="1"/>
    <col min="4920" max="4920" width="12" style="798" bestFit="1" customWidth="1"/>
    <col min="4921" max="4940" width="4.7109375" style="798" customWidth="1"/>
    <col min="4941" max="5121" width="9.140625" style="798"/>
    <col min="5122" max="5122" width="3.5703125" style="798" customWidth="1"/>
    <col min="5123" max="5123" width="11.7109375" style="798" customWidth="1"/>
    <col min="5124" max="5124" width="0" style="798" hidden="1" customWidth="1"/>
    <col min="5125" max="5126" width="6.28515625" style="798" bestFit="1" customWidth="1"/>
    <col min="5127" max="5127" width="5.7109375" style="798" bestFit="1" customWidth="1"/>
    <col min="5128" max="5128" width="5.140625" style="798" bestFit="1" customWidth="1"/>
    <col min="5129" max="5129" width="5.140625" style="798" customWidth="1"/>
    <col min="5130" max="5130" width="6.85546875" style="798" bestFit="1" customWidth="1"/>
    <col min="5131" max="5131" width="5.42578125" style="798" bestFit="1" customWidth="1"/>
    <col min="5132" max="5132" width="5.85546875" style="798" bestFit="1" customWidth="1"/>
    <col min="5133" max="5133" width="6" style="798" customWidth="1"/>
    <col min="5134" max="5135" width="6.7109375" style="798" customWidth="1"/>
    <col min="5136" max="5136" width="6.42578125" style="798" bestFit="1" customWidth="1"/>
    <col min="5137" max="5147" width="6.42578125" style="798" customWidth="1"/>
    <col min="5148" max="5153" width="7.28515625" style="798" customWidth="1"/>
    <col min="5154" max="5154" width="8.5703125" style="798" bestFit="1" customWidth="1"/>
    <col min="5155" max="5155" width="8.28515625" style="798" customWidth="1"/>
    <col min="5156" max="5156" width="9" style="798" customWidth="1"/>
    <col min="5157" max="5157" width="8.7109375" style="798" customWidth="1"/>
    <col min="5158" max="5159" width="9.7109375" style="798" customWidth="1"/>
    <col min="5160" max="5160" width="8.5703125" style="798" bestFit="1" customWidth="1"/>
    <col min="5161" max="5161" width="10.42578125" style="798" bestFit="1" customWidth="1"/>
    <col min="5162" max="5162" width="6.7109375" style="798" customWidth="1"/>
    <col min="5163" max="5163" width="5.85546875" style="798" bestFit="1" customWidth="1"/>
    <col min="5164" max="5165" width="7.5703125" style="798" bestFit="1" customWidth="1"/>
    <col min="5166" max="5166" width="7.42578125" style="798" bestFit="1" customWidth="1"/>
    <col min="5167" max="5167" width="5.7109375" style="798" bestFit="1" customWidth="1"/>
    <col min="5168" max="5168" width="8.85546875" style="798" bestFit="1" customWidth="1"/>
    <col min="5169" max="5169" width="12.5703125" style="798" bestFit="1" customWidth="1"/>
    <col min="5170" max="5170" width="8.5703125" style="798" bestFit="1" customWidth="1"/>
    <col min="5171" max="5173" width="6.7109375" style="798" customWidth="1"/>
    <col min="5174" max="5174" width="7.5703125" style="798" bestFit="1" customWidth="1"/>
    <col min="5175" max="5175" width="6.7109375" style="798" customWidth="1"/>
    <col min="5176" max="5176" width="12" style="798" bestFit="1" customWidth="1"/>
    <col min="5177" max="5196" width="4.7109375" style="798" customWidth="1"/>
    <col min="5197" max="5377" width="9.140625" style="798"/>
    <col min="5378" max="5378" width="3.5703125" style="798" customWidth="1"/>
    <col min="5379" max="5379" width="11.7109375" style="798" customWidth="1"/>
    <col min="5380" max="5380" width="0" style="798" hidden="1" customWidth="1"/>
    <col min="5381" max="5382" width="6.28515625" style="798" bestFit="1" customWidth="1"/>
    <col min="5383" max="5383" width="5.7109375" style="798" bestFit="1" customWidth="1"/>
    <col min="5384" max="5384" width="5.140625" style="798" bestFit="1" customWidth="1"/>
    <col min="5385" max="5385" width="5.140625" style="798" customWidth="1"/>
    <col min="5386" max="5386" width="6.85546875" style="798" bestFit="1" customWidth="1"/>
    <col min="5387" max="5387" width="5.42578125" style="798" bestFit="1" customWidth="1"/>
    <col min="5388" max="5388" width="5.85546875" style="798" bestFit="1" customWidth="1"/>
    <col min="5389" max="5389" width="6" style="798" customWidth="1"/>
    <col min="5390" max="5391" width="6.7109375" style="798" customWidth="1"/>
    <col min="5392" max="5392" width="6.42578125" style="798" bestFit="1" customWidth="1"/>
    <col min="5393" max="5403" width="6.42578125" style="798" customWidth="1"/>
    <col min="5404" max="5409" width="7.28515625" style="798" customWidth="1"/>
    <col min="5410" max="5410" width="8.5703125" style="798" bestFit="1" customWidth="1"/>
    <col min="5411" max="5411" width="8.28515625" style="798" customWidth="1"/>
    <col min="5412" max="5412" width="9" style="798" customWidth="1"/>
    <col min="5413" max="5413" width="8.7109375" style="798" customWidth="1"/>
    <col min="5414" max="5415" width="9.7109375" style="798" customWidth="1"/>
    <col min="5416" max="5416" width="8.5703125" style="798" bestFit="1" customWidth="1"/>
    <col min="5417" max="5417" width="10.42578125" style="798" bestFit="1" customWidth="1"/>
    <col min="5418" max="5418" width="6.7109375" style="798" customWidth="1"/>
    <col min="5419" max="5419" width="5.85546875" style="798" bestFit="1" customWidth="1"/>
    <col min="5420" max="5421" width="7.5703125" style="798" bestFit="1" customWidth="1"/>
    <col min="5422" max="5422" width="7.42578125" style="798" bestFit="1" customWidth="1"/>
    <col min="5423" max="5423" width="5.7109375" style="798" bestFit="1" customWidth="1"/>
    <col min="5424" max="5424" width="8.85546875" style="798" bestFit="1" customWidth="1"/>
    <col min="5425" max="5425" width="12.5703125" style="798" bestFit="1" customWidth="1"/>
    <col min="5426" max="5426" width="8.5703125" style="798" bestFit="1" customWidth="1"/>
    <col min="5427" max="5429" width="6.7109375" style="798" customWidth="1"/>
    <col min="5430" max="5430" width="7.5703125" style="798" bestFit="1" customWidth="1"/>
    <col min="5431" max="5431" width="6.7109375" style="798" customWidth="1"/>
    <col min="5432" max="5432" width="12" style="798" bestFit="1" customWidth="1"/>
    <col min="5433" max="5452" width="4.7109375" style="798" customWidth="1"/>
    <col min="5453" max="5633" width="9.140625" style="798"/>
    <col min="5634" max="5634" width="3.5703125" style="798" customWidth="1"/>
    <col min="5635" max="5635" width="11.7109375" style="798" customWidth="1"/>
    <col min="5636" max="5636" width="0" style="798" hidden="1" customWidth="1"/>
    <col min="5637" max="5638" width="6.28515625" style="798" bestFit="1" customWidth="1"/>
    <col min="5639" max="5639" width="5.7109375" style="798" bestFit="1" customWidth="1"/>
    <col min="5640" max="5640" width="5.140625" style="798" bestFit="1" customWidth="1"/>
    <col min="5641" max="5641" width="5.140625" style="798" customWidth="1"/>
    <col min="5642" max="5642" width="6.85546875" style="798" bestFit="1" customWidth="1"/>
    <col min="5643" max="5643" width="5.42578125" style="798" bestFit="1" customWidth="1"/>
    <col min="5644" max="5644" width="5.85546875" style="798" bestFit="1" customWidth="1"/>
    <col min="5645" max="5645" width="6" style="798" customWidth="1"/>
    <col min="5646" max="5647" width="6.7109375" style="798" customWidth="1"/>
    <col min="5648" max="5648" width="6.42578125" style="798" bestFit="1" customWidth="1"/>
    <col min="5649" max="5659" width="6.42578125" style="798" customWidth="1"/>
    <col min="5660" max="5665" width="7.28515625" style="798" customWidth="1"/>
    <col min="5666" max="5666" width="8.5703125" style="798" bestFit="1" customWidth="1"/>
    <col min="5667" max="5667" width="8.28515625" style="798" customWidth="1"/>
    <col min="5668" max="5668" width="9" style="798" customWidth="1"/>
    <col min="5669" max="5669" width="8.7109375" style="798" customWidth="1"/>
    <col min="5670" max="5671" width="9.7109375" style="798" customWidth="1"/>
    <col min="5672" max="5672" width="8.5703125" style="798" bestFit="1" customWidth="1"/>
    <col min="5673" max="5673" width="10.42578125" style="798" bestFit="1" customWidth="1"/>
    <col min="5674" max="5674" width="6.7109375" style="798" customWidth="1"/>
    <col min="5675" max="5675" width="5.85546875" style="798" bestFit="1" customWidth="1"/>
    <col min="5676" max="5677" width="7.5703125" style="798" bestFit="1" customWidth="1"/>
    <col min="5678" max="5678" width="7.42578125" style="798" bestFit="1" customWidth="1"/>
    <col min="5679" max="5679" width="5.7109375" style="798" bestFit="1" customWidth="1"/>
    <col min="5680" max="5680" width="8.85546875" style="798" bestFit="1" customWidth="1"/>
    <col min="5681" max="5681" width="12.5703125" style="798" bestFit="1" customWidth="1"/>
    <col min="5682" max="5682" width="8.5703125" style="798" bestFit="1" customWidth="1"/>
    <col min="5683" max="5685" width="6.7109375" style="798" customWidth="1"/>
    <col min="5686" max="5686" width="7.5703125" style="798" bestFit="1" customWidth="1"/>
    <col min="5687" max="5687" width="6.7109375" style="798" customWidth="1"/>
    <col min="5688" max="5688" width="12" style="798" bestFit="1" customWidth="1"/>
    <col min="5689" max="5708" width="4.7109375" style="798" customWidth="1"/>
    <col min="5709" max="5889" width="9.140625" style="798"/>
    <col min="5890" max="5890" width="3.5703125" style="798" customWidth="1"/>
    <col min="5891" max="5891" width="11.7109375" style="798" customWidth="1"/>
    <col min="5892" max="5892" width="0" style="798" hidden="1" customWidth="1"/>
    <col min="5893" max="5894" width="6.28515625" style="798" bestFit="1" customWidth="1"/>
    <col min="5895" max="5895" width="5.7109375" style="798" bestFit="1" customWidth="1"/>
    <col min="5896" max="5896" width="5.140625" style="798" bestFit="1" customWidth="1"/>
    <col min="5897" max="5897" width="5.140625" style="798" customWidth="1"/>
    <col min="5898" max="5898" width="6.85546875" style="798" bestFit="1" customWidth="1"/>
    <col min="5899" max="5899" width="5.42578125" style="798" bestFit="1" customWidth="1"/>
    <col min="5900" max="5900" width="5.85546875" style="798" bestFit="1" customWidth="1"/>
    <col min="5901" max="5901" width="6" style="798" customWidth="1"/>
    <col min="5902" max="5903" width="6.7109375" style="798" customWidth="1"/>
    <col min="5904" max="5904" width="6.42578125" style="798" bestFit="1" customWidth="1"/>
    <col min="5905" max="5915" width="6.42578125" style="798" customWidth="1"/>
    <col min="5916" max="5921" width="7.28515625" style="798" customWidth="1"/>
    <col min="5922" max="5922" width="8.5703125" style="798" bestFit="1" customWidth="1"/>
    <col min="5923" max="5923" width="8.28515625" style="798" customWidth="1"/>
    <col min="5924" max="5924" width="9" style="798" customWidth="1"/>
    <col min="5925" max="5925" width="8.7109375" style="798" customWidth="1"/>
    <col min="5926" max="5927" width="9.7109375" style="798" customWidth="1"/>
    <col min="5928" max="5928" width="8.5703125" style="798" bestFit="1" customWidth="1"/>
    <col min="5929" max="5929" width="10.42578125" style="798" bestFit="1" customWidth="1"/>
    <col min="5930" max="5930" width="6.7109375" style="798" customWidth="1"/>
    <col min="5931" max="5931" width="5.85546875" style="798" bestFit="1" customWidth="1"/>
    <col min="5932" max="5933" width="7.5703125" style="798" bestFit="1" customWidth="1"/>
    <col min="5934" max="5934" width="7.42578125" style="798" bestFit="1" customWidth="1"/>
    <col min="5935" max="5935" width="5.7109375" style="798" bestFit="1" customWidth="1"/>
    <col min="5936" max="5936" width="8.85546875" style="798" bestFit="1" customWidth="1"/>
    <col min="5937" max="5937" width="12.5703125" style="798" bestFit="1" customWidth="1"/>
    <col min="5938" max="5938" width="8.5703125" style="798" bestFit="1" customWidth="1"/>
    <col min="5939" max="5941" width="6.7109375" style="798" customWidth="1"/>
    <col min="5942" max="5942" width="7.5703125" style="798" bestFit="1" customWidth="1"/>
    <col min="5943" max="5943" width="6.7109375" style="798" customWidth="1"/>
    <col min="5944" max="5944" width="12" style="798" bestFit="1" customWidth="1"/>
    <col min="5945" max="5964" width="4.7109375" style="798" customWidth="1"/>
    <col min="5965" max="6145" width="9.140625" style="798"/>
    <col min="6146" max="6146" width="3.5703125" style="798" customWidth="1"/>
    <col min="6147" max="6147" width="11.7109375" style="798" customWidth="1"/>
    <col min="6148" max="6148" width="0" style="798" hidden="1" customWidth="1"/>
    <col min="6149" max="6150" width="6.28515625" style="798" bestFit="1" customWidth="1"/>
    <col min="6151" max="6151" width="5.7109375" style="798" bestFit="1" customWidth="1"/>
    <col min="6152" max="6152" width="5.140625" style="798" bestFit="1" customWidth="1"/>
    <col min="6153" max="6153" width="5.140625" style="798" customWidth="1"/>
    <col min="6154" max="6154" width="6.85546875" style="798" bestFit="1" customWidth="1"/>
    <col min="6155" max="6155" width="5.42578125" style="798" bestFit="1" customWidth="1"/>
    <col min="6156" max="6156" width="5.85546875" style="798" bestFit="1" customWidth="1"/>
    <col min="6157" max="6157" width="6" style="798" customWidth="1"/>
    <col min="6158" max="6159" width="6.7109375" style="798" customWidth="1"/>
    <col min="6160" max="6160" width="6.42578125" style="798" bestFit="1" customWidth="1"/>
    <col min="6161" max="6171" width="6.42578125" style="798" customWidth="1"/>
    <col min="6172" max="6177" width="7.28515625" style="798" customWidth="1"/>
    <col min="6178" max="6178" width="8.5703125" style="798" bestFit="1" customWidth="1"/>
    <col min="6179" max="6179" width="8.28515625" style="798" customWidth="1"/>
    <col min="6180" max="6180" width="9" style="798" customWidth="1"/>
    <col min="6181" max="6181" width="8.7109375" style="798" customWidth="1"/>
    <col min="6182" max="6183" width="9.7109375" style="798" customWidth="1"/>
    <col min="6184" max="6184" width="8.5703125" style="798" bestFit="1" customWidth="1"/>
    <col min="6185" max="6185" width="10.42578125" style="798" bestFit="1" customWidth="1"/>
    <col min="6186" max="6186" width="6.7109375" style="798" customWidth="1"/>
    <col min="6187" max="6187" width="5.85546875" style="798" bestFit="1" customWidth="1"/>
    <col min="6188" max="6189" width="7.5703125" style="798" bestFit="1" customWidth="1"/>
    <col min="6190" max="6190" width="7.42578125" style="798" bestFit="1" customWidth="1"/>
    <col min="6191" max="6191" width="5.7109375" style="798" bestFit="1" customWidth="1"/>
    <col min="6192" max="6192" width="8.85546875" style="798" bestFit="1" customWidth="1"/>
    <col min="6193" max="6193" width="12.5703125" style="798" bestFit="1" customWidth="1"/>
    <col min="6194" max="6194" width="8.5703125" style="798" bestFit="1" customWidth="1"/>
    <col min="6195" max="6197" width="6.7109375" style="798" customWidth="1"/>
    <col min="6198" max="6198" width="7.5703125" style="798" bestFit="1" customWidth="1"/>
    <col min="6199" max="6199" width="6.7109375" style="798" customWidth="1"/>
    <col min="6200" max="6200" width="12" style="798" bestFit="1" customWidth="1"/>
    <col min="6201" max="6220" width="4.7109375" style="798" customWidth="1"/>
    <col min="6221" max="6401" width="9.140625" style="798"/>
    <col min="6402" max="6402" width="3.5703125" style="798" customWidth="1"/>
    <col min="6403" max="6403" width="11.7109375" style="798" customWidth="1"/>
    <col min="6404" max="6404" width="0" style="798" hidden="1" customWidth="1"/>
    <col min="6405" max="6406" width="6.28515625" style="798" bestFit="1" customWidth="1"/>
    <col min="6407" max="6407" width="5.7109375" style="798" bestFit="1" customWidth="1"/>
    <col min="6408" max="6408" width="5.140625" style="798" bestFit="1" customWidth="1"/>
    <col min="6409" max="6409" width="5.140625" style="798" customWidth="1"/>
    <col min="6410" max="6410" width="6.85546875" style="798" bestFit="1" customWidth="1"/>
    <col min="6411" max="6411" width="5.42578125" style="798" bestFit="1" customWidth="1"/>
    <col min="6412" max="6412" width="5.85546875" style="798" bestFit="1" customWidth="1"/>
    <col min="6413" max="6413" width="6" style="798" customWidth="1"/>
    <col min="6414" max="6415" width="6.7109375" style="798" customWidth="1"/>
    <col min="6416" max="6416" width="6.42578125" style="798" bestFit="1" customWidth="1"/>
    <col min="6417" max="6427" width="6.42578125" style="798" customWidth="1"/>
    <col min="6428" max="6433" width="7.28515625" style="798" customWidth="1"/>
    <col min="6434" max="6434" width="8.5703125" style="798" bestFit="1" customWidth="1"/>
    <col min="6435" max="6435" width="8.28515625" style="798" customWidth="1"/>
    <col min="6436" max="6436" width="9" style="798" customWidth="1"/>
    <col min="6437" max="6437" width="8.7109375" style="798" customWidth="1"/>
    <col min="6438" max="6439" width="9.7109375" style="798" customWidth="1"/>
    <col min="6440" max="6440" width="8.5703125" style="798" bestFit="1" customWidth="1"/>
    <col min="6441" max="6441" width="10.42578125" style="798" bestFit="1" customWidth="1"/>
    <col min="6442" max="6442" width="6.7109375" style="798" customWidth="1"/>
    <col min="6443" max="6443" width="5.85546875" style="798" bestFit="1" customWidth="1"/>
    <col min="6444" max="6445" width="7.5703125" style="798" bestFit="1" customWidth="1"/>
    <col min="6446" max="6446" width="7.42578125" style="798" bestFit="1" customWidth="1"/>
    <col min="6447" max="6447" width="5.7109375" style="798" bestFit="1" customWidth="1"/>
    <col min="6448" max="6448" width="8.85546875" style="798" bestFit="1" customWidth="1"/>
    <col min="6449" max="6449" width="12.5703125" style="798" bestFit="1" customWidth="1"/>
    <col min="6450" max="6450" width="8.5703125" style="798" bestFit="1" customWidth="1"/>
    <col min="6451" max="6453" width="6.7109375" style="798" customWidth="1"/>
    <col min="6454" max="6454" width="7.5703125" style="798" bestFit="1" customWidth="1"/>
    <col min="6455" max="6455" width="6.7109375" style="798" customWidth="1"/>
    <col min="6456" max="6456" width="12" style="798" bestFit="1" customWidth="1"/>
    <col min="6457" max="6476" width="4.7109375" style="798" customWidth="1"/>
    <col min="6477" max="6657" width="9.140625" style="798"/>
    <col min="6658" max="6658" width="3.5703125" style="798" customWidth="1"/>
    <col min="6659" max="6659" width="11.7109375" style="798" customWidth="1"/>
    <col min="6660" max="6660" width="0" style="798" hidden="1" customWidth="1"/>
    <col min="6661" max="6662" width="6.28515625" style="798" bestFit="1" customWidth="1"/>
    <col min="6663" max="6663" width="5.7109375" style="798" bestFit="1" customWidth="1"/>
    <col min="6664" max="6664" width="5.140625" style="798" bestFit="1" customWidth="1"/>
    <col min="6665" max="6665" width="5.140625" style="798" customWidth="1"/>
    <col min="6666" max="6666" width="6.85546875" style="798" bestFit="1" customWidth="1"/>
    <col min="6667" max="6667" width="5.42578125" style="798" bestFit="1" customWidth="1"/>
    <col min="6668" max="6668" width="5.85546875" style="798" bestFit="1" customWidth="1"/>
    <col min="6669" max="6669" width="6" style="798" customWidth="1"/>
    <col min="6670" max="6671" width="6.7109375" style="798" customWidth="1"/>
    <col min="6672" max="6672" width="6.42578125" style="798" bestFit="1" customWidth="1"/>
    <col min="6673" max="6683" width="6.42578125" style="798" customWidth="1"/>
    <col min="6684" max="6689" width="7.28515625" style="798" customWidth="1"/>
    <col min="6690" max="6690" width="8.5703125" style="798" bestFit="1" customWidth="1"/>
    <col min="6691" max="6691" width="8.28515625" style="798" customWidth="1"/>
    <col min="6692" max="6692" width="9" style="798" customWidth="1"/>
    <col min="6693" max="6693" width="8.7109375" style="798" customWidth="1"/>
    <col min="6694" max="6695" width="9.7109375" style="798" customWidth="1"/>
    <col min="6696" max="6696" width="8.5703125" style="798" bestFit="1" customWidth="1"/>
    <col min="6697" max="6697" width="10.42578125" style="798" bestFit="1" customWidth="1"/>
    <col min="6698" max="6698" width="6.7109375" style="798" customWidth="1"/>
    <col min="6699" max="6699" width="5.85546875" style="798" bestFit="1" customWidth="1"/>
    <col min="6700" max="6701" width="7.5703125" style="798" bestFit="1" customWidth="1"/>
    <col min="6702" max="6702" width="7.42578125" style="798" bestFit="1" customWidth="1"/>
    <col min="6703" max="6703" width="5.7109375" style="798" bestFit="1" customWidth="1"/>
    <col min="6704" max="6704" width="8.85546875" style="798" bestFit="1" customWidth="1"/>
    <col min="6705" max="6705" width="12.5703125" style="798" bestFit="1" customWidth="1"/>
    <col min="6706" max="6706" width="8.5703125" style="798" bestFit="1" customWidth="1"/>
    <col min="6707" max="6709" width="6.7109375" style="798" customWidth="1"/>
    <col min="6710" max="6710" width="7.5703125" style="798" bestFit="1" customWidth="1"/>
    <col min="6711" max="6711" width="6.7109375" style="798" customWidth="1"/>
    <col min="6712" max="6712" width="12" style="798" bestFit="1" customWidth="1"/>
    <col min="6713" max="6732" width="4.7109375" style="798" customWidth="1"/>
    <col min="6733" max="6913" width="9.140625" style="798"/>
    <col min="6914" max="6914" width="3.5703125" style="798" customWidth="1"/>
    <col min="6915" max="6915" width="11.7109375" style="798" customWidth="1"/>
    <col min="6916" max="6916" width="0" style="798" hidden="1" customWidth="1"/>
    <col min="6917" max="6918" width="6.28515625" style="798" bestFit="1" customWidth="1"/>
    <col min="6919" max="6919" width="5.7109375" style="798" bestFit="1" customWidth="1"/>
    <col min="6920" max="6920" width="5.140625" style="798" bestFit="1" customWidth="1"/>
    <col min="6921" max="6921" width="5.140625" style="798" customWidth="1"/>
    <col min="6922" max="6922" width="6.85546875" style="798" bestFit="1" customWidth="1"/>
    <col min="6923" max="6923" width="5.42578125" style="798" bestFit="1" customWidth="1"/>
    <col min="6924" max="6924" width="5.85546875" style="798" bestFit="1" customWidth="1"/>
    <col min="6925" max="6925" width="6" style="798" customWidth="1"/>
    <col min="6926" max="6927" width="6.7109375" style="798" customWidth="1"/>
    <col min="6928" max="6928" width="6.42578125" style="798" bestFit="1" customWidth="1"/>
    <col min="6929" max="6939" width="6.42578125" style="798" customWidth="1"/>
    <col min="6940" max="6945" width="7.28515625" style="798" customWidth="1"/>
    <col min="6946" max="6946" width="8.5703125" style="798" bestFit="1" customWidth="1"/>
    <col min="6947" max="6947" width="8.28515625" style="798" customWidth="1"/>
    <col min="6948" max="6948" width="9" style="798" customWidth="1"/>
    <col min="6949" max="6949" width="8.7109375" style="798" customWidth="1"/>
    <col min="6950" max="6951" width="9.7109375" style="798" customWidth="1"/>
    <col min="6952" max="6952" width="8.5703125" style="798" bestFit="1" customWidth="1"/>
    <col min="6953" max="6953" width="10.42578125" style="798" bestFit="1" customWidth="1"/>
    <col min="6954" max="6954" width="6.7109375" style="798" customWidth="1"/>
    <col min="6955" max="6955" width="5.85546875" style="798" bestFit="1" customWidth="1"/>
    <col min="6956" max="6957" width="7.5703125" style="798" bestFit="1" customWidth="1"/>
    <col min="6958" max="6958" width="7.42578125" style="798" bestFit="1" customWidth="1"/>
    <col min="6959" max="6959" width="5.7109375" style="798" bestFit="1" customWidth="1"/>
    <col min="6960" max="6960" width="8.85546875" style="798" bestFit="1" customWidth="1"/>
    <col min="6961" max="6961" width="12.5703125" style="798" bestFit="1" customWidth="1"/>
    <col min="6962" max="6962" width="8.5703125" style="798" bestFit="1" customWidth="1"/>
    <col min="6963" max="6965" width="6.7109375" style="798" customWidth="1"/>
    <col min="6966" max="6966" width="7.5703125" style="798" bestFit="1" customWidth="1"/>
    <col min="6967" max="6967" width="6.7109375" style="798" customWidth="1"/>
    <col min="6968" max="6968" width="12" style="798" bestFit="1" customWidth="1"/>
    <col min="6969" max="6988" width="4.7109375" style="798" customWidth="1"/>
    <col min="6989" max="7169" width="9.140625" style="798"/>
    <col min="7170" max="7170" width="3.5703125" style="798" customWidth="1"/>
    <col min="7171" max="7171" width="11.7109375" style="798" customWidth="1"/>
    <col min="7172" max="7172" width="0" style="798" hidden="1" customWidth="1"/>
    <col min="7173" max="7174" width="6.28515625" style="798" bestFit="1" customWidth="1"/>
    <col min="7175" max="7175" width="5.7109375" style="798" bestFit="1" customWidth="1"/>
    <col min="7176" max="7176" width="5.140625" style="798" bestFit="1" customWidth="1"/>
    <col min="7177" max="7177" width="5.140625" style="798" customWidth="1"/>
    <col min="7178" max="7178" width="6.85546875" style="798" bestFit="1" customWidth="1"/>
    <col min="7179" max="7179" width="5.42578125" style="798" bestFit="1" customWidth="1"/>
    <col min="7180" max="7180" width="5.85546875" style="798" bestFit="1" customWidth="1"/>
    <col min="7181" max="7181" width="6" style="798" customWidth="1"/>
    <col min="7182" max="7183" width="6.7109375" style="798" customWidth="1"/>
    <col min="7184" max="7184" width="6.42578125" style="798" bestFit="1" customWidth="1"/>
    <col min="7185" max="7195" width="6.42578125" style="798" customWidth="1"/>
    <col min="7196" max="7201" width="7.28515625" style="798" customWidth="1"/>
    <col min="7202" max="7202" width="8.5703125" style="798" bestFit="1" customWidth="1"/>
    <col min="7203" max="7203" width="8.28515625" style="798" customWidth="1"/>
    <col min="7204" max="7204" width="9" style="798" customWidth="1"/>
    <col min="7205" max="7205" width="8.7109375" style="798" customWidth="1"/>
    <col min="7206" max="7207" width="9.7109375" style="798" customWidth="1"/>
    <col min="7208" max="7208" width="8.5703125" style="798" bestFit="1" customWidth="1"/>
    <col min="7209" max="7209" width="10.42578125" style="798" bestFit="1" customWidth="1"/>
    <col min="7210" max="7210" width="6.7109375" style="798" customWidth="1"/>
    <col min="7211" max="7211" width="5.85546875" style="798" bestFit="1" customWidth="1"/>
    <col min="7212" max="7213" width="7.5703125" style="798" bestFit="1" customWidth="1"/>
    <col min="7214" max="7214" width="7.42578125" style="798" bestFit="1" customWidth="1"/>
    <col min="7215" max="7215" width="5.7109375" style="798" bestFit="1" customWidth="1"/>
    <col min="7216" max="7216" width="8.85546875" style="798" bestFit="1" customWidth="1"/>
    <col min="7217" max="7217" width="12.5703125" style="798" bestFit="1" customWidth="1"/>
    <col min="7218" max="7218" width="8.5703125" style="798" bestFit="1" customWidth="1"/>
    <col min="7219" max="7221" width="6.7109375" style="798" customWidth="1"/>
    <col min="7222" max="7222" width="7.5703125" style="798" bestFit="1" customWidth="1"/>
    <col min="7223" max="7223" width="6.7109375" style="798" customWidth="1"/>
    <col min="7224" max="7224" width="12" style="798" bestFit="1" customWidth="1"/>
    <col min="7225" max="7244" width="4.7109375" style="798" customWidth="1"/>
    <col min="7245" max="7425" width="9.140625" style="798"/>
    <col min="7426" max="7426" width="3.5703125" style="798" customWidth="1"/>
    <col min="7427" max="7427" width="11.7109375" style="798" customWidth="1"/>
    <col min="7428" max="7428" width="0" style="798" hidden="1" customWidth="1"/>
    <col min="7429" max="7430" width="6.28515625" style="798" bestFit="1" customWidth="1"/>
    <col min="7431" max="7431" width="5.7109375" style="798" bestFit="1" customWidth="1"/>
    <col min="7432" max="7432" width="5.140625" style="798" bestFit="1" customWidth="1"/>
    <col min="7433" max="7433" width="5.140625" style="798" customWidth="1"/>
    <col min="7434" max="7434" width="6.85546875" style="798" bestFit="1" customWidth="1"/>
    <col min="7435" max="7435" width="5.42578125" style="798" bestFit="1" customWidth="1"/>
    <col min="7436" max="7436" width="5.85546875" style="798" bestFit="1" customWidth="1"/>
    <col min="7437" max="7437" width="6" style="798" customWidth="1"/>
    <col min="7438" max="7439" width="6.7109375" style="798" customWidth="1"/>
    <col min="7440" max="7440" width="6.42578125" style="798" bestFit="1" customWidth="1"/>
    <col min="7441" max="7451" width="6.42578125" style="798" customWidth="1"/>
    <col min="7452" max="7457" width="7.28515625" style="798" customWidth="1"/>
    <col min="7458" max="7458" width="8.5703125" style="798" bestFit="1" customWidth="1"/>
    <col min="7459" max="7459" width="8.28515625" style="798" customWidth="1"/>
    <col min="7460" max="7460" width="9" style="798" customWidth="1"/>
    <col min="7461" max="7461" width="8.7109375" style="798" customWidth="1"/>
    <col min="7462" max="7463" width="9.7109375" style="798" customWidth="1"/>
    <col min="7464" max="7464" width="8.5703125" style="798" bestFit="1" customWidth="1"/>
    <col min="7465" max="7465" width="10.42578125" style="798" bestFit="1" customWidth="1"/>
    <col min="7466" max="7466" width="6.7109375" style="798" customWidth="1"/>
    <col min="7467" max="7467" width="5.85546875" style="798" bestFit="1" customWidth="1"/>
    <col min="7468" max="7469" width="7.5703125" style="798" bestFit="1" customWidth="1"/>
    <col min="7470" max="7470" width="7.42578125" style="798" bestFit="1" customWidth="1"/>
    <col min="7471" max="7471" width="5.7109375" style="798" bestFit="1" customWidth="1"/>
    <col min="7472" max="7472" width="8.85546875" style="798" bestFit="1" customWidth="1"/>
    <col min="7473" max="7473" width="12.5703125" style="798" bestFit="1" customWidth="1"/>
    <col min="7474" max="7474" width="8.5703125" style="798" bestFit="1" customWidth="1"/>
    <col min="7475" max="7477" width="6.7109375" style="798" customWidth="1"/>
    <col min="7478" max="7478" width="7.5703125" style="798" bestFit="1" customWidth="1"/>
    <col min="7479" max="7479" width="6.7109375" style="798" customWidth="1"/>
    <col min="7480" max="7480" width="12" style="798" bestFit="1" customWidth="1"/>
    <col min="7481" max="7500" width="4.7109375" style="798" customWidth="1"/>
    <col min="7501" max="7681" width="9.140625" style="798"/>
    <col min="7682" max="7682" width="3.5703125" style="798" customWidth="1"/>
    <col min="7683" max="7683" width="11.7109375" style="798" customWidth="1"/>
    <col min="7684" max="7684" width="0" style="798" hidden="1" customWidth="1"/>
    <col min="7685" max="7686" width="6.28515625" style="798" bestFit="1" customWidth="1"/>
    <col min="7687" max="7687" width="5.7109375" style="798" bestFit="1" customWidth="1"/>
    <col min="7688" max="7688" width="5.140625" style="798" bestFit="1" customWidth="1"/>
    <col min="7689" max="7689" width="5.140625" style="798" customWidth="1"/>
    <col min="7690" max="7690" width="6.85546875" style="798" bestFit="1" customWidth="1"/>
    <col min="7691" max="7691" width="5.42578125" style="798" bestFit="1" customWidth="1"/>
    <col min="7692" max="7692" width="5.85546875" style="798" bestFit="1" customWidth="1"/>
    <col min="7693" max="7693" width="6" style="798" customWidth="1"/>
    <col min="7694" max="7695" width="6.7109375" style="798" customWidth="1"/>
    <col min="7696" max="7696" width="6.42578125" style="798" bestFit="1" customWidth="1"/>
    <col min="7697" max="7707" width="6.42578125" style="798" customWidth="1"/>
    <col min="7708" max="7713" width="7.28515625" style="798" customWidth="1"/>
    <col min="7714" max="7714" width="8.5703125" style="798" bestFit="1" customWidth="1"/>
    <col min="7715" max="7715" width="8.28515625" style="798" customWidth="1"/>
    <col min="7716" max="7716" width="9" style="798" customWidth="1"/>
    <col min="7717" max="7717" width="8.7109375" style="798" customWidth="1"/>
    <col min="7718" max="7719" width="9.7109375" style="798" customWidth="1"/>
    <col min="7720" max="7720" width="8.5703125" style="798" bestFit="1" customWidth="1"/>
    <col min="7721" max="7721" width="10.42578125" style="798" bestFit="1" customWidth="1"/>
    <col min="7722" max="7722" width="6.7109375" style="798" customWidth="1"/>
    <col min="7723" max="7723" width="5.85546875" style="798" bestFit="1" customWidth="1"/>
    <col min="7724" max="7725" width="7.5703125" style="798" bestFit="1" customWidth="1"/>
    <col min="7726" max="7726" width="7.42578125" style="798" bestFit="1" customWidth="1"/>
    <col min="7727" max="7727" width="5.7109375" style="798" bestFit="1" customWidth="1"/>
    <col min="7728" max="7728" width="8.85546875" style="798" bestFit="1" customWidth="1"/>
    <col min="7729" max="7729" width="12.5703125" style="798" bestFit="1" customWidth="1"/>
    <col min="7730" max="7730" width="8.5703125" style="798" bestFit="1" customWidth="1"/>
    <col min="7731" max="7733" width="6.7109375" style="798" customWidth="1"/>
    <col min="7734" max="7734" width="7.5703125" style="798" bestFit="1" customWidth="1"/>
    <col min="7735" max="7735" width="6.7109375" style="798" customWidth="1"/>
    <col min="7736" max="7736" width="12" style="798" bestFit="1" customWidth="1"/>
    <col min="7737" max="7756" width="4.7109375" style="798" customWidth="1"/>
    <col min="7757" max="7937" width="9.140625" style="798"/>
    <col min="7938" max="7938" width="3.5703125" style="798" customWidth="1"/>
    <col min="7939" max="7939" width="11.7109375" style="798" customWidth="1"/>
    <col min="7940" max="7940" width="0" style="798" hidden="1" customWidth="1"/>
    <col min="7941" max="7942" width="6.28515625" style="798" bestFit="1" customWidth="1"/>
    <col min="7943" max="7943" width="5.7109375" style="798" bestFit="1" customWidth="1"/>
    <col min="7944" max="7944" width="5.140625" style="798" bestFit="1" customWidth="1"/>
    <col min="7945" max="7945" width="5.140625" style="798" customWidth="1"/>
    <col min="7946" max="7946" width="6.85546875" style="798" bestFit="1" customWidth="1"/>
    <col min="7947" max="7947" width="5.42578125" style="798" bestFit="1" customWidth="1"/>
    <col min="7948" max="7948" width="5.85546875" style="798" bestFit="1" customWidth="1"/>
    <col min="7949" max="7949" width="6" style="798" customWidth="1"/>
    <col min="7950" max="7951" width="6.7109375" style="798" customWidth="1"/>
    <col min="7952" max="7952" width="6.42578125" style="798" bestFit="1" customWidth="1"/>
    <col min="7953" max="7963" width="6.42578125" style="798" customWidth="1"/>
    <col min="7964" max="7969" width="7.28515625" style="798" customWidth="1"/>
    <col min="7970" max="7970" width="8.5703125" style="798" bestFit="1" customWidth="1"/>
    <col min="7971" max="7971" width="8.28515625" style="798" customWidth="1"/>
    <col min="7972" max="7972" width="9" style="798" customWidth="1"/>
    <col min="7973" max="7973" width="8.7109375" style="798" customWidth="1"/>
    <col min="7974" max="7975" width="9.7109375" style="798" customWidth="1"/>
    <col min="7976" max="7976" width="8.5703125" style="798" bestFit="1" customWidth="1"/>
    <col min="7977" max="7977" width="10.42578125" style="798" bestFit="1" customWidth="1"/>
    <col min="7978" max="7978" width="6.7109375" style="798" customWidth="1"/>
    <col min="7979" max="7979" width="5.85546875" style="798" bestFit="1" customWidth="1"/>
    <col min="7980" max="7981" width="7.5703125" style="798" bestFit="1" customWidth="1"/>
    <col min="7982" max="7982" width="7.42578125" style="798" bestFit="1" customWidth="1"/>
    <col min="7983" max="7983" width="5.7109375" style="798" bestFit="1" customWidth="1"/>
    <col min="7984" max="7984" width="8.85546875" style="798" bestFit="1" customWidth="1"/>
    <col min="7985" max="7985" width="12.5703125" style="798" bestFit="1" customWidth="1"/>
    <col min="7986" max="7986" width="8.5703125" style="798" bestFit="1" customWidth="1"/>
    <col min="7987" max="7989" width="6.7109375" style="798" customWidth="1"/>
    <col min="7990" max="7990" width="7.5703125" style="798" bestFit="1" customWidth="1"/>
    <col min="7991" max="7991" width="6.7109375" style="798" customWidth="1"/>
    <col min="7992" max="7992" width="12" style="798" bestFit="1" customWidth="1"/>
    <col min="7993" max="8012" width="4.7109375" style="798" customWidth="1"/>
    <col min="8013" max="8193" width="9.140625" style="798"/>
    <col min="8194" max="8194" width="3.5703125" style="798" customWidth="1"/>
    <col min="8195" max="8195" width="11.7109375" style="798" customWidth="1"/>
    <col min="8196" max="8196" width="0" style="798" hidden="1" customWidth="1"/>
    <col min="8197" max="8198" width="6.28515625" style="798" bestFit="1" customWidth="1"/>
    <col min="8199" max="8199" width="5.7109375" style="798" bestFit="1" customWidth="1"/>
    <col min="8200" max="8200" width="5.140625" style="798" bestFit="1" customWidth="1"/>
    <col min="8201" max="8201" width="5.140625" style="798" customWidth="1"/>
    <col min="8202" max="8202" width="6.85546875" style="798" bestFit="1" customWidth="1"/>
    <col min="8203" max="8203" width="5.42578125" style="798" bestFit="1" customWidth="1"/>
    <col min="8204" max="8204" width="5.85546875" style="798" bestFit="1" customWidth="1"/>
    <col min="8205" max="8205" width="6" style="798" customWidth="1"/>
    <col min="8206" max="8207" width="6.7109375" style="798" customWidth="1"/>
    <col min="8208" max="8208" width="6.42578125" style="798" bestFit="1" customWidth="1"/>
    <col min="8209" max="8219" width="6.42578125" style="798" customWidth="1"/>
    <col min="8220" max="8225" width="7.28515625" style="798" customWidth="1"/>
    <col min="8226" max="8226" width="8.5703125" style="798" bestFit="1" customWidth="1"/>
    <col min="8227" max="8227" width="8.28515625" style="798" customWidth="1"/>
    <col min="8228" max="8228" width="9" style="798" customWidth="1"/>
    <col min="8229" max="8229" width="8.7109375" style="798" customWidth="1"/>
    <col min="8230" max="8231" width="9.7109375" style="798" customWidth="1"/>
    <col min="8232" max="8232" width="8.5703125" style="798" bestFit="1" customWidth="1"/>
    <col min="8233" max="8233" width="10.42578125" style="798" bestFit="1" customWidth="1"/>
    <col min="8234" max="8234" width="6.7109375" style="798" customWidth="1"/>
    <col min="8235" max="8235" width="5.85546875" style="798" bestFit="1" customWidth="1"/>
    <col min="8236" max="8237" width="7.5703125" style="798" bestFit="1" customWidth="1"/>
    <col min="8238" max="8238" width="7.42578125" style="798" bestFit="1" customWidth="1"/>
    <col min="8239" max="8239" width="5.7109375" style="798" bestFit="1" customWidth="1"/>
    <col min="8240" max="8240" width="8.85546875" style="798" bestFit="1" customWidth="1"/>
    <col min="8241" max="8241" width="12.5703125" style="798" bestFit="1" customWidth="1"/>
    <col min="8242" max="8242" width="8.5703125" style="798" bestFit="1" customWidth="1"/>
    <col min="8243" max="8245" width="6.7109375" style="798" customWidth="1"/>
    <col min="8246" max="8246" width="7.5703125" style="798" bestFit="1" customWidth="1"/>
    <col min="8247" max="8247" width="6.7109375" style="798" customWidth="1"/>
    <col min="8248" max="8248" width="12" style="798" bestFit="1" customWidth="1"/>
    <col min="8249" max="8268" width="4.7109375" style="798" customWidth="1"/>
    <col min="8269" max="8449" width="9.140625" style="798"/>
    <col min="8450" max="8450" width="3.5703125" style="798" customWidth="1"/>
    <col min="8451" max="8451" width="11.7109375" style="798" customWidth="1"/>
    <col min="8452" max="8452" width="0" style="798" hidden="1" customWidth="1"/>
    <col min="8453" max="8454" width="6.28515625" style="798" bestFit="1" customWidth="1"/>
    <col min="8455" max="8455" width="5.7109375" style="798" bestFit="1" customWidth="1"/>
    <col min="8456" max="8456" width="5.140625" style="798" bestFit="1" customWidth="1"/>
    <col min="8457" max="8457" width="5.140625" style="798" customWidth="1"/>
    <col min="8458" max="8458" width="6.85546875" style="798" bestFit="1" customWidth="1"/>
    <col min="8459" max="8459" width="5.42578125" style="798" bestFit="1" customWidth="1"/>
    <col min="8460" max="8460" width="5.85546875" style="798" bestFit="1" customWidth="1"/>
    <col min="8461" max="8461" width="6" style="798" customWidth="1"/>
    <col min="8462" max="8463" width="6.7109375" style="798" customWidth="1"/>
    <col min="8464" max="8464" width="6.42578125" style="798" bestFit="1" customWidth="1"/>
    <col min="8465" max="8475" width="6.42578125" style="798" customWidth="1"/>
    <col min="8476" max="8481" width="7.28515625" style="798" customWidth="1"/>
    <col min="8482" max="8482" width="8.5703125" style="798" bestFit="1" customWidth="1"/>
    <col min="8483" max="8483" width="8.28515625" style="798" customWidth="1"/>
    <col min="8484" max="8484" width="9" style="798" customWidth="1"/>
    <col min="8485" max="8485" width="8.7109375" style="798" customWidth="1"/>
    <col min="8486" max="8487" width="9.7109375" style="798" customWidth="1"/>
    <col min="8488" max="8488" width="8.5703125" style="798" bestFit="1" customWidth="1"/>
    <col min="8489" max="8489" width="10.42578125" style="798" bestFit="1" customWidth="1"/>
    <col min="8490" max="8490" width="6.7109375" style="798" customWidth="1"/>
    <col min="8491" max="8491" width="5.85546875" style="798" bestFit="1" customWidth="1"/>
    <col min="8492" max="8493" width="7.5703125" style="798" bestFit="1" customWidth="1"/>
    <col min="8494" max="8494" width="7.42578125" style="798" bestFit="1" customWidth="1"/>
    <col min="8495" max="8495" width="5.7109375" style="798" bestFit="1" customWidth="1"/>
    <col min="8496" max="8496" width="8.85546875" style="798" bestFit="1" customWidth="1"/>
    <col min="8497" max="8497" width="12.5703125" style="798" bestFit="1" customWidth="1"/>
    <col min="8498" max="8498" width="8.5703125" style="798" bestFit="1" customWidth="1"/>
    <col min="8499" max="8501" width="6.7109375" style="798" customWidth="1"/>
    <col min="8502" max="8502" width="7.5703125" style="798" bestFit="1" customWidth="1"/>
    <col min="8503" max="8503" width="6.7109375" style="798" customWidth="1"/>
    <col min="8504" max="8504" width="12" style="798" bestFit="1" customWidth="1"/>
    <col min="8505" max="8524" width="4.7109375" style="798" customWidth="1"/>
    <col min="8525" max="8705" width="9.140625" style="798"/>
    <col min="8706" max="8706" width="3.5703125" style="798" customWidth="1"/>
    <col min="8707" max="8707" width="11.7109375" style="798" customWidth="1"/>
    <col min="8708" max="8708" width="0" style="798" hidden="1" customWidth="1"/>
    <col min="8709" max="8710" width="6.28515625" style="798" bestFit="1" customWidth="1"/>
    <col min="8711" max="8711" width="5.7109375" style="798" bestFit="1" customWidth="1"/>
    <col min="8712" max="8712" width="5.140625" style="798" bestFit="1" customWidth="1"/>
    <col min="8713" max="8713" width="5.140625" style="798" customWidth="1"/>
    <col min="8714" max="8714" width="6.85546875" style="798" bestFit="1" customWidth="1"/>
    <col min="8715" max="8715" width="5.42578125" style="798" bestFit="1" customWidth="1"/>
    <col min="8716" max="8716" width="5.85546875" style="798" bestFit="1" customWidth="1"/>
    <col min="8717" max="8717" width="6" style="798" customWidth="1"/>
    <col min="8718" max="8719" width="6.7109375" style="798" customWidth="1"/>
    <col min="8720" max="8720" width="6.42578125" style="798" bestFit="1" customWidth="1"/>
    <col min="8721" max="8731" width="6.42578125" style="798" customWidth="1"/>
    <col min="8732" max="8737" width="7.28515625" style="798" customWidth="1"/>
    <col min="8738" max="8738" width="8.5703125" style="798" bestFit="1" customWidth="1"/>
    <col min="8739" max="8739" width="8.28515625" style="798" customWidth="1"/>
    <col min="8740" max="8740" width="9" style="798" customWidth="1"/>
    <col min="8741" max="8741" width="8.7109375" style="798" customWidth="1"/>
    <col min="8742" max="8743" width="9.7109375" style="798" customWidth="1"/>
    <col min="8744" max="8744" width="8.5703125" style="798" bestFit="1" customWidth="1"/>
    <col min="8745" max="8745" width="10.42578125" style="798" bestFit="1" customWidth="1"/>
    <col min="8746" max="8746" width="6.7109375" style="798" customWidth="1"/>
    <col min="8747" max="8747" width="5.85546875" style="798" bestFit="1" customWidth="1"/>
    <col min="8748" max="8749" width="7.5703125" style="798" bestFit="1" customWidth="1"/>
    <col min="8750" max="8750" width="7.42578125" style="798" bestFit="1" customWidth="1"/>
    <col min="8751" max="8751" width="5.7109375" style="798" bestFit="1" customWidth="1"/>
    <col min="8752" max="8752" width="8.85546875" style="798" bestFit="1" customWidth="1"/>
    <col min="8753" max="8753" width="12.5703125" style="798" bestFit="1" customWidth="1"/>
    <col min="8754" max="8754" width="8.5703125" style="798" bestFit="1" customWidth="1"/>
    <col min="8755" max="8757" width="6.7109375" style="798" customWidth="1"/>
    <col min="8758" max="8758" width="7.5703125" style="798" bestFit="1" customWidth="1"/>
    <col min="8759" max="8759" width="6.7109375" style="798" customWidth="1"/>
    <col min="8760" max="8760" width="12" style="798" bestFit="1" customWidth="1"/>
    <col min="8761" max="8780" width="4.7109375" style="798" customWidth="1"/>
    <col min="8781" max="8961" width="9.140625" style="798"/>
    <col min="8962" max="8962" width="3.5703125" style="798" customWidth="1"/>
    <col min="8963" max="8963" width="11.7109375" style="798" customWidth="1"/>
    <col min="8964" max="8964" width="0" style="798" hidden="1" customWidth="1"/>
    <col min="8965" max="8966" width="6.28515625" style="798" bestFit="1" customWidth="1"/>
    <col min="8967" max="8967" width="5.7109375" style="798" bestFit="1" customWidth="1"/>
    <col min="8968" max="8968" width="5.140625" style="798" bestFit="1" customWidth="1"/>
    <col min="8969" max="8969" width="5.140625" style="798" customWidth="1"/>
    <col min="8970" max="8970" width="6.85546875" style="798" bestFit="1" customWidth="1"/>
    <col min="8971" max="8971" width="5.42578125" style="798" bestFit="1" customWidth="1"/>
    <col min="8972" max="8972" width="5.85546875" style="798" bestFit="1" customWidth="1"/>
    <col min="8973" max="8973" width="6" style="798" customWidth="1"/>
    <col min="8974" max="8975" width="6.7109375" style="798" customWidth="1"/>
    <col min="8976" max="8976" width="6.42578125" style="798" bestFit="1" customWidth="1"/>
    <col min="8977" max="8987" width="6.42578125" style="798" customWidth="1"/>
    <col min="8988" max="8993" width="7.28515625" style="798" customWidth="1"/>
    <col min="8994" max="8994" width="8.5703125" style="798" bestFit="1" customWidth="1"/>
    <col min="8995" max="8995" width="8.28515625" style="798" customWidth="1"/>
    <col min="8996" max="8996" width="9" style="798" customWidth="1"/>
    <col min="8997" max="8997" width="8.7109375" style="798" customWidth="1"/>
    <col min="8998" max="8999" width="9.7109375" style="798" customWidth="1"/>
    <col min="9000" max="9000" width="8.5703125" style="798" bestFit="1" customWidth="1"/>
    <col min="9001" max="9001" width="10.42578125" style="798" bestFit="1" customWidth="1"/>
    <col min="9002" max="9002" width="6.7109375" style="798" customWidth="1"/>
    <col min="9003" max="9003" width="5.85546875" style="798" bestFit="1" customWidth="1"/>
    <col min="9004" max="9005" width="7.5703125" style="798" bestFit="1" customWidth="1"/>
    <col min="9006" max="9006" width="7.42578125" style="798" bestFit="1" customWidth="1"/>
    <col min="9007" max="9007" width="5.7109375" style="798" bestFit="1" customWidth="1"/>
    <col min="9008" max="9008" width="8.85546875" style="798" bestFit="1" customWidth="1"/>
    <col min="9009" max="9009" width="12.5703125" style="798" bestFit="1" customWidth="1"/>
    <col min="9010" max="9010" width="8.5703125" style="798" bestFit="1" customWidth="1"/>
    <col min="9011" max="9013" width="6.7109375" style="798" customWidth="1"/>
    <col min="9014" max="9014" width="7.5703125" style="798" bestFit="1" customWidth="1"/>
    <col min="9015" max="9015" width="6.7109375" style="798" customWidth="1"/>
    <col min="9016" max="9016" width="12" style="798" bestFit="1" customWidth="1"/>
    <col min="9017" max="9036" width="4.7109375" style="798" customWidth="1"/>
    <col min="9037" max="9217" width="9.140625" style="798"/>
    <col min="9218" max="9218" width="3.5703125" style="798" customWidth="1"/>
    <col min="9219" max="9219" width="11.7109375" style="798" customWidth="1"/>
    <col min="9220" max="9220" width="0" style="798" hidden="1" customWidth="1"/>
    <col min="9221" max="9222" width="6.28515625" style="798" bestFit="1" customWidth="1"/>
    <col min="9223" max="9223" width="5.7109375" style="798" bestFit="1" customWidth="1"/>
    <col min="9224" max="9224" width="5.140625" style="798" bestFit="1" customWidth="1"/>
    <col min="9225" max="9225" width="5.140625" style="798" customWidth="1"/>
    <col min="9226" max="9226" width="6.85546875" style="798" bestFit="1" customWidth="1"/>
    <col min="9227" max="9227" width="5.42578125" style="798" bestFit="1" customWidth="1"/>
    <col min="9228" max="9228" width="5.85546875" style="798" bestFit="1" customWidth="1"/>
    <col min="9229" max="9229" width="6" style="798" customWidth="1"/>
    <col min="9230" max="9231" width="6.7109375" style="798" customWidth="1"/>
    <col min="9232" max="9232" width="6.42578125" style="798" bestFit="1" customWidth="1"/>
    <col min="9233" max="9243" width="6.42578125" style="798" customWidth="1"/>
    <col min="9244" max="9249" width="7.28515625" style="798" customWidth="1"/>
    <col min="9250" max="9250" width="8.5703125" style="798" bestFit="1" customWidth="1"/>
    <col min="9251" max="9251" width="8.28515625" style="798" customWidth="1"/>
    <col min="9252" max="9252" width="9" style="798" customWidth="1"/>
    <col min="9253" max="9253" width="8.7109375" style="798" customWidth="1"/>
    <col min="9254" max="9255" width="9.7109375" style="798" customWidth="1"/>
    <col min="9256" max="9256" width="8.5703125" style="798" bestFit="1" customWidth="1"/>
    <col min="9257" max="9257" width="10.42578125" style="798" bestFit="1" customWidth="1"/>
    <col min="9258" max="9258" width="6.7109375" style="798" customWidth="1"/>
    <col min="9259" max="9259" width="5.85546875" style="798" bestFit="1" customWidth="1"/>
    <col min="9260" max="9261" width="7.5703125" style="798" bestFit="1" customWidth="1"/>
    <col min="9262" max="9262" width="7.42578125" style="798" bestFit="1" customWidth="1"/>
    <col min="9263" max="9263" width="5.7109375" style="798" bestFit="1" customWidth="1"/>
    <col min="9264" max="9264" width="8.85546875" style="798" bestFit="1" customWidth="1"/>
    <col min="9265" max="9265" width="12.5703125" style="798" bestFit="1" customWidth="1"/>
    <col min="9266" max="9266" width="8.5703125" style="798" bestFit="1" customWidth="1"/>
    <col min="9267" max="9269" width="6.7109375" style="798" customWidth="1"/>
    <col min="9270" max="9270" width="7.5703125" style="798" bestFit="1" customWidth="1"/>
    <col min="9271" max="9271" width="6.7109375" style="798" customWidth="1"/>
    <col min="9272" max="9272" width="12" style="798" bestFit="1" customWidth="1"/>
    <col min="9273" max="9292" width="4.7109375" style="798" customWidth="1"/>
    <col min="9293" max="9473" width="9.140625" style="798"/>
    <col min="9474" max="9474" width="3.5703125" style="798" customWidth="1"/>
    <col min="9475" max="9475" width="11.7109375" style="798" customWidth="1"/>
    <col min="9476" max="9476" width="0" style="798" hidden="1" customWidth="1"/>
    <col min="9477" max="9478" width="6.28515625" style="798" bestFit="1" customWidth="1"/>
    <col min="9479" max="9479" width="5.7109375" style="798" bestFit="1" customWidth="1"/>
    <col min="9480" max="9480" width="5.140625" style="798" bestFit="1" customWidth="1"/>
    <col min="9481" max="9481" width="5.140625" style="798" customWidth="1"/>
    <col min="9482" max="9482" width="6.85546875" style="798" bestFit="1" customWidth="1"/>
    <col min="9483" max="9483" width="5.42578125" style="798" bestFit="1" customWidth="1"/>
    <col min="9484" max="9484" width="5.85546875" style="798" bestFit="1" customWidth="1"/>
    <col min="9485" max="9485" width="6" style="798" customWidth="1"/>
    <col min="9486" max="9487" width="6.7109375" style="798" customWidth="1"/>
    <col min="9488" max="9488" width="6.42578125" style="798" bestFit="1" customWidth="1"/>
    <col min="9489" max="9499" width="6.42578125" style="798" customWidth="1"/>
    <col min="9500" max="9505" width="7.28515625" style="798" customWidth="1"/>
    <col min="9506" max="9506" width="8.5703125" style="798" bestFit="1" customWidth="1"/>
    <col min="9507" max="9507" width="8.28515625" style="798" customWidth="1"/>
    <col min="9508" max="9508" width="9" style="798" customWidth="1"/>
    <col min="9509" max="9509" width="8.7109375" style="798" customWidth="1"/>
    <col min="9510" max="9511" width="9.7109375" style="798" customWidth="1"/>
    <col min="9512" max="9512" width="8.5703125" style="798" bestFit="1" customWidth="1"/>
    <col min="9513" max="9513" width="10.42578125" style="798" bestFit="1" customWidth="1"/>
    <col min="9514" max="9514" width="6.7109375" style="798" customWidth="1"/>
    <col min="9515" max="9515" width="5.85546875" style="798" bestFit="1" customWidth="1"/>
    <col min="9516" max="9517" width="7.5703125" style="798" bestFit="1" customWidth="1"/>
    <col min="9518" max="9518" width="7.42578125" style="798" bestFit="1" customWidth="1"/>
    <col min="9519" max="9519" width="5.7109375" style="798" bestFit="1" customWidth="1"/>
    <col min="9520" max="9520" width="8.85546875" style="798" bestFit="1" customWidth="1"/>
    <col min="9521" max="9521" width="12.5703125" style="798" bestFit="1" customWidth="1"/>
    <col min="9522" max="9522" width="8.5703125" style="798" bestFit="1" customWidth="1"/>
    <col min="9523" max="9525" width="6.7109375" style="798" customWidth="1"/>
    <col min="9526" max="9526" width="7.5703125" style="798" bestFit="1" customWidth="1"/>
    <col min="9527" max="9527" width="6.7109375" style="798" customWidth="1"/>
    <col min="9528" max="9528" width="12" style="798" bestFit="1" customWidth="1"/>
    <col min="9529" max="9548" width="4.7109375" style="798" customWidth="1"/>
    <col min="9549" max="9729" width="9.140625" style="798"/>
    <col min="9730" max="9730" width="3.5703125" style="798" customWidth="1"/>
    <col min="9731" max="9731" width="11.7109375" style="798" customWidth="1"/>
    <col min="9732" max="9732" width="0" style="798" hidden="1" customWidth="1"/>
    <col min="9733" max="9734" width="6.28515625" style="798" bestFit="1" customWidth="1"/>
    <col min="9735" max="9735" width="5.7109375" style="798" bestFit="1" customWidth="1"/>
    <col min="9736" max="9736" width="5.140625" style="798" bestFit="1" customWidth="1"/>
    <col min="9737" max="9737" width="5.140625" style="798" customWidth="1"/>
    <col min="9738" max="9738" width="6.85546875" style="798" bestFit="1" customWidth="1"/>
    <col min="9739" max="9739" width="5.42578125" style="798" bestFit="1" customWidth="1"/>
    <col min="9740" max="9740" width="5.85546875" style="798" bestFit="1" customWidth="1"/>
    <col min="9741" max="9741" width="6" style="798" customWidth="1"/>
    <col min="9742" max="9743" width="6.7109375" style="798" customWidth="1"/>
    <col min="9744" max="9744" width="6.42578125" style="798" bestFit="1" customWidth="1"/>
    <col min="9745" max="9755" width="6.42578125" style="798" customWidth="1"/>
    <col min="9756" max="9761" width="7.28515625" style="798" customWidth="1"/>
    <col min="9762" max="9762" width="8.5703125" style="798" bestFit="1" customWidth="1"/>
    <col min="9763" max="9763" width="8.28515625" style="798" customWidth="1"/>
    <col min="9764" max="9764" width="9" style="798" customWidth="1"/>
    <col min="9765" max="9765" width="8.7109375" style="798" customWidth="1"/>
    <col min="9766" max="9767" width="9.7109375" style="798" customWidth="1"/>
    <col min="9768" max="9768" width="8.5703125" style="798" bestFit="1" customWidth="1"/>
    <col min="9769" max="9769" width="10.42578125" style="798" bestFit="1" customWidth="1"/>
    <col min="9770" max="9770" width="6.7109375" style="798" customWidth="1"/>
    <col min="9771" max="9771" width="5.85546875" style="798" bestFit="1" customWidth="1"/>
    <col min="9772" max="9773" width="7.5703125" style="798" bestFit="1" customWidth="1"/>
    <col min="9774" max="9774" width="7.42578125" style="798" bestFit="1" customWidth="1"/>
    <col min="9775" max="9775" width="5.7109375" style="798" bestFit="1" customWidth="1"/>
    <col min="9776" max="9776" width="8.85546875" style="798" bestFit="1" customWidth="1"/>
    <col min="9777" max="9777" width="12.5703125" style="798" bestFit="1" customWidth="1"/>
    <col min="9778" max="9778" width="8.5703125" style="798" bestFit="1" customWidth="1"/>
    <col min="9779" max="9781" width="6.7109375" style="798" customWidth="1"/>
    <col min="9782" max="9782" width="7.5703125" style="798" bestFit="1" customWidth="1"/>
    <col min="9783" max="9783" width="6.7109375" style="798" customWidth="1"/>
    <col min="9784" max="9784" width="12" style="798" bestFit="1" customWidth="1"/>
    <col min="9785" max="9804" width="4.7109375" style="798" customWidth="1"/>
    <col min="9805" max="9985" width="9.140625" style="798"/>
    <col min="9986" max="9986" width="3.5703125" style="798" customWidth="1"/>
    <col min="9987" max="9987" width="11.7109375" style="798" customWidth="1"/>
    <col min="9988" max="9988" width="0" style="798" hidden="1" customWidth="1"/>
    <col min="9989" max="9990" width="6.28515625" style="798" bestFit="1" customWidth="1"/>
    <col min="9991" max="9991" width="5.7109375" style="798" bestFit="1" customWidth="1"/>
    <col min="9992" max="9992" width="5.140625" style="798" bestFit="1" customWidth="1"/>
    <col min="9993" max="9993" width="5.140625" style="798" customWidth="1"/>
    <col min="9994" max="9994" width="6.85546875" style="798" bestFit="1" customWidth="1"/>
    <col min="9995" max="9995" width="5.42578125" style="798" bestFit="1" customWidth="1"/>
    <col min="9996" max="9996" width="5.85546875" style="798" bestFit="1" customWidth="1"/>
    <col min="9997" max="9997" width="6" style="798" customWidth="1"/>
    <col min="9998" max="9999" width="6.7109375" style="798" customWidth="1"/>
    <col min="10000" max="10000" width="6.42578125" style="798" bestFit="1" customWidth="1"/>
    <col min="10001" max="10011" width="6.42578125" style="798" customWidth="1"/>
    <col min="10012" max="10017" width="7.28515625" style="798" customWidth="1"/>
    <col min="10018" max="10018" width="8.5703125" style="798" bestFit="1" customWidth="1"/>
    <col min="10019" max="10019" width="8.28515625" style="798" customWidth="1"/>
    <col min="10020" max="10020" width="9" style="798" customWidth="1"/>
    <col min="10021" max="10021" width="8.7109375" style="798" customWidth="1"/>
    <col min="10022" max="10023" width="9.7109375" style="798" customWidth="1"/>
    <col min="10024" max="10024" width="8.5703125" style="798" bestFit="1" customWidth="1"/>
    <col min="10025" max="10025" width="10.42578125" style="798" bestFit="1" customWidth="1"/>
    <col min="10026" max="10026" width="6.7109375" style="798" customWidth="1"/>
    <col min="10027" max="10027" width="5.85546875" style="798" bestFit="1" customWidth="1"/>
    <col min="10028" max="10029" width="7.5703125" style="798" bestFit="1" customWidth="1"/>
    <col min="10030" max="10030" width="7.42578125" style="798" bestFit="1" customWidth="1"/>
    <col min="10031" max="10031" width="5.7109375" style="798" bestFit="1" customWidth="1"/>
    <col min="10032" max="10032" width="8.85546875" style="798" bestFit="1" customWidth="1"/>
    <col min="10033" max="10033" width="12.5703125" style="798" bestFit="1" customWidth="1"/>
    <col min="10034" max="10034" width="8.5703125" style="798" bestFit="1" customWidth="1"/>
    <col min="10035" max="10037" width="6.7109375" style="798" customWidth="1"/>
    <col min="10038" max="10038" width="7.5703125" style="798" bestFit="1" customWidth="1"/>
    <col min="10039" max="10039" width="6.7109375" style="798" customWidth="1"/>
    <col min="10040" max="10040" width="12" style="798" bestFit="1" customWidth="1"/>
    <col min="10041" max="10060" width="4.7109375" style="798" customWidth="1"/>
    <col min="10061" max="10241" width="9.140625" style="798"/>
    <col min="10242" max="10242" width="3.5703125" style="798" customWidth="1"/>
    <col min="10243" max="10243" width="11.7109375" style="798" customWidth="1"/>
    <col min="10244" max="10244" width="0" style="798" hidden="1" customWidth="1"/>
    <col min="10245" max="10246" width="6.28515625" style="798" bestFit="1" customWidth="1"/>
    <col min="10247" max="10247" width="5.7109375" style="798" bestFit="1" customWidth="1"/>
    <col min="10248" max="10248" width="5.140625" style="798" bestFit="1" customWidth="1"/>
    <col min="10249" max="10249" width="5.140625" style="798" customWidth="1"/>
    <col min="10250" max="10250" width="6.85546875" style="798" bestFit="1" customWidth="1"/>
    <col min="10251" max="10251" width="5.42578125" style="798" bestFit="1" customWidth="1"/>
    <col min="10252" max="10252" width="5.85546875" style="798" bestFit="1" customWidth="1"/>
    <col min="10253" max="10253" width="6" style="798" customWidth="1"/>
    <col min="10254" max="10255" width="6.7109375" style="798" customWidth="1"/>
    <col min="10256" max="10256" width="6.42578125" style="798" bestFit="1" customWidth="1"/>
    <col min="10257" max="10267" width="6.42578125" style="798" customWidth="1"/>
    <col min="10268" max="10273" width="7.28515625" style="798" customWidth="1"/>
    <col min="10274" max="10274" width="8.5703125" style="798" bestFit="1" customWidth="1"/>
    <col min="10275" max="10275" width="8.28515625" style="798" customWidth="1"/>
    <col min="10276" max="10276" width="9" style="798" customWidth="1"/>
    <col min="10277" max="10277" width="8.7109375" style="798" customWidth="1"/>
    <col min="10278" max="10279" width="9.7109375" style="798" customWidth="1"/>
    <col min="10280" max="10280" width="8.5703125" style="798" bestFit="1" customWidth="1"/>
    <col min="10281" max="10281" width="10.42578125" style="798" bestFit="1" customWidth="1"/>
    <col min="10282" max="10282" width="6.7109375" style="798" customWidth="1"/>
    <col min="10283" max="10283" width="5.85546875" style="798" bestFit="1" customWidth="1"/>
    <col min="10284" max="10285" width="7.5703125" style="798" bestFit="1" customWidth="1"/>
    <col min="10286" max="10286" width="7.42578125" style="798" bestFit="1" customWidth="1"/>
    <col min="10287" max="10287" width="5.7109375" style="798" bestFit="1" customWidth="1"/>
    <col min="10288" max="10288" width="8.85546875" style="798" bestFit="1" customWidth="1"/>
    <col min="10289" max="10289" width="12.5703125" style="798" bestFit="1" customWidth="1"/>
    <col min="10290" max="10290" width="8.5703125" style="798" bestFit="1" customWidth="1"/>
    <col min="10291" max="10293" width="6.7109375" style="798" customWidth="1"/>
    <col min="10294" max="10294" width="7.5703125" style="798" bestFit="1" customWidth="1"/>
    <col min="10295" max="10295" width="6.7109375" style="798" customWidth="1"/>
    <col min="10296" max="10296" width="12" style="798" bestFit="1" customWidth="1"/>
    <col min="10297" max="10316" width="4.7109375" style="798" customWidth="1"/>
    <col min="10317" max="10497" width="9.140625" style="798"/>
    <col min="10498" max="10498" width="3.5703125" style="798" customWidth="1"/>
    <col min="10499" max="10499" width="11.7109375" style="798" customWidth="1"/>
    <col min="10500" max="10500" width="0" style="798" hidden="1" customWidth="1"/>
    <col min="10501" max="10502" width="6.28515625" style="798" bestFit="1" customWidth="1"/>
    <col min="10503" max="10503" width="5.7109375" style="798" bestFit="1" customWidth="1"/>
    <col min="10504" max="10504" width="5.140625" style="798" bestFit="1" customWidth="1"/>
    <col min="10505" max="10505" width="5.140625" style="798" customWidth="1"/>
    <col min="10506" max="10506" width="6.85546875" style="798" bestFit="1" customWidth="1"/>
    <col min="10507" max="10507" width="5.42578125" style="798" bestFit="1" customWidth="1"/>
    <col min="10508" max="10508" width="5.85546875" style="798" bestFit="1" customWidth="1"/>
    <col min="10509" max="10509" width="6" style="798" customWidth="1"/>
    <col min="10510" max="10511" width="6.7109375" style="798" customWidth="1"/>
    <col min="10512" max="10512" width="6.42578125" style="798" bestFit="1" customWidth="1"/>
    <col min="10513" max="10523" width="6.42578125" style="798" customWidth="1"/>
    <col min="10524" max="10529" width="7.28515625" style="798" customWidth="1"/>
    <col min="10530" max="10530" width="8.5703125" style="798" bestFit="1" customWidth="1"/>
    <col min="10531" max="10531" width="8.28515625" style="798" customWidth="1"/>
    <col min="10532" max="10532" width="9" style="798" customWidth="1"/>
    <col min="10533" max="10533" width="8.7109375" style="798" customWidth="1"/>
    <col min="10534" max="10535" width="9.7109375" style="798" customWidth="1"/>
    <col min="10536" max="10536" width="8.5703125" style="798" bestFit="1" customWidth="1"/>
    <col min="10537" max="10537" width="10.42578125" style="798" bestFit="1" customWidth="1"/>
    <col min="10538" max="10538" width="6.7109375" style="798" customWidth="1"/>
    <col min="10539" max="10539" width="5.85546875" style="798" bestFit="1" customWidth="1"/>
    <col min="10540" max="10541" width="7.5703125" style="798" bestFit="1" customWidth="1"/>
    <col min="10542" max="10542" width="7.42578125" style="798" bestFit="1" customWidth="1"/>
    <col min="10543" max="10543" width="5.7109375" style="798" bestFit="1" customWidth="1"/>
    <col min="10544" max="10544" width="8.85546875" style="798" bestFit="1" customWidth="1"/>
    <col min="10545" max="10545" width="12.5703125" style="798" bestFit="1" customWidth="1"/>
    <col min="10546" max="10546" width="8.5703125" style="798" bestFit="1" customWidth="1"/>
    <col min="10547" max="10549" width="6.7109375" style="798" customWidth="1"/>
    <col min="10550" max="10550" width="7.5703125" style="798" bestFit="1" customWidth="1"/>
    <col min="10551" max="10551" width="6.7109375" style="798" customWidth="1"/>
    <col min="10552" max="10552" width="12" style="798" bestFit="1" customWidth="1"/>
    <col min="10553" max="10572" width="4.7109375" style="798" customWidth="1"/>
    <col min="10573" max="10753" width="9.140625" style="798"/>
    <col min="10754" max="10754" width="3.5703125" style="798" customWidth="1"/>
    <col min="10755" max="10755" width="11.7109375" style="798" customWidth="1"/>
    <col min="10756" max="10756" width="0" style="798" hidden="1" customWidth="1"/>
    <col min="10757" max="10758" width="6.28515625" style="798" bestFit="1" customWidth="1"/>
    <col min="10759" max="10759" width="5.7109375" style="798" bestFit="1" customWidth="1"/>
    <col min="10760" max="10760" width="5.140625" style="798" bestFit="1" customWidth="1"/>
    <col min="10761" max="10761" width="5.140625" style="798" customWidth="1"/>
    <col min="10762" max="10762" width="6.85546875" style="798" bestFit="1" customWidth="1"/>
    <col min="10763" max="10763" width="5.42578125" style="798" bestFit="1" customWidth="1"/>
    <col min="10764" max="10764" width="5.85546875" style="798" bestFit="1" customWidth="1"/>
    <col min="10765" max="10765" width="6" style="798" customWidth="1"/>
    <col min="10766" max="10767" width="6.7109375" style="798" customWidth="1"/>
    <col min="10768" max="10768" width="6.42578125" style="798" bestFit="1" customWidth="1"/>
    <col min="10769" max="10779" width="6.42578125" style="798" customWidth="1"/>
    <col min="10780" max="10785" width="7.28515625" style="798" customWidth="1"/>
    <col min="10786" max="10786" width="8.5703125" style="798" bestFit="1" customWidth="1"/>
    <col min="10787" max="10787" width="8.28515625" style="798" customWidth="1"/>
    <col min="10788" max="10788" width="9" style="798" customWidth="1"/>
    <col min="10789" max="10789" width="8.7109375" style="798" customWidth="1"/>
    <col min="10790" max="10791" width="9.7109375" style="798" customWidth="1"/>
    <col min="10792" max="10792" width="8.5703125" style="798" bestFit="1" customWidth="1"/>
    <col min="10793" max="10793" width="10.42578125" style="798" bestFit="1" customWidth="1"/>
    <col min="10794" max="10794" width="6.7109375" style="798" customWidth="1"/>
    <col min="10795" max="10795" width="5.85546875" style="798" bestFit="1" customWidth="1"/>
    <col min="10796" max="10797" width="7.5703125" style="798" bestFit="1" customWidth="1"/>
    <col min="10798" max="10798" width="7.42578125" style="798" bestFit="1" customWidth="1"/>
    <col min="10799" max="10799" width="5.7109375" style="798" bestFit="1" customWidth="1"/>
    <col min="10800" max="10800" width="8.85546875" style="798" bestFit="1" customWidth="1"/>
    <col min="10801" max="10801" width="12.5703125" style="798" bestFit="1" customWidth="1"/>
    <col min="10802" max="10802" width="8.5703125" style="798" bestFit="1" customWidth="1"/>
    <col min="10803" max="10805" width="6.7109375" style="798" customWidth="1"/>
    <col min="10806" max="10806" width="7.5703125" style="798" bestFit="1" customWidth="1"/>
    <col min="10807" max="10807" width="6.7109375" style="798" customWidth="1"/>
    <col min="10808" max="10808" width="12" style="798" bestFit="1" customWidth="1"/>
    <col min="10809" max="10828" width="4.7109375" style="798" customWidth="1"/>
    <col min="10829" max="11009" width="9.140625" style="798"/>
    <col min="11010" max="11010" width="3.5703125" style="798" customWidth="1"/>
    <col min="11011" max="11011" width="11.7109375" style="798" customWidth="1"/>
    <col min="11012" max="11012" width="0" style="798" hidden="1" customWidth="1"/>
    <col min="11013" max="11014" width="6.28515625" style="798" bestFit="1" customWidth="1"/>
    <col min="11015" max="11015" width="5.7109375" style="798" bestFit="1" customWidth="1"/>
    <col min="11016" max="11016" width="5.140625" style="798" bestFit="1" customWidth="1"/>
    <col min="11017" max="11017" width="5.140625" style="798" customWidth="1"/>
    <col min="11018" max="11018" width="6.85546875" style="798" bestFit="1" customWidth="1"/>
    <col min="11019" max="11019" width="5.42578125" style="798" bestFit="1" customWidth="1"/>
    <col min="11020" max="11020" width="5.85546875" style="798" bestFit="1" customWidth="1"/>
    <col min="11021" max="11021" width="6" style="798" customWidth="1"/>
    <col min="11022" max="11023" width="6.7109375" style="798" customWidth="1"/>
    <col min="11024" max="11024" width="6.42578125" style="798" bestFit="1" customWidth="1"/>
    <col min="11025" max="11035" width="6.42578125" style="798" customWidth="1"/>
    <col min="11036" max="11041" width="7.28515625" style="798" customWidth="1"/>
    <col min="11042" max="11042" width="8.5703125" style="798" bestFit="1" customWidth="1"/>
    <col min="11043" max="11043" width="8.28515625" style="798" customWidth="1"/>
    <col min="11044" max="11044" width="9" style="798" customWidth="1"/>
    <col min="11045" max="11045" width="8.7109375" style="798" customWidth="1"/>
    <col min="11046" max="11047" width="9.7109375" style="798" customWidth="1"/>
    <col min="11048" max="11048" width="8.5703125" style="798" bestFit="1" customWidth="1"/>
    <col min="11049" max="11049" width="10.42578125" style="798" bestFit="1" customWidth="1"/>
    <col min="11050" max="11050" width="6.7109375" style="798" customWidth="1"/>
    <col min="11051" max="11051" width="5.85546875" style="798" bestFit="1" customWidth="1"/>
    <col min="11052" max="11053" width="7.5703125" style="798" bestFit="1" customWidth="1"/>
    <col min="11054" max="11054" width="7.42578125" style="798" bestFit="1" customWidth="1"/>
    <col min="11055" max="11055" width="5.7109375" style="798" bestFit="1" customWidth="1"/>
    <col min="11056" max="11056" width="8.85546875" style="798" bestFit="1" customWidth="1"/>
    <col min="11057" max="11057" width="12.5703125" style="798" bestFit="1" customWidth="1"/>
    <col min="11058" max="11058" width="8.5703125" style="798" bestFit="1" customWidth="1"/>
    <col min="11059" max="11061" width="6.7109375" style="798" customWidth="1"/>
    <col min="11062" max="11062" width="7.5703125" style="798" bestFit="1" customWidth="1"/>
    <col min="11063" max="11063" width="6.7109375" style="798" customWidth="1"/>
    <col min="11064" max="11064" width="12" style="798" bestFit="1" customWidth="1"/>
    <col min="11065" max="11084" width="4.7109375" style="798" customWidth="1"/>
    <col min="11085" max="11265" width="9.140625" style="798"/>
    <col min="11266" max="11266" width="3.5703125" style="798" customWidth="1"/>
    <col min="11267" max="11267" width="11.7109375" style="798" customWidth="1"/>
    <col min="11268" max="11268" width="0" style="798" hidden="1" customWidth="1"/>
    <col min="11269" max="11270" width="6.28515625" style="798" bestFit="1" customWidth="1"/>
    <col min="11271" max="11271" width="5.7109375" style="798" bestFit="1" customWidth="1"/>
    <col min="11272" max="11272" width="5.140625" style="798" bestFit="1" customWidth="1"/>
    <col min="11273" max="11273" width="5.140625" style="798" customWidth="1"/>
    <col min="11274" max="11274" width="6.85546875" style="798" bestFit="1" customWidth="1"/>
    <col min="11275" max="11275" width="5.42578125" style="798" bestFit="1" customWidth="1"/>
    <col min="11276" max="11276" width="5.85546875" style="798" bestFit="1" customWidth="1"/>
    <col min="11277" max="11277" width="6" style="798" customWidth="1"/>
    <col min="11278" max="11279" width="6.7109375" style="798" customWidth="1"/>
    <col min="11280" max="11280" width="6.42578125" style="798" bestFit="1" customWidth="1"/>
    <col min="11281" max="11291" width="6.42578125" style="798" customWidth="1"/>
    <col min="11292" max="11297" width="7.28515625" style="798" customWidth="1"/>
    <col min="11298" max="11298" width="8.5703125" style="798" bestFit="1" customWidth="1"/>
    <col min="11299" max="11299" width="8.28515625" style="798" customWidth="1"/>
    <col min="11300" max="11300" width="9" style="798" customWidth="1"/>
    <col min="11301" max="11301" width="8.7109375" style="798" customWidth="1"/>
    <col min="11302" max="11303" width="9.7109375" style="798" customWidth="1"/>
    <col min="11304" max="11304" width="8.5703125" style="798" bestFit="1" customWidth="1"/>
    <col min="11305" max="11305" width="10.42578125" style="798" bestFit="1" customWidth="1"/>
    <col min="11306" max="11306" width="6.7109375" style="798" customWidth="1"/>
    <col min="11307" max="11307" width="5.85546875" style="798" bestFit="1" customWidth="1"/>
    <col min="11308" max="11309" width="7.5703125" style="798" bestFit="1" customWidth="1"/>
    <col min="11310" max="11310" width="7.42578125" style="798" bestFit="1" customWidth="1"/>
    <col min="11311" max="11311" width="5.7109375" style="798" bestFit="1" customWidth="1"/>
    <col min="11312" max="11312" width="8.85546875" style="798" bestFit="1" customWidth="1"/>
    <col min="11313" max="11313" width="12.5703125" style="798" bestFit="1" customWidth="1"/>
    <col min="11314" max="11314" width="8.5703125" style="798" bestFit="1" customWidth="1"/>
    <col min="11315" max="11317" width="6.7109375" style="798" customWidth="1"/>
    <col min="11318" max="11318" width="7.5703125" style="798" bestFit="1" customWidth="1"/>
    <col min="11319" max="11319" width="6.7109375" style="798" customWidth="1"/>
    <col min="11320" max="11320" width="12" style="798" bestFit="1" customWidth="1"/>
    <col min="11321" max="11340" width="4.7109375" style="798" customWidth="1"/>
    <col min="11341" max="11521" width="9.140625" style="798"/>
    <col min="11522" max="11522" width="3.5703125" style="798" customWidth="1"/>
    <col min="11523" max="11523" width="11.7109375" style="798" customWidth="1"/>
    <col min="11524" max="11524" width="0" style="798" hidden="1" customWidth="1"/>
    <col min="11525" max="11526" width="6.28515625" style="798" bestFit="1" customWidth="1"/>
    <col min="11527" max="11527" width="5.7109375" style="798" bestFit="1" customWidth="1"/>
    <col min="11528" max="11528" width="5.140625" style="798" bestFit="1" customWidth="1"/>
    <col min="11529" max="11529" width="5.140625" style="798" customWidth="1"/>
    <col min="11530" max="11530" width="6.85546875" style="798" bestFit="1" customWidth="1"/>
    <col min="11531" max="11531" width="5.42578125" style="798" bestFit="1" customWidth="1"/>
    <col min="11532" max="11532" width="5.85546875" style="798" bestFit="1" customWidth="1"/>
    <col min="11533" max="11533" width="6" style="798" customWidth="1"/>
    <col min="11534" max="11535" width="6.7109375" style="798" customWidth="1"/>
    <col min="11536" max="11536" width="6.42578125" style="798" bestFit="1" customWidth="1"/>
    <col min="11537" max="11547" width="6.42578125" style="798" customWidth="1"/>
    <col min="11548" max="11553" width="7.28515625" style="798" customWidth="1"/>
    <col min="11554" max="11554" width="8.5703125" style="798" bestFit="1" customWidth="1"/>
    <col min="11555" max="11555" width="8.28515625" style="798" customWidth="1"/>
    <col min="11556" max="11556" width="9" style="798" customWidth="1"/>
    <col min="11557" max="11557" width="8.7109375" style="798" customWidth="1"/>
    <col min="11558" max="11559" width="9.7109375" style="798" customWidth="1"/>
    <col min="11560" max="11560" width="8.5703125" style="798" bestFit="1" customWidth="1"/>
    <col min="11561" max="11561" width="10.42578125" style="798" bestFit="1" customWidth="1"/>
    <col min="11562" max="11562" width="6.7109375" style="798" customWidth="1"/>
    <col min="11563" max="11563" width="5.85546875" style="798" bestFit="1" customWidth="1"/>
    <col min="11564" max="11565" width="7.5703125" style="798" bestFit="1" customWidth="1"/>
    <col min="11566" max="11566" width="7.42578125" style="798" bestFit="1" customWidth="1"/>
    <col min="11567" max="11567" width="5.7109375" style="798" bestFit="1" customWidth="1"/>
    <col min="11568" max="11568" width="8.85546875" style="798" bestFit="1" customWidth="1"/>
    <col min="11569" max="11569" width="12.5703125" style="798" bestFit="1" customWidth="1"/>
    <col min="11570" max="11570" width="8.5703125" style="798" bestFit="1" customWidth="1"/>
    <col min="11571" max="11573" width="6.7109375" style="798" customWidth="1"/>
    <col min="11574" max="11574" width="7.5703125" style="798" bestFit="1" customWidth="1"/>
    <col min="11575" max="11575" width="6.7109375" style="798" customWidth="1"/>
    <col min="11576" max="11576" width="12" style="798" bestFit="1" customWidth="1"/>
    <col min="11577" max="11596" width="4.7109375" style="798" customWidth="1"/>
    <col min="11597" max="11777" width="9.140625" style="798"/>
    <col min="11778" max="11778" width="3.5703125" style="798" customWidth="1"/>
    <col min="11779" max="11779" width="11.7109375" style="798" customWidth="1"/>
    <col min="11780" max="11780" width="0" style="798" hidden="1" customWidth="1"/>
    <col min="11781" max="11782" width="6.28515625" style="798" bestFit="1" customWidth="1"/>
    <col min="11783" max="11783" width="5.7109375" style="798" bestFit="1" customWidth="1"/>
    <col min="11784" max="11784" width="5.140625" style="798" bestFit="1" customWidth="1"/>
    <col min="11785" max="11785" width="5.140625" style="798" customWidth="1"/>
    <col min="11786" max="11786" width="6.85546875" style="798" bestFit="1" customWidth="1"/>
    <col min="11787" max="11787" width="5.42578125" style="798" bestFit="1" customWidth="1"/>
    <col min="11788" max="11788" width="5.85546875" style="798" bestFit="1" customWidth="1"/>
    <col min="11789" max="11789" width="6" style="798" customWidth="1"/>
    <col min="11790" max="11791" width="6.7109375" style="798" customWidth="1"/>
    <col min="11792" max="11792" width="6.42578125" style="798" bestFit="1" customWidth="1"/>
    <col min="11793" max="11803" width="6.42578125" style="798" customWidth="1"/>
    <col min="11804" max="11809" width="7.28515625" style="798" customWidth="1"/>
    <col min="11810" max="11810" width="8.5703125" style="798" bestFit="1" customWidth="1"/>
    <col min="11811" max="11811" width="8.28515625" style="798" customWidth="1"/>
    <col min="11812" max="11812" width="9" style="798" customWidth="1"/>
    <col min="11813" max="11813" width="8.7109375" style="798" customWidth="1"/>
    <col min="11814" max="11815" width="9.7109375" style="798" customWidth="1"/>
    <col min="11816" max="11816" width="8.5703125" style="798" bestFit="1" customWidth="1"/>
    <col min="11817" max="11817" width="10.42578125" style="798" bestFit="1" customWidth="1"/>
    <col min="11818" max="11818" width="6.7109375" style="798" customWidth="1"/>
    <col min="11819" max="11819" width="5.85546875" style="798" bestFit="1" customWidth="1"/>
    <col min="11820" max="11821" width="7.5703125" style="798" bestFit="1" customWidth="1"/>
    <col min="11822" max="11822" width="7.42578125" style="798" bestFit="1" customWidth="1"/>
    <col min="11823" max="11823" width="5.7109375" style="798" bestFit="1" customWidth="1"/>
    <col min="11824" max="11824" width="8.85546875" style="798" bestFit="1" customWidth="1"/>
    <col min="11825" max="11825" width="12.5703125" style="798" bestFit="1" customWidth="1"/>
    <col min="11826" max="11826" width="8.5703125" style="798" bestFit="1" customWidth="1"/>
    <col min="11827" max="11829" width="6.7109375" style="798" customWidth="1"/>
    <col min="11830" max="11830" width="7.5703125" style="798" bestFit="1" customWidth="1"/>
    <col min="11831" max="11831" width="6.7109375" style="798" customWidth="1"/>
    <col min="11832" max="11832" width="12" style="798" bestFit="1" customWidth="1"/>
    <col min="11833" max="11852" width="4.7109375" style="798" customWidth="1"/>
    <col min="11853" max="12033" width="9.140625" style="798"/>
    <col min="12034" max="12034" width="3.5703125" style="798" customWidth="1"/>
    <col min="12035" max="12035" width="11.7109375" style="798" customWidth="1"/>
    <col min="12036" max="12036" width="0" style="798" hidden="1" customWidth="1"/>
    <col min="12037" max="12038" width="6.28515625" style="798" bestFit="1" customWidth="1"/>
    <col min="12039" max="12039" width="5.7109375" style="798" bestFit="1" customWidth="1"/>
    <col min="12040" max="12040" width="5.140625" style="798" bestFit="1" customWidth="1"/>
    <col min="12041" max="12041" width="5.140625" style="798" customWidth="1"/>
    <col min="12042" max="12042" width="6.85546875" style="798" bestFit="1" customWidth="1"/>
    <col min="12043" max="12043" width="5.42578125" style="798" bestFit="1" customWidth="1"/>
    <col min="12044" max="12044" width="5.85546875" style="798" bestFit="1" customWidth="1"/>
    <col min="12045" max="12045" width="6" style="798" customWidth="1"/>
    <col min="12046" max="12047" width="6.7109375" style="798" customWidth="1"/>
    <col min="12048" max="12048" width="6.42578125" style="798" bestFit="1" customWidth="1"/>
    <col min="12049" max="12059" width="6.42578125" style="798" customWidth="1"/>
    <col min="12060" max="12065" width="7.28515625" style="798" customWidth="1"/>
    <col min="12066" max="12066" width="8.5703125" style="798" bestFit="1" customWidth="1"/>
    <col min="12067" max="12067" width="8.28515625" style="798" customWidth="1"/>
    <col min="12068" max="12068" width="9" style="798" customWidth="1"/>
    <col min="12069" max="12069" width="8.7109375" style="798" customWidth="1"/>
    <col min="12070" max="12071" width="9.7109375" style="798" customWidth="1"/>
    <col min="12072" max="12072" width="8.5703125" style="798" bestFit="1" customWidth="1"/>
    <col min="12073" max="12073" width="10.42578125" style="798" bestFit="1" customWidth="1"/>
    <col min="12074" max="12074" width="6.7109375" style="798" customWidth="1"/>
    <col min="12075" max="12075" width="5.85546875" style="798" bestFit="1" customWidth="1"/>
    <col min="12076" max="12077" width="7.5703125" style="798" bestFit="1" customWidth="1"/>
    <col min="12078" max="12078" width="7.42578125" style="798" bestFit="1" customWidth="1"/>
    <col min="12079" max="12079" width="5.7109375" style="798" bestFit="1" customWidth="1"/>
    <col min="12080" max="12080" width="8.85546875" style="798" bestFit="1" customWidth="1"/>
    <col min="12081" max="12081" width="12.5703125" style="798" bestFit="1" customWidth="1"/>
    <col min="12082" max="12082" width="8.5703125" style="798" bestFit="1" customWidth="1"/>
    <col min="12083" max="12085" width="6.7109375" style="798" customWidth="1"/>
    <col min="12086" max="12086" width="7.5703125" style="798" bestFit="1" customWidth="1"/>
    <col min="12087" max="12087" width="6.7109375" style="798" customWidth="1"/>
    <col min="12088" max="12088" width="12" style="798" bestFit="1" customWidth="1"/>
    <col min="12089" max="12108" width="4.7109375" style="798" customWidth="1"/>
    <col min="12109" max="12289" width="9.140625" style="798"/>
    <col min="12290" max="12290" width="3.5703125" style="798" customWidth="1"/>
    <col min="12291" max="12291" width="11.7109375" style="798" customWidth="1"/>
    <col min="12292" max="12292" width="0" style="798" hidden="1" customWidth="1"/>
    <col min="12293" max="12294" width="6.28515625" style="798" bestFit="1" customWidth="1"/>
    <col min="12295" max="12295" width="5.7109375" style="798" bestFit="1" customWidth="1"/>
    <col min="12296" max="12296" width="5.140625" style="798" bestFit="1" customWidth="1"/>
    <col min="12297" max="12297" width="5.140625" style="798" customWidth="1"/>
    <col min="12298" max="12298" width="6.85546875" style="798" bestFit="1" customWidth="1"/>
    <col min="12299" max="12299" width="5.42578125" style="798" bestFit="1" customWidth="1"/>
    <col min="12300" max="12300" width="5.85546875" style="798" bestFit="1" customWidth="1"/>
    <col min="12301" max="12301" width="6" style="798" customWidth="1"/>
    <col min="12302" max="12303" width="6.7109375" style="798" customWidth="1"/>
    <col min="12304" max="12304" width="6.42578125" style="798" bestFit="1" customWidth="1"/>
    <col min="12305" max="12315" width="6.42578125" style="798" customWidth="1"/>
    <col min="12316" max="12321" width="7.28515625" style="798" customWidth="1"/>
    <col min="12322" max="12322" width="8.5703125" style="798" bestFit="1" customWidth="1"/>
    <col min="12323" max="12323" width="8.28515625" style="798" customWidth="1"/>
    <col min="12324" max="12324" width="9" style="798" customWidth="1"/>
    <col min="12325" max="12325" width="8.7109375" style="798" customWidth="1"/>
    <col min="12326" max="12327" width="9.7109375" style="798" customWidth="1"/>
    <col min="12328" max="12328" width="8.5703125" style="798" bestFit="1" customWidth="1"/>
    <col min="12329" max="12329" width="10.42578125" style="798" bestFit="1" customWidth="1"/>
    <col min="12330" max="12330" width="6.7109375" style="798" customWidth="1"/>
    <col min="12331" max="12331" width="5.85546875" style="798" bestFit="1" customWidth="1"/>
    <col min="12332" max="12333" width="7.5703125" style="798" bestFit="1" customWidth="1"/>
    <col min="12334" max="12334" width="7.42578125" style="798" bestFit="1" customWidth="1"/>
    <col min="12335" max="12335" width="5.7109375" style="798" bestFit="1" customWidth="1"/>
    <col min="12336" max="12336" width="8.85546875" style="798" bestFit="1" customWidth="1"/>
    <col min="12337" max="12337" width="12.5703125" style="798" bestFit="1" customWidth="1"/>
    <col min="12338" max="12338" width="8.5703125" style="798" bestFit="1" customWidth="1"/>
    <col min="12339" max="12341" width="6.7109375" style="798" customWidth="1"/>
    <col min="12342" max="12342" width="7.5703125" style="798" bestFit="1" customWidth="1"/>
    <col min="12343" max="12343" width="6.7109375" style="798" customWidth="1"/>
    <col min="12344" max="12344" width="12" style="798" bestFit="1" customWidth="1"/>
    <col min="12345" max="12364" width="4.7109375" style="798" customWidth="1"/>
    <col min="12365" max="12545" width="9.140625" style="798"/>
    <col min="12546" max="12546" width="3.5703125" style="798" customWidth="1"/>
    <col min="12547" max="12547" width="11.7109375" style="798" customWidth="1"/>
    <col min="12548" max="12548" width="0" style="798" hidden="1" customWidth="1"/>
    <col min="12549" max="12550" width="6.28515625" style="798" bestFit="1" customWidth="1"/>
    <col min="12551" max="12551" width="5.7109375" style="798" bestFit="1" customWidth="1"/>
    <col min="12552" max="12552" width="5.140625" style="798" bestFit="1" customWidth="1"/>
    <col min="12553" max="12553" width="5.140625" style="798" customWidth="1"/>
    <col min="12554" max="12554" width="6.85546875" style="798" bestFit="1" customWidth="1"/>
    <col min="12555" max="12555" width="5.42578125" style="798" bestFit="1" customWidth="1"/>
    <col min="12556" max="12556" width="5.85546875" style="798" bestFit="1" customWidth="1"/>
    <col min="12557" max="12557" width="6" style="798" customWidth="1"/>
    <col min="12558" max="12559" width="6.7109375" style="798" customWidth="1"/>
    <col min="12560" max="12560" width="6.42578125" style="798" bestFit="1" customWidth="1"/>
    <col min="12561" max="12571" width="6.42578125" style="798" customWidth="1"/>
    <col min="12572" max="12577" width="7.28515625" style="798" customWidth="1"/>
    <col min="12578" max="12578" width="8.5703125" style="798" bestFit="1" customWidth="1"/>
    <col min="12579" max="12579" width="8.28515625" style="798" customWidth="1"/>
    <col min="12580" max="12580" width="9" style="798" customWidth="1"/>
    <col min="12581" max="12581" width="8.7109375" style="798" customWidth="1"/>
    <col min="12582" max="12583" width="9.7109375" style="798" customWidth="1"/>
    <col min="12584" max="12584" width="8.5703125" style="798" bestFit="1" customWidth="1"/>
    <col min="12585" max="12585" width="10.42578125" style="798" bestFit="1" customWidth="1"/>
    <col min="12586" max="12586" width="6.7109375" style="798" customWidth="1"/>
    <col min="12587" max="12587" width="5.85546875" style="798" bestFit="1" customWidth="1"/>
    <col min="12588" max="12589" width="7.5703125" style="798" bestFit="1" customWidth="1"/>
    <col min="12590" max="12590" width="7.42578125" style="798" bestFit="1" customWidth="1"/>
    <col min="12591" max="12591" width="5.7109375" style="798" bestFit="1" customWidth="1"/>
    <col min="12592" max="12592" width="8.85546875" style="798" bestFit="1" customWidth="1"/>
    <col min="12593" max="12593" width="12.5703125" style="798" bestFit="1" customWidth="1"/>
    <col min="12594" max="12594" width="8.5703125" style="798" bestFit="1" customWidth="1"/>
    <col min="12595" max="12597" width="6.7109375" style="798" customWidth="1"/>
    <col min="12598" max="12598" width="7.5703125" style="798" bestFit="1" customWidth="1"/>
    <col min="12599" max="12599" width="6.7109375" style="798" customWidth="1"/>
    <col min="12600" max="12600" width="12" style="798" bestFit="1" customWidth="1"/>
    <col min="12601" max="12620" width="4.7109375" style="798" customWidth="1"/>
    <col min="12621" max="12801" width="9.140625" style="798"/>
    <col min="12802" max="12802" width="3.5703125" style="798" customWidth="1"/>
    <col min="12803" max="12803" width="11.7109375" style="798" customWidth="1"/>
    <col min="12804" max="12804" width="0" style="798" hidden="1" customWidth="1"/>
    <col min="12805" max="12806" width="6.28515625" style="798" bestFit="1" customWidth="1"/>
    <col min="12807" max="12807" width="5.7109375" style="798" bestFit="1" customWidth="1"/>
    <col min="12808" max="12808" width="5.140625" style="798" bestFit="1" customWidth="1"/>
    <col min="12809" max="12809" width="5.140625" style="798" customWidth="1"/>
    <col min="12810" max="12810" width="6.85546875" style="798" bestFit="1" customWidth="1"/>
    <col min="12811" max="12811" width="5.42578125" style="798" bestFit="1" customWidth="1"/>
    <col min="12812" max="12812" width="5.85546875" style="798" bestFit="1" customWidth="1"/>
    <col min="12813" max="12813" width="6" style="798" customWidth="1"/>
    <col min="12814" max="12815" width="6.7109375" style="798" customWidth="1"/>
    <col min="12816" max="12816" width="6.42578125" style="798" bestFit="1" customWidth="1"/>
    <col min="12817" max="12827" width="6.42578125" style="798" customWidth="1"/>
    <col min="12828" max="12833" width="7.28515625" style="798" customWidth="1"/>
    <col min="12834" max="12834" width="8.5703125" style="798" bestFit="1" customWidth="1"/>
    <col min="12835" max="12835" width="8.28515625" style="798" customWidth="1"/>
    <col min="12836" max="12836" width="9" style="798" customWidth="1"/>
    <col min="12837" max="12837" width="8.7109375" style="798" customWidth="1"/>
    <col min="12838" max="12839" width="9.7109375" style="798" customWidth="1"/>
    <col min="12840" max="12840" width="8.5703125" style="798" bestFit="1" customWidth="1"/>
    <col min="12841" max="12841" width="10.42578125" style="798" bestFit="1" customWidth="1"/>
    <col min="12842" max="12842" width="6.7109375" style="798" customWidth="1"/>
    <col min="12843" max="12843" width="5.85546875" style="798" bestFit="1" customWidth="1"/>
    <col min="12844" max="12845" width="7.5703125" style="798" bestFit="1" customWidth="1"/>
    <col min="12846" max="12846" width="7.42578125" style="798" bestFit="1" customWidth="1"/>
    <col min="12847" max="12847" width="5.7109375" style="798" bestFit="1" customWidth="1"/>
    <col min="12848" max="12848" width="8.85546875" style="798" bestFit="1" customWidth="1"/>
    <col min="12849" max="12849" width="12.5703125" style="798" bestFit="1" customWidth="1"/>
    <col min="12850" max="12850" width="8.5703125" style="798" bestFit="1" customWidth="1"/>
    <col min="12851" max="12853" width="6.7109375" style="798" customWidth="1"/>
    <col min="12854" max="12854" width="7.5703125" style="798" bestFit="1" customWidth="1"/>
    <col min="12855" max="12855" width="6.7109375" style="798" customWidth="1"/>
    <col min="12856" max="12856" width="12" style="798" bestFit="1" customWidth="1"/>
    <col min="12857" max="12876" width="4.7109375" style="798" customWidth="1"/>
    <col min="12877" max="13057" width="9.140625" style="798"/>
    <col min="13058" max="13058" width="3.5703125" style="798" customWidth="1"/>
    <col min="13059" max="13059" width="11.7109375" style="798" customWidth="1"/>
    <col min="13060" max="13060" width="0" style="798" hidden="1" customWidth="1"/>
    <col min="13061" max="13062" width="6.28515625" style="798" bestFit="1" customWidth="1"/>
    <col min="13063" max="13063" width="5.7109375" style="798" bestFit="1" customWidth="1"/>
    <col min="13064" max="13064" width="5.140625" style="798" bestFit="1" customWidth="1"/>
    <col min="13065" max="13065" width="5.140625" style="798" customWidth="1"/>
    <col min="13066" max="13066" width="6.85546875" style="798" bestFit="1" customWidth="1"/>
    <col min="13067" max="13067" width="5.42578125" style="798" bestFit="1" customWidth="1"/>
    <col min="13068" max="13068" width="5.85546875" style="798" bestFit="1" customWidth="1"/>
    <col min="13069" max="13069" width="6" style="798" customWidth="1"/>
    <col min="13070" max="13071" width="6.7109375" style="798" customWidth="1"/>
    <col min="13072" max="13072" width="6.42578125" style="798" bestFit="1" customWidth="1"/>
    <col min="13073" max="13083" width="6.42578125" style="798" customWidth="1"/>
    <col min="13084" max="13089" width="7.28515625" style="798" customWidth="1"/>
    <col min="13090" max="13090" width="8.5703125" style="798" bestFit="1" customWidth="1"/>
    <col min="13091" max="13091" width="8.28515625" style="798" customWidth="1"/>
    <col min="13092" max="13092" width="9" style="798" customWidth="1"/>
    <col min="13093" max="13093" width="8.7109375" style="798" customWidth="1"/>
    <col min="13094" max="13095" width="9.7109375" style="798" customWidth="1"/>
    <col min="13096" max="13096" width="8.5703125" style="798" bestFit="1" customWidth="1"/>
    <col min="13097" max="13097" width="10.42578125" style="798" bestFit="1" customWidth="1"/>
    <col min="13098" max="13098" width="6.7109375" style="798" customWidth="1"/>
    <col min="13099" max="13099" width="5.85546875" style="798" bestFit="1" customWidth="1"/>
    <col min="13100" max="13101" width="7.5703125" style="798" bestFit="1" customWidth="1"/>
    <col min="13102" max="13102" width="7.42578125" style="798" bestFit="1" customWidth="1"/>
    <col min="13103" max="13103" width="5.7109375" style="798" bestFit="1" customWidth="1"/>
    <col min="13104" max="13104" width="8.85546875" style="798" bestFit="1" customWidth="1"/>
    <col min="13105" max="13105" width="12.5703125" style="798" bestFit="1" customWidth="1"/>
    <col min="13106" max="13106" width="8.5703125" style="798" bestFit="1" customWidth="1"/>
    <col min="13107" max="13109" width="6.7109375" style="798" customWidth="1"/>
    <col min="13110" max="13110" width="7.5703125" style="798" bestFit="1" customWidth="1"/>
    <col min="13111" max="13111" width="6.7109375" style="798" customWidth="1"/>
    <col min="13112" max="13112" width="12" style="798" bestFit="1" customWidth="1"/>
    <col min="13113" max="13132" width="4.7109375" style="798" customWidth="1"/>
    <col min="13133" max="13313" width="9.140625" style="798"/>
    <col min="13314" max="13314" width="3.5703125" style="798" customWidth="1"/>
    <col min="13315" max="13315" width="11.7109375" style="798" customWidth="1"/>
    <col min="13316" max="13316" width="0" style="798" hidden="1" customWidth="1"/>
    <col min="13317" max="13318" width="6.28515625" style="798" bestFit="1" customWidth="1"/>
    <col min="13319" max="13319" width="5.7109375" style="798" bestFit="1" customWidth="1"/>
    <col min="13320" max="13320" width="5.140625" style="798" bestFit="1" customWidth="1"/>
    <col min="13321" max="13321" width="5.140625" style="798" customWidth="1"/>
    <col min="13322" max="13322" width="6.85546875" style="798" bestFit="1" customWidth="1"/>
    <col min="13323" max="13323" width="5.42578125" style="798" bestFit="1" customWidth="1"/>
    <col min="13324" max="13324" width="5.85546875" style="798" bestFit="1" customWidth="1"/>
    <col min="13325" max="13325" width="6" style="798" customWidth="1"/>
    <col min="13326" max="13327" width="6.7109375" style="798" customWidth="1"/>
    <col min="13328" max="13328" width="6.42578125" style="798" bestFit="1" customWidth="1"/>
    <col min="13329" max="13339" width="6.42578125" style="798" customWidth="1"/>
    <col min="13340" max="13345" width="7.28515625" style="798" customWidth="1"/>
    <col min="13346" max="13346" width="8.5703125" style="798" bestFit="1" customWidth="1"/>
    <col min="13347" max="13347" width="8.28515625" style="798" customWidth="1"/>
    <col min="13348" max="13348" width="9" style="798" customWidth="1"/>
    <col min="13349" max="13349" width="8.7109375" style="798" customWidth="1"/>
    <col min="13350" max="13351" width="9.7109375" style="798" customWidth="1"/>
    <col min="13352" max="13352" width="8.5703125" style="798" bestFit="1" customWidth="1"/>
    <col min="13353" max="13353" width="10.42578125" style="798" bestFit="1" customWidth="1"/>
    <col min="13354" max="13354" width="6.7109375" style="798" customWidth="1"/>
    <col min="13355" max="13355" width="5.85546875" style="798" bestFit="1" customWidth="1"/>
    <col min="13356" max="13357" width="7.5703125" style="798" bestFit="1" customWidth="1"/>
    <col min="13358" max="13358" width="7.42578125" style="798" bestFit="1" customWidth="1"/>
    <col min="13359" max="13359" width="5.7109375" style="798" bestFit="1" customWidth="1"/>
    <col min="13360" max="13360" width="8.85546875" style="798" bestFit="1" customWidth="1"/>
    <col min="13361" max="13361" width="12.5703125" style="798" bestFit="1" customWidth="1"/>
    <col min="13362" max="13362" width="8.5703125" style="798" bestFit="1" customWidth="1"/>
    <col min="13363" max="13365" width="6.7109375" style="798" customWidth="1"/>
    <col min="13366" max="13366" width="7.5703125" style="798" bestFit="1" customWidth="1"/>
    <col min="13367" max="13367" width="6.7109375" style="798" customWidth="1"/>
    <col min="13368" max="13368" width="12" style="798" bestFit="1" customWidth="1"/>
    <col min="13369" max="13388" width="4.7109375" style="798" customWidth="1"/>
    <col min="13389" max="13569" width="9.140625" style="798"/>
    <col min="13570" max="13570" width="3.5703125" style="798" customWidth="1"/>
    <col min="13571" max="13571" width="11.7109375" style="798" customWidth="1"/>
    <col min="13572" max="13572" width="0" style="798" hidden="1" customWidth="1"/>
    <col min="13573" max="13574" width="6.28515625" style="798" bestFit="1" customWidth="1"/>
    <col min="13575" max="13575" width="5.7109375" style="798" bestFit="1" customWidth="1"/>
    <col min="13576" max="13576" width="5.140625" style="798" bestFit="1" customWidth="1"/>
    <col min="13577" max="13577" width="5.140625" style="798" customWidth="1"/>
    <col min="13578" max="13578" width="6.85546875" style="798" bestFit="1" customWidth="1"/>
    <col min="13579" max="13579" width="5.42578125" style="798" bestFit="1" customWidth="1"/>
    <col min="13580" max="13580" width="5.85546875" style="798" bestFit="1" customWidth="1"/>
    <col min="13581" max="13581" width="6" style="798" customWidth="1"/>
    <col min="13582" max="13583" width="6.7109375" style="798" customWidth="1"/>
    <col min="13584" max="13584" width="6.42578125" style="798" bestFit="1" customWidth="1"/>
    <col min="13585" max="13595" width="6.42578125" style="798" customWidth="1"/>
    <col min="13596" max="13601" width="7.28515625" style="798" customWidth="1"/>
    <col min="13602" max="13602" width="8.5703125" style="798" bestFit="1" customWidth="1"/>
    <col min="13603" max="13603" width="8.28515625" style="798" customWidth="1"/>
    <col min="13604" max="13604" width="9" style="798" customWidth="1"/>
    <col min="13605" max="13605" width="8.7109375" style="798" customWidth="1"/>
    <col min="13606" max="13607" width="9.7109375" style="798" customWidth="1"/>
    <col min="13608" max="13608" width="8.5703125" style="798" bestFit="1" customWidth="1"/>
    <col min="13609" max="13609" width="10.42578125" style="798" bestFit="1" customWidth="1"/>
    <col min="13610" max="13610" width="6.7109375" style="798" customWidth="1"/>
    <col min="13611" max="13611" width="5.85546875" style="798" bestFit="1" customWidth="1"/>
    <col min="13612" max="13613" width="7.5703125" style="798" bestFit="1" customWidth="1"/>
    <col min="13614" max="13614" width="7.42578125" style="798" bestFit="1" customWidth="1"/>
    <col min="13615" max="13615" width="5.7109375" style="798" bestFit="1" customWidth="1"/>
    <col min="13616" max="13616" width="8.85546875" style="798" bestFit="1" customWidth="1"/>
    <col min="13617" max="13617" width="12.5703125" style="798" bestFit="1" customWidth="1"/>
    <col min="13618" max="13618" width="8.5703125" style="798" bestFit="1" customWidth="1"/>
    <col min="13619" max="13621" width="6.7109375" style="798" customWidth="1"/>
    <col min="13622" max="13622" width="7.5703125" style="798" bestFit="1" customWidth="1"/>
    <col min="13623" max="13623" width="6.7109375" style="798" customWidth="1"/>
    <col min="13624" max="13624" width="12" style="798" bestFit="1" customWidth="1"/>
    <col min="13625" max="13644" width="4.7109375" style="798" customWidth="1"/>
    <col min="13645" max="13825" width="9.140625" style="798"/>
    <col min="13826" max="13826" width="3.5703125" style="798" customWidth="1"/>
    <col min="13827" max="13827" width="11.7109375" style="798" customWidth="1"/>
    <col min="13828" max="13828" width="0" style="798" hidden="1" customWidth="1"/>
    <col min="13829" max="13830" width="6.28515625" style="798" bestFit="1" customWidth="1"/>
    <col min="13831" max="13831" width="5.7109375" style="798" bestFit="1" customWidth="1"/>
    <col min="13832" max="13832" width="5.140625" style="798" bestFit="1" customWidth="1"/>
    <col min="13833" max="13833" width="5.140625" style="798" customWidth="1"/>
    <col min="13834" max="13834" width="6.85546875" style="798" bestFit="1" customWidth="1"/>
    <col min="13835" max="13835" width="5.42578125" style="798" bestFit="1" customWidth="1"/>
    <col min="13836" max="13836" width="5.85546875" style="798" bestFit="1" customWidth="1"/>
    <col min="13837" max="13837" width="6" style="798" customWidth="1"/>
    <col min="13838" max="13839" width="6.7109375" style="798" customWidth="1"/>
    <col min="13840" max="13840" width="6.42578125" style="798" bestFit="1" customWidth="1"/>
    <col min="13841" max="13851" width="6.42578125" style="798" customWidth="1"/>
    <col min="13852" max="13857" width="7.28515625" style="798" customWidth="1"/>
    <col min="13858" max="13858" width="8.5703125" style="798" bestFit="1" customWidth="1"/>
    <col min="13859" max="13859" width="8.28515625" style="798" customWidth="1"/>
    <col min="13860" max="13860" width="9" style="798" customWidth="1"/>
    <col min="13861" max="13861" width="8.7109375" style="798" customWidth="1"/>
    <col min="13862" max="13863" width="9.7109375" style="798" customWidth="1"/>
    <col min="13864" max="13864" width="8.5703125" style="798" bestFit="1" customWidth="1"/>
    <col min="13865" max="13865" width="10.42578125" style="798" bestFit="1" customWidth="1"/>
    <col min="13866" max="13866" width="6.7109375" style="798" customWidth="1"/>
    <col min="13867" max="13867" width="5.85546875" style="798" bestFit="1" customWidth="1"/>
    <col min="13868" max="13869" width="7.5703125" style="798" bestFit="1" customWidth="1"/>
    <col min="13870" max="13870" width="7.42578125" style="798" bestFit="1" customWidth="1"/>
    <col min="13871" max="13871" width="5.7109375" style="798" bestFit="1" customWidth="1"/>
    <col min="13872" max="13872" width="8.85546875" style="798" bestFit="1" customWidth="1"/>
    <col min="13873" max="13873" width="12.5703125" style="798" bestFit="1" customWidth="1"/>
    <col min="13874" max="13874" width="8.5703125" style="798" bestFit="1" customWidth="1"/>
    <col min="13875" max="13877" width="6.7109375" style="798" customWidth="1"/>
    <col min="13878" max="13878" width="7.5703125" style="798" bestFit="1" customWidth="1"/>
    <col min="13879" max="13879" width="6.7109375" style="798" customWidth="1"/>
    <col min="13880" max="13880" width="12" style="798" bestFit="1" customWidth="1"/>
    <col min="13881" max="13900" width="4.7109375" style="798" customWidth="1"/>
    <col min="13901" max="14081" width="9.140625" style="798"/>
    <col min="14082" max="14082" width="3.5703125" style="798" customWidth="1"/>
    <col min="14083" max="14083" width="11.7109375" style="798" customWidth="1"/>
    <col min="14084" max="14084" width="0" style="798" hidden="1" customWidth="1"/>
    <col min="14085" max="14086" width="6.28515625" style="798" bestFit="1" customWidth="1"/>
    <col min="14087" max="14087" width="5.7109375" style="798" bestFit="1" customWidth="1"/>
    <col min="14088" max="14088" width="5.140625" style="798" bestFit="1" customWidth="1"/>
    <col min="14089" max="14089" width="5.140625" style="798" customWidth="1"/>
    <col min="14090" max="14090" width="6.85546875" style="798" bestFit="1" customWidth="1"/>
    <col min="14091" max="14091" width="5.42578125" style="798" bestFit="1" customWidth="1"/>
    <col min="14092" max="14092" width="5.85546875" style="798" bestFit="1" customWidth="1"/>
    <col min="14093" max="14093" width="6" style="798" customWidth="1"/>
    <col min="14094" max="14095" width="6.7109375" style="798" customWidth="1"/>
    <col min="14096" max="14096" width="6.42578125" style="798" bestFit="1" customWidth="1"/>
    <col min="14097" max="14107" width="6.42578125" style="798" customWidth="1"/>
    <col min="14108" max="14113" width="7.28515625" style="798" customWidth="1"/>
    <col min="14114" max="14114" width="8.5703125" style="798" bestFit="1" customWidth="1"/>
    <col min="14115" max="14115" width="8.28515625" style="798" customWidth="1"/>
    <col min="14116" max="14116" width="9" style="798" customWidth="1"/>
    <col min="14117" max="14117" width="8.7109375" style="798" customWidth="1"/>
    <col min="14118" max="14119" width="9.7109375" style="798" customWidth="1"/>
    <col min="14120" max="14120" width="8.5703125" style="798" bestFit="1" customWidth="1"/>
    <col min="14121" max="14121" width="10.42578125" style="798" bestFit="1" customWidth="1"/>
    <col min="14122" max="14122" width="6.7109375" style="798" customWidth="1"/>
    <col min="14123" max="14123" width="5.85546875" style="798" bestFit="1" customWidth="1"/>
    <col min="14124" max="14125" width="7.5703125" style="798" bestFit="1" customWidth="1"/>
    <col min="14126" max="14126" width="7.42578125" style="798" bestFit="1" customWidth="1"/>
    <col min="14127" max="14127" width="5.7109375" style="798" bestFit="1" customWidth="1"/>
    <col min="14128" max="14128" width="8.85546875" style="798" bestFit="1" customWidth="1"/>
    <col min="14129" max="14129" width="12.5703125" style="798" bestFit="1" customWidth="1"/>
    <col min="14130" max="14130" width="8.5703125" style="798" bestFit="1" customWidth="1"/>
    <col min="14131" max="14133" width="6.7109375" style="798" customWidth="1"/>
    <col min="14134" max="14134" width="7.5703125" style="798" bestFit="1" customWidth="1"/>
    <col min="14135" max="14135" width="6.7109375" style="798" customWidth="1"/>
    <col min="14136" max="14136" width="12" style="798" bestFit="1" customWidth="1"/>
    <col min="14137" max="14156" width="4.7109375" style="798" customWidth="1"/>
    <col min="14157" max="14337" width="9.140625" style="798"/>
    <col min="14338" max="14338" width="3.5703125" style="798" customWidth="1"/>
    <col min="14339" max="14339" width="11.7109375" style="798" customWidth="1"/>
    <col min="14340" max="14340" width="0" style="798" hidden="1" customWidth="1"/>
    <col min="14341" max="14342" width="6.28515625" style="798" bestFit="1" customWidth="1"/>
    <col min="14343" max="14343" width="5.7109375" style="798" bestFit="1" customWidth="1"/>
    <col min="14344" max="14344" width="5.140625" style="798" bestFit="1" customWidth="1"/>
    <col min="14345" max="14345" width="5.140625" style="798" customWidth="1"/>
    <col min="14346" max="14346" width="6.85546875" style="798" bestFit="1" customWidth="1"/>
    <col min="14347" max="14347" width="5.42578125" style="798" bestFit="1" customWidth="1"/>
    <col min="14348" max="14348" width="5.85546875" style="798" bestFit="1" customWidth="1"/>
    <col min="14349" max="14349" width="6" style="798" customWidth="1"/>
    <col min="14350" max="14351" width="6.7109375" style="798" customWidth="1"/>
    <col min="14352" max="14352" width="6.42578125" style="798" bestFit="1" customWidth="1"/>
    <col min="14353" max="14363" width="6.42578125" style="798" customWidth="1"/>
    <col min="14364" max="14369" width="7.28515625" style="798" customWidth="1"/>
    <col min="14370" max="14370" width="8.5703125" style="798" bestFit="1" customWidth="1"/>
    <col min="14371" max="14371" width="8.28515625" style="798" customWidth="1"/>
    <col min="14372" max="14372" width="9" style="798" customWidth="1"/>
    <col min="14373" max="14373" width="8.7109375" style="798" customWidth="1"/>
    <col min="14374" max="14375" width="9.7109375" style="798" customWidth="1"/>
    <col min="14376" max="14376" width="8.5703125" style="798" bestFit="1" customWidth="1"/>
    <col min="14377" max="14377" width="10.42578125" style="798" bestFit="1" customWidth="1"/>
    <col min="14378" max="14378" width="6.7109375" style="798" customWidth="1"/>
    <col min="14379" max="14379" width="5.85546875" style="798" bestFit="1" customWidth="1"/>
    <col min="14380" max="14381" width="7.5703125" style="798" bestFit="1" customWidth="1"/>
    <col min="14382" max="14382" width="7.42578125" style="798" bestFit="1" customWidth="1"/>
    <col min="14383" max="14383" width="5.7109375" style="798" bestFit="1" customWidth="1"/>
    <col min="14384" max="14384" width="8.85546875" style="798" bestFit="1" customWidth="1"/>
    <col min="14385" max="14385" width="12.5703125" style="798" bestFit="1" customWidth="1"/>
    <col min="14386" max="14386" width="8.5703125" style="798" bestFit="1" customWidth="1"/>
    <col min="14387" max="14389" width="6.7109375" style="798" customWidth="1"/>
    <col min="14390" max="14390" width="7.5703125" style="798" bestFit="1" customWidth="1"/>
    <col min="14391" max="14391" width="6.7109375" style="798" customWidth="1"/>
    <col min="14392" max="14392" width="12" style="798" bestFit="1" customWidth="1"/>
    <col min="14393" max="14412" width="4.7109375" style="798" customWidth="1"/>
    <col min="14413" max="14593" width="9.140625" style="798"/>
    <col min="14594" max="14594" width="3.5703125" style="798" customWidth="1"/>
    <col min="14595" max="14595" width="11.7109375" style="798" customWidth="1"/>
    <col min="14596" max="14596" width="0" style="798" hidden="1" customWidth="1"/>
    <col min="14597" max="14598" width="6.28515625" style="798" bestFit="1" customWidth="1"/>
    <col min="14599" max="14599" width="5.7109375" style="798" bestFit="1" customWidth="1"/>
    <col min="14600" max="14600" width="5.140625" style="798" bestFit="1" customWidth="1"/>
    <col min="14601" max="14601" width="5.140625" style="798" customWidth="1"/>
    <col min="14602" max="14602" width="6.85546875" style="798" bestFit="1" customWidth="1"/>
    <col min="14603" max="14603" width="5.42578125" style="798" bestFit="1" customWidth="1"/>
    <col min="14604" max="14604" width="5.85546875" style="798" bestFit="1" customWidth="1"/>
    <col min="14605" max="14605" width="6" style="798" customWidth="1"/>
    <col min="14606" max="14607" width="6.7109375" style="798" customWidth="1"/>
    <col min="14608" max="14608" width="6.42578125" style="798" bestFit="1" customWidth="1"/>
    <col min="14609" max="14619" width="6.42578125" style="798" customWidth="1"/>
    <col min="14620" max="14625" width="7.28515625" style="798" customWidth="1"/>
    <col min="14626" max="14626" width="8.5703125" style="798" bestFit="1" customWidth="1"/>
    <col min="14627" max="14627" width="8.28515625" style="798" customWidth="1"/>
    <col min="14628" max="14628" width="9" style="798" customWidth="1"/>
    <col min="14629" max="14629" width="8.7109375" style="798" customWidth="1"/>
    <col min="14630" max="14631" width="9.7109375" style="798" customWidth="1"/>
    <col min="14632" max="14632" width="8.5703125" style="798" bestFit="1" customWidth="1"/>
    <col min="14633" max="14633" width="10.42578125" style="798" bestFit="1" customWidth="1"/>
    <col min="14634" max="14634" width="6.7109375" style="798" customWidth="1"/>
    <col min="14635" max="14635" width="5.85546875" style="798" bestFit="1" customWidth="1"/>
    <col min="14636" max="14637" width="7.5703125" style="798" bestFit="1" customWidth="1"/>
    <col min="14638" max="14638" width="7.42578125" style="798" bestFit="1" customWidth="1"/>
    <col min="14639" max="14639" width="5.7109375" style="798" bestFit="1" customWidth="1"/>
    <col min="14640" max="14640" width="8.85546875" style="798" bestFit="1" customWidth="1"/>
    <col min="14641" max="14641" width="12.5703125" style="798" bestFit="1" customWidth="1"/>
    <col min="14642" max="14642" width="8.5703125" style="798" bestFit="1" customWidth="1"/>
    <col min="14643" max="14645" width="6.7109375" style="798" customWidth="1"/>
    <col min="14646" max="14646" width="7.5703125" style="798" bestFit="1" customWidth="1"/>
    <col min="14647" max="14647" width="6.7109375" style="798" customWidth="1"/>
    <col min="14648" max="14648" width="12" style="798" bestFit="1" customWidth="1"/>
    <col min="14649" max="14668" width="4.7109375" style="798" customWidth="1"/>
    <col min="14669" max="14849" width="9.140625" style="798"/>
    <col min="14850" max="14850" width="3.5703125" style="798" customWidth="1"/>
    <col min="14851" max="14851" width="11.7109375" style="798" customWidth="1"/>
    <col min="14852" max="14852" width="0" style="798" hidden="1" customWidth="1"/>
    <col min="14853" max="14854" width="6.28515625" style="798" bestFit="1" customWidth="1"/>
    <col min="14855" max="14855" width="5.7109375" style="798" bestFit="1" customWidth="1"/>
    <col min="14856" max="14856" width="5.140625" style="798" bestFit="1" customWidth="1"/>
    <col min="14857" max="14857" width="5.140625" style="798" customWidth="1"/>
    <col min="14858" max="14858" width="6.85546875" style="798" bestFit="1" customWidth="1"/>
    <col min="14859" max="14859" width="5.42578125" style="798" bestFit="1" customWidth="1"/>
    <col min="14860" max="14860" width="5.85546875" style="798" bestFit="1" customWidth="1"/>
    <col min="14861" max="14861" width="6" style="798" customWidth="1"/>
    <col min="14862" max="14863" width="6.7109375" style="798" customWidth="1"/>
    <col min="14864" max="14864" width="6.42578125" style="798" bestFit="1" customWidth="1"/>
    <col min="14865" max="14875" width="6.42578125" style="798" customWidth="1"/>
    <col min="14876" max="14881" width="7.28515625" style="798" customWidth="1"/>
    <col min="14882" max="14882" width="8.5703125" style="798" bestFit="1" customWidth="1"/>
    <col min="14883" max="14883" width="8.28515625" style="798" customWidth="1"/>
    <col min="14884" max="14884" width="9" style="798" customWidth="1"/>
    <col min="14885" max="14885" width="8.7109375" style="798" customWidth="1"/>
    <col min="14886" max="14887" width="9.7109375" style="798" customWidth="1"/>
    <col min="14888" max="14888" width="8.5703125" style="798" bestFit="1" customWidth="1"/>
    <col min="14889" max="14889" width="10.42578125" style="798" bestFit="1" customWidth="1"/>
    <col min="14890" max="14890" width="6.7109375" style="798" customWidth="1"/>
    <col min="14891" max="14891" width="5.85546875" style="798" bestFit="1" customWidth="1"/>
    <col min="14892" max="14893" width="7.5703125" style="798" bestFit="1" customWidth="1"/>
    <col min="14894" max="14894" width="7.42578125" style="798" bestFit="1" customWidth="1"/>
    <col min="14895" max="14895" width="5.7109375" style="798" bestFit="1" customWidth="1"/>
    <col min="14896" max="14896" width="8.85546875" style="798" bestFit="1" customWidth="1"/>
    <col min="14897" max="14897" width="12.5703125" style="798" bestFit="1" customWidth="1"/>
    <col min="14898" max="14898" width="8.5703125" style="798" bestFit="1" customWidth="1"/>
    <col min="14899" max="14901" width="6.7109375" style="798" customWidth="1"/>
    <col min="14902" max="14902" width="7.5703125" style="798" bestFit="1" customWidth="1"/>
    <col min="14903" max="14903" width="6.7109375" style="798" customWidth="1"/>
    <col min="14904" max="14904" width="12" style="798" bestFit="1" customWidth="1"/>
    <col min="14905" max="14924" width="4.7109375" style="798" customWidth="1"/>
    <col min="14925" max="15105" width="9.140625" style="798"/>
    <col min="15106" max="15106" width="3.5703125" style="798" customWidth="1"/>
    <col min="15107" max="15107" width="11.7109375" style="798" customWidth="1"/>
    <col min="15108" max="15108" width="0" style="798" hidden="1" customWidth="1"/>
    <col min="15109" max="15110" width="6.28515625" style="798" bestFit="1" customWidth="1"/>
    <col min="15111" max="15111" width="5.7109375" style="798" bestFit="1" customWidth="1"/>
    <col min="15112" max="15112" width="5.140625" style="798" bestFit="1" customWidth="1"/>
    <col min="15113" max="15113" width="5.140625" style="798" customWidth="1"/>
    <col min="15114" max="15114" width="6.85546875" style="798" bestFit="1" customWidth="1"/>
    <col min="15115" max="15115" width="5.42578125" style="798" bestFit="1" customWidth="1"/>
    <col min="15116" max="15116" width="5.85546875" style="798" bestFit="1" customWidth="1"/>
    <col min="15117" max="15117" width="6" style="798" customWidth="1"/>
    <col min="15118" max="15119" width="6.7109375" style="798" customWidth="1"/>
    <col min="15120" max="15120" width="6.42578125" style="798" bestFit="1" customWidth="1"/>
    <col min="15121" max="15131" width="6.42578125" style="798" customWidth="1"/>
    <col min="15132" max="15137" width="7.28515625" style="798" customWidth="1"/>
    <col min="15138" max="15138" width="8.5703125" style="798" bestFit="1" customWidth="1"/>
    <col min="15139" max="15139" width="8.28515625" style="798" customWidth="1"/>
    <col min="15140" max="15140" width="9" style="798" customWidth="1"/>
    <col min="15141" max="15141" width="8.7109375" style="798" customWidth="1"/>
    <col min="15142" max="15143" width="9.7109375" style="798" customWidth="1"/>
    <col min="15144" max="15144" width="8.5703125" style="798" bestFit="1" customWidth="1"/>
    <col min="15145" max="15145" width="10.42578125" style="798" bestFit="1" customWidth="1"/>
    <col min="15146" max="15146" width="6.7109375" style="798" customWidth="1"/>
    <col min="15147" max="15147" width="5.85546875" style="798" bestFit="1" customWidth="1"/>
    <col min="15148" max="15149" width="7.5703125" style="798" bestFit="1" customWidth="1"/>
    <col min="15150" max="15150" width="7.42578125" style="798" bestFit="1" customWidth="1"/>
    <col min="15151" max="15151" width="5.7109375" style="798" bestFit="1" customWidth="1"/>
    <col min="15152" max="15152" width="8.85546875" style="798" bestFit="1" customWidth="1"/>
    <col min="15153" max="15153" width="12.5703125" style="798" bestFit="1" customWidth="1"/>
    <col min="15154" max="15154" width="8.5703125" style="798" bestFit="1" customWidth="1"/>
    <col min="15155" max="15157" width="6.7109375" style="798" customWidth="1"/>
    <col min="15158" max="15158" width="7.5703125" style="798" bestFit="1" customWidth="1"/>
    <col min="15159" max="15159" width="6.7109375" style="798" customWidth="1"/>
    <col min="15160" max="15160" width="12" style="798" bestFit="1" customWidth="1"/>
    <col min="15161" max="15180" width="4.7109375" style="798" customWidth="1"/>
    <col min="15181" max="15361" width="9.140625" style="798"/>
    <col min="15362" max="15362" width="3.5703125" style="798" customWidth="1"/>
    <col min="15363" max="15363" width="11.7109375" style="798" customWidth="1"/>
    <col min="15364" max="15364" width="0" style="798" hidden="1" customWidth="1"/>
    <col min="15365" max="15366" width="6.28515625" style="798" bestFit="1" customWidth="1"/>
    <col min="15367" max="15367" width="5.7109375" style="798" bestFit="1" customWidth="1"/>
    <col min="15368" max="15368" width="5.140625" style="798" bestFit="1" customWidth="1"/>
    <col min="15369" max="15369" width="5.140625" style="798" customWidth="1"/>
    <col min="15370" max="15370" width="6.85546875" style="798" bestFit="1" customWidth="1"/>
    <col min="15371" max="15371" width="5.42578125" style="798" bestFit="1" customWidth="1"/>
    <col min="15372" max="15372" width="5.85546875" style="798" bestFit="1" customWidth="1"/>
    <col min="15373" max="15373" width="6" style="798" customWidth="1"/>
    <col min="15374" max="15375" width="6.7109375" style="798" customWidth="1"/>
    <col min="15376" max="15376" width="6.42578125" style="798" bestFit="1" customWidth="1"/>
    <col min="15377" max="15387" width="6.42578125" style="798" customWidth="1"/>
    <col min="15388" max="15393" width="7.28515625" style="798" customWidth="1"/>
    <col min="15394" max="15394" width="8.5703125" style="798" bestFit="1" customWidth="1"/>
    <col min="15395" max="15395" width="8.28515625" style="798" customWidth="1"/>
    <col min="15396" max="15396" width="9" style="798" customWidth="1"/>
    <col min="15397" max="15397" width="8.7109375" style="798" customWidth="1"/>
    <col min="15398" max="15399" width="9.7109375" style="798" customWidth="1"/>
    <col min="15400" max="15400" width="8.5703125" style="798" bestFit="1" customWidth="1"/>
    <col min="15401" max="15401" width="10.42578125" style="798" bestFit="1" customWidth="1"/>
    <col min="15402" max="15402" width="6.7109375" style="798" customWidth="1"/>
    <col min="15403" max="15403" width="5.85546875" style="798" bestFit="1" customWidth="1"/>
    <col min="15404" max="15405" width="7.5703125" style="798" bestFit="1" customWidth="1"/>
    <col min="15406" max="15406" width="7.42578125" style="798" bestFit="1" customWidth="1"/>
    <col min="15407" max="15407" width="5.7109375" style="798" bestFit="1" customWidth="1"/>
    <col min="15408" max="15408" width="8.85546875" style="798" bestFit="1" customWidth="1"/>
    <col min="15409" max="15409" width="12.5703125" style="798" bestFit="1" customWidth="1"/>
    <col min="15410" max="15410" width="8.5703125" style="798" bestFit="1" customWidth="1"/>
    <col min="15411" max="15413" width="6.7109375" style="798" customWidth="1"/>
    <col min="15414" max="15414" width="7.5703125" style="798" bestFit="1" customWidth="1"/>
    <col min="15415" max="15415" width="6.7109375" style="798" customWidth="1"/>
    <col min="15416" max="15416" width="12" style="798" bestFit="1" customWidth="1"/>
    <col min="15417" max="15436" width="4.7109375" style="798" customWidth="1"/>
    <col min="15437" max="15617" width="9.140625" style="798"/>
    <col min="15618" max="15618" width="3.5703125" style="798" customWidth="1"/>
    <col min="15619" max="15619" width="11.7109375" style="798" customWidth="1"/>
    <col min="15620" max="15620" width="0" style="798" hidden="1" customWidth="1"/>
    <col min="15621" max="15622" width="6.28515625" style="798" bestFit="1" customWidth="1"/>
    <col min="15623" max="15623" width="5.7109375" style="798" bestFit="1" customWidth="1"/>
    <col min="15624" max="15624" width="5.140625" style="798" bestFit="1" customWidth="1"/>
    <col min="15625" max="15625" width="5.140625" style="798" customWidth="1"/>
    <col min="15626" max="15626" width="6.85546875" style="798" bestFit="1" customWidth="1"/>
    <col min="15627" max="15627" width="5.42578125" style="798" bestFit="1" customWidth="1"/>
    <col min="15628" max="15628" width="5.85546875" style="798" bestFit="1" customWidth="1"/>
    <col min="15629" max="15629" width="6" style="798" customWidth="1"/>
    <col min="15630" max="15631" width="6.7109375" style="798" customWidth="1"/>
    <col min="15632" max="15632" width="6.42578125" style="798" bestFit="1" customWidth="1"/>
    <col min="15633" max="15643" width="6.42578125" style="798" customWidth="1"/>
    <col min="15644" max="15649" width="7.28515625" style="798" customWidth="1"/>
    <col min="15650" max="15650" width="8.5703125" style="798" bestFit="1" customWidth="1"/>
    <col min="15651" max="15651" width="8.28515625" style="798" customWidth="1"/>
    <col min="15652" max="15652" width="9" style="798" customWidth="1"/>
    <col min="15653" max="15653" width="8.7109375" style="798" customWidth="1"/>
    <col min="15654" max="15655" width="9.7109375" style="798" customWidth="1"/>
    <col min="15656" max="15656" width="8.5703125" style="798" bestFit="1" customWidth="1"/>
    <col min="15657" max="15657" width="10.42578125" style="798" bestFit="1" customWidth="1"/>
    <col min="15658" max="15658" width="6.7109375" style="798" customWidth="1"/>
    <col min="15659" max="15659" width="5.85546875" style="798" bestFit="1" customWidth="1"/>
    <col min="15660" max="15661" width="7.5703125" style="798" bestFit="1" customWidth="1"/>
    <col min="15662" max="15662" width="7.42578125" style="798" bestFit="1" customWidth="1"/>
    <col min="15663" max="15663" width="5.7109375" style="798" bestFit="1" customWidth="1"/>
    <col min="15664" max="15664" width="8.85546875" style="798" bestFit="1" customWidth="1"/>
    <col min="15665" max="15665" width="12.5703125" style="798" bestFit="1" customWidth="1"/>
    <col min="15666" max="15666" width="8.5703125" style="798" bestFit="1" customWidth="1"/>
    <col min="15667" max="15669" width="6.7109375" style="798" customWidth="1"/>
    <col min="15670" max="15670" width="7.5703125" style="798" bestFit="1" customWidth="1"/>
    <col min="15671" max="15671" width="6.7109375" style="798" customWidth="1"/>
    <col min="15672" max="15672" width="12" style="798" bestFit="1" customWidth="1"/>
    <col min="15673" max="15692" width="4.7109375" style="798" customWidth="1"/>
    <col min="15693" max="15873" width="9.140625" style="798"/>
    <col min="15874" max="15874" width="3.5703125" style="798" customWidth="1"/>
    <col min="15875" max="15875" width="11.7109375" style="798" customWidth="1"/>
    <col min="15876" max="15876" width="0" style="798" hidden="1" customWidth="1"/>
    <col min="15877" max="15878" width="6.28515625" style="798" bestFit="1" customWidth="1"/>
    <col min="15879" max="15879" width="5.7109375" style="798" bestFit="1" customWidth="1"/>
    <col min="15880" max="15880" width="5.140625" style="798" bestFit="1" customWidth="1"/>
    <col min="15881" max="15881" width="5.140625" style="798" customWidth="1"/>
    <col min="15882" max="15882" width="6.85546875" style="798" bestFit="1" customWidth="1"/>
    <col min="15883" max="15883" width="5.42578125" style="798" bestFit="1" customWidth="1"/>
    <col min="15884" max="15884" width="5.85546875" style="798" bestFit="1" customWidth="1"/>
    <col min="15885" max="15885" width="6" style="798" customWidth="1"/>
    <col min="15886" max="15887" width="6.7109375" style="798" customWidth="1"/>
    <col min="15888" max="15888" width="6.42578125" style="798" bestFit="1" customWidth="1"/>
    <col min="15889" max="15899" width="6.42578125" style="798" customWidth="1"/>
    <col min="15900" max="15905" width="7.28515625" style="798" customWidth="1"/>
    <col min="15906" max="15906" width="8.5703125" style="798" bestFit="1" customWidth="1"/>
    <col min="15907" max="15907" width="8.28515625" style="798" customWidth="1"/>
    <col min="15908" max="15908" width="9" style="798" customWidth="1"/>
    <col min="15909" max="15909" width="8.7109375" style="798" customWidth="1"/>
    <col min="15910" max="15911" width="9.7109375" style="798" customWidth="1"/>
    <col min="15912" max="15912" width="8.5703125" style="798" bestFit="1" customWidth="1"/>
    <col min="15913" max="15913" width="10.42578125" style="798" bestFit="1" customWidth="1"/>
    <col min="15914" max="15914" width="6.7109375" style="798" customWidth="1"/>
    <col min="15915" max="15915" width="5.85546875" style="798" bestFit="1" customWidth="1"/>
    <col min="15916" max="15917" width="7.5703125" style="798" bestFit="1" customWidth="1"/>
    <col min="15918" max="15918" width="7.42578125" style="798" bestFit="1" customWidth="1"/>
    <col min="15919" max="15919" width="5.7109375" style="798" bestFit="1" customWidth="1"/>
    <col min="15920" max="15920" width="8.85546875" style="798" bestFit="1" customWidth="1"/>
    <col min="15921" max="15921" width="12.5703125" style="798" bestFit="1" customWidth="1"/>
    <col min="15922" max="15922" width="8.5703125" style="798" bestFit="1" customWidth="1"/>
    <col min="15923" max="15925" width="6.7109375" style="798" customWidth="1"/>
    <col min="15926" max="15926" width="7.5703125" style="798" bestFit="1" customWidth="1"/>
    <col min="15927" max="15927" width="6.7109375" style="798" customWidth="1"/>
    <col min="15928" max="15928" width="12" style="798" bestFit="1" customWidth="1"/>
    <col min="15929" max="15948" width="4.7109375" style="798" customWidth="1"/>
    <col min="15949" max="16129" width="9.140625" style="798"/>
    <col min="16130" max="16130" width="3.5703125" style="798" customWidth="1"/>
    <col min="16131" max="16131" width="11.7109375" style="798" customWidth="1"/>
    <col min="16132" max="16132" width="0" style="798" hidden="1" customWidth="1"/>
    <col min="16133" max="16134" width="6.28515625" style="798" bestFit="1" customWidth="1"/>
    <col min="16135" max="16135" width="5.7109375" style="798" bestFit="1" customWidth="1"/>
    <col min="16136" max="16136" width="5.140625" style="798" bestFit="1" customWidth="1"/>
    <col min="16137" max="16137" width="5.140625" style="798" customWidth="1"/>
    <col min="16138" max="16138" width="6.85546875" style="798" bestFit="1" customWidth="1"/>
    <col min="16139" max="16139" width="5.42578125" style="798" bestFit="1" customWidth="1"/>
    <col min="16140" max="16140" width="5.85546875" style="798" bestFit="1" customWidth="1"/>
    <col min="16141" max="16141" width="6" style="798" customWidth="1"/>
    <col min="16142" max="16143" width="6.7109375" style="798" customWidth="1"/>
    <col min="16144" max="16144" width="6.42578125" style="798" bestFit="1" customWidth="1"/>
    <col min="16145" max="16155" width="6.42578125" style="798" customWidth="1"/>
    <col min="16156" max="16161" width="7.28515625" style="798" customWidth="1"/>
    <col min="16162" max="16162" width="8.5703125" style="798" bestFit="1" customWidth="1"/>
    <col min="16163" max="16163" width="8.28515625" style="798" customWidth="1"/>
    <col min="16164" max="16164" width="9" style="798" customWidth="1"/>
    <col min="16165" max="16165" width="8.7109375" style="798" customWidth="1"/>
    <col min="16166" max="16167" width="9.7109375" style="798" customWidth="1"/>
    <col min="16168" max="16168" width="8.5703125" style="798" bestFit="1" customWidth="1"/>
    <col min="16169" max="16169" width="10.42578125" style="798" bestFit="1" customWidth="1"/>
    <col min="16170" max="16170" width="6.7109375" style="798" customWidth="1"/>
    <col min="16171" max="16171" width="5.85546875" style="798" bestFit="1" customWidth="1"/>
    <col min="16172" max="16173" width="7.5703125" style="798" bestFit="1" customWidth="1"/>
    <col min="16174" max="16174" width="7.42578125" style="798" bestFit="1" customWidth="1"/>
    <col min="16175" max="16175" width="5.7109375" style="798" bestFit="1" customWidth="1"/>
    <col min="16176" max="16176" width="8.85546875" style="798" bestFit="1" customWidth="1"/>
    <col min="16177" max="16177" width="12.5703125" style="798" bestFit="1" customWidth="1"/>
    <col min="16178" max="16178" width="8.5703125" style="798" bestFit="1" customWidth="1"/>
    <col min="16179" max="16181" width="6.7109375" style="798" customWidth="1"/>
    <col min="16182" max="16182" width="7.5703125" style="798" bestFit="1" customWidth="1"/>
    <col min="16183" max="16183" width="6.7109375" style="798" customWidth="1"/>
    <col min="16184" max="16184" width="12" style="798" bestFit="1" customWidth="1"/>
    <col min="16185" max="16204" width="4.7109375" style="798" customWidth="1"/>
    <col min="16205" max="16384" width="9.140625" style="798"/>
  </cols>
  <sheetData>
    <row r="1" spans="2:78" ht="13.5" thickBot="1"/>
    <row r="2" spans="2:78" ht="15.75">
      <c r="B2" s="1547" t="s">
        <v>1493</v>
      </c>
      <c r="C2" s="1548"/>
      <c r="D2" s="1548"/>
      <c r="E2" s="1548"/>
      <c r="F2" s="1548"/>
      <c r="G2" s="1548"/>
      <c r="H2" s="1549"/>
      <c r="I2" s="854"/>
      <c r="J2" s="854"/>
      <c r="K2" s="854"/>
      <c r="L2" s="854"/>
      <c r="M2" s="854"/>
      <c r="N2" s="854"/>
    </row>
    <row r="3" spans="2:78" ht="15.75">
      <c r="B3" s="1550" t="s">
        <v>1197</v>
      </c>
      <c r="C3" s="1551"/>
      <c r="D3" s="1551"/>
      <c r="E3" s="1551"/>
      <c r="F3" s="1551"/>
      <c r="G3" s="1551"/>
      <c r="H3" s="1552"/>
      <c r="I3" s="854"/>
      <c r="J3" s="854"/>
      <c r="K3" s="854"/>
      <c r="N3" s="854"/>
      <c r="O3" s="854"/>
      <c r="P3" s="854"/>
      <c r="Q3" s="854"/>
      <c r="R3" s="854"/>
      <c r="S3" s="854"/>
      <c r="T3" s="854"/>
      <c r="U3" s="854"/>
      <c r="V3" s="854"/>
    </row>
    <row r="4" spans="2:78" ht="16.5" thickBot="1">
      <c r="B4" s="1553" t="str">
        <f>SD_Details!B4</f>
        <v>ACCEL VERSION 6.3</v>
      </c>
      <c r="C4" s="1585"/>
      <c r="D4" s="1554"/>
      <c r="E4" s="1554"/>
      <c r="F4" s="1554"/>
      <c r="G4" s="1554"/>
      <c r="H4" s="1555"/>
      <c r="I4" s="854"/>
      <c r="J4" s="854"/>
      <c r="K4" s="854"/>
      <c r="N4" s="854"/>
      <c r="O4" s="854"/>
      <c r="P4" s="854"/>
      <c r="Q4" s="854"/>
      <c r="R4" s="854"/>
      <c r="S4" s="854"/>
      <c r="T4" s="854"/>
      <c r="U4" s="854"/>
      <c r="V4" s="854"/>
      <c r="BA4" s="855"/>
      <c r="BB4" s="855"/>
      <c r="BC4" s="855"/>
      <c r="BD4" s="855"/>
      <c r="BE4" s="855"/>
      <c r="BF4" s="855"/>
      <c r="BG4" s="855"/>
      <c r="BH4" s="855"/>
      <c r="BI4" s="855"/>
      <c r="BJ4" s="855"/>
      <c r="BK4" s="855"/>
      <c r="BL4" s="855"/>
      <c r="BM4" s="855"/>
      <c r="BN4" s="855"/>
      <c r="BO4" s="855"/>
      <c r="BP4" s="855"/>
      <c r="BQ4" s="855"/>
      <c r="BR4" s="855"/>
      <c r="BS4" s="855"/>
      <c r="BT4" s="855"/>
      <c r="BU4" s="855"/>
      <c r="BV4" s="855"/>
      <c r="BW4" s="855"/>
      <c r="BX4" s="855"/>
      <c r="BY4" s="855"/>
      <c r="BZ4" s="855"/>
    </row>
    <row r="5" spans="2:78" ht="20.25" customHeight="1" thickBot="1">
      <c r="N5" s="854"/>
      <c r="O5" s="854"/>
      <c r="P5" s="854"/>
      <c r="Q5" s="854"/>
      <c r="R5" s="854"/>
      <c r="S5" s="854"/>
      <c r="T5" s="854"/>
      <c r="U5" s="854"/>
      <c r="V5" s="854"/>
      <c r="BA5" s="855"/>
      <c r="BB5" s="855"/>
      <c r="BC5" s="855"/>
      <c r="BD5" s="855"/>
      <c r="BE5" s="855"/>
      <c r="BF5" s="855"/>
      <c r="BG5" s="855"/>
      <c r="BH5" s="855"/>
      <c r="BI5" s="855"/>
      <c r="BJ5" s="855"/>
      <c r="BK5" s="855"/>
      <c r="BL5" s="855"/>
      <c r="BM5" s="855"/>
      <c r="BN5" s="855"/>
      <c r="BO5" s="855"/>
      <c r="BP5" s="855"/>
      <c r="BQ5" s="855"/>
      <c r="BR5" s="855"/>
      <c r="BS5" s="855"/>
      <c r="BT5" s="855"/>
      <c r="BU5" s="855"/>
      <c r="BV5" s="855"/>
      <c r="BW5" s="855"/>
      <c r="BX5" s="855"/>
      <c r="BY5" s="855"/>
      <c r="BZ5" s="855"/>
    </row>
    <row r="6" spans="2:78" ht="13.5" customHeight="1" thickBot="1">
      <c r="B6" s="1559" t="s">
        <v>7</v>
      </c>
      <c r="C6" s="1560"/>
      <c r="D6" s="1560"/>
      <c r="E6" s="1560"/>
      <c r="F6" s="1560"/>
      <c r="G6" s="1561"/>
      <c r="N6" s="854"/>
      <c r="O6" s="854"/>
      <c r="P6" s="854"/>
      <c r="Q6" s="854"/>
      <c r="R6" s="854"/>
      <c r="S6" s="854"/>
      <c r="T6" s="854"/>
      <c r="U6" s="854"/>
      <c r="V6" s="854"/>
      <c r="BA6" s="855"/>
      <c r="BB6" s="855"/>
      <c r="BC6" s="855"/>
      <c r="BD6" s="855"/>
      <c r="BE6" s="855"/>
      <c r="BF6" s="855"/>
      <c r="BG6" s="855"/>
      <c r="BH6" s="855"/>
      <c r="BI6" s="855"/>
      <c r="BJ6" s="855"/>
      <c r="BK6" s="855"/>
      <c r="BL6" s="855"/>
      <c r="BM6" s="855"/>
      <c r="BN6" s="855"/>
      <c r="BO6" s="855"/>
      <c r="BP6" s="855"/>
      <c r="BQ6" s="855"/>
      <c r="BR6" s="855"/>
      <c r="BS6" s="855"/>
      <c r="BT6" s="855"/>
      <c r="BU6" s="855"/>
      <c r="BV6" s="855"/>
      <c r="BW6" s="855"/>
      <c r="BX6" s="855"/>
      <c r="BY6" s="855"/>
      <c r="BZ6" s="855"/>
    </row>
    <row r="7" spans="2:78" ht="13.5" customHeight="1" thickBot="1">
      <c r="B7" s="555" t="s">
        <v>15</v>
      </c>
      <c r="C7" s="562" t="s">
        <v>16</v>
      </c>
      <c r="D7" s="562" t="s">
        <v>17</v>
      </c>
      <c r="E7" s="564" t="s">
        <v>18</v>
      </c>
      <c r="F7" s="564" t="s">
        <v>36</v>
      </c>
      <c r="G7" s="563" t="s">
        <v>1015</v>
      </c>
      <c r="J7" s="854"/>
      <c r="K7" s="854"/>
      <c r="L7" s="854"/>
      <c r="M7" s="854"/>
      <c r="N7" s="854"/>
      <c r="O7" s="854"/>
      <c r="P7" s="854"/>
      <c r="AE7" s="799"/>
      <c r="AF7" s="799"/>
      <c r="AG7" s="800"/>
      <c r="AH7" s="800"/>
      <c r="AI7" s="799"/>
      <c r="AK7" s="798"/>
      <c r="AL7" s="798"/>
      <c r="AM7" s="798"/>
      <c r="AN7" s="798"/>
      <c r="AO7" s="798"/>
      <c r="AW7" s="855"/>
      <c r="AX7" s="855"/>
      <c r="AY7" s="855"/>
      <c r="AZ7" s="855"/>
      <c r="BA7" s="855"/>
      <c r="BB7" s="855"/>
      <c r="BC7" s="855"/>
      <c r="BD7" s="855"/>
      <c r="BE7" s="855"/>
      <c r="BF7" s="855"/>
      <c r="BG7" s="855"/>
      <c r="BH7" s="855"/>
      <c r="BI7" s="855"/>
      <c r="BJ7" s="855"/>
      <c r="BK7" s="855"/>
      <c r="BL7" s="855"/>
      <c r="BM7" s="855"/>
      <c r="BN7" s="855"/>
      <c r="BO7" s="855"/>
      <c r="BP7" s="855"/>
      <c r="BQ7" s="855"/>
      <c r="BR7" s="855"/>
      <c r="BS7" s="855"/>
      <c r="BT7" s="855"/>
      <c r="BU7" s="855"/>
      <c r="BV7" s="855"/>
      <c r="BW7" s="855"/>
      <c r="BX7" s="855"/>
      <c r="BY7" s="855"/>
      <c r="BZ7" s="855"/>
    </row>
    <row r="8" spans="2:78" ht="13.5" customHeight="1" thickBot="1">
      <c r="B8" s="824">
        <f>IF(SD_Details!C10="","",SD_Details!C10)</f>
        <v>3998.5446231999995</v>
      </c>
      <c r="C8" s="825">
        <f>IF(SD_Details!D10="","",SD_Details!D10)</f>
        <v>200</v>
      </c>
      <c r="D8" s="825">
        <f>IF(SD_Details!E10="","",100*SD_Details!E10)</f>
        <v>42.200000762939453</v>
      </c>
      <c r="E8" s="826">
        <f>IF('Donor Sample'!$P$26="","",'Donor Sample'!$P$26)</f>
        <v>57</v>
      </c>
      <c r="F8" s="826">
        <f>IF('Donor Sample'!$O$26="","",'Donor Sample'!$O$26)</f>
        <v>162</v>
      </c>
      <c r="G8" s="827" t="str">
        <f>IF('DS Analysis'!AG9="","",'DS Analysis'!AG9)</f>
        <v/>
      </c>
      <c r="J8" s="854"/>
      <c r="K8" s="854"/>
      <c r="L8" s="854"/>
      <c r="M8" s="854"/>
      <c r="N8" s="854"/>
      <c r="O8" s="854"/>
      <c r="P8" s="854"/>
      <c r="V8" s="842"/>
      <c r="AE8" s="799"/>
      <c r="AF8" s="799"/>
      <c r="AG8" s="800"/>
      <c r="AH8" s="800"/>
      <c r="AI8" s="799"/>
      <c r="AK8" s="798"/>
      <c r="AL8" s="798"/>
      <c r="AM8" s="798"/>
      <c r="AN8" s="798"/>
      <c r="AO8" s="798"/>
      <c r="AW8" s="855"/>
      <c r="AX8" s="855"/>
      <c r="AY8" s="855"/>
      <c r="AZ8" s="855"/>
      <c r="BA8" s="855"/>
      <c r="BB8" s="855"/>
      <c r="BC8" s="855"/>
      <c r="BD8" s="855"/>
      <c r="BE8" s="855"/>
      <c r="BF8" s="855"/>
      <c r="BG8" s="855"/>
      <c r="BH8" s="855"/>
      <c r="BI8" s="855"/>
      <c r="BJ8" s="855"/>
      <c r="BK8" s="855"/>
      <c r="BL8" s="855"/>
      <c r="BM8" s="855"/>
      <c r="BN8" s="855"/>
      <c r="BO8" s="855"/>
      <c r="BP8" s="855"/>
      <c r="BQ8" s="855"/>
      <c r="BR8" s="855"/>
      <c r="BS8" s="855"/>
      <c r="BT8" s="855"/>
      <c r="BU8" s="855"/>
      <c r="BV8" s="855"/>
      <c r="BW8" s="855"/>
      <c r="BX8" s="855"/>
      <c r="BY8" s="855"/>
      <c r="BZ8" s="855"/>
    </row>
    <row r="9" spans="2:78" ht="13.5" customHeight="1" thickBot="1">
      <c r="AE9" s="799"/>
      <c r="AF9" s="799"/>
      <c r="AG9" s="800"/>
      <c r="AH9" s="800"/>
      <c r="AI9" s="799"/>
      <c r="AK9" s="798"/>
      <c r="AL9" s="798"/>
      <c r="AM9" s="798"/>
      <c r="AN9" s="798"/>
      <c r="AO9" s="798"/>
      <c r="AW9" s="855"/>
      <c r="AX9" s="855"/>
      <c r="AY9" s="855"/>
      <c r="AZ9" s="855"/>
      <c r="BA9" s="855"/>
      <c r="BB9" s="855"/>
      <c r="BC9" s="855"/>
      <c r="BD9" s="855"/>
      <c r="BE9" s="855"/>
      <c r="BF9" s="855"/>
      <c r="BG9" s="855"/>
      <c r="BH9" s="855"/>
      <c r="BI9" s="855"/>
      <c r="BJ9" s="855"/>
      <c r="BK9" s="855"/>
      <c r="BL9" s="855"/>
      <c r="BM9" s="855"/>
      <c r="BN9" s="855"/>
      <c r="BO9" s="855"/>
      <c r="BP9" s="855"/>
      <c r="BQ9" s="855"/>
      <c r="BR9" s="855"/>
      <c r="BS9" s="855"/>
      <c r="BT9" s="855"/>
      <c r="BU9" s="855"/>
      <c r="BV9" s="855"/>
      <c r="BW9" s="855"/>
      <c r="BX9" s="855"/>
      <c r="BY9" s="855"/>
      <c r="BZ9" s="855"/>
    </row>
    <row r="10" spans="2:78" ht="13.5" customHeight="1">
      <c r="B10" s="854"/>
      <c r="C10" s="854"/>
      <c r="D10" s="1586" t="s">
        <v>2</v>
      </c>
      <c r="E10" s="1587"/>
      <c r="F10" s="1587"/>
      <c r="G10" s="1588"/>
      <c r="H10" s="512">
        <f>IF(MAX(H16:H35)=0,"",MAX(H16:H35))</f>
        <v>34.190292358398437</v>
      </c>
      <c r="I10" s="849" t="str">
        <f t="shared" ref="I10:AQ10" si="0">IF(MAX(I16:I35)=0,"",MAX(I16:I35))</f>
        <v/>
      </c>
      <c r="J10" s="514" t="str">
        <f t="shared" si="0"/>
        <v/>
      </c>
      <c r="K10" s="772" t="str">
        <f t="shared" si="0"/>
        <v/>
      </c>
      <c r="L10" s="419" t="str">
        <f t="shared" si="0"/>
        <v/>
      </c>
      <c r="M10" s="514" t="str">
        <f t="shared" si="0"/>
        <v/>
      </c>
      <c r="N10" s="772" t="str">
        <f t="shared" si="0"/>
        <v/>
      </c>
      <c r="O10" s="419" t="str">
        <f t="shared" si="0"/>
        <v/>
      </c>
      <c r="P10" s="514" t="str">
        <f t="shared" si="0"/>
        <v/>
      </c>
      <c r="Q10" s="772" t="str">
        <f t="shared" si="0"/>
        <v/>
      </c>
      <c r="R10" s="419" t="str">
        <f t="shared" si="0"/>
        <v/>
      </c>
      <c r="S10" s="514" t="str">
        <f t="shared" si="0"/>
        <v/>
      </c>
      <c r="T10" s="772" t="str">
        <f t="shared" si="0"/>
        <v/>
      </c>
      <c r="U10" s="419" t="str">
        <f t="shared" si="0"/>
        <v/>
      </c>
      <c r="V10" s="514" t="str">
        <f t="shared" si="0"/>
        <v/>
      </c>
      <c r="W10" s="772" t="str">
        <f t="shared" si="0"/>
        <v/>
      </c>
      <c r="X10" s="419" t="str">
        <f t="shared" si="0"/>
        <v/>
      </c>
      <c r="Y10" s="515" t="str">
        <f t="shared" si="0"/>
        <v/>
      </c>
      <c r="Z10" s="773" t="str">
        <f t="shared" si="0"/>
        <v/>
      </c>
      <c r="AA10" s="508" t="str">
        <f t="shared" si="0"/>
        <v/>
      </c>
      <c r="AB10" s="774" t="str">
        <f t="shared" si="0"/>
        <v/>
      </c>
      <c r="AC10" s="508" t="str">
        <f t="shared" si="0"/>
        <v/>
      </c>
      <c r="AD10" s="774" t="str">
        <f t="shared" si="0"/>
        <v/>
      </c>
      <c r="AE10" s="515" t="str">
        <f t="shared" si="0"/>
        <v/>
      </c>
      <c r="AF10" s="513" t="str">
        <f t="shared" si="0"/>
        <v/>
      </c>
      <c r="AG10" s="537" t="str">
        <f t="shared" si="0"/>
        <v/>
      </c>
      <c r="AH10" s="519" t="str">
        <f t="shared" si="0"/>
        <v/>
      </c>
      <c r="AI10" s="508" t="str">
        <f t="shared" si="0"/>
        <v/>
      </c>
      <c r="AJ10" s="516">
        <f t="shared" si="0"/>
        <v>1670.5064697265625</v>
      </c>
      <c r="AK10" s="513">
        <f t="shared" si="0"/>
        <v>138.83184814453125</v>
      </c>
      <c r="AL10" s="508" t="str">
        <f t="shared" si="0"/>
        <v/>
      </c>
      <c r="AM10" s="515" t="str">
        <f t="shared" si="0"/>
        <v/>
      </c>
      <c r="AN10" s="776">
        <f t="shared" si="0"/>
        <v>0.41363696474660033</v>
      </c>
      <c r="AO10" s="517" t="str">
        <f t="shared" si="0"/>
        <v/>
      </c>
      <c r="AP10" s="518" t="str">
        <f t="shared" si="0"/>
        <v/>
      </c>
      <c r="AQ10" s="519" t="str">
        <f t="shared" si="0"/>
        <v/>
      </c>
      <c r="AW10" s="855"/>
      <c r="AX10" s="855"/>
      <c r="AY10" s="855"/>
      <c r="AZ10" s="855"/>
      <c r="BA10" s="855"/>
      <c r="BB10" s="855"/>
      <c r="BC10" s="855"/>
      <c r="BD10" s="855"/>
      <c r="BE10" s="855"/>
      <c r="BF10" s="855"/>
      <c r="BG10" s="855"/>
      <c r="BH10" s="855"/>
      <c r="BI10" s="855"/>
      <c r="BJ10" s="855"/>
      <c r="BK10" s="855"/>
      <c r="BL10" s="855"/>
      <c r="BM10" s="855"/>
      <c r="BN10" s="855"/>
      <c r="BO10" s="855"/>
      <c r="BP10" s="855"/>
      <c r="BQ10" s="855"/>
      <c r="BR10" s="855"/>
      <c r="BS10" s="855"/>
      <c r="BT10" s="855"/>
      <c r="BU10" s="855"/>
      <c r="BV10" s="855"/>
      <c r="BW10" s="855"/>
      <c r="BX10" s="855"/>
      <c r="BY10" s="855"/>
      <c r="BZ10" s="855"/>
    </row>
    <row r="11" spans="2:78" ht="13.5" customHeight="1" thickBot="1">
      <c r="D11" s="1582" t="s">
        <v>1</v>
      </c>
      <c r="E11" s="1583"/>
      <c r="F11" s="1583"/>
      <c r="G11" s="1584"/>
      <c r="H11" s="525">
        <f>IF(MIN(H16:H35)=0,"",MIN(H16:H35))</f>
        <v>34.190292358398437</v>
      </c>
      <c r="I11" s="524" t="str">
        <f t="shared" ref="I11:AQ11" si="1">IF(MIN(I16:I35)=0,"",MIN(I16:I35))</f>
        <v/>
      </c>
      <c r="J11" s="526" t="str">
        <f t="shared" si="1"/>
        <v/>
      </c>
      <c r="K11" s="538" t="str">
        <f t="shared" si="1"/>
        <v/>
      </c>
      <c r="L11" s="391" t="str">
        <f t="shared" si="1"/>
        <v/>
      </c>
      <c r="M11" s="526" t="str">
        <f t="shared" si="1"/>
        <v/>
      </c>
      <c r="N11" s="538" t="str">
        <f t="shared" si="1"/>
        <v/>
      </c>
      <c r="O11" s="391" t="str">
        <f t="shared" si="1"/>
        <v/>
      </c>
      <c r="P11" s="526" t="str">
        <f t="shared" si="1"/>
        <v/>
      </c>
      <c r="Q11" s="538" t="str">
        <f t="shared" si="1"/>
        <v/>
      </c>
      <c r="R11" s="391" t="str">
        <f t="shared" si="1"/>
        <v/>
      </c>
      <c r="S11" s="526" t="str">
        <f t="shared" si="1"/>
        <v/>
      </c>
      <c r="T11" s="538" t="str">
        <f t="shared" si="1"/>
        <v/>
      </c>
      <c r="U11" s="391" t="str">
        <f t="shared" si="1"/>
        <v/>
      </c>
      <c r="V11" s="526" t="str">
        <f t="shared" si="1"/>
        <v/>
      </c>
      <c r="W11" s="538" t="str">
        <f t="shared" si="1"/>
        <v/>
      </c>
      <c r="X11" s="391" t="str">
        <f t="shared" si="1"/>
        <v/>
      </c>
      <c r="Y11" s="529" t="str">
        <f t="shared" si="1"/>
        <v/>
      </c>
      <c r="Z11" s="540" t="str">
        <f t="shared" si="1"/>
        <v/>
      </c>
      <c r="AA11" s="526" t="str">
        <f t="shared" si="1"/>
        <v/>
      </c>
      <c r="AB11" s="391" t="str">
        <f t="shared" si="1"/>
        <v/>
      </c>
      <c r="AC11" s="526" t="str">
        <f t="shared" si="1"/>
        <v/>
      </c>
      <c r="AD11" s="391" t="str">
        <f t="shared" si="1"/>
        <v/>
      </c>
      <c r="AE11" s="529" t="str">
        <f t="shared" si="1"/>
        <v/>
      </c>
      <c r="AF11" s="528" t="str">
        <f t="shared" si="1"/>
        <v/>
      </c>
      <c r="AG11" s="775" t="str">
        <f t="shared" si="1"/>
        <v/>
      </c>
      <c r="AH11" s="542" t="str">
        <f t="shared" si="1"/>
        <v/>
      </c>
      <c r="AI11" s="521" t="str">
        <f t="shared" si="1"/>
        <v/>
      </c>
      <c r="AJ11" s="532">
        <f t="shared" si="1"/>
        <v>1670.5064697265625</v>
      </c>
      <c r="AK11" s="523">
        <f t="shared" si="1"/>
        <v>138.83184814453125</v>
      </c>
      <c r="AL11" s="521" t="str">
        <f t="shared" si="1"/>
        <v/>
      </c>
      <c r="AM11" s="533" t="str">
        <f t="shared" si="1"/>
        <v/>
      </c>
      <c r="AN11" s="777">
        <f t="shared" si="1"/>
        <v>0.41363696474660033</v>
      </c>
      <c r="AO11" s="534">
        <f>IF(AO10=0,"",MIN(AO16:AO35))</f>
        <v>0</v>
      </c>
      <c r="AP11" s="535" t="str">
        <f t="shared" si="1"/>
        <v/>
      </c>
      <c r="AQ11" s="531" t="str">
        <f t="shared" si="1"/>
        <v/>
      </c>
      <c r="AW11" s="855"/>
      <c r="AX11" s="855"/>
      <c r="AY11" s="855"/>
      <c r="AZ11" s="855"/>
      <c r="BA11" s="855"/>
      <c r="BB11" s="855"/>
      <c r="BC11" s="855"/>
      <c r="BD11" s="855"/>
      <c r="BE11" s="855"/>
      <c r="BF11" s="855"/>
      <c r="BG11" s="855"/>
      <c r="BH11" s="855"/>
      <c r="BI11" s="855"/>
      <c r="BJ11" s="855"/>
      <c r="BK11" s="855"/>
      <c r="BL11" s="855"/>
      <c r="BM11" s="855"/>
      <c r="BN11" s="855"/>
      <c r="BO11" s="855"/>
      <c r="BP11" s="855"/>
      <c r="BQ11" s="855"/>
      <c r="BR11" s="855"/>
      <c r="BS11" s="855"/>
      <c r="BT11" s="855"/>
      <c r="BU11" s="855"/>
      <c r="BV11" s="855"/>
      <c r="BW11" s="855"/>
      <c r="BX11" s="855"/>
      <c r="BY11" s="855"/>
      <c r="BZ11" s="855"/>
    </row>
    <row r="12" spans="2:78" ht="13.5" thickBot="1">
      <c r="D12" s="1586" t="s">
        <v>4</v>
      </c>
      <c r="E12" s="1587"/>
      <c r="F12" s="1587"/>
      <c r="G12" s="1588"/>
      <c r="H12" s="512">
        <f>IF(H10="","",AVERAGE(H16:H35))</f>
        <v>34.190292358398437</v>
      </c>
      <c r="I12" s="849" t="str">
        <f t="shared" ref="I12:AQ12" si="2">IF(I10="","",AVERAGE(I16:I35))</f>
        <v/>
      </c>
      <c r="J12" s="514" t="str">
        <f t="shared" si="2"/>
        <v/>
      </c>
      <c r="K12" s="772" t="str">
        <f t="shared" si="2"/>
        <v/>
      </c>
      <c r="L12" s="419" t="str">
        <f t="shared" si="2"/>
        <v/>
      </c>
      <c r="M12" s="514" t="str">
        <f t="shared" si="2"/>
        <v/>
      </c>
      <c r="N12" s="772" t="str">
        <f t="shared" si="2"/>
        <v/>
      </c>
      <c r="O12" s="419" t="str">
        <f t="shared" si="2"/>
        <v/>
      </c>
      <c r="P12" s="514" t="str">
        <f t="shared" si="2"/>
        <v/>
      </c>
      <c r="Q12" s="772" t="str">
        <f t="shared" si="2"/>
        <v/>
      </c>
      <c r="R12" s="419" t="str">
        <f t="shared" si="2"/>
        <v/>
      </c>
      <c r="S12" s="514" t="str">
        <f t="shared" si="2"/>
        <v/>
      </c>
      <c r="T12" s="772" t="str">
        <f t="shared" si="2"/>
        <v/>
      </c>
      <c r="U12" s="419" t="str">
        <f t="shared" si="2"/>
        <v/>
      </c>
      <c r="V12" s="514" t="str">
        <f t="shared" si="2"/>
        <v/>
      </c>
      <c r="W12" s="772" t="str">
        <f t="shared" si="2"/>
        <v/>
      </c>
      <c r="X12" s="419" t="str">
        <f t="shared" si="2"/>
        <v/>
      </c>
      <c r="Y12" s="515" t="str">
        <f t="shared" si="2"/>
        <v/>
      </c>
      <c r="Z12" s="773" t="str">
        <f t="shared" si="2"/>
        <v/>
      </c>
      <c r="AA12" s="508" t="str">
        <f t="shared" si="2"/>
        <v/>
      </c>
      <c r="AB12" s="774" t="str">
        <f t="shared" si="2"/>
        <v/>
      </c>
      <c r="AC12" s="508" t="str">
        <f t="shared" si="2"/>
        <v/>
      </c>
      <c r="AD12" s="774" t="str">
        <f t="shared" si="2"/>
        <v/>
      </c>
      <c r="AE12" s="515" t="str">
        <f t="shared" si="2"/>
        <v/>
      </c>
      <c r="AF12" s="513" t="str">
        <f t="shared" si="2"/>
        <v/>
      </c>
      <c r="AG12" s="537" t="str">
        <f t="shared" si="2"/>
        <v/>
      </c>
      <c r="AH12" s="519" t="str">
        <f t="shared" si="2"/>
        <v/>
      </c>
      <c r="AI12" s="508" t="str">
        <f t="shared" si="2"/>
        <v/>
      </c>
      <c r="AJ12" s="516">
        <f t="shared" si="2"/>
        <v>1670.5064697265625</v>
      </c>
      <c r="AK12" s="513">
        <f t="shared" si="2"/>
        <v>138.83184814453125</v>
      </c>
      <c r="AL12" s="508" t="str">
        <f t="shared" si="2"/>
        <v/>
      </c>
      <c r="AM12" s="515" t="str">
        <f t="shared" si="2"/>
        <v/>
      </c>
      <c r="AN12" s="776">
        <f t="shared" si="2"/>
        <v>0.41363696474660033</v>
      </c>
      <c r="AO12" s="517" t="str">
        <f t="shared" si="2"/>
        <v/>
      </c>
      <c r="AP12" s="518" t="str">
        <f t="shared" si="2"/>
        <v/>
      </c>
      <c r="AQ12" s="519" t="str">
        <f t="shared" si="2"/>
        <v/>
      </c>
      <c r="AR12" s="1556" t="s">
        <v>1166</v>
      </c>
      <c r="AS12" s="1557"/>
      <c r="AT12" s="1557"/>
      <c r="AU12" s="1557"/>
      <c r="AV12" s="1557"/>
      <c r="AW12" s="1557"/>
      <c r="AX12" s="1557"/>
      <c r="AY12" s="1557"/>
      <c r="AZ12" s="1558"/>
      <c r="BA12" s="855"/>
      <c r="BB12" s="855"/>
      <c r="BC12" s="855"/>
      <c r="BD12" s="855"/>
      <c r="BE12" s="855"/>
      <c r="BF12" s="855"/>
      <c r="BG12" s="855"/>
      <c r="BH12" s="855"/>
      <c r="BI12" s="855"/>
      <c r="BJ12" s="855"/>
      <c r="BK12" s="855"/>
      <c r="BL12" s="855"/>
      <c r="BM12" s="855"/>
      <c r="BN12" s="855"/>
      <c r="BO12" s="855"/>
      <c r="BP12" s="855"/>
      <c r="BQ12" s="855"/>
      <c r="BR12" s="855"/>
      <c r="BS12" s="855"/>
      <c r="BT12" s="855"/>
      <c r="BU12" s="855"/>
      <c r="BV12" s="855"/>
      <c r="BW12" s="855"/>
      <c r="BX12" s="855"/>
      <c r="BY12" s="855"/>
      <c r="BZ12" s="855"/>
    </row>
    <row r="13" spans="2:78" ht="13.5" thickBot="1">
      <c r="D13" s="1582" t="s">
        <v>1057</v>
      </c>
      <c r="E13" s="1583"/>
      <c r="F13" s="1583"/>
      <c r="G13" s="1584"/>
      <c r="H13" s="539" t="str">
        <f>IF(OR(H10="",COUNT(H16:H35)&lt;2),"",STDEV(H16:H35))</f>
        <v/>
      </c>
      <c r="I13" s="850" t="str">
        <f t="shared" ref="I13:AQ13" si="3">IF(OR(I10="",COUNT(I16:I35)&lt;2),"",STDEV(I16:I35))</f>
        <v/>
      </c>
      <c r="J13" s="530" t="str">
        <f t="shared" si="3"/>
        <v/>
      </c>
      <c r="K13" s="538" t="str">
        <f t="shared" si="3"/>
        <v/>
      </c>
      <c r="L13" s="391" t="str">
        <f t="shared" si="3"/>
        <v/>
      </c>
      <c r="M13" s="530" t="str">
        <f t="shared" si="3"/>
        <v/>
      </c>
      <c r="N13" s="538" t="str">
        <f t="shared" si="3"/>
        <v/>
      </c>
      <c r="O13" s="391" t="str">
        <f t="shared" si="3"/>
        <v/>
      </c>
      <c r="P13" s="530" t="str">
        <f t="shared" si="3"/>
        <v/>
      </c>
      <c r="Q13" s="538" t="str">
        <f t="shared" si="3"/>
        <v/>
      </c>
      <c r="R13" s="391" t="str">
        <f t="shared" si="3"/>
        <v/>
      </c>
      <c r="S13" s="530" t="str">
        <f t="shared" si="3"/>
        <v/>
      </c>
      <c r="T13" s="538" t="str">
        <f t="shared" si="3"/>
        <v/>
      </c>
      <c r="U13" s="391" t="str">
        <f t="shared" si="3"/>
        <v/>
      </c>
      <c r="V13" s="530" t="str">
        <f t="shared" si="3"/>
        <v/>
      </c>
      <c r="W13" s="538" t="str">
        <f t="shared" si="3"/>
        <v/>
      </c>
      <c r="X13" s="391" t="str">
        <f t="shared" si="3"/>
        <v/>
      </c>
      <c r="Y13" s="541" t="str">
        <f t="shared" si="3"/>
        <v/>
      </c>
      <c r="Z13" s="540" t="str">
        <f t="shared" si="3"/>
        <v/>
      </c>
      <c r="AA13" s="530" t="str">
        <f t="shared" si="3"/>
        <v/>
      </c>
      <c r="AB13" s="391" t="str">
        <f t="shared" si="3"/>
        <v/>
      </c>
      <c r="AC13" s="530" t="str">
        <f t="shared" si="3"/>
        <v/>
      </c>
      <c r="AD13" s="391" t="str">
        <f t="shared" si="3"/>
        <v/>
      </c>
      <c r="AE13" s="541" t="str">
        <f t="shared" si="3"/>
        <v/>
      </c>
      <c r="AF13" s="540" t="str">
        <f t="shared" si="3"/>
        <v/>
      </c>
      <c r="AG13" s="775" t="str">
        <f t="shared" si="3"/>
        <v/>
      </c>
      <c r="AH13" s="542" t="str">
        <f t="shared" si="3"/>
        <v/>
      </c>
      <c r="AI13" s="526" t="str">
        <f t="shared" si="3"/>
        <v/>
      </c>
      <c r="AJ13" s="543" t="str">
        <f t="shared" si="3"/>
        <v/>
      </c>
      <c r="AK13" s="528" t="str">
        <f t="shared" si="3"/>
        <v/>
      </c>
      <c r="AL13" s="526" t="str">
        <f t="shared" si="3"/>
        <v/>
      </c>
      <c r="AM13" s="529" t="str">
        <f t="shared" si="3"/>
        <v/>
      </c>
      <c r="AN13" s="778" t="str">
        <f t="shared" si="3"/>
        <v/>
      </c>
      <c r="AO13" s="779" t="str">
        <f t="shared" si="3"/>
        <v/>
      </c>
      <c r="AP13" s="780" t="str">
        <f t="shared" si="3"/>
        <v/>
      </c>
      <c r="AQ13" s="542" t="str">
        <f t="shared" si="3"/>
        <v/>
      </c>
      <c r="AR13" s="544">
        <f>100*COUNT(AR16:AR35)/(COUNT($H$16:$H$35)+0.001)</f>
        <v>0</v>
      </c>
      <c r="AS13" s="545">
        <f t="shared" ref="AS13:AY13" si="4">100*COUNT(AS16:AS35)/(COUNT($H$16:$H$35)+0.001)</f>
        <v>0</v>
      </c>
      <c r="AT13" s="545">
        <f t="shared" si="4"/>
        <v>0</v>
      </c>
      <c r="AU13" s="546">
        <f t="shared" si="4"/>
        <v>0</v>
      </c>
      <c r="AV13" s="546">
        <f t="shared" si="4"/>
        <v>0</v>
      </c>
      <c r="AW13" s="546">
        <f t="shared" si="4"/>
        <v>0</v>
      </c>
      <c r="AX13" s="547">
        <f t="shared" si="4"/>
        <v>0</v>
      </c>
      <c r="AY13" s="837">
        <f t="shared" si="4"/>
        <v>0</v>
      </c>
      <c r="AZ13" s="341">
        <f>100*COUNTIF(AZ16:AZ35,"&gt;0")/(COUNT($H$16:$H$35)+0.001)</f>
        <v>0</v>
      </c>
      <c r="BA13" s="855"/>
      <c r="BB13" s="855"/>
      <c r="BC13" s="855"/>
      <c r="BD13" s="855"/>
      <c r="BE13" s="855"/>
      <c r="BF13" s="855"/>
      <c r="BG13" s="855"/>
      <c r="BH13" s="855"/>
      <c r="BI13" s="855"/>
      <c r="BJ13" s="855"/>
      <c r="BK13" s="855"/>
      <c r="BL13" s="855"/>
      <c r="BM13" s="855"/>
      <c r="BN13" s="855"/>
      <c r="BO13" s="855"/>
      <c r="BP13" s="855"/>
      <c r="BQ13" s="855"/>
      <c r="BR13" s="855"/>
      <c r="BS13" s="855"/>
      <c r="BT13" s="855"/>
      <c r="BU13" s="855"/>
      <c r="BV13" s="855"/>
      <c r="BW13" s="855"/>
      <c r="BX13" s="855"/>
      <c r="BY13" s="855"/>
      <c r="BZ13" s="855"/>
    </row>
    <row r="14" spans="2:78" ht="13.5" thickBot="1">
      <c r="B14" s="507" t="s">
        <v>943</v>
      </c>
      <c r="C14" s="507" t="s">
        <v>943</v>
      </c>
      <c r="D14" s="1564" t="s">
        <v>8</v>
      </c>
      <c r="E14" s="1565"/>
      <c r="F14" s="1565"/>
      <c r="G14" s="1561"/>
      <c r="H14" s="1559" t="s">
        <v>9</v>
      </c>
      <c r="I14" s="1561"/>
      <c r="J14" s="1564" t="s">
        <v>1165</v>
      </c>
      <c r="K14" s="1565"/>
      <c r="L14" s="1566"/>
      <c r="M14" s="1564" t="s">
        <v>1058</v>
      </c>
      <c r="N14" s="1565"/>
      <c r="O14" s="1566"/>
      <c r="P14" s="1564" t="s">
        <v>1059</v>
      </c>
      <c r="Q14" s="1565"/>
      <c r="R14" s="1566"/>
      <c r="S14" s="1564" t="s">
        <v>1060</v>
      </c>
      <c r="T14" s="1565"/>
      <c r="U14" s="1566"/>
      <c r="V14" s="1564" t="s">
        <v>1061</v>
      </c>
      <c r="W14" s="1565"/>
      <c r="X14" s="1566"/>
      <c r="Y14" s="1559" t="s">
        <v>1062</v>
      </c>
      <c r="Z14" s="1561"/>
      <c r="AA14" s="1559" t="s">
        <v>1063</v>
      </c>
      <c r="AB14" s="1561"/>
      <c r="AC14" s="1559" t="s">
        <v>1064</v>
      </c>
      <c r="AD14" s="1561"/>
      <c r="AE14" s="1556" t="s">
        <v>10</v>
      </c>
      <c r="AF14" s="1558"/>
      <c r="AG14" s="1562" t="s">
        <v>11</v>
      </c>
      <c r="AH14" s="1563"/>
      <c r="AI14" s="1559" t="s">
        <v>1065</v>
      </c>
      <c r="AJ14" s="1560"/>
      <c r="AK14" s="1560"/>
      <c r="AL14" s="1559" t="s">
        <v>13</v>
      </c>
      <c r="AM14" s="1560"/>
      <c r="AN14" s="1561"/>
      <c r="AO14" s="1560" t="s">
        <v>14</v>
      </c>
      <c r="AP14" s="1560"/>
      <c r="AQ14" s="1561"/>
      <c r="AR14" s="1559" t="s">
        <v>1163</v>
      </c>
      <c r="AS14" s="1560"/>
      <c r="AT14" s="1560"/>
      <c r="AU14" s="1560"/>
      <c r="AV14" s="1560"/>
      <c r="AW14" s="1560"/>
      <c r="AX14" s="1560"/>
      <c r="AY14" s="1561"/>
      <c r="AZ14" s="548" t="s">
        <v>1179</v>
      </c>
      <c r="BA14" s="548" t="s">
        <v>1199</v>
      </c>
      <c r="BB14" s="788" t="s">
        <v>1015</v>
      </c>
      <c r="BC14" s="855"/>
      <c r="BD14" s="855"/>
      <c r="BE14" s="855"/>
      <c r="BF14" s="855"/>
      <c r="BG14" s="855"/>
      <c r="BH14" s="855"/>
      <c r="BI14" s="855"/>
      <c r="BJ14" s="855"/>
      <c r="BK14" s="855"/>
      <c r="BL14" s="855"/>
      <c r="BM14" s="855"/>
      <c r="BN14" s="855"/>
      <c r="BO14" s="855"/>
      <c r="BP14" s="855"/>
      <c r="BQ14" s="855"/>
      <c r="BR14" s="855"/>
      <c r="BS14" s="855"/>
      <c r="BT14" s="855"/>
      <c r="BU14" s="855"/>
      <c r="BV14" s="855"/>
      <c r="BW14" s="855"/>
      <c r="BX14" s="855"/>
      <c r="BY14" s="855"/>
      <c r="BZ14" s="855"/>
    </row>
    <row r="15" spans="2:78" ht="13.5" customHeight="1" thickBot="1">
      <c r="B15" s="549" t="s">
        <v>35</v>
      </c>
      <c r="C15" s="549" t="s">
        <v>1066</v>
      </c>
      <c r="D15" s="550" t="s">
        <v>19</v>
      </c>
      <c r="E15" s="554" t="s">
        <v>1067</v>
      </c>
      <c r="F15" s="551" t="s">
        <v>1068</v>
      </c>
      <c r="G15" s="553" t="s">
        <v>21</v>
      </c>
      <c r="H15" s="550" t="s">
        <v>1069</v>
      </c>
      <c r="I15" s="553" t="s">
        <v>1070</v>
      </c>
      <c r="J15" s="555" t="s">
        <v>1071</v>
      </c>
      <c r="K15" s="556" t="s">
        <v>1072</v>
      </c>
      <c r="L15" s="831" t="s">
        <v>1073</v>
      </c>
      <c r="M15" s="555" t="s">
        <v>1071</v>
      </c>
      <c r="N15" s="556" t="s">
        <v>1072</v>
      </c>
      <c r="O15" s="831" t="s">
        <v>1073</v>
      </c>
      <c r="P15" s="555" t="s">
        <v>1071</v>
      </c>
      <c r="Q15" s="556" t="s">
        <v>1072</v>
      </c>
      <c r="R15" s="831" t="s">
        <v>1073</v>
      </c>
      <c r="S15" s="555" t="s">
        <v>1071</v>
      </c>
      <c r="T15" s="556" t="s">
        <v>1072</v>
      </c>
      <c r="U15" s="831" t="s">
        <v>1073</v>
      </c>
      <c r="V15" s="555" t="s">
        <v>1071</v>
      </c>
      <c r="W15" s="556" t="s">
        <v>1072</v>
      </c>
      <c r="X15" s="831" t="s">
        <v>1073</v>
      </c>
      <c r="Y15" s="555" t="s">
        <v>1071</v>
      </c>
      <c r="Z15" s="831" t="s">
        <v>1072</v>
      </c>
      <c r="AA15" s="555" t="s">
        <v>1071</v>
      </c>
      <c r="AB15" s="831" t="s">
        <v>1072</v>
      </c>
      <c r="AC15" s="555" t="s">
        <v>1071</v>
      </c>
      <c r="AD15" s="831" t="s">
        <v>1072</v>
      </c>
      <c r="AE15" s="557" t="s">
        <v>24</v>
      </c>
      <c r="AF15" s="558" t="s">
        <v>25</v>
      </c>
      <c r="AG15" s="559" t="s">
        <v>24</v>
      </c>
      <c r="AH15" s="560" t="s">
        <v>25</v>
      </c>
      <c r="AI15" s="561" t="s">
        <v>26</v>
      </c>
      <c r="AJ15" s="554" t="s">
        <v>1074</v>
      </c>
      <c r="AK15" s="552" t="s">
        <v>27</v>
      </c>
      <c r="AL15" s="555" t="s">
        <v>29</v>
      </c>
      <c r="AM15" s="562" t="s">
        <v>30</v>
      </c>
      <c r="AN15" s="563" t="s">
        <v>31</v>
      </c>
      <c r="AO15" s="554" t="s">
        <v>1075</v>
      </c>
      <c r="AP15" s="552" t="s">
        <v>1076</v>
      </c>
      <c r="AQ15" s="563" t="s">
        <v>1077</v>
      </c>
      <c r="AR15" s="832" t="s">
        <v>1078</v>
      </c>
      <c r="AS15" s="833" t="s">
        <v>24</v>
      </c>
      <c r="AT15" s="833" t="s">
        <v>32</v>
      </c>
      <c r="AU15" s="833" t="s">
        <v>33</v>
      </c>
      <c r="AV15" s="833" t="s">
        <v>34</v>
      </c>
      <c r="AW15" s="833" t="s">
        <v>1079</v>
      </c>
      <c r="AX15" s="834" t="s">
        <v>1080</v>
      </c>
      <c r="AY15" s="563" t="s">
        <v>893</v>
      </c>
      <c r="AZ15" s="565" t="s">
        <v>37</v>
      </c>
      <c r="BA15" s="565" t="s">
        <v>1198</v>
      </c>
      <c r="BB15" s="565" t="s">
        <v>1170</v>
      </c>
      <c r="BC15" s="855"/>
      <c r="BD15" s="855"/>
      <c r="BE15" s="855"/>
      <c r="BF15" s="855"/>
      <c r="BG15" s="855"/>
      <c r="BH15" s="855"/>
      <c r="BI15" s="855"/>
      <c r="BJ15" s="855"/>
      <c r="BK15" s="855"/>
      <c r="BL15" s="855"/>
      <c r="BM15" s="855"/>
      <c r="BN15" s="855"/>
      <c r="BO15" s="855"/>
      <c r="BP15" s="855"/>
      <c r="BQ15" s="855"/>
      <c r="BR15" s="855"/>
      <c r="BS15" s="855"/>
      <c r="BT15" s="855"/>
      <c r="BU15" s="855"/>
      <c r="BV15" s="855"/>
      <c r="BW15" s="855"/>
      <c r="BX15" s="855"/>
      <c r="BY15" s="855"/>
      <c r="BZ15" s="855"/>
    </row>
    <row r="16" spans="2:78" ht="13.5" thickBot="1">
      <c r="B16" s="566">
        <v>1</v>
      </c>
      <c r="C16" s="265" t="str">
        <f>IF(BA16="","",IF(BA16=0,"  YES","           NO"))</f>
        <v xml:space="preserve">  YES</v>
      </c>
      <c r="D16" s="763" t="str">
        <f>IF(SD_Details!I10="","",SD_Details!I10)</f>
        <v/>
      </c>
      <c r="E16" s="761" t="str">
        <f>IF(SD_Details!J10="","",SD_Details!J10)</f>
        <v/>
      </c>
      <c r="F16" s="417">
        <f>IF(SD_Details!K10="","",SD_Details!K10)</f>
        <v>540</v>
      </c>
      <c r="G16" s="414" t="str">
        <f>IF(SD_Details!L10="","",SD_Details!L10)</f>
        <v/>
      </c>
      <c r="H16" s="418">
        <f>IF(OR(SD_Details!M10="",$BA16&gt;0),"",SD_Details!M10)</f>
        <v>34.190292358398437</v>
      </c>
      <c r="I16" s="414" t="str">
        <f>IF(OR(SD_Details!N10="",$BA16&gt;0),"",SD_Details!N10)</f>
        <v/>
      </c>
      <c r="J16" s="418" t="str">
        <f>IF(OR(SD_Details!AN10="",BA16&gt;0),"",SD_Details!AN10)</f>
        <v/>
      </c>
      <c r="K16" s="764" t="str">
        <f>IF(OR(SD_Details!AV10="",BA16&gt;0),"",SD_Details!AV10)</f>
        <v/>
      </c>
      <c r="L16" s="851" t="str">
        <f>IF(OR(SD_Details!BD10="",BA16&gt;0),"",SD_Details!BD10)</f>
        <v/>
      </c>
      <c r="M16" s="418" t="str">
        <f>IF(OR(SD_Details!AO10="",BA16&gt;0),"",SD_Details!AO10)</f>
        <v/>
      </c>
      <c r="N16" s="764" t="str">
        <f>IF(OR(SD_Details!AW10="",BA16&gt;0),"",SD_Details!AW10)</f>
        <v/>
      </c>
      <c r="O16" s="767" t="str">
        <f>IF(OR(SD_Details!BE10="",BA16&gt;0),"",SD_Details!BE10)</f>
        <v/>
      </c>
      <c r="P16" s="418" t="str">
        <f>IF(OR(SD_Details!AP10="",BA16&gt;0),"",SD_Details!AP10)</f>
        <v/>
      </c>
      <c r="Q16" s="764" t="str">
        <f>IF(OR(SD_Details!AX10="",BA16&gt;0),"",SD_Details!AX10)</f>
        <v/>
      </c>
      <c r="R16" s="767" t="str">
        <f>IF(OR(SD_Details!BF10="",BA16&gt;0),"",SD_Details!BF10)</f>
        <v/>
      </c>
      <c r="S16" s="418" t="str">
        <f>IF(OR(SD_Details!AQ10="",BA16&gt;0),"",SD_Details!AQ10)</f>
        <v/>
      </c>
      <c r="T16" s="764" t="str">
        <f>IF(OR(SD_Details!AY10="",BA16&gt;0),"",SD_Details!AY10)</f>
        <v/>
      </c>
      <c r="U16" s="767" t="str">
        <f>IF(OR(SD_Details!BG10="",BA16&gt;0),"",SD_Details!BG10)</f>
        <v/>
      </c>
      <c r="V16" s="418" t="str">
        <f>IF(OR(SD_Details!AR10="",BA16&gt;0),"",SD_Details!AR10)</f>
        <v/>
      </c>
      <c r="W16" s="764" t="str">
        <f>IF(OR(SD_Details!AZ10="",BA16&gt;0),"",SD_Details!AZ10)</f>
        <v/>
      </c>
      <c r="X16" s="767" t="str">
        <f>IF(OR(SD_Details!BH10="",BA16&gt;0),"",SD_Details!BH10)</f>
        <v/>
      </c>
      <c r="Y16" s="418" t="str">
        <f>IF(OR(SD_Details!AS10="",BA16&gt;0),"",SD_Details!AS10)</f>
        <v/>
      </c>
      <c r="Z16" s="764" t="str">
        <f>IF(OR(SD_Details!BA10="",BA16&gt;0),"",SD_Details!BA10)</f>
        <v/>
      </c>
      <c r="AA16" s="418" t="str">
        <f>IF(OR(SD_Details!AT10="",BA16&gt;0),"",SD_Details!AT10)</f>
        <v/>
      </c>
      <c r="AB16" s="764" t="str">
        <f>IF(OR(SD_Details!BB10="",BA16&gt;0),"",SD_Details!BB10)</f>
        <v/>
      </c>
      <c r="AC16" s="418" t="str">
        <f>IF(OR(SD_Details!AU10="",BA16&gt;0),"",SD_Details!AU10)</f>
        <v/>
      </c>
      <c r="AD16" s="764" t="str">
        <f>IF(OR(SD_Details!BC10="",BA16&gt;0),"",SD_Details!BC10)</f>
        <v/>
      </c>
      <c r="AE16" s="418" t="str">
        <f>IF(OR(SD_Details!R10="",$BA16&gt;0),"",SD_Details!R10)</f>
        <v/>
      </c>
      <c r="AF16" s="768" t="str">
        <f>IF(OR(SD_Details!S10="",$BA16&gt;0),"",SD_Details!S10)</f>
        <v/>
      </c>
      <c r="AG16" s="765" t="str">
        <f>IF(OR(SD_Details!T10="",$BA16&gt;0),"",SD_Details!T10)</f>
        <v/>
      </c>
      <c r="AH16" s="769" t="str">
        <f>IF(OR(SD_Details!U10="",$BA16&gt;0),"",SD_Details!U10)</f>
        <v/>
      </c>
      <c r="AI16" s="418" t="str">
        <f>IF(OR(SD_Details!V10="",$BA16&gt;0),"",SD_Details!V10)</f>
        <v/>
      </c>
      <c r="AJ16" s="761">
        <f>IF(OR(SD_Details!W10="",$BA16&gt;0),"",SD_Details!W10)</f>
        <v>1670.5064697265625</v>
      </c>
      <c r="AK16" s="415">
        <f>IF(OR(SD_Details!X10="",$BA16&gt;0),"",SD_Details!X10)</f>
        <v>138.83184814453125</v>
      </c>
      <c r="AL16" s="418" t="str">
        <f>IF(OR(SD_Details!Y10="",$BA16&gt;0),"",SD_Details!Y10)</f>
        <v/>
      </c>
      <c r="AM16" s="761" t="str">
        <f>IF(OR(SD_Details!Z10="",$BA16&gt;0),"",SD_Details!Z10)</f>
        <v/>
      </c>
      <c r="AN16" s="762">
        <f>IF(OR(SD_Details!AA10="",$BA16&gt;0),"",SD_Details!AA10)</f>
        <v>0.41363696474660033</v>
      </c>
      <c r="AO16" s="765" t="str">
        <f>IF(OR(SD_Details!AK10="",$BA16&gt;0),"",SD_Details!AK10)</f>
        <v/>
      </c>
      <c r="AP16" s="766" t="str">
        <f>IF(OR(SD_Details!AL10="",$BA16&gt;0),"",SD_Details!AL10)</f>
        <v/>
      </c>
      <c r="AQ16" s="762" t="str">
        <f>IF(OR(SD_Details!AM10="",$BA16&gt;0),"",SD_Details!AM10)</f>
        <v/>
      </c>
      <c r="AR16" s="418" t="str">
        <f>IF(OR(SD_Details!AB10="",$BA16&gt;0),"",SD_Details!AB10)</f>
        <v/>
      </c>
      <c r="AS16" s="417" t="str">
        <f>IF(OR(SD_Details!AC10="",$BA16&gt;0),"",SD_Details!AC10)</f>
        <v/>
      </c>
      <c r="AT16" s="417" t="str">
        <f>IF(OR(SD_Details!AD10="",$BA16&gt;0),"",SD_Details!AD10)</f>
        <v/>
      </c>
      <c r="AU16" s="417" t="str">
        <f>IF(OR(SD_Details!AE10="",$BA16&gt;0),"",SD_Details!AE10)</f>
        <v/>
      </c>
      <c r="AV16" s="417" t="str">
        <f>IF(OR(SD_Details!AF10="",$BA16&gt;0),"",SD_Details!AF10)</f>
        <v/>
      </c>
      <c r="AW16" s="417" t="str">
        <f>IF(OR(SD_Details!AG10="",$BA16&gt;0),"",SD_Details!AG10)</f>
        <v/>
      </c>
      <c r="AX16" s="415" t="str">
        <f>IF(OR(SD_Details!AH10="",$BA16&gt;0),"",SD_Details!AH10)</f>
        <v/>
      </c>
      <c r="AY16" s="414" t="str">
        <f>IF(OR(SD_Details!AI10="",$BA16&gt;0),"",SD_Details!AI10)</f>
        <v/>
      </c>
      <c r="AZ16" s="828" t="str">
        <f>IF(OR(SD_Details!AJ10="",$BA16&gt;0),"",SD_Details!AJ10)</f>
        <v/>
      </c>
      <c r="BA16" s="829">
        <f>IF(OR(SD_Details!BK10="",SD_Details!BK10=12),"",IF(SD_Details!BK10=13,1,IF(SD_Details!BK10=7,2,IF(SD_Details!BK10=2,3,IF(SD_Details!BK10=1,4,IF(SD_Details!BK10=30,5,IF(SD_Details!BK10=28,7,IF(AND($BB$16=1,'Configs &amp; Procedures'!$F$44&gt;0),6,IF(SD_Details!BK10=15,8,IF(SD_Details!BK10=0,0,9))))))))))</f>
        <v>0</v>
      </c>
      <c r="BB16" s="830">
        <f>IF(OR(G8="",G8&lt;'Configs &amp; Procedures'!$L$29),0,IF(G8&gt;'Configs &amp; Procedures'!$L$30,1,IF(D8&gt;'Configs &amp; Procedures'!$L$31,0,1)))</f>
        <v>0</v>
      </c>
      <c r="BC16" s="855"/>
      <c r="BD16" s="855"/>
      <c r="BE16" s="855"/>
      <c r="BF16" s="855"/>
      <c r="BG16" s="855"/>
      <c r="BH16" s="855"/>
      <c r="BI16" s="855"/>
      <c r="BJ16" s="855"/>
      <c r="BK16" s="855"/>
      <c r="BL16" s="855"/>
      <c r="BM16" s="855"/>
      <c r="BN16" s="855"/>
      <c r="BO16" s="855"/>
      <c r="BP16" s="855"/>
      <c r="BQ16" s="855"/>
      <c r="BR16" s="855"/>
      <c r="BS16" s="855"/>
      <c r="BT16" s="855"/>
      <c r="BU16" s="855"/>
      <c r="BV16" s="855"/>
      <c r="BW16" s="855"/>
      <c r="BX16" s="855"/>
      <c r="BY16" s="855"/>
      <c r="BZ16" s="855"/>
    </row>
    <row r="17" spans="2:78">
      <c r="B17" s="572">
        <v>2</v>
      </c>
      <c r="C17" s="1179" t="str">
        <f t="shared" ref="C17:C35" si="5">IF(BA17="","",IF(BA17=0,"  YES","           NO"))</f>
        <v/>
      </c>
      <c r="D17" s="574" t="str">
        <f>IF(SD_Details!I11="","",SD_Details!I11)</f>
        <v/>
      </c>
      <c r="E17" s="573" t="str">
        <f>IF(SD_Details!J11="","",SD_Details!J11)</f>
        <v/>
      </c>
      <c r="F17" s="307" t="str">
        <f>IF(SD_Details!K11="","",SD_Details!K11)</f>
        <v/>
      </c>
      <c r="G17" s="292" t="str">
        <f>IF(SD_Details!L11="","",SD_Details!L11)</f>
        <v/>
      </c>
      <c r="H17" s="308" t="str">
        <f>IF(OR(SD_Details!M11="",$BA17&gt;0),"",SD_Details!M11)</f>
        <v/>
      </c>
      <c r="I17" s="292" t="str">
        <f>IF(OR(SD_Details!N11="",$BA17&gt;0),"",SD_Details!N11)</f>
        <v/>
      </c>
      <c r="J17" s="308" t="str">
        <f>IF(OR(SD_Details!AN11="",BA17&gt;0),"",SD_Details!AN11)</f>
        <v/>
      </c>
      <c r="K17" s="575" t="str">
        <f>IF(OR(SD_Details!AV11="",BA17&gt;0),"",SD_Details!AV11)</f>
        <v/>
      </c>
      <c r="L17" s="852" t="str">
        <f>IF(OR(SD_Details!BD11="",BA17&gt;0),"",SD_Details!BD11)</f>
        <v/>
      </c>
      <c r="M17" s="308" t="str">
        <f>IF(OR(SD_Details!AO11="",BA17&gt;0),"",SD_Details!AO11)</f>
        <v/>
      </c>
      <c r="N17" s="575" t="str">
        <f>IF(OR(SD_Details!AW11="",BA17&gt;0),"",SD_Details!AW11)</f>
        <v/>
      </c>
      <c r="O17" s="576" t="str">
        <f>IF(OR(SD_Details!BE11="",BA17&gt;0),"",SD_Details!BE11)</f>
        <v/>
      </c>
      <c r="P17" s="308" t="str">
        <f>IF(OR(SD_Details!AP11="",BA17&gt;0),"",SD_Details!AP11)</f>
        <v/>
      </c>
      <c r="Q17" s="575" t="str">
        <f>IF(OR(SD_Details!AX11="",BA17&gt;0),"",SD_Details!AX11)</f>
        <v/>
      </c>
      <c r="R17" s="576" t="str">
        <f>IF(OR(SD_Details!BF11="",BA17&gt;0),"",SD_Details!BF11)</f>
        <v/>
      </c>
      <c r="S17" s="308" t="str">
        <f>IF(OR(SD_Details!AQ11="",BA17&gt;0),"",SD_Details!AQ11)</f>
        <v/>
      </c>
      <c r="T17" s="575" t="str">
        <f>IF(OR(SD_Details!AY11="",BA17&gt;0),"",SD_Details!AY11)</f>
        <v/>
      </c>
      <c r="U17" s="576" t="str">
        <f>IF(OR(SD_Details!BG11="",BA17&gt;0),"",SD_Details!BG11)</f>
        <v/>
      </c>
      <c r="V17" s="308" t="str">
        <f>IF(OR(SD_Details!AR11="",BA17&gt;0),"",SD_Details!AR11)</f>
        <v/>
      </c>
      <c r="W17" s="575" t="str">
        <f>IF(OR(SD_Details!AZ11="",BA17&gt;0),"",SD_Details!AZ11)</f>
        <v/>
      </c>
      <c r="X17" s="576" t="str">
        <f>IF(OR(SD_Details!BH11="",BA17&gt;0),"",SD_Details!BH11)</f>
        <v/>
      </c>
      <c r="Y17" s="308" t="str">
        <f>IF(OR(SD_Details!AS11="",BA17&gt;0),"",SD_Details!AS11)</f>
        <v/>
      </c>
      <c r="Z17" s="575" t="str">
        <f>IF(OR(SD_Details!BA11="",BA17&gt;0),"",SD_Details!BA11)</f>
        <v/>
      </c>
      <c r="AA17" s="308" t="str">
        <f>IF(OR(SD_Details!AT11="",BA17&gt;0),"",SD_Details!AT11)</f>
        <v/>
      </c>
      <c r="AB17" s="575" t="str">
        <f>IF(OR(SD_Details!BB11="",BA17&gt;0),"",SD_Details!BB11)</f>
        <v/>
      </c>
      <c r="AC17" s="308" t="str">
        <f>IF(OR(SD_Details!AU11="",BA17&gt;0),"",SD_Details!AU11)</f>
        <v/>
      </c>
      <c r="AD17" s="575" t="str">
        <f>IF(OR(SD_Details!BC11="",BA17&gt;0),"",SD_Details!BC11)</f>
        <v/>
      </c>
      <c r="AE17" s="308" t="str">
        <f>IF(OR(SD_Details!R11="",$BA17&gt;0),"",SD_Details!R11)</f>
        <v/>
      </c>
      <c r="AF17" s="305" t="str">
        <f>IF(OR(SD_Details!S11="",$BA17&gt;0),"",SD_Details!S11)</f>
        <v/>
      </c>
      <c r="AG17" s="577" t="str">
        <f>IF(OR(SD_Details!T11="",$BA17&gt;0),"",SD_Details!T11)</f>
        <v/>
      </c>
      <c r="AH17" s="306" t="str">
        <f>IF(OR(SD_Details!U11="",$BA17&gt;0),"",SD_Details!U11)</f>
        <v/>
      </c>
      <c r="AI17" s="308" t="str">
        <f>IF(OR(SD_Details!V11="",$BA17&gt;0),"",SD_Details!V11)</f>
        <v/>
      </c>
      <c r="AJ17" s="573" t="str">
        <f>IF(OR(SD_Details!W11="",$BA17&gt;0),"",SD_Details!W11)</f>
        <v/>
      </c>
      <c r="AK17" s="305" t="str">
        <f>IF(OR(SD_Details!X11="",$BA17&gt;0),"",SD_Details!X11)</f>
        <v/>
      </c>
      <c r="AL17" s="308" t="str">
        <f>IF(OR(SD_Details!Y11="",$BA17&gt;0),"",SD_Details!Y11)</f>
        <v/>
      </c>
      <c r="AM17" s="573" t="str">
        <f>IF(OR(SD_Details!Z11="",$BA17&gt;0),"",SD_Details!Z11)</f>
        <v/>
      </c>
      <c r="AN17" s="578" t="str">
        <f>IF(OR(SD_Details!AA11="",$BA17&gt;0),"",SD_Details!AA11)</f>
        <v/>
      </c>
      <c r="AO17" s="577" t="str">
        <f>IF(OR(SD_Details!AK11="",$BA17&gt;0),"",SD_Details!AK11)</f>
        <v/>
      </c>
      <c r="AP17" s="579" t="str">
        <f>IF(OR(SD_Details!AL11="",$BA17&gt;0),"",SD_Details!AL11)</f>
        <v/>
      </c>
      <c r="AQ17" s="578" t="str">
        <f>IF(OR(SD_Details!AM11="",$BA17&gt;0),"",SD_Details!AM11)</f>
        <v/>
      </c>
      <c r="AR17" s="308" t="str">
        <f>IF(OR(SD_Details!AB11="",$BA17&gt;0),"",SD_Details!AB11)</f>
        <v/>
      </c>
      <c r="AS17" s="307" t="str">
        <f>IF(OR(SD_Details!AC11="",$BA17&gt;0),"",SD_Details!AC11)</f>
        <v/>
      </c>
      <c r="AT17" s="307" t="str">
        <f>IF(OR(SD_Details!AD11="",$BA17&gt;0),"",SD_Details!AD11)</f>
        <v/>
      </c>
      <c r="AU17" s="307" t="str">
        <f>IF(OR(SD_Details!AE11="",$BA17&gt;0),"",SD_Details!AE11)</f>
        <v/>
      </c>
      <c r="AV17" s="307" t="str">
        <f>IF(OR(SD_Details!AF11="",$BA17&gt;0),"",SD_Details!AF11)</f>
        <v/>
      </c>
      <c r="AW17" s="307" t="str">
        <f>IF(OR(SD_Details!AG11="",$BA17&gt;0),"",SD_Details!AG11)</f>
        <v/>
      </c>
      <c r="AX17" s="305" t="str">
        <f>IF(OR(SD_Details!AH11="",$BA17&gt;0),"",SD_Details!AH11)</f>
        <v/>
      </c>
      <c r="AY17" s="292" t="str">
        <f>IF(OR(SD_Details!AI11="",$BA17&gt;0),"",SD_Details!AI11)</f>
        <v/>
      </c>
      <c r="AZ17" s="297" t="str">
        <f>IF(OR(SD_Details!AJ11="",$BA17&gt;0),"",SD_Details!AJ11)</f>
        <v/>
      </c>
      <c r="BA17" s="297" t="str">
        <f>IF(OR(SD_Details!BK11="",SD_Details!BK11=12),"",IF(SD_Details!BK11=13,1,IF(SD_Details!BK11=7,2,IF(SD_Details!BK11=2,3,IF(SD_Details!BK11=1,4,IF(SD_Details!BK11=30,5,IF(SD_Details!BK11=28,7,IF(AND($BB$16=1,'Configs &amp; Procedures'!$F$44&gt;0),6,IF(SD_Details!BK11=15,8,IF(SD_Details!BK11=0,0,9))))))))))</f>
        <v/>
      </c>
      <c r="BB17" s="855"/>
      <c r="BC17" s="855"/>
      <c r="BD17" s="855"/>
      <c r="BE17" s="855"/>
      <c r="BF17" s="855"/>
      <c r="BG17" s="855"/>
      <c r="BH17" s="855"/>
      <c r="BI17" s="855"/>
      <c r="BJ17" s="855"/>
      <c r="BK17" s="855"/>
      <c r="BL17" s="855"/>
      <c r="BM17" s="855"/>
      <c r="BN17" s="855"/>
      <c r="BO17" s="855"/>
      <c r="BP17" s="855"/>
      <c r="BQ17" s="855"/>
      <c r="BR17" s="855"/>
      <c r="BS17" s="855"/>
      <c r="BT17" s="855"/>
      <c r="BU17" s="855"/>
      <c r="BV17" s="855"/>
      <c r="BW17" s="855"/>
      <c r="BX17" s="855"/>
      <c r="BY17" s="855"/>
      <c r="BZ17" s="855"/>
    </row>
    <row r="18" spans="2:78">
      <c r="B18" s="566">
        <v>3</v>
      </c>
      <c r="C18" s="1180" t="str">
        <f t="shared" si="5"/>
        <v/>
      </c>
      <c r="D18" s="574" t="str">
        <f>IF(SD_Details!I12="","",SD_Details!I12)</f>
        <v/>
      </c>
      <c r="E18" s="573" t="str">
        <f>IF(SD_Details!J12="","",SD_Details!J12)</f>
        <v/>
      </c>
      <c r="F18" s="307" t="str">
        <f>IF(SD_Details!K12="","",SD_Details!K12)</f>
        <v/>
      </c>
      <c r="G18" s="292" t="str">
        <f>IF(SD_Details!L12="","",SD_Details!L12)</f>
        <v/>
      </c>
      <c r="H18" s="308" t="str">
        <f>IF(OR(SD_Details!M12="",$BA18&gt;0),"",SD_Details!M12)</f>
        <v/>
      </c>
      <c r="I18" s="292" t="str">
        <f>IF(OR(SD_Details!N12="",$BA18&gt;0),"",SD_Details!N12)</f>
        <v/>
      </c>
      <c r="J18" s="308" t="str">
        <f>IF(OR(SD_Details!AN12="",BA18&gt;0),"",SD_Details!AN12)</f>
        <v/>
      </c>
      <c r="K18" s="575" t="str">
        <f>IF(OR(SD_Details!AV12="",BA18&gt;0),"",SD_Details!AV12)</f>
        <v/>
      </c>
      <c r="L18" s="852" t="str">
        <f>IF(OR(SD_Details!BD12="",BA18&gt;0),"",SD_Details!BD12)</f>
        <v/>
      </c>
      <c r="M18" s="308" t="str">
        <f>IF(OR(SD_Details!AO12="",BA18&gt;0),"",SD_Details!AO12)</f>
        <v/>
      </c>
      <c r="N18" s="575" t="str">
        <f>IF(OR(SD_Details!AW12="",BA18&gt;0),"",SD_Details!AW12)</f>
        <v/>
      </c>
      <c r="O18" s="576" t="str">
        <f>IF(OR(SD_Details!BE12="",BA18&gt;0),"",SD_Details!BE12)</f>
        <v/>
      </c>
      <c r="P18" s="308" t="str">
        <f>IF(OR(SD_Details!AP12="",BA18&gt;0),"",SD_Details!AP12)</f>
        <v/>
      </c>
      <c r="Q18" s="575" t="str">
        <f>IF(OR(SD_Details!AX12="",BA18&gt;0),"",SD_Details!AX12)</f>
        <v/>
      </c>
      <c r="R18" s="576" t="str">
        <f>IF(OR(SD_Details!BF12="",BA18&gt;0),"",SD_Details!BF12)</f>
        <v/>
      </c>
      <c r="S18" s="308" t="str">
        <f>IF(OR(SD_Details!AQ12="",BA18&gt;0),"",SD_Details!AQ12)</f>
        <v/>
      </c>
      <c r="T18" s="575" t="str">
        <f>IF(OR(SD_Details!AY12="",BA18&gt;0),"",SD_Details!AY12)</f>
        <v/>
      </c>
      <c r="U18" s="576" t="str">
        <f>IF(OR(SD_Details!BG12="",BA18&gt;0),"",SD_Details!BG12)</f>
        <v/>
      </c>
      <c r="V18" s="308" t="str">
        <f>IF(OR(SD_Details!AR12="",BA18&gt;0),"",SD_Details!AR12)</f>
        <v/>
      </c>
      <c r="W18" s="575" t="str">
        <f>IF(OR(SD_Details!AZ12="",BA18&gt;0),"",SD_Details!AZ12)</f>
        <v/>
      </c>
      <c r="X18" s="576" t="str">
        <f>IF(OR(SD_Details!BH12="",BA18&gt;0),"",SD_Details!BH12)</f>
        <v/>
      </c>
      <c r="Y18" s="308" t="str">
        <f>IF(OR(SD_Details!AS12="",BA18&gt;0),"",SD_Details!AS12)</f>
        <v/>
      </c>
      <c r="Z18" s="575" t="str">
        <f>IF(OR(SD_Details!BA12="",BA18&gt;0),"",SD_Details!BA12)</f>
        <v/>
      </c>
      <c r="AA18" s="308" t="str">
        <f>IF(OR(SD_Details!AT12="",BA18&gt;0),"",SD_Details!AT12)</f>
        <v/>
      </c>
      <c r="AB18" s="575" t="str">
        <f>IF(OR(SD_Details!BB12="",BA18&gt;0),"",SD_Details!BB12)</f>
        <v/>
      </c>
      <c r="AC18" s="308" t="str">
        <f>IF(OR(SD_Details!AU12="",BA18&gt;0),"",SD_Details!AU12)</f>
        <v/>
      </c>
      <c r="AD18" s="575" t="str">
        <f>IF(OR(SD_Details!BC12="",BA18&gt;0),"",SD_Details!BC12)</f>
        <v/>
      </c>
      <c r="AE18" s="308" t="str">
        <f>IF(OR(SD_Details!R12="",$BA18&gt;0),"",SD_Details!R12)</f>
        <v/>
      </c>
      <c r="AF18" s="305" t="str">
        <f>IF(OR(SD_Details!S12="",$BA18&gt;0),"",SD_Details!S12)</f>
        <v/>
      </c>
      <c r="AG18" s="577" t="str">
        <f>IF(OR(SD_Details!T12="",$BA18&gt;0),"",SD_Details!T12)</f>
        <v/>
      </c>
      <c r="AH18" s="306" t="str">
        <f>IF(OR(SD_Details!U12="",$BA18&gt;0),"",SD_Details!U12)</f>
        <v/>
      </c>
      <c r="AI18" s="308" t="str">
        <f>IF(OR(SD_Details!V12="",$BA18&gt;0),"",SD_Details!V12)</f>
        <v/>
      </c>
      <c r="AJ18" s="573" t="str">
        <f>IF(OR(SD_Details!W12="",$BA18&gt;0),"",SD_Details!W12)</f>
        <v/>
      </c>
      <c r="AK18" s="305" t="str">
        <f>IF(OR(SD_Details!X12="",$BA18&gt;0),"",SD_Details!X12)</f>
        <v/>
      </c>
      <c r="AL18" s="308" t="str">
        <f>IF(OR(SD_Details!Y12="",$BA18&gt;0),"",SD_Details!Y12)</f>
        <v/>
      </c>
      <c r="AM18" s="573" t="str">
        <f>IF(OR(SD_Details!Z12="",$BA18&gt;0),"",SD_Details!Z12)</f>
        <v/>
      </c>
      <c r="AN18" s="578" t="str">
        <f>IF(OR(SD_Details!AA12="",$BA18&gt;0),"",SD_Details!AA12)</f>
        <v/>
      </c>
      <c r="AO18" s="577" t="str">
        <f>IF(OR(SD_Details!AK12="",$BA18&gt;0),"",SD_Details!AK12)</f>
        <v/>
      </c>
      <c r="AP18" s="579" t="str">
        <f>IF(OR(SD_Details!AL12="",$BA18&gt;0),"",SD_Details!AL12)</f>
        <v/>
      </c>
      <c r="AQ18" s="578" t="str">
        <f>IF(OR(SD_Details!AM12="",$BA18&gt;0),"",SD_Details!AM12)</f>
        <v/>
      </c>
      <c r="AR18" s="308" t="str">
        <f>IF(OR(SD_Details!AB12="",$BA18&gt;0),"",SD_Details!AB12)</f>
        <v/>
      </c>
      <c r="AS18" s="307" t="str">
        <f>IF(OR(SD_Details!AC12="",$BA18&gt;0),"",SD_Details!AC12)</f>
        <v/>
      </c>
      <c r="AT18" s="307" t="str">
        <f>IF(OR(SD_Details!AD12="",$BA18&gt;0),"",SD_Details!AD12)</f>
        <v/>
      </c>
      <c r="AU18" s="307" t="str">
        <f>IF(OR(SD_Details!AE12="",$BA18&gt;0),"",SD_Details!AE12)</f>
        <v/>
      </c>
      <c r="AV18" s="307" t="str">
        <f>IF(OR(SD_Details!AF12="",$BA18&gt;0),"",SD_Details!AF12)</f>
        <v/>
      </c>
      <c r="AW18" s="307" t="str">
        <f>IF(OR(SD_Details!AG12="",$BA18&gt;0),"",SD_Details!AG12)</f>
        <v/>
      </c>
      <c r="AX18" s="305" t="str">
        <f>IF(OR(SD_Details!AH12="",$BA18&gt;0),"",SD_Details!AH12)</f>
        <v/>
      </c>
      <c r="AY18" s="292" t="str">
        <f>IF(OR(SD_Details!AI12="",$BA18&gt;0),"",SD_Details!AI12)</f>
        <v/>
      </c>
      <c r="AZ18" s="297" t="str">
        <f>IF(OR(SD_Details!AJ12="",$BA18&gt;0),"",SD_Details!AJ12)</f>
        <v/>
      </c>
      <c r="BA18" s="297" t="str">
        <f>IF(OR(SD_Details!BK12="",SD_Details!BK12=12),"",IF(SD_Details!BK12=13,1,IF(SD_Details!BK12=7,2,IF(SD_Details!BK12=2,3,IF(SD_Details!BK12=1,4,IF(SD_Details!BK12=30,5,IF(SD_Details!BK12=28,7,IF(AND($BB$16=1,'Configs &amp; Procedures'!$F$44&gt;0),6,IF(SD_Details!BK12=15,8,IF(SD_Details!BK12=0,0,9))))))))))</f>
        <v/>
      </c>
      <c r="BB18" s="855"/>
      <c r="BC18" s="855"/>
      <c r="BD18" s="855"/>
      <c r="BE18" s="855"/>
      <c r="BF18" s="855"/>
      <c r="BG18" s="855"/>
      <c r="BH18" s="855"/>
      <c r="BI18" s="855"/>
      <c r="BJ18" s="855"/>
      <c r="BK18" s="855"/>
      <c r="BL18" s="855"/>
      <c r="BM18" s="855"/>
      <c r="BN18" s="855"/>
      <c r="BO18" s="855"/>
      <c r="BP18" s="855"/>
      <c r="BQ18" s="855"/>
      <c r="BR18" s="855"/>
      <c r="BS18" s="855"/>
      <c r="BT18" s="855"/>
      <c r="BU18" s="855"/>
      <c r="BV18" s="855"/>
      <c r="BW18" s="855"/>
      <c r="BX18" s="855"/>
      <c r="BY18" s="855"/>
      <c r="BZ18" s="855"/>
    </row>
    <row r="19" spans="2:78">
      <c r="B19" s="572">
        <v>4</v>
      </c>
      <c r="C19" s="1179" t="str">
        <f t="shared" si="5"/>
        <v/>
      </c>
      <c r="D19" s="574" t="str">
        <f>IF(SD_Details!I13="","",SD_Details!I13)</f>
        <v/>
      </c>
      <c r="E19" s="573" t="str">
        <f>IF(SD_Details!J13="","",SD_Details!J13)</f>
        <v/>
      </c>
      <c r="F19" s="307" t="str">
        <f>IF(SD_Details!K13="","",SD_Details!K13)</f>
        <v/>
      </c>
      <c r="G19" s="292" t="str">
        <f>IF(SD_Details!L13="","",SD_Details!L13)</f>
        <v/>
      </c>
      <c r="H19" s="308" t="str">
        <f>IF(OR(SD_Details!M13="",$BA19&gt;0),"",SD_Details!M13)</f>
        <v/>
      </c>
      <c r="I19" s="292" t="str">
        <f>IF(OR(SD_Details!N13="",$BA19&gt;0),"",SD_Details!N13)</f>
        <v/>
      </c>
      <c r="J19" s="308" t="str">
        <f>IF(OR(SD_Details!AN13="",BA19&gt;0),"",SD_Details!AN13)</f>
        <v/>
      </c>
      <c r="K19" s="575" t="str">
        <f>IF(OR(SD_Details!AV13="",BA19&gt;0),"",SD_Details!AV13)</f>
        <v/>
      </c>
      <c r="L19" s="852" t="str">
        <f>IF(OR(SD_Details!BD13="",BA19&gt;0),"",SD_Details!BD13)</f>
        <v/>
      </c>
      <c r="M19" s="308" t="str">
        <f>IF(OR(SD_Details!AO13="",BA19&gt;0),"",SD_Details!AO13)</f>
        <v/>
      </c>
      <c r="N19" s="575" t="str">
        <f>IF(OR(SD_Details!AW13="",BA19&gt;0),"",SD_Details!AW13)</f>
        <v/>
      </c>
      <c r="O19" s="576" t="str">
        <f>IF(OR(SD_Details!BE13="",BA19&gt;0),"",SD_Details!BE13)</f>
        <v/>
      </c>
      <c r="P19" s="308" t="str">
        <f>IF(OR(SD_Details!AP13="",BA19&gt;0),"",SD_Details!AP13)</f>
        <v/>
      </c>
      <c r="Q19" s="575" t="str">
        <f>IF(OR(SD_Details!AX13="",BA19&gt;0),"",SD_Details!AX13)</f>
        <v/>
      </c>
      <c r="R19" s="576" t="str">
        <f>IF(OR(SD_Details!BF13="",BA19&gt;0),"",SD_Details!BF13)</f>
        <v/>
      </c>
      <c r="S19" s="308" t="str">
        <f>IF(OR(SD_Details!AQ13="",BA19&gt;0),"",SD_Details!AQ13)</f>
        <v/>
      </c>
      <c r="T19" s="575" t="str">
        <f>IF(OR(SD_Details!AY13="",BA19&gt;0),"",SD_Details!AY13)</f>
        <v/>
      </c>
      <c r="U19" s="576" t="str">
        <f>IF(OR(SD_Details!BG13="",BA19&gt;0),"",SD_Details!BG13)</f>
        <v/>
      </c>
      <c r="V19" s="308" t="str">
        <f>IF(OR(SD_Details!AR13="",BA19&gt;0),"",SD_Details!AR13)</f>
        <v/>
      </c>
      <c r="W19" s="575" t="str">
        <f>IF(OR(SD_Details!AZ13="",BA19&gt;0),"",SD_Details!AZ13)</f>
        <v/>
      </c>
      <c r="X19" s="576" t="str">
        <f>IF(OR(SD_Details!BH13="",BA19&gt;0),"",SD_Details!BH13)</f>
        <v/>
      </c>
      <c r="Y19" s="308" t="str">
        <f>IF(OR(SD_Details!AS13="",BA19&gt;0),"",SD_Details!AS13)</f>
        <v/>
      </c>
      <c r="Z19" s="575" t="str">
        <f>IF(OR(SD_Details!BA13="",BA19&gt;0),"",SD_Details!BA13)</f>
        <v/>
      </c>
      <c r="AA19" s="308" t="str">
        <f>IF(OR(SD_Details!AT13="",BA19&gt;0),"",SD_Details!AT13)</f>
        <v/>
      </c>
      <c r="AB19" s="575" t="str">
        <f>IF(OR(SD_Details!BB13="",BA19&gt;0),"",SD_Details!BB13)</f>
        <v/>
      </c>
      <c r="AC19" s="308" t="str">
        <f>IF(OR(SD_Details!AU13="",BA19&gt;0),"",SD_Details!AU13)</f>
        <v/>
      </c>
      <c r="AD19" s="575" t="str">
        <f>IF(OR(SD_Details!BC13="",BA19&gt;0),"",SD_Details!BC13)</f>
        <v/>
      </c>
      <c r="AE19" s="308" t="str">
        <f>IF(OR(SD_Details!R13="",$BA19&gt;0),"",SD_Details!R13)</f>
        <v/>
      </c>
      <c r="AF19" s="305" t="str">
        <f>IF(OR(SD_Details!S13="",$BA19&gt;0),"",SD_Details!S13)</f>
        <v/>
      </c>
      <c r="AG19" s="577" t="str">
        <f>IF(OR(SD_Details!T13="",$BA19&gt;0),"",SD_Details!T13)</f>
        <v/>
      </c>
      <c r="AH19" s="306" t="str">
        <f>IF(OR(SD_Details!U13="",$BA19&gt;0),"",SD_Details!U13)</f>
        <v/>
      </c>
      <c r="AI19" s="308" t="str">
        <f>IF(OR(SD_Details!V13="",$BA19&gt;0),"",SD_Details!V13)</f>
        <v/>
      </c>
      <c r="AJ19" s="573" t="str">
        <f>IF(OR(SD_Details!W13="",$BA19&gt;0),"",SD_Details!W13)</f>
        <v/>
      </c>
      <c r="AK19" s="305" t="str">
        <f>IF(OR(SD_Details!X13="",$BA19&gt;0),"",SD_Details!X13)</f>
        <v/>
      </c>
      <c r="AL19" s="308" t="str">
        <f>IF(OR(SD_Details!Y13="",$BA19&gt;0),"",SD_Details!Y13)</f>
        <v/>
      </c>
      <c r="AM19" s="573" t="str">
        <f>IF(OR(SD_Details!Z13="",$BA19&gt;0),"",SD_Details!Z13)</f>
        <v/>
      </c>
      <c r="AN19" s="578" t="str">
        <f>IF(OR(SD_Details!AA13="",$BA19&gt;0),"",SD_Details!AA13)</f>
        <v/>
      </c>
      <c r="AO19" s="577" t="str">
        <f>IF(OR(SD_Details!AK13="",$BA19&gt;0),"",SD_Details!AK13)</f>
        <v/>
      </c>
      <c r="AP19" s="579" t="str">
        <f>IF(OR(SD_Details!AL13="",$BA19&gt;0),"",SD_Details!AL13)</f>
        <v/>
      </c>
      <c r="AQ19" s="578" t="str">
        <f>IF(OR(SD_Details!AM13="",$BA19&gt;0),"",SD_Details!AM13)</f>
        <v/>
      </c>
      <c r="AR19" s="308" t="str">
        <f>IF(OR(SD_Details!AB13="",$BA19&gt;0),"",SD_Details!AB13)</f>
        <v/>
      </c>
      <c r="AS19" s="307" t="str">
        <f>IF(OR(SD_Details!AC13="",$BA19&gt;0),"",SD_Details!AC13)</f>
        <v/>
      </c>
      <c r="AT19" s="307" t="str">
        <f>IF(OR(SD_Details!AD13="",$BA19&gt;0),"",SD_Details!AD13)</f>
        <v/>
      </c>
      <c r="AU19" s="307" t="str">
        <f>IF(OR(SD_Details!AE13="",$BA19&gt;0),"",SD_Details!AE13)</f>
        <v/>
      </c>
      <c r="AV19" s="307" t="str">
        <f>IF(OR(SD_Details!AF13="",$BA19&gt;0),"",SD_Details!AF13)</f>
        <v/>
      </c>
      <c r="AW19" s="307" t="str">
        <f>IF(OR(SD_Details!AG13="",$BA19&gt;0),"",SD_Details!AG13)</f>
        <v/>
      </c>
      <c r="AX19" s="305" t="str">
        <f>IF(OR(SD_Details!AH13="",$BA19&gt;0),"",SD_Details!AH13)</f>
        <v/>
      </c>
      <c r="AY19" s="292" t="str">
        <f>IF(OR(SD_Details!AI13="",$BA19&gt;0),"",SD_Details!AI13)</f>
        <v/>
      </c>
      <c r="AZ19" s="297" t="str">
        <f>IF(OR(SD_Details!AJ13="",$BA19&gt;0),"",SD_Details!AJ13)</f>
        <v/>
      </c>
      <c r="BA19" s="297" t="str">
        <f>IF(OR(SD_Details!BK13="",SD_Details!BK13=12),"",IF(SD_Details!BK13=13,1,IF(SD_Details!BK13=7,2,IF(SD_Details!BK13=2,3,IF(SD_Details!BK13=1,4,IF(SD_Details!BK13=30,5,IF(SD_Details!BK13=28,7,IF(AND($BB$16=1,'Configs &amp; Procedures'!$F$44&gt;0),6,IF(SD_Details!BK13=15,8,IF(SD_Details!BK13=0,0,9))))))))))</f>
        <v/>
      </c>
      <c r="BB19" s="855"/>
      <c r="BC19" s="855"/>
      <c r="BD19" s="855"/>
      <c r="BE19" s="855"/>
      <c r="BF19" s="855"/>
      <c r="BG19" s="855"/>
      <c r="BH19" s="855"/>
      <c r="BI19" s="855"/>
      <c r="BJ19" s="855"/>
      <c r="BK19" s="855"/>
      <c r="BL19" s="855"/>
      <c r="BM19" s="855"/>
      <c r="BN19" s="855"/>
      <c r="BO19" s="855"/>
      <c r="BP19" s="855"/>
      <c r="BQ19" s="855"/>
      <c r="BR19" s="855"/>
      <c r="BS19" s="855"/>
      <c r="BT19" s="855"/>
      <c r="BU19" s="855"/>
      <c r="BV19" s="855"/>
      <c r="BW19" s="855"/>
      <c r="BX19" s="855"/>
      <c r="BY19" s="855"/>
      <c r="BZ19" s="855"/>
    </row>
    <row r="20" spans="2:78">
      <c r="B20" s="566">
        <v>5</v>
      </c>
      <c r="C20" s="1180" t="str">
        <f t="shared" si="5"/>
        <v/>
      </c>
      <c r="D20" s="574" t="str">
        <f>IF(SD_Details!I14="","",SD_Details!I14)</f>
        <v/>
      </c>
      <c r="E20" s="573" t="str">
        <f>IF(SD_Details!J14="","",SD_Details!J14)</f>
        <v/>
      </c>
      <c r="F20" s="307" t="str">
        <f>IF(SD_Details!K14="","",SD_Details!K14)</f>
        <v/>
      </c>
      <c r="G20" s="292" t="str">
        <f>IF(SD_Details!L14="","",SD_Details!L14)</f>
        <v/>
      </c>
      <c r="H20" s="308" t="str">
        <f>IF(OR(SD_Details!M14="",$BA20&gt;0),"",SD_Details!M14)</f>
        <v/>
      </c>
      <c r="I20" s="292" t="str">
        <f>IF(OR(SD_Details!N14="",$BA20&gt;0),"",SD_Details!N14)</f>
        <v/>
      </c>
      <c r="J20" s="308" t="str">
        <f>IF(OR(SD_Details!AN14="",BA20&gt;0),"",SD_Details!AN14)</f>
        <v/>
      </c>
      <c r="K20" s="575" t="str">
        <f>IF(OR(SD_Details!AV14="",BA20&gt;0),"",SD_Details!AV14)</f>
        <v/>
      </c>
      <c r="L20" s="852" t="str">
        <f>IF(OR(SD_Details!BD14="",BA20&gt;0),"",SD_Details!BD14)</f>
        <v/>
      </c>
      <c r="M20" s="308" t="str">
        <f>IF(OR(SD_Details!AO14="",BA20&gt;0),"",SD_Details!AO14)</f>
        <v/>
      </c>
      <c r="N20" s="575" t="str">
        <f>IF(OR(SD_Details!AW14="",BA20&gt;0),"",SD_Details!AW14)</f>
        <v/>
      </c>
      <c r="O20" s="576" t="str">
        <f>IF(OR(SD_Details!BE14="",BA20&gt;0),"",SD_Details!BE14)</f>
        <v/>
      </c>
      <c r="P20" s="308" t="str">
        <f>IF(OR(SD_Details!AP14="",BA20&gt;0),"",SD_Details!AP14)</f>
        <v/>
      </c>
      <c r="Q20" s="575" t="str">
        <f>IF(OR(SD_Details!AX14="",BA20&gt;0),"",SD_Details!AX14)</f>
        <v/>
      </c>
      <c r="R20" s="576" t="str">
        <f>IF(OR(SD_Details!BF14="",BA20&gt;0),"",SD_Details!BF14)</f>
        <v/>
      </c>
      <c r="S20" s="308" t="str">
        <f>IF(OR(SD_Details!AQ14="",BA20&gt;0),"",SD_Details!AQ14)</f>
        <v/>
      </c>
      <c r="T20" s="575" t="str">
        <f>IF(OR(SD_Details!AY14="",BA20&gt;0),"",SD_Details!AY14)</f>
        <v/>
      </c>
      <c r="U20" s="576" t="str">
        <f>IF(OR(SD_Details!BG14="",BA20&gt;0),"",SD_Details!BG14)</f>
        <v/>
      </c>
      <c r="V20" s="308" t="str">
        <f>IF(OR(SD_Details!AR14="",BA20&gt;0),"",SD_Details!AR14)</f>
        <v/>
      </c>
      <c r="W20" s="575" t="str">
        <f>IF(OR(SD_Details!AZ14="",BA20&gt;0),"",SD_Details!AZ14)</f>
        <v/>
      </c>
      <c r="X20" s="576" t="str">
        <f>IF(OR(SD_Details!BH14="",BA20&gt;0),"",SD_Details!BH14)</f>
        <v/>
      </c>
      <c r="Y20" s="308" t="str">
        <f>IF(OR(SD_Details!AS14="",BA20&gt;0),"",SD_Details!AS14)</f>
        <v/>
      </c>
      <c r="Z20" s="575" t="str">
        <f>IF(OR(SD_Details!BA14="",BA20&gt;0),"",SD_Details!BA14)</f>
        <v/>
      </c>
      <c r="AA20" s="308" t="str">
        <f>IF(OR(SD_Details!AT14="",BA20&gt;0),"",SD_Details!AT14)</f>
        <v/>
      </c>
      <c r="AB20" s="575" t="str">
        <f>IF(OR(SD_Details!BB14="",BA20&gt;0),"",SD_Details!BB14)</f>
        <v/>
      </c>
      <c r="AC20" s="308" t="str">
        <f>IF(OR(SD_Details!AU14="",BA20&gt;0),"",SD_Details!AU14)</f>
        <v/>
      </c>
      <c r="AD20" s="575" t="str">
        <f>IF(OR(SD_Details!BC14="",BA20&gt;0),"",SD_Details!BC14)</f>
        <v/>
      </c>
      <c r="AE20" s="308" t="str">
        <f>IF(OR(SD_Details!R14="",$BA20&gt;0),"",SD_Details!R14)</f>
        <v/>
      </c>
      <c r="AF20" s="305" t="str">
        <f>IF(OR(SD_Details!S14="",$BA20&gt;0),"",SD_Details!S14)</f>
        <v/>
      </c>
      <c r="AG20" s="577" t="str">
        <f>IF(OR(SD_Details!T14="",$BA20&gt;0),"",SD_Details!T14)</f>
        <v/>
      </c>
      <c r="AH20" s="306" t="str">
        <f>IF(OR(SD_Details!U14="",$BA20&gt;0),"",SD_Details!U14)</f>
        <v/>
      </c>
      <c r="AI20" s="308" t="str">
        <f>IF(OR(SD_Details!V14="",$BA20&gt;0),"",SD_Details!V14)</f>
        <v/>
      </c>
      <c r="AJ20" s="573" t="str">
        <f>IF(OR(SD_Details!W14="",$BA20&gt;0),"",SD_Details!W14)</f>
        <v/>
      </c>
      <c r="AK20" s="305" t="str">
        <f>IF(OR(SD_Details!X14="",$BA20&gt;0),"",SD_Details!X14)</f>
        <v/>
      </c>
      <c r="AL20" s="308" t="str">
        <f>IF(OR(SD_Details!Y14="",$BA20&gt;0),"",SD_Details!Y14)</f>
        <v/>
      </c>
      <c r="AM20" s="573" t="str">
        <f>IF(OR(SD_Details!Z14="",$BA20&gt;0),"",SD_Details!Z14)</f>
        <v/>
      </c>
      <c r="AN20" s="578" t="str">
        <f>IF(OR(SD_Details!AA14="",$BA20&gt;0),"",SD_Details!AA14)</f>
        <v/>
      </c>
      <c r="AO20" s="577" t="str">
        <f>IF(OR(SD_Details!AK14="",$BA20&gt;0),"",SD_Details!AK14)</f>
        <v/>
      </c>
      <c r="AP20" s="579" t="str">
        <f>IF(OR(SD_Details!AL14="",$BA20&gt;0),"",SD_Details!AL14)</f>
        <v/>
      </c>
      <c r="AQ20" s="578" t="str">
        <f>IF(OR(SD_Details!AM14="",$BA20&gt;0),"",SD_Details!AM14)</f>
        <v/>
      </c>
      <c r="AR20" s="308" t="str">
        <f>IF(OR(SD_Details!AB14="",$BA20&gt;0),"",SD_Details!AB14)</f>
        <v/>
      </c>
      <c r="AS20" s="307" t="str">
        <f>IF(OR(SD_Details!AC14="",$BA20&gt;0),"",SD_Details!AC14)</f>
        <v/>
      </c>
      <c r="AT20" s="307" t="str">
        <f>IF(OR(SD_Details!AD14="",$BA20&gt;0),"",SD_Details!AD14)</f>
        <v/>
      </c>
      <c r="AU20" s="307" t="str">
        <f>IF(OR(SD_Details!AE14="",$BA20&gt;0),"",SD_Details!AE14)</f>
        <v/>
      </c>
      <c r="AV20" s="307" t="str">
        <f>IF(OR(SD_Details!AF14="",$BA20&gt;0),"",SD_Details!AF14)</f>
        <v/>
      </c>
      <c r="AW20" s="307" t="str">
        <f>IF(OR(SD_Details!AG14="",$BA20&gt;0),"",SD_Details!AG14)</f>
        <v/>
      </c>
      <c r="AX20" s="305" t="str">
        <f>IF(OR(SD_Details!AH14="",$BA20&gt;0),"",SD_Details!AH14)</f>
        <v/>
      </c>
      <c r="AY20" s="292" t="str">
        <f>IF(OR(SD_Details!AI14="",$BA20&gt;0),"",SD_Details!AI14)</f>
        <v/>
      </c>
      <c r="AZ20" s="297" t="str">
        <f>IF(OR(SD_Details!AJ14="",$BA20&gt;0),"",SD_Details!AJ14)</f>
        <v/>
      </c>
      <c r="BA20" s="297" t="str">
        <f>IF(OR(SD_Details!BK14="",SD_Details!BK14=12),"",IF(SD_Details!BK14=13,1,IF(SD_Details!BK14=7,2,IF(SD_Details!BK14=2,3,IF(SD_Details!BK14=1,4,IF(SD_Details!BK14=30,5,IF(SD_Details!BK14=28,7,IF(AND($BB$16=1,'Configs &amp; Procedures'!$F$44&gt;0),6,IF(SD_Details!BK14=15,8,IF(SD_Details!BK14=0,0,9))))))))))</f>
        <v/>
      </c>
      <c r="BB20" s="855"/>
      <c r="BC20" s="855"/>
      <c r="BD20" s="855"/>
      <c r="BE20" s="855"/>
      <c r="BF20" s="855"/>
      <c r="BG20" s="855"/>
      <c r="BH20" s="855"/>
      <c r="BI20" s="855"/>
      <c r="BJ20" s="855"/>
      <c r="BK20" s="855"/>
      <c r="BL20" s="855"/>
      <c r="BM20" s="855"/>
      <c r="BN20" s="855"/>
      <c r="BO20" s="855"/>
      <c r="BP20" s="855"/>
      <c r="BQ20" s="855"/>
      <c r="BR20" s="855"/>
      <c r="BS20" s="855"/>
      <c r="BT20" s="855"/>
      <c r="BU20" s="855"/>
      <c r="BV20" s="855"/>
      <c r="BW20" s="855"/>
      <c r="BX20" s="855"/>
      <c r="BY20" s="855"/>
      <c r="BZ20" s="855"/>
    </row>
    <row r="21" spans="2:78">
      <c r="B21" s="572">
        <v>6</v>
      </c>
      <c r="C21" s="1179" t="str">
        <f t="shared" si="5"/>
        <v/>
      </c>
      <c r="D21" s="574" t="str">
        <f>IF(SD_Details!I15="","",SD_Details!I15)</f>
        <v/>
      </c>
      <c r="E21" s="573" t="str">
        <f>IF(SD_Details!J15="","",SD_Details!J15)</f>
        <v/>
      </c>
      <c r="F21" s="307" t="str">
        <f>IF(SD_Details!K15="","",SD_Details!K15)</f>
        <v/>
      </c>
      <c r="G21" s="292" t="str">
        <f>IF(SD_Details!L15="","",SD_Details!L15)</f>
        <v/>
      </c>
      <c r="H21" s="308" t="str">
        <f>IF(OR(SD_Details!M15="",$BA21&gt;0),"",SD_Details!M15)</f>
        <v/>
      </c>
      <c r="I21" s="292" t="str">
        <f>IF(OR(SD_Details!N15="",$BA21&gt;0),"",SD_Details!N15)</f>
        <v/>
      </c>
      <c r="J21" s="308" t="str">
        <f>IF(OR(SD_Details!AN15="",BA21&gt;0),"",SD_Details!AN15)</f>
        <v/>
      </c>
      <c r="K21" s="575" t="str">
        <f>IF(OR(SD_Details!AV15="",BA21&gt;0),"",SD_Details!AV15)</f>
        <v/>
      </c>
      <c r="L21" s="852" t="str">
        <f>IF(OR(SD_Details!BD15="",BA21&gt;0),"",SD_Details!BD15)</f>
        <v/>
      </c>
      <c r="M21" s="308" t="str">
        <f>IF(OR(SD_Details!AO15="",BA21&gt;0),"",SD_Details!AO15)</f>
        <v/>
      </c>
      <c r="N21" s="575" t="str">
        <f>IF(OR(SD_Details!AW15="",BA21&gt;0),"",SD_Details!AW15)</f>
        <v/>
      </c>
      <c r="O21" s="576" t="str">
        <f>IF(OR(SD_Details!BE15="",BA21&gt;0),"",SD_Details!BE15)</f>
        <v/>
      </c>
      <c r="P21" s="308" t="str">
        <f>IF(OR(SD_Details!AP15="",BA21&gt;0),"",SD_Details!AP15)</f>
        <v/>
      </c>
      <c r="Q21" s="575" t="str">
        <f>IF(OR(SD_Details!AX15="",BA21&gt;0),"",SD_Details!AX15)</f>
        <v/>
      </c>
      <c r="R21" s="576" t="str">
        <f>IF(OR(SD_Details!BF15="",BA21&gt;0),"",SD_Details!BF15)</f>
        <v/>
      </c>
      <c r="S21" s="308" t="str">
        <f>IF(OR(SD_Details!AQ15="",BA21&gt;0),"",SD_Details!AQ15)</f>
        <v/>
      </c>
      <c r="T21" s="575" t="str">
        <f>IF(OR(SD_Details!AY15="",BA21&gt;0),"",SD_Details!AY15)</f>
        <v/>
      </c>
      <c r="U21" s="576" t="str">
        <f>IF(OR(SD_Details!BG15="",BA21&gt;0),"",SD_Details!BG15)</f>
        <v/>
      </c>
      <c r="V21" s="308" t="str">
        <f>IF(OR(SD_Details!AR15="",BA21&gt;0),"",SD_Details!AR15)</f>
        <v/>
      </c>
      <c r="W21" s="575" t="str">
        <f>IF(OR(SD_Details!AZ15="",BA21&gt;0),"",SD_Details!AZ15)</f>
        <v/>
      </c>
      <c r="X21" s="576" t="str">
        <f>IF(OR(SD_Details!BH15="",BA21&gt;0),"",SD_Details!BH15)</f>
        <v/>
      </c>
      <c r="Y21" s="308" t="str">
        <f>IF(OR(SD_Details!AS15="",BA21&gt;0),"",SD_Details!AS15)</f>
        <v/>
      </c>
      <c r="Z21" s="575" t="str">
        <f>IF(OR(SD_Details!BA15="",BA21&gt;0),"",SD_Details!BA15)</f>
        <v/>
      </c>
      <c r="AA21" s="308" t="str">
        <f>IF(OR(SD_Details!AT15="",BA21&gt;0),"",SD_Details!AT15)</f>
        <v/>
      </c>
      <c r="AB21" s="575" t="str">
        <f>IF(OR(SD_Details!BB15="",BA21&gt;0),"",SD_Details!BB15)</f>
        <v/>
      </c>
      <c r="AC21" s="308" t="str">
        <f>IF(OR(SD_Details!AU15="",BA21&gt;0),"",SD_Details!AU15)</f>
        <v/>
      </c>
      <c r="AD21" s="575" t="str">
        <f>IF(OR(SD_Details!BC15="",BA21&gt;0),"",SD_Details!BC15)</f>
        <v/>
      </c>
      <c r="AE21" s="308" t="str">
        <f>IF(OR(SD_Details!R15="",$BA21&gt;0),"",SD_Details!R15)</f>
        <v/>
      </c>
      <c r="AF21" s="305" t="str">
        <f>IF(OR(SD_Details!S15="",$BA21&gt;0),"",SD_Details!S15)</f>
        <v/>
      </c>
      <c r="AG21" s="577" t="str">
        <f>IF(OR(SD_Details!T15="",$BA21&gt;0),"",SD_Details!T15)</f>
        <v/>
      </c>
      <c r="AH21" s="306" t="str">
        <f>IF(OR(SD_Details!U15="",$BA21&gt;0),"",SD_Details!U15)</f>
        <v/>
      </c>
      <c r="AI21" s="308" t="str">
        <f>IF(OR(SD_Details!V15="",$BA21&gt;0),"",SD_Details!V15)</f>
        <v/>
      </c>
      <c r="AJ21" s="573" t="str">
        <f>IF(OR(SD_Details!W15="",$BA21&gt;0),"",SD_Details!W15)</f>
        <v/>
      </c>
      <c r="AK21" s="305" t="str">
        <f>IF(OR(SD_Details!X15="",$BA21&gt;0),"",SD_Details!X15)</f>
        <v/>
      </c>
      <c r="AL21" s="308" t="str">
        <f>IF(OR(SD_Details!Y15="",$BA21&gt;0),"",SD_Details!Y15)</f>
        <v/>
      </c>
      <c r="AM21" s="573" t="str">
        <f>IF(OR(SD_Details!Z15="",$BA21&gt;0),"",SD_Details!Z15)</f>
        <v/>
      </c>
      <c r="AN21" s="578" t="str">
        <f>IF(OR(SD_Details!AA15="",$BA21&gt;0),"",SD_Details!AA15)</f>
        <v/>
      </c>
      <c r="AO21" s="577" t="str">
        <f>IF(OR(SD_Details!AK15="",$BA21&gt;0),"",SD_Details!AK15)</f>
        <v/>
      </c>
      <c r="AP21" s="579" t="str">
        <f>IF(OR(SD_Details!AL15="",$BA21&gt;0),"",SD_Details!AL15)</f>
        <v/>
      </c>
      <c r="AQ21" s="578" t="str">
        <f>IF(OR(SD_Details!AM15="",$BA21&gt;0),"",SD_Details!AM15)</f>
        <v/>
      </c>
      <c r="AR21" s="308" t="str">
        <f>IF(OR(SD_Details!AB15="",$BA21&gt;0),"",SD_Details!AB15)</f>
        <v/>
      </c>
      <c r="AS21" s="307" t="str">
        <f>IF(OR(SD_Details!AC15="",$BA21&gt;0),"",SD_Details!AC15)</f>
        <v/>
      </c>
      <c r="AT21" s="307" t="str">
        <f>IF(OR(SD_Details!AD15="",$BA21&gt;0),"",SD_Details!AD15)</f>
        <v/>
      </c>
      <c r="AU21" s="307" t="str">
        <f>IF(OR(SD_Details!AE15="",$BA21&gt;0),"",SD_Details!AE15)</f>
        <v/>
      </c>
      <c r="AV21" s="307" t="str">
        <f>IF(OR(SD_Details!AF15="",$BA21&gt;0),"",SD_Details!AF15)</f>
        <v/>
      </c>
      <c r="AW21" s="307" t="str">
        <f>IF(OR(SD_Details!AG15="",$BA21&gt;0),"",SD_Details!AG15)</f>
        <v/>
      </c>
      <c r="AX21" s="305" t="str">
        <f>IF(OR(SD_Details!AH15="",$BA21&gt;0),"",SD_Details!AH15)</f>
        <v/>
      </c>
      <c r="AY21" s="292" t="str">
        <f>IF(OR(SD_Details!AI15="",$BA21&gt;0),"",SD_Details!AI15)</f>
        <v/>
      </c>
      <c r="AZ21" s="297" t="str">
        <f>IF(OR(SD_Details!AJ15="",$BA21&gt;0),"",SD_Details!AJ15)</f>
        <v/>
      </c>
      <c r="BA21" s="297" t="str">
        <f>IF(OR(SD_Details!BK15="",SD_Details!BK15=12),"",IF(SD_Details!BK15=13,1,IF(SD_Details!BK15=7,2,IF(SD_Details!BK15=2,3,IF(SD_Details!BK15=1,4,IF(SD_Details!BK15=30,5,IF(SD_Details!BK15=28,7,IF(AND($BB$16=1,'Configs &amp; Procedures'!$F$44&gt;0),6,IF(SD_Details!BK15=15,8,IF(SD_Details!BK15=0,0,9))))))))))</f>
        <v/>
      </c>
      <c r="BB21" s="855"/>
      <c r="BC21" s="855"/>
      <c r="BD21" s="855"/>
      <c r="BE21" s="855"/>
      <c r="BF21" s="855"/>
      <c r="BG21" s="855"/>
      <c r="BH21" s="855"/>
      <c r="BI21" s="855"/>
      <c r="BJ21" s="855"/>
      <c r="BK21" s="855"/>
      <c r="BL21" s="855"/>
      <c r="BM21" s="855"/>
      <c r="BN21" s="855"/>
      <c r="BO21" s="855"/>
      <c r="BP21" s="855"/>
      <c r="BQ21" s="855"/>
      <c r="BR21" s="855"/>
      <c r="BS21" s="855"/>
      <c r="BT21" s="855"/>
      <c r="BU21" s="855"/>
      <c r="BV21" s="855"/>
      <c r="BW21" s="855"/>
      <c r="BX21" s="855"/>
      <c r="BY21" s="855"/>
      <c r="BZ21" s="855"/>
    </row>
    <row r="22" spans="2:78">
      <c r="B22" s="566">
        <v>7</v>
      </c>
      <c r="C22" s="1180" t="str">
        <f t="shared" si="5"/>
        <v/>
      </c>
      <c r="D22" s="574" t="str">
        <f>IF(SD_Details!I16="","",SD_Details!I16)</f>
        <v/>
      </c>
      <c r="E22" s="573" t="str">
        <f>IF(SD_Details!J16="","",SD_Details!J16)</f>
        <v/>
      </c>
      <c r="F22" s="307" t="str">
        <f>IF(SD_Details!K16="","",SD_Details!K16)</f>
        <v/>
      </c>
      <c r="G22" s="292" t="str">
        <f>IF(SD_Details!L16="","",SD_Details!L16)</f>
        <v/>
      </c>
      <c r="H22" s="308" t="str">
        <f>IF(OR(SD_Details!M16="",$BA22&gt;0),"",SD_Details!M16)</f>
        <v/>
      </c>
      <c r="I22" s="292" t="str">
        <f>IF(OR(SD_Details!N16="",$BA22&gt;0),"",SD_Details!N16)</f>
        <v/>
      </c>
      <c r="J22" s="308" t="str">
        <f>IF(OR(SD_Details!AN16="",BA22&gt;0),"",SD_Details!AN16)</f>
        <v/>
      </c>
      <c r="K22" s="575" t="str">
        <f>IF(OR(SD_Details!AV16="",BA22&gt;0),"",SD_Details!AV16)</f>
        <v/>
      </c>
      <c r="L22" s="852" t="str">
        <f>IF(OR(SD_Details!BD16="",BA22&gt;0),"",SD_Details!BD16)</f>
        <v/>
      </c>
      <c r="M22" s="308" t="str">
        <f>IF(OR(SD_Details!AO16="",BA22&gt;0),"",SD_Details!AO16)</f>
        <v/>
      </c>
      <c r="N22" s="575" t="str">
        <f>IF(OR(SD_Details!AW16="",BA22&gt;0),"",SD_Details!AW16)</f>
        <v/>
      </c>
      <c r="O22" s="576" t="str">
        <f>IF(OR(SD_Details!BE16="",BA22&gt;0),"",SD_Details!BE16)</f>
        <v/>
      </c>
      <c r="P22" s="308" t="str">
        <f>IF(OR(SD_Details!AP16="",BA22&gt;0),"",SD_Details!AP16)</f>
        <v/>
      </c>
      <c r="Q22" s="575" t="str">
        <f>IF(OR(SD_Details!AX16="",BA22&gt;0),"",SD_Details!AX16)</f>
        <v/>
      </c>
      <c r="R22" s="576" t="str">
        <f>IF(OR(SD_Details!BF16="",BA22&gt;0),"",SD_Details!BF16)</f>
        <v/>
      </c>
      <c r="S22" s="308" t="str">
        <f>IF(OR(SD_Details!AQ16="",BA22&gt;0),"",SD_Details!AQ16)</f>
        <v/>
      </c>
      <c r="T22" s="575" t="str">
        <f>IF(OR(SD_Details!AY16="",BA22&gt;0),"",SD_Details!AY16)</f>
        <v/>
      </c>
      <c r="U22" s="576" t="str">
        <f>IF(OR(SD_Details!BG16="",BA22&gt;0),"",SD_Details!BG16)</f>
        <v/>
      </c>
      <c r="V22" s="308" t="str">
        <f>IF(OR(SD_Details!AR16="",BA22&gt;0),"",SD_Details!AR16)</f>
        <v/>
      </c>
      <c r="W22" s="575" t="str">
        <f>IF(OR(SD_Details!AZ16="",BA22&gt;0),"",SD_Details!AZ16)</f>
        <v/>
      </c>
      <c r="X22" s="576" t="str">
        <f>IF(OR(SD_Details!BH16="",BA22&gt;0),"",SD_Details!BH16)</f>
        <v/>
      </c>
      <c r="Y22" s="308" t="str">
        <f>IF(OR(SD_Details!AS16="",BA22&gt;0),"",SD_Details!AS16)</f>
        <v/>
      </c>
      <c r="Z22" s="575" t="str">
        <f>IF(OR(SD_Details!BA16="",BA22&gt;0),"",SD_Details!BA16)</f>
        <v/>
      </c>
      <c r="AA22" s="308" t="str">
        <f>IF(OR(SD_Details!AT16="",BA22&gt;0),"",SD_Details!AT16)</f>
        <v/>
      </c>
      <c r="AB22" s="575" t="str">
        <f>IF(OR(SD_Details!BB16="",BA22&gt;0),"",SD_Details!BB16)</f>
        <v/>
      </c>
      <c r="AC22" s="308" t="str">
        <f>IF(OR(SD_Details!AU16="",BA22&gt;0),"",SD_Details!AU16)</f>
        <v/>
      </c>
      <c r="AD22" s="575" t="str">
        <f>IF(OR(SD_Details!BC16="",BA22&gt;0),"",SD_Details!BC16)</f>
        <v/>
      </c>
      <c r="AE22" s="308" t="str">
        <f>IF(OR(SD_Details!R16="",$BA22&gt;0),"",SD_Details!R16)</f>
        <v/>
      </c>
      <c r="AF22" s="305" t="str">
        <f>IF(OR(SD_Details!S16="",$BA22&gt;0),"",SD_Details!S16)</f>
        <v/>
      </c>
      <c r="AG22" s="577" t="str">
        <f>IF(OR(SD_Details!T16="",$BA22&gt;0),"",SD_Details!T16)</f>
        <v/>
      </c>
      <c r="AH22" s="306" t="str">
        <f>IF(OR(SD_Details!U16="",$BA22&gt;0),"",SD_Details!U16)</f>
        <v/>
      </c>
      <c r="AI22" s="308" t="str">
        <f>IF(OR(SD_Details!V16="",$BA22&gt;0),"",SD_Details!V16)</f>
        <v/>
      </c>
      <c r="AJ22" s="573" t="str">
        <f>IF(OR(SD_Details!W16="",$BA22&gt;0),"",SD_Details!W16)</f>
        <v/>
      </c>
      <c r="AK22" s="305" t="str">
        <f>IF(OR(SD_Details!X16="",$BA22&gt;0),"",SD_Details!X16)</f>
        <v/>
      </c>
      <c r="AL22" s="308" t="str">
        <f>IF(OR(SD_Details!Y16="",$BA22&gt;0),"",SD_Details!Y16)</f>
        <v/>
      </c>
      <c r="AM22" s="573" t="str">
        <f>IF(OR(SD_Details!Z16="",$BA22&gt;0),"",SD_Details!Z16)</f>
        <v/>
      </c>
      <c r="AN22" s="578" t="str">
        <f>IF(OR(SD_Details!AA16="",$BA22&gt;0),"",SD_Details!AA16)</f>
        <v/>
      </c>
      <c r="AO22" s="577" t="str">
        <f>IF(OR(SD_Details!AK16="",$BA22&gt;0),"",SD_Details!AK16)</f>
        <v/>
      </c>
      <c r="AP22" s="579" t="str">
        <f>IF(OR(SD_Details!AL16="",$BA22&gt;0),"",SD_Details!AL16)</f>
        <v/>
      </c>
      <c r="AQ22" s="578" t="str">
        <f>IF(OR(SD_Details!AM16="",$BA22&gt;0),"",SD_Details!AM16)</f>
        <v/>
      </c>
      <c r="AR22" s="308" t="str">
        <f>IF(OR(SD_Details!AB16="",$BA22&gt;0),"",SD_Details!AB16)</f>
        <v/>
      </c>
      <c r="AS22" s="307" t="str">
        <f>IF(OR(SD_Details!AC16="",$BA22&gt;0),"",SD_Details!AC16)</f>
        <v/>
      </c>
      <c r="AT22" s="307" t="str">
        <f>IF(OR(SD_Details!AD16="",$BA22&gt;0),"",SD_Details!AD16)</f>
        <v/>
      </c>
      <c r="AU22" s="307" t="str">
        <f>IF(OR(SD_Details!AE16="",$BA22&gt;0),"",SD_Details!AE16)</f>
        <v/>
      </c>
      <c r="AV22" s="307" t="str">
        <f>IF(OR(SD_Details!AF16="",$BA22&gt;0),"",SD_Details!AF16)</f>
        <v/>
      </c>
      <c r="AW22" s="307" t="str">
        <f>IF(OR(SD_Details!AG16="",$BA22&gt;0),"",SD_Details!AG16)</f>
        <v/>
      </c>
      <c r="AX22" s="305" t="str">
        <f>IF(OR(SD_Details!AH16="",$BA22&gt;0),"",SD_Details!AH16)</f>
        <v/>
      </c>
      <c r="AY22" s="292" t="str">
        <f>IF(OR(SD_Details!AI16="",$BA22&gt;0),"",SD_Details!AI16)</f>
        <v/>
      </c>
      <c r="AZ22" s="297" t="str">
        <f>IF(OR(SD_Details!AJ16="",$BA22&gt;0),"",SD_Details!AJ16)</f>
        <v/>
      </c>
      <c r="BA22" s="297" t="str">
        <f>IF(OR(SD_Details!BK16="",SD_Details!BK16=12),"",IF(SD_Details!BK16=13,1,IF(SD_Details!BK16=7,2,IF(SD_Details!BK16=2,3,IF(SD_Details!BK16=1,4,IF(SD_Details!BK16=30,5,IF(SD_Details!BK16=28,7,IF(AND($BB$16=1,'Configs &amp; Procedures'!$F$44&gt;0),6,IF(SD_Details!BK16=15,8,IF(SD_Details!BK16=0,0,9))))))))))</f>
        <v/>
      </c>
      <c r="BB22" s="855"/>
      <c r="BC22" s="855"/>
      <c r="BD22" s="855"/>
      <c r="BE22" s="855"/>
      <c r="BF22" s="855"/>
      <c r="BG22" s="855"/>
      <c r="BH22" s="855"/>
      <c r="BI22" s="855"/>
      <c r="BJ22" s="855"/>
      <c r="BK22" s="855"/>
      <c r="BL22" s="855"/>
      <c r="BM22" s="855"/>
      <c r="BN22" s="855"/>
      <c r="BO22" s="855"/>
      <c r="BP22" s="855"/>
      <c r="BQ22" s="855"/>
      <c r="BR22" s="855"/>
      <c r="BS22" s="855"/>
      <c r="BT22" s="855"/>
      <c r="BU22" s="855"/>
      <c r="BV22" s="855"/>
      <c r="BW22" s="855"/>
      <c r="BX22" s="855"/>
      <c r="BY22" s="855"/>
      <c r="BZ22" s="855"/>
    </row>
    <row r="23" spans="2:78">
      <c r="B23" s="572">
        <v>8</v>
      </c>
      <c r="C23" s="1179" t="str">
        <f t="shared" si="5"/>
        <v/>
      </c>
      <c r="D23" s="574" t="str">
        <f>IF(SD_Details!I17="","",SD_Details!I17)</f>
        <v/>
      </c>
      <c r="E23" s="573" t="str">
        <f>IF(SD_Details!J17="","",SD_Details!J17)</f>
        <v/>
      </c>
      <c r="F23" s="307" t="str">
        <f>IF(SD_Details!K17="","",SD_Details!K17)</f>
        <v/>
      </c>
      <c r="G23" s="292" t="str">
        <f>IF(SD_Details!L17="","",SD_Details!L17)</f>
        <v/>
      </c>
      <c r="H23" s="308" t="str">
        <f>IF(OR(SD_Details!M17="",$BA23&gt;0),"",SD_Details!M17)</f>
        <v/>
      </c>
      <c r="I23" s="292" t="str">
        <f>IF(OR(SD_Details!N17="",$BA23&gt;0),"",SD_Details!N17)</f>
        <v/>
      </c>
      <c r="J23" s="308" t="str">
        <f>IF(OR(SD_Details!AN17="",BA23&gt;0),"",SD_Details!AN17)</f>
        <v/>
      </c>
      <c r="K23" s="575" t="str">
        <f>IF(OR(SD_Details!AV17="",BA23&gt;0),"",SD_Details!AV17)</f>
        <v/>
      </c>
      <c r="L23" s="852" t="str">
        <f>IF(OR(SD_Details!BD17="",BA23&gt;0),"",SD_Details!BD17)</f>
        <v/>
      </c>
      <c r="M23" s="308" t="str">
        <f>IF(OR(SD_Details!AO17="",BA23&gt;0),"",SD_Details!AO17)</f>
        <v/>
      </c>
      <c r="N23" s="575" t="str">
        <f>IF(OR(SD_Details!AW17="",BA23&gt;0),"",SD_Details!AW17)</f>
        <v/>
      </c>
      <c r="O23" s="576" t="str">
        <f>IF(OR(SD_Details!BE17="",BA23&gt;0),"",SD_Details!BE17)</f>
        <v/>
      </c>
      <c r="P23" s="308" t="str">
        <f>IF(OR(SD_Details!AP17="",BA23&gt;0),"",SD_Details!AP17)</f>
        <v/>
      </c>
      <c r="Q23" s="575" t="str">
        <f>IF(OR(SD_Details!AX17="",BA23&gt;0),"",SD_Details!AX17)</f>
        <v/>
      </c>
      <c r="R23" s="576" t="str">
        <f>IF(OR(SD_Details!BF17="",BA23&gt;0),"",SD_Details!BF17)</f>
        <v/>
      </c>
      <c r="S23" s="308" t="str">
        <f>IF(OR(SD_Details!AQ17="",BA23&gt;0),"",SD_Details!AQ17)</f>
        <v/>
      </c>
      <c r="T23" s="575" t="str">
        <f>IF(OR(SD_Details!AY17="",BA23&gt;0),"",SD_Details!AY17)</f>
        <v/>
      </c>
      <c r="U23" s="576" t="str">
        <f>IF(OR(SD_Details!BG17="",BA23&gt;0),"",SD_Details!BG17)</f>
        <v/>
      </c>
      <c r="V23" s="308" t="str">
        <f>IF(OR(SD_Details!AR17="",BA23&gt;0),"",SD_Details!AR17)</f>
        <v/>
      </c>
      <c r="W23" s="575" t="str">
        <f>IF(OR(SD_Details!AZ17="",BA23&gt;0),"",SD_Details!AZ17)</f>
        <v/>
      </c>
      <c r="X23" s="576" t="str">
        <f>IF(OR(SD_Details!BH17="",BA23&gt;0),"",SD_Details!BH17)</f>
        <v/>
      </c>
      <c r="Y23" s="308" t="str">
        <f>IF(OR(SD_Details!AS17="",BA23&gt;0),"",SD_Details!AS17)</f>
        <v/>
      </c>
      <c r="Z23" s="575" t="str">
        <f>IF(OR(SD_Details!BA17="",BA23&gt;0),"",SD_Details!BA17)</f>
        <v/>
      </c>
      <c r="AA23" s="308" t="str">
        <f>IF(OR(SD_Details!AT17="",BA23&gt;0),"",SD_Details!AT17)</f>
        <v/>
      </c>
      <c r="AB23" s="575" t="str">
        <f>IF(OR(SD_Details!BB17="",BA23&gt;0),"",SD_Details!BB17)</f>
        <v/>
      </c>
      <c r="AC23" s="308" t="str">
        <f>IF(OR(SD_Details!AU17="",BA23&gt;0),"",SD_Details!AU17)</f>
        <v/>
      </c>
      <c r="AD23" s="575" t="str">
        <f>IF(OR(SD_Details!BC17="",BA23&gt;0),"",SD_Details!BC17)</f>
        <v/>
      </c>
      <c r="AE23" s="308" t="str">
        <f>IF(OR(SD_Details!R17="",$BA23&gt;0),"",SD_Details!R17)</f>
        <v/>
      </c>
      <c r="AF23" s="305" t="str">
        <f>IF(OR(SD_Details!S17="",$BA23&gt;0),"",SD_Details!S17)</f>
        <v/>
      </c>
      <c r="AG23" s="577" t="str">
        <f>IF(OR(SD_Details!T17="",$BA23&gt;0),"",SD_Details!T17)</f>
        <v/>
      </c>
      <c r="AH23" s="306" t="str">
        <f>IF(OR(SD_Details!U17="",$BA23&gt;0),"",SD_Details!U17)</f>
        <v/>
      </c>
      <c r="AI23" s="308" t="str">
        <f>IF(OR(SD_Details!V17="",$BA23&gt;0),"",SD_Details!V17)</f>
        <v/>
      </c>
      <c r="AJ23" s="573" t="str">
        <f>IF(OR(SD_Details!W17="",$BA23&gt;0),"",SD_Details!W17)</f>
        <v/>
      </c>
      <c r="AK23" s="305" t="str">
        <f>IF(OR(SD_Details!X17="",$BA23&gt;0),"",SD_Details!X17)</f>
        <v/>
      </c>
      <c r="AL23" s="308" t="str">
        <f>IF(OR(SD_Details!Y17="",$BA23&gt;0),"",SD_Details!Y17)</f>
        <v/>
      </c>
      <c r="AM23" s="573" t="str">
        <f>IF(OR(SD_Details!Z17="",$BA23&gt;0),"",SD_Details!Z17)</f>
        <v/>
      </c>
      <c r="AN23" s="578" t="str">
        <f>IF(OR(SD_Details!AA17="",$BA23&gt;0),"",SD_Details!AA17)</f>
        <v/>
      </c>
      <c r="AO23" s="577" t="str">
        <f>IF(OR(SD_Details!AK17="",$BA23&gt;0),"",SD_Details!AK17)</f>
        <v/>
      </c>
      <c r="AP23" s="579" t="str">
        <f>IF(OR(SD_Details!AL17="",$BA23&gt;0),"",SD_Details!AL17)</f>
        <v/>
      </c>
      <c r="AQ23" s="578" t="str">
        <f>IF(OR(SD_Details!AM17="",$BA23&gt;0),"",SD_Details!AM17)</f>
        <v/>
      </c>
      <c r="AR23" s="308" t="str">
        <f>IF(OR(SD_Details!AB17="",$BA23&gt;0),"",SD_Details!AB17)</f>
        <v/>
      </c>
      <c r="AS23" s="307" t="str">
        <f>IF(OR(SD_Details!AC17="",$BA23&gt;0),"",SD_Details!AC17)</f>
        <v/>
      </c>
      <c r="AT23" s="307" t="str">
        <f>IF(OR(SD_Details!AD17="",$BA23&gt;0),"",SD_Details!AD17)</f>
        <v/>
      </c>
      <c r="AU23" s="307" t="str">
        <f>IF(OR(SD_Details!AE17="",$BA23&gt;0),"",SD_Details!AE17)</f>
        <v/>
      </c>
      <c r="AV23" s="307" t="str">
        <f>IF(OR(SD_Details!AF17="",$BA23&gt;0),"",SD_Details!AF17)</f>
        <v/>
      </c>
      <c r="AW23" s="307" t="str">
        <f>IF(OR(SD_Details!AG17="",$BA23&gt;0),"",SD_Details!AG17)</f>
        <v/>
      </c>
      <c r="AX23" s="305" t="str">
        <f>IF(OR(SD_Details!AH17="",$BA23&gt;0),"",SD_Details!AH17)</f>
        <v/>
      </c>
      <c r="AY23" s="292" t="str">
        <f>IF(OR(SD_Details!AI17="",$BA23&gt;0),"",SD_Details!AI17)</f>
        <v/>
      </c>
      <c r="AZ23" s="297" t="str">
        <f>IF(OR(SD_Details!AJ17="",$BA23&gt;0),"",SD_Details!AJ17)</f>
        <v/>
      </c>
      <c r="BA23" s="297" t="str">
        <f>IF(OR(SD_Details!BK17="",SD_Details!BK17=12),"",IF(SD_Details!BK17=13,1,IF(SD_Details!BK17=7,2,IF(SD_Details!BK17=2,3,IF(SD_Details!BK17=1,4,IF(SD_Details!BK17=30,5,IF(SD_Details!BK17=28,7,IF(AND($BB$16=1,'Configs &amp; Procedures'!$F$44&gt;0),6,IF(SD_Details!BK17=15,8,IF(SD_Details!BK17=0,0,9))))))))))</f>
        <v/>
      </c>
      <c r="BB23" s="855"/>
      <c r="BC23" s="855"/>
      <c r="BD23" s="855"/>
      <c r="BE23" s="855"/>
      <c r="BF23" s="855"/>
      <c r="BG23" s="855"/>
      <c r="BH23" s="855"/>
      <c r="BI23" s="855"/>
      <c r="BJ23" s="855"/>
      <c r="BK23" s="855"/>
      <c r="BL23" s="855"/>
      <c r="BM23" s="855"/>
      <c r="BN23" s="855"/>
      <c r="BO23" s="855"/>
      <c r="BP23" s="855"/>
      <c r="BQ23" s="855"/>
      <c r="BR23" s="855"/>
      <c r="BS23" s="855"/>
      <c r="BT23" s="855"/>
      <c r="BU23" s="855"/>
      <c r="BV23" s="855"/>
      <c r="BW23" s="855"/>
      <c r="BX23" s="855"/>
      <c r="BY23" s="855"/>
      <c r="BZ23" s="855"/>
    </row>
    <row r="24" spans="2:78">
      <c r="B24" s="566">
        <v>9</v>
      </c>
      <c r="C24" s="1180" t="str">
        <f t="shared" si="5"/>
        <v/>
      </c>
      <c r="D24" s="574" t="str">
        <f>IF(SD_Details!I18="","",SD_Details!I18)</f>
        <v/>
      </c>
      <c r="E24" s="573" t="str">
        <f>IF(SD_Details!J18="","",SD_Details!J18)</f>
        <v/>
      </c>
      <c r="F24" s="307" t="str">
        <f>IF(SD_Details!K18="","",SD_Details!K18)</f>
        <v/>
      </c>
      <c r="G24" s="292" t="str">
        <f>IF(SD_Details!L18="","",SD_Details!L18)</f>
        <v/>
      </c>
      <c r="H24" s="308" t="str">
        <f>IF(OR(SD_Details!M18="",$BA24&gt;0),"",SD_Details!M18)</f>
        <v/>
      </c>
      <c r="I24" s="292" t="str">
        <f>IF(OR(SD_Details!N18="",$BA24&gt;0),"",SD_Details!N18)</f>
        <v/>
      </c>
      <c r="J24" s="308" t="str">
        <f>IF(OR(SD_Details!AN18="",BA24&gt;0),"",SD_Details!AN18)</f>
        <v/>
      </c>
      <c r="K24" s="575" t="str">
        <f>IF(OR(SD_Details!AV18="",BA24&gt;0),"",SD_Details!AV18)</f>
        <v/>
      </c>
      <c r="L24" s="852" t="str">
        <f>IF(OR(SD_Details!BD18="",BA24&gt;0),"",SD_Details!BD18)</f>
        <v/>
      </c>
      <c r="M24" s="308" t="str">
        <f>IF(OR(SD_Details!AO18="",BA24&gt;0),"",SD_Details!AO18)</f>
        <v/>
      </c>
      <c r="N24" s="575" t="str">
        <f>IF(OR(SD_Details!AW18="",BA24&gt;0),"",SD_Details!AW18)</f>
        <v/>
      </c>
      <c r="O24" s="576" t="str">
        <f>IF(OR(SD_Details!BE18="",BA24&gt;0),"",SD_Details!BE18)</f>
        <v/>
      </c>
      <c r="P24" s="308" t="str">
        <f>IF(OR(SD_Details!AP18="",BA24&gt;0),"",SD_Details!AP18)</f>
        <v/>
      </c>
      <c r="Q24" s="575" t="str">
        <f>IF(OR(SD_Details!AX18="",BA24&gt;0),"",SD_Details!AX18)</f>
        <v/>
      </c>
      <c r="R24" s="576" t="str">
        <f>IF(OR(SD_Details!BF18="",BA24&gt;0),"",SD_Details!BF18)</f>
        <v/>
      </c>
      <c r="S24" s="308" t="str">
        <f>IF(OR(SD_Details!AQ18="",BA24&gt;0),"",SD_Details!AQ18)</f>
        <v/>
      </c>
      <c r="T24" s="575" t="str">
        <f>IF(OR(SD_Details!AY18="",BA24&gt;0),"",SD_Details!AY18)</f>
        <v/>
      </c>
      <c r="U24" s="576" t="str">
        <f>IF(OR(SD_Details!BG18="",BA24&gt;0),"",SD_Details!BG18)</f>
        <v/>
      </c>
      <c r="V24" s="308" t="str">
        <f>IF(OR(SD_Details!AR18="",BA24&gt;0),"",SD_Details!AR18)</f>
        <v/>
      </c>
      <c r="W24" s="575" t="str">
        <f>IF(OR(SD_Details!AZ18="",BA24&gt;0),"",SD_Details!AZ18)</f>
        <v/>
      </c>
      <c r="X24" s="576" t="str">
        <f>IF(OR(SD_Details!BH18="",BA24&gt;0),"",SD_Details!BH18)</f>
        <v/>
      </c>
      <c r="Y24" s="308" t="str">
        <f>IF(OR(SD_Details!AS18="",BA24&gt;0),"",SD_Details!AS18)</f>
        <v/>
      </c>
      <c r="Z24" s="575" t="str">
        <f>IF(OR(SD_Details!BA18="",BA24&gt;0),"",SD_Details!BA18)</f>
        <v/>
      </c>
      <c r="AA24" s="308" t="str">
        <f>IF(OR(SD_Details!AT18="",BA24&gt;0),"",SD_Details!AT18)</f>
        <v/>
      </c>
      <c r="AB24" s="575" t="str">
        <f>IF(OR(SD_Details!BB18="",BA24&gt;0),"",SD_Details!BB18)</f>
        <v/>
      </c>
      <c r="AC24" s="308" t="str">
        <f>IF(OR(SD_Details!AU18="",BA24&gt;0),"",SD_Details!AU18)</f>
        <v/>
      </c>
      <c r="AD24" s="575" t="str">
        <f>IF(OR(SD_Details!BC18="",BA24&gt;0),"",SD_Details!BC18)</f>
        <v/>
      </c>
      <c r="AE24" s="308" t="str">
        <f>IF(OR(SD_Details!R18="",$BA24&gt;0),"",SD_Details!R18)</f>
        <v/>
      </c>
      <c r="AF24" s="305" t="str">
        <f>IF(OR(SD_Details!S18="",$BA24&gt;0),"",SD_Details!S18)</f>
        <v/>
      </c>
      <c r="AG24" s="577" t="str">
        <f>IF(OR(SD_Details!T18="",$BA24&gt;0),"",SD_Details!T18)</f>
        <v/>
      </c>
      <c r="AH24" s="306" t="str">
        <f>IF(OR(SD_Details!U18="",$BA24&gt;0),"",SD_Details!U18)</f>
        <v/>
      </c>
      <c r="AI24" s="308" t="str">
        <f>IF(OR(SD_Details!V18="",$BA24&gt;0),"",SD_Details!V18)</f>
        <v/>
      </c>
      <c r="AJ24" s="573" t="str">
        <f>IF(OR(SD_Details!W18="",$BA24&gt;0),"",SD_Details!W18)</f>
        <v/>
      </c>
      <c r="AK24" s="305" t="str">
        <f>IF(OR(SD_Details!X18="",$BA24&gt;0),"",SD_Details!X18)</f>
        <v/>
      </c>
      <c r="AL24" s="308" t="str">
        <f>IF(OR(SD_Details!Y18="",$BA24&gt;0),"",SD_Details!Y18)</f>
        <v/>
      </c>
      <c r="AM24" s="573" t="str">
        <f>IF(OR(SD_Details!Z18="",$BA24&gt;0),"",SD_Details!Z18)</f>
        <v/>
      </c>
      <c r="AN24" s="578" t="str">
        <f>IF(OR(SD_Details!AA18="",$BA24&gt;0),"",SD_Details!AA18)</f>
        <v/>
      </c>
      <c r="AO24" s="577" t="str">
        <f>IF(OR(SD_Details!AK18="",$BA24&gt;0),"",SD_Details!AK18)</f>
        <v/>
      </c>
      <c r="AP24" s="579" t="str">
        <f>IF(OR(SD_Details!AL18="",$BA24&gt;0),"",SD_Details!AL18)</f>
        <v/>
      </c>
      <c r="AQ24" s="578" t="str">
        <f>IF(OR(SD_Details!AM18="",$BA24&gt;0),"",SD_Details!AM18)</f>
        <v/>
      </c>
      <c r="AR24" s="308" t="str">
        <f>IF(OR(SD_Details!AB18="",$BA24&gt;0),"",SD_Details!AB18)</f>
        <v/>
      </c>
      <c r="AS24" s="307" t="str">
        <f>IF(OR(SD_Details!AC18="",$BA24&gt;0),"",SD_Details!AC18)</f>
        <v/>
      </c>
      <c r="AT24" s="307" t="str">
        <f>IF(OR(SD_Details!AD18="",$BA24&gt;0),"",SD_Details!AD18)</f>
        <v/>
      </c>
      <c r="AU24" s="307" t="str">
        <f>IF(OR(SD_Details!AE18="",$BA24&gt;0),"",SD_Details!AE18)</f>
        <v/>
      </c>
      <c r="AV24" s="307" t="str">
        <f>IF(OR(SD_Details!AF18="",$BA24&gt;0),"",SD_Details!AF18)</f>
        <v/>
      </c>
      <c r="AW24" s="307" t="str">
        <f>IF(OR(SD_Details!AG18="",$BA24&gt;0),"",SD_Details!AG18)</f>
        <v/>
      </c>
      <c r="AX24" s="305" t="str">
        <f>IF(OR(SD_Details!AH18="",$BA24&gt;0),"",SD_Details!AH18)</f>
        <v/>
      </c>
      <c r="AY24" s="292" t="str">
        <f>IF(OR(SD_Details!AI18="",$BA24&gt;0),"",SD_Details!AI18)</f>
        <v/>
      </c>
      <c r="AZ24" s="297" t="str">
        <f>IF(OR(SD_Details!AJ18="",$BA24&gt;0),"",SD_Details!AJ18)</f>
        <v/>
      </c>
      <c r="BA24" s="297" t="str">
        <f>IF(OR(SD_Details!BK18="",SD_Details!BK18=12),"",IF(SD_Details!BK18=13,1,IF(SD_Details!BK18=7,2,IF(SD_Details!BK18=2,3,IF(SD_Details!BK18=1,4,IF(SD_Details!BK18=30,5,IF(SD_Details!BK18=28,7,IF(AND($BB$16=1,'Configs &amp; Procedures'!$F$44&gt;0),6,IF(SD_Details!BK18=15,8,IF(SD_Details!BK18=0,0,9))))))))))</f>
        <v/>
      </c>
      <c r="BB24" s="855"/>
      <c r="BC24" s="855"/>
      <c r="BD24" s="855"/>
      <c r="BE24" s="855"/>
      <c r="BF24" s="855"/>
      <c r="BG24" s="855"/>
      <c r="BH24" s="855"/>
      <c r="BI24" s="855"/>
      <c r="BJ24" s="855"/>
      <c r="BK24" s="855"/>
      <c r="BL24" s="855"/>
      <c r="BM24" s="855"/>
      <c r="BN24" s="855"/>
      <c r="BO24" s="855"/>
      <c r="BP24" s="855"/>
      <c r="BQ24" s="855"/>
      <c r="BR24" s="855"/>
      <c r="BS24" s="855"/>
      <c r="BT24" s="855"/>
      <c r="BU24" s="855"/>
      <c r="BV24" s="855"/>
      <c r="BW24" s="855"/>
      <c r="BX24" s="855"/>
      <c r="BY24" s="855"/>
      <c r="BZ24" s="855"/>
    </row>
    <row r="25" spans="2:78">
      <c r="B25" s="572">
        <v>10</v>
      </c>
      <c r="C25" s="1179" t="str">
        <f t="shared" si="5"/>
        <v/>
      </c>
      <c r="D25" s="574" t="str">
        <f>IF(SD_Details!I19="","",SD_Details!I19)</f>
        <v/>
      </c>
      <c r="E25" s="573" t="str">
        <f>IF(SD_Details!J19="","",SD_Details!J19)</f>
        <v/>
      </c>
      <c r="F25" s="307" t="str">
        <f>IF(SD_Details!K19="","",SD_Details!K19)</f>
        <v/>
      </c>
      <c r="G25" s="292" t="str">
        <f>IF(SD_Details!L19="","",SD_Details!L19)</f>
        <v/>
      </c>
      <c r="H25" s="308" t="str">
        <f>IF(OR(SD_Details!M19="",$BA25&gt;0),"",SD_Details!M19)</f>
        <v/>
      </c>
      <c r="I25" s="292" t="str">
        <f>IF(OR(SD_Details!N19="",$BA25&gt;0),"",SD_Details!N19)</f>
        <v/>
      </c>
      <c r="J25" s="308" t="str">
        <f>IF(OR(SD_Details!AN19="",BA25&gt;0),"",SD_Details!AN19)</f>
        <v/>
      </c>
      <c r="K25" s="575" t="str">
        <f>IF(OR(SD_Details!AV19="",BA25&gt;0),"",SD_Details!AV19)</f>
        <v/>
      </c>
      <c r="L25" s="852" t="str">
        <f>IF(OR(SD_Details!BD19="",BA25&gt;0),"",SD_Details!BD19)</f>
        <v/>
      </c>
      <c r="M25" s="308" t="str">
        <f>IF(OR(SD_Details!AO19="",BA25&gt;0),"",SD_Details!AO19)</f>
        <v/>
      </c>
      <c r="N25" s="575" t="str">
        <f>IF(OR(SD_Details!AW19="",BA25&gt;0),"",SD_Details!AW19)</f>
        <v/>
      </c>
      <c r="O25" s="576" t="str">
        <f>IF(OR(SD_Details!BE19="",BA25&gt;0),"",SD_Details!BE19)</f>
        <v/>
      </c>
      <c r="P25" s="308" t="str">
        <f>IF(OR(SD_Details!AP19="",BA25&gt;0),"",SD_Details!AP19)</f>
        <v/>
      </c>
      <c r="Q25" s="575" t="str">
        <f>IF(OR(SD_Details!AX19="",BA25&gt;0),"",SD_Details!AX19)</f>
        <v/>
      </c>
      <c r="R25" s="576" t="str">
        <f>IF(OR(SD_Details!BF19="",BA25&gt;0),"",SD_Details!BF19)</f>
        <v/>
      </c>
      <c r="S25" s="308" t="str">
        <f>IF(OR(SD_Details!AQ19="",BA25&gt;0),"",SD_Details!AQ19)</f>
        <v/>
      </c>
      <c r="T25" s="575" t="str">
        <f>IF(OR(SD_Details!AY19="",BA25&gt;0),"",SD_Details!AY19)</f>
        <v/>
      </c>
      <c r="U25" s="576" t="str">
        <f>IF(OR(SD_Details!BG19="",BA25&gt;0),"",SD_Details!BG19)</f>
        <v/>
      </c>
      <c r="V25" s="308" t="str">
        <f>IF(OR(SD_Details!AR19="",BA25&gt;0),"",SD_Details!AR19)</f>
        <v/>
      </c>
      <c r="W25" s="575" t="str">
        <f>IF(OR(SD_Details!AZ19="",BA25&gt;0),"",SD_Details!AZ19)</f>
        <v/>
      </c>
      <c r="X25" s="576" t="str">
        <f>IF(OR(SD_Details!BH19="",BA25&gt;0),"",SD_Details!BH19)</f>
        <v/>
      </c>
      <c r="Y25" s="308" t="str">
        <f>IF(OR(SD_Details!AS19="",BA25&gt;0),"",SD_Details!AS19)</f>
        <v/>
      </c>
      <c r="Z25" s="575" t="str">
        <f>IF(OR(SD_Details!BA19="",BA25&gt;0),"",SD_Details!BA19)</f>
        <v/>
      </c>
      <c r="AA25" s="308" t="str">
        <f>IF(OR(SD_Details!AT19="",BA25&gt;0),"",SD_Details!AT19)</f>
        <v/>
      </c>
      <c r="AB25" s="575" t="str">
        <f>IF(OR(SD_Details!BB19="",BA25&gt;0),"",SD_Details!BB19)</f>
        <v/>
      </c>
      <c r="AC25" s="308" t="str">
        <f>IF(OR(SD_Details!AU19="",BA25&gt;0),"",SD_Details!AU19)</f>
        <v/>
      </c>
      <c r="AD25" s="575" t="str">
        <f>IF(OR(SD_Details!BC19="",BA25&gt;0),"",SD_Details!BC19)</f>
        <v/>
      </c>
      <c r="AE25" s="308" t="str">
        <f>IF(OR(SD_Details!R19="",$BA25&gt;0),"",SD_Details!R19)</f>
        <v/>
      </c>
      <c r="AF25" s="305" t="str">
        <f>IF(OR(SD_Details!S19="",$BA25&gt;0),"",SD_Details!S19)</f>
        <v/>
      </c>
      <c r="AG25" s="577" t="str">
        <f>IF(OR(SD_Details!T19="",$BA25&gt;0),"",SD_Details!T19)</f>
        <v/>
      </c>
      <c r="AH25" s="306" t="str">
        <f>IF(OR(SD_Details!U19="",$BA25&gt;0),"",SD_Details!U19)</f>
        <v/>
      </c>
      <c r="AI25" s="308" t="str">
        <f>IF(OR(SD_Details!V19="",$BA25&gt;0),"",SD_Details!V19)</f>
        <v/>
      </c>
      <c r="AJ25" s="573" t="str">
        <f>IF(OR(SD_Details!W19="",$BA25&gt;0),"",SD_Details!W19)</f>
        <v/>
      </c>
      <c r="AK25" s="305" t="str">
        <f>IF(OR(SD_Details!X19="",$BA25&gt;0),"",SD_Details!X19)</f>
        <v/>
      </c>
      <c r="AL25" s="308" t="str">
        <f>IF(OR(SD_Details!Y19="",$BA25&gt;0),"",SD_Details!Y19)</f>
        <v/>
      </c>
      <c r="AM25" s="573" t="str">
        <f>IF(OR(SD_Details!Z19="",$BA25&gt;0),"",SD_Details!Z19)</f>
        <v/>
      </c>
      <c r="AN25" s="578" t="str">
        <f>IF(OR(SD_Details!AA19="",$BA25&gt;0),"",SD_Details!AA19)</f>
        <v/>
      </c>
      <c r="AO25" s="577" t="str">
        <f>IF(OR(SD_Details!AK19="",$BA25&gt;0),"",SD_Details!AK19)</f>
        <v/>
      </c>
      <c r="AP25" s="579" t="str">
        <f>IF(OR(SD_Details!AL19="",$BA25&gt;0),"",SD_Details!AL19)</f>
        <v/>
      </c>
      <c r="AQ25" s="578" t="str">
        <f>IF(OR(SD_Details!AM19="",$BA25&gt;0),"",SD_Details!AM19)</f>
        <v/>
      </c>
      <c r="AR25" s="308" t="str">
        <f>IF(OR(SD_Details!AB19="",$BA25&gt;0),"",SD_Details!AB19)</f>
        <v/>
      </c>
      <c r="AS25" s="307" t="str">
        <f>IF(OR(SD_Details!AC19="",$BA25&gt;0),"",SD_Details!AC19)</f>
        <v/>
      </c>
      <c r="AT25" s="307" t="str">
        <f>IF(OR(SD_Details!AD19="",$BA25&gt;0),"",SD_Details!AD19)</f>
        <v/>
      </c>
      <c r="AU25" s="307" t="str">
        <f>IF(OR(SD_Details!AE19="",$BA25&gt;0),"",SD_Details!AE19)</f>
        <v/>
      </c>
      <c r="AV25" s="307" t="str">
        <f>IF(OR(SD_Details!AF19="",$BA25&gt;0),"",SD_Details!AF19)</f>
        <v/>
      </c>
      <c r="AW25" s="307" t="str">
        <f>IF(OR(SD_Details!AG19="",$BA25&gt;0),"",SD_Details!AG19)</f>
        <v/>
      </c>
      <c r="AX25" s="305" t="str">
        <f>IF(OR(SD_Details!AH19="",$BA25&gt;0),"",SD_Details!AH19)</f>
        <v/>
      </c>
      <c r="AY25" s="292" t="str">
        <f>IF(OR(SD_Details!AI19="",$BA25&gt;0),"",SD_Details!AI19)</f>
        <v/>
      </c>
      <c r="AZ25" s="297" t="str">
        <f>IF(OR(SD_Details!AJ19="",$BA25&gt;0),"",SD_Details!AJ19)</f>
        <v/>
      </c>
      <c r="BA25" s="297" t="str">
        <f>IF(OR(SD_Details!BK19="",SD_Details!BK19=12),"",IF(SD_Details!BK19=13,1,IF(SD_Details!BK19=7,2,IF(SD_Details!BK19=2,3,IF(SD_Details!BK19=1,4,IF(SD_Details!BK19=30,5,IF(SD_Details!BK19=28,7,IF(AND($BB$16=1,'Configs &amp; Procedures'!$F$44&gt;0),6,IF(SD_Details!BK19=15,8,IF(SD_Details!BK19=0,0,9))))))))))</f>
        <v/>
      </c>
      <c r="BB25" s="855"/>
      <c r="BC25" s="855"/>
      <c r="BD25" s="855"/>
      <c r="BE25" s="855"/>
      <c r="BF25" s="855"/>
      <c r="BG25" s="855"/>
      <c r="BH25" s="855"/>
      <c r="BI25" s="855"/>
      <c r="BJ25" s="855"/>
      <c r="BK25" s="855"/>
      <c r="BL25" s="855"/>
      <c r="BM25" s="855"/>
      <c r="BN25" s="855"/>
      <c r="BO25" s="855"/>
      <c r="BP25" s="855"/>
      <c r="BQ25" s="855"/>
      <c r="BR25" s="855"/>
      <c r="BS25" s="855"/>
      <c r="BT25" s="855"/>
      <c r="BU25" s="855"/>
      <c r="BV25" s="855"/>
      <c r="BW25" s="855"/>
      <c r="BX25" s="855"/>
      <c r="BY25" s="855"/>
      <c r="BZ25" s="855"/>
    </row>
    <row r="26" spans="2:78">
      <c r="B26" s="566">
        <v>11</v>
      </c>
      <c r="C26" s="1180" t="str">
        <f t="shared" si="5"/>
        <v/>
      </c>
      <c r="D26" s="574" t="str">
        <f>IF(SD_Details!I20="","",SD_Details!I20)</f>
        <v/>
      </c>
      <c r="E26" s="573" t="str">
        <f>IF(SD_Details!J20="","",SD_Details!J20)</f>
        <v/>
      </c>
      <c r="F26" s="307" t="str">
        <f>IF(SD_Details!K20="","",SD_Details!K20)</f>
        <v/>
      </c>
      <c r="G26" s="292" t="str">
        <f>IF(SD_Details!L20="","",SD_Details!L20)</f>
        <v/>
      </c>
      <c r="H26" s="308" t="str">
        <f>IF(OR(SD_Details!M20="",$BA26&gt;0),"",SD_Details!M20)</f>
        <v/>
      </c>
      <c r="I26" s="292" t="str">
        <f>IF(OR(SD_Details!N20="",$BA26&gt;0),"",SD_Details!N20)</f>
        <v/>
      </c>
      <c r="J26" s="308" t="str">
        <f>IF(OR(SD_Details!AN20="",BA26&gt;0),"",SD_Details!AN20)</f>
        <v/>
      </c>
      <c r="K26" s="575" t="str">
        <f>IF(OR(SD_Details!AV20="",BA26&gt;0),"",SD_Details!AV20)</f>
        <v/>
      </c>
      <c r="L26" s="852" t="str">
        <f>IF(OR(SD_Details!BD20="",BA26&gt;0),"",SD_Details!BD20)</f>
        <v/>
      </c>
      <c r="M26" s="308" t="str">
        <f>IF(OR(SD_Details!AO20="",BA26&gt;0),"",SD_Details!AO20)</f>
        <v/>
      </c>
      <c r="N26" s="575" t="str">
        <f>IF(OR(SD_Details!AW20="",BA26&gt;0),"",SD_Details!AW20)</f>
        <v/>
      </c>
      <c r="O26" s="576" t="str">
        <f>IF(OR(SD_Details!BE20="",BA26&gt;0),"",SD_Details!BE20)</f>
        <v/>
      </c>
      <c r="P26" s="308" t="str">
        <f>IF(OR(SD_Details!AP20="",BA26&gt;0),"",SD_Details!AP20)</f>
        <v/>
      </c>
      <c r="Q26" s="575" t="str">
        <f>IF(OR(SD_Details!AX20="",BA26&gt;0),"",SD_Details!AX20)</f>
        <v/>
      </c>
      <c r="R26" s="576" t="str">
        <f>IF(OR(SD_Details!BF20="",BA26&gt;0),"",SD_Details!BF20)</f>
        <v/>
      </c>
      <c r="S26" s="308" t="str">
        <f>IF(OR(SD_Details!AQ20="",BA26&gt;0),"",SD_Details!AQ20)</f>
        <v/>
      </c>
      <c r="T26" s="575" t="str">
        <f>IF(OR(SD_Details!AY20="",BA26&gt;0),"",SD_Details!AY20)</f>
        <v/>
      </c>
      <c r="U26" s="576" t="str">
        <f>IF(OR(SD_Details!BG20="",BA26&gt;0),"",SD_Details!BG20)</f>
        <v/>
      </c>
      <c r="V26" s="308" t="str">
        <f>IF(OR(SD_Details!AR20="",BA26&gt;0),"",SD_Details!AR20)</f>
        <v/>
      </c>
      <c r="W26" s="575" t="str">
        <f>IF(OR(SD_Details!AZ20="",BA26&gt;0),"",SD_Details!AZ20)</f>
        <v/>
      </c>
      <c r="X26" s="576" t="str">
        <f>IF(OR(SD_Details!BH20="",BA26&gt;0),"",SD_Details!BH20)</f>
        <v/>
      </c>
      <c r="Y26" s="308" t="str">
        <f>IF(OR(SD_Details!AS20="",BA26&gt;0),"",SD_Details!AS20)</f>
        <v/>
      </c>
      <c r="Z26" s="575" t="str">
        <f>IF(OR(SD_Details!BA20="",BA26&gt;0),"",SD_Details!BA20)</f>
        <v/>
      </c>
      <c r="AA26" s="308" t="str">
        <f>IF(OR(SD_Details!AT20="",BA26&gt;0),"",SD_Details!AT20)</f>
        <v/>
      </c>
      <c r="AB26" s="575" t="str">
        <f>IF(OR(SD_Details!BB20="",BA26&gt;0),"",SD_Details!BB20)</f>
        <v/>
      </c>
      <c r="AC26" s="308" t="str">
        <f>IF(OR(SD_Details!AU20="",BA26&gt;0),"",SD_Details!AU20)</f>
        <v/>
      </c>
      <c r="AD26" s="575" t="str">
        <f>IF(OR(SD_Details!BC20="",BA26&gt;0),"",SD_Details!BC20)</f>
        <v/>
      </c>
      <c r="AE26" s="308" t="str">
        <f>IF(OR(SD_Details!R20="",$BA26&gt;0),"",SD_Details!R20)</f>
        <v/>
      </c>
      <c r="AF26" s="305" t="str">
        <f>IF(OR(SD_Details!S20="",$BA26&gt;0),"",SD_Details!S20)</f>
        <v/>
      </c>
      <c r="AG26" s="577" t="str">
        <f>IF(OR(SD_Details!T20="",$BA26&gt;0),"",SD_Details!T20)</f>
        <v/>
      </c>
      <c r="AH26" s="306" t="str">
        <f>IF(OR(SD_Details!U20="",$BA26&gt;0),"",SD_Details!U20)</f>
        <v/>
      </c>
      <c r="AI26" s="308" t="str">
        <f>IF(OR(SD_Details!V20="",$BA26&gt;0),"",SD_Details!V20)</f>
        <v/>
      </c>
      <c r="AJ26" s="573" t="str">
        <f>IF(OR(SD_Details!W20="",$BA26&gt;0),"",SD_Details!W20)</f>
        <v/>
      </c>
      <c r="AK26" s="305" t="str">
        <f>IF(OR(SD_Details!X20="",$BA26&gt;0),"",SD_Details!X20)</f>
        <v/>
      </c>
      <c r="AL26" s="308" t="str">
        <f>IF(OR(SD_Details!Y20="",$BA26&gt;0),"",SD_Details!Y20)</f>
        <v/>
      </c>
      <c r="AM26" s="573" t="str">
        <f>IF(OR(SD_Details!Z20="",$BA26&gt;0),"",SD_Details!Z20)</f>
        <v/>
      </c>
      <c r="AN26" s="578" t="str">
        <f>IF(OR(SD_Details!AA20="",$BA26&gt;0),"",SD_Details!AA20)</f>
        <v/>
      </c>
      <c r="AO26" s="577" t="str">
        <f>IF(OR(SD_Details!AK20="",$BA26&gt;0),"",SD_Details!AK20)</f>
        <v/>
      </c>
      <c r="AP26" s="579" t="str">
        <f>IF(OR(SD_Details!AL20="",$BA26&gt;0),"",SD_Details!AL20)</f>
        <v/>
      </c>
      <c r="AQ26" s="578" t="str">
        <f>IF(OR(SD_Details!AM20="",$BA26&gt;0),"",SD_Details!AM20)</f>
        <v/>
      </c>
      <c r="AR26" s="308" t="str">
        <f>IF(OR(SD_Details!AB20="",$BA26&gt;0),"",SD_Details!AB20)</f>
        <v/>
      </c>
      <c r="AS26" s="307" t="str">
        <f>IF(OR(SD_Details!AC20="",$BA26&gt;0),"",SD_Details!AC20)</f>
        <v/>
      </c>
      <c r="AT26" s="307" t="str">
        <f>IF(OR(SD_Details!AD20="",$BA26&gt;0),"",SD_Details!AD20)</f>
        <v/>
      </c>
      <c r="AU26" s="307" t="str">
        <f>IF(OR(SD_Details!AE20="",$BA26&gt;0),"",SD_Details!AE20)</f>
        <v/>
      </c>
      <c r="AV26" s="307" t="str">
        <f>IF(OR(SD_Details!AF20="",$BA26&gt;0),"",SD_Details!AF20)</f>
        <v/>
      </c>
      <c r="AW26" s="307" t="str">
        <f>IF(OR(SD_Details!AG20="",$BA26&gt;0),"",SD_Details!AG20)</f>
        <v/>
      </c>
      <c r="AX26" s="305" t="str">
        <f>IF(OR(SD_Details!AH20="",$BA26&gt;0),"",SD_Details!AH20)</f>
        <v/>
      </c>
      <c r="AY26" s="292" t="str">
        <f>IF(OR(SD_Details!AI20="",$BA26&gt;0),"",SD_Details!AI20)</f>
        <v/>
      </c>
      <c r="AZ26" s="297" t="str">
        <f>IF(OR(SD_Details!AJ20="",$BA26&gt;0),"",SD_Details!AJ20)</f>
        <v/>
      </c>
      <c r="BA26" s="297" t="str">
        <f>IF(OR(SD_Details!BK20="",SD_Details!BK20=12),"",IF(SD_Details!BK20=13,1,IF(SD_Details!BK20=7,2,IF(SD_Details!BK20=2,3,IF(SD_Details!BK20=1,4,IF(SD_Details!BK20=30,5,IF(SD_Details!BK20=28,7,IF(AND($BB$16=1,'Configs &amp; Procedures'!$F$44&gt;0),6,IF(SD_Details!BK20=15,8,IF(SD_Details!BK20=0,0,9))))))))))</f>
        <v/>
      </c>
      <c r="BB26" s="855"/>
      <c r="BC26" s="855"/>
      <c r="BD26" s="855"/>
      <c r="BE26" s="855"/>
      <c r="BF26" s="855"/>
      <c r="BG26" s="855"/>
      <c r="BH26" s="855"/>
      <c r="BI26" s="855"/>
      <c r="BJ26" s="855"/>
      <c r="BK26" s="855"/>
      <c r="BL26" s="855"/>
      <c r="BM26" s="855"/>
      <c r="BN26" s="855"/>
      <c r="BO26" s="855"/>
      <c r="BP26" s="855"/>
      <c r="BQ26" s="855"/>
      <c r="BR26" s="855"/>
      <c r="BS26" s="855"/>
      <c r="BT26" s="855"/>
      <c r="BU26" s="855"/>
      <c r="BV26" s="855"/>
      <c r="BW26" s="855"/>
      <c r="BX26" s="855"/>
      <c r="BY26" s="855"/>
      <c r="BZ26" s="855"/>
    </row>
    <row r="27" spans="2:78">
      <c r="B27" s="572">
        <v>12</v>
      </c>
      <c r="C27" s="1179" t="str">
        <f t="shared" si="5"/>
        <v/>
      </c>
      <c r="D27" s="574" t="str">
        <f>IF(SD_Details!I21="","",SD_Details!I21)</f>
        <v/>
      </c>
      <c r="E27" s="573" t="str">
        <f>IF(SD_Details!J21="","",SD_Details!J21)</f>
        <v/>
      </c>
      <c r="F27" s="307" t="str">
        <f>IF(SD_Details!K21="","",SD_Details!K21)</f>
        <v/>
      </c>
      <c r="G27" s="292" t="str">
        <f>IF(SD_Details!L21="","",SD_Details!L21)</f>
        <v/>
      </c>
      <c r="H27" s="308" t="str">
        <f>IF(OR(SD_Details!M21="",$BA27&gt;0),"",SD_Details!M21)</f>
        <v/>
      </c>
      <c r="I27" s="292" t="str">
        <f>IF(OR(SD_Details!N21="",$BA27&gt;0),"",SD_Details!N21)</f>
        <v/>
      </c>
      <c r="J27" s="308" t="str">
        <f>IF(OR(SD_Details!AN21="",BA27&gt;0),"",SD_Details!AN21)</f>
        <v/>
      </c>
      <c r="K27" s="575" t="str">
        <f>IF(OR(SD_Details!AV21="",BA27&gt;0),"",SD_Details!AV21)</f>
        <v/>
      </c>
      <c r="L27" s="852" t="str">
        <f>IF(OR(SD_Details!BD21="",BA27&gt;0),"",SD_Details!BD21)</f>
        <v/>
      </c>
      <c r="M27" s="308" t="str">
        <f>IF(OR(SD_Details!AO21="",BA27&gt;0),"",SD_Details!AO21)</f>
        <v/>
      </c>
      <c r="N27" s="575" t="str">
        <f>IF(OR(SD_Details!AW21="",BA27&gt;0),"",SD_Details!AW21)</f>
        <v/>
      </c>
      <c r="O27" s="576" t="str">
        <f>IF(OR(SD_Details!BE21="",BA27&gt;0),"",SD_Details!BE21)</f>
        <v/>
      </c>
      <c r="P27" s="308" t="str">
        <f>IF(OR(SD_Details!AP21="",BA27&gt;0),"",SD_Details!AP21)</f>
        <v/>
      </c>
      <c r="Q27" s="575" t="str">
        <f>IF(OR(SD_Details!AX21="",BA27&gt;0),"",SD_Details!AX21)</f>
        <v/>
      </c>
      <c r="R27" s="576" t="str">
        <f>IF(OR(SD_Details!BF21="",BA27&gt;0),"",SD_Details!BF21)</f>
        <v/>
      </c>
      <c r="S27" s="308" t="str">
        <f>IF(OR(SD_Details!AQ21="",BA27&gt;0),"",SD_Details!AQ21)</f>
        <v/>
      </c>
      <c r="T27" s="575" t="str">
        <f>IF(OR(SD_Details!AY21="",BA27&gt;0),"",SD_Details!AY21)</f>
        <v/>
      </c>
      <c r="U27" s="576" t="str">
        <f>IF(OR(SD_Details!BG21="",BA27&gt;0),"",SD_Details!BG21)</f>
        <v/>
      </c>
      <c r="V27" s="308" t="str">
        <f>IF(OR(SD_Details!AR21="",BA27&gt;0),"",SD_Details!AR21)</f>
        <v/>
      </c>
      <c r="W27" s="575" t="str">
        <f>IF(OR(SD_Details!AZ21="",BA27&gt;0),"",SD_Details!AZ21)</f>
        <v/>
      </c>
      <c r="X27" s="576" t="str">
        <f>IF(OR(SD_Details!BH21="",BA27&gt;0),"",SD_Details!BH21)</f>
        <v/>
      </c>
      <c r="Y27" s="308" t="str">
        <f>IF(OR(SD_Details!AS21="",BA27&gt;0),"",SD_Details!AS21)</f>
        <v/>
      </c>
      <c r="Z27" s="575" t="str">
        <f>IF(OR(SD_Details!BA21="",BA27&gt;0),"",SD_Details!BA21)</f>
        <v/>
      </c>
      <c r="AA27" s="308" t="str">
        <f>IF(OR(SD_Details!AT21="",BA27&gt;0),"",SD_Details!AT21)</f>
        <v/>
      </c>
      <c r="AB27" s="575" t="str">
        <f>IF(OR(SD_Details!BB21="",BA27&gt;0),"",SD_Details!BB21)</f>
        <v/>
      </c>
      <c r="AC27" s="308" t="str">
        <f>IF(OR(SD_Details!AU21="",BA27&gt;0),"",SD_Details!AU21)</f>
        <v/>
      </c>
      <c r="AD27" s="575" t="str">
        <f>IF(OR(SD_Details!BC21="",BA27&gt;0),"",SD_Details!BC21)</f>
        <v/>
      </c>
      <c r="AE27" s="308" t="str">
        <f>IF(OR(SD_Details!R21="",$BA27&gt;0),"",SD_Details!R21)</f>
        <v/>
      </c>
      <c r="AF27" s="305" t="str">
        <f>IF(OR(SD_Details!S21="",$BA27&gt;0),"",SD_Details!S21)</f>
        <v/>
      </c>
      <c r="AG27" s="577" t="str">
        <f>IF(OR(SD_Details!T21="",$BA27&gt;0),"",SD_Details!T21)</f>
        <v/>
      </c>
      <c r="AH27" s="306" t="str">
        <f>IF(OR(SD_Details!U21="",$BA27&gt;0),"",SD_Details!U21)</f>
        <v/>
      </c>
      <c r="AI27" s="308" t="str">
        <f>IF(OR(SD_Details!V21="",$BA27&gt;0),"",SD_Details!V21)</f>
        <v/>
      </c>
      <c r="AJ27" s="573" t="str">
        <f>IF(OR(SD_Details!W21="",$BA27&gt;0),"",SD_Details!W21)</f>
        <v/>
      </c>
      <c r="AK27" s="305" t="str">
        <f>IF(OR(SD_Details!X21="",$BA27&gt;0),"",SD_Details!X21)</f>
        <v/>
      </c>
      <c r="AL27" s="308" t="str">
        <f>IF(OR(SD_Details!Y21="",$BA27&gt;0),"",SD_Details!Y21)</f>
        <v/>
      </c>
      <c r="AM27" s="573" t="str">
        <f>IF(OR(SD_Details!Z21="",$BA27&gt;0),"",SD_Details!Z21)</f>
        <v/>
      </c>
      <c r="AN27" s="578" t="str">
        <f>IF(OR(SD_Details!AA21="",$BA27&gt;0),"",SD_Details!AA21)</f>
        <v/>
      </c>
      <c r="AO27" s="577" t="str">
        <f>IF(OR(SD_Details!AK21="",$BA27&gt;0),"",SD_Details!AK21)</f>
        <v/>
      </c>
      <c r="AP27" s="579" t="str">
        <f>IF(OR(SD_Details!AL21="",$BA27&gt;0),"",SD_Details!AL21)</f>
        <v/>
      </c>
      <c r="AQ27" s="578" t="str">
        <f>IF(OR(SD_Details!AM21="",$BA27&gt;0),"",SD_Details!AM21)</f>
        <v/>
      </c>
      <c r="AR27" s="308" t="str">
        <f>IF(OR(SD_Details!AB21="",$BA27&gt;0),"",SD_Details!AB21)</f>
        <v/>
      </c>
      <c r="AS27" s="307" t="str">
        <f>IF(OR(SD_Details!AC21="",$BA27&gt;0),"",SD_Details!AC21)</f>
        <v/>
      </c>
      <c r="AT27" s="307" t="str">
        <f>IF(OR(SD_Details!AD21="",$BA27&gt;0),"",SD_Details!AD21)</f>
        <v/>
      </c>
      <c r="AU27" s="307" t="str">
        <f>IF(OR(SD_Details!AE21="",$BA27&gt;0),"",SD_Details!AE21)</f>
        <v/>
      </c>
      <c r="AV27" s="307" t="str">
        <f>IF(OR(SD_Details!AF21="",$BA27&gt;0),"",SD_Details!AF21)</f>
        <v/>
      </c>
      <c r="AW27" s="307" t="str">
        <f>IF(OR(SD_Details!AG21="",$BA27&gt;0),"",SD_Details!AG21)</f>
        <v/>
      </c>
      <c r="AX27" s="305" t="str">
        <f>IF(OR(SD_Details!AH21="",$BA27&gt;0),"",SD_Details!AH21)</f>
        <v/>
      </c>
      <c r="AY27" s="292" t="str">
        <f>IF(OR(SD_Details!AI21="",$BA27&gt;0),"",SD_Details!AI21)</f>
        <v/>
      </c>
      <c r="AZ27" s="297" t="str">
        <f>IF(OR(SD_Details!AJ21="",$BA27&gt;0),"",SD_Details!AJ21)</f>
        <v/>
      </c>
      <c r="BA27" s="297" t="str">
        <f>IF(OR(SD_Details!BK21="",SD_Details!BK21=12),"",IF(SD_Details!BK21=13,1,IF(SD_Details!BK21=7,2,IF(SD_Details!BK21=2,3,IF(SD_Details!BK21=1,4,IF(SD_Details!BK21=30,5,IF(SD_Details!BK21=28,7,IF(AND($BB$16=1,'Configs &amp; Procedures'!$F$44&gt;0),6,IF(SD_Details!BK21=15,8,IF(SD_Details!BK21=0,0,9))))))))))</f>
        <v/>
      </c>
      <c r="BB27" s="855"/>
      <c r="BC27" s="855"/>
      <c r="BD27" s="855"/>
      <c r="BE27" s="855"/>
      <c r="BF27" s="855"/>
      <c r="BG27" s="855"/>
      <c r="BH27" s="855"/>
      <c r="BI27" s="855"/>
      <c r="BJ27" s="855"/>
      <c r="BK27" s="855"/>
      <c r="BL27" s="855"/>
      <c r="BM27" s="855"/>
      <c r="BN27" s="855"/>
      <c r="BO27" s="855"/>
      <c r="BP27" s="855"/>
      <c r="BQ27" s="855"/>
      <c r="BR27" s="855"/>
      <c r="BS27" s="855"/>
      <c r="BT27" s="855"/>
      <c r="BU27" s="855"/>
      <c r="BV27" s="855"/>
      <c r="BW27" s="855"/>
      <c r="BX27" s="855"/>
      <c r="BY27" s="855"/>
      <c r="BZ27" s="855"/>
    </row>
    <row r="28" spans="2:78">
      <c r="B28" s="566">
        <v>13</v>
      </c>
      <c r="C28" s="1180" t="str">
        <f t="shared" si="5"/>
        <v/>
      </c>
      <c r="D28" s="574" t="str">
        <f>IF(SD_Details!I22="","",SD_Details!I22)</f>
        <v/>
      </c>
      <c r="E28" s="573" t="str">
        <f>IF(SD_Details!J22="","",SD_Details!J22)</f>
        <v/>
      </c>
      <c r="F28" s="307" t="str">
        <f>IF(SD_Details!K22="","",SD_Details!K22)</f>
        <v/>
      </c>
      <c r="G28" s="292" t="str">
        <f>IF(SD_Details!L22="","",SD_Details!L22)</f>
        <v/>
      </c>
      <c r="H28" s="308" t="str">
        <f>IF(OR(SD_Details!M22="",$BA28&gt;0),"",SD_Details!M22)</f>
        <v/>
      </c>
      <c r="I28" s="292" t="str">
        <f>IF(OR(SD_Details!N22="",$BA28&gt;0),"",SD_Details!N22)</f>
        <v/>
      </c>
      <c r="J28" s="308" t="str">
        <f>IF(OR(SD_Details!AN22="",BA28&gt;0),"",SD_Details!AN22)</f>
        <v/>
      </c>
      <c r="K28" s="575" t="str">
        <f>IF(OR(SD_Details!AV22="",BA28&gt;0),"",SD_Details!AV22)</f>
        <v/>
      </c>
      <c r="L28" s="852" t="str">
        <f>IF(OR(SD_Details!BD22="",BA28&gt;0),"",SD_Details!BD22)</f>
        <v/>
      </c>
      <c r="M28" s="308" t="str">
        <f>IF(OR(SD_Details!AO22="",BA28&gt;0),"",SD_Details!AO22)</f>
        <v/>
      </c>
      <c r="N28" s="575" t="str">
        <f>IF(OR(SD_Details!AW22="",BA28&gt;0),"",SD_Details!AW22)</f>
        <v/>
      </c>
      <c r="O28" s="576" t="str">
        <f>IF(OR(SD_Details!BE22="",BA28&gt;0),"",SD_Details!BE22)</f>
        <v/>
      </c>
      <c r="P28" s="308" t="str">
        <f>IF(OR(SD_Details!AP22="",BA28&gt;0),"",SD_Details!AP22)</f>
        <v/>
      </c>
      <c r="Q28" s="575" t="str">
        <f>IF(OR(SD_Details!AX22="",BA28&gt;0),"",SD_Details!AX22)</f>
        <v/>
      </c>
      <c r="R28" s="576" t="str">
        <f>IF(OR(SD_Details!BF22="",BA28&gt;0),"",SD_Details!BF22)</f>
        <v/>
      </c>
      <c r="S28" s="308" t="str">
        <f>IF(OR(SD_Details!AQ22="",BA28&gt;0),"",SD_Details!AQ22)</f>
        <v/>
      </c>
      <c r="T28" s="575" t="str">
        <f>IF(OR(SD_Details!AY22="",BA28&gt;0),"",SD_Details!AY22)</f>
        <v/>
      </c>
      <c r="U28" s="576" t="str">
        <f>IF(OR(SD_Details!BG22="",BA28&gt;0),"",SD_Details!BG22)</f>
        <v/>
      </c>
      <c r="V28" s="308" t="str">
        <f>IF(OR(SD_Details!AR22="",BA28&gt;0),"",SD_Details!AR22)</f>
        <v/>
      </c>
      <c r="W28" s="575" t="str">
        <f>IF(OR(SD_Details!AZ22="",BA28&gt;0),"",SD_Details!AZ22)</f>
        <v/>
      </c>
      <c r="X28" s="576" t="str">
        <f>IF(OR(SD_Details!BH22="",BA28&gt;0),"",SD_Details!BH22)</f>
        <v/>
      </c>
      <c r="Y28" s="308" t="str">
        <f>IF(OR(SD_Details!AS22="",BA28&gt;0),"",SD_Details!AS22)</f>
        <v/>
      </c>
      <c r="Z28" s="575" t="str">
        <f>IF(OR(SD_Details!BA22="",BA28&gt;0),"",SD_Details!BA22)</f>
        <v/>
      </c>
      <c r="AA28" s="308" t="str">
        <f>IF(OR(SD_Details!AT22="",BA28&gt;0),"",SD_Details!AT22)</f>
        <v/>
      </c>
      <c r="AB28" s="575" t="str">
        <f>IF(OR(SD_Details!BB22="",BA28&gt;0),"",SD_Details!BB22)</f>
        <v/>
      </c>
      <c r="AC28" s="308" t="str">
        <f>IF(OR(SD_Details!AU22="",BA28&gt;0),"",SD_Details!AU22)</f>
        <v/>
      </c>
      <c r="AD28" s="575" t="str">
        <f>IF(OR(SD_Details!BC22="",BA28&gt;0),"",SD_Details!BC22)</f>
        <v/>
      </c>
      <c r="AE28" s="308" t="str">
        <f>IF(OR(SD_Details!R22="",$BA28&gt;0),"",SD_Details!R22)</f>
        <v/>
      </c>
      <c r="AF28" s="305" t="str">
        <f>IF(OR(SD_Details!S22="",$BA28&gt;0),"",SD_Details!S22)</f>
        <v/>
      </c>
      <c r="AG28" s="577" t="str">
        <f>IF(OR(SD_Details!T22="",$BA28&gt;0),"",SD_Details!T22)</f>
        <v/>
      </c>
      <c r="AH28" s="306" t="str">
        <f>IF(OR(SD_Details!U22="",$BA28&gt;0),"",SD_Details!U22)</f>
        <v/>
      </c>
      <c r="AI28" s="308" t="str">
        <f>IF(OR(SD_Details!V22="",$BA28&gt;0),"",SD_Details!V22)</f>
        <v/>
      </c>
      <c r="AJ28" s="573" t="str">
        <f>IF(OR(SD_Details!W22="",$BA28&gt;0),"",SD_Details!W22)</f>
        <v/>
      </c>
      <c r="AK28" s="305" t="str">
        <f>IF(OR(SD_Details!X22="",$BA28&gt;0),"",SD_Details!X22)</f>
        <v/>
      </c>
      <c r="AL28" s="308" t="str">
        <f>IF(OR(SD_Details!Y22="",$BA28&gt;0),"",SD_Details!Y22)</f>
        <v/>
      </c>
      <c r="AM28" s="573" t="str">
        <f>IF(OR(SD_Details!Z22="",$BA28&gt;0),"",SD_Details!Z22)</f>
        <v/>
      </c>
      <c r="AN28" s="578" t="str">
        <f>IF(OR(SD_Details!AA22="",$BA28&gt;0),"",SD_Details!AA22)</f>
        <v/>
      </c>
      <c r="AO28" s="577" t="str">
        <f>IF(OR(SD_Details!AK22="",$BA28&gt;0),"",SD_Details!AK22)</f>
        <v/>
      </c>
      <c r="AP28" s="579" t="str">
        <f>IF(OR(SD_Details!AL22="",$BA28&gt;0),"",SD_Details!AL22)</f>
        <v/>
      </c>
      <c r="AQ28" s="578" t="str">
        <f>IF(OR(SD_Details!AM22="",$BA28&gt;0),"",SD_Details!AM22)</f>
        <v/>
      </c>
      <c r="AR28" s="308" t="str">
        <f>IF(OR(SD_Details!AB22="",$BA28&gt;0),"",SD_Details!AB22)</f>
        <v/>
      </c>
      <c r="AS28" s="307" t="str">
        <f>IF(OR(SD_Details!AC22="",$BA28&gt;0),"",SD_Details!AC22)</f>
        <v/>
      </c>
      <c r="AT28" s="307" t="str">
        <f>IF(OR(SD_Details!AD22="",$BA28&gt;0),"",SD_Details!AD22)</f>
        <v/>
      </c>
      <c r="AU28" s="307" t="str">
        <f>IF(OR(SD_Details!AE22="",$BA28&gt;0),"",SD_Details!AE22)</f>
        <v/>
      </c>
      <c r="AV28" s="307" t="str">
        <f>IF(OR(SD_Details!AF22="",$BA28&gt;0),"",SD_Details!AF22)</f>
        <v/>
      </c>
      <c r="AW28" s="307" t="str">
        <f>IF(OR(SD_Details!AG22="",$BA28&gt;0),"",SD_Details!AG22)</f>
        <v/>
      </c>
      <c r="AX28" s="305" t="str">
        <f>IF(OR(SD_Details!AH22="",$BA28&gt;0),"",SD_Details!AH22)</f>
        <v/>
      </c>
      <c r="AY28" s="292" t="str">
        <f>IF(OR(SD_Details!AI22="",$BA28&gt;0),"",SD_Details!AI22)</f>
        <v/>
      </c>
      <c r="AZ28" s="297" t="str">
        <f>IF(OR(SD_Details!AJ22="",$BA28&gt;0),"",SD_Details!AJ22)</f>
        <v/>
      </c>
      <c r="BA28" s="297" t="str">
        <f>IF(OR(SD_Details!BK22="",SD_Details!BK22=12),"",IF(SD_Details!BK22=13,1,IF(SD_Details!BK22=7,2,IF(SD_Details!BK22=2,3,IF(SD_Details!BK22=1,4,IF(SD_Details!BK22=30,5,IF(SD_Details!BK22=28,7,IF(AND($BB$16=1,'Configs &amp; Procedures'!$F$44&gt;0),6,IF(SD_Details!BK22=15,8,IF(SD_Details!BK22=0,0,9))))))))))</f>
        <v/>
      </c>
      <c r="BB28" s="855"/>
      <c r="BC28" s="855"/>
      <c r="BD28" s="855"/>
      <c r="BE28" s="855"/>
      <c r="BF28" s="855"/>
      <c r="BG28" s="855"/>
      <c r="BH28" s="855"/>
      <c r="BI28" s="855"/>
      <c r="BJ28" s="855"/>
      <c r="BK28" s="855"/>
      <c r="BL28" s="855"/>
      <c r="BM28" s="855"/>
      <c r="BN28" s="855"/>
      <c r="BO28" s="855"/>
      <c r="BP28" s="855"/>
      <c r="BQ28" s="855"/>
      <c r="BR28" s="855"/>
      <c r="BS28" s="855"/>
      <c r="BT28" s="855"/>
      <c r="BU28" s="855"/>
      <c r="BV28" s="855"/>
      <c r="BW28" s="855"/>
      <c r="BX28" s="855"/>
      <c r="BY28" s="855"/>
      <c r="BZ28" s="855"/>
    </row>
    <row r="29" spans="2:78">
      <c r="B29" s="572">
        <v>14</v>
      </c>
      <c r="C29" s="1179" t="str">
        <f t="shared" si="5"/>
        <v/>
      </c>
      <c r="D29" s="574" t="str">
        <f>IF(SD_Details!I23="","",SD_Details!I23)</f>
        <v/>
      </c>
      <c r="E29" s="573" t="str">
        <f>IF(SD_Details!J23="","",SD_Details!J23)</f>
        <v/>
      </c>
      <c r="F29" s="307" t="str">
        <f>IF(SD_Details!K23="","",SD_Details!K23)</f>
        <v/>
      </c>
      <c r="G29" s="292" t="str">
        <f>IF(SD_Details!L23="","",SD_Details!L23)</f>
        <v/>
      </c>
      <c r="H29" s="308" t="str">
        <f>IF(OR(SD_Details!M23="",$BA29&gt;0),"",SD_Details!M23)</f>
        <v/>
      </c>
      <c r="I29" s="292" t="str">
        <f>IF(OR(SD_Details!N23="",$BA29&gt;0),"",SD_Details!N23)</f>
        <v/>
      </c>
      <c r="J29" s="308" t="str">
        <f>IF(OR(SD_Details!AN23="",BA29&gt;0),"",SD_Details!AN23)</f>
        <v/>
      </c>
      <c r="K29" s="575" t="str">
        <f>IF(OR(SD_Details!AV23="",BA29&gt;0),"",SD_Details!AV23)</f>
        <v/>
      </c>
      <c r="L29" s="852" t="str">
        <f>IF(OR(SD_Details!BD23="",BA29&gt;0),"",SD_Details!BD23)</f>
        <v/>
      </c>
      <c r="M29" s="308" t="str">
        <f>IF(OR(SD_Details!AO23="",BA29&gt;0),"",SD_Details!AO23)</f>
        <v/>
      </c>
      <c r="N29" s="575" t="str">
        <f>IF(OR(SD_Details!AW23="",BA29&gt;0),"",SD_Details!AW23)</f>
        <v/>
      </c>
      <c r="O29" s="576" t="str">
        <f>IF(OR(SD_Details!BE23="",BA29&gt;0),"",SD_Details!BE23)</f>
        <v/>
      </c>
      <c r="P29" s="308" t="str">
        <f>IF(OR(SD_Details!AP23="",BA29&gt;0),"",SD_Details!AP23)</f>
        <v/>
      </c>
      <c r="Q29" s="575" t="str">
        <f>IF(OR(SD_Details!AX23="",BA29&gt;0),"",SD_Details!AX23)</f>
        <v/>
      </c>
      <c r="R29" s="576" t="str">
        <f>IF(OR(SD_Details!BF23="",BA29&gt;0),"",SD_Details!BF23)</f>
        <v/>
      </c>
      <c r="S29" s="308" t="str">
        <f>IF(OR(SD_Details!AQ23="",BA29&gt;0),"",SD_Details!AQ23)</f>
        <v/>
      </c>
      <c r="T29" s="575" t="str">
        <f>IF(OR(SD_Details!AY23="",BA29&gt;0),"",SD_Details!AY23)</f>
        <v/>
      </c>
      <c r="U29" s="576" t="str">
        <f>IF(OR(SD_Details!BG23="",BA29&gt;0),"",SD_Details!BG23)</f>
        <v/>
      </c>
      <c r="V29" s="308" t="str">
        <f>IF(OR(SD_Details!AR23="",BA29&gt;0),"",SD_Details!AR23)</f>
        <v/>
      </c>
      <c r="W29" s="575" t="str">
        <f>IF(OR(SD_Details!AZ23="",BA29&gt;0),"",SD_Details!AZ23)</f>
        <v/>
      </c>
      <c r="X29" s="576" t="str">
        <f>IF(OR(SD_Details!BH23="",BA29&gt;0),"",SD_Details!BH23)</f>
        <v/>
      </c>
      <c r="Y29" s="308" t="str">
        <f>IF(OR(SD_Details!AS23="",BA29&gt;0),"",SD_Details!AS23)</f>
        <v/>
      </c>
      <c r="Z29" s="575" t="str">
        <f>IF(OR(SD_Details!BA23="",BA29&gt;0),"",SD_Details!BA23)</f>
        <v/>
      </c>
      <c r="AA29" s="308" t="str">
        <f>IF(OR(SD_Details!AT23="",BA29&gt;0),"",SD_Details!AT23)</f>
        <v/>
      </c>
      <c r="AB29" s="575" t="str">
        <f>IF(OR(SD_Details!BB23="",BA29&gt;0),"",SD_Details!BB23)</f>
        <v/>
      </c>
      <c r="AC29" s="308" t="str">
        <f>IF(OR(SD_Details!AU23="",BA29&gt;0),"",SD_Details!AU23)</f>
        <v/>
      </c>
      <c r="AD29" s="575" t="str">
        <f>IF(OR(SD_Details!BC23="",BA29&gt;0),"",SD_Details!BC23)</f>
        <v/>
      </c>
      <c r="AE29" s="308" t="str">
        <f>IF(OR(SD_Details!R23="",$BA29&gt;0),"",SD_Details!R23)</f>
        <v/>
      </c>
      <c r="AF29" s="305" t="str">
        <f>IF(OR(SD_Details!S23="",$BA29&gt;0),"",SD_Details!S23)</f>
        <v/>
      </c>
      <c r="AG29" s="577" t="str">
        <f>IF(OR(SD_Details!T23="",$BA29&gt;0),"",SD_Details!T23)</f>
        <v/>
      </c>
      <c r="AH29" s="306" t="str">
        <f>IF(OR(SD_Details!U23="",$BA29&gt;0),"",SD_Details!U23)</f>
        <v/>
      </c>
      <c r="AI29" s="308" t="str">
        <f>IF(OR(SD_Details!V23="",$BA29&gt;0),"",SD_Details!V23)</f>
        <v/>
      </c>
      <c r="AJ29" s="573" t="str">
        <f>IF(OR(SD_Details!W23="",$BA29&gt;0),"",SD_Details!W23)</f>
        <v/>
      </c>
      <c r="AK29" s="305" t="str">
        <f>IF(OR(SD_Details!X23="",$BA29&gt;0),"",SD_Details!X23)</f>
        <v/>
      </c>
      <c r="AL29" s="308" t="str">
        <f>IF(OR(SD_Details!Y23="",$BA29&gt;0),"",SD_Details!Y23)</f>
        <v/>
      </c>
      <c r="AM29" s="573" t="str">
        <f>IF(OR(SD_Details!Z23="",$BA29&gt;0),"",SD_Details!Z23)</f>
        <v/>
      </c>
      <c r="AN29" s="578" t="str">
        <f>IF(OR(SD_Details!AA23="",$BA29&gt;0),"",SD_Details!AA23)</f>
        <v/>
      </c>
      <c r="AO29" s="577" t="str">
        <f>IF(OR(SD_Details!AK23="",$BA29&gt;0),"",SD_Details!AK23)</f>
        <v/>
      </c>
      <c r="AP29" s="579" t="str">
        <f>IF(OR(SD_Details!AL23="",$BA29&gt;0),"",SD_Details!AL23)</f>
        <v/>
      </c>
      <c r="AQ29" s="578" t="str">
        <f>IF(OR(SD_Details!AM23="",$BA29&gt;0),"",SD_Details!AM23)</f>
        <v/>
      </c>
      <c r="AR29" s="308" t="str">
        <f>IF(OR(SD_Details!AB23="",$BA29&gt;0),"",SD_Details!AB23)</f>
        <v/>
      </c>
      <c r="AS29" s="307" t="str">
        <f>IF(OR(SD_Details!AC23="",$BA29&gt;0),"",SD_Details!AC23)</f>
        <v/>
      </c>
      <c r="AT29" s="307" t="str">
        <f>IF(OR(SD_Details!AD23="",$BA29&gt;0),"",SD_Details!AD23)</f>
        <v/>
      </c>
      <c r="AU29" s="307" t="str">
        <f>IF(OR(SD_Details!AE23="",$BA29&gt;0),"",SD_Details!AE23)</f>
        <v/>
      </c>
      <c r="AV29" s="307" t="str">
        <f>IF(OR(SD_Details!AF23="",$BA29&gt;0),"",SD_Details!AF23)</f>
        <v/>
      </c>
      <c r="AW29" s="307" t="str">
        <f>IF(OR(SD_Details!AG23="",$BA29&gt;0),"",SD_Details!AG23)</f>
        <v/>
      </c>
      <c r="AX29" s="305" t="str">
        <f>IF(OR(SD_Details!AH23="",$BA29&gt;0),"",SD_Details!AH23)</f>
        <v/>
      </c>
      <c r="AY29" s="292" t="str">
        <f>IF(OR(SD_Details!AI23="",$BA29&gt;0),"",SD_Details!AI23)</f>
        <v/>
      </c>
      <c r="AZ29" s="297" t="str">
        <f>IF(OR(SD_Details!AJ23="",$BA29&gt;0),"",SD_Details!AJ23)</f>
        <v/>
      </c>
      <c r="BA29" s="297" t="str">
        <f>IF(OR(SD_Details!BK23="",SD_Details!BK23=12),"",IF(SD_Details!BK23=13,1,IF(SD_Details!BK23=7,2,IF(SD_Details!BK23=2,3,IF(SD_Details!BK23=1,4,IF(SD_Details!BK23=30,5,IF(SD_Details!BK23=28,7,IF(AND($BB$16=1,'Configs &amp; Procedures'!$F$44&gt;0),6,IF(SD_Details!BK23=15,8,IF(SD_Details!BK23=0,0,9))))))))))</f>
        <v/>
      </c>
      <c r="BB29" s="855"/>
      <c r="BC29" s="855"/>
      <c r="BD29" s="855"/>
      <c r="BE29" s="855"/>
      <c r="BF29" s="855"/>
      <c r="BG29" s="855"/>
      <c r="BH29" s="855"/>
      <c r="BI29" s="855"/>
      <c r="BJ29" s="855"/>
      <c r="BK29" s="855"/>
      <c r="BL29" s="855"/>
      <c r="BM29" s="855"/>
      <c r="BN29" s="855"/>
      <c r="BO29" s="855"/>
      <c r="BP29" s="855"/>
      <c r="BQ29" s="855"/>
      <c r="BR29" s="855"/>
      <c r="BS29" s="855"/>
      <c r="BT29" s="855"/>
      <c r="BU29" s="855"/>
      <c r="BV29" s="855"/>
      <c r="BW29" s="855"/>
      <c r="BX29" s="855"/>
      <c r="BY29" s="855"/>
      <c r="BZ29" s="855"/>
    </row>
    <row r="30" spans="2:78">
      <c r="B30" s="566">
        <v>15</v>
      </c>
      <c r="C30" s="1180" t="str">
        <f t="shared" si="5"/>
        <v/>
      </c>
      <c r="D30" s="574" t="str">
        <f>IF(SD_Details!I24="","",SD_Details!I24)</f>
        <v/>
      </c>
      <c r="E30" s="573" t="str">
        <f>IF(SD_Details!J24="","",SD_Details!J24)</f>
        <v/>
      </c>
      <c r="F30" s="307" t="str">
        <f>IF(SD_Details!K24="","",SD_Details!K24)</f>
        <v/>
      </c>
      <c r="G30" s="292" t="str">
        <f>IF(SD_Details!L24="","",SD_Details!L24)</f>
        <v/>
      </c>
      <c r="H30" s="308" t="str">
        <f>IF(OR(SD_Details!M24="",$BA30&gt;0),"",SD_Details!M24)</f>
        <v/>
      </c>
      <c r="I30" s="292" t="str">
        <f>IF(OR(SD_Details!N24="",$BA30&gt;0),"",SD_Details!N24)</f>
        <v/>
      </c>
      <c r="J30" s="308" t="str">
        <f>IF(OR(SD_Details!AN24="",BA30&gt;0),"",SD_Details!AN24)</f>
        <v/>
      </c>
      <c r="K30" s="575" t="str">
        <f>IF(OR(SD_Details!AV24="",BA30&gt;0),"",SD_Details!AV24)</f>
        <v/>
      </c>
      <c r="L30" s="852" t="str">
        <f>IF(OR(SD_Details!BD24="",BA30&gt;0),"",SD_Details!BD24)</f>
        <v/>
      </c>
      <c r="M30" s="308" t="str">
        <f>IF(OR(SD_Details!AO24="",BA30&gt;0),"",SD_Details!AO24)</f>
        <v/>
      </c>
      <c r="N30" s="575" t="str">
        <f>IF(OR(SD_Details!AW24="",BA30&gt;0),"",SD_Details!AW24)</f>
        <v/>
      </c>
      <c r="O30" s="576" t="str">
        <f>IF(OR(SD_Details!BE24="",BA30&gt;0),"",SD_Details!BE24)</f>
        <v/>
      </c>
      <c r="P30" s="308" t="str">
        <f>IF(OR(SD_Details!AP24="",BA30&gt;0),"",SD_Details!AP24)</f>
        <v/>
      </c>
      <c r="Q30" s="575" t="str">
        <f>IF(OR(SD_Details!AX24="",BA30&gt;0),"",SD_Details!AX24)</f>
        <v/>
      </c>
      <c r="R30" s="576" t="str">
        <f>IF(OR(SD_Details!BF24="",BA30&gt;0),"",SD_Details!BF24)</f>
        <v/>
      </c>
      <c r="S30" s="308" t="str">
        <f>IF(OR(SD_Details!AQ24="",BA30&gt;0),"",SD_Details!AQ24)</f>
        <v/>
      </c>
      <c r="T30" s="575" t="str">
        <f>IF(OR(SD_Details!AY24="",BA30&gt;0),"",SD_Details!AY24)</f>
        <v/>
      </c>
      <c r="U30" s="576" t="str">
        <f>IF(OR(SD_Details!BG24="",BA30&gt;0),"",SD_Details!BG24)</f>
        <v/>
      </c>
      <c r="V30" s="308" t="str">
        <f>IF(OR(SD_Details!AR24="",BA30&gt;0),"",SD_Details!AR24)</f>
        <v/>
      </c>
      <c r="W30" s="575" t="str">
        <f>IF(OR(SD_Details!AZ24="",BA30&gt;0),"",SD_Details!AZ24)</f>
        <v/>
      </c>
      <c r="X30" s="576" t="str">
        <f>IF(OR(SD_Details!BH24="",BA30&gt;0),"",SD_Details!BH24)</f>
        <v/>
      </c>
      <c r="Y30" s="308" t="str">
        <f>IF(OR(SD_Details!AS24="",BA30&gt;0),"",SD_Details!AS24)</f>
        <v/>
      </c>
      <c r="Z30" s="575" t="str">
        <f>IF(OR(SD_Details!BA24="",BA30&gt;0),"",SD_Details!BA24)</f>
        <v/>
      </c>
      <c r="AA30" s="308" t="str">
        <f>IF(OR(SD_Details!AT24="",BA30&gt;0),"",SD_Details!AT24)</f>
        <v/>
      </c>
      <c r="AB30" s="575" t="str">
        <f>IF(OR(SD_Details!BB24="",BA30&gt;0),"",SD_Details!BB24)</f>
        <v/>
      </c>
      <c r="AC30" s="308" t="str">
        <f>IF(OR(SD_Details!AU24="",BA30&gt;0),"",SD_Details!AU24)</f>
        <v/>
      </c>
      <c r="AD30" s="575" t="str">
        <f>IF(OR(SD_Details!BC24="",BA30&gt;0),"",SD_Details!BC24)</f>
        <v/>
      </c>
      <c r="AE30" s="308" t="str">
        <f>IF(OR(SD_Details!R24="",$BA30&gt;0),"",SD_Details!R24)</f>
        <v/>
      </c>
      <c r="AF30" s="305" t="str">
        <f>IF(OR(SD_Details!S24="",$BA30&gt;0),"",SD_Details!S24)</f>
        <v/>
      </c>
      <c r="AG30" s="577" t="str">
        <f>IF(OR(SD_Details!T24="",$BA30&gt;0),"",SD_Details!T24)</f>
        <v/>
      </c>
      <c r="AH30" s="306" t="str">
        <f>IF(OR(SD_Details!U24="",$BA30&gt;0),"",SD_Details!U24)</f>
        <v/>
      </c>
      <c r="AI30" s="308" t="str">
        <f>IF(OR(SD_Details!V24="",$BA30&gt;0),"",SD_Details!V24)</f>
        <v/>
      </c>
      <c r="AJ30" s="573" t="str">
        <f>IF(OR(SD_Details!W24="",$BA30&gt;0),"",SD_Details!W24)</f>
        <v/>
      </c>
      <c r="AK30" s="305" t="str">
        <f>IF(OR(SD_Details!X24="",$BA30&gt;0),"",SD_Details!X24)</f>
        <v/>
      </c>
      <c r="AL30" s="308" t="str">
        <f>IF(OR(SD_Details!Y24="",$BA30&gt;0),"",SD_Details!Y24)</f>
        <v/>
      </c>
      <c r="AM30" s="573" t="str">
        <f>IF(OR(SD_Details!Z24="",$BA30&gt;0),"",SD_Details!Z24)</f>
        <v/>
      </c>
      <c r="AN30" s="578" t="str">
        <f>IF(OR(SD_Details!AA24="",$BA30&gt;0),"",SD_Details!AA24)</f>
        <v/>
      </c>
      <c r="AO30" s="577" t="str">
        <f>IF(OR(SD_Details!AK24="",$BA30&gt;0),"",SD_Details!AK24)</f>
        <v/>
      </c>
      <c r="AP30" s="579" t="str">
        <f>IF(OR(SD_Details!AL24="",$BA30&gt;0),"",SD_Details!AL24)</f>
        <v/>
      </c>
      <c r="AQ30" s="578" t="str">
        <f>IF(OR(SD_Details!AM24="",$BA30&gt;0),"",SD_Details!AM24)</f>
        <v/>
      </c>
      <c r="AR30" s="308" t="str">
        <f>IF(OR(SD_Details!AB24="",$BA30&gt;0),"",SD_Details!AB24)</f>
        <v/>
      </c>
      <c r="AS30" s="307" t="str">
        <f>IF(OR(SD_Details!AC24="",$BA30&gt;0),"",SD_Details!AC24)</f>
        <v/>
      </c>
      <c r="AT30" s="307" t="str">
        <f>IF(OR(SD_Details!AD24="",$BA30&gt;0),"",SD_Details!AD24)</f>
        <v/>
      </c>
      <c r="AU30" s="307" t="str">
        <f>IF(OR(SD_Details!AE24="",$BA30&gt;0),"",SD_Details!AE24)</f>
        <v/>
      </c>
      <c r="AV30" s="307" t="str">
        <f>IF(OR(SD_Details!AF24="",$BA30&gt;0),"",SD_Details!AF24)</f>
        <v/>
      </c>
      <c r="AW30" s="307" t="str">
        <f>IF(OR(SD_Details!AG24="",$BA30&gt;0),"",SD_Details!AG24)</f>
        <v/>
      </c>
      <c r="AX30" s="305" t="str">
        <f>IF(OR(SD_Details!AH24="",$BA30&gt;0),"",SD_Details!AH24)</f>
        <v/>
      </c>
      <c r="AY30" s="292" t="str">
        <f>IF(OR(SD_Details!AI24="",$BA30&gt;0),"",SD_Details!AI24)</f>
        <v/>
      </c>
      <c r="AZ30" s="297" t="str">
        <f>IF(OR(SD_Details!AJ24="",$BA30&gt;0),"",SD_Details!AJ24)</f>
        <v/>
      </c>
      <c r="BA30" s="297" t="str">
        <f>IF(OR(SD_Details!BK24="",SD_Details!BK24=12),"",IF(SD_Details!BK24=13,1,IF(SD_Details!BK24=7,2,IF(SD_Details!BK24=2,3,IF(SD_Details!BK24=1,4,IF(SD_Details!BK24=30,5,IF(SD_Details!BK24=28,7,IF(AND($BB$16=1,'Configs &amp; Procedures'!$F$44&gt;0),6,IF(SD_Details!BK24=15,8,IF(SD_Details!BK24=0,0,9))))))))))</f>
        <v/>
      </c>
      <c r="BB30" s="855"/>
      <c r="BC30" s="855"/>
      <c r="BD30" s="855"/>
      <c r="BE30" s="855"/>
      <c r="BF30" s="855"/>
      <c r="BG30" s="855"/>
      <c r="BH30" s="855"/>
      <c r="BI30" s="855"/>
      <c r="BJ30" s="855"/>
      <c r="BK30" s="855"/>
      <c r="BL30" s="855"/>
      <c r="BM30" s="855"/>
      <c r="BN30" s="855"/>
      <c r="BO30" s="855"/>
      <c r="BP30" s="855"/>
      <c r="BQ30" s="855"/>
      <c r="BR30" s="855"/>
      <c r="BS30" s="855"/>
      <c r="BT30" s="855"/>
      <c r="BU30" s="855"/>
      <c r="BV30" s="855"/>
      <c r="BW30" s="855"/>
      <c r="BX30" s="855"/>
      <c r="BY30" s="855"/>
      <c r="BZ30" s="855"/>
    </row>
    <row r="31" spans="2:78">
      <c r="B31" s="572">
        <v>16</v>
      </c>
      <c r="C31" s="1179" t="str">
        <f t="shared" si="5"/>
        <v/>
      </c>
      <c r="D31" s="574" t="str">
        <f>IF(SD_Details!I25="","",SD_Details!I25)</f>
        <v/>
      </c>
      <c r="E31" s="573" t="str">
        <f>IF(SD_Details!J25="","",SD_Details!J25)</f>
        <v/>
      </c>
      <c r="F31" s="307" t="str">
        <f>IF(SD_Details!K25="","",SD_Details!K25)</f>
        <v/>
      </c>
      <c r="G31" s="292" t="str">
        <f>IF(SD_Details!L25="","",SD_Details!L25)</f>
        <v/>
      </c>
      <c r="H31" s="308" t="str">
        <f>IF(OR(SD_Details!M25="",$BA31&gt;0),"",SD_Details!M25)</f>
        <v/>
      </c>
      <c r="I31" s="292" t="str">
        <f>IF(OR(SD_Details!N25="",$BA31&gt;0),"",SD_Details!N25)</f>
        <v/>
      </c>
      <c r="J31" s="308" t="str">
        <f>IF(OR(SD_Details!AN25="",BA31&gt;0),"",SD_Details!AN25)</f>
        <v/>
      </c>
      <c r="K31" s="575" t="str">
        <f>IF(OR(SD_Details!AV25="",BA31&gt;0),"",SD_Details!AV25)</f>
        <v/>
      </c>
      <c r="L31" s="852" t="str">
        <f>IF(OR(SD_Details!BD25="",BA31&gt;0),"",SD_Details!BD25)</f>
        <v/>
      </c>
      <c r="M31" s="308" t="str">
        <f>IF(OR(SD_Details!AO25="",BA31&gt;0),"",SD_Details!AO25)</f>
        <v/>
      </c>
      <c r="N31" s="575" t="str">
        <f>IF(OR(SD_Details!AW25="",BA31&gt;0),"",SD_Details!AW25)</f>
        <v/>
      </c>
      <c r="O31" s="576" t="str">
        <f>IF(OR(SD_Details!BE25="",BA31&gt;0),"",SD_Details!BE25)</f>
        <v/>
      </c>
      <c r="P31" s="308" t="str">
        <f>IF(OR(SD_Details!AP25="",BA31&gt;0),"",SD_Details!AP25)</f>
        <v/>
      </c>
      <c r="Q31" s="575" t="str">
        <f>IF(OR(SD_Details!AX25="",BA31&gt;0),"",SD_Details!AX25)</f>
        <v/>
      </c>
      <c r="R31" s="576" t="str">
        <f>IF(OR(SD_Details!BF25="",BA31&gt;0),"",SD_Details!BF25)</f>
        <v/>
      </c>
      <c r="S31" s="308" t="str">
        <f>IF(OR(SD_Details!AQ25="",BA31&gt;0),"",SD_Details!AQ25)</f>
        <v/>
      </c>
      <c r="T31" s="575" t="str">
        <f>IF(OR(SD_Details!AY25="",BA31&gt;0),"",SD_Details!AY25)</f>
        <v/>
      </c>
      <c r="U31" s="576" t="str">
        <f>IF(OR(SD_Details!BG25="",BA31&gt;0),"",SD_Details!BG25)</f>
        <v/>
      </c>
      <c r="V31" s="308" t="str">
        <f>IF(OR(SD_Details!AR25="",BA31&gt;0),"",SD_Details!AR25)</f>
        <v/>
      </c>
      <c r="W31" s="575" t="str">
        <f>IF(OR(SD_Details!AZ25="",BA31&gt;0),"",SD_Details!AZ25)</f>
        <v/>
      </c>
      <c r="X31" s="576" t="str">
        <f>IF(OR(SD_Details!BH25="",BA31&gt;0),"",SD_Details!BH25)</f>
        <v/>
      </c>
      <c r="Y31" s="308" t="str">
        <f>IF(OR(SD_Details!AS25="",BA31&gt;0),"",SD_Details!AS25)</f>
        <v/>
      </c>
      <c r="Z31" s="575" t="str">
        <f>IF(OR(SD_Details!BA25="",BA31&gt;0),"",SD_Details!BA25)</f>
        <v/>
      </c>
      <c r="AA31" s="308" t="str">
        <f>IF(OR(SD_Details!AT25="",BA31&gt;0),"",SD_Details!AT25)</f>
        <v/>
      </c>
      <c r="AB31" s="575" t="str">
        <f>IF(OR(SD_Details!BB25="",BA31&gt;0),"",SD_Details!BB25)</f>
        <v/>
      </c>
      <c r="AC31" s="308" t="str">
        <f>IF(OR(SD_Details!AU25="",BA31&gt;0),"",SD_Details!AU25)</f>
        <v/>
      </c>
      <c r="AD31" s="575" t="str">
        <f>IF(OR(SD_Details!BC25="",BA31&gt;0),"",SD_Details!BC25)</f>
        <v/>
      </c>
      <c r="AE31" s="308" t="str">
        <f>IF(OR(SD_Details!R25="",$BA31&gt;0),"",SD_Details!R25)</f>
        <v/>
      </c>
      <c r="AF31" s="305" t="str">
        <f>IF(OR(SD_Details!S25="",$BA31&gt;0),"",SD_Details!S25)</f>
        <v/>
      </c>
      <c r="AG31" s="577" t="str">
        <f>IF(OR(SD_Details!T25="",$BA31&gt;0),"",SD_Details!T25)</f>
        <v/>
      </c>
      <c r="AH31" s="306" t="str">
        <f>IF(OR(SD_Details!U25="",$BA31&gt;0),"",SD_Details!U25)</f>
        <v/>
      </c>
      <c r="AI31" s="308" t="str">
        <f>IF(OR(SD_Details!V25="",$BA31&gt;0),"",SD_Details!V25)</f>
        <v/>
      </c>
      <c r="AJ31" s="573" t="str">
        <f>IF(OR(SD_Details!W25="",$BA31&gt;0),"",SD_Details!W25)</f>
        <v/>
      </c>
      <c r="AK31" s="305" t="str">
        <f>IF(OR(SD_Details!X25="",$BA31&gt;0),"",SD_Details!X25)</f>
        <v/>
      </c>
      <c r="AL31" s="308" t="str">
        <f>IF(OR(SD_Details!Y25="",$BA31&gt;0),"",SD_Details!Y25)</f>
        <v/>
      </c>
      <c r="AM31" s="573" t="str">
        <f>IF(OR(SD_Details!Z25="",$BA31&gt;0),"",SD_Details!Z25)</f>
        <v/>
      </c>
      <c r="AN31" s="578" t="str">
        <f>IF(OR(SD_Details!AA25="",$BA31&gt;0),"",SD_Details!AA25)</f>
        <v/>
      </c>
      <c r="AO31" s="577" t="str">
        <f>IF(OR(SD_Details!AK25="",$BA31&gt;0),"",SD_Details!AK25)</f>
        <v/>
      </c>
      <c r="AP31" s="579" t="str">
        <f>IF(OR(SD_Details!AL25="",$BA31&gt;0),"",SD_Details!AL25)</f>
        <v/>
      </c>
      <c r="AQ31" s="578" t="str">
        <f>IF(OR(SD_Details!AM25="",$BA31&gt;0),"",SD_Details!AM25)</f>
        <v/>
      </c>
      <c r="AR31" s="308" t="str">
        <f>IF(OR(SD_Details!AB25="",$BA31&gt;0),"",SD_Details!AB25)</f>
        <v/>
      </c>
      <c r="AS31" s="307" t="str">
        <f>IF(OR(SD_Details!AC25="",$BA31&gt;0),"",SD_Details!AC25)</f>
        <v/>
      </c>
      <c r="AT31" s="307" t="str">
        <f>IF(OR(SD_Details!AD25="",$BA31&gt;0),"",SD_Details!AD25)</f>
        <v/>
      </c>
      <c r="AU31" s="307" t="str">
        <f>IF(OR(SD_Details!AE25="",$BA31&gt;0),"",SD_Details!AE25)</f>
        <v/>
      </c>
      <c r="AV31" s="307" t="str">
        <f>IF(OR(SD_Details!AF25="",$BA31&gt;0),"",SD_Details!AF25)</f>
        <v/>
      </c>
      <c r="AW31" s="307" t="str">
        <f>IF(OR(SD_Details!AG25="",$BA31&gt;0),"",SD_Details!AG25)</f>
        <v/>
      </c>
      <c r="AX31" s="305" t="str">
        <f>IF(OR(SD_Details!AH25="",$BA31&gt;0),"",SD_Details!AH25)</f>
        <v/>
      </c>
      <c r="AY31" s="292" t="str">
        <f>IF(OR(SD_Details!AI25="",$BA31&gt;0),"",SD_Details!AI25)</f>
        <v/>
      </c>
      <c r="AZ31" s="297" t="str">
        <f>IF(OR(SD_Details!AJ25="",$BA31&gt;0),"",SD_Details!AJ25)</f>
        <v/>
      </c>
      <c r="BA31" s="297" t="str">
        <f>IF(OR(SD_Details!BK25="",SD_Details!BK25=12),"",IF(SD_Details!BK25=13,1,IF(SD_Details!BK25=7,2,IF(SD_Details!BK25=2,3,IF(SD_Details!BK25=1,4,IF(SD_Details!BK25=30,5,IF(SD_Details!BK25=28,7,IF(AND($BB$16=1,'Configs &amp; Procedures'!$F$44&gt;0),6,IF(SD_Details!BK25=15,8,IF(SD_Details!BK25=0,0,9))))))))))</f>
        <v/>
      </c>
      <c r="BB31" s="855"/>
      <c r="BC31" s="855"/>
      <c r="BD31" s="855"/>
      <c r="BE31" s="855"/>
      <c r="BF31" s="855"/>
      <c r="BG31" s="855"/>
      <c r="BH31" s="855"/>
      <c r="BI31" s="855"/>
      <c r="BJ31" s="855"/>
      <c r="BK31" s="855"/>
      <c r="BL31" s="855"/>
      <c r="BM31" s="855"/>
      <c r="BN31" s="855"/>
      <c r="BO31" s="855"/>
      <c r="BP31" s="855"/>
      <c r="BQ31" s="855"/>
      <c r="BR31" s="855"/>
      <c r="BS31" s="855"/>
      <c r="BT31" s="855"/>
      <c r="BU31" s="855"/>
      <c r="BV31" s="855"/>
      <c r="BW31" s="855"/>
      <c r="BX31" s="855"/>
      <c r="BY31" s="855"/>
      <c r="BZ31" s="855"/>
    </row>
    <row r="32" spans="2:78">
      <c r="B32" s="566">
        <v>17</v>
      </c>
      <c r="C32" s="1180" t="str">
        <f t="shared" si="5"/>
        <v/>
      </c>
      <c r="D32" s="574" t="str">
        <f>IF(SD_Details!I26="","",SD_Details!I26)</f>
        <v/>
      </c>
      <c r="E32" s="573" t="str">
        <f>IF(SD_Details!J26="","",SD_Details!J26)</f>
        <v/>
      </c>
      <c r="F32" s="307" t="str">
        <f>IF(SD_Details!K26="","",SD_Details!K26)</f>
        <v/>
      </c>
      <c r="G32" s="292" t="str">
        <f>IF(SD_Details!L26="","",SD_Details!L26)</f>
        <v/>
      </c>
      <c r="H32" s="308" t="str">
        <f>IF(OR(SD_Details!M26="",$BA32&gt;0),"",SD_Details!M26)</f>
        <v/>
      </c>
      <c r="I32" s="292" t="str">
        <f>IF(OR(SD_Details!N26="",$BA32&gt;0),"",SD_Details!N26)</f>
        <v/>
      </c>
      <c r="J32" s="308" t="str">
        <f>IF(OR(SD_Details!AN26="",BA32&gt;0),"",SD_Details!AN26)</f>
        <v/>
      </c>
      <c r="K32" s="575" t="str">
        <f>IF(OR(SD_Details!AV26="",BA32&gt;0),"",SD_Details!AV26)</f>
        <v/>
      </c>
      <c r="L32" s="852" t="str">
        <f>IF(OR(SD_Details!BD26="",BA32&gt;0),"",SD_Details!BD26)</f>
        <v/>
      </c>
      <c r="M32" s="308" t="str">
        <f>IF(OR(SD_Details!AO26="",BA32&gt;0),"",SD_Details!AO26)</f>
        <v/>
      </c>
      <c r="N32" s="575" t="str">
        <f>IF(OR(SD_Details!AW26="",BA32&gt;0),"",SD_Details!AW26)</f>
        <v/>
      </c>
      <c r="O32" s="576" t="str">
        <f>IF(OR(SD_Details!BE26="",BA32&gt;0),"",SD_Details!BE26)</f>
        <v/>
      </c>
      <c r="P32" s="308" t="str">
        <f>IF(OR(SD_Details!AP26="",BA32&gt;0),"",SD_Details!AP26)</f>
        <v/>
      </c>
      <c r="Q32" s="575" t="str">
        <f>IF(OR(SD_Details!AX26="",BA32&gt;0),"",SD_Details!AX26)</f>
        <v/>
      </c>
      <c r="R32" s="576" t="str">
        <f>IF(OR(SD_Details!BF26="",BA32&gt;0),"",SD_Details!BF26)</f>
        <v/>
      </c>
      <c r="S32" s="308" t="str">
        <f>IF(OR(SD_Details!AQ26="",BA32&gt;0),"",SD_Details!AQ26)</f>
        <v/>
      </c>
      <c r="T32" s="575" t="str">
        <f>IF(OR(SD_Details!AY26="",BA32&gt;0),"",SD_Details!AY26)</f>
        <v/>
      </c>
      <c r="U32" s="576" t="str">
        <f>IF(OR(SD_Details!BG26="",BA32&gt;0),"",SD_Details!BG26)</f>
        <v/>
      </c>
      <c r="V32" s="308" t="str">
        <f>IF(OR(SD_Details!AR26="",BA32&gt;0),"",SD_Details!AR26)</f>
        <v/>
      </c>
      <c r="W32" s="575" t="str">
        <f>IF(OR(SD_Details!AZ26="",BA32&gt;0),"",SD_Details!AZ26)</f>
        <v/>
      </c>
      <c r="X32" s="576" t="str">
        <f>IF(OR(SD_Details!BH26="",BA32&gt;0),"",SD_Details!BH26)</f>
        <v/>
      </c>
      <c r="Y32" s="308" t="str">
        <f>IF(OR(SD_Details!AS26="",BA32&gt;0),"",SD_Details!AS26)</f>
        <v/>
      </c>
      <c r="Z32" s="575" t="str">
        <f>IF(OR(SD_Details!BA26="",BA32&gt;0),"",SD_Details!BA26)</f>
        <v/>
      </c>
      <c r="AA32" s="308" t="str">
        <f>IF(OR(SD_Details!AT26="",BA32&gt;0),"",SD_Details!AT26)</f>
        <v/>
      </c>
      <c r="AB32" s="575" t="str">
        <f>IF(OR(SD_Details!BB26="",BA32&gt;0),"",SD_Details!BB26)</f>
        <v/>
      </c>
      <c r="AC32" s="308" t="str">
        <f>IF(OR(SD_Details!AU26="",BA32&gt;0),"",SD_Details!AU26)</f>
        <v/>
      </c>
      <c r="AD32" s="575" t="str">
        <f>IF(OR(SD_Details!BC26="",BA32&gt;0),"",SD_Details!BC26)</f>
        <v/>
      </c>
      <c r="AE32" s="308" t="str">
        <f>IF(OR(SD_Details!R26="",$BA32&gt;0),"",SD_Details!R26)</f>
        <v/>
      </c>
      <c r="AF32" s="305" t="str">
        <f>IF(OR(SD_Details!S26="",$BA32&gt;0),"",SD_Details!S26)</f>
        <v/>
      </c>
      <c r="AG32" s="577" t="str">
        <f>IF(OR(SD_Details!T26="",$BA32&gt;0),"",SD_Details!T26)</f>
        <v/>
      </c>
      <c r="AH32" s="306" t="str">
        <f>IF(OR(SD_Details!U26="",$BA32&gt;0),"",SD_Details!U26)</f>
        <v/>
      </c>
      <c r="AI32" s="308" t="str">
        <f>IF(OR(SD_Details!V26="",$BA32&gt;0),"",SD_Details!V26)</f>
        <v/>
      </c>
      <c r="AJ32" s="573" t="str">
        <f>IF(OR(SD_Details!W26="",$BA32&gt;0),"",SD_Details!W26)</f>
        <v/>
      </c>
      <c r="AK32" s="305" t="str">
        <f>IF(OR(SD_Details!X26="",$BA32&gt;0),"",SD_Details!X26)</f>
        <v/>
      </c>
      <c r="AL32" s="308" t="str">
        <f>IF(OR(SD_Details!Y26="",$BA32&gt;0),"",SD_Details!Y26)</f>
        <v/>
      </c>
      <c r="AM32" s="573" t="str">
        <f>IF(OR(SD_Details!Z26="",$BA32&gt;0),"",SD_Details!Z26)</f>
        <v/>
      </c>
      <c r="AN32" s="578" t="str">
        <f>IF(OR(SD_Details!AA26="",$BA32&gt;0),"",SD_Details!AA26)</f>
        <v/>
      </c>
      <c r="AO32" s="577" t="str">
        <f>IF(OR(SD_Details!AK26="",$BA32&gt;0),"",SD_Details!AK26)</f>
        <v/>
      </c>
      <c r="AP32" s="579" t="str">
        <f>IF(OR(SD_Details!AL26="",$BA32&gt;0),"",SD_Details!AL26)</f>
        <v/>
      </c>
      <c r="AQ32" s="578" t="str">
        <f>IF(OR(SD_Details!AM26="",$BA32&gt;0),"",SD_Details!AM26)</f>
        <v/>
      </c>
      <c r="AR32" s="308" t="str">
        <f>IF(OR(SD_Details!AB26="",$BA32&gt;0),"",SD_Details!AB26)</f>
        <v/>
      </c>
      <c r="AS32" s="307" t="str">
        <f>IF(OR(SD_Details!AC26="",$BA32&gt;0),"",SD_Details!AC26)</f>
        <v/>
      </c>
      <c r="AT32" s="307" t="str">
        <f>IF(OR(SD_Details!AD26="",$BA32&gt;0),"",SD_Details!AD26)</f>
        <v/>
      </c>
      <c r="AU32" s="307" t="str">
        <f>IF(OR(SD_Details!AE26="",$BA32&gt;0),"",SD_Details!AE26)</f>
        <v/>
      </c>
      <c r="AV32" s="307" t="str">
        <f>IF(OR(SD_Details!AF26="",$BA32&gt;0),"",SD_Details!AF26)</f>
        <v/>
      </c>
      <c r="AW32" s="307" t="str">
        <f>IF(OR(SD_Details!AG26="",$BA32&gt;0),"",SD_Details!AG26)</f>
        <v/>
      </c>
      <c r="AX32" s="305" t="str">
        <f>IF(OR(SD_Details!AH26="",$BA32&gt;0),"",SD_Details!AH26)</f>
        <v/>
      </c>
      <c r="AY32" s="292" t="str">
        <f>IF(OR(SD_Details!AI26="",$BA32&gt;0),"",SD_Details!AI26)</f>
        <v/>
      </c>
      <c r="AZ32" s="297" t="str">
        <f>IF(OR(SD_Details!AJ26="",$BA32&gt;0),"",SD_Details!AJ26)</f>
        <v/>
      </c>
      <c r="BA32" s="297" t="str">
        <f>IF(OR(SD_Details!BK26="",SD_Details!BK26=12),"",IF(SD_Details!BK26=13,1,IF(SD_Details!BK26=7,2,IF(SD_Details!BK26=2,3,IF(SD_Details!BK26=1,4,IF(SD_Details!BK26=30,5,IF(SD_Details!BK26=28,7,IF(AND($BB$16=1,'Configs &amp; Procedures'!$F$44&gt;0),6,IF(SD_Details!BK26=15,8,IF(SD_Details!BK26=0,0,9))))))))))</f>
        <v/>
      </c>
      <c r="BB32" s="855"/>
      <c r="BC32" s="855"/>
      <c r="BD32" s="855"/>
      <c r="BE32" s="855"/>
      <c r="BF32" s="855"/>
      <c r="BG32" s="855"/>
      <c r="BH32" s="855"/>
      <c r="BI32" s="855"/>
      <c r="BJ32" s="855"/>
      <c r="BK32" s="855"/>
      <c r="BL32" s="855"/>
      <c r="BM32" s="855"/>
      <c r="BN32" s="855"/>
      <c r="BO32" s="855"/>
      <c r="BP32" s="855"/>
      <c r="BQ32" s="855"/>
      <c r="BR32" s="855"/>
      <c r="BS32" s="855"/>
      <c r="BT32" s="855"/>
      <c r="BU32" s="855"/>
      <c r="BV32" s="855"/>
      <c r="BW32" s="855"/>
      <c r="BX32" s="855"/>
      <c r="BY32" s="855"/>
      <c r="BZ32" s="855"/>
    </row>
    <row r="33" spans="2:79">
      <c r="B33" s="572">
        <v>18</v>
      </c>
      <c r="C33" s="1179" t="str">
        <f t="shared" si="5"/>
        <v/>
      </c>
      <c r="D33" s="574" t="str">
        <f>IF(SD_Details!I27="","",SD_Details!I27)</f>
        <v/>
      </c>
      <c r="E33" s="573" t="str">
        <f>IF(SD_Details!J27="","",SD_Details!J27)</f>
        <v/>
      </c>
      <c r="F33" s="307" t="str">
        <f>IF(SD_Details!K27="","",SD_Details!K27)</f>
        <v/>
      </c>
      <c r="G33" s="292" t="str">
        <f>IF(SD_Details!L27="","",SD_Details!L27)</f>
        <v/>
      </c>
      <c r="H33" s="308" t="str">
        <f>IF(OR(SD_Details!M27="",$BA33&gt;0),"",SD_Details!M27)</f>
        <v/>
      </c>
      <c r="I33" s="292" t="str">
        <f>IF(OR(SD_Details!N27="",$BA33&gt;0),"",SD_Details!N27)</f>
        <v/>
      </c>
      <c r="J33" s="308" t="str">
        <f>IF(OR(SD_Details!AN27="",BA33&gt;0),"",SD_Details!AN27)</f>
        <v/>
      </c>
      <c r="K33" s="575" t="str">
        <f>IF(OR(SD_Details!AV27="",BA33&gt;0),"",SD_Details!AV27)</f>
        <v/>
      </c>
      <c r="L33" s="852" t="str">
        <f>IF(OR(SD_Details!BD27="",BA33&gt;0),"",SD_Details!BD27)</f>
        <v/>
      </c>
      <c r="M33" s="308" t="str">
        <f>IF(OR(SD_Details!AO27="",BA33&gt;0),"",SD_Details!AO27)</f>
        <v/>
      </c>
      <c r="N33" s="575" t="str">
        <f>IF(OR(SD_Details!AW27="",BA33&gt;0),"",SD_Details!AW27)</f>
        <v/>
      </c>
      <c r="O33" s="576" t="str">
        <f>IF(OR(SD_Details!BE27="",BA33&gt;0),"",SD_Details!BE27)</f>
        <v/>
      </c>
      <c r="P33" s="308" t="str">
        <f>IF(OR(SD_Details!AP27="",BA33&gt;0),"",SD_Details!AP27)</f>
        <v/>
      </c>
      <c r="Q33" s="575" t="str">
        <f>IF(OR(SD_Details!AX27="",BA33&gt;0),"",SD_Details!AX27)</f>
        <v/>
      </c>
      <c r="R33" s="576" t="str">
        <f>IF(OR(SD_Details!BF27="",BA33&gt;0),"",SD_Details!BF27)</f>
        <v/>
      </c>
      <c r="S33" s="308" t="str">
        <f>IF(OR(SD_Details!AQ27="",BA33&gt;0),"",SD_Details!AQ27)</f>
        <v/>
      </c>
      <c r="T33" s="575" t="str">
        <f>IF(OR(SD_Details!AY27="",BA33&gt;0),"",SD_Details!AY27)</f>
        <v/>
      </c>
      <c r="U33" s="576" t="str">
        <f>IF(OR(SD_Details!BG27="",BA33&gt;0),"",SD_Details!BG27)</f>
        <v/>
      </c>
      <c r="V33" s="308" t="str">
        <f>IF(OR(SD_Details!AR27="",BA33&gt;0),"",SD_Details!AR27)</f>
        <v/>
      </c>
      <c r="W33" s="575" t="str">
        <f>IF(OR(SD_Details!AZ27="",BA33&gt;0),"",SD_Details!AZ27)</f>
        <v/>
      </c>
      <c r="X33" s="576" t="str">
        <f>IF(OR(SD_Details!BH27="",BA33&gt;0),"",SD_Details!BH27)</f>
        <v/>
      </c>
      <c r="Y33" s="308" t="str">
        <f>IF(OR(SD_Details!AS27="",BA33&gt;0),"",SD_Details!AS27)</f>
        <v/>
      </c>
      <c r="Z33" s="575" t="str">
        <f>IF(OR(SD_Details!BA27="",BA33&gt;0),"",SD_Details!BA27)</f>
        <v/>
      </c>
      <c r="AA33" s="308" t="str">
        <f>IF(OR(SD_Details!AT27="",BA33&gt;0),"",SD_Details!AT27)</f>
        <v/>
      </c>
      <c r="AB33" s="575" t="str">
        <f>IF(OR(SD_Details!BB27="",BA33&gt;0),"",SD_Details!BB27)</f>
        <v/>
      </c>
      <c r="AC33" s="308" t="str">
        <f>IF(OR(SD_Details!AU27="",BA33&gt;0),"",SD_Details!AU27)</f>
        <v/>
      </c>
      <c r="AD33" s="575" t="str">
        <f>IF(OR(SD_Details!BC27="",BA33&gt;0),"",SD_Details!BC27)</f>
        <v/>
      </c>
      <c r="AE33" s="308" t="str">
        <f>IF(OR(SD_Details!R27="",$BA33&gt;0),"",SD_Details!R27)</f>
        <v/>
      </c>
      <c r="AF33" s="305" t="str">
        <f>IF(OR(SD_Details!S27="",$BA33&gt;0),"",SD_Details!S27)</f>
        <v/>
      </c>
      <c r="AG33" s="577" t="str">
        <f>IF(OR(SD_Details!T27="",$BA33&gt;0),"",SD_Details!T27)</f>
        <v/>
      </c>
      <c r="AH33" s="306" t="str">
        <f>IF(OR(SD_Details!U27="",$BA33&gt;0),"",SD_Details!U27)</f>
        <v/>
      </c>
      <c r="AI33" s="308" t="str">
        <f>IF(OR(SD_Details!V27="",$BA33&gt;0),"",SD_Details!V27)</f>
        <v/>
      </c>
      <c r="AJ33" s="573" t="str">
        <f>IF(OR(SD_Details!W27="",$BA33&gt;0),"",SD_Details!W27)</f>
        <v/>
      </c>
      <c r="AK33" s="305" t="str">
        <f>IF(OR(SD_Details!X27="",$BA33&gt;0),"",SD_Details!X27)</f>
        <v/>
      </c>
      <c r="AL33" s="308" t="str">
        <f>IF(OR(SD_Details!Y27="",$BA33&gt;0),"",SD_Details!Y27)</f>
        <v/>
      </c>
      <c r="AM33" s="573" t="str">
        <f>IF(OR(SD_Details!Z27="",$BA33&gt;0),"",SD_Details!Z27)</f>
        <v/>
      </c>
      <c r="AN33" s="578" t="str">
        <f>IF(OR(SD_Details!AA27="",$BA33&gt;0),"",SD_Details!AA27)</f>
        <v/>
      </c>
      <c r="AO33" s="577" t="str">
        <f>IF(OR(SD_Details!AK27="",$BA33&gt;0),"",SD_Details!AK27)</f>
        <v/>
      </c>
      <c r="AP33" s="579" t="str">
        <f>IF(OR(SD_Details!AL27="",$BA33&gt;0),"",SD_Details!AL27)</f>
        <v/>
      </c>
      <c r="AQ33" s="578" t="str">
        <f>IF(OR(SD_Details!AM27="",$BA33&gt;0),"",SD_Details!AM27)</f>
        <v/>
      </c>
      <c r="AR33" s="308" t="str">
        <f>IF(OR(SD_Details!AB27="",$BA33&gt;0),"",SD_Details!AB27)</f>
        <v/>
      </c>
      <c r="AS33" s="307" t="str">
        <f>IF(OR(SD_Details!AC27="",$BA33&gt;0),"",SD_Details!AC27)</f>
        <v/>
      </c>
      <c r="AT33" s="307" t="str">
        <f>IF(OR(SD_Details!AD27="",$BA33&gt;0),"",SD_Details!AD27)</f>
        <v/>
      </c>
      <c r="AU33" s="307" t="str">
        <f>IF(OR(SD_Details!AE27="",$BA33&gt;0),"",SD_Details!AE27)</f>
        <v/>
      </c>
      <c r="AV33" s="307" t="str">
        <f>IF(OR(SD_Details!AF27="",$BA33&gt;0),"",SD_Details!AF27)</f>
        <v/>
      </c>
      <c r="AW33" s="307" t="str">
        <f>IF(OR(SD_Details!AG27="",$BA33&gt;0),"",SD_Details!AG27)</f>
        <v/>
      </c>
      <c r="AX33" s="305" t="str">
        <f>IF(OR(SD_Details!AH27="",$BA33&gt;0),"",SD_Details!AH27)</f>
        <v/>
      </c>
      <c r="AY33" s="292" t="str">
        <f>IF(OR(SD_Details!AI27="",$BA33&gt;0),"",SD_Details!AI27)</f>
        <v/>
      </c>
      <c r="AZ33" s="297" t="str">
        <f>IF(OR(SD_Details!AJ27="",$BA33&gt;0),"",SD_Details!AJ27)</f>
        <v/>
      </c>
      <c r="BA33" s="297" t="str">
        <f>IF(OR(SD_Details!BK27="",SD_Details!BK27=12),"",IF(SD_Details!BK27=13,1,IF(SD_Details!BK27=7,2,IF(SD_Details!BK27=2,3,IF(SD_Details!BK27=1,4,IF(SD_Details!BK27=30,5,IF(SD_Details!BK27=28,7,IF(AND($BB$16=1,'Configs &amp; Procedures'!$F$44&gt;0),6,IF(SD_Details!BK27=15,8,IF(SD_Details!BK27=0,0,9))))))))))</f>
        <v/>
      </c>
      <c r="BB33" s="855"/>
      <c r="BC33" s="855"/>
      <c r="BD33" s="855"/>
      <c r="BE33" s="855"/>
      <c r="BF33" s="855"/>
      <c r="BG33" s="855"/>
      <c r="BH33" s="855"/>
      <c r="BI33" s="855"/>
      <c r="BJ33" s="855"/>
      <c r="BK33" s="855"/>
      <c r="BL33" s="855"/>
      <c r="BM33" s="855"/>
      <c r="BN33" s="855"/>
      <c r="BO33" s="855"/>
      <c r="BP33" s="855"/>
      <c r="BQ33" s="855"/>
      <c r="BR33" s="855"/>
      <c r="BS33" s="855"/>
      <c r="BT33" s="855"/>
      <c r="BU33" s="855"/>
      <c r="BV33" s="855"/>
      <c r="BW33" s="855"/>
      <c r="BX33" s="855"/>
      <c r="BY33" s="855"/>
      <c r="BZ33" s="855"/>
    </row>
    <row r="34" spans="2:79">
      <c r="B34" s="566">
        <v>19</v>
      </c>
      <c r="C34" s="1180" t="str">
        <f t="shared" si="5"/>
        <v/>
      </c>
      <c r="D34" s="574" t="str">
        <f>IF(SD_Details!I28="","",SD_Details!I28)</f>
        <v/>
      </c>
      <c r="E34" s="573" t="str">
        <f>IF(SD_Details!J28="","",SD_Details!J28)</f>
        <v/>
      </c>
      <c r="F34" s="307" t="str">
        <f>IF(SD_Details!K28="","",SD_Details!K28)</f>
        <v/>
      </c>
      <c r="G34" s="292" t="str">
        <f>IF(SD_Details!L28="","",SD_Details!L28)</f>
        <v/>
      </c>
      <c r="H34" s="308" t="str">
        <f>IF(OR(SD_Details!M28="",$BA34&gt;0),"",SD_Details!M28)</f>
        <v/>
      </c>
      <c r="I34" s="292" t="str">
        <f>IF(OR(SD_Details!N28="",$BA34&gt;0),"",SD_Details!N28)</f>
        <v/>
      </c>
      <c r="J34" s="308" t="str">
        <f>IF(OR(SD_Details!AN28="",BA34&gt;0),"",SD_Details!AN28)</f>
        <v/>
      </c>
      <c r="K34" s="575" t="str">
        <f>IF(OR(SD_Details!AV28="",BA34&gt;0),"",SD_Details!AV28)</f>
        <v/>
      </c>
      <c r="L34" s="852" t="str">
        <f>IF(OR(SD_Details!BD28="",BA34&gt;0),"",SD_Details!BD28)</f>
        <v/>
      </c>
      <c r="M34" s="308" t="str">
        <f>IF(OR(SD_Details!AO28="",BA34&gt;0),"",SD_Details!AO28)</f>
        <v/>
      </c>
      <c r="N34" s="575" t="str">
        <f>IF(OR(SD_Details!AW28="",BA34&gt;0),"",SD_Details!AW28)</f>
        <v/>
      </c>
      <c r="O34" s="576" t="str">
        <f>IF(OR(SD_Details!BE28="",BA34&gt;0),"",SD_Details!BE28)</f>
        <v/>
      </c>
      <c r="P34" s="308" t="str">
        <f>IF(OR(SD_Details!AP28="",BA34&gt;0),"",SD_Details!AP28)</f>
        <v/>
      </c>
      <c r="Q34" s="575" t="str">
        <f>IF(OR(SD_Details!AX28="",BA34&gt;0),"",SD_Details!AX28)</f>
        <v/>
      </c>
      <c r="R34" s="576" t="str">
        <f>IF(OR(SD_Details!BF28="",BA34&gt;0),"",SD_Details!BF28)</f>
        <v/>
      </c>
      <c r="S34" s="308" t="str">
        <f>IF(OR(SD_Details!AQ28="",BA34&gt;0),"",SD_Details!AQ28)</f>
        <v/>
      </c>
      <c r="T34" s="575" t="str">
        <f>IF(OR(SD_Details!AY28="",BA34&gt;0),"",SD_Details!AY28)</f>
        <v/>
      </c>
      <c r="U34" s="576" t="str">
        <f>IF(OR(SD_Details!BG28="",BA34&gt;0),"",SD_Details!BG28)</f>
        <v/>
      </c>
      <c r="V34" s="308" t="str">
        <f>IF(OR(SD_Details!AR28="",BA34&gt;0),"",SD_Details!AR28)</f>
        <v/>
      </c>
      <c r="W34" s="575" t="str">
        <f>IF(OR(SD_Details!AZ28="",BA34&gt;0),"",SD_Details!AZ28)</f>
        <v/>
      </c>
      <c r="X34" s="576" t="str">
        <f>IF(OR(SD_Details!BH28="",BA34&gt;0),"",SD_Details!BH28)</f>
        <v/>
      </c>
      <c r="Y34" s="308" t="str">
        <f>IF(OR(SD_Details!AS28="",BA34&gt;0),"",SD_Details!AS28)</f>
        <v/>
      </c>
      <c r="Z34" s="575" t="str">
        <f>IF(OR(SD_Details!BA28="",BA34&gt;0),"",SD_Details!BA28)</f>
        <v/>
      </c>
      <c r="AA34" s="308" t="str">
        <f>IF(OR(SD_Details!AT28="",BA34&gt;0),"",SD_Details!AT28)</f>
        <v/>
      </c>
      <c r="AB34" s="575" t="str">
        <f>IF(OR(SD_Details!BB28="",BA34&gt;0),"",SD_Details!BB28)</f>
        <v/>
      </c>
      <c r="AC34" s="308" t="str">
        <f>IF(OR(SD_Details!AU28="",BA34&gt;0),"",SD_Details!AU28)</f>
        <v/>
      </c>
      <c r="AD34" s="575" t="str">
        <f>IF(OR(SD_Details!BC28="",BA34&gt;0),"",SD_Details!BC28)</f>
        <v/>
      </c>
      <c r="AE34" s="308" t="str">
        <f>IF(OR(SD_Details!R28="",$BA34&gt;0),"",SD_Details!R28)</f>
        <v/>
      </c>
      <c r="AF34" s="305" t="str">
        <f>IF(OR(SD_Details!S28="",$BA34&gt;0),"",SD_Details!S28)</f>
        <v/>
      </c>
      <c r="AG34" s="577" t="str">
        <f>IF(OR(SD_Details!T28="",$BA34&gt;0),"",SD_Details!T28)</f>
        <v/>
      </c>
      <c r="AH34" s="306" t="str">
        <f>IF(OR(SD_Details!U28="",$BA34&gt;0),"",SD_Details!U28)</f>
        <v/>
      </c>
      <c r="AI34" s="308" t="str">
        <f>IF(OR(SD_Details!V28="",$BA34&gt;0),"",SD_Details!V28)</f>
        <v/>
      </c>
      <c r="AJ34" s="573" t="str">
        <f>IF(OR(SD_Details!W28="",$BA34&gt;0),"",SD_Details!W28)</f>
        <v/>
      </c>
      <c r="AK34" s="305" t="str">
        <f>IF(OR(SD_Details!X28="",$BA34&gt;0),"",SD_Details!X28)</f>
        <v/>
      </c>
      <c r="AL34" s="308" t="str">
        <f>IF(OR(SD_Details!Y28="",$BA34&gt;0),"",SD_Details!Y28)</f>
        <v/>
      </c>
      <c r="AM34" s="573" t="str">
        <f>IF(OR(SD_Details!Z28="",$BA34&gt;0),"",SD_Details!Z28)</f>
        <v/>
      </c>
      <c r="AN34" s="578" t="str">
        <f>IF(OR(SD_Details!AA28="",$BA34&gt;0),"",SD_Details!AA28)</f>
        <v/>
      </c>
      <c r="AO34" s="577" t="str">
        <f>IF(OR(SD_Details!AK28="",$BA34&gt;0),"",SD_Details!AK28)</f>
        <v/>
      </c>
      <c r="AP34" s="579" t="str">
        <f>IF(OR(SD_Details!AL28="",$BA34&gt;0),"",SD_Details!AL28)</f>
        <v/>
      </c>
      <c r="AQ34" s="578" t="str">
        <f>IF(OR(SD_Details!AM28="",$BA34&gt;0),"",SD_Details!AM28)</f>
        <v/>
      </c>
      <c r="AR34" s="308" t="str">
        <f>IF(OR(SD_Details!AB28="",$BA34&gt;0),"",SD_Details!AB28)</f>
        <v/>
      </c>
      <c r="AS34" s="307" t="str">
        <f>IF(OR(SD_Details!AC28="",$BA34&gt;0),"",SD_Details!AC28)</f>
        <v/>
      </c>
      <c r="AT34" s="307" t="str">
        <f>IF(OR(SD_Details!AD28="",$BA34&gt;0),"",SD_Details!AD28)</f>
        <v/>
      </c>
      <c r="AU34" s="307" t="str">
        <f>IF(OR(SD_Details!AE28="",$BA34&gt;0),"",SD_Details!AE28)</f>
        <v/>
      </c>
      <c r="AV34" s="307" t="str">
        <f>IF(OR(SD_Details!AF28="",$BA34&gt;0),"",SD_Details!AF28)</f>
        <v/>
      </c>
      <c r="AW34" s="307" t="str">
        <f>IF(OR(SD_Details!AG28="",$BA34&gt;0),"",SD_Details!AG28)</f>
        <v/>
      </c>
      <c r="AX34" s="305" t="str">
        <f>IF(OR(SD_Details!AH28="",$BA34&gt;0),"",SD_Details!AH28)</f>
        <v/>
      </c>
      <c r="AY34" s="292" t="str">
        <f>IF(OR(SD_Details!AI28="",$BA34&gt;0),"",SD_Details!AI28)</f>
        <v/>
      </c>
      <c r="AZ34" s="297" t="str">
        <f>IF(OR(SD_Details!AJ28="",$BA34&gt;0),"",SD_Details!AJ28)</f>
        <v/>
      </c>
      <c r="BA34" s="297" t="str">
        <f>IF(OR(SD_Details!BK28="",SD_Details!BK28=12),"",IF(SD_Details!BK28=13,1,IF(SD_Details!BK28=7,2,IF(SD_Details!BK28=2,3,IF(SD_Details!BK28=1,4,IF(SD_Details!BK28=30,5,IF(SD_Details!BK28=28,7,IF(AND($BB$16=1,'Configs &amp; Procedures'!$F$44&gt;0),6,IF(SD_Details!BK28=15,8,IF(SD_Details!BK28=0,0,9))))))))))</f>
        <v/>
      </c>
      <c r="BB34" s="855"/>
      <c r="BC34" s="855"/>
      <c r="BD34" s="855"/>
      <c r="BE34" s="855"/>
      <c r="BF34" s="855"/>
      <c r="BG34" s="855"/>
      <c r="BH34" s="855"/>
      <c r="BI34" s="855"/>
      <c r="BJ34" s="855"/>
      <c r="BK34" s="855"/>
      <c r="BL34" s="855"/>
      <c r="BM34" s="855"/>
      <c r="BN34" s="855"/>
      <c r="BO34" s="855"/>
      <c r="BP34" s="855"/>
      <c r="BQ34" s="855"/>
      <c r="BR34" s="855"/>
      <c r="BS34" s="855"/>
      <c r="BT34" s="855"/>
      <c r="BU34" s="855"/>
      <c r="BV34" s="855"/>
      <c r="BW34" s="855"/>
      <c r="BX34" s="855"/>
      <c r="BY34" s="855"/>
      <c r="BZ34" s="855"/>
    </row>
    <row r="35" spans="2:79" ht="13.5" thickBot="1">
      <c r="B35" s="580">
        <v>20</v>
      </c>
      <c r="C35" s="1181" t="str">
        <f t="shared" si="5"/>
        <v/>
      </c>
      <c r="D35" s="582" t="str">
        <f>IF(SD_Details!I29="","",SD_Details!I29)</f>
        <v/>
      </c>
      <c r="E35" s="581" t="str">
        <f>IF(SD_Details!J29="","",SD_Details!J29)</f>
        <v/>
      </c>
      <c r="F35" s="290" t="str">
        <f>IF(SD_Details!K29="","",SD_Details!K29)</f>
        <v/>
      </c>
      <c r="G35" s="275" t="str">
        <f>IF(SD_Details!L29="","",SD_Details!L29)</f>
        <v/>
      </c>
      <c r="H35" s="291" t="str">
        <f>IF(OR(SD_Details!M29="",$BA35&gt;0),"",SD_Details!M29)</f>
        <v/>
      </c>
      <c r="I35" s="275" t="str">
        <f>IF(OR(SD_Details!N29="",$BA35&gt;0),"",SD_Details!N29)</f>
        <v/>
      </c>
      <c r="J35" s="291" t="str">
        <f>IF(OR(SD_Details!AN29="",BA35&gt;0),"",SD_Details!AN29)</f>
        <v/>
      </c>
      <c r="K35" s="583" t="str">
        <f>IF(OR(SD_Details!AV29="",BA35&gt;0),"",SD_Details!AV29)</f>
        <v/>
      </c>
      <c r="L35" s="853" t="str">
        <f>IF(OR(SD_Details!BD29="",BA35&gt;0),"",SD_Details!BD29)</f>
        <v/>
      </c>
      <c r="M35" s="291" t="str">
        <f>IF(OR(SD_Details!AO29="",BA35&gt;0),"",SD_Details!AO29)</f>
        <v/>
      </c>
      <c r="N35" s="583" t="str">
        <f>IF(OR(SD_Details!AW29="",BA35&gt;0),"",SD_Details!AW29)</f>
        <v/>
      </c>
      <c r="O35" s="584" t="str">
        <f>IF(OR(SD_Details!BE29="",BA35&gt;0),"",SD_Details!BE29)</f>
        <v/>
      </c>
      <c r="P35" s="291" t="str">
        <f>IF(OR(SD_Details!AP29="",BA35&gt;0),"",SD_Details!AP29)</f>
        <v/>
      </c>
      <c r="Q35" s="583" t="str">
        <f>IF(OR(SD_Details!AX29="",BA35&gt;0),"",SD_Details!AX29)</f>
        <v/>
      </c>
      <c r="R35" s="584" t="str">
        <f>IF(OR(SD_Details!BF29="",BA35&gt;0),"",SD_Details!BF29)</f>
        <v/>
      </c>
      <c r="S35" s="291" t="str">
        <f>IF(OR(SD_Details!AQ29="",BA35&gt;0),"",SD_Details!AQ29)</f>
        <v/>
      </c>
      <c r="T35" s="583" t="str">
        <f>IF(OR(SD_Details!AY29="",BA35&gt;0),"",SD_Details!AY29)</f>
        <v/>
      </c>
      <c r="U35" s="584" t="str">
        <f>IF(OR(SD_Details!BG29="",BA35&gt;0),"",SD_Details!BG29)</f>
        <v/>
      </c>
      <c r="V35" s="291" t="str">
        <f>IF(OR(SD_Details!AR29="",BA35&gt;0),"",SD_Details!AR29)</f>
        <v/>
      </c>
      <c r="W35" s="583" t="str">
        <f>IF(OR(SD_Details!AZ29="",BA35&gt;0),"",SD_Details!AZ29)</f>
        <v/>
      </c>
      <c r="X35" s="584" t="str">
        <f>IF(OR(SD_Details!BH29="",BA35&gt;0),"",SD_Details!BH29)</f>
        <v/>
      </c>
      <c r="Y35" s="291" t="str">
        <f>IF(OR(SD_Details!AS29="",BA35&gt;0),"",SD_Details!AS29)</f>
        <v/>
      </c>
      <c r="Z35" s="583" t="str">
        <f>IF(OR(SD_Details!BA29="",BA35&gt;0),"",SD_Details!BA29)</f>
        <v/>
      </c>
      <c r="AA35" s="291" t="str">
        <f>IF(OR(SD_Details!AT29="",BA35&gt;0),"",SD_Details!AT29)</f>
        <v/>
      </c>
      <c r="AB35" s="583" t="str">
        <f>IF(OR(SD_Details!BB29="",BA35&gt;0),"",SD_Details!BB29)</f>
        <v/>
      </c>
      <c r="AC35" s="291" t="str">
        <f>IF(OR(SD_Details!AU29="",BA35&gt;0),"",SD_Details!AU29)</f>
        <v/>
      </c>
      <c r="AD35" s="583" t="str">
        <f>IF(OR(SD_Details!BC29="",BA35&gt;0),"",SD_Details!BC29)</f>
        <v/>
      </c>
      <c r="AE35" s="291" t="str">
        <f>IF(OR(SD_Details!R29="",$BA35&gt;0),"",SD_Details!R29)</f>
        <v/>
      </c>
      <c r="AF35" s="288" t="str">
        <f>IF(OR(SD_Details!S29="",$BA35&gt;0),"",SD_Details!S29)</f>
        <v/>
      </c>
      <c r="AG35" s="585" t="str">
        <f>IF(OR(SD_Details!T29="",$BA35&gt;0),"",SD_Details!T29)</f>
        <v/>
      </c>
      <c r="AH35" s="289" t="str">
        <f>IF(OR(SD_Details!U29="",$BA35&gt;0),"",SD_Details!U29)</f>
        <v/>
      </c>
      <c r="AI35" s="291" t="str">
        <f>IF(OR(SD_Details!V29="",$BA35&gt;0),"",SD_Details!V29)</f>
        <v/>
      </c>
      <c r="AJ35" s="581" t="str">
        <f>IF(OR(SD_Details!W29="",$BA35&gt;0),"",SD_Details!W29)</f>
        <v/>
      </c>
      <c r="AK35" s="288" t="str">
        <f>IF(OR(SD_Details!X29="",$BA35&gt;0),"",SD_Details!X29)</f>
        <v/>
      </c>
      <c r="AL35" s="291" t="str">
        <f>IF(OR(SD_Details!Y29="",$BA35&gt;0),"",SD_Details!Y29)</f>
        <v/>
      </c>
      <c r="AM35" s="581" t="str">
        <f>IF(OR(SD_Details!Z29="",$BA35&gt;0),"",SD_Details!Z29)</f>
        <v/>
      </c>
      <c r="AN35" s="586" t="str">
        <f>IF(OR(SD_Details!AA29="",$BA35&gt;0),"",SD_Details!AA29)</f>
        <v/>
      </c>
      <c r="AO35" s="585" t="str">
        <f>IF(OR(SD_Details!AK29="",$BA35&gt;0),"",SD_Details!AK29)</f>
        <v/>
      </c>
      <c r="AP35" s="587" t="str">
        <f>IF(OR(SD_Details!AL29="",$BA35&gt;0),"",SD_Details!AL29)</f>
        <v/>
      </c>
      <c r="AQ35" s="586" t="str">
        <f>IF(OR(SD_Details!AM29="",$BA35&gt;0),"",SD_Details!AM29)</f>
        <v/>
      </c>
      <c r="AR35" s="291" t="str">
        <f>IF(OR(SD_Details!AB29="",$BA35&gt;0),"",SD_Details!AB29)</f>
        <v/>
      </c>
      <c r="AS35" s="290" t="str">
        <f>IF(OR(SD_Details!AC29="",$BA35&gt;0),"",SD_Details!AC29)</f>
        <v/>
      </c>
      <c r="AT35" s="290" t="str">
        <f>IF(OR(SD_Details!AD29="",$BA35&gt;0),"",SD_Details!AD29)</f>
        <v/>
      </c>
      <c r="AU35" s="290" t="str">
        <f>IF(OR(SD_Details!AE29="",$BA35&gt;0),"",SD_Details!AE29)</f>
        <v/>
      </c>
      <c r="AV35" s="290" t="str">
        <f>IF(OR(SD_Details!AF29="",$BA35&gt;0),"",SD_Details!AF29)</f>
        <v/>
      </c>
      <c r="AW35" s="290" t="str">
        <f>IF(OR(SD_Details!AG29="",$BA35&gt;0),"",SD_Details!AG29)</f>
        <v/>
      </c>
      <c r="AX35" s="288" t="str">
        <f>IF(OR(SD_Details!AH29="",$BA35&gt;0),"",SD_Details!AH29)</f>
        <v/>
      </c>
      <c r="AY35" s="275" t="str">
        <f>IF(OR(SD_Details!AI29="",$BA35&gt;0),"",SD_Details!AI29)</f>
        <v/>
      </c>
      <c r="AZ35" s="280" t="str">
        <f>IF(OR(SD_Details!AJ29="",$BA35&gt;0),"",SD_Details!AJ29)</f>
        <v/>
      </c>
      <c r="BA35" s="280" t="str">
        <f>IF(OR(SD_Details!BK29="",SD_Details!BK29=12),"",IF(SD_Details!BK29=13,1,IF(SD_Details!BK29=7,2,IF(SD_Details!BK29=2,3,IF(SD_Details!BK29=1,4,IF(SD_Details!BK29=30,5,IF(SD_Details!BK29=28,7,IF(AND($BB$16=1,'Configs &amp; Procedures'!$F$44&gt;0),6,IF(SD_Details!BK29=15,8,IF(SD_Details!BK29=0,0,9))))))))))</f>
        <v/>
      </c>
      <c r="BB35" s="855"/>
      <c r="BC35" s="855"/>
      <c r="BD35" s="855"/>
      <c r="BE35" s="855"/>
      <c r="BF35" s="855"/>
      <c r="BG35" s="855"/>
      <c r="BH35" s="855"/>
      <c r="BI35" s="855"/>
      <c r="BJ35" s="855"/>
      <c r="BK35" s="855"/>
      <c r="BL35" s="855"/>
      <c r="BM35" s="855"/>
      <c r="BN35" s="855"/>
      <c r="BO35" s="855"/>
      <c r="BP35" s="855"/>
      <c r="BQ35" s="855"/>
      <c r="BR35" s="855"/>
      <c r="BS35" s="855"/>
      <c r="BT35" s="855"/>
      <c r="BU35" s="855"/>
      <c r="BV35" s="855"/>
      <c r="BW35" s="855"/>
      <c r="BX35" s="855"/>
      <c r="BY35" s="855"/>
      <c r="BZ35" s="855"/>
    </row>
    <row r="36" spans="2:79">
      <c r="B36" s="854"/>
      <c r="C36" s="854"/>
      <c r="D36" s="854"/>
      <c r="E36" s="854"/>
      <c r="F36" s="854"/>
      <c r="G36" s="854"/>
      <c r="H36" s="854"/>
      <c r="I36" s="854"/>
      <c r="J36" s="854"/>
      <c r="K36" s="854"/>
      <c r="L36" s="854"/>
      <c r="M36" s="854"/>
      <c r="N36" s="854"/>
      <c r="O36" s="854"/>
      <c r="P36" s="854"/>
      <c r="Q36" s="854"/>
      <c r="R36" s="854"/>
      <c r="S36" s="854"/>
      <c r="T36" s="854"/>
      <c r="U36" s="854"/>
      <c r="V36" s="854"/>
      <c r="W36" s="854"/>
      <c r="X36" s="854"/>
      <c r="Y36" s="854"/>
      <c r="Z36" s="854"/>
      <c r="AA36" s="854"/>
      <c r="AB36" s="854"/>
      <c r="AC36" s="854"/>
      <c r="AD36" s="854"/>
      <c r="AE36" s="854"/>
      <c r="AF36" s="854"/>
      <c r="AG36" s="854"/>
      <c r="AH36" s="854"/>
      <c r="AI36" s="854"/>
      <c r="AJ36" s="854"/>
      <c r="AK36" s="854"/>
      <c r="AL36" s="854"/>
      <c r="AM36" s="854"/>
      <c r="AN36" s="854"/>
      <c r="AO36" s="854"/>
      <c r="AP36" s="854"/>
      <c r="AQ36" s="854"/>
      <c r="AR36" s="854"/>
      <c r="AS36" s="854"/>
      <c r="AT36" s="854"/>
      <c r="AU36" s="854"/>
      <c r="AV36" s="854"/>
      <c r="AW36" s="854"/>
      <c r="AX36" s="854"/>
      <c r="AY36" s="854"/>
      <c r="AZ36" s="854"/>
      <c r="BA36" s="855"/>
      <c r="BB36" s="855"/>
      <c r="BC36" s="855"/>
      <c r="BD36" s="855"/>
      <c r="BE36" s="855"/>
      <c r="BF36" s="855"/>
      <c r="BG36" s="855"/>
      <c r="BH36" s="855"/>
      <c r="BI36" s="855"/>
      <c r="BJ36" s="855"/>
      <c r="BK36" s="855"/>
      <c r="BL36" s="855"/>
      <c r="BM36" s="855"/>
      <c r="BN36" s="855"/>
      <c r="BO36" s="855"/>
      <c r="BP36" s="855"/>
      <c r="BQ36" s="855"/>
      <c r="BR36" s="855"/>
      <c r="BS36" s="855"/>
      <c r="BT36" s="855"/>
      <c r="BU36" s="855"/>
      <c r="BV36" s="855"/>
      <c r="BW36" s="855"/>
      <c r="BX36" s="855"/>
      <c r="BY36" s="855"/>
      <c r="BZ36" s="855"/>
    </row>
    <row r="37" spans="2:79">
      <c r="B37" s="854"/>
      <c r="C37" s="854"/>
      <c r="D37" s="854"/>
      <c r="E37" s="854"/>
      <c r="F37" s="854"/>
      <c r="G37" s="854"/>
      <c r="H37" s="854"/>
      <c r="I37" s="854"/>
      <c r="J37" s="854"/>
      <c r="K37" s="854"/>
      <c r="L37" s="854"/>
      <c r="M37" s="854"/>
      <c r="N37" s="854"/>
      <c r="O37" s="854"/>
      <c r="P37" s="854"/>
      <c r="Q37" s="854"/>
      <c r="R37" s="854"/>
      <c r="S37" s="854"/>
      <c r="T37" s="854"/>
      <c r="U37" s="854"/>
      <c r="V37" s="854"/>
      <c r="W37" s="854"/>
      <c r="X37" s="854"/>
      <c r="Y37" s="854"/>
      <c r="Z37" s="854"/>
      <c r="AA37" s="854"/>
      <c r="AB37" s="854"/>
      <c r="AC37" s="854"/>
      <c r="AD37" s="854"/>
      <c r="AE37" s="854"/>
      <c r="AF37" s="854"/>
      <c r="AG37" s="854"/>
      <c r="AH37" s="854"/>
      <c r="AI37" s="854"/>
      <c r="AJ37" s="854"/>
      <c r="AK37" s="854"/>
      <c r="AL37" s="854"/>
      <c r="AM37" s="854"/>
      <c r="AN37" s="854"/>
      <c r="AO37" s="854"/>
      <c r="AP37" s="854"/>
      <c r="AQ37" s="854"/>
      <c r="AR37" s="854"/>
      <c r="AS37" s="854"/>
      <c r="AT37" s="854"/>
      <c r="AU37" s="854"/>
      <c r="AV37" s="854"/>
      <c r="AW37" s="854"/>
      <c r="AX37" s="854"/>
      <c r="AY37" s="854"/>
      <c r="AZ37" s="854"/>
      <c r="BA37" s="855"/>
      <c r="BB37" s="855"/>
      <c r="BC37" s="855"/>
      <c r="BD37" s="855"/>
      <c r="BE37" s="855"/>
      <c r="BF37" s="855"/>
      <c r="BG37" s="855"/>
      <c r="BH37" s="855"/>
      <c r="BI37" s="855"/>
      <c r="BJ37" s="855"/>
      <c r="BK37" s="855"/>
      <c r="BL37" s="855"/>
      <c r="BM37" s="855"/>
      <c r="BN37" s="855"/>
      <c r="BO37" s="855"/>
      <c r="BP37" s="855"/>
      <c r="BQ37" s="855"/>
      <c r="BR37" s="855"/>
      <c r="BS37" s="855"/>
      <c r="BT37" s="855"/>
      <c r="BU37" s="855"/>
      <c r="BV37" s="855"/>
      <c r="BW37" s="855"/>
      <c r="BX37" s="855"/>
      <c r="BY37" s="855"/>
      <c r="BZ37" s="855"/>
    </row>
    <row r="38" spans="2:79">
      <c r="B38" s="854"/>
      <c r="C38" s="854"/>
      <c r="D38" s="854"/>
      <c r="E38" s="854"/>
      <c r="F38" s="854"/>
      <c r="G38" s="854"/>
      <c r="H38" s="854"/>
      <c r="I38" s="854"/>
      <c r="J38" s="854"/>
      <c r="K38" s="854"/>
      <c r="L38" s="854"/>
      <c r="M38" s="854"/>
      <c r="N38" s="854"/>
      <c r="O38" s="854"/>
      <c r="P38" s="854"/>
      <c r="Q38" s="854"/>
      <c r="R38" s="854"/>
      <c r="S38" s="854"/>
      <c r="T38" s="854"/>
      <c r="U38" s="854"/>
      <c r="V38" s="854"/>
      <c r="W38" s="854"/>
      <c r="X38" s="854"/>
      <c r="Y38" s="854"/>
      <c r="Z38" s="854"/>
      <c r="AA38" s="854"/>
      <c r="AB38" s="854"/>
      <c r="AC38" s="854"/>
      <c r="AD38" s="854"/>
      <c r="AE38" s="854"/>
      <c r="AF38" s="854"/>
      <c r="AG38" s="854"/>
      <c r="AH38" s="854"/>
      <c r="AI38" s="854"/>
      <c r="AJ38" s="854"/>
      <c r="AK38" s="854"/>
      <c r="AL38" s="854"/>
      <c r="AM38" s="854"/>
      <c r="AN38" s="854"/>
      <c r="AO38" s="854"/>
      <c r="AP38" s="854"/>
      <c r="AQ38" s="854"/>
      <c r="AR38" s="854"/>
      <c r="AS38" s="854"/>
      <c r="AT38" s="854"/>
      <c r="AU38" s="854"/>
      <c r="AV38" s="854"/>
      <c r="AW38" s="854"/>
      <c r="AX38" s="854"/>
      <c r="AY38" s="854"/>
      <c r="AZ38" s="854"/>
      <c r="BA38" s="855"/>
      <c r="BB38" s="855"/>
      <c r="BC38" s="855"/>
      <c r="BD38" s="855"/>
      <c r="BE38" s="855"/>
      <c r="BF38" s="855"/>
      <c r="BG38" s="855"/>
      <c r="BH38" s="855"/>
      <c r="BI38" s="855"/>
      <c r="BJ38" s="855"/>
      <c r="BK38" s="855"/>
      <c r="BL38" s="855"/>
      <c r="BM38" s="855"/>
      <c r="BN38" s="855"/>
      <c r="BO38" s="855"/>
      <c r="BP38" s="855"/>
      <c r="BQ38" s="855"/>
      <c r="BR38" s="855"/>
      <c r="BS38" s="855"/>
      <c r="BT38" s="855"/>
      <c r="BU38" s="855"/>
      <c r="BV38" s="855"/>
      <c r="BW38" s="855"/>
      <c r="BX38" s="855"/>
      <c r="BY38" s="855"/>
      <c r="BZ38" s="855"/>
    </row>
    <row r="39" spans="2:79">
      <c r="B39" s="854"/>
      <c r="C39" s="854"/>
      <c r="D39" s="854"/>
      <c r="E39" s="854"/>
      <c r="F39" s="854"/>
      <c r="G39" s="854"/>
      <c r="H39" s="854"/>
      <c r="I39" s="854"/>
      <c r="J39" s="854"/>
      <c r="K39" s="854"/>
      <c r="L39" s="854"/>
      <c r="M39" s="854"/>
      <c r="N39" s="854"/>
      <c r="O39" s="854"/>
      <c r="P39" s="854"/>
      <c r="Q39" s="854"/>
      <c r="R39" s="854"/>
      <c r="S39" s="854"/>
      <c r="T39" s="854"/>
      <c r="U39" s="854"/>
      <c r="V39" s="854"/>
      <c r="W39" s="854"/>
      <c r="X39" s="854"/>
      <c r="Y39" s="854"/>
      <c r="Z39" s="854"/>
      <c r="AA39" s="854"/>
      <c r="AB39" s="854"/>
      <c r="AC39" s="854"/>
      <c r="AD39" s="854"/>
      <c r="AE39" s="854"/>
      <c r="AF39" s="854"/>
      <c r="AG39" s="854"/>
      <c r="AH39" s="854"/>
      <c r="AI39" s="854"/>
      <c r="AJ39" s="854"/>
      <c r="AK39" s="854"/>
      <c r="AL39" s="854"/>
      <c r="AM39" s="854"/>
      <c r="AN39" s="854"/>
      <c r="AO39" s="854"/>
      <c r="AP39" s="854"/>
      <c r="AQ39" s="854"/>
      <c r="AR39" s="854"/>
      <c r="AS39" s="854"/>
      <c r="AT39" s="854"/>
      <c r="AU39" s="854"/>
      <c r="AV39" s="854"/>
      <c r="AW39" s="854"/>
      <c r="AX39" s="854"/>
      <c r="AY39" s="854"/>
      <c r="AZ39" s="854"/>
      <c r="BA39" s="855"/>
      <c r="BB39" s="855"/>
      <c r="BC39" s="855"/>
      <c r="BD39" s="855"/>
      <c r="BE39" s="855"/>
      <c r="BF39" s="855"/>
      <c r="BG39" s="855"/>
      <c r="BH39" s="855"/>
      <c r="BI39" s="855"/>
      <c r="BJ39" s="855"/>
      <c r="BK39" s="855"/>
      <c r="BL39" s="855"/>
      <c r="BM39" s="855"/>
      <c r="BN39" s="855"/>
      <c r="BO39" s="855"/>
      <c r="BP39" s="855"/>
      <c r="BQ39" s="855"/>
      <c r="BR39" s="855"/>
      <c r="BS39" s="855"/>
      <c r="BT39" s="855"/>
      <c r="BU39" s="855"/>
      <c r="BV39" s="855"/>
      <c r="BW39" s="855"/>
      <c r="BX39" s="855"/>
      <c r="BY39" s="855"/>
      <c r="BZ39" s="855"/>
    </row>
    <row r="40" spans="2:79">
      <c r="B40" s="854"/>
      <c r="C40" s="854"/>
      <c r="D40" s="854"/>
      <c r="E40" s="854"/>
      <c r="F40" s="854"/>
      <c r="G40" s="854"/>
      <c r="H40" s="854"/>
      <c r="I40" s="854"/>
      <c r="J40" s="854"/>
      <c r="K40" s="854"/>
      <c r="L40" s="854"/>
      <c r="M40" s="854"/>
      <c r="N40" s="854"/>
      <c r="O40" s="854"/>
      <c r="P40" s="854"/>
      <c r="Q40" s="854"/>
      <c r="R40" s="854"/>
      <c r="S40" s="854"/>
      <c r="T40" s="854"/>
      <c r="U40" s="854"/>
      <c r="V40" s="854"/>
      <c r="W40" s="854"/>
      <c r="X40" s="854"/>
      <c r="Y40" s="854"/>
      <c r="Z40" s="854"/>
      <c r="AA40" s="854"/>
      <c r="AB40" s="854"/>
      <c r="AC40" s="854"/>
      <c r="AD40" s="854"/>
      <c r="AE40" s="854"/>
      <c r="AF40" s="854"/>
      <c r="AG40" s="854"/>
      <c r="AH40" s="854"/>
      <c r="AI40" s="854"/>
      <c r="AJ40" s="854"/>
      <c r="AK40" s="854"/>
      <c r="AL40" s="854"/>
      <c r="AM40" s="854"/>
      <c r="AN40" s="854"/>
      <c r="AO40" s="854"/>
      <c r="AP40" s="854"/>
      <c r="AQ40" s="854"/>
      <c r="AR40" s="854"/>
      <c r="AS40" s="854"/>
      <c r="AT40" s="854"/>
      <c r="AU40" s="854"/>
      <c r="AV40" s="854"/>
      <c r="AW40" s="854"/>
      <c r="AX40" s="854"/>
      <c r="AY40" s="854"/>
      <c r="AZ40" s="854"/>
      <c r="BA40" s="855"/>
      <c r="BB40" s="855"/>
      <c r="BC40" s="855"/>
      <c r="BD40" s="855"/>
      <c r="BE40" s="855"/>
      <c r="BF40" s="855"/>
      <c r="BG40" s="855"/>
      <c r="BH40" s="855"/>
      <c r="BI40" s="855"/>
      <c r="BJ40" s="855"/>
      <c r="BK40" s="855"/>
      <c r="BL40" s="855"/>
      <c r="BM40" s="855"/>
      <c r="BN40" s="855"/>
      <c r="BO40" s="855"/>
      <c r="BP40" s="855"/>
      <c r="BQ40" s="855"/>
      <c r="BR40" s="855"/>
      <c r="BS40" s="855"/>
      <c r="BT40" s="855"/>
      <c r="BU40" s="855"/>
      <c r="BV40" s="855"/>
      <c r="BW40" s="855"/>
      <c r="BX40" s="855"/>
      <c r="BY40" s="855"/>
      <c r="BZ40" s="855"/>
    </row>
    <row r="41" spans="2:79">
      <c r="B41" s="854"/>
      <c r="C41" s="854"/>
      <c r="D41" s="854"/>
      <c r="E41" s="854"/>
      <c r="F41" s="854"/>
      <c r="G41" s="854"/>
      <c r="H41" s="854"/>
      <c r="I41" s="854"/>
      <c r="J41" s="854"/>
      <c r="K41" s="854"/>
      <c r="L41" s="854"/>
      <c r="M41" s="854"/>
      <c r="N41" s="854"/>
      <c r="O41" s="854"/>
      <c r="P41" s="854"/>
      <c r="Q41" s="854"/>
      <c r="R41" s="854"/>
      <c r="S41" s="854"/>
      <c r="T41" s="854"/>
      <c r="U41" s="854"/>
      <c r="V41" s="854"/>
      <c r="W41" s="854"/>
      <c r="X41" s="854"/>
      <c r="Y41" s="854"/>
      <c r="Z41" s="854"/>
      <c r="AA41" s="854"/>
      <c r="AB41" s="854"/>
      <c r="AC41" s="854"/>
      <c r="AD41" s="854"/>
      <c r="AE41" s="854"/>
      <c r="AF41" s="854"/>
      <c r="AG41" s="854"/>
      <c r="AH41" s="854"/>
      <c r="AI41" s="854"/>
      <c r="AJ41" s="854"/>
      <c r="AK41" s="854"/>
      <c r="AL41" s="854"/>
      <c r="AM41" s="854"/>
      <c r="AN41" s="854"/>
      <c r="AO41" s="854"/>
      <c r="AP41" s="854"/>
      <c r="AQ41" s="854"/>
      <c r="AR41" s="854"/>
      <c r="AS41" s="854"/>
      <c r="AT41" s="854"/>
      <c r="AU41" s="854"/>
      <c r="AV41" s="854"/>
      <c r="AW41" s="854"/>
      <c r="AX41" s="854"/>
      <c r="AY41" s="854"/>
      <c r="AZ41" s="854"/>
      <c r="BA41" s="855"/>
      <c r="BB41" s="855"/>
      <c r="BC41" s="855"/>
      <c r="BD41" s="855"/>
      <c r="BE41" s="855"/>
      <c r="BF41" s="855"/>
      <c r="BG41" s="855"/>
      <c r="BH41" s="855"/>
      <c r="BI41" s="855"/>
      <c r="BJ41" s="855"/>
      <c r="BK41" s="855"/>
      <c r="BL41" s="855"/>
      <c r="BM41" s="855"/>
      <c r="BN41" s="855"/>
      <c r="BO41" s="855"/>
      <c r="BP41" s="855"/>
      <c r="BQ41" s="855"/>
      <c r="BR41" s="855"/>
      <c r="BS41" s="855"/>
      <c r="BT41" s="855"/>
      <c r="BU41" s="855"/>
      <c r="BV41" s="855"/>
      <c r="BW41" s="855"/>
      <c r="BX41" s="855"/>
      <c r="BY41" s="855"/>
      <c r="BZ41" s="855"/>
    </row>
    <row r="42" spans="2:79">
      <c r="B42" s="854"/>
      <c r="C42" s="854"/>
      <c r="D42" s="854"/>
      <c r="E42" s="854"/>
      <c r="F42" s="854"/>
      <c r="G42" s="854"/>
      <c r="H42" s="854"/>
      <c r="I42" s="854"/>
      <c r="J42" s="854"/>
      <c r="K42" s="854"/>
      <c r="L42" s="854"/>
      <c r="M42" s="854"/>
      <c r="N42" s="854"/>
      <c r="O42" s="854"/>
      <c r="P42" s="854"/>
      <c r="Q42" s="854"/>
      <c r="R42" s="854"/>
      <c r="S42" s="854"/>
      <c r="T42" s="854"/>
      <c r="U42" s="854"/>
      <c r="V42" s="854"/>
      <c r="W42" s="854"/>
      <c r="X42" s="854"/>
      <c r="Y42" s="854"/>
      <c r="Z42" s="854"/>
      <c r="AA42" s="854"/>
      <c r="AB42" s="854"/>
      <c r="AC42" s="854"/>
      <c r="AD42" s="854"/>
      <c r="AE42" s="854"/>
      <c r="AF42" s="854"/>
      <c r="AG42" s="854"/>
      <c r="AH42" s="854"/>
      <c r="AI42" s="854"/>
      <c r="AJ42" s="854"/>
      <c r="AK42" s="854"/>
      <c r="AL42" s="854"/>
      <c r="AM42" s="854"/>
      <c r="AN42" s="854"/>
      <c r="AO42" s="854"/>
      <c r="AP42" s="854"/>
      <c r="AQ42" s="854"/>
      <c r="AR42" s="854"/>
      <c r="AS42" s="854"/>
      <c r="AT42" s="854"/>
      <c r="AU42" s="854"/>
      <c r="AV42" s="854"/>
      <c r="AW42" s="854"/>
      <c r="AX42" s="854"/>
      <c r="AY42" s="854"/>
      <c r="AZ42" s="854"/>
      <c r="BA42" s="855"/>
      <c r="BB42" s="855"/>
      <c r="BC42" s="855"/>
      <c r="BD42" s="855"/>
      <c r="BE42" s="855"/>
      <c r="BF42" s="855"/>
      <c r="BG42" s="855"/>
      <c r="BH42" s="855"/>
      <c r="BI42" s="855"/>
      <c r="BJ42" s="855"/>
      <c r="BK42" s="855"/>
      <c r="BL42" s="855"/>
      <c r="BM42" s="855"/>
      <c r="BN42" s="855"/>
      <c r="BO42" s="855"/>
      <c r="BP42" s="855"/>
      <c r="BQ42" s="855"/>
      <c r="BR42" s="855"/>
      <c r="BS42" s="855"/>
      <c r="BT42" s="855"/>
      <c r="BU42" s="855"/>
      <c r="BV42" s="855"/>
      <c r="BW42" s="855"/>
      <c r="BX42" s="855"/>
      <c r="BY42" s="855"/>
      <c r="BZ42" s="855"/>
      <c r="CA42" s="571">
        <f>IF(OR(I42="",I42&lt;'Configs &amp; Procedures'!$L$29),0,IF(I42&gt;'Configs &amp; Procedures'!$L$30,1,IF(F42&gt;'Configs &amp; Procedures'!$L$31,0,1)))</f>
        <v>0</v>
      </c>
    </row>
    <row r="43" spans="2:79">
      <c r="B43" s="854"/>
      <c r="C43" s="854"/>
      <c r="D43" s="854"/>
      <c r="E43" s="854"/>
      <c r="F43" s="854"/>
      <c r="G43" s="854"/>
      <c r="H43" s="854"/>
      <c r="I43" s="854"/>
      <c r="J43" s="854"/>
      <c r="K43" s="854"/>
      <c r="L43" s="854"/>
      <c r="M43" s="854"/>
      <c r="N43" s="854"/>
      <c r="O43" s="854"/>
      <c r="P43" s="854"/>
      <c r="Q43" s="854"/>
      <c r="R43" s="854"/>
      <c r="S43" s="854"/>
      <c r="T43" s="854"/>
      <c r="U43" s="854"/>
      <c r="V43" s="854"/>
      <c r="W43" s="854"/>
      <c r="X43" s="854"/>
      <c r="Y43" s="854"/>
      <c r="Z43" s="854"/>
      <c r="AA43" s="854"/>
      <c r="AB43" s="854"/>
      <c r="AC43" s="854"/>
      <c r="AD43" s="854"/>
      <c r="AE43" s="854"/>
      <c r="AF43" s="854"/>
      <c r="AG43" s="854"/>
      <c r="AH43" s="854"/>
      <c r="AI43" s="854"/>
      <c r="AJ43" s="854"/>
      <c r="AK43" s="854"/>
      <c r="AL43" s="854"/>
      <c r="AM43" s="854"/>
      <c r="AN43" s="854"/>
      <c r="AO43" s="854"/>
      <c r="AP43" s="854"/>
      <c r="AQ43" s="854"/>
      <c r="AR43" s="854"/>
      <c r="AS43" s="854"/>
      <c r="AT43" s="854"/>
      <c r="AU43" s="854"/>
      <c r="AV43" s="854"/>
      <c r="AW43" s="854"/>
      <c r="AX43" s="854"/>
      <c r="AY43" s="854"/>
      <c r="AZ43" s="854"/>
      <c r="BA43" s="854"/>
      <c r="BB43" s="854"/>
      <c r="BC43" s="854"/>
      <c r="BD43" s="854"/>
      <c r="BE43" s="854"/>
      <c r="BF43" s="854"/>
      <c r="BG43" s="854"/>
      <c r="BH43" s="854"/>
      <c r="BI43" s="854"/>
      <c r="BJ43" s="854"/>
      <c r="BK43" s="854"/>
      <c r="BL43" s="854"/>
      <c r="BM43" s="854"/>
      <c r="BN43" s="854"/>
      <c r="BO43" s="854"/>
      <c r="BP43" s="854"/>
      <c r="BQ43" s="854"/>
      <c r="BR43" s="854"/>
      <c r="BS43" s="854"/>
      <c r="BT43" s="854"/>
      <c r="BU43" s="854"/>
      <c r="BV43" s="854"/>
      <c r="BW43" s="854"/>
      <c r="BX43" s="854"/>
      <c r="BY43" s="854"/>
      <c r="BZ43" s="854"/>
      <c r="CA43" s="571">
        <f>IF(OR(I43="",I43&lt;'Configs &amp; Procedures'!$L$29),0,IF(I43&gt;'Configs &amp; Procedures'!$L$30,1,IF(F43&gt;'Configs &amp; Procedures'!$L$31,0,1)))</f>
        <v>0</v>
      </c>
    </row>
    <row r="44" spans="2:79">
      <c r="B44" s="854"/>
      <c r="C44" s="854"/>
      <c r="D44" s="854"/>
      <c r="E44" s="854"/>
      <c r="F44" s="854"/>
      <c r="G44" s="854"/>
      <c r="H44" s="854"/>
      <c r="I44" s="854"/>
      <c r="J44" s="854"/>
      <c r="K44" s="854"/>
      <c r="L44" s="854"/>
      <c r="M44" s="854"/>
      <c r="N44" s="854"/>
      <c r="O44" s="854"/>
      <c r="P44" s="854"/>
      <c r="Q44" s="854"/>
      <c r="R44" s="854"/>
      <c r="S44" s="854"/>
      <c r="T44" s="854"/>
      <c r="U44" s="854"/>
      <c r="V44" s="854"/>
      <c r="W44" s="854"/>
      <c r="X44" s="854"/>
      <c r="Y44" s="854"/>
      <c r="Z44" s="854"/>
      <c r="AA44" s="854"/>
      <c r="AB44" s="854"/>
      <c r="AC44" s="854"/>
      <c r="AD44" s="854"/>
      <c r="AE44" s="854"/>
      <c r="AF44" s="854"/>
      <c r="AG44" s="854"/>
      <c r="AH44" s="854"/>
      <c r="AI44" s="854"/>
      <c r="AJ44" s="854"/>
      <c r="AK44" s="854"/>
      <c r="AL44" s="854"/>
      <c r="AM44" s="854"/>
      <c r="AN44" s="854"/>
      <c r="AO44" s="854"/>
      <c r="AP44" s="854"/>
      <c r="AQ44" s="854"/>
      <c r="AR44" s="854"/>
      <c r="AS44" s="854"/>
      <c r="AT44" s="854"/>
      <c r="AU44" s="854"/>
      <c r="AV44" s="854"/>
      <c r="AW44" s="854"/>
      <c r="AX44" s="854"/>
      <c r="AY44" s="854"/>
      <c r="AZ44" s="854"/>
      <c r="BA44" s="854"/>
      <c r="BB44" s="854"/>
      <c r="BC44" s="854"/>
      <c r="BD44" s="854"/>
      <c r="BE44" s="854"/>
      <c r="BF44" s="854"/>
      <c r="BG44" s="854"/>
      <c r="BH44" s="854"/>
      <c r="BI44" s="854"/>
      <c r="BJ44" s="854"/>
      <c r="BK44" s="854"/>
      <c r="BL44" s="854"/>
      <c r="BM44" s="854"/>
      <c r="BN44" s="854"/>
      <c r="BO44" s="854"/>
      <c r="BP44" s="854"/>
      <c r="BQ44" s="854"/>
      <c r="BR44" s="854"/>
      <c r="BS44" s="854"/>
      <c r="BT44" s="854"/>
      <c r="BU44" s="854"/>
      <c r="BV44" s="854"/>
      <c r="BW44" s="854"/>
      <c r="BX44" s="854"/>
      <c r="BY44" s="854"/>
      <c r="BZ44" s="854"/>
      <c r="CA44" s="571">
        <f>IF(OR(I44="",I44&lt;'Configs &amp; Procedures'!$L$29),0,IF(I44&gt;'Configs &amp; Procedures'!$L$30,1,IF(F44&gt;'Configs &amp; Procedures'!$L$31,0,1)))</f>
        <v>0</v>
      </c>
    </row>
    <row r="45" spans="2:79">
      <c r="B45" s="854"/>
      <c r="C45" s="854"/>
      <c r="D45" s="854"/>
      <c r="E45" s="854"/>
      <c r="F45" s="854"/>
      <c r="G45" s="854"/>
      <c r="H45" s="854"/>
      <c r="I45" s="854"/>
      <c r="J45" s="854"/>
      <c r="K45" s="854"/>
      <c r="L45" s="854"/>
      <c r="M45" s="854"/>
      <c r="N45" s="854"/>
      <c r="O45" s="854"/>
      <c r="P45" s="854"/>
      <c r="Q45" s="854"/>
      <c r="R45" s="854"/>
      <c r="S45" s="854"/>
      <c r="T45" s="854"/>
      <c r="U45" s="854"/>
      <c r="V45" s="854"/>
      <c r="W45" s="854"/>
      <c r="X45" s="854"/>
      <c r="Y45" s="854"/>
      <c r="Z45" s="854"/>
      <c r="AA45" s="854"/>
      <c r="AB45" s="854"/>
      <c r="AC45" s="854"/>
      <c r="AD45" s="854"/>
      <c r="AE45" s="854"/>
      <c r="AF45" s="854"/>
      <c r="AG45" s="854"/>
      <c r="AH45" s="854"/>
      <c r="AI45" s="854"/>
      <c r="AJ45" s="854"/>
      <c r="AK45" s="854"/>
      <c r="AL45" s="854"/>
      <c r="AM45" s="854"/>
      <c r="AN45" s="854"/>
      <c r="AO45" s="854"/>
      <c r="AP45" s="854"/>
      <c r="AQ45" s="854"/>
      <c r="AR45" s="854"/>
      <c r="AS45" s="854"/>
      <c r="AT45" s="854"/>
      <c r="AU45" s="854"/>
      <c r="AV45" s="854"/>
      <c r="AW45" s="854"/>
      <c r="AX45" s="854"/>
      <c r="AY45" s="854"/>
      <c r="AZ45" s="854"/>
      <c r="BA45" s="854"/>
      <c r="BB45" s="854"/>
      <c r="BC45" s="854"/>
      <c r="BD45" s="854"/>
      <c r="BE45" s="854"/>
      <c r="BF45" s="854"/>
      <c r="BG45" s="854"/>
      <c r="BH45" s="854"/>
      <c r="BI45" s="854"/>
      <c r="BJ45" s="854"/>
      <c r="BK45" s="854"/>
      <c r="BL45" s="854"/>
      <c r="BM45" s="854"/>
      <c r="BN45" s="854"/>
      <c r="BO45" s="854"/>
      <c r="BP45" s="854"/>
      <c r="BQ45" s="854"/>
      <c r="BR45" s="854"/>
      <c r="BS45" s="854"/>
      <c r="BT45" s="854"/>
      <c r="BU45" s="854"/>
      <c r="BV45" s="854"/>
      <c r="BW45" s="854"/>
      <c r="BX45" s="854"/>
      <c r="BY45" s="854"/>
      <c r="BZ45" s="854"/>
      <c r="CA45" s="571">
        <f>IF(OR(I45="",I45&lt;'Configs &amp; Procedures'!$L$29),0,IF(I45&gt;'Configs &amp; Procedures'!$L$30,1,IF(F45&gt;'Configs &amp; Procedures'!$L$31,0,1)))</f>
        <v>0</v>
      </c>
    </row>
    <row r="46" spans="2:79">
      <c r="B46" s="854"/>
      <c r="C46" s="854"/>
      <c r="D46" s="854"/>
      <c r="E46" s="854"/>
      <c r="F46" s="854"/>
      <c r="G46" s="854"/>
      <c r="H46" s="854"/>
      <c r="I46" s="854"/>
      <c r="J46" s="854"/>
      <c r="K46" s="854"/>
      <c r="L46" s="854"/>
      <c r="M46" s="854"/>
      <c r="N46" s="854"/>
      <c r="O46" s="854"/>
      <c r="P46" s="854"/>
      <c r="Q46" s="854"/>
      <c r="R46" s="854"/>
      <c r="S46" s="854"/>
      <c r="T46" s="854"/>
      <c r="U46" s="854"/>
      <c r="V46" s="854"/>
      <c r="W46" s="854"/>
      <c r="X46" s="854"/>
      <c r="Y46" s="854"/>
      <c r="Z46" s="854"/>
      <c r="AA46" s="854"/>
      <c r="AB46" s="854"/>
      <c r="AC46" s="854"/>
      <c r="AD46" s="854"/>
      <c r="AE46" s="854"/>
      <c r="AF46" s="854"/>
      <c r="AG46" s="854"/>
      <c r="AH46" s="854"/>
      <c r="AI46" s="854"/>
      <c r="AJ46" s="854"/>
      <c r="AK46" s="854"/>
      <c r="AL46" s="854"/>
      <c r="AM46" s="854"/>
      <c r="AN46" s="854"/>
      <c r="AO46" s="854"/>
      <c r="AP46" s="854"/>
      <c r="AQ46" s="854"/>
      <c r="AR46" s="854"/>
      <c r="AS46" s="854"/>
      <c r="AT46" s="854"/>
      <c r="AU46" s="854"/>
      <c r="AV46" s="854"/>
      <c r="AW46" s="854"/>
      <c r="AX46" s="854"/>
      <c r="AY46" s="854"/>
      <c r="AZ46" s="854"/>
      <c r="BA46" s="854"/>
      <c r="BB46" s="854"/>
      <c r="BC46" s="854"/>
      <c r="BD46" s="854"/>
      <c r="BE46" s="854"/>
      <c r="BF46" s="854"/>
      <c r="BG46" s="854"/>
      <c r="BH46" s="854"/>
      <c r="BI46" s="854"/>
      <c r="BJ46" s="854"/>
      <c r="BK46" s="854"/>
      <c r="BL46" s="854"/>
      <c r="BM46" s="854"/>
      <c r="BN46" s="854"/>
      <c r="BO46" s="854"/>
      <c r="BP46" s="854"/>
      <c r="BQ46" s="854"/>
      <c r="BR46" s="854"/>
      <c r="BS46" s="854"/>
      <c r="BT46" s="854"/>
      <c r="BU46" s="854"/>
      <c r="BV46" s="854"/>
      <c r="BW46" s="854"/>
      <c r="BX46" s="854"/>
      <c r="BY46" s="854"/>
      <c r="BZ46" s="854"/>
      <c r="CA46" s="571">
        <f>IF(OR(I46="",I46&lt;'Configs &amp; Procedures'!$L$29),0,IF(I46&gt;'Configs &amp; Procedures'!$L$30,1,IF(F46&gt;'Configs &amp; Procedures'!$L$31,0,1)))</f>
        <v>0</v>
      </c>
    </row>
    <row r="47" spans="2:79">
      <c r="B47" s="854"/>
      <c r="C47" s="854"/>
      <c r="D47" s="854"/>
      <c r="E47" s="854"/>
      <c r="F47" s="854"/>
      <c r="G47" s="854"/>
      <c r="H47" s="854"/>
      <c r="I47" s="854"/>
      <c r="J47" s="854"/>
      <c r="K47" s="854"/>
      <c r="L47" s="854"/>
      <c r="M47" s="854"/>
      <c r="N47" s="854"/>
      <c r="O47" s="854"/>
      <c r="P47" s="854"/>
      <c r="Q47" s="854"/>
      <c r="R47" s="854"/>
      <c r="S47" s="854"/>
      <c r="T47" s="854"/>
      <c r="U47" s="854"/>
      <c r="V47" s="854"/>
      <c r="W47" s="854"/>
      <c r="X47" s="854"/>
      <c r="Y47" s="854"/>
      <c r="Z47" s="854"/>
      <c r="AA47" s="854"/>
      <c r="AB47" s="854"/>
      <c r="AC47" s="854"/>
      <c r="AD47" s="854"/>
      <c r="AE47" s="854"/>
      <c r="AF47" s="854"/>
      <c r="AG47" s="854"/>
      <c r="AH47" s="854"/>
      <c r="AI47" s="854"/>
      <c r="AJ47" s="854"/>
      <c r="AK47" s="854"/>
      <c r="AL47" s="854"/>
      <c r="AM47" s="854"/>
      <c r="AN47" s="854"/>
      <c r="AO47" s="854"/>
      <c r="AP47" s="854"/>
      <c r="AQ47" s="854"/>
      <c r="AR47" s="854"/>
      <c r="AS47" s="854"/>
      <c r="AT47" s="854"/>
      <c r="AU47" s="854"/>
      <c r="AV47" s="854"/>
      <c r="AW47" s="854"/>
      <c r="AX47" s="854"/>
      <c r="AY47" s="854"/>
      <c r="AZ47" s="854"/>
      <c r="BA47" s="854"/>
      <c r="BB47" s="854"/>
      <c r="BC47" s="854"/>
      <c r="BD47" s="854"/>
      <c r="BE47" s="854"/>
      <c r="BF47" s="854"/>
      <c r="BG47" s="854"/>
      <c r="BH47" s="854"/>
      <c r="BI47" s="854"/>
      <c r="BJ47" s="854"/>
      <c r="BK47" s="854"/>
      <c r="BL47" s="854"/>
      <c r="BM47" s="854"/>
      <c r="BN47" s="854"/>
      <c r="BO47" s="854"/>
      <c r="BP47" s="854"/>
      <c r="BQ47" s="854"/>
      <c r="BR47" s="854"/>
      <c r="BS47" s="854"/>
      <c r="BT47" s="854"/>
      <c r="BU47" s="854"/>
      <c r="BV47" s="854"/>
      <c r="BW47" s="854"/>
      <c r="BX47" s="854"/>
      <c r="BY47" s="854"/>
      <c r="BZ47" s="854"/>
      <c r="CA47" s="571">
        <f>IF(OR(I47="",I47&lt;'Configs &amp; Procedures'!$L$29),0,IF(I47&gt;'Configs &amp; Procedures'!$L$30,1,IF(F47&gt;'Configs &amp; Procedures'!$L$31,0,1)))</f>
        <v>0</v>
      </c>
    </row>
    <row r="48" spans="2:79">
      <c r="B48" s="854"/>
      <c r="C48" s="854"/>
      <c r="D48" s="854"/>
      <c r="E48" s="854"/>
      <c r="F48" s="854"/>
      <c r="G48" s="854"/>
      <c r="H48" s="854"/>
      <c r="I48" s="854"/>
      <c r="J48" s="854"/>
      <c r="K48" s="854"/>
      <c r="L48" s="854"/>
      <c r="M48" s="854"/>
      <c r="N48" s="854"/>
      <c r="O48" s="854"/>
      <c r="P48" s="854"/>
      <c r="Q48" s="854"/>
      <c r="R48" s="854"/>
      <c r="S48" s="854"/>
      <c r="T48" s="854"/>
      <c r="U48" s="854"/>
      <c r="V48" s="854"/>
      <c r="W48" s="854"/>
      <c r="X48" s="854"/>
      <c r="Y48" s="854"/>
      <c r="Z48" s="854"/>
      <c r="AA48" s="854"/>
      <c r="AB48" s="854"/>
      <c r="AC48" s="854"/>
      <c r="AD48" s="854"/>
      <c r="AE48" s="854"/>
      <c r="AF48" s="854"/>
      <c r="AG48" s="854"/>
      <c r="AH48" s="854"/>
      <c r="AI48" s="854"/>
      <c r="AJ48" s="854"/>
      <c r="AK48" s="854"/>
      <c r="AL48" s="854"/>
      <c r="AM48" s="854"/>
      <c r="AN48" s="854"/>
      <c r="AO48" s="854"/>
      <c r="AP48" s="854"/>
      <c r="AQ48" s="854"/>
      <c r="AR48" s="854"/>
      <c r="AS48" s="854"/>
      <c r="AT48" s="854"/>
      <c r="AU48" s="854"/>
      <c r="AV48" s="854"/>
      <c r="AW48" s="854"/>
      <c r="AX48" s="854"/>
      <c r="AY48" s="854"/>
      <c r="AZ48" s="854"/>
      <c r="BA48" s="854"/>
      <c r="BB48" s="854"/>
      <c r="BC48" s="854"/>
      <c r="BD48" s="854"/>
      <c r="BE48" s="854"/>
      <c r="BF48" s="854"/>
      <c r="BG48" s="854"/>
      <c r="BH48" s="854"/>
      <c r="BI48" s="854"/>
      <c r="BJ48" s="854"/>
      <c r="BK48" s="854"/>
      <c r="BL48" s="854"/>
      <c r="BM48" s="854"/>
      <c r="BN48" s="854"/>
      <c r="BO48" s="854"/>
      <c r="BP48" s="854"/>
      <c r="BQ48" s="854"/>
      <c r="BR48" s="854"/>
      <c r="BS48" s="854"/>
      <c r="BT48" s="854"/>
      <c r="BU48" s="854"/>
      <c r="BV48" s="854"/>
      <c r="BW48" s="854"/>
      <c r="BX48" s="854"/>
      <c r="BY48" s="854"/>
      <c r="BZ48" s="854"/>
      <c r="CA48" s="571">
        <f>IF(OR(I48="",I48&lt;'Configs &amp; Procedures'!$L$29),0,IF(I48&gt;'Configs &amp; Procedures'!$L$30,1,IF(F48&gt;'Configs &amp; Procedures'!$L$31,0,1)))</f>
        <v>0</v>
      </c>
    </row>
    <row r="49" spans="2:79">
      <c r="B49" s="854"/>
      <c r="C49" s="854"/>
      <c r="D49" s="854"/>
      <c r="E49" s="854"/>
      <c r="F49" s="854"/>
      <c r="G49" s="854"/>
      <c r="H49" s="854"/>
      <c r="I49" s="854"/>
      <c r="J49" s="854"/>
      <c r="K49" s="854"/>
      <c r="L49" s="854"/>
      <c r="M49" s="854"/>
      <c r="N49" s="854"/>
      <c r="O49" s="854"/>
      <c r="P49" s="854"/>
      <c r="Q49" s="854"/>
      <c r="R49" s="854"/>
      <c r="S49" s="854"/>
      <c r="T49" s="854"/>
      <c r="U49" s="854"/>
      <c r="V49" s="854"/>
      <c r="W49" s="854"/>
      <c r="X49" s="854"/>
      <c r="Y49" s="854"/>
      <c r="Z49" s="854"/>
      <c r="AA49" s="854"/>
      <c r="AB49" s="854"/>
      <c r="AC49" s="854"/>
      <c r="AD49" s="854"/>
      <c r="AE49" s="854"/>
      <c r="AF49" s="854"/>
      <c r="AG49" s="854"/>
      <c r="AH49" s="854"/>
      <c r="AI49" s="854"/>
      <c r="AJ49" s="854"/>
      <c r="AK49" s="854"/>
      <c r="AL49" s="854"/>
      <c r="AM49" s="854"/>
      <c r="AN49" s="854"/>
      <c r="AO49" s="854"/>
      <c r="AP49" s="854"/>
      <c r="AQ49" s="854"/>
      <c r="AR49" s="854"/>
      <c r="AS49" s="854"/>
      <c r="AT49" s="854"/>
      <c r="AU49" s="854"/>
      <c r="AV49" s="854"/>
      <c r="AW49" s="854"/>
      <c r="AX49" s="854"/>
      <c r="AY49" s="854"/>
      <c r="AZ49" s="854"/>
      <c r="BA49" s="854"/>
      <c r="BB49" s="854"/>
      <c r="BC49" s="854"/>
      <c r="BD49" s="854"/>
      <c r="BE49" s="854"/>
      <c r="BF49" s="854"/>
      <c r="BG49" s="854"/>
      <c r="BH49" s="854"/>
      <c r="BI49" s="854"/>
      <c r="BJ49" s="854"/>
      <c r="BK49" s="854"/>
      <c r="BL49" s="854"/>
      <c r="BM49" s="854"/>
      <c r="BN49" s="854"/>
      <c r="BO49" s="854"/>
      <c r="BP49" s="854"/>
      <c r="BQ49" s="854"/>
      <c r="BR49" s="854"/>
      <c r="BS49" s="854"/>
      <c r="BT49" s="854"/>
      <c r="BU49" s="854"/>
      <c r="BV49" s="854"/>
      <c r="BW49" s="854"/>
      <c r="BX49" s="854"/>
      <c r="BY49" s="854"/>
      <c r="BZ49" s="854"/>
      <c r="CA49" s="571">
        <f>IF(OR(I49="",I49&lt;'Configs &amp; Procedures'!$L$29),0,IF(I49&gt;'Configs &amp; Procedures'!$L$30,1,IF(F49&gt;'Configs &amp; Procedures'!$L$31,0,1)))</f>
        <v>0</v>
      </c>
    </row>
    <row r="50" spans="2:79">
      <c r="B50" s="854"/>
      <c r="C50" s="854"/>
      <c r="D50" s="854"/>
      <c r="E50" s="854"/>
      <c r="F50" s="854"/>
      <c r="G50" s="854"/>
      <c r="H50" s="854"/>
      <c r="I50" s="854"/>
      <c r="J50" s="854"/>
      <c r="K50" s="854"/>
      <c r="L50" s="854"/>
      <c r="M50" s="854"/>
      <c r="N50" s="854"/>
      <c r="O50" s="854"/>
      <c r="P50" s="854"/>
      <c r="Q50" s="854"/>
      <c r="R50" s="854"/>
      <c r="S50" s="854"/>
      <c r="T50" s="854"/>
      <c r="U50" s="854"/>
      <c r="V50" s="854"/>
      <c r="W50" s="854"/>
      <c r="X50" s="854"/>
      <c r="Y50" s="854"/>
      <c r="Z50" s="854"/>
      <c r="AA50" s="854"/>
      <c r="AB50" s="854"/>
      <c r="AC50" s="854"/>
      <c r="AD50" s="854"/>
      <c r="AE50" s="854"/>
      <c r="AF50" s="854"/>
      <c r="AG50" s="854"/>
      <c r="AH50" s="854"/>
      <c r="AI50" s="854"/>
      <c r="AJ50" s="854"/>
      <c r="AK50" s="854"/>
      <c r="AL50" s="854"/>
      <c r="AM50" s="854"/>
      <c r="AN50" s="854"/>
      <c r="AO50" s="854"/>
      <c r="AP50" s="854"/>
      <c r="AQ50" s="854"/>
      <c r="AR50" s="854"/>
      <c r="AS50" s="854"/>
      <c r="AT50" s="854"/>
      <c r="AU50" s="854"/>
      <c r="AV50" s="854"/>
      <c r="AW50" s="854"/>
      <c r="AX50" s="854"/>
      <c r="AY50" s="854"/>
      <c r="AZ50" s="854"/>
      <c r="BA50" s="854"/>
      <c r="BB50" s="854"/>
      <c r="BC50" s="854"/>
      <c r="BD50" s="854"/>
      <c r="BE50" s="854"/>
      <c r="BF50" s="854"/>
      <c r="BG50" s="854"/>
      <c r="BH50" s="854"/>
      <c r="BI50" s="854"/>
      <c r="BJ50" s="854"/>
      <c r="BK50" s="854"/>
      <c r="BL50" s="854"/>
      <c r="BM50" s="854"/>
      <c r="BN50" s="854"/>
      <c r="BO50" s="854"/>
      <c r="BP50" s="854"/>
      <c r="BQ50" s="854"/>
      <c r="BR50" s="854"/>
      <c r="BS50" s="854"/>
      <c r="BT50" s="854"/>
      <c r="BU50" s="854"/>
      <c r="BV50" s="854"/>
      <c r="BW50" s="854"/>
      <c r="BX50" s="854"/>
      <c r="BY50" s="854"/>
      <c r="BZ50" s="854"/>
      <c r="CA50" s="571">
        <f>IF(OR(I50="",I50&lt;'Configs &amp; Procedures'!$L$29),0,IF(I50&gt;'Configs &amp; Procedures'!$L$30,1,IF(F50&gt;'Configs &amp; Procedures'!$L$31,0,1)))</f>
        <v>0</v>
      </c>
    </row>
    <row r="51" spans="2:79">
      <c r="B51" s="854"/>
      <c r="C51" s="854"/>
      <c r="D51" s="854"/>
      <c r="E51" s="854"/>
      <c r="F51" s="854"/>
      <c r="G51" s="854"/>
      <c r="H51" s="854"/>
      <c r="I51" s="854"/>
      <c r="J51" s="854"/>
      <c r="K51" s="854"/>
      <c r="L51" s="854"/>
      <c r="M51" s="854"/>
      <c r="N51" s="854"/>
      <c r="O51" s="854"/>
      <c r="P51" s="854"/>
      <c r="Q51" s="854"/>
      <c r="R51" s="854"/>
      <c r="S51" s="854"/>
      <c r="T51" s="854"/>
      <c r="U51" s="854"/>
      <c r="V51" s="854"/>
      <c r="W51" s="854"/>
      <c r="X51" s="854"/>
      <c r="Y51" s="854"/>
      <c r="Z51" s="854"/>
      <c r="AA51" s="854"/>
      <c r="AB51" s="854"/>
      <c r="AC51" s="854"/>
      <c r="AD51" s="854"/>
      <c r="AE51" s="854"/>
      <c r="AF51" s="854"/>
      <c r="AG51" s="854"/>
      <c r="AH51" s="854"/>
      <c r="AI51" s="854"/>
      <c r="AJ51" s="854"/>
      <c r="AK51" s="854"/>
      <c r="AL51" s="854"/>
      <c r="AM51" s="854"/>
      <c r="AN51" s="854"/>
      <c r="AO51" s="854"/>
      <c r="AP51" s="854"/>
      <c r="AQ51" s="854"/>
      <c r="AR51" s="854"/>
      <c r="AS51" s="854"/>
      <c r="AT51" s="854"/>
      <c r="AU51" s="854"/>
      <c r="AV51" s="854"/>
      <c r="AW51" s="854"/>
      <c r="AX51" s="854"/>
      <c r="AY51" s="854"/>
      <c r="AZ51" s="854"/>
      <c r="BA51" s="854"/>
      <c r="BB51" s="854"/>
      <c r="BC51" s="854"/>
      <c r="BD51" s="854"/>
      <c r="BE51" s="854"/>
      <c r="BF51" s="854"/>
      <c r="BG51" s="854"/>
      <c r="BH51" s="854"/>
      <c r="BI51" s="854"/>
      <c r="BJ51" s="854"/>
      <c r="BK51" s="854"/>
      <c r="BL51" s="854"/>
      <c r="BM51" s="854"/>
      <c r="BN51" s="854"/>
      <c r="BO51" s="854"/>
      <c r="BP51" s="854"/>
      <c r="BQ51" s="854"/>
      <c r="BR51" s="854"/>
      <c r="BS51" s="854"/>
      <c r="BT51" s="854"/>
      <c r="BU51" s="854"/>
      <c r="BV51" s="854"/>
      <c r="BW51" s="854"/>
      <c r="BX51" s="854"/>
      <c r="BY51" s="854"/>
      <c r="BZ51" s="854"/>
      <c r="CA51" s="571">
        <f>IF(OR(I51="",I51&lt;'Configs &amp; Procedures'!$L$29),0,IF(I51&gt;'Configs &amp; Procedures'!$L$30,1,IF(F51&gt;'Configs &amp; Procedures'!$L$31,0,1)))</f>
        <v>0</v>
      </c>
    </row>
    <row r="52" spans="2:79">
      <c r="B52" s="854"/>
      <c r="C52" s="854"/>
      <c r="D52" s="854"/>
      <c r="E52" s="854"/>
      <c r="F52" s="854"/>
      <c r="G52" s="854"/>
      <c r="H52" s="854"/>
      <c r="I52" s="854"/>
      <c r="J52" s="854"/>
      <c r="K52" s="854"/>
      <c r="L52" s="854"/>
      <c r="M52" s="854"/>
      <c r="N52" s="854"/>
      <c r="O52" s="854"/>
      <c r="P52" s="854"/>
      <c r="Q52" s="854"/>
      <c r="R52" s="854"/>
      <c r="S52" s="854"/>
      <c r="T52" s="854"/>
      <c r="U52" s="854"/>
      <c r="V52" s="854"/>
      <c r="W52" s="854"/>
      <c r="X52" s="854"/>
      <c r="Y52" s="854"/>
      <c r="Z52" s="854"/>
      <c r="AA52" s="854"/>
      <c r="AB52" s="854"/>
      <c r="AC52" s="854"/>
      <c r="AD52" s="854"/>
      <c r="AE52" s="854"/>
      <c r="AF52" s="854"/>
      <c r="AG52" s="854"/>
      <c r="AH52" s="854"/>
      <c r="AI52" s="854"/>
      <c r="AJ52" s="854"/>
      <c r="AK52" s="854"/>
      <c r="AL52" s="854"/>
      <c r="AM52" s="854"/>
      <c r="AN52" s="854"/>
      <c r="AO52" s="854"/>
      <c r="AP52" s="854"/>
      <c r="AQ52" s="854"/>
      <c r="AR52" s="854"/>
      <c r="AS52" s="854"/>
      <c r="AT52" s="854"/>
      <c r="AU52" s="854"/>
      <c r="AV52" s="854"/>
      <c r="AW52" s="854"/>
      <c r="AX52" s="854"/>
      <c r="AY52" s="854"/>
      <c r="AZ52" s="854"/>
      <c r="BA52" s="854"/>
      <c r="BB52" s="854"/>
      <c r="BC52" s="854"/>
      <c r="BD52" s="854"/>
      <c r="BE52" s="854"/>
      <c r="BF52" s="854"/>
      <c r="BG52" s="854"/>
      <c r="BH52" s="854"/>
      <c r="BI52" s="854"/>
      <c r="BJ52" s="854"/>
      <c r="BK52" s="854"/>
      <c r="BL52" s="854"/>
      <c r="BM52" s="854"/>
      <c r="BN52" s="854"/>
      <c r="BO52" s="854"/>
      <c r="BP52" s="854"/>
      <c r="BQ52" s="854"/>
      <c r="BR52" s="854"/>
      <c r="BS52" s="854"/>
      <c r="BT52" s="854"/>
      <c r="BU52" s="854"/>
      <c r="BV52" s="854"/>
      <c r="BW52" s="854"/>
      <c r="BX52" s="854"/>
      <c r="BY52" s="854"/>
      <c r="BZ52" s="854"/>
      <c r="CA52" s="571">
        <f>IF(OR(I52="",I52&lt;'Configs &amp; Procedures'!$L$29),0,IF(I52&gt;'Configs &amp; Procedures'!$L$30,1,IF(F52&gt;'Configs &amp; Procedures'!$L$31,0,1)))</f>
        <v>0</v>
      </c>
    </row>
    <row r="53" spans="2:79">
      <c r="B53" s="854"/>
      <c r="C53" s="854"/>
      <c r="D53" s="854"/>
      <c r="E53" s="854"/>
      <c r="F53" s="854"/>
      <c r="G53" s="854"/>
      <c r="H53" s="854"/>
      <c r="I53" s="854"/>
      <c r="J53" s="854"/>
      <c r="K53" s="854"/>
      <c r="L53" s="854"/>
      <c r="M53" s="854"/>
      <c r="N53" s="854"/>
      <c r="O53" s="854"/>
      <c r="P53" s="854"/>
      <c r="Q53" s="854"/>
      <c r="R53" s="854"/>
      <c r="S53" s="854"/>
      <c r="T53" s="854"/>
      <c r="U53" s="854"/>
      <c r="V53" s="854"/>
      <c r="W53" s="854"/>
      <c r="X53" s="854"/>
      <c r="Y53" s="854"/>
      <c r="Z53" s="854"/>
      <c r="AA53" s="854"/>
      <c r="AB53" s="854"/>
      <c r="AC53" s="854"/>
      <c r="AD53" s="854"/>
      <c r="AE53" s="854"/>
      <c r="AF53" s="854"/>
      <c r="AG53" s="854"/>
      <c r="AH53" s="854"/>
      <c r="AI53" s="854"/>
      <c r="AJ53" s="854"/>
      <c r="AK53" s="854"/>
      <c r="AL53" s="854"/>
      <c r="AM53" s="854"/>
      <c r="AN53" s="854"/>
      <c r="AO53" s="854"/>
      <c r="AP53" s="854"/>
      <c r="AQ53" s="854"/>
      <c r="AR53" s="854"/>
      <c r="AS53" s="854"/>
      <c r="AT53" s="854"/>
      <c r="AU53" s="854"/>
      <c r="AV53" s="854"/>
      <c r="AW53" s="854"/>
      <c r="AX53" s="854"/>
      <c r="AY53" s="854"/>
      <c r="AZ53" s="854"/>
      <c r="BA53" s="854"/>
      <c r="BB53" s="854"/>
      <c r="BC53" s="854"/>
      <c r="BD53" s="854"/>
      <c r="BE53" s="854"/>
      <c r="BF53" s="854"/>
      <c r="BG53" s="854"/>
      <c r="BH53" s="854"/>
      <c r="BI53" s="854"/>
      <c r="BJ53" s="854"/>
      <c r="BK53" s="854"/>
      <c r="BL53" s="854"/>
      <c r="BM53" s="854"/>
      <c r="BN53" s="854"/>
      <c r="BO53" s="854"/>
      <c r="BP53" s="854"/>
      <c r="BQ53" s="854"/>
      <c r="BR53" s="854"/>
      <c r="BS53" s="854"/>
      <c r="BT53" s="854"/>
      <c r="BU53" s="854"/>
      <c r="BV53" s="854"/>
      <c r="BW53" s="854"/>
      <c r="BX53" s="854"/>
      <c r="BY53" s="854"/>
      <c r="BZ53" s="854"/>
      <c r="CA53" s="571">
        <f>IF(OR(I53="",I53&lt;'Configs &amp; Procedures'!$L$29),0,IF(I53&gt;'Configs &amp; Procedures'!$L$30,1,IF(F53&gt;'Configs &amp; Procedures'!$L$31,0,1)))</f>
        <v>0</v>
      </c>
    </row>
    <row r="54" spans="2:79">
      <c r="B54" s="854"/>
      <c r="C54" s="854"/>
      <c r="D54" s="854"/>
      <c r="E54" s="854"/>
      <c r="F54" s="854"/>
      <c r="G54" s="854"/>
      <c r="H54" s="854"/>
      <c r="I54" s="854"/>
      <c r="J54" s="854"/>
      <c r="K54" s="854"/>
      <c r="L54" s="854"/>
      <c r="M54" s="854"/>
      <c r="N54" s="854"/>
      <c r="O54" s="854"/>
      <c r="P54" s="854"/>
      <c r="Q54" s="854"/>
      <c r="R54" s="854"/>
      <c r="S54" s="854"/>
      <c r="T54" s="854"/>
      <c r="U54" s="854"/>
      <c r="V54" s="854"/>
      <c r="W54" s="854"/>
      <c r="X54" s="854"/>
      <c r="Y54" s="854"/>
      <c r="Z54" s="854"/>
      <c r="AA54" s="854"/>
      <c r="AB54" s="854"/>
      <c r="AC54" s="854"/>
      <c r="AD54" s="854"/>
      <c r="AE54" s="854"/>
      <c r="AF54" s="854"/>
      <c r="AG54" s="854"/>
      <c r="AH54" s="854"/>
      <c r="AI54" s="854"/>
      <c r="AJ54" s="854"/>
      <c r="AK54" s="854"/>
      <c r="AL54" s="854"/>
      <c r="AM54" s="854"/>
      <c r="AN54" s="854"/>
      <c r="AO54" s="854"/>
      <c r="AP54" s="854"/>
      <c r="AQ54" s="854"/>
      <c r="AR54" s="854"/>
      <c r="AS54" s="854"/>
      <c r="AT54" s="854"/>
      <c r="AU54" s="854"/>
      <c r="AV54" s="854"/>
      <c r="AW54" s="854"/>
      <c r="AX54" s="854"/>
      <c r="AY54" s="854"/>
      <c r="AZ54" s="854"/>
      <c r="BA54" s="854"/>
      <c r="BB54" s="854"/>
      <c r="BC54" s="854"/>
      <c r="BD54" s="854"/>
      <c r="BE54" s="854"/>
      <c r="BF54" s="854"/>
      <c r="BG54" s="854"/>
      <c r="BH54" s="854"/>
      <c r="BI54" s="854"/>
      <c r="BJ54" s="854"/>
      <c r="BK54" s="854"/>
      <c r="BL54" s="854"/>
      <c r="BM54" s="854"/>
      <c r="BN54" s="854"/>
      <c r="BO54" s="854"/>
      <c r="BP54" s="854"/>
      <c r="BQ54" s="854"/>
      <c r="BR54" s="854"/>
      <c r="BS54" s="854"/>
      <c r="BT54" s="854"/>
      <c r="BU54" s="854"/>
      <c r="BV54" s="854"/>
      <c r="BW54" s="854"/>
      <c r="BX54" s="854"/>
      <c r="BY54" s="854"/>
      <c r="BZ54" s="854"/>
      <c r="CA54" s="571">
        <f>IF(OR(I54="",I54&lt;'Configs &amp; Procedures'!$L$29),0,IF(I54&gt;'Configs &amp; Procedures'!$L$30,1,IF(F54&gt;'Configs &amp; Procedures'!$L$31,0,1)))</f>
        <v>0</v>
      </c>
    </row>
    <row r="55" spans="2:79">
      <c r="B55" s="854"/>
      <c r="C55" s="854"/>
      <c r="D55" s="854"/>
      <c r="E55" s="854"/>
      <c r="F55" s="854"/>
      <c r="G55" s="854"/>
      <c r="H55" s="854"/>
      <c r="I55" s="854"/>
      <c r="J55" s="854"/>
      <c r="K55" s="854"/>
      <c r="L55" s="854"/>
      <c r="M55" s="854"/>
      <c r="N55" s="854"/>
      <c r="O55" s="854"/>
      <c r="P55" s="854"/>
      <c r="Q55" s="854"/>
      <c r="R55" s="854"/>
      <c r="S55" s="854"/>
      <c r="T55" s="854"/>
      <c r="U55" s="854"/>
      <c r="V55" s="854"/>
      <c r="W55" s="854"/>
      <c r="X55" s="854"/>
      <c r="Y55" s="854"/>
      <c r="Z55" s="854"/>
      <c r="AA55" s="854"/>
      <c r="AB55" s="854"/>
      <c r="AC55" s="854"/>
      <c r="AD55" s="854"/>
      <c r="AE55" s="854"/>
      <c r="AF55" s="854"/>
      <c r="AG55" s="854"/>
      <c r="AH55" s="854"/>
      <c r="AI55" s="854"/>
      <c r="AJ55" s="854"/>
      <c r="AK55" s="854"/>
      <c r="AL55" s="854"/>
      <c r="AM55" s="854"/>
      <c r="AN55" s="854"/>
      <c r="AO55" s="854"/>
      <c r="AP55" s="854"/>
      <c r="AQ55" s="854"/>
      <c r="AR55" s="854"/>
      <c r="AS55" s="854"/>
      <c r="AT55" s="854"/>
      <c r="AU55" s="854"/>
      <c r="AV55" s="854"/>
      <c r="AW55" s="854"/>
      <c r="AX55" s="854"/>
      <c r="AY55" s="854"/>
      <c r="AZ55" s="854"/>
      <c r="BA55" s="854"/>
      <c r="BB55" s="854"/>
      <c r="BC55" s="854"/>
      <c r="BD55" s="854"/>
      <c r="BE55" s="854"/>
      <c r="BF55" s="854"/>
      <c r="BG55" s="854"/>
      <c r="BH55" s="854"/>
      <c r="BI55" s="854"/>
      <c r="BJ55" s="854"/>
      <c r="BK55" s="854"/>
      <c r="BL55" s="854"/>
      <c r="BM55" s="854"/>
      <c r="BN55" s="854"/>
      <c r="BO55" s="854"/>
      <c r="BP55" s="854"/>
      <c r="BQ55" s="854"/>
      <c r="BR55" s="854"/>
      <c r="BS55" s="854"/>
      <c r="BT55" s="854"/>
      <c r="BU55" s="854"/>
      <c r="BV55" s="854"/>
      <c r="BW55" s="854"/>
      <c r="BX55" s="854"/>
      <c r="BY55" s="854"/>
      <c r="BZ55" s="854"/>
      <c r="CA55" s="571">
        <f>IF(OR(I55="",I55&lt;'Configs &amp; Procedures'!$L$29),0,IF(I55&gt;'Configs &amp; Procedures'!$L$30,1,IF(F55&gt;'Configs &amp; Procedures'!$L$31,0,1)))</f>
        <v>0</v>
      </c>
    </row>
    <row r="56" spans="2:79">
      <c r="B56" s="854"/>
      <c r="C56" s="854"/>
      <c r="D56" s="854"/>
      <c r="E56" s="854"/>
      <c r="F56" s="854"/>
      <c r="G56" s="854"/>
      <c r="H56" s="854"/>
      <c r="I56" s="854"/>
      <c r="J56" s="854"/>
      <c r="K56" s="854"/>
      <c r="L56" s="854"/>
      <c r="M56" s="854"/>
      <c r="N56" s="854"/>
      <c r="O56" s="854"/>
      <c r="P56" s="854"/>
      <c r="Q56" s="854"/>
      <c r="R56" s="854"/>
      <c r="S56" s="854"/>
      <c r="T56" s="854"/>
      <c r="U56" s="854"/>
      <c r="V56" s="854"/>
      <c r="W56" s="854"/>
      <c r="X56" s="854"/>
      <c r="Y56" s="854"/>
      <c r="Z56" s="854"/>
      <c r="AA56" s="854"/>
      <c r="AB56" s="854"/>
      <c r="AC56" s="854"/>
      <c r="AD56" s="854"/>
      <c r="AE56" s="854"/>
      <c r="AF56" s="854"/>
      <c r="AG56" s="854"/>
      <c r="AH56" s="854"/>
      <c r="AI56" s="854"/>
      <c r="AJ56" s="854"/>
      <c r="AK56" s="854"/>
      <c r="AL56" s="854"/>
      <c r="AM56" s="854"/>
      <c r="AN56" s="854"/>
      <c r="AO56" s="854"/>
      <c r="AP56" s="854"/>
      <c r="AQ56" s="854"/>
      <c r="AR56" s="854"/>
      <c r="AS56" s="854"/>
      <c r="AT56" s="854"/>
      <c r="AU56" s="854"/>
      <c r="AV56" s="854"/>
      <c r="AW56" s="854"/>
      <c r="AX56" s="854"/>
      <c r="AY56" s="854"/>
      <c r="AZ56" s="854"/>
      <c r="BA56" s="854"/>
      <c r="BB56" s="854"/>
      <c r="BC56" s="854"/>
      <c r="BD56" s="854"/>
      <c r="BE56" s="854"/>
      <c r="BF56" s="854"/>
      <c r="BG56" s="854"/>
      <c r="BH56" s="854"/>
      <c r="BI56" s="854"/>
      <c r="BJ56" s="854"/>
      <c r="BK56" s="854"/>
      <c r="BL56" s="854"/>
      <c r="BM56" s="854"/>
      <c r="BN56" s="854"/>
      <c r="BO56" s="854"/>
      <c r="BP56" s="854"/>
      <c r="BQ56" s="854"/>
      <c r="BR56" s="854"/>
      <c r="BS56" s="854"/>
      <c r="BT56" s="854"/>
      <c r="BU56" s="854"/>
      <c r="BV56" s="854"/>
      <c r="BW56" s="854"/>
      <c r="BX56" s="854"/>
      <c r="BY56" s="854"/>
      <c r="BZ56" s="854"/>
      <c r="CA56" s="571">
        <f>IF(OR(I56="",I56&lt;'Configs &amp; Procedures'!$L$29),0,IF(I56&gt;'Configs &amp; Procedures'!$L$30,1,IF(F56&gt;'Configs &amp; Procedures'!$L$31,0,1)))</f>
        <v>0</v>
      </c>
    </row>
    <row r="57" spans="2:79">
      <c r="B57" s="854"/>
      <c r="C57" s="854"/>
      <c r="D57" s="854"/>
      <c r="E57" s="854"/>
      <c r="F57" s="854"/>
      <c r="G57" s="854"/>
      <c r="H57" s="854"/>
      <c r="I57" s="854"/>
      <c r="J57" s="854"/>
      <c r="K57" s="854"/>
      <c r="L57" s="854"/>
      <c r="M57" s="854"/>
      <c r="N57" s="854"/>
      <c r="O57" s="854"/>
      <c r="P57" s="854"/>
      <c r="Q57" s="854"/>
      <c r="R57" s="854"/>
      <c r="S57" s="854"/>
      <c r="T57" s="854"/>
      <c r="U57" s="854"/>
      <c r="V57" s="854"/>
      <c r="W57" s="854"/>
      <c r="X57" s="854"/>
      <c r="Y57" s="854"/>
      <c r="Z57" s="854"/>
      <c r="AA57" s="854"/>
      <c r="AB57" s="854"/>
      <c r="AC57" s="854"/>
      <c r="AD57" s="854"/>
      <c r="AE57" s="854"/>
      <c r="AF57" s="854"/>
      <c r="AG57" s="854"/>
      <c r="AH57" s="854"/>
      <c r="AI57" s="854"/>
      <c r="AJ57" s="854"/>
      <c r="AK57" s="854"/>
      <c r="AL57" s="854"/>
      <c r="AM57" s="854"/>
      <c r="AN57" s="854"/>
      <c r="AO57" s="854"/>
      <c r="AP57" s="854"/>
      <c r="AQ57" s="854"/>
      <c r="AR57" s="854"/>
      <c r="AS57" s="854"/>
      <c r="AT57" s="854"/>
      <c r="AU57" s="854"/>
      <c r="AV57" s="854"/>
      <c r="AW57" s="854"/>
      <c r="AX57" s="854"/>
      <c r="AY57" s="854"/>
      <c r="AZ57" s="854"/>
      <c r="BA57" s="854"/>
      <c r="BB57" s="854"/>
      <c r="BC57" s="854"/>
      <c r="BD57" s="854"/>
      <c r="BE57" s="854"/>
      <c r="BF57" s="854"/>
      <c r="BG57" s="854"/>
      <c r="BH57" s="854"/>
      <c r="BI57" s="854"/>
      <c r="BJ57" s="854"/>
      <c r="BK57" s="854"/>
      <c r="BL57" s="854"/>
      <c r="BM57" s="854"/>
      <c r="BN57" s="854"/>
      <c r="BO57" s="854"/>
      <c r="BP57" s="854"/>
      <c r="BQ57" s="854"/>
      <c r="BR57" s="854"/>
      <c r="BS57" s="854"/>
      <c r="BT57" s="854"/>
      <c r="BU57" s="854"/>
      <c r="BV57" s="854"/>
      <c r="BW57" s="854"/>
      <c r="BX57" s="854"/>
      <c r="BY57" s="854"/>
      <c r="BZ57" s="854"/>
      <c r="CA57" s="571">
        <f>IF(OR(I57="",I57&lt;'Configs &amp; Procedures'!$L$29),0,IF(I57&gt;'Configs &amp; Procedures'!$L$30,1,IF(F57&gt;'Configs &amp; Procedures'!$L$31,0,1)))</f>
        <v>0</v>
      </c>
    </row>
    <row r="58" spans="2:79">
      <c r="B58" s="854"/>
      <c r="C58" s="854"/>
      <c r="D58" s="854"/>
      <c r="E58" s="854"/>
      <c r="F58" s="854"/>
      <c r="G58" s="854"/>
      <c r="H58" s="854"/>
      <c r="I58" s="854"/>
      <c r="J58" s="854"/>
      <c r="K58" s="854"/>
      <c r="L58" s="854"/>
      <c r="M58" s="854"/>
      <c r="N58" s="854"/>
      <c r="O58" s="854"/>
      <c r="P58" s="854"/>
      <c r="Q58" s="854"/>
      <c r="R58" s="854"/>
      <c r="S58" s="854"/>
      <c r="T58" s="854"/>
      <c r="U58" s="854"/>
      <c r="V58" s="854"/>
      <c r="W58" s="854"/>
      <c r="X58" s="854"/>
      <c r="Y58" s="854"/>
      <c r="Z58" s="854"/>
      <c r="AA58" s="854"/>
      <c r="AB58" s="854"/>
      <c r="AC58" s="854"/>
      <c r="AD58" s="854"/>
      <c r="AE58" s="854"/>
      <c r="AF58" s="854"/>
      <c r="AG58" s="854"/>
      <c r="AH58" s="854"/>
      <c r="AI58" s="854"/>
      <c r="AJ58" s="854"/>
      <c r="AK58" s="854"/>
      <c r="AL58" s="854"/>
      <c r="AM58" s="854"/>
      <c r="AN58" s="854"/>
      <c r="AO58" s="854"/>
      <c r="AP58" s="854"/>
      <c r="AQ58" s="854"/>
      <c r="AR58" s="854"/>
      <c r="AS58" s="854"/>
      <c r="AT58" s="854"/>
      <c r="AU58" s="854"/>
      <c r="AV58" s="854"/>
      <c r="AW58" s="854"/>
      <c r="AX58" s="854"/>
      <c r="AY58" s="854"/>
      <c r="AZ58" s="854"/>
      <c r="BA58" s="854"/>
      <c r="BB58" s="854"/>
      <c r="BC58" s="854"/>
      <c r="BD58" s="854"/>
      <c r="BE58" s="854"/>
      <c r="BF58" s="854"/>
      <c r="BG58" s="854"/>
      <c r="BH58" s="854"/>
      <c r="BI58" s="854"/>
      <c r="BJ58" s="854"/>
      <c r="BK58" s="854"/>
      <c r="BL58" s="854"/>
      <c r="BM58" s="854"/>
      <c r="BN58" s="854"/>
      <c r="BO58" s="854"/>
      <c r="BP58" s="854"/>
      <c r="BQ58" s="854"/>
      <c r="BR58" s="854"/>
      <c r="BS58" s="854"/>
      <c r="BT58" s="854"/>
      <c r="BU58" s="854"/>
      <c r="BV58" s="854"/>
      <c r="BW58" s="854"/>
      <c r="BX58" s="854"/>
      <c r="BY58" s="854"/>
      <c r="BZ58" s="854"/>
      <c r="CA58" s="571">
        <f>IF(OR(I58="",I58&lt;'Configs &amp; Procedures'!$L$29),0,IF(I58&gt;'Configs &amp; Procedures'!$L$30,1,IF(F58&gt;'Configs &amp; Procedures'!$L$31,0,1)))</f>
        <v>0</v>
      </c>
    </row>
    <row r="59" spans="2:79">
      <c r="B59" s="854"/>
      <c r="C59" s="854"/>
      <c r="D59" s="854"/>
      <c r="E59" s="854"/>
      <c r="F59" s="854"/>
      <c r="G59" s="854"/>
      <c r="H59" s="854"/>
      <c r="I59" s="854"/>
      <c r="J59" s="854"/>
      <c r="K59" s="854"/>
      <c r="L59" s="854"/>
      <c r="M59" s="854"/>
      <c r="N59" s="854"/>
      <c r="O59" s="854"/>
      <c r="P59" s="854"/>
      <c r="Q59" s="854"/>
      <c r="R59" s="854"/>
      <c r="S59" s="854"/>
      <c r="T59" s="854"/>
      <c r="U59" s="854"/>
      <c r="V59" s="854"/>
      <c r="W59" s="854"/>
      <c r="X59" s="854"/>
      <c r="Y59" s="854"/>
      <c r="Z59" s="854"/>
      <c r="AA59" s="854"/>
      <c r="AB59" s="854"/>
      <c r="AC59" s="854"/>
      <c r="AD59" s="854"/>
      <c r="AE59" s="854"/>
      <c r="AF59" s="854"/>
      <c r="AG59" s="854"/>
      <c r="AH59" s="854"/>
      <c r="AI59" s="854"/>
      <c r="AJ59" s="854"/>
      <c r="AK59" s="854"/>
      <c r="AL59" s="854"/>
      <c r="AM59" s="854"/>
      <c r="AN59" s="854"/>
      <c r="AO59" s="854"/>
      <c r="AP59" s="854"/>
      <c r="AQ59" s="854"/>
      <c r="AR59" s="854"/>
      <c r="AS59" s="854"/>
      <c r="AT59" s="854"/>
      <c r="AU59" s="854"/>
      <c r="AV59" s="854"/>
      <c r="AW59" s="854"/>
      <c r="AX59" s="854"/>
      <c r="AY59" s="854"/>
      <c r="AZ59" s="854"/>
      <c r="BA59" s="854"/>
      <c r="BB59" s="854"/>
      <c r="BC59" s="854"/>
      <c r="BD59" s="854"/>
      <c r="BE59" s="854"/>
      <c r="BF59" s="854"/>
      <c r="BG59" s="854"/>
      <c r="BH59" s="854"/>
      <c r="BI59" s="854"/>
      <c r="BJ59" s="854"/>
      <c r="BK59" s="854"/>
      <c r="BL59" s="854"/>
      <c r="BM59" s="854"/>
      <c r="BN59" s="854"/>
      <c r="BO59" s="854"/>
      <c r="BP59" s="854"/>
      <c r="BQ59" s="854"/>
      <c r="BR59" s="854"/>
      <c r="BS59" s="854"/>
      <c r="BT59" s="854"/>
      <c r="BU59" s="854"/>
      <c r="BV59" s="854"/>
      <c r="BW59" s="854"/>
      <c r="BX59" s="854"/>
      <c r="BY59" s="854"/>
      <c r="BZ59" s="854"/>
      <c r="CA59" s="571">
        <f>IF(OR(I59="",I59&lt;'Configs &amp; Procedures'!$L$29),0,IF(I59&gt;'Configs &amp; Procedures'!$L$30,1,IF(F59&gt;'Configs &amp; Procedures'!$L$31,0,1)))</f>
        <v>0</v>
      </c>
    </row>
    <row r="60" spans="2:79">
      <c r="B60" s="854"/>
      <c r="C60" s="854"/>
      <c r="D60" s="854"/>
      <c r="E60" s="854"/>
      <c r="F60" s="854"/>
      <c r="G60" s="854"/>
      <c r="H60" s="854"/>
      <c r="I60" s="854"/>
      <c r="J60" s="854"/>
      <c r="K60" s="854"/>
      <c r="L60" s="854"/>
      <c r="M60" s="854"/>
      <c r="N60" s="854"/>
      <c r="O60" s="854"/>
      <c r="P60" s="854"/>
      <c r="Q60" s="854"/>
      <c r="R60" s="854"/>
      <c r="S60" s="854"/>
      <c r="T60" s="854"/>
      <c r="U60" s="854"/>
      <c r="V60" s="854"/>
      <c r="W60" s="854"/>
      <c r="X60" s="854"/>
      <c r="Y60" s="854"/>
      <c r="Z60" s="854"/>
      <c r="AA60" s="854"/>
      <c r="AB60" s="854"/>
      <c r="AC60" s="854"/>
      <c r="AD60" s="854"/>
      <c r="AE60" s="854"/>
      <c r="AF60" s="854"/>
      <c r="AG60" s="854"/>
      <c r="AH60" s="854"/>
      <c r="AI60" s="854"/>
      <c r="AJ60" s="854"/>
      <c r="AK60" s="854"/>
      <c r="AL60" s="854"/>
      <c r="AM60" s="854"/>
      <c r="AN60" s="854"/>
      <c r="AO60" s="854"/>
      <c r="AP60" s="854"/>
      <c r="AQ60" s="854"/>
      <c r="AR60" s="854"/>
      <c r="AS60" s="854"/>
      <c r="AT60" s="854"/>
      <c r="AU60" s="854"/>
      <c r="AV60" s="854"/>
      <c r="AW60" s="854"/>
      <c r="AX60" s="854"/>
      <c r="AY60" s="854"/>
      <c r="AZ60" s="854"/>
      <c r="BA60" s="854"/>
      <c r="BB60" s="854"/>
      <c r="BC60" s="854"/>
      <c r="BD60" s="854"/>
      <c r="BE60" s="854"/>
      <c r="BF60" s="854"/>
      <c r="BG60" s="854"/>
      <c r="BH60" s="854"/>
      <c r="BI60" s="854"/>
      <c r="BJ60" s="854"/>
      <c r="BK60" s="854"/>
      <c r="BL60" s="854"/>
      <c r="BM60" s="854"/>
      <c r="BN60" s="854"/>
      <c r="BO60" s="854"/>
      <c r="BP60" s="854"/>
      <c r="BQ60" s="854"/>
      <c r="BR60" s="854"/>
      <c r="BS60" s="854"/>
      <c r="BT60" s="854"/>
      <c r="BU60" s="854"/>
      <c r="BV60" s="854"/>
      <c r="BW60" s="854"/>
      <c r="BX60" s="854"/>
      <c r="BY60" s="854"/>
      <c r="BZ60" s="854"/>
      <c r="CA60" s="571">
        <f>IF(OR(I60="",I60&lt;'Configs &amp; Procedures'!$L$29),0,IF(I60&gt;'Configs &amp; Procedures'!$L$30,1,IF(F60&gt;'Configs &amp; Procedures'!$L$31,0,1)))</f>
        <v>0</v>
      </c>
    </row>
    <row r="61" spans="2:79">
      <c r="B61" s="854"/>
      <c r="C61" s="854"/>
      <c r="D61" s="854"/>
      <c r="E61" s="854"/>
      <c r="F61" s="854"/>
      <c r="G61" s="854"/>
      <c r="H61" s="854"/>
      <c r="I61" s="854"/>
      <c r="J61" s="854"/>
      <c r="K61" s="854"/>
      <c r="L61" s="854"/>
      <c r="M61" s="854"/>
      <c r="N61" s="854"/>
      <c r="O61" s="854"/>
      <c r="P61" s="854"/>
      <c r="Q61" s="854"/>
      <c r="R61" s="854"/>
      <c r="S61" s="854"/>
      <c r="T61" s="854"/>
      <c r="U61" s="854"/>
      <c r="V61" s="854"/>
      <c r="W61" s="854"/>
      <c r="X61" s="854"/>
      <c r="Y61" s="854"/>
      <c r="Z61" s="854"/>
      <c r="AA61" s="854"/>
      <c r="AB61" s="854"/>
      <c r="AC61" s="854"/>
      <c r="AD61" s="854"/>
      <c r="AE61" s="854"/>
      <c r="AF61" s="854"/>
      <c r="AG61" s="854"/>
      <c r="AH61" s="854"/>
      <c r="AI61" s="854"/>
      <c r="AJ61" s="854"/>
      <c r="AK61" s="854"/>
      <c r="AL61" s="854"/>
      <c r="AM61" s="854"/>
      <c r="AN61" s="854"/>
      <c r="AO61" s="854"/>
      <c r="AP61" s="854"/>
      <c r="AQ61" s="854"/>
      <c r="AR61" s="854"/>
      <c r="AS61" s="854"/>
      <c r="AT61" s="854"/>
      <c r="AU61" s="854"/>
      <c r="AV61" s="854"/>
      <c r="AW61" s="854"/>
      <c r="AX61" s="854"/>
      <c r="AY61" s="854"/>
      <c r="AZ61" s="854"/>
      <c r="BA61" s="854"/>
      <c r="BB61" s="854"/>
      <c r="BC61" s="854"/>
      <c r="BD61" s="854"/>
      <c r="BE61" s="854"/>
      <c r="BF61" s="854"/>
      <c r="BG61" s="854"/>
      <c r="BH61" s="854"/>
      <c r="BI61" s="854"/>
      <c r="BJ61" s="854"/>
      <c r="BK61" s="854"/>
      <c r="BL61" s="854"/>
      <c r="BM61" s="854"/>
      <c r="BN61" s="854"/>
      <c r="BO61" s="854"/>
      <c r="BP61" s="854"/>
      <c r="BQ61" s="854"/>
      <c r="BR61" s="854"/>
      <c r="BS61" s="854"/>
      <c r="BT61" s="854"/>
      <c r="BU61" s="854"/>
      <c r="BV61" s="854"/>
      <c r="BW61" s="854"/>
      <c r="BX61" s="854"/>
      <c r="BY61" s="854"/>
      <c r="BZ61" s="854"/>
      <c r="CA61" s="571">
        <f>IF(OR(I61="",I61&lt;'Configs &amp; Procedures'!$L$29),0,IF(I61&gt;'Configs &amp; Procedures'!$L$30,1,IF(F61&gt;'Configs &amp; Procedures'!$L$31,0,1)))</f>
        <v>0</v>
      </c>
    </row>
    <row r="62" spans="2:79">
      <c r="B62" s="854"/>
      <c r="C62" s="854"/>
      <c r="D62" s="854"/>
      <c r="E62" s="854"/>
      <c r="F62" s="854"/>
      <c r="G62" s="854"/>
      <c r="H62" s="854"/>
      <c r="I62" s="854"/>
      <c r="J62" s="854"/>
      <c r="K62" s="854"/>
      <c r="L62" s="854"/>
      <c r="M62" s="854"/>
      <c r="N62" s="854"/>
      <c r="O62" s="854"/>
      <c r="P62" s="854"/>
      <c r="Q62" s="854"/>
      <c r="R62" s="854"/>
      <c r="S62" s="854"/>
      <c r="T62" s="854"/>
      <c r="U62" s="854"/>
      <c r="V62" s="854"/>
      <c r="W62" s="854"/>
      <c r="X62" s="854"/>
      <c r="Y62" s="854"/>
      <c r="Z62" s="854"/>
      <c r="AA62" s="854"/>
      <c r="AB62" s="854"/>
      <c r="AC62" s="854"/>
      <c r="AD62" s="854"/>
      <c r="AE62" s="854"/>
      <c r="AF62" s="854"/>
      <c r="AG62" s="854"/>
      <c r="AH62" s="854"/>
      <c r="AI62" s="854"/>
      <c r="AJ62" s="854"/>
      <c r="AK62" s="854"/>
      <c r="AL62" s="854"/>
      <c r="AM62" s="854"/>
      <c r="AN62" s="854"/>
      <c r="AO62" s="854"/>
      <c r="AP62" s="854"/>
      <c r="AQ62" s="854"/>
      <c r="AR62" s="854"/>
      <c r="AS62" s="854"/>
      <c r="AT62" s="854"/>
      <c r="AU62" s="854"/>
      <c r="AV62" s="854"/>
      <c r="AW62" s="854"/>
      <c r="AX62" s="854"/>
      <c r="AY62" s="854"/>
      <c r="AZ62" s="854"/>
      <c r="BA62" s="854"/>
      <c r="BB62" s="854"/>
      <c r="BC62" s="854"/>
      <c r="BD62" s="854"/>
      <c r="BE62" s="854"/>
      <c r="BF62" s="854"/>
      <c r="BG62" s="854"/>
      <c r="BH62" s="854"/>
      <c r="BI62" s="854"/>
      <c r="BJ62" s="854"/>
      <c r="BK62" s="854"/>
      <c r="BL62" s="854"/>
      <c r="BM62" s="854"/>
      <c r="BN62" s="854"/>
      <c r="BO62" s="854"/>
      <c r="BP62" s="854"/>
      <c r="BQ62" s="854"/>
      <c r="BR62" s="854"/>
      <c r="BS62" s="854"/>
      <c r="BT62" s="854"/>
      <c r="BU62" s="854"/>
      <c r="BV62" s="854"/>
      <c r="BW62" s="854"/>
      <c r="BX62" s="854"/>
      <c r="BY62" s="854"/>
      <c r="BZ62" s="854"/>
      <c r="CA62" s="571">
        <f>IF(OR(I62="",I62&lt;'Configs &amp; Procedures'!$L$29),0,IF(I62&gt;'Configs &amp; Procedures'!$L$30,1,IF(F62&gt;'Configs &amp; Procedures'!$L$31,0,1)))</f>
        <v>0</v>
      </c>
    </row>
    <row r="63" spans="2:79">
      <c r="B63" s="854"/>
      <c r="C63" s="854"/>
      <c r="D63" s="854"/>
      <c r="E63" s="854"/>
      <c r="F63" s="854"/>
      <c r="G63" s="854"/>
      <c r="H63" s="854"/>
      <c r="I63" s="854"/>
      <c r="J63" s="854"/>
      <c r="K63" s="854"/>
      <c r="L63" s="854"/>
      <c r="M63" s="854"/>
      <c r="N63" s="854"/>
      <c r="O63" s="854"/>
      <c r="P63" s="854"/>
      <c r="Q63" s="854"/>
      <c r="R63" s="854"/>
      <c r="S63" s="854"/>
      <c r="T63" s="854"/>
      <c r="U63" s="854"/>
      <c r="V63" s="854"/>
      <c r="W63" s="854"/>
      <c r="X63" s="854"/>
      <c r="Y63" s="854"/>
      <c r="Z63" s="854"/>
      <c r="AA63" s="854"/>
      <c r="AB63" s="854"/>
      <c r="AC63" s="854"/>
      <c r="AD63" s="854"/>
      <c r="AE63" s="854"/>
      <c r="AF63" s="854"/>
      <c r="AG63" s="854"/>
      <c r="AH63" s="854"/>
      <c r="AI63" s="854"/>
      <c r="AJ63" s="854"/>
      <c r="AK63" s="854"/>
      <c r="AL63" s="854"/>
      <c r="AM63" s="854"/>
      <c r="AN63" s="854"/>
      <c r="AO63" s="854"/>
      <c r="AP63" s="854"/>
      <c r="AQ63" s="854"/>
      <c r="AR63" s="854"/>
      <c r="AS63" s="854"/>
      <c r="AT63" s="854"/>
      <c r="AU63" s="854"/>
      <c r="AV63" s="854"/>
      <c r="AW63" s="854"/>
      <c r="AX63" s="854"/>
      <c r="AY63" s="854"/>
      <c r="AZ63" s="854"/>
      <c r="BA63" s="854"/>
      <c r="BB63" s="854"/>
      <c r="BC63" s="854"/>
      <c r="BD63" s="854"/>
      <c r="BE63" s="854"/>
      <c r="BF63" s="854"/>
      <c r="BG63" s="854"/>
      <c r="BH63" s="854"/>
      <c r="BI63" s="854"/>
      <c r="BJ63" s="854"/>
      <c r="BK63" s="854"/>
      <c r="BL63" s="854"/>
      <c r="BM63" s="854"/>
      <c r="BN63" s="854"/>
      <c r="BO63" s="854"/>
      <c r="BP63" s="854"/>
      <c r="BQ63" s="854"/>
      <c r="BR63" s="854"/>
      <c r="BS63" s="854"/>
      <c r="BT63" s="854"/>
      <c r="BU63" s="854"/>
      <c r="BV63" s="854"/>
      <c r="BW63" s="854"/>
      <c r="BX63" s="854"/>
      <c r="BY63" s="854"/>
      <c r="BZ63" s="854"/>
      <c r="CA63" s="571">
        <f>IF(OR(I63="",I63&lt;'Configs &amp; Procedures'!$L$29),0,IF(I63&gt;'Configs &amp; Procedures'!$L$30,1,IF(F63&gt;'Configs &amp; Procedures'!$L$31,0,1)))</f>
        <v>0</v>
      </c>
    </row>
    <row r="64" spans="2:79">
      <c r="B64" s="854"/>
      <c r="C64" s="854"/>
      <c r="D64" s="854"/>
      <c r="E64" s="854"/>
      <c r="F64" s="854"/>
      <c r="G64" s="854"/>
      <c r="H64" s="854"/>
      <c r="I64" s="854"/>
      <c r="J64" s="854"/>
      <c r="K64" s="854"/>
      <c r="L64" s="854"/>
      <c r="M64" s="854"/>
      <c r="N64" s="854"/>
      <c r="O64" s="854"/>
      <c r="P64" s="854"/>
      <c r="Q64" s="854"/>
      <c r="R64" s="854"/>
      <c r="S64" s="854"/>
      <c r="T64" s="854"/>
      <c r="U64" s="854"/>
      <c r="V64" s="854"/>
      <c r="W64" s="854"/>
      <c r="X64" s="854"/>
      <c r="Y64" s="854"/>
      <c r="Z64" s="854"/>
      <c r="AA64" s="854"/>
      <c r="AB64" s="854"/>
      <c r="AC64" s="854"/>
      <c r="AD64" s="854"/>
      <c r="AE64" s="854"/>
      <c r="AF64" s="854"/>
      <c r="AG64" s="854"/>
      <c r="AH64" s="854"/>
      <c r="AI64" s="854"/>
      <c r="AJ64" s="854"/>
      <c r="AK64" s="854"/>
      <c r="AL64" s="854"/>
      <c r="AM64" s="854"/>
      <c r="AN64" s="854"/>
      <c r="AO64" s="854"/>
      <c r="AP64" s="854"/>
      <c r="AQ64" s="854"/>
      <c r="AR64" s="854"/>
      <c r="AS64" s="854"/>
      <c r="AT64" s="854"/>
      <c r="AU64" s="854"/>
      <c r="AV64" s="854"/>
      <c r="AW64" s="854"/>
      <c r="AX64" s="854"/>
      <c r="AY64" s="854"/>
      <c r="AZ64" s="854"/>
      <c r="BA64" s="854"/>
      <c r="BB64" s="854"/>
      <c r="BC64" s="854"/>
      <c r="BD64" s="854"/>
      <c r="BE64" s="854"/>
      <c r="BF64" s="854"/>
      <c r="BG64" s="854"/>
      <c r="BH64" s="854"/>
      <c r="BI64" s="854"/>
      <c r="BJ64" s="854"/>
      <c r="BK64" s="854"/>
      <c r="BL64" s="854"/>
      <c r="BM64" s="854"/>
      <c r="BN64" s="854"/>
      <c r="BO64" s="854"/>
      <c r="BP64" s="854"/>
      <c r="BQ64" s="854"/>
      <c r="BR64" s="854"/>
      <c r="BS64" s="854"/>
      <c r="BT64" s="854"/>
      <c r="BU64" s="854"/>
      <c r="BV64" s="854"/>
      <c r="BW64" s="854"/>
      <c r="BX64" s="854"/>
      <c r="BY64" s="854"/>
      <c r="BZ64" s="854"/>
      <c r="CA64" s="571">
        <f>IF(OR(I64="",I64&lt;'Configs &amp; Procedures'!$L$29),0,IF(I64&gt;'Configs &amp; Procedures'!$L$30,1,IF(F64&gt;'Configs &amp; Procedures'!$L$31,0,1)))</f>
        <v>0</v>
      </c>
    </row>
    <row r="65" spans="2:79">
      <c r="B65" s="854"/>
      <c r="C65" s="854"/>
      <c r="D65" s="854"/>
      <c r="E65" s="854"/>
      <c r="F65" s="854"/>
      <c r="G65" s="854"/>
      <c r="H65" s="854"/>
      <c r="I65" s="854"/>
      <c r="J65" s="854"/>
      <c r="K65" s="854"/>
      <c r="L65" s="854"/>
      <c r="M65" s="854"/>
      <c r="N65" s="854"/>
      <c r="O65" s="854"/>
      <c r="P65" s="854"/>
      <c r="Q65" s="854"/>
      <c r="R65" s="854"/>
      <c r="S65" s="854"/>
      <c r="T65" s="854"/>
      <c r="U65" s="854"/>
      <c r="V65" s="854"/>
      <c r="W65" s="854"/>
      <c r="X65" s="854"/>
      <c r="Y65" s="854"/>
      <c r="Z65" s="854"/>
      <c r="AA65" s="854"/>
      <c r="AB65" s="854"/>
      <c r="AC65" s="854"/>
      <c r="AD65" s="854"/>
      <c r="AE65" s="854"/>
      <c r="AF65" s="854"/>
      <c r="AG65" s="854"/>
      <c r="AH65" s="854"/>
      <c r="AI65" s="854"/>
      <c r="AJ65" s="854"/>
      <c r="AK65" s="854"/>
      <c r="AL65" s="854"/>
      <c r="AM65" s="854"/>
      <c r="AN65" s="854"/>
      <c r="AO65" s="854"/>
      <c r="AP65" s="854"/>
      <c r="AQ65" s="854"/>
      <c r="AR65" s="854"/>
      <c r="AS65" s="854"/>
      <c r="AT65" s="854"/>
      <c r="AU65" s="854"/>
      <c r="AV65" s="854"/>
      <c r="AW65" s="854"/>
      <c r="AX65" s="854"/>
      <c r="AY65" s="854"/>
      <c r="AZ65" s="854"/>
      <c r="BA65" s="854"/>
      <c r="BB65" s="854"/>
      <c r="BC65" s="854"/>
      <c r="BD65" s="854"/>
      <c r="BE65" s="854"/>
      <c r="BF65" s="854"/>
      <c r="BG65" s="854"/>
      <c r="BH65" s="854"/>
      <c r="BI65" s="854"/>
      <c r="BJ65" s="854"/>
      <c r="BK65" s="854"/>
      <c r="BL65" s="854"/>
      <c r="BM65" s="854"/>
      <c r="BN65" s="854"/>
      <c r="BO65" s="854"/>
      <c r="BP65" s="854"/>
      <c r="BQ65" s="854"/>
      <c r="BR65" s="854"/>
      <c r="BS65" s="854"/>
      <c r="BT65" s="854"/>
      <c r="BU65" s="854"/>
      <c r="BV65" s="854"/>
      <c r="BW65" s="854"/>
      <c r="BX65" s="854"/>
      <c r="BY65" s="854"/>
      <c r="BZ65" s="854"/>
      <c r="CA65" s="571">
        <f>IF(OR(I65="",I65&lt;'Configs &amp; Procedures'!$L$29),0,IF(I65&gt;'Configs &amp; Procedures'!$L$30,1,IF(F65&gt;'Configs &amp; Procedures'!$L$31,0,1)))</f>
        <v>0</v>
      </c>
    </row>
    <row r="66" spans="2:79">
      <c r="B66" s="854"/>
      <c r="C66" s="854"/>
      <c r="D66" s="854"/>
      <c r="E66" s="854"/>
      <c r="F66" s="854"/>
      <c r="G66" s="854"/>
      <c r="H66" s="854"/>
      <c r="I66" s="854"/>
      <c r="J66" s="854"/>
      <c r="K66" s="854"/>
      <c r="L66" s="854"/>
      <c r="M66" s="854"/>
      <c r="N66" s="854"/>
      <c r="O66" s="854"/>
      <c r="P66" s="854"/>
      <c r="Q66" s="854"/>
      <c r="R66" s="854"/>
      <c r="S66" s="854"/>
      <c r="T66" s="854"/>
      <c r="U66" s="854"/>
      <c r="V66" s="854"/>
      <c r="W66" s="854"/>
      <c r="X66" s="854"/>
      <c r="Y66" s="854"/>
      <c r="Z66" s="854"/>
      <c r="AA66" s="854"/>
      <c r="AB66" s="854"/>
      <c r="AC66" s="854"/>
      <c r="AD66" s="854"/>
      <c r="AE66" s="854"/>
      <c r="AF66" s="854"/>
      <c r="AG66" s="854"/>
      <c r="AH66" s="854"/>
      <c r="AI66" s="854"/>
      <c r="AJ66" s="854"/>
      <c r="AK66" s="854"/>
      <c r="AL66" s="854"/>
      <c r="AM66" s="854"/>
      <c r="AN66" s="854"/>
      <c r="AO66" s="854"/>
      <c r="AP66" s="854"/>
      <c r="AQ66" s="854"/>
      <c r="AR66" s="854"/>
      <c r="AS66" s="854"/>
      <c r="AT66" s="854"/>
      <c r="AU66" s="854"/>
      <c r="AV66" s="854"/>
      <c r="AW66" s="854"/>
      <c r="AX66" s="854"/>
      <c r="AY66" s="854"/>
      <c r="AZ66" s="854"/>
      <c r="BA66" s="854"/>
      <c r="BB66" s="854"/>
      <c r="BC66" s="854"/>
      <c r="BD66" s="854"/>
      <c r="BE66" s="854"/>
      <c r="BF66" s="854"/>
      <c r="BG66" s="854"/>
      <c r="BH66" s="854"/>
      <c r="BI66" s="854"/>
      <c r="BJ66" s="854"/>
      <c r="BK66" s="854"/>
      <c r="BL66" s="854"/>
      <c r="BM66" s="854"/>
      <c r="BN66" s="854"/>
      <c r="BO66" s="854"/>
      <c r="BP66" s="854"/>
      <c r="BQ66" s="854"/>
      <c r="BR66" s="854"/>
      <c r="BS66" s="854"/>
      <c r="BT66" s="854"/>
      <c r="BU66" s="854"/>
      <c r="BV66" s="854"/>
      <c r="BW66" s="854"/>
      <c r="BX66" s="854"/>
      <c r="BY66" s="854"/>
      <c r="BZ66" s="854"/>
      <c r="CA66" s="571">
        <f>IF(OR(I66="",I66&lt;'Configs &amp; Procedures'!$L$29),0,IF(I66&gt;'Configs &amp; Procedures'!$L$30,1,IF(F66&gt;'Configs &amp; Procedures'!$L$31,0,1)))</f>
        <v>0</v>
      </c>
    </row>
    <row r="67" spans="2:79">
      <c r="B67" s="854"/>
      <c r="C67" s="854"/>
      <c r="D67" s="854"/>
      <c r="E67" s="854"/>
      <c r="F67" s="854"/>
      <c r="G67" s="854"/>
      <c r="H67" s="854"/>
      <c r="I67" s="854"/>
      <c r="J67" s="854"/>
      <c r="K67" s="854"/>
      <c r="L67" s="854"/>
      <c r="M67" s="854"/>
      <c r="N67" s="854"/>
      <c r="O67" s="854"/>
      <c r="P67" s="854"/>
      <c r="Q67" s="854"/>
      <c r="R67" s="854"/>
      <c r="S67" s="854"/>
      <c r="T67" s="854"/>
      <c r="U67" s="854"/>
      <c r="V67" s="854"/>
      <c r="W67" s="854"/>
      <c r="X67" s="854"/>
      <c r="Y67" s="854"/>
      <c r="Z67" s="854"/>
      <c r="AA67" s="854"/>
      <c r="AB67" s="854"/>
      <c r="AC67" s="854"/>
      <c r="AD67" s="854"/>
      <c r="AE67" s="854"/>
      <c r="AF67" s="854"/>
      <c r="AG67" s="854"/>
      <c r="AH67" s="854"/>
      <c r="AI67" s="854"/>
      <c r="AJ67" s="854"/>
      <c r="AK67" s="854"/>
      <c r="AL67" s="854"/>
      <c r="AM67" s="854"/>
      <c r="AN67" s="854"/>
      <c r="AO67" s="854"/>
      <c r="AP67" s="854"/>
      <c r="AQ67" s="854"/>
      <c r="AR67" s="854"/>
      <c r="AS67" s="854"/>
      <c r="AT67" s="854"/>
      <c r="AU67" s="854"/>
      <c r="AV67" s="854"/>
      <c r="AW67" s="854"/>
      <c r="AX67" s="854"/>
      <c r="AY67" s="854"/>
      <c r="AZ67" s="854"/>
      <c r="BA67" s="854"/>
      <c r="BB67" s="854"/>
      <c r="BC67" s="854"/>
      <c r="BD67" s="854"/>
      <c r="BE67" s="854"/>
      <c r="BF67" s="854"/>
      <c r="BG67" s="854"/>
      <c r="BH67" s="854"/>
      <c r="BI67" s="854"/>
      <c r="BJ67" s="854"/>
      <c r="BK67" s="854"/>
      <c r="BL67" s="854"/>
      <c r="BM67" s="854"/>
      <c r="BN67" s="854"/>
      <c r="BO67" s="854"/>
      <c r="BP67" s="854"/>
      <c r="BQ67" s="854"/>
      <c r="BR67" s="854"/>
      <c r="BS67" s="854"/>
      <c r="BT67" s="854"/>
      <c r="BU67" s="854"/>
      <c r="BV67" s="854"/>
      <c r="BW67" s="854"/>
      <c r="BX67" s="854"/>
      <c r="BY67" s="854"/>
      <c r="BZ67" s="854"/>
      <c r="CA67" s="571">
        <f>IF(OR(I67="",I67&lt;'Configs &amp; Procedures'!$L$29),0,IF(I67&gt;'Configs &amp; Procedures'!$L$30,1,IF(F67&gt;'Configs &amp; Procedures'!$L$31,0,1)))</f>
        <v>0</v>
      </c>
    </row>
    <row r="68" spans="2:79">
      <c r="B68" s="854"/>
      <c r="C68" s="854"/>
      <c r="D68" s="854"/>
      <c r="E68" s="854"/>
      <c r="F68" s="854"/>
      <c r="G68" s="854"/>
      <c r="H68" s="854"/>
      <c r="I68" s="854"/>
      <c r="J68" s="854"/>
      <c r="K68" s="854"/>
      <c r="L68" s="854"/>
      <c r="M68" s="854"/>
      <c r="N68" s="854"/>
      <c r="O68" s="854"/>
      <c r="P68" s="854"/>
      <c r="Q68" s="854"/>
      <c r="R68" s="854"/>
      <c r="S68" s="854"/>
      <c r="T68" s="854"/>
      <c r="U68" s="854"/>
      <c r="V68" s="854"/>
      <c r="W68" s="854"/>
      <c r="X68" s="854"/>
      <c r="Y68" s="854"/>
      <c r="Z68" s="854"/>
      <c r="AA68" s="854"/>
      <c r="AB68" s="854"/>
      <c r="AC68" s="854"/>
      <c r="AD68" s="854"/>
      <c r="AE68" s="854"/>
      <c r="AF68" s="854"/>
      <c r="AG68" s="854"/>
      <c r="AH68" s="854"/>
      <c r="AI68" s="854"/>
      <c r="AJ68" s="854"/>
      <c r="AK68" s="854"/>
      <c r="AL68" s="854"/>
      <c r="AM68" s="854"/>
      <c r="AN68" s="854"/>
      <c r="AO68" s="854"/>
      <c r="AP68" s="854"/>
      <c r="AQ68" s="854"/>
      <c r="AR68" s="854"/>
      <c r="AS68" s="854"/>
      <c r="AT68" s="854"/>
      <c r="AU68" s="854"/>
      <c r="AV68" s="854"/>
      <c r="AW68" s="854"/>
      <c r="AX68" s="854"/>
      <c r="AY68" s="854"/>
      <c r="AZ68" s="854"/>
      <c r="BA68" s="854"/>
      <c r="BB68" s="854"/>
      <c r="BC68" s="854"/>
      <c r="BD68" s="854"/>
      <c r="BE68" s="854"/>
      <c r="BF68" s="854"/>
      <c r="BG68" s="854"/>
      <c r="BH68" s="854"/>
      <c r="BI68" s="854"/>
      <c r="BJ68" s="854"/>
      <c r="BK68" s="854"/>
      <c r="BL68" s="854"/>
      <c r="BM68" s="854"/>
      <c r="BN68" s="854"/>
      <c r="BO68" s="854"/>
      <c r="BP68" s="854"/>
      <c r="BQ68" s="854"/>
      <c r="BR68" s="854"/>
      <c r="BS68" s="854"/>
      <c r="BT68" s="854"/>
      <c r="BU68" s="854"/>
      <c r="BV68" s="854"/>
      <c r="BW68" s="854"/>
      <c r="BX68" s="854"/>
      <c r="BY68" s="854"/>
      <c r="BZ68" s="854"/>
      <c r="CA68" s="571">
        <f>IF(OR(I68="",I68&lt;'Configs &amp; Procedures'!$L$29),0,IF(I68&gt;'Configs &amp; Procedures'!$L$30,1,IF(F68&gt;'Configs &amp; Procedures'!$L$31,0,1)))</f>
        <v>0</v>
      </c>
    </row>
    <row r="69" spans="2:79">
      <c r="B69" s="854"/>
      <c r="C69" s="854"/>
      <c r="D69" s="854"/>
      <c r="E69" s="854"/>
      <c r="F69" s="854"/>
      <c r="G69" s="854"/>
      <c r="H69" s="854"/>
      <c r="I69" s="854"/>
      <c r="J69" s="854"/>
      <c r="K69" s="854"/>
      <c r="L69" s="854"/>
      <c r="M69" s="854"/>
      <c r="N69" s="854"/>
      <c r="O69" s="854"/>
      <c r="P69" s="854"/>
      <c r="Q69" s="854"/>
      <c r="R69" s="854"/>
      <c r="S69" s="854"/>
      <c r="T69" s="854"/>
      <c r="U69" s="854"/>
      <c r="V69" s="854"/>
      <c r="W69" s="854"/>
      <c r="X69" s="854"/>
      <c r="Y69" s="854"/>
      <c r="Z69" s="854"/>
      <c r="AA69" s="854"/>
      <c r="AB69" s="854"/>
      <c r="AC69" s="854"/>
      <c r="AD69" s="854"/>
      <c r="AE69" s="854"/>
      <c r="AF69" s="854"/>
      <c r="AG69" s="854"/>
      <c r="AH69" s="854"/>
      <c r="AI69" s="854"/>
      <c r="AJ69" s="854"/>
      <c r="AK69" s="854"/>
      <c r="AL69" s="854"/>
      <c r="AM69" s="854"/>
      <c r="AN69" s="854"/>
      <c r="AO69" s="854"/>
      <c r="AP69" s="854"/>
      <c r="AQ69" s="854"/>
      <c r="AR69" s="854"/>
      <c r="AS69" s="854"/>
      <c r="AT69" s="854"/>
      <c r="AU69" s="854"/>
      <c r="AV69" s="854"/>
      <c r="AW69" s="854"/>
      <c r="AX69" s="854"/>
      <c r="AY69" s="854"/>
      <c r="AZ69" s="854"/>
      <c r="BA69" s="854"/>
      <c r="BB69" s="854"/>
      <c r="BC69" s="854"/>
      <c r="BD69" s="854"/>
      <c r="BE69" s="854"/>
      <c r="BF69" s="854"/>
      <c r="BG69" s="854"/>
      <c r="BH69" s="854"/>
      <c r="BI69" s="854"/>
      <c r="BJ69" s="854"/>
      <c r="BK69" s="854"/>
      <c r="BL69" s="854"/>
      <c r="BM69" s="854"/>
      <c r="BN69" s="854"/>
      <c r="BO69" s="854"/>
      <c r="BP69" s="854"/>
      <c r="BQ69" s="854"/>
      <c r="BR69" s="854"/>
      <c r="BS69" s="854"/>
      <c r="BT69" s="854"/>
      <c r="BU69" s="854"/>
      <c r="BV69" s="854"/>
      <c r="BW69" s="854"/>
      <c r="BX69" s="854"/>
      <c r="BY69" s="854"/>
      <c r="BZ69" s="854"/>
      <c r="CA69" s="571">
        <f>IF(OR(I69="",I69&lt;'Configs &amp; Procedures'!$L$29),0,IF(I69&gt;'Configs &amp; Procedures'!$L$30,1,IF(F69&gt;'Configs &amp; Procedures'!$L$31,0,1)))</f>
        <v>0</v>
      </c>
    </row>
    <row r="70" spans="2:79">
      <c r="B70" s="854"/>
      <c r="C70" s="854"/>
      <c r="D70" s="854"/>
      <c r="E70" s="854"/>
      <c r="F70" s="854"/>
      <c r="G70" s="854"/>
      <c r="H70" s="854"/>
      <c r="I70" s="854"/>
      <c r="J70" s="854"/>
      <c r="K70" s="854"/>
      <c r="L70" s="854"/>
      <c r="M70" s="854"/>
      <c r="N70" s="854"/>
      <c r="O70" s="854"/>
      <c r="P70" s="854"/>
      <c r="Q70" s="854"/>
      <c r="R70" s="854"/>
      <c r="S70" s="854"/>
      <c r="T70" s="854"/>
      <c r="U70" s="854"/>
      <c r="V70" s="854"/>
      <c r="W70" s="854"/>
      <c r="X70" s="854"/>
      <c r="Y70" s="854"/>
      <c r="Z70" s="854"/>
      <c r="AA70" s="854"/>
      <c r="AB70" s="854"/>
      <c r="AC70" s="854"/>
      <c r="AD70" s="854"/>
      <c r="AE70" s="854"/>
      <c r="AF70" s="854"/>
      <c r="AG70" s="854"/>
      <c r="AH70" s="854"/>
      <c r="AI70" s="854"/>
      <c r="AJ70" s="854"/>
      <c r="AK70" s="854"/>
      <c r="AL70" s="854"/>
      <c r="AM70" s="854"/>
      <c r="AN70" s="854"/>
      <c r="AO70" s="854"/>
      <c r="AP70" s="854"/>
      <c r="AQ70" s="854"/>
      <c r="AR70" s="854"/>
      <c r="AS70" s="854"/>
      <c r="AT70" s="854"/>
      <c r="AU70" s="854"/>
      <c r="AV70" s="854"/>
      <c r="AW70" s="854"/>
      <c r="AX70" s="854"/>
      <c r="AY70" s="854"/>
      <c r="AZ70" s="854"/>
      <c r="BA70" s="854"/>
      <c r="BB70" s="854"/>
      <c r="BC70" s="854"/>
      <c r="BD70" s="854"/>
      <c r="BE70" s="854"/>
      <c r="BF70" s="854"/>
      <c r="BG70" s="854"/>
      <c r="BH70" s="854"/>
      <c r="BI70" s="854"/>
      <c r="BJ70" s="854"/>
      <c r="BK70" s="854"/>
      <c r="BL70" s="854"/>
      <c r="BM70" s="854"/>
      <c r="BN70" s="854"/>
      <c r="BO70" s="854"/>
      <c r="BP70" s="854"/>
      <c r="BQ70" s="854"/>
      <c r="BR70" s="854"/>
      <c r="BS70" s="854"/>
      <c r="BT70" s="854"/>
      <c r="BU70" s="854"/>
      <c r="BV70" s="854"/>
      <c r="BW70" s="854"/>
      <c r="BX70" s="854"/>
      <c r="BY70" s="854"/>
      <c r="BZ70" s="854"/>
      <c r="CA70" s="571">
        <f>IF(OR(I70="",I70&lt;'Configs &amp; Procedures'!$L$29),0,IF(I70&gt;'Configs &amp; Procedures'!$L$30,1,IF(F70&gt;'Configs &amp; Procedures'!$L$31,0,1)))</f>
        <v>0</v>
      </c>
    </row>
    <row r="71" spans="2:79">
      <c r="B71" s="854"/>
      <c r="C71" s="854"/>
      <c r="D71" s="854"/>
      <c r="E71" s="854"/>
      <c r="F71" s="854"/>
      <c r="G71" s="854"/>
      <c r="H71" s="854"/>
      <c r="I71" s="854"/>
      <c r="J71" s="854"/>
      <c r="K71" s="854"/>
      <c r="L71" s="854"/>
      <c r="M71" s="854"/>
      <c r="N71" s="854"/>
      <c r="O71" s="854"/>
      <c r="P71" s="854"/>
      <c r="Q71" s="854"/>
      <c r="R71" s="854"/>
      <c r="S71" s="854"/>
      <c r="T71" s="854"/>
      <c r="U71" s="854"/>
      <c r="V71" s="854"/>
      <c r="W71" s="854"/>
      <c r="X71" s="854"/>
      <c r="Y71" s="854"/>
      <c r="Z71" s="854"/>
      <c r="AA71" s="854"/>
      <c r="AB71" s="854"/>
      <c r="AC71" s="854"/>
      <c r="AD71" s="854"/>
      <c r="AE71" s="854"/>
      <c r="AF71" s="854"/>
      <c r="AG71" s="854"/>
      <c r="AH71" s="854"/>
      <c r="AI71" s="854"/>
      <c r="AJ71" s="854"/>
      <c r="AK71" s="854"/>
      <c r="AL71" s="854"/>
      <c r="AM71" s="854"/>
      <c r="AN71" s="854"/>
      <c r="AO71" s="854"/>
      <c r="AP71" s="854"/>
      <c r="AQ71" s="854"/>
      <c r="AR71" s="854"/>
      <c r="AS71" s="854"/>
      <c r="AT71" s="854"/>
      <c r="AU71" s="854"/>
      <c r="AV71" s="854"/>
      <c r="AW71" s="854"/>
      <c r="AX71" s="854"/>
      <c r="AY71" s="854"/>
      <c r="AZ71" s="854"/>
      <c r="BA71" s="854"/>
      <c r="BB71" s="854"/>
      <c r="BC71" s="854"/>
      <c r="BD71" s="854"/>
      <c r="BE71" s="854"/>
      <c r="BF71" s="854"/>
      <c r="BG71" s="854"/>
      <c r="BH71" s="854"/>
      <c r="BI71" s="854"/>
      <c r="BJ71" s="854"/>
      <c r="BK71" s="854"/>
      <c r="BL71" s="854"/>
      <c r="BM71" s="854"/>
      <c r="BN71" s="854"/>
      <c r="BO71" s="854"/>
      <c r="BP71" s="854"/>
      <c r="BQ71" s="854"/>
      <c r="BR71" s="854"/>
      <c r="BS71" s="854"/>
      <c r="BT71" s="854"/>
      <c r="BU71" s="854"/>
      <c r="BV71" s="854"/>
      <c r="BW71" s="854"/>
      <c r="BX71" s="854"/>
      <c r="BY71" s="854"/>
      <c r="BZ71" s="854"/>
      <c r="CA71" s="571">
        <f>IF(OR(I71="",I71&lt;'Configs &amp; Procedures'!$L$29),0,IF(I71&gt;'Configs &amp; Procedures'!$L$30,1,IF(F71&gt;'Configs &amp; Procedures'!$L$31,0,1)))</f>
        <v>0</v>
      </c>
    </row>
    <row r="72" spans="2:79">
      <c r="B72" s="854"/>
      <c r="C72" s="854"/>
      <c r="D72" s="854"/>
      <c r="E72" s="854"/>
      <c r="F72" s="854"/>
      <c r="G72" s="854"/>
      <c r="H72" s="854"/>
      <c r="I72" s="854"/>
      <c r="J72" s="854"/>
      <c r="K72" s="854"/>
      <c r="L72" s="854"/>
      <c r="M72" s="854"/>
      <c r="N72" s="854"/>
      <c r="O72" s="854"/>
      <c r="P72" s="854"/>
      <c r="Q72" s="854"/>
      <c r="R72" s="854"/>
      <c r="S72" s="854"/>
      <c r="T72" s="854"/>
      <c r="U72" s="854"/>
      <c r="V72" s="854"/>
      <c r="W72" s="854"/>
      <c r="X72" s="854"/>
      <c r="Y72" s="854"/>
      <c r="Z72" s="854"/>
      <c r="AA72" s="854"/>
      <c r="AB72" s="854"/>
      <c r="AC72" s="854"/>
      <c r="AD72" s="854"/>
      <c r="AE72" s="854"/>
      <c r="AF72" s="854"/>
      <c r="AG72" s="854"/>
      <c r="AH72" s="854"/>
      <c r="AI72" s="854"/>
      <c r="AJ72" s="854"/>
      <c r="AK72" s="854"/>
      <c r="AL72" s="854"/>
      <c r="AM72" s="854"/>
      <c r="AN72" s="854"/>
      <c r="AO72" s="854"/>
      <c r="AP72" s="854"/>
      <c r="AQ72" s="854"/>
      <c r="AR72" s="854"/>
      <c r="AS72" s="854"/>
      <c r="AT72" s="854"/>
      <c r="AU72" s="854"/>
      <c r="AV72" s="854"/>
      <c r="AW72" s="854"/>
      <c r="AX72" s="854"/>
      <c r="AY72" s="854"/>
      <c r="AZ72" s="854"/>
      <c r="BA72" s="854"/>
      <c r="BB72" s="854"/>
      <c r="BC72" s="854"/>
      <c r="BD72" s="854"/>
      <c r="BE72" s="854"/>
      <c r="BF72" s="854"/>
      <c r="BG72" s="854"/>
      <c r="BH72" s="854"/>
      <c r="BI72" s="854"/>
      <c r="BJ72" s="854"/>
      <c r="BK72" s="854"/>
      <c r="BL72" s="854"/>
      <c r="BM72" s="854"/>
      <c r="BN72" s="854"/>
      <c r="BO72" s="854"/>
      <c r="BP72" s="854"/>
      <c r="BQ72" s="854"/>
      <c r="BR72" s="854"/>
      <c r="BS72" s="854"/>
      <c r="BT72" s="854"/>
      <c r="BU72" s="854"/>
      <c r="BV72" s="854"/>
      <c r="BW72" s="854"/>
      <c r="BX72" s="854"/>
      <c r="BY72" s="854"/>
      <c r="BZ72" s="854"/>
      <c r="CA72" s="571">
        <f>IF(OR(I72="",I72&lt;'Configs &amp; Procedures'!$L$29),0,IF(I72&gt;'Configs &amp; Procedures'!$L$30,1,IF(F72&gt;'Configs &amp; Procedures'!$L$31,0,1)))</f>
        <v>0</v>
      </c>
    </row>
    <row r="73" spans="2:79">
      <c r="B73" s="854"/>
      <c r="C73" s="854"/>
      <c r="D73" s="854"/>
      <c r="E73" s="854"/>
      <c r="F73" s="854"/>
      <c r="G73" s="854"/>
      <c r="H73" s="854"/>
      <c r="I73" s="854"/>
      <c r="J73" s="854"/>
      <c r="K73" s="854"/>
      <c r="L73" s="854"/>
      <c r="M73" s="854"/>
      <c r="N73" s="854"/>
      <c r="O73" s="854"/>
      <c r="P73" s="854"/>
      <c r="Q73" s="854"/>
      <c r="R73" s="854"/>
      <c r="S73" s="854"/>
      <c r="T73" s="854"/>
      <c r="U73" s="854"/>
      <c r="V73" s="854"/>
      <c r="W73" s="854"/>
      <c r="X73" s="854"/>
      <c r="Y73" s="854"/>
      <c r="Z73" s="854"/>
      <c r="AA73" s="854"/>
      <c r="AB73" s="854"/>
      <c r="AC73" s="854"/>
      <c r="AD73" s="854"/>
      <c r="AE73" s="854"/>
      <c r="AF73" s="854"/>
      <c r="AG73" s="854"/>
      <c r="AH73" s="854"/>
      <c r="AI73" s="854"/>
      <c r="AJ73" s="854"/>
      <c r="AK73" s="854"/>
      <c r="AL73" s="854"/>
      <c r="AM73" s="854"/>
      <c r="AN73" s="854"/>
      <c r="AO73" s="854"/>
      <c r="AP73" s="854"/>
      <c r="AQ73" s="854"/>
      <c r="AR73" s="854"/>
      <c r="AS73" s="854"/>
      <c r="AT73" s="854"/>
      <c r="AU73" s="854"/>
      <c r="AV73" s="854"/>
      <c r="AW73" s="854"/>
      <c r="AX73" s="854"/>
      <c r="AY73" s="854"/>
      <c r="AZ73" s="854"/>
      <c r="BA73" s="854"/>
      <c r="BB73" s="854"/>
      <c r="BC73" s="854"/>
      <c r="BD73" s="854"/>
      <c r="BE73" s="854"/>
      <c r="BF73" s="854"/>
      <c r="BG73" s="854"/>
      <c r="BH73" s="854"/>
      <c r="BI73" s="854"/>
      <c r="BJ73" s="854"/>
      <c r="BK73" s="854"/>
      <c r="BL73" s="854"/>
      <c r="BM73" s="854"/>
      <c r="BN73" s="854"/>
      <c r="BO73" s="854"/>
      <c r="BP73" s="854"/>
      <c r="BQ73" s="854"/>
      <c r="BR73" s="854"/>
      <c r="BS73" s="854"/>
      <c r="BT73" s="854"/>
      <c r="BU73" s="854"/>
      <c r="BV73" s="854"/>
      <c r="BW73" s="854"/>
      <c r="BX73" s="854"/>
      <c r="BY73" s="854"/>
      <c r="BZ73" s="854"/>
      <c r="CA73" s="571">
        <f>IF(OR(I73="",I73&lt;'Configs &amp; Procedures'!$L$29),0,IF(I73&gt;'Configs &amp; Procedures'!$L$30,1,IF(F73&gt;'Configs &amp; Procedures'!$L$31,0,1)))</f>
        <v>0</v>
      </c>
    </row>
    <row r="74" spans="2:79">
      <c r="B74" s="854"/>
      <c r="C74" s="854"/>
      <c r="D74" s="854"/>
      <c r="E74" s="854"/>
      <c r="F74" s="854"/>
      <c r="G74" s="854"/>
      <c r="H74" s="854"/>
      <c r="I74" s="854"/>
      <c r="J74" s="854"/>
      <c r="K74" s="854"/>
      <c r="L74" s="854"/>
      <c r="M74" s="854"/>
      <c r="N74" s="854"/>
      <c r="O74" s="854"/>
      <c r="P74" s="854"/>
      <c r="Q74" s="854"/>
      <c r="R74" s="854"/>
      <c r="S74" s="854"/>
      <c r="T74" s="854"/>
      <c r="U74" s="854"/>
      <c r="V74" s="854"/>
      <c r="W74" s="854"/>
      <c r="X74" s="854"/>
      <c r="Y74" s="854"/>
      <c r="Z74" s="854"/>
      <c r="AA74" s="854"/>
      <c r="AB74" s="854"/>
      <c r="AC74" s="854"/>
      <c r="AD74" s="854"/>
      <c r="AE74" s="854"/>
      <c r="AF74" s="854"/>
      <c r="AG74" s="854"/>
      <c r="AH74" s="854"/>
      <c r="AI74" s="854"/>
      <c r="AJ74" s="854"/>
      <c r="AK74" s="854"/>
      <c r="AL74" s="854"/>
      <c r="AM74" s="854"/>
      <c r="AN74" s="854"/>
      <c r="AO74" s="854"/>
      <c r="AP74" s="854"/>
      <c r="AQ74" s="854"/>
      <c r="AR74" s="854"/>
      <c r="AS74" s="854"/>
      <c r="AT74" s="854"/>
      <c r="AU74" s="854"/>
      <c r="AV74" s="854"/>
      <c r="AW74" s="854"/>
      <c r="AX74" s="854"/>
      <c r="AY74" s="854"/>
      <c r="AZ74" s="854"/>
      <c r="BA74" s="854"/>
      <c r="BB74" s="854"/>
      <c r="BC74" s="854"/>
      <c r="BD74" s="854"/>
      <c r="BE74" s="854"/>
      <c r="BF74" s="854"/>
      <c r="BG74" s="854"/>
      <c r="BH74" s="854"/>
      <c r="BI74" s="854"/>
      <c r="BJ74" s="854"/>
      <c r="BK74" s="854"/>
      <c r="BL74" s="854"/>
      <c r="BM74" s="854"/>
      <c r="BN74" s="854"/>
      <c r="BO74" s="854"/>
      <c r="BP74" s="854"/>
      <c r="BQ74" s="854"/>
      <c r="BR74" s="854"/>
      <c r="BS74" s="854"/>
      <c r="BT74" s="854"/>
      <c r="BU74" s="854"/>
      <c r="BV74" s="854"/>
      <c r="BW74" s="854"/>
      <c r="BX74" s="854"/>
      <c r="BY74" s="854"/>
      <c r="BZ74" s="854"/>
      <c r="CA74" s="571">
        <f>IF(OR(I74="",I74&lt;'Configs &amp; Procedures'!$L$29),0,IF(I74&gt;'Configs &amp; Procedures'!$L$30,1,IF(F74&gt;'Configs &amp; Procedures'!$L$31,0,1)))</f>
        <v>0</v>
      </c>
    </row>
    <row r="75" spans="2:79">
      <c r="B75" s="854"/>
      <c r="C75" s="854"/>
      <c r="D75" s="854"/>
      <c r="E75" s="854"/>
      <c r="F75" s="854"/>
      <c r="G75" s="854"/>
      <c r="H75" s="854"/>
      <c r="I75" s="854"/>
      <c r="J75" s="854"/>
      <c r="K75" s="854"/>
      <c r="L75" s="854"/>
      <c r="M75" s="854"/>
      <c r="N75" s="854"/>
      <c r="O75" s="854"/>
      <c r="P75" s="854"/>
      <c r="Q75" s="854"/>
      <c r="R75" s="854"/>
      <c r="S75" s="854"/>
      <c r="T75" s="854"/>
      <c r="U75" s="854"/>
      <c r="V75" s="854"/>
      <c r="W75" s="854"/>
      <c r="X75" s="854"/>
      <c r="Y75" s="854"/>
      <c r="Z75" s="854"/>
      <c r="AA75" s="854"/>
      <c r="AB75" s="854"/>
      <c r="AC75" s="854"/>
      <c r="AD75" s="854"/>
      <c r="AE75" s="854"/>
      <c r="AF75" s="854"/>
      <c r="AG75" s="854"/>
      <c r="AH75" s="854"/>
      <c r="AI75" s="854"/>
      <c r="AJ75" s="854"/>
      <c r="AK75" s="854"/>
      <c r="AL75" s="854"/>
      <c r="AM75" s="854"/>
      <c r="AN75" s="854"/>
      <c r="AO75" s="854"/>
      <c r="AP75" s="854"/>
      <c r="AQ75" s="854"/>
      <c r="AR75" s="854"/>
      <c r="AS75" s="854"/>
      <c r="AT75" s="854"/>
      <c r="AU75" s="854"/>
      <c r="AV75" s="854"/>
      <c r="AW75" s="854"/>
      <c r="AX75" s="854"/>
      <c r="AY75" s="854"/>
      <c r="AZ75" s="854"/>
      <c r="BA75" s="854"/>
      <c r="BB75" s="854"/>
      <c r="BC75" s="854"/>
      <c r="BD75" s="854"/>
      <c r="BE75" s="854"/>
      <c r="BF75" s="854"/>
      <c r="BG75" s="854"/>
      <c r="BH75" s="854"/>
      <c r="BI75" s="854"/>
      <c r="BJ75" s="854"/>
      <c r="BK75" s="854"/>
      <c r="BL75" s="854"/>
      <c r="BM75" s="854"/>
      <c r="BN75" s="854"/>
      <c r="BO75" s="854"/>
      <c r="BP75" s="854"/>
      <c r="BQ75" s="854"/>
      <c r="BR75" s="854"/>
      <c r="BS75" s="854"/>
      <c r="BT75" s="854"/>
      <c r="BU75" s="854"/>
      <c r="BV75" s="854"/>
      <c r="BW75" s="854"/>
      <c r="BX75" s="854"/>
      <c r="BY75" s="854"/>
      <c r="BZ75" s="854"/>
      <c r="CA75" s="571">
        <f>IF(OR(I75="",I75&lt;'Configs &amp; Procedures'!$L$29),0,IF(I75&gt;'Configs &amp; Procedures'!$L$30,1,IF(F75&gt;'Configs &amp; Procedures'!$L$31,0,1)))</f>
        <v>0</v>
      </c>
    </row>
    <row r="76" spans="2:79">
      <c r="B76" s="854"/>
      <c r="C76" s="854"/>
      <c r="D76" s="854"/>
      <c r="E76" s="854"/>
      <c r="F76" s="854"/>
      <c r="G76" s="854"/>
      <c r="H76" s="854"/>
      <c r="I76" s="854"/>
      <c r="J76" s="854"/>
      <c r="K76" s="854"/>
      <c r="L76" s="854"/>
      <c r="M76" s="854"/>
      <c r="N76" s="854"/>
      <c r="O76" s="854"/>
      <c r="P76" s="854"/>
      <c r="Q76" s="854"/>
      <c r="R76" s="854"/>
      <c r="S76" s="854"/>
      <c r="T76" s="854"/>
      <c r="U76" s="854"/>
      <c r="V76" s="854"/>
      <c r="W76" s="854"/>
      <c r="X76" s="854"/>
      <c r="Y76" s="854"/>
      <c r="Z76" s="854"/>
      <c r="AA76" s="854"/>
      <c r="AB76" s="854"/>
      <c r="AC76" s="854"/>
      <c r="AD76" s="854"/>
      <c r="AE76" s="854"/>
      <c r="AF76" s="854"/>
      <c r="AG76" s="854"/>
      <c r="AH76" s="854"/>
      <c r="AI76" s="854"/>
      <c r="AJ76" s="854"/>
      <c r="AK76" s="854"/>
      <c r="AL76" s="854"/>
      <c r="AM76" s="854"/>
      <c r="AN76" s="854"/>
      <c r="AO76" s="854"/>
      <c r="AP76" s="854"/>
      <c r="AQ76" s="854"/>
      <c r="AR76" s="854"/>
      <c r="AS76" s="854"/>
      <c r="AT76" s="854"/>
      <c r="AU76" s="854"/>
      <c r="AV76" s="854"/>
      <c r="AW76" s="854"/>
      <c r="AX76" s="854"/>
      <c r="AY76" s="854"/>
      <c r="AZ76" s="854"/>
      <c r="BA76" s="854"/>
      <c r="BB76" s="854"/>
      <c r="BC76" s="854"/>
      <c r="BD76" s="854"/>
      <c r="BE76" s="854"/>
      <c r="BF76" s="854"/>
      <c r="BG76" s="854"/>
      <c r="BH76" s="854"/>
      <c r="BI76" s="854"/>
      <c r="BJ76" s="854"/>
      <c r="BK76" s="854"/>
      <c r="BL76" s="854"/>
      <c r="BM76" s="854"/>
      <c r="BN76" s="854"/>
      <c r="BO76" s="854"/>
      <c r="BP76" s="854"/>
      <c r="BQ76" s="854"/>
      <c r="BR76" s="854"/>
      <c r="BS76" s="854"/>
      <c r="BT76" s="854"/>
      <c r="BU76" s="854"/>
      <c r="BV76" s="854"/>
      <c r="BW76" s="854"/>
      <c r="BX76" s="854"/>
      <c r="BY76" s="854"/>
      <c r="BZ76" s="854"/>
      <c r="CA76" s="571">
        <f>IF(OR(I76="",I76&lt;'Configs &amp; Procedures'!$L$29),0,IF(I76&gt;'Configs &amp; Procedures'!$L$30,1,IF(F76&gt;'Configs &amp; Procedures'!$L$31,0,1)))</f>
        <v>0</v>
      </c>
    </row>
    <row r="77" spans="2:79">
      <c r="B77" s="854"/>
      <c r="C77" s="854"/>
      <c r="D77" s="854"/>
      <c r="E77" s="854"/>
      <c r="F77" s="854"/>
      <c r="G77" s="854"/>
      <c r="H77" s="854"/>
      <c r="I77" s="854"/>
      <c r="J77" s="854"/>
      <c r="K77" s="854"/>
      <c r="L77" s="854"/>
      <c r="M77" s="854"/>
      <c r="N77" s="854"/>
      <c r="O77" s="854"/>
      <c r="P77" s="854"/>
      <c r="Q77" s="854"/>
      <c r="R77" s="854"/>
      <c r="S77" s="854"/>
      <c r="T77" s="854"/>
      <c r="U77" s="854"/>
      <c r="V77" s="854"/>
      <c r="W77" s="854"/>
      <c r="X77" s="854"/>
      <c r="Y77" s="854"/>
      <c r="Z77" s="854"/>
      <c r="AA77" s="854"/>
      <c r="AB77" s="854"/>
      <c r="AC77" s="854"/>
      <c r="AD77" s="854"/>
      <c r="AE77" s="854"/>
      <c r="AF77" s="854"/>
      <c r="AG77" s="854"/>
      <c r="AH77" s="854"/>
      <c r="AI77" s="854"/>
      <c r="AJ77" s="854"/>
      <c r="AK77" s="854"/>
      <c r="AL77" s="854"/>
      <c r="AM77" s="854"/>
      <c r="AN77" s="854"/>
      <c r="AO77" s="854"/>
      <c r="AP77" s="854"/>
      <c r="AQ77" s="854"/>
      <c r="AR77" s="854"/>
      <c r="AS77" s="854"/>
      <c r="AT77" s="854"/>
      <c r="AU77" s="854"/>
      <c r="AV77" s="854"/>
      <c r="AW77" s="854"/>
      <c r="AX77" s="854"/>
      <c r="AY77" s="854"/>
      <c r="AZ77" s="854"/>
      <c r="BA77" s="854"/>
      <c r="BB77" s="854"/>
      <c r="BC77" s="854"/>
      <c r="BD77" s="854"/>
      <c r="BE77" s="854"/>
      <c r="BF77" s="854"/>
      <c r="BG77" s="854"/>
      <c r="BH77" s="854"/>
      <c r="BI77" s="854"/>
      <c r="BJ77" s="854"/>
      <c r="BK77" s="854"/>
      <c r="BL77" s="854"/>
      <c r="BM77" s="854"/>
      <c r="BN77" s="854"/>
      <c r="BO77" s="854"/>
      <c r="BP77" s="854"/>
      <c r="BQ77" s="854"/>
      <c r="BR77" s="854"/>
      <c r="BS77" s="854"/>
      <c r="BT77" s="854"/>
      <c r="BU77" s="854"/>
      <c r="BV77" s="854"/>
      <c r="BW77" s="854"/>
      <c r="BX77" s="854"/>
      <c r="BY77" s="854"/>
      <c r="BZ77" s="854"/>
      <c r="CA77" s="571">
        <f>IF(OR(I77="",I77&lt;'Configs &amp; Procedures'!$L$29),0,IF(I77&gt;'Configs &amp; Procedures'!$L$30,1,IF(F77&gt;'Configs &amp; Procedures'!$L$31,0,1)))</f>
        <v>0</v>
      </c>
    </row>
    <row r="78" spans="2:79">
      <c r="B78" s="854"/>
      <c r="C78" s="854"/>
      <c r="D78" s="854"/>
      <c r="E78" s="854"/>
      <c r="F78" s="854"/>
      <c r="G78" s="854"/>
      <c r="H78" s="854"/>
      <c r="I78" s="854"/>
      <c r="J78" s="854"/>
      <c r="K78" s="854"/>
      <c r="L78" s="854"/>
      <c r="M78" s="854"/>
      <c r="N78" s="854"/>
      <c r="O78" s="854"/>
      <c r="P78" s="854"/>
      <c r="Q78" s="854"/>
      <c r="R78" s="854"/>
      <c r="S78" s="854"/>
      <c r="T78" s="854"/>
      <c r="U78" s="854"/>
      <c r="V78" s="854"/>
      <c r="W78" s="854"/>
      <c r="X78" s="854"/>
      <c r="Y78" s="854"/>
      <c r="Z78" s="854"/>
      <c r="AA78" s="854"/>
      <c r="AB78" s="854"/>
      <c r="AC78" s="854"/>
      <c r="AD78" s="854"/>
      <c r="AE78" s="854"/>
      <c r="AF78" s="854"/>
      <c r="AG78" s="854"/>
      <c r="AH78" s="854"/>
      <c r="AI78" s="854"/>
      <c r="AJ78" s="854"/>
      <c r="AK78" s="854"/>
      <c r="AL78" s="854"/>
      <c r="AM78" s="854"/>
      <c r="AN78" s="854"/>
      <c r="AO78" s="854"/>
      <c r="AP78" s="854"/>
      <c r="AQ78" s="854"/>
      <c r="AR78" s="854"/>
      <c r="AS78" s="854"/>
      <c r="AT78" s="854"/>
      <c r="AU78" s="854"/>
      <c r="AV78" s="854"/>
      <c r="AW78" s="854"/>
      <c r="AX78" s="854"/>
      <c r="AY78" s="854"/>
      <c r="AZ78" s="854"/>
      <c r="BA78" s="854"/>
      <c r="BB78" s="854"/>
      <c r="BC78" s="854"/>
      <c r="BD78" s="854"/>
      <c r="BE78" s="854"/>
      <c r="BF78" s="854"/>
      <c r="BG78" s="854"/>
      <c r="BH78" s="854"/>
      <c r="BI78" s="854"/>
      <c r="BJ78" s="854"/>
      <c r="BK78" s="854"/>
      <c r="BL78" s="854"/>
      <c r="BM78" s="854"/>
      <c r="BN78" s="854"/>
      <c r="BO78" s="854"/>
      <c r="BP78" s="854"/>
      <c r="BQ78" s="854"/>
      <c r="BR78" s="854"/>
      <c r="BS78" s="854"/>
      <c r="BT78" s="854"/>
      <c r="BU78" s="854"/>
      <c r="BV78" s="854"/>
      <c r="BW78" s="854"/>
      <c r="BX78" s="854"/>
      <c r="BY78" s="854"/>
      <c r="BZ78" s="854"/>
      <c r="CA78" s="571">
        <f>IF(OR(I78="",I78&lt;'Configs &amp; Procedures'!$L$29),0,IF(I78&gt;'Configs &amp; Procedures'!$L$30,1,IF(F78&gt;'Configs &amp; Procedures'!$L$31,0,1)))</f>
        <v>0</v>
      </c>
    </row>
    <row r="79" spans="2:79">
      <c r="B79" s="854"/>
      <c r="C79" s="854"/>
      <c r="D79" s="854"/>
      <c r="E79" s="854"/>
      <c r="F79" s="854"/>
      <c r="G79" s="854"/>
      <c r="H79" s="854"/>
      <c r="I79" s="854"/>
      <c r="J79" s="854"/>
      <c r="K79" s="854"/>
      <c r="L79" s="854"/>
      <c r="M79" s="854"/>
      <c r="N79" s="854"/>
      <c r="O79" s="854"/>
      <c r="P79" s="854"/>
      <c r="Q79" s="854"/>
      <c r="R79" s="854"/>
      <c r="S79" s="854"/>
      <c r="T79" s="854"/>
      <c r="U79" s="854"/>
      <c r="V79" s="854"/>
      <c r="W79" s="854"/>
      <c r="X79" s="854"/>
      <c r="Y79" s="854"/>
      <c r="Z79" s="854"/>
      <c r="AA79" s="854"/>
      <c r="AB79" s="854"/>
      <c r="AC79" s="854"/>
      <c r="AD79" s="854"/>
      <c r="AE79" s="854"/>
      <c r="AF79" s="854"/>
      <c r="AG79" s="854"/>
      <c r="AH79" s="854"/>
      <c r="AI79" s="854"/>
      <c r="AJ79" s="854"/>
      <c r="AK79" s="854"/>
      <c r="AL79" s="854"/>
      <c r="AM79" s="854"/>
      <c r="AN79" s="854"/>
      <c r="AO79" s="854"/>
      <c r="AP79" s="854"/>
      <c r="AQ79" s="854"/>
      <c r="AR79" s="854"/>
      <c r="AS79" s="854"/>
      <c r="AT79" s="854"/>
      <c r="AU79" s="854"/>
      <c r="AV79" s="854"/>
      <c r="AW79" s="854"/>
      <c r="AX79" s="854"/>
      <c r="AY79" s="854"/>
      <c r="AZ79" s="854"/>
      <c r="BA79" s="854"/>
      <c r="BB79" s="854"/>
      <c r="BC79" s="854"/>
      <c r="BD79" s="854"/>
      <c r="BE79" s="854"/>
      <c r="BF79" s="854"/>
      <c r="BG79" s="854"/>
      <c r="BH79" s="854"/>
      <c r="BI79" s="854"/>
      <c r="BJ79" s="854"/>
      <c r="BK79" s="854"/>
      <c r="BL79" s="854"/>
      <c r="BM79" s="854"/>
      <c r="BN79" s="854"/>
      <c r="BO79" s="854"/>
      <c r="BP79" s="854"/>
      <c r="BQ79" s="854"/>
      <c r="BR79" s="854"/>
      <c r="BS79" s="854"/>
      <c r="BT79" s="854"/>
      <c r="BU79" s="854"/>
      <c r="BV79" s="854"/>
      <c r="BW79" s="854"/>
      <c r="BX79" s="854"/>
      <c r="BY79" s="854"/>
      <c r="BZ79" s="854"/>
      <c r="CA79" s="571">
        <f>IF(OR(I79="",I79&lt;'Configs &amp; Procedures'!$L$29),0,IF(I79&gt;'Configs &amp; Procedures'!$L$30,1,IF(F79&gt;'Configs &amp; Procedures'!$L$31,0,1)))</f>
        <v>0</v>
      </c>
    </row>
    <row r="80" spans="2:79">
      <c r="B80" s="854"/>
      <c r="C80" s="854"/>
      <c r="D80" s="854"/>
      <c r="E80" s="854"/>
      <c r="F80" s="854"/>
      <c r="G80" s="854"/>
      <c r="H80" s="854"/>
      <c r="I80" s="854"/>
      <c r="J80" s="854"/>
      <c r="K80" s="854"/>
      <c r="L80" s="854"/>
      <c r="M80" s="854"/>
      <c r="N80" s="854"/>
      <c r="O80" s="854"/>
      <c r="P80" s="854"/>
      <c r="Q80" s="854"/>
      <c r="R80" s="854"/>
      <c r="S80" s="854"/>
      <c r="T80" s="854"/>
      <c r="U80" s="854"/>
      <c r="V80" s="854"/>
      <c r="W80" s="854"/>
      <c r="X80" s="854"/>
      <c r="Y80" s="854"/>
      <c r="Z80" s="854"/>
      <c r="AA80" s="854"/>
      <c r="AB80" s="854"/>
      <c r="AC80" s="854"/>
      <c r="AD80" s="854"/>
      <c r="AE80" s="854"/>
      <c r="AF80" s="854"/>
      <c r="AG80" s="854"/>
      <c r="AH80" s="854"/>
      <c r="AI80" s="854"/>
      <c r="AJ80" s="854"/>
      <c r="AK80" s="854"/>
      <c r="AL80" s="854"/>
      <c r="AM80" s="854"/>
      <c r="AN80" s="854"/>
      <c r="AO80" s="854"/>
      <c r="AP80" s="854"/>
      <c r="AQ80" s="854"/>
      <c r="AR80" s="854"/>
      <c r="AS80" s="854"/>
      <c r="AT80" s="854"/>
      <c r="AU80" s="854"/>
      <c r="AV80" s="854"/>
      <c r="AW80" s="854"/>
      <c r="AX80" s="854"/>
      <c r="AY80" s="854"/>
      <c r="AZ80" s="854"/>
      <c r="BA80" s="854"/>
      <c r="BB80" s="854"/>
      <c r="BC80" s="854"/>
      <c r="BD80" s="854"/>
      <c r="BE80" s="854"/>
      <c r="BF80" s="854"/>
      <c r="BG80" s="854"/>
      <c r="BH80" s="854"/>
      <c r="BI80" s="854"/>
      <c r="BJ80" s="854"/>
      <c r="BK80" s="854"/>
      <c r="BL80" s="854"/>
      <c r="BM80" s="854"/>
      <c r="BN80" s="854"/>
      <c r="BO80" s="854"/>
      <c r="BP80" s="854"/>
      <c r="BQ80" s="854"/>
      <c r="BR80" s="854"/>
      <c r="BS80" s="854"/>
      <c r="BT80" s="854"/>
      <c r="BU80" s="854"/>
      <c r="BV80" s="854"/>
      <c r="BW80" s="854"/>
      <c r="BX80" s="854"/>
      <c r="BY80" s="854"/>
      <c r="BZ80" s="854"/>
      <c r="CA80" s="571">
        <f>IF(OR(I80="",I80&lt;'Configs &amp; Procedures'!$L$29),0,IF(I80&gt;'Configs &amp; Procedures'!$L$30,1,IF(F80&gt;'Configs &amp; Procedures'!$L$31,0,1)))</f>
        <v>0</v>
      </c>
    </row>
    <row r="81" spans="2:79">
      <c r="B81" s="854"/>
      <c r="C81" s="854"/>
      <c r="D81" s="854"/>
      <c r="E81" s="854"/>
      <c r="F81" s="854"/>
      <c r="G81" s="854"/>
      <c r="H81" s="854"/>
      <c r="I81" s="854"/>
      <c r="J81" s="854"/>
      <c r="K81" s="854"/>
      <c r="L81" s="854"/>
      <c r="M81" s="854"/>
      <c r="N81" s="854"/>
      <c r="O81" s="854"/>
      <c r="P81" s="854"/>
      <c r="Q81" s="854"/>
      <c r="R81" s="854"/>
      <c r="S81" s="854"/>
      <c r="T81" s="854"/>
      <c r="U81" s="854"/>
      <c r="V81" s="854"/>
      <c r="W81" s="854"/>
      <c r="X81" s="854"/>
      <c r="Y81" s="854"/>
      <c r="Z81" s="854"/>
      <c r="AA81" s="854"/>
      <c r="AB81" s="854"/>
      <c r="AC81" s="854"/>
      <c r="AD81" s="854"/>
      <c r="AE81" s="854"/>
      <c r="AF81" s="854"/>
      <c r="AG81" s="854"/>
      <c r="AH81" s="854"/>
      <c r="AI81" s="854"/>
      <c r="AJ81" s="854"/>
      <c r="AK81" s="854"/>
      <c r="AL81" s="854"/>
      <c r="AM81" s="854"/>
      <c r="AN81" s="854"/>
      <c r="AO81" s="854"/>
      <c r="AP81" s="854"/>
      <c r="AQ81" s="854"/>
      <c r="AR81" s="854"/>
      <c r="AS81" s="854"/>
      <c r="AT81" s="854"/>
      <c r="AU81" s="854"/>
      <c r="AV81" s="854"/>
      <c r="AW81" s="854"/>
      <c r="AX81" s="854"/>
      <c r="AY81" s="854"/>
      <c r="AZ81" s="854"/>
      <c r="BA81" s="854"/>
      <c r="BB81" s="854"/>
      <c r="BC81" s="854"/>
      <c r="BD81" s="854"/>
      <c r="BE81" s="854"/>
      <c r="BF81" s="854"/>
      <c r="BG81" s="854"/>
      <c r="BH81" s="854"/>
      <c r="BI81" s="854"/>
      <c r="BJ81" s="854"/>
      <c r="BK81" s="854"/>
      <c r="BL81" s="854"/>
      <c r="BM81" s="854"/>
      <c r="BN81" s="854"/>
      <c r="BO81" s="854"/>
      <c r="BP81" s="854"/>
      <c r="BQ81" s="854"/>
      <c r="BR81" s="854"/>
      <c r="BS81" s="854"/>
      <c r="BT81" s="854"/>
      <c r="BU81" s="854"/>
      <c r="BV81" s="854"/>
      <c r="BW81" s="854"/>
      <c r="BX81" s="854"/>
      <c r="BY81" s="854"/>
      <c r="BZ81" s="854"/>
      <c r="CA81" s="571">
        <f>IF(OR(I81="",I81&lt;'Configs &amp; Procedures'!$L$29),0,IF(I81&gt;'Configs &amp; Procedures'!$L$30,1,IF(F81&gt;'Configs &amp; Procedures'!$L$31,0,1)))</f>
        <v>0</v>
      </c>
    </row>
    <row r="82" spans="2:79">
      <c r="B82" s="854"/>
      <c r="C82" s="854"/>
      <c r="D82" s="854"/>
      <c r="E82" s="854"/>
      <c r="F82" s="854"/>
      <c r="G82" s="854"/>
      <c r="H82" s="854"/>
      <c r="I82" s="854"/>
      <c r="J82" s="854"/>
      <c r="K82" s="854"/>
      <c r="L82" s="854"/>
      <c r="M82" s="854"/>
      <c r="N82" s="854"/>
      <c r="O82" s="854"/>
      <c r="P82" s="854"/>
      <c r="Q82" s="854"/>
      <c r="R82" s="854"/>
      <c r="S82" s="854"/>
      <c r="T82" s="854"/>
      <c r="U82" s="854"/>
      <c r="V82" s="854"/>
      <c r="W82" s="854"/>
      <c r="X82" s="854"/>
      <c r="Y82" s="854"/>
      <c r="Z82" s="854"/>
      <c r="AA82" s="854"/>
      <c r="AB82" s="854"/>
      <c r="AC82" s="854"/>
      <c r="AD82" s="854"/>
      <c r="AE82" s="854"/>
      <c r="AF82" s="854"/>
      <c r="AG82" s="854"/>
      <c r="AH82" s="854"/>
      <c r="AI82" s="854"/>
      <c r="AJ82" s="854"/>
      <c r="AK82" s="854"/>
      <c r="AL82" s="854"/>
      <c r="AM82" s="854"/>
      <c r="AN82" s="854"/>
      <c r="AO82" s="854"/>
      <c r="AP82" s="854"/>
      <c r="AQ82" s="854"/>
      <c r="AR82" s="854"/>
      <c r="AS82" s="854"/>
      <c r="AT82" s="854"/>
      <c r="AU82" s="854"/>
      <c r="AV82" s="854"/>
      <c r="AW82" s="854"/>
      <c r="AX82" s="854"/>
      <c r="AY82" s="854"/>
      <c r="AZ82" s="854"/>
      <c r="BA82" s="854"/>
      <c r="BB82" s="854"/>
      <c r="BC82" s="854"/>
      <c r="BD82" s="854"/>
      <c r="BE82" s="854"/>
      <c r="BF82" s="854"/>
      <c r="BG82" s="854"/>
      <c r="BH82" s="854"/>
      <c r="BI82" s="854"/>
      <c r="BJ82" s="854"/>
      <c r="BK82" s="854"/>
      <c r="BL82" s="854"/>
      <c r="BM82" s="854"/>
      <c r="BN82" s="854"/>
      <c r="BO82" s="854"/>
      <c r="BP82" s="854"/>
      <c r="BQ82" s="854"/>
      <c r="BR82" s="854"/>
      <c r="BS82" s="854"/>
      <c r="BT82" s="854"/>
      <c r="BU82" s="854"/>
      <c r="BV82" s="854"/>
      <c r="BW82" s="854"/>
      <c r="BX82" s="854"/>
      <c r="BY82" s="854"/>
      <c r="BZ82" s="854"/>
      <c r="CA82" s="571">
        <f>IF(OR(I82="",I82&lt;'Configs &amp; Procedures'!$L$29),0,IF(I82&gt;'Configs &amp; Procedures'!$L$30,1,IF(F82&gt;'Configs &amp; Procedures'!$L$31,0,1)))</f>
        <v>0</v>
      </c>
    </row>
    <row r="83" spans="2:79">
      <c r="B83" s="854"/>
      <c r="C83" s="854"/>
      <c r="D83" s="854"/>
      <c r="E83" s="854"/>
      <c r="F83" s="854"/>
      <c r="G83" s="854"/>
      <c r="H83" s="854"/>
      <c r="I83" s="854"/>
      <c r="J83" s="854"/>
      <c r="K83" s="854"/>
      <c r="L83" s="854"/>
      <c r="M83" s="854"/>
      <c r="N83" s="854"/>
      <c r="O83" s="854"/>
      <c r="P83" s="854"/>
      <c r="Q83" s="854"/>
      <c r="R83" s="854"/>
      <c r="S83" s="854"/>
      <c r="T83" s="854"/>
      <c r="U83" s="854"/>
      <c r="V83" s="854"/>
      <c r="W83" s="854"/>
      <c r="X83" s="854"/>
      <c r="Y83" s="854"/>
      <c r="Z83" s="854"/>
      <c r="AA83" s="854"/>
      <c r="AB83" s="854"/>
      <c r="AC83" s="854"/>
      <c r="AD83" s="854"/>
      <c r="AE83" s="854"/>
      <c r="AF83" s="854"/>
      <c r="AG83" s="854"/>
      <c r="AH83" s="854"/>
      <c r="AI83" s="854"/>
      <c r="AJ83" s="854"/>
      <c r="AK83" s="854"/>
      <c r="AL83" s="854"/>
      <c r="AM83" s="854"/>
      <c r="AN83" s="854"/>
      <c r="AO83" s="854"/>
      <c r="AP83" s="854"/>
      <c r="AQ83" s="854"/>
      <c r="AR83" s="854"/>
      <c r="AS83" s="854"/>
      <c r="AT83" s="854"/>
      <c r="AU83" s="854"/>
      <c r="AV83" s="854"/>
      <c r="AW83" s="854"/>
      <c r="AX83" s="854"/>
      <c r="AY83" s="854"/>
      <c r="AZ83" s="854"/>
      <c r="BA83" s="854"/>
      <c r="BB83" s="854"/>
      <c r="BC83" s="854"/>
      <c r="BD83" s="854"/>
      <c r="BE83" s="854"/>
      <c r="BF83" s="854"/>
      <c r="BG83" s="854"/>
      <c r="BH83" s="854"/>
      <c r="BI83" s="854"/>
      <c r="BJ83" s="854"/>
      <c r="BK83" s="854"/>
      <c r="BL83" s="854"/>
      <c r="BM83" s="854"/>
      <c r="BN83" s="854"/>
      <c r="BO83" s="854"/>
      <c r="BP83" s="854"/>
      <c r="BQ83" s="854"/>
      <c r="BR83" s="854"/>
      <c r="BS83" s="854"/>
      <c r="BT83" s="854"/>
      <c r="BU83" s="854"/>
      <c r="BV83" s="854"/>
      <c r="BW83" s="854"/>
      <c r="BX83" s="854"/>
      <c r="BY83" s="854"/>
      <c r="BZ83" s="854"/>
      <c r="CA83" s="571">
        <f>IF(OR(I83="",I83&lt;'Configs &amp; Procedures'!$L$29),0,IF(I83&gt;'Configs &amp; Procedures'!$L$30,1,IF(F83&gt;'Configs &amp; Procedures'!$L$31,0,1)))</f>
        <v>0</v>
      </c>
    </row>
    <row r="84" spans="2:79">
      <c r="B84" s="854"/>
      <c r="C84" s="854"/>
      <c r="D84" s="854"/>
      <c r="E84" s="854"/>
      <c r="F84" s="854"/>
      <c r="G84" s="854"/>
      <c r="H84" s="854"/>
      <c r="I84" s="854"/>
      <c r="J84" s="854"/>
      <c r="K84" s="854"/>
      <c r="L84" s="854"/>
      <c r="M84" s="854"/>
      <c r="N84" s="854"/>
      <c r="O84" s="854"/>
      <c r="P84" s="854"/>
      <c r="Q84" s="854"/>
      <c r="R84" s="854"/>
      <c r="S84" s="854"/>
      <c r="T84" s="854"/>
      <c r="U84" s="854"/>
      <c r="V84" s="854"/>
      <c r="W84" s="854"/>
      <c r="X84" s="854"/>
      <c r="Y84" s="854"/>
      <c r="Z84" s="854"/>
      <c r="AA84" s="854"/>
      <c r="AB84" s="854"/>
      <c r="AC84" s="854"/>
      <c r="AD84" s="854"/>
      <c r="AE84" s="854"/>
      <c r="AF84" s="854"/>
      <c r="AG84" s="854"/>
      <c r="AH84" s="854"/>
      <c r="AI84" s="854"/>
      <c r="AJ84" s="854"/>
      <c r="AK84" s="854"/>
      <c r="AL84" s="854"/>
      <c r="AM84" s="854"/>
      <c r="AN84" s="854"/>
      <c r="AO84" s="854"/>
      <c r="AP84" s="854"/>
      <c r="AQ84" s="854"/>
      <c r="AR84" s="854"/>
      <c r="AS84" s="854"/>
      <c r="AT84" s="854"/>
      <c r="AU84" s="854"/>
      <c r="AV84" s="854"/>
      <c r="AW84" s="854"/>
      <c r="AX84" s="854"/>
      <c r="AY84" s="854"/>
      <c r="AZ84" s="854"/>
      <c r="BA84" s="854"/>
      <c r="BB84" s="854"/>
      <c r="BC84" s="854"/>
      <c r="BD84" s="854"/>
      <c r="BE84" s="854"/>
      <c r="BF84" s="854"/>
      <c r="BG84" s="854"/>
      <c r="BH84" s="854"/>
      <c r="BI84" s="854"/>
      <c r="BJ84" s="854"/>
      <c r="BK84" s="854"/>
      <c r="BL84" s="854"/>
      <c r="BM84" s="854"/>
      <c r="BN84" s="854"/>
      <c r="BO84" s="854"/>
      <c r="BP84" s="854"/>
      <c r="BQ84" s="854"/>
      <c r="BR84" s="854"/>
      <c r="BS84" s="854"/>
      <c r="BT84" s="854"/>
      <c r="BU84" s="854"/>
      <c r="BV84" s="854"/>
      <c r="BW84" s="854"/>
      <c r="BX84" s="854"/>
      <c r="BY84" s="854"/>
      <c r="BZ84" s="854"/>
      <c r="CA84" s="571">
        <f>IF(OR(I84="",I84&lt;'Configs &amp; Procedures'!$L$29),0,IF(I84&gt;'Configs &amp; Procedures'!$L$30,1,IF(F84&gt;'Configs &amp; Procedures'!$L$31,0,1)))</f>
        <v>0</v>
      </c>
    </row>
    <row r="85" spans="2:79">
      <c r="B85" s="854"/>
      <c r="C85" s="854"/>
      <c r="D85" s="854"/>
      <c r="E85" s="854"/>
      <c r="F85" s="854"/>
      <c r="G85" s="854"/>
      <c r="H85" s="854"/>
      <c r="I85" s="854"/>
      <c r="J85" s="854"/>
      <c r="K85" s="854"/>
      <c r="L85" s="854"/>
      <c r="M85" s="854"/>
      <c r="N85" s="854"/>
      <c r="O85" s="854"/>
      <c r="P85" s="854"/>
      <c r="Q85" s="854"/>
      <c r="R85" s="854"/>
      <c r="S85" s="854"/>
      <c r="T85" s="854"/>
      <c r="U85" s="854"/>
      <c r="V85" s="854"/>
      <c r="W85" s="854"/>
      <c r="X85" s="854"/>
      <c r="Y85" s="854"/>
      <c r="Z85" s="854"/>
      <c r="AA85" s="854"/>
      <c r="AB85" s="854"/>
      <c r="AC85" s="854"/>
      <c r="AD85" s="854"/>
      <c r="AE85" s="854"/>
      <c r="AF85" s="854"/>
      <c r="AG85" s="854"/>
      <c r="AH85" s="854"/>
      <c r="AI85" s="854"/>
      <c r="AJ85" s="854"/>
      <c r="AK85" s="854"/>
      <c r="AL85" s="854"/>
      <c r="AM85" s="854"/>
      <c r="AN85" s="854"/>
      <c r="AO85" s="854"/>
      <c r="AP85" s="854"/>
      <c r="AQ85" s="854"/>
      <c r="AR85" s="854"/>
      <c r="AS85" s="854"/>
      <c r="AT85" s="854"/>
      <c r="AU85" s="854"/>
      <c r="AV85" s="854"/>
      <c r="AW85" s="854"/>
      <c r="AX85" s="854"/>
      <c r="AY85" s="854"/>
      <c r="AZ85" s="854"/>
      <c r="BA85" s="854"/>
      <c r="BB85" s="854"/>
      <c r="BC85" s="854"/>
      <c r="BD85" s="854"/>
      <c r="BE85" s="854"/>
      <c r="BF85" s="854"/>
      <c r="BG85" s="854"/>
      <c r="BH85" s="854"/>
      <c r="BI85" s="854"/>
      <c r="BJ85" s="854"/>
      <c r="BK85" s="854"/>
      <c r="BL85" s="854"/>
      <c r="BM85" s="854"/>
      <c r="BN85" s="854"/>
      <c r="BO85" s="854"/>
      <c r="BP85" s="854"/>
      <c r="BQ85" s="854"/>
      <c r="BR85" s="854"/>
      <c r="BS85" s="854"/>
      <c r="BT85" s="854"/>
      <c r="BU85" s="854"/>
      <c r="BV85" s="854"/>
      <c r="BW85" s="854"/>
      <c r="BX85" s="854"/>
      <c r="BY85" s="854"/>
      <c r="BZ85" s="854"/>
      <c r="CA85" s="571">
        <f>IF(OR(I85="",I85&lt;'Configs &amp; Procedures'!$L$29),0,IF(I85&gt;'Configs &amp; Procedures'!$L$30,1,IF(F85&gt;'Configs &amp; Procedures'!$L$31,0,1)))</f>
        <v>0</v>
      </c>
    </row>
    <row r="86" spans="2:79">
      <c r="B86" s="854"/>
      <c r="C86" s="854"/>
      <c r="D86" s="854"/>
      <c r="E86" s="854"/>
      <c r="F86" s="854"/>
      <c r="G86" s="854"/>
      <c r="H86" s="854"/>
      <c r="I86" s="854"/>
      <c r="J86" s="854"/>
      <c r="K86" s="854"/>
      <c r="L86" s="854"/>
      <c r="M86" s="854"/>
      <c r="N86" s="854"/>
      <c r="O86" s="854"/>
      <c r="P86" s="854"/>
      <c r="Q86" s="854"/>
      <c r="R86" s="854"/>
      <c r="S86" s="854"/>
      <c r="T86" s="854"/>
      <c r="U86" s="854"/>
      <c r="V86" s="854"/>
      <c r="W86" s="854"/>
      <c r="X86" s="854"/>
      <c r="Y86" s="854"/>
      <c r="Z86" s="854"/>
      <c r="AA86" s="854"/>
      <c r="AB86" s="854"/>
      <c r="AC86" s="854"/>
      <c r="AD86" s="854"/>
      <c r="AE86" s="854"/>
      <c r="AF86" s="854"/>
      <c r="AG86" s="854"/>
      <c r="AH86" s="854"/>
      <c r="AI86" s="854"/>
      <c r="AJ86" s="854"/>
      <c r="AK86" s="854"/>
      <c r="AL86" s="854"/>
      <c r="AM86" s="854"/>
      <c r="AN86" s="854"/>
      <c r="AO86" s="854"/>
      <c r="AP86" s="854"/>
      <c r="AQ86" s="854"/>
      <c r="AR86" s="854"/>
      <c r="AS86" s="854"/>
      <c r="AT86" s="854"/>
      <c r="AU86" s="854"/>
      <c r="AV86" s="854"/>
      <c r="AW86" s="854"/>
      <c r="AX86" s="854"/>
      <c r="AY86" s="854"/>
      <c r="AZ86" s="854"/>
      <c r="BA86" s="854"/>
      <c r="BB86" s="854"/>
      <c r="BC86" s="854"/>
      <c r="BD86" s="854"/>
      <c r="BE86" s="854"/>
      <c r="BF86" s="854"/>
      <c r="BG86" s="854"/>
      <c r="BH86" s="854"/>
      <c r="BI86" s="854"/>
      <c r="BJ86" s="854"/>
      <c r="BK86" s="854"/>
      <c r="BL86" s="854"/>
      <c r="BM86" s="854"/>
      <c r="BN86" s="854"/>
      <c r="BO86" s="854"/>
      <c r="BP86" s="854"/>
      <c r="BQ86" s="854"/>
      <c r="BR86" s="854"/>
      <c r="BS86" s="854"/>
      <c r="BT86" s="854"/>
      <c r="BU86" s="854"/>
      <c r="BV86" s="854"/>
      <c r="BW86" s="854"/>
      <c r="BX86" s="854"/>
      <c r="BY86" s="854"/>
      <c r="BZ86" s="854"/>
      <c r="CA86" s="571">
        <f>IF(OR(I86="",I86&lt;'Configs &amp; Procedures'!$L$29),0,IF(I86&gt;'Configs &amp; Procedures'!$L$30,1,IF(F86&gt;'Configs &amp; Procedures'!$L$31,0,1)))</f>
        <v>0</v>
      </c>
    </row>
    <row r="87" spans="2:79">
      <c r="B87" s="854"/>
      <c r="C87" s="854"/>
      <c r="D87" s="854"/>
      <c r="E87" s="854"/>
      <c r="F87" s="854"/>
      <c r="G87" s="854"/>
      <c r="H87" s="854"/>
      <c r="I87" s="854"/>
      <c r="J87" s="854"/>
      <c r="K87" s="854"/>
      <c r="L87" s="854"/>
      <c r="M87" s="854"/>
      <c r="N87" s="854"/>
      <c r="O87" s="854"/>
      <c r="P87" s="854"/>
      <c r="Q87" s="854"/>
      <c r="R87" s="854"/>
      <c r="S87" s="854"/>
      <c r="T87" s="854"/>
      <c r="U87" s="854"/>
      <c r="V87" s="854"/>
      <c r="W87" s="854"/>
      <c r="X87" s="854"/>
      <c r="Y87" s="854"/>
      <c r="Z87" s="854"/>
      <c r="AA87" s="854"/>
      <c r="AB87" s="854"/>
      <c r="AC87" s="854"/>
      <c r="AD87" s="854"/>
      <c r="AE87" s="854"/>
      <c r="AF87" s="854"/>
      <c r="AG87" s="854"/>
      <c r="AH87" s="854"/>
      <c r="AI87" s="854"/>
      <c r="AJ87" s="854"/>
      <c r="AK87" s="854"/>
      <c r="AL87" s="854"/>
      <c r="AM87" s="854"/>
      <c r="AN87" s="854"/>
      <c r="AO87" s="854"/>
      <c r="AP87" s="854"/>
      <c r="AQ87" s="854"/>
      <c r="AR87" s="854"/>
      <c r="AS87" s="854"/>
      <c r="AT87" s="854"/>
      <c r="AU87" s="854"/>
      <c r="AV87" s="854"/>
      <c r="AW87" s="854"/>
      <c r="AX87" s="854"/>
      <c r="AY87" s="854"/>
      <c r="AZ87" s="854"/>
      <c r="BA87" s="854"/>
      <c r="BB87" s="854"/>
      <c r="BC87" s="854"/>
      <c r="BD87" s="854"/>
      <c r="BE87" s="854"/>
      <c r="BF87" s="854"/>
      <c r="BG87" s="854"/>
      <c r="BH87" s="854"/>
      <c r="BI87" s="854"/>
      <c r="BJ87" s="854"/>
      <c r="BK87" s="854"/>
      <c r="BL87" s="854"/>
      <c r="BM87" s="854"/>
      <c r="BN87" s="854"/>
      <c r="BO87" s="854"/>
      <c r="BP87" s="854"/>
      <c r="BQ87" s="854"/>
      <c r="BR87" s="854"/>
      <c r="BS87" s="854"/>
      <c r="BT87" s="854"/>
      <c r="BU87" s="854"/>
      <c r="BV87" s="854"/>
      <c r="BW87" s="854"/>
      <c r="BX87" s="854"/>
      <c r="BY87" s="854"/>
      <c r="BZ87" s="854"/>
      <c r="CA87" s="571">
        <f>IF(OR(I87="",I87&lt;'Configs &amp; Procedures'!$L$29),0,IF(I87&gt;'Configs &amp; Procedures'!$L$30,1,IF(F87&gt;'Configs &amp; Procedures'!$L$31,0,1)))</f>
        <v>0</v>
      </c>
    </row>
    <row r="88" spans="2:79">
      <c r="B88" s="854"/>
      <c r="C88" s="854"/>
      <c r="D88" s="854"/>
      <c r="E88" s="854"/>
      <c r="F88" s="854"/>
      <c r="G88" s="854"/>
      <c r="H88" s="854"/>
      <c r="I88" s="854"/>
      <c r="J88" s="854"/>
      <c r="K88" s="854"/>
      <c r="L88" s="854"/>
      <c r="M88" s="854"/>
      <c r="N88" s="854"/>
      <c r="O88" s="854"/>
      <c r="P88" s="854"/>
      <c r="Q88" s="854"/>
      <c r="R88" s="854"/>
      <c r="S88" s="854"/>
      <c r="T88" s="854"/>
      <c r="U88" s="854"/>
      <c r="V88" s="854"/>
      <c r="W88" s="854"/>
      <c r="X88" s="854"/>
      <c r="Y88" s="854"/>
      <c r="Z88" s="854"/>
      <c r="AA88" s="854"/>
      <c r="AB88" s="854"/>
      <c r="AC88" s="854"/>
      <c r="AD88" s="854"/>
      <c r="AE88" s="854"/>
      <c r="AF88" s="854"/>
      <c r="AG88" s="854"/>
      <c r="AH88" s="854"/>
      <c r="AI88" s="854"/>
      <c r="AJ88" s="854"/>
      <c r="AK88" s="854"/>
      <c r="AL88" s="854"/>
      <c r="AM88" s="854"/>
      <c r="AN88" s="854"/>
      <c r="AO88" s="854"/>
      <c r="AP88" s="854"/>
      <c r="AQ88" s="854"/>
      <c r="AR88" s="854"/>
      <c r="AS88" s="854"/>
      <c r="AT88" s="854"/>
      <c r="AU88" s="854"/>
      <c r="AV88" s="854"/>
      <c r="AW88" s="854"/>
      <c r="AX88" s="854"/>
      <c r="AY88" s="854"/>
      <c r="AZ88" s="854"/>
      <c r="BA88" s="854"/>
      <c r="BB88" s="854"/>
      <c r="BC88" s="854"/>
      <c r="BD88" s="854"/>
      <c r="BE88" s="854"/>
      <c r="BF88" s="854"/>
      <c r="BG88" s="854"/>
      <c r="BH88" s="854"/>
      <c r="BI88" s="854"/>
      <c r="BJ88" s="854"/>
      <c r="BK88" s="854"/>
      <c r="BL88" s="854"/>
      <c r="BM88" s="854"/>
      <c r="BN88" s="854"/>
      <c r="BO88" s="854"/>
      <c r="BP88" s="854"/>
      <c r="BQ88" s="854"/>
      <c r="BR88" s="854"/>
      <c r="BS88" s="854"/>
      <c r="BT88" s="854"/>
      <c r="BU88" s="854"/>
      <c r="BV88" s="854"/>
      <c r="BW88" s="854"/>
      <c r="BX88" s="854"/>
      <c r="BY88" s="854"/>
      <c r="BZ88" s="854"/>
      <c r="CA88" s="571">
        <f>IF(OR(I88="",I88&lt;'Configs &amp; Procedures'!$L$29),0,IF(I88&gt;'Configs &amp; Procedures'!$L$30,1,IF(F88&gt;'Configs &amp; Procedures'!$L$31,0,1)))</f>
        <v>0</v>
      </c>
    </row>
    <row r="89" spans="2:79">
      <c r="B89" s="854"/>
      <c r="C89" s="854"/>
      <c r="D89" s="854"/>
      <c r="E89" s="854"/>
      <c r="F89" s="854"/>
      <c r="G89" s="854"/>
      <c r="H89" s="854"/>
      <c r="I89" s="854"/>
      <c r="J89" s="854"/>
      <c r="K89" s="854"/>
      <c r="L89" s="854"/>
      <c r="M89" s="854"/>
      <c r="N89" s="854"/>
      <c r="O89" s="854"/>
      <c r="P89" s="854"/>
      <c r="Q89" s="854"/>
      <c r="R89" s="854"/>
      <c r="S89" s="854"/>
      <c r="T89" s="854"/>
      <c r="U89" s="854"/>
      <c r="V89" s="854"/>
      <c r="W89" s="854"/>
      <c r="X89" s="854"/>
      <c r="Y89" s="854"/>
      <c r="Z89" s="854"/>
      <c r="AA89" s="854"/>
      <c r="AB89" s="854"/>
      <c r="AC89" s="854"/>
      <c r="AD89" s="854"/>
      <c r="AE89" s="854"/>
      <c r="AF89" s="854"/>
      <c r="AG89" s="854"/>
      <c r="AH89" s="854"/>
      <c r="AI89" s="854"/>
      <c r="AJ89" s="854"/>
      <c r="AK89" s="854"/>
      <c r="AL89" s="854"/>
      <c r="AM89" s="854"/>
      <c r="AN89" s="854"/>
      <c r="AO89" s="854"/>
      <c r="AP89" s="854"/>
      <c r="AQ89" s="854"/>
      <c r="AR89" s="854"/>
      <c r="AS89" s="854"/>
      <c r="AT89" s="854"/>
      <c r="AU89" s="854"/>
      <c r="AV89" s="854"/>
      <c r="AW89" s="854"/>
      <c r="AX89" s="854"/>
      <c r="AY89" s="854"/>
      <c r="AZ89" s="854"/>
      <c r="BA89" s="854"/>
      <c r="BB89" s="854"/>
      <c r="BC89" s="854"/>
      <c r="BD89" s="854"/>
      <c r="BE89" s="854"/>
      <c r="BF89" s="854"/>
      <c r="BG89" s="854"/>
      <c r="BH89" s="854"/>
      <c r="BI89" s="854"/>
      <c r="BJ89" s="854"/>
      <c r="BK89" s="854"/>
      <c r="BL89" s="854"/>
      <c r="BM89" s="854"/>
      <c r="BN89" s="854"/>
      <c r="BO89" s="854"/>
      <c r="BP89" s="854"/>
      <c r="BQ89" s="854"/>
      <c r="BR89" s="854"/>
      <c r="BS89" s="854"/>
      <c r="BT89" s="854"/>
      <c r="BU89" s="854"/>
      <c r="BV89" s="854"/>
      <c r="BW89" s="854"/>
      <c r="BX89" s="854"/>
      <c r="BY89" s="854"/>
      <c r="BZ89" s="854"/>
      <c r="CA89" s="571">
        <f>IF(OR(I89="",I89&lt;'Configs &amp; Procedures'!$L$29),0,IF(I89&gt;'Configs &amp; Procedures'!$L$30,1,IF(F89&gt;'Configs &amp; Procedures'!$L$31,0,1)))</f>
        <v>0</v>
      </c>
    </row>
    <row r="90" spans="2:79">
      <c r="B90" s="854"/>
      <c r="C90" s="854"/>
      <c r="D90" s="854"/>
      <c r="E90" s="854"/>
      <c r="F90" s="854"/>
      <c r="G90" s="854"/>
      <c r="H90" s="854"/>
      <c r="I90" s="854"/>
      <c r="J90" s="854"/>
      <c r="K90" s="854"/>
      <c r="L90" s="854"/>
      <c r="M90" s="854"/>
      <c r="N90" s="854"/>
      <c r="O90" s="854"/>
      <c r="P90" s="854"/>
      <c r="Q90" s="854"/>
      <c r="R90" s="854"/>
      <c r="S90" s="854"/>
      <c r="T90" s="854"/>
      <c r="U90" s="854"/>
      <c r="V90" s="854"/>
      <c r="W90" s="854"/>
      <c r="X90" s="854"/>
      <c r="Y90" s="854"/>
      <c r="Z90" s="854"/>
      <c r="AA90" s="854"/>
      <c r="AB90" s="854"/>
      <c r="AC90" s="854"/>
      <c r="AD90" s="854"/>
      <c r="AE90" s="854"/>
      <c r="AF90" s="854"/>
      <c r="AG90" s="854"/>
      <c r="AH90" s="854"/>
      <c r="AI90" s="854"/>
      <c r="AJ90" s="854"/>
      <c r="AK90" s="854"/>
      <c r="AL90" s="854"/>
      <c r="AM90" s="854"/>
      <c r="AN90" s="854"/>
      <c r="AO90" s="854"/>
      <c r="AP90" s="854"/>
      <c r="AQ90" s="854"/>
      <c r="AR90" s="854"/>
      <c r="AS90" s="854"/>
      <c r="AT90" s="854"/>
      <c r="AU90" s="854"/>
      <c r="AV90" s="854"/>
      <c r="AW90" s="854"/>
      <c r="AX90" s="854"/>
      <c r="AY90" s="854"/>
      <c r="AZ90" s="854"/>
      <c r="BA90" s="854"/>
      <c r="BB90" s="854"/>
      <c r="BC90" s="854"/>
      <c r="BD90" s="854"/>
      <c r="BE90" s="854"/>
      <c r="BF90" s="854"/>
      <c r="BG90" s="854"/>
      <c r="BH90" s="854"/>
      <c r="BI90" s="854"/>
      <c r="BJ90" s="854"/>
      <c r="BK90" s="854"/>
      <c r="BL90" s="854"/>
      <c r="BM90" s="854"/>
      <c r="BN90" s="854"/>
      <c r="BO90" s="854"/>
      <c r="BP90" s="854"/>
      <c r="BQ90" s="854"/>
      <c r="BR90" s="854"/>
      <c r="BS90" s="854"/>
      <c r="BT90" s="854"/>
      <c r="BU90" s="854"/>
      <c r="BV90" s="854"/>
      <c r="BW90" s="854"/>
      <c r="BX90" s="854"/>
      <c r="BY90" s="854"/>
      <c r="BZ90" s="854"/>
      <c r="CA90" s="571">
        <f>IF(OR(I90="",I90&lt;'Configs &amp; Procedures'!$L$29),0,IF(I90&gt;'Configs &amp; Procedures'!$L$30,1,IF(F90&gt;'Configs &amp; Procedures'!$L$31,0,1)))</f>
        <v>0</v>
      </c>
    </row>
    <row r="91" spans="2:79">
      <c r="B91" s="854"/>
      <c r="C91" s="854"/>
      <c r="D91" s="854"/>
      <c r="E91" s="854"/>
      <c r="F91" s="854"/>
      <c r="G91" s="854"/>
      <c r="H91" s="854"/>
      <c r="I91" s="854"/>
      <c r="J91" s="854"/>
      <c r="K91" s="854"/>
      <c r="L91" s="854"/>
      <c r="M91" s="854"/>
      <c r="N91" s="854"/>
      <c r="O91" s="854"/>
      <c r="P91" s="854"/>
      <c r="Q91" s="854"/>
      <c r="R91" s="854"/>
      <c r="S91" s="854"/>
      <c r="T91" s="854"/>
      <c r="U91" s="854"/>
      <c r="V91" s="854"/>
      <c r="W91" s="854"/>
      <c r="X91" s="854"/>
      <c r="Y91" s="854"/>
      <c r="Z91" s="854"/>
      <c r="AA91" s="854"/>
      <c r="AB91" s="854"/>
      <c r="AC91" s="854"/>
      <c r="AD91" s="854"/>
      <c r="AE91" s="854"/>
      <c r="AF91" s="854"/>
      <c r="AG91" s="854"/>
      <c r="AH91" s="854"/>
      <c r="AI91" s="854"/>
      <c r="AJ91" s="854"/>
      <c r="AK91" s="854"/>
      <c r="AL91" s="854"/>
      <c r="AM91" s="854"/>
      <c r="AN91" s="854"/>
      <c r="AO91" s="854"/>
      <c r="AP91" s="854"/>
      <c r="AQ91" s="854"/>
      <c r="AR91" s="854"/>
      <c r="AS91" s="854"/>
      <c r="AT91" s="854"/>
      <c r="AU91" s="854"/>
      <c r="AV91" s="854"/>
      <c r="AW91" s="854"/>
      <c r="AX91" s="854"/>
      <c r="AY91" s="854"/>
      <c r="AZ91" s="854"/>
      <c r="BA91" s="854"/>
      <c r="BB91" s="854"/>
      <c r="BC91" s="854"/>
      <c r="BD91" s="854"/>
      <c r="BE91" s="854"/>
      <c r="BF91" s="854"/>
      <c r="BG91" s="854"/>
      <c r="BH91" s="854"/>
      <c r="BI91" s="854"/>
      <c r="BJ91" s="854"/>
      <c r="BK91" s="854"/>
      <c r="BL91" s="854"/>
      <c r="BM91" s="854"/>
      <c r="BN91" s="854"/>
      <c r="BO91" s="854"/>
      <c r="BP91" s="854"/>
      <c r="BQ91" s="854"/>
      <c r="BR91" s="854"/>
      <c r="BS91" s="854"/>
      <c r="BT91" s="854"/>
      <c r="BU91" s="854"/>
      <c r="BV91" s="854"/>
      <c r="BW91" s="854"/>
      <c r="BX91" s="854"/>
      <c r="BY91" s="854"/>
      <c r="BZ91" s="854"/>
      <c r="CA91" s="571">
        <f>IF(OR(I91="",I91&lt;'Configs &amp; Procedures'!$L$29),0,IF(I91&gt;'Configs &amp; Procedures'!$L$30,1,IF(F91&gt;'Configs &amp; Procedures'!$L$31,0,1)))</f>
        <v>0</v>
      </c>
    </row>
    <row r="92" spans="2:79">
      <c r="B92" s="854"/>
      <c r="C92" s="854"/>
      <c r="D92" s="854"/>
      <c r="E92" s="854"/>
      <c r="F92" s="854"/>
      <c r="G92" s="854"/>
      <c r="H92" s="854"/>
      <c r="I92" s="854"/>
      <c r="J92" s="854"/>
      <c r="K92" s="854"/>
      <c r="L92" s="854"/>
      <c r="M92" s="854"/>
      <c r="N92" s="854"/>
      <c r="O92" s="854"/>
      <c r="P92" s="854"/>
      <c r="Q92" s="854"/>
      <c r="R92" s="854"/>
      <c r="S92" s="854"/>
      <c r="T92" s="854"/>
      <c r="U92" s="854"/>
      <c r="V92" s="854"/>
      <c r="W92" s="854"/>
      <c r="X92" s="854"/>
      <c r="Y92" s="854"/>
      <c r="Z92" s="854"/>
      <c r="AA92" s="854"/>
      <c r="AB92" s="854"/>
      <c r="AC92" s="854"/>
      <c r="AD92" s="854"/>
      <c r="AE92" s="854"/>
      <c r="AF92" s="854"/>
      <c r="AG92" s="854"/>
      <c r="AH92" s="854"/>
      <c r="AI92" s="854"/>
      <c r="AJ92" s="854"/>
      <c r="AK92" s="854"/>
      <c r="AL92" s="854"/>
      <c r="AM92" s="854"/>
      <c r="AN92" s="854"/>
      <c r="AO92" s="854"/>
      <c r="AP92" s="854"/>
      <c r="AQ92" s="854"/>
      <c r="AR92" s="854"/>
      <c r="AS92" s="854"/>
      <c r="AT92" s="854"/>
      <c r="AU92" s="854"/>
      <c r="AV92" s="854"/>
      <c r="AW92" s="854"/>
      <c r="AX92" s="854"/>
      <c r="AY92" s="854"/>
      <c r="AZ92" s="854"/>
      <c r="BA92" s="854"/>
      <c r="BB92" s="854"/>
      <c r="BC92" s="854"/>
      <c r="BD92" s="854"/>
      <c r="BE92" s="854"/>
      <c r="BF92" s="854"/>
      <c r="BG92" s="854"/>
      <c r="BH92" s="854"/>
      <c r="BI92" s="854"/>
      <c r="BJ92" s="854"/>
      <c r="BK92" s="854"/>
      <c r="BL92" s="854"/>
      <c r="BM92" s="854"/>
      <c r="BN92" s="854"/>
      <c r="BO92" s="854"/>
      <c r="BP92" s="854"/>
      <c r="BQ92" s="854"/>
      <c r="BR92" s="854"/>
      <c r="BS92" s="854"/>
      <c r="BT92" s="854"/>
      <c r="BU92" s="854"/>
      <c r="BV92" s="854"/>
      <c r="BW92" s="854"/>
      <c r="BX92" s="854"/>
      <c r="BY92" s="854"/>
      <c r="BZ92" s="854"/>
      <c r="CA92" s="571">
        <f>IF(OR(I92="",I92&lt;'Configs &amp; Procedures'!$L$29),0,IF(I92&gt;'Configs &amp; Procedures'!$L$30,1,IF(F92&gt;'Configs &amp; Procedures'!$L$31,0,1)))</f>
        <v>0</v>
      </c>
    </row>
    <row r="93" spans="2:79">
      <c r="B93" s="854"/>
      <c r="C93" s="854"/>
      <c r="D93" s="854"/>
      <c r="E93" s="854"/>
      <c r="F93" s="854"/>
      <c r="G93" s="854"/>
      <c r="H93" s="854"/>
      <c r="I93" s="854"/>
      <c r="J93" s="854"/>
      <c r="K93" s="854"/>
      <c r="L93" s="854"/>
      <c r="M93" s="854"/>
      <c r="N93" s="854"/>
      <c r="O93" s="854"/>
      <c r="P93" s="854"/>
      <c r="Q93" s="854"/>
      <c r="R93" s="854"/>
      <c r="S93" s="854"/>
      <c r="T93" s="854"/>
      <c r="U93" s="854"/>
      <c r="V93" s="854"/>
      <c r="W93" s="854"/>
      <c r="X93" s="854"/>
      <c r="Y93" s="854"/>
      <c r="Z93" s="854"/>
      <c r="AA93" s="854"/>
      <c r="AB93" s="854"/>
      <c r="AC93" s="854"/>
      <c r="AD93" s="854"/>
      <c r="AE93" s="854"/>
      <c r="AF93" s="854"/>
      <c r="AG93" s="854"/>
      <c r="AH93" s="854"/>
      <c r="AI93" s="854"/>
      <c r="AJ93" s="854"/>
      <c r="AK93" s="854"/>
      <c r="AL93" s="854"/>
      <c r="AM93" s="854"/>
      <c r="AN93" s="854"/>
      <c r="AO93" s="854"/>
      <c r="AP93" s="854"/>
      <c r="AQ93" s="854"/>
      <c r="AR93" s="854"/>
      <c r="AS93" s="854"/>
      <c r="AT93" s="854"/>
      <c r="AU93" s="854"/>
      <c r="AV93" s="854"/>
      <c r="AW93" s="854"/>
      <c r="AX93" s="854"/>
      <c r="AY93" s="854"/>
      <c r="AZ93" s="854"/>
      <c r="BA93" s="854"/>
      <c r="BB93" s="854"/>
      <c r="BC93" s="854"/>
      <c r="BD93" s="854"/>
      <c r="BE93" s="854"/>
      <c r="BF93" s="854"/>
      <c r="BG93" s="854"/>
      <c r="BH93" s="854"/>
      <c r="BI93" s="854"/>
      <c r="BJ93" s="854"/>
      <c r="BK93" s="854"/>
      <c r="BL93" s="854"/>
      <c r="BM93" s="854"/>
      <c r="BN93" s="854"/>
      <c r="BO93" s="854"/>
      <c r="BP93" s="854"/>
      <c r="BQ93" s="854"/>
      <c r="BR93" s="854"/>
      <c r="BS93" s="854"/>
      <c r="BT93" s="854"/>
      <c r="BU93" s="854"/>
      <c r="BV93" s="854"/>
      <c r="BW93" s="854"/>
      <c r="BX93" s="854"/>
      <c r="BY93" s="854"/>
      <c r="BZ93" s="854"/>
      <c r="CA93" s="571">
        <f>IF(OR(I93="",I93&lt;'Configs &amp; Procedures'!$L$29),0,IF(I93&gt;'Configs &amp; Procedures'!$L$30,1,IF(F93&gt;'Configs &amp; Procedures'!$L$31,0,1)))</f>
        <v>0</v>
      </c>
    </row>
    <row r="94" spans="2:79">
      <c r="B94" s="854"/>
      <c r="C94" s="854"/>
      <c r="D94" s="854"/>
      <c r="E94" s="854"/>
      <c r="F94" s="854"/>
      <c r="G94" s="854"/>
      <c r="H94" s="854"/>
      <c r="I94" s="854"/>
      <c r="J94" s="854"/>
      <c r="K94" s="854"/>
      <c r="L94" s="854"/>
      <c r="M94" s="854"/>
      <c r="N94" s="854"/>
      <c r="O94" s="854"/>
      <c r="P94" s="854"/>
      <c r="Q94" s="854"/>
      <c r="R94" s="854"/>
      <c r="S94" s="854"/>
      <c r="T94" s="854"/>
      <c r="U94" s="854"/>
      <c r="V94" s="854"/>
      <c r="W94" s="854"/>
      <c r="X94" s="854"/>
      <c r="Y94" s="854"/>
      <c r="Z94" s="854"/>
      <c r="AA94" s="854"/>
      <c r="AB94" s="854"/>
      <c r="AC94" s="854"/>
      <c r="AD94" s="854"/>
      <c r="AE94" s="854"/>
      <c r="AF94" s="854"/>
      <c r="AG94" s="854"/>
      <c r="AH94" s="854"/>
      <c r="AI94" s="854"/>
      <c r="AJ94" s="854"/>
      <c r="AK94" s="854"/>
      <c r="AL94" s="854"/>
      <c r="AM94" s="854"/>
      <c r="AN94" s="854"/>
      <c r="AO94" s="854"/>
      <c r="AP94" s="854"/>
      <c r="AQ94" s="854"/>
      <c r="AR94" s="854"/>
      <c r="AS94" s="854"/>
      <c r="AT94" s="854"/>
      <c r="AU94" s="854"/>
      <c r="AV94" s="854"/>
      <c r="AW94" s="854"/>
      <c r="AX94" s="854"/>
      <c r="AY94" s="854"/>
      <c r="AZ94" s="854"/>
      <c r="BA94" s="854"/>
      <c r="BB94" s="854"/>
      <c r="BC94" s="854"/>
      <c r="BD94" s="854"/>
      <c r="BE94" s="854"/>
      <c r="BF94" s="854"/>
      <c r="BG94" s="854"/>
      <c r="BH94" s="854"/>
      <c r="BI94" s="854"/>
      <c r="BJ94" s="854"/>
      <c r="BK94" s="854"/>
      <c r="BL94" s="854"/>
      <c r="BM94" s="854"/>
      <c r="BN94" s="854"/>
      <c r="BO94" s="854"/>
      <c r="BP94" s="854"/>
      <c r="BQ94" s="854"/>
      <c r="BR94" s="854"/>
      <c r="BS94" s="854"/>
      <c r="BT94" s="854"/>
      <c r="BU94" s="854"/>
      <c r="BV94" s="854"/>
      <c r="BW94" s="854"/>
      <c r="BX94" s="854"/>
      <c r="BY94" s="854"/>
      <c r="BZ94" s="854"/>
      <c r="CA94" s="571">
        <f>IF(OR(I94="",I94&lt;'Configs &amp; Procedures'!$L$29),0,IF(I94&gt;'Configs &amp; Procedures'!$L$30,1,IF(F94&gt;'Configs &amp; Procedures'!$L$31,0,1)))</f>
        <v>0</v>
      </c>
    </row>
    <row r="95" spans="2:79">
      <c r="B95" s="854"/>
      <c r="C95" s="854"/>
      <c r="D95" s="854"/>
      <c r="E95" s="854"/>
      <c r="F95" s="854"/>
      <c r="G95" s="854"/>
      <c r="H95" s="854"/>
      <c r="I95" s="854"/>
      <c r="J95" s="854"/>
      <c r="K95" s="854"/>
      <c r="L95" s="854"/>
      <c r="M95" s="854"/>
      <c r="N95" s="854"/>
      <c r="O95" s="854"/>
      <c r="P95" s="854"/>
      <c r="Q95" s="854"/>
      <c r="R95" s="854"/>
      <c r="S95" s="854"/>
      <c r="T95" s="854"/>
      <c r="U95" s="854"/>
      <c r="V95" s="854"/>
      <c r="W95" s="854"/>
      <c r="X95" s="854"/>
      <c r="Y95" s="854"/>
      <c r="Z95" s="854"/>
      <c r="AA95" s="854"/>
      <c r="AB95" s="854"/>
      <c r="AC95" s="854"/>
      <c r="AD95" s="854"/>
      <c r="AE95" s="854"/>
      <c r="AF95" s="854"/>
      <c r="AG95" s="854"/>
      <c r="AH95" s="854"/>
      <c r="AI95" s="854"/>
      <c r="AJ95" s="854"/>
      <c r="AK95" s="854"/>
      <c r="AL95" s="854"/>
      <c r="AM95" s="854"/>
      <c r="AN95" s="854"/>
      <c r="AO95" s="854"/>
      <c r="AP95" s="854"/>
      <c r="AQ95" s="854"/>
      <c r="AR95" s="854"/>
      <c r="AS95" s="854"/>
      <c r="AT95" s="854"/>
      <c r="AU95" s="854"/>
      <c r="AV95" s="854"/>
      <c r="AW95" s="854"/>
      <c r="AX95" s="854"/>
      <c r="AY95" s="854"/>
      <c r="AZ95" s="854"/>
      <c r="BA95" s="854"/>
      <c r="BB95" s="854"/>
      <c r="BC95" s="854"/>
      <c r="BD95" s="854"/>
      <c r="BE95" s="854"/>
      <c r="BF95" s="854"/>
      <c r="BG95" s="854"/>
      <c r="BH95" s="854"/>
      <c r="BI95" s="854"/>
      <c r="BJ95" s="854"/>
      <c r="BK95" s="854"/>
      <c r="BL95" s="854"/>
      <c r="BM95" s="854"/>
      <c r="BN95" s="854"/>
      <c r="BO95" s="854"/>
      <c r="BP95" s="854"/>
      <c r="BQ95" s="854"/>
      <c r="BR95" s="854"/>
      <c r="BS95" s="854"/>
      <c r="BT95" s="854"/>
      <c r="BU95" s="854"/>
      <c r="BV95" s="854"/>
      <c r="BW95" s="854"/>
      <c r="BX95" s="854"/>
      <c r="BY95" s="854"/>
      <c r="BZ95" s="854"/>
      <c r="CA95" s="571">
        <f>IF(OR(I95="",I95&lt;'Configs &amp; Procedures'!$L$29),0,IF(I95&gt;'Configs &amp; Procedures'!$L$30,1,IF(F95&gt;'Configs &amp; Procedures'!$L$31,0,1)))</f>
        <v>0</v>
      </c>
    </row>
    <row r="96" spans="2:79">
      <c r="B96" s="854"/>
      <c r="C96" s="854"/>
      <c r="D96" s="854"/>
      <c r="E96" s="854"/>
      <c r="F96" s="854"/>
      <c r="G96" s="854"/>
      <c r="H96" s="854"/>
      <c r="I96" s="854"/>
      <c r="J96" s="854"/>
      <c r="K96" s="854"/>
      <c r="L96" s="854"/>
      <c r="M96" s="854"/>
      <c r="N96" s="854"/>
      <c r="O96" s="854"/>
      <c r="P96" s="854"/>
      <c r="Q96" s="854"/>
      <c r="R96" s="854"/>
      <c r="S96" s="854"/>
      <c r="T96" s="854"/>
      <c r="U96" s="854"/>
      <c r="V96" s="854"/>
      <c r="W96" s="854"/>
      <c r="X96" s="854"/>
      <c r="Y96" s="854"/>
      <c r="Z96" s="854"/>
      <c r="AA96" s="854"/>
      <c r="AB96" s="854"/>
      <c r="AC96" s="854"/>
      <c r="AD96" s="854"/>
      <c r="AE96" s="854"/>
      <c r="AF96" s="854"/>
      <c r="AG96" s="854"/>
      <c r="AH96" s="854"/>
      <c r="AI96" s="854"/>
      <c r="AJ96" s="854"/>
      <c r="AK96" s="854"/>
      <c r="AL96" s="854"/>
      <c r="AM96" s="854"/>
      <c r="AN96" s="854"/>
      <c r="AO96" s="854"/>
      <c r="AP96" s="854"/>
      <c r="AQ96" s="854"/>
      <c r="AR96" s="854"/>
      <c r="AS96" s="854"/>
      <c r="AT96" s="854"/>
      <c r="AU96" s="854"/>
      <c r="AV96" s="854"/>
      <c r="AW96" s="854"/>
      <c r="AX96" s="854"/>
      <c r="AY96" s="854"/>
      <c r="AZ96" s="854"/>
      <c r="BA96" s="854"/>
      <c r="BB96" s="854"/>
      <c r="BC96" s="854"/>
      <c r="BD96" s="854"/>
      <c r="BE96" s="854"/>
      <c r="BF96" s="854"/>
      <c r="BG96" s="854"/>
      <c r="BH96" s="854"/>
      <c r="BI96" s="854"/>
      <c r="BJ96" s="854"/>
      <c r="BK96" s="854"/>
      <c r="BL96" s="854"/>
      <c r="BM96" s="854"/>
      <c r="BN96" s="854"/>
      <c r="BO96" s="854"/>
      <c r="BP96" s="854"/>
      <c r="BQ96" s="854"/>
      <c r="BR96" s="854"/>
      <c r="BS96" s="854"/>
      <c r="BT96" s="854"/>
      <c r="BU96" s="854"/>
      <c r="BV96" s="854"/>
      <c r="BW96" s="854"/>
      <c r="BX96" s="854"/>
      <c r="BY96" s="854"/>
      <c r="BZ96" s="854"/>
      <c r="CA96" s="571">
        <f>IF(OR(I96="",I96&lt;'Configs &amp; Procedures'!$L$29),0,IF(I96&gt;'Configs &amp; Procedures'!$L$30,1,IF(F96&gt;'Configs &amp; Procedures'!$L$31,0,1)))</f>
        <v>0</v>
      </c>
    </row>
    <row r="97" spans="2:79">
      <c r="B97" s="854"/>
      <c r="C97" s="854"/>
      <c r="D97" s="854"/>
      <c r="E97" s="854"/>
      <c r="F97" s="854"/>
      <c r="G97" s="854"/>
      <c r="H97" s="854"/>
      <c r="I97" s="854"/>
      <c r="J97" s="854"/>
      <c r="K97" s="854"/>
      <c r="L97" s="854"/>
      <c r="M97" s="854"/>
      <c r="N97" s="854"/>
      <c r="O97" s="854"/>
      <c r="P97" s="854"/>
      <c r="Q97" s="854"/>
      <c r="R97" s="854"/>
      <c r="S97" s="854"/>
      <c r="T97" s="854"/>
      <c r="U97" s="854"/>
      <c r="V97" s="854"/>
      <c r="W97" s="854"/>
      <c r="X97" s="854"/>
      <c r="Y97" s="854"/>
      <c r="Z97" s="854"/>
      <c r="AA97" s="854"/>
      <c r="AB97" s="854"/>
      <c r="AC97" s="854"/>
      <c r="AD97" s="854"/>
      <c r="AE97" s="854"/>
      <c r="AF97" s="854"/>
      <c r="AG97" s="854"/>
      <c r="AH97" s="854"/>
      <c r="AI97" s="854"/>
      <c r="AJ97" s="854"/>
      <c r="AK97" s="854"/>
      <c r="AL97" s="854"/>
      <c r="AM97" s="854"/>
      <c r="AN97" s="854"/>
      <c r="AO97" s="854"/>
      <c r="AP97" s="854"/>
      <c r="AQ97" s="854"/>
      <c r="AR97" s="854"/>
      <c r="AS97" s="854"/>
      <c r="AT97" s="854"/>
      <c r="AU97" s="854"/>
      <c r="AV97" s="854"/>
      <c r="AW97" s="854"/>
      <c r="AX97" s="854"/>
      <c r="AY97" s="854"/>
      <c r="AZ97" s="854"/>
      <c r="BA97" s="854"/>
      <c r="BB97" s="854"/>
      <c r="BC97" s="854"/>
      <c r="BD97" s="854"/>
      <c r="BE97" s="854"/>
      <c r="BF97" s="854"/>
      <c r="BG97" s="854"/>
      <c r="BH97" s="854"/>
      <c r="BI97" s="854"/>
      <c r="BJ97" s="854"/>
      <c r="BK97" s="854"/>
      <c r="BL97" s="854"/>
      <c r="BM97" s="854"/>
      <c r="BN97" s="854"/>
      <c r="BO97" s="854"/>
      <c r="BP97" s="854"/>
      <c r="BQ97" s="854"/>
      <c r="BR97" s="854"/>
      <c r="BS97" s="854"/>
      <c r="BT97" s="854"/>
      <c r="BU97" s="854"/>
      <c r="BV97" s="854"/>
      <c r="BW97" s="854"/>
      <c r="BX97" s="854"/>
      <c r="BY97" s="854"/>
      <c r="BZ97" s="854"/>
      <c r="CA97" s="571">
        <f>IF(OR(I97="",I97&lt;'Configs &amp; Procedures'!$L$29),0,IF(I97&gt;'Configs &amp; Procedures'!$L$30,1,IF(F97&gt;'Configs &amp; Procedures'!$L$31,0,1)))</f>
        <v>0</v>
      </c>
    </row>
    <row r="98" spans="2:79">
      <c r="B98" s="854"/>
      <c r="C98" s="854"/>
      <c r="D98" s="854"/>
      <c r="E98" s="854"/>
      <c r="F98" s="854"/>
      <c r="G98" s="854"/>
      <c r="H98" s="854"/>
      <c r="I98" s="854"/>
      <c r="J98" s="854"/>
      <c r="K98" s="854"/>
      <c r="L98" s="854"/>
      <c r="M98" s="854"/>
      <c r="N98" s="854"/>
      <c r="O98" s="854"/>
      <c r="P98" s="854"/>
      <c r="Q98" s="854"/>
      <c r="R98" s="854"/>
      <c r="S98" s="854"/>
      <c r="T98" s="854"/>
      <c r="U98" s="854"/>
      <c r="V98" s="854"/>
      <c r="W98" s="854"/>
      <c r="X98" s="854"/>
      <c r="Y98" s="854"/>
      <c r="Z98" s="854"/>
      <c r="AA98" s="854"/>
      <c r="AB98" s="854"/>
      <c r="AC98" s="854"/>
      <c r="AD98" s="854"/>
      <c r="AE98" s="854"/>
      <c r="AF98" s="854"/>
      <c r="AG98" s="854"/>
      <c r="AH98" s="854"/>
      <c r="AI98" s="854"/>
      <c r="AJ98" s="854"/>
      <c r="AK98" s="854"/>
      <c r="AL98" s="854"/>
      <c r="AM98" s="854"/>
      <c r="AN98" s="854"/>
      <c r="AO98" s="854"/>
      <c r="AP98" s="854"/>
      <c r="AQ98" s="854"/>
      <c r="AR98" s="854"/>
      <c r="AS98" s="854"/>
      <c r="AT98" s="854"/>
      <c r="AU98" s="854"/>
      <c r="AV98" s="854"/>
      <c r="AW98" s="854"/>
      <c r="AX98" s="854"/>
      <c r="AY98" s="854"/>
      <c r="AZ98" s="854"/>
      <c r="BA98" s="854"/>
      <c r="BB98" s="854"/>
      <c r="BC98" s="854"/>
      <c r="BD98" s="854"/>
      <c r="BE98" s="854"/>
      <c r="BF98" s="854"/>
      <c r="BG98" s="854"/>
      <c r="BH98" s="854"/>
      <c r="BI98" s="854"/>
      <c r="BJ98" s="854"/>
      <c r="BK98" s="854"/>
      <c r="BL98" s="854"/>
      <c r="BM98" s="854"/>
      <c r="BN98" s="854"/>
      <c r="BO98" s="854"/>
      <c r="BP98" s="854"/>
      <c r="BQ98" s="854"/>
      <c r="BR98" s="854"/>
      <c r="BS98" s="854"/>
      <c r="BT98" s="854"/>
      <c r="BU98" s="854"/>
      <c r="BV98" s="854"/>
      <c r="BW98" s="854"/>
      <c r="BX98" s="854"/>
      <c r="BY98" s="854"/>
      <c r="BZ98" s="854"/>
      <c r="CA98" s="571">
        <f>IF(OR(I98="",I98&lt;'Configs &amp; Procedures'!$L$29),0,IF(I98&gt;'Configs &amp; Procedures'!$L$30,1,IF(F98&gt;'Configs &amp; Procedures'!$L$31,0,1)))</f>
        <v>0</v>
      </c>
    </row>
    <row r="99" spans="2:79">
      <c r="B99" s="854"/>
      <c r="C99" s="854"/>
      <c r="D99" s="854"/>
      <c r="E99" s="854"/>
      <c r="F99" s="854"/>
      <c r="G99" s="854"/>
      <c r="H99" s="854"/>
      <c r="I99" s="854"/>
      <c r="J99" s="854"/>
      <c r="K99" s="854"/>
      <c r="L99" s="854"/>
      <c r="M99" s="854"/>
      <c r="N99" s="854"/>
      <c r="O99" s="854"/>
      <c r="P99" s="854"/>
      <c r="Q99" s="854"/>
      <c r="R99" s="854"/>
      <c r="S99" s="854"/>
      <c r="T99" s="854"/>
      <c r="U99" s="854"/>
      <c r="V99" s="854"/>
      <c r="W99" s="854"/>
      <c r="X99" s="854"/>
      <c r="Y99" s="854"/>
      <c r="Z99" s="854"/>
      <c r="AA99" s="854"/>
      <c r="AB99" s="854"/>
      <c r="AC99" s="854"/>
      <c r="AD99" s="854"/>
      <c r="AE99" s="854"/>
      <c r="AF99" s="854"/>
      <c r="AG99" s="854"/>
      <c r="AH99" s="854"/>
      <c r="AI99" s="854"/>
      <c r="AJ99" s="854"/>
      <c r="AK99" s="854"/>
      <c r="AL99" s="854"/>
      <c r="AM99" s="854"/>
      <c r="AN99" s="854"/>
      <c r="AO99" s="854"/>
      <c r="AP99" s="854"/>
      <c r="AQ99" s="854"/>
      <c r="AR99" s="854"/>
      <c r="AS99" s="854"/>
      <c r="AT99" s="854"/>
      <c r="AU99" s="854"/>
      <c r="AV99" s="854"/>
      <c r="AW99" s="854"/>
      <c r="AX99" s="854"/>
      <c r="AY99" s="854"/>
      <c r="AZ99" s="854"/>
      <c r="BA99" s="854"/>
      <c r="BB99" s="854"/>
      <c r="BC99" s="854"/>
      <c r="BD99" s="854"/>
      <c r="BE99" s="854"/>
      <c r="BF99" s="854"/>
      <c r="BG99" s="854"/>
      <c r="BH99" s="854"/>
      <c r="BI99" s="854"/>
      <c r="BJ99" s="854"/>
      <c r="BK99" s="854"/>
      <c r="BL99" s="854"/>
      <c r="BM99" s="854"/>
      <c r="BN99" s="854"/>
      <c r="BO99" s="854"/>
      <c r="BP99" s="854"/>
      <c r="BQ99" s="854"/>
      <c r="BR99" s="854"/>
      <c r="BS99" s="854"/>
      <c r="BT99" s="854"/>
      <c r="BU99" s="854"/>
      <c r="BV99" s="854"/>
      <c r="BW99" s="854"/>
      <c r="BX99" s="854"/>
      <c r="BY99" s="854"/>
      <c r="BZ99" s="854"/>
      <c r="CA99" s="571">
        <f>IF(OR(I99="",I99&lt;'Configs &amp; Procedures'!$L$29),0,IF(I99&gt;'Configs &amp; Procedures'!$L$30,1,IF(F99&gt;'Configs &amp; Procedures'!$L$31,0,1)))</f>
        <v>0</v>
      </c>
    </row>
    <row r="100" spans="2:79">
      <c r="B100" s="854"/>
      <c r="C100" s="854"/>
      <c r="D100" s="854"/>
      <c r="E100" s="854"/>
      <c r="F100" s="854"/>
      <c r="G100" s="854"/>
      <c r="H100" s="854"/>
      <c r="I100" s="854"/>
      <c r="J100" s="854"/>
      <c r="K100" s="854"/>
      <c r="L100" s="854"/>
      <c r="M100" s="854"/>
      <c r="N100" s="854"/>
      <c r="O100" s="854"/>
      <c r="P100" s="854"/>
      <c r="Q100" s="854"/>
      <c r="R100" s="854"/>
      <c r="S100" s="854"/>
      <c r="T100" s="854"/>
      <c r="U100" s="854"/>
      <c r="V100" s="854"/>
      <c r="W100" s="854"/>
      <c r="X100" s="854"/>
      <c r="Y100" s="854"/>
      <c r="Z100" s="854"/>
      <c r="AA100" s="854"/>
      <c r="AB100" s="854"/>
      <c r="AC100" s="854"/>
      <c r="AD100" s="854"/>
      <c r="AE100" s="854"/>
      <c r="AF100" s="854"/>
      <c r="AG100" s="854"/>
      <c r="AH100" s="854"/>
      <c r="AI100" s="854"/>
      <c r="AJ100" s="854"/>
      <c r="AK100" s="854"/>
      <c r="AL100" s="854"/>
      <c r="AM100" s="854"/>
      <c r="AN100" s="854"/>
      <c r="AO100" s="854"/>
      <c r="AP100" s="854"/>
      <c r="AQ100" s="854"/>
      <c r="AR100" s="854"/>
      <c r="AS100" s="854"/>
      <c r="AT100" s="854"/>
      <c r="AU100" s="854"/>
      <c r="AV100" s="854"/>
      <c r="AW100" s="854"/>
      <c r="AX100" s="854"/>
      <c r="AY100" s="854"/>
      <c r="AZ100" s="854"/>
      <c r="BA100" s="854"/>
      <c r="BB100" s="854"/>
      <c r="BC100" s="854"/>
      <c r="BD100" s="854"/>
      <c r="BE100" s="854"/>
      <c r="BF100" s="854"/>
      <c r="BG100" s="854"/>
      <c r="BH100" s="854"/>
      <c r="BI100" s="854"/>
      <c r="BJ100" s="854"/>
      <c r="BK100" s="854"/>
      <c r="BL100" s="854"/>
      <c r="BM100" s="854"/>
      <c r="BN100" s="854"/>
      <c r="BO100" s="854"/>
      <c r="BP100" s="854"/>
      <c r="BQ100" s="854"/>
      <c r="BR100" s="854"/>
      <c r="BS100" s="854"/>
      <c r="BT100" s="854"/>
      <c r="BU100" s="854"/>
      <c r="BV100" s="854"/>
      <c r="BW100" s="854"/>
      <c r="BX100" s="854"/>
      <c r="BY100" s="854"/>
      <c r="BZ100" s="854"/>
      <c r="CA100" s="571">
        <f>IF(OR(I100="",I100&lt;'Configs &amp; Procedures'!$L$29),0,IF(I100&gt;'Configs &amp; Procedures'!$L$30,1,IF(F100&gt;'Configs &amp; Procedures'!$L$31,0,1)))</f>
        <v>0</v>
      </c>
    </row>
    <row r="101" spans="2:79">
      <c r="B101" s="854"/>
      <c r="C101" s="854"/>
      <c r="D101" s="854"/>
      <c r="E101" s="854"/>
      <c r="F101" s="854"/>
      <c r="G101" s="854"/>
      <c r="H101" s="854"/>
      <c r="I101" s="854"/>
      <c r="J101" s="854"/>
      <c r="K101" s="854"/>
      <c r="L101" s="854"/>
      <c r="M101" s="854"/>
      <c r="N101" s="854"/>
      <c r="O101" s="854"/>
      <c r="P101" s="854"/>
      <c r="Q101" s="854"/>
      <c r="R101" s="854"/>
      <c r="S101" s="854"/>
      <c r="T101" s="854"/>
      <c r="U101" s="854"/>
      <c r="V101" s="854"/>
      <c r="W101" s="854"/>
      <c r="X101" s="854"/>
      <c r="Y101" s="854"/>
      <c r="Z101" s="854"/>
      <c r="AA101" s="854"/>
      <c r="AB101" s="854"/>
      <c r="AC101" s="854"/>
      <c r="AD101" s="854"/>
      <c r="AE101" s="854"/>
      <c r="AF101" s="854"/>
      <c r="AG101" s="854"/>
      <c r="AH101" s="854"/>
      <c r="AI101" s="854"/>
      <c r="AJ101" s="854"/>
      <c r="AK101" s="854"/>
      <c r="AL101" s="854"/>
      <c r="AM101" s="854"/>
      <c r="AN101" s="854"/>
      <c r="AO101" s="854"/>
      <c r="AP101" s="854"/>
      <c r="AQ101" s="854"/>
      <c r="AR101" s="854"/>
      <c r="AS101" s="854"/>
      <c r="AT101" s="854"/>
      <c r="AU101" s="854"/>
      <c r="AV101" s="854"/>
      <c r="AW101" s="854"/>
      <c r="AX101" s="854"/>
      <c r="AY101" s="854"/>
      <c r="AZ101" s="854"/>
      <c r="BA101" s="854"/>
      <c r="BB101" s="854"/>
      <c r="BC101" s="854"/>
      <c r="BD101" s="854"/>
      <c r="BE101" s="854"/>
      <c r="BF101" s="854"/>
      <c r="BG101" s="854"/>
      <c r="BH101" s="854"/>
      <c r="BI101" s="854"/>
      <c r="BJ101" s="854"/>
      <c r="BK101" s="854"/>
      <c r="BL101" s="854"/>
      <c r="BM101" s="854"/>
      <c r="BN101" s="854"/>
      <c r="BO101" s="854"/>
      <c r="BP101" s="854"/>
      <c r="BQ101" s="854"/>
      <c r="BR101" s="854"/>
      <c r="BS101" s="854"/>
      <c r="BT101" s="854"/>
      <c r="BU101" s="854"/>
      <c r="BV101" s="854"/>
      <c r="BW101" s="854"/>
      <c r="BX101" s="854"/>
      <c r="BY101" s="854"/>
      <c r="BZ101" s="854"/>
      <c r="CA101" s="571">
        <f>IF(OR(I101="",I101&lt;'Configs &amp; Procedures'!$L$29),0,IF(I101&gt;'Configs &amp; Procedures'!$L$30,1,IF(F101&gt;'Configs &amp; Procedures'!$L$31,0,1)))</f>
        <v>0</v>
      </c>
    </row>
    <row r="102" spans="2:79">
      <c r="B102" s="854"/>
      <c r="C102" s="854"/>
      <c r="D102" s="854"/>
      <c r="E102" s="854"/>
      <c r="F102" s="854"/>
      <c r="G102" s="854"/>
      <c r="H102" s="854"/>
      <c r="I102" s="854"/>
      <c r="J102" s="854"/>
      <c r="K102" s="854"/>
      <c r="L102" s="854"/>
      <c r="M102" s="854"/>
      <c r="N102" s="854"/>
      <c r="O102" s="854"/>
      <c r="P102" s="854"/>
      <c r="Q102" s="854"/>
      <c r="R102" s="854"/>
      <c r="S102" s="854"/>
      <c r="T102" s="854"/>
      <c r="U102" s="854"/>
      <c r="V102" s="854"/>
      <c r="W102" s="854"/>
      <c r="X102" s="854"/>
      <c r="Y102" s="854"/>
      <c r="Z102" s="854"/>
      <c r="AA102" s="854"/>
      <c r="AB102" s="854"/>
      <c r="AC102" s="854"/>
      <c r="AD102" s="854"/>
      <c r="AE102" s="854"/>
      <c r="AF102" s="854"/>
      <c r="AG102" s="854"/>
      <c r="AH102" s="854"/>
      <c r="AI102" s="854"/>
      <c r="AJ102" s="854"/>
      <c r="AK102" s="854"/>
      <c r="AL102" s="854"/>
      <c r="AM102" s="854"/>
      <c r="AN102" s="854"/>
      <c r="AO102" s="854"/>
      <c r="AP102" s="854"/>
      <c r="AQ102" s="854"/>
      <c r="AR102" s="854"/>
      <c r="AS102" s="854"/>
      <c r="AT102" s="854"/>
      <c r="AU102" s="854"/>
      <c r="AV102" s="854"/>
      <c r="AW102" s="854"/>
      <c r="AX102" s="854"/>
      <c r="AY102" s="854"/>
      <c r="AZ102" s="854"/>
      <c r="BA102" s="854"/>
      <c r="BB102" s="854"/>
      <c r="BC102" s="854"/>
      <c r="BD102" s="854"/>
      <c r="BE102" s="854"/>
      <c r="BF102" s="854"/>
      <c r="BG102" s="854"/>
      <c r="BH102" s="854"/>
      <c r="BI102" s="854"/>
      <c r="BJ102" s="854"/>
      <c r="BK102" s="854"/>
      <c r="BL102" s="854"/>
      <c r="BM102" s="854"/>
      <c r="BN102" s="854"/>
      <c r="BO102" s="854"/>
      <c r="BP102" s="854"/>
      <c r="BQ102" s="854"/>
      <c r="BR102" s="854"/>
      <c r="BS102" s="854"/>
      <c r="BT102" s="854"/>
      <c r="BU102" s="854"/>
      <c r="BV102" s="854"/>
      <c r="BW102" s="854"/>
      <c r="BX102" s="854"/>
      <c r="BY102" s="854"/>
      <c r="BZ102" s="854"/>
      <c r="CA102" s="571">
        <f>IF(OR(I102="",I102&lt;'Configs &amp; Procedures'!$L$29),0,IF(I102&gt;'Configs &amp; Procedures'!$L$30,1,IF(F102&gt;'Configs &amp; Procedures'!$L$31,0,1)))</f>
        <v>0</v>
      </c>
    </row>
    <row r="103" spans="2:79">
      <c r="B103" s="854"/>
      <c r="C103" s="854"/>
      <c r="D103" s="854"/>
      <c r="E103" s="854"/>
      <c r="F103" s="854"/>
      <c r="G103" s="854"/>
      <c r="H103" s="854"/>
      <c r="I103" s="854"/>
      <c r="J103" s="854"/>
      <c r="K103" s="854"/>
      <c r="L103" s="854"/>
      <c r="M103" s="854"/>
      <c r="N103" s="854"/>
      <c r="O103" s="854"/>
      <c r="P103" s="854"/>
      <c r="Q103" s="854"/>
      <c r="R103" s="854"/>
      <c r="S103" s="854"/>
      <c r="T103" s="854"/>
      <c r="U103" s="854"/>
      <c r="V103" s="854"/>
      <c r="W103" s="854"/>
      <c r="X103" s="854"/>
      <c r="Y103" s="854"/>
      <c r="Z103" s="854"/>
      <c r="AA103" s="854"/>
      <c r="AB103" s="854"/>
      <c r="AC103" s="854"/>
      <c r="AD103" s="854"/>
      <c r="AE103" s="854"/>
      <c r="AF103" s="854"/>
      <c r="AG103" s="854"/>
      <c r="AH103" s="854"/>
      <c r="AI103" s="854"/>
      <c r="AJ103" s="854"/>
      <c r="AK103" s="854"/>
      <c r="AL103" s="854"/>
      <c r="AM103" s="854"/>
      <c r="AN103" s="854"/>
      <c r="AO103" s="854"/>
      <c r="AP103" s="854"/>
      <c r="AQ103" s="854"/>
      <c r="AR103" s="854"/>
      <c r="AS103" s="854"/>
      <c r="AT103" s="854"/>
      <c r="AU103" s="854"/>
      <c r="AV103" s="854"/>
      <c r="AW103" s="854"/>
      <c r="AX103" s="854"/>
      <c r="AY103" s="854"/>
      <c r="AZ103" s="854"/>
      <c r="BA103" s="854"/>
      <c r="BB103" s="854"/>
      <c r="BC103" s="854"/>
      <c r="BD103" s="854"/>
      <c r="BE103" s="854"/>
      <c r="BF103" s="854"/>
      <c r="BG103" s="854"/>
      <c r="BH103" s="854"/>
      <c r="BI103" s="854"/>
      <c r="BJ103" s="854"/>
      <c r="BK103" s="854"/>
      <c r="BL103" s="854"/>
      <c r="BM103" s="854"/>
      <c r="BN103" s="854"/>
      <c r="BO103" s="854"/>
      <c r="BP103" s="854"/>
      <c r="BQ103" s="854"/>
      <c r="BR103" s="854"/>
      <c r="BS103" s="854"/>
      <c r="BT103" s="854"/>
      <c r="BU103" s="854"/>
      <c r="BV103" s="854"/>
      <c r="BW103" s="854"/>
      <c r="BX103" s="854"/>
      <c r="BY103" s="854"/>
      <c r="BZ103" s="854"/>
      <c r="CA103" s="571">
        <f>IF(OR(I103="",I103&lt;'Configs &amp; Procedures'!$L$29),0,IF(I103&gt;'Configs &amp; Procedures'!$L$30,1,IF(F103&gt;'Configs &amp; Procedures'!$L$31,0,1)))</f>
        <v>0</v>
      </c>
    </row>
    <row r="104" spans="2:79">
      <c r="B104" s="854"/>
      <c r="C104" s="854"/>
      <c r="D104" s="854"/>
      <c r="E104" s="854"/>
      <c r="F104" s="854"/>
      <c r="G104" s="854"/>
      <c r="H104" s="854"/>
      <c r="I104" s="854"/>
      <c r="J104" s="854"/>
      <c r="K104" s="854"/>
      <c r="L104" s="854"/>
      <c r="M104" s="854"/>
      <c r="N104" s="854"/>
      <c r="O104" s="854"/>
      <c r="P104" s="854"/>
      <c r="Q104" s="854"/>
      <c r="R104" s="854"/>
      <c r="S104" s="854"/>
      <c r="T104" s="854"/>
      <c r="U104" s="854"/>
      <c r="V104" s="854"/>
      <c r="W104" s="854"/>
      <c r="X104" s="854"/>
      <c r="Y104" s="854"/>
      <c r="Z104" s="854"/>
      <c r="AA104" s="854"/>
      <c r="AB104" s="854"/>
      <c r="AC104" s="854"/>
      <c r="AD104" s="854"/>
      <c r="AE104" s="854"/>
      <c r="AF104" s="854"/>
      <c r="AG104" s="854"/>
      <c r="AH104" s="854"/>
      <c r="AI104" s="854"/>
      <c r="AJ104" s="854"/>
      <c r="AK104" s="854"/>
      <c r="AL104" s="854"/>
      <c r="AM104" s="854"/>
      <c r="AN104" s="854"/>
      <c r="AO104" s="854"/>
      <c r="AP104" s="854"/>
      <c r="AQ104" s="854"/>
      <c r="AR104" s="854"/>
      <c r="AS104" s="854"/>
      <c r="AT104" s="854"/>
      <c r="AU104" s="854"/>
      <c r="AV104" s="854"/>
      <c r="AW104" s="854"/>
      <c r="AX104" s="854"/>
      <c r="AY104" s="854"/>
      <c r="AZ104" s="854"/>
      <c r="BA104" s="854"/>
      <c r="BB104" s="854"/>
      <c r="BC104" s="854"/>
      <c r="BD104" s="854"/>
      <c r="BE104" s="854"/>
      <c r="BF104" s="854"/>
      <c r="BG104" s="854"/>
      <c r="BH104" s="854"/>
      <c r="BI104" s="854"/>
      <c r="BJ104" s="854"/>
      <c r="BK104" s="854"/>
      <c r="BL104" s="854"/>
      <c r="BM104" s="854"/>
      <c r="BN104" s="854"/>
      <c r="BO104" s="854"/>
      <c r="BP104" s="854"/>
      <c r="BQ104" s="854"/>
      <c r="BR104" s="854"/>
      <c r="BS104" s="854"/>
      <c r="BT104" s="854"/>
      <c r="BU104" s="854"/>
      <c r="BV104" s="854"/>
      <c r="BW104" s="854"/>
      <c r="BX104" s="854"/>
      <c r="BY104" s="854"/>
      <c r="BZ104" s="854"/>
      <c r="CA104" s="571">
        <f>IF(OR(I104="",I104&lt;'Configs &amp; Procedures'!$L$29),0,IF(I104&gt;'Configs &amp; Procedures'!$L$30,1,IF(F104&gt;'Configs &amp; Procedures'!$L$31,0,1)))</f>
        <v>0</v>
      </c>
    </row>
    <row r="105" spans="2:79">
      <c r="B105" s="854"/>
      <c r="C105" s="854"/>
      <c r="D105" s="854"/>
      <c r="E105" s="854"/>
      <c r="F105" s="854"/>
      <c r="G105" s="854"/>
      <c r="H105" s="854"/>
      <c r="I105" s="854"/>
      <c r="J105" s="854"/>
      <c r="K105" s="854"/>
      <c r="L105" s="854"/>
      <c r="M105" s="854"/>
      <c r="N105" s="854"/>
      <c r="O105" s="854"/>
      <c r="P105" s="854"/>
      <c r="Q105" s="854"/>
      <c r="R105" s="854"/>
      <c r="S105" s="854"/>
      <c r="T105" s="854"/>
      <c r="U105" s="854"/>
      <c r="V105" s="854"/>
      <c r="W105" s="854"/>
      <c r="X105" s="854"/>
      <c r="Y105" s="854"/>
      <c r="Z105" s="854"/>
      <c r="AA105" s="854"/>
      <c r="AB105" s="854"/>
      <c r="AC105" s="854"/>
      <c r="AD105" s="854"/>
      <c r="AE105" s="854"/>
      <c r="AF105" s="854"/>
      <c r="AG105" s="854"/>
      <c r="AH105" s="854"/>
      <c r="AI105" s="854"/>
      <c r="AJ105" s="854"/>
      <c r="AK105" s="854"/>
      <c r="AL105" s="854"/>
      <c r="AM105" s="854"/>
      <c r="AN105" s="854"/>
      <c r="AO105" s="854"/>
      <c r="AP105" s="854"/>
      <c r="AQ105" s="854"/>
      <c r="AR105" s="854"/>
      <c r="AS105" s="854"/>
      <c r="AT105" s="854"/>
      <c r="AU105" s="854"/>
      <c r="AV105" s="854"/>
      <c r="AW105" s="854"/>
      <c r="AX105" s="854"/>
      <c r="AY105" s="854"/>
      <c r="AZ105" s="854"/>
      <c r="BA105" s="854"/>
      <c r="BB105" s="854"/>
      <c r="BC105" s="854"/>
      <c r="BD105" s="854"/>
      <c r="BE105" s="854"/>
      <c r="BF105" s="854"/>
      <c r="BG105" s="854"/>
      <c r="BH105" s="854"/>
      <c r="BI105" s="854"/>
      <c r="BJ105" s="854"/>
      <c r="BK105" s="854"/>
      <c r="BL105" s="854"/>
      <c r="BM105" s="854"/>
      <c r="BN105" s="854"/>
      <c r="BO105" s="854"/>
      <c r="BP105" s="854"/>
      <c r="BQ105" s="854"/>
      <c r="BR105" s="854"/>
      <c r="BS105" s="854"/>
      <c r="BT105" s="854"/>
      <c r="BU105" s="854"/>
      <c r="BV105" s="854"/>
      <c r="BW105" s="854"/>
      <c r="BX105" s="854"/>
      <c r="BY105" s="854"/>
      <c r="BZ105" s="854"/>
      <c r="CA105" s="571">
        <f>IF(OR(I105="",I105&lt;'Configs &amp; Procedures'!$L$29),0,IF(I105&gt;'Configs &amp; Procedures'!$L$30,1,IF(F105&gt;'Configs &amp; Procedures'!$L$31,0,1)))</f>
        <v>0</v>
      </c>
    </row>
    <row r="106" spans="2:79">
      <c r="B106" s="854"/>
      <c r="C106" s="854"/>
      <c r="D106" s="854"/>
      <c r="E106" s="854"/>
      <c r="F106" s="854"/>
      <c r="G106" s="854"/>
      <c r="H106" s="854"/>
      <c r="I106" s="854"/>
      <c r="J106" s="854"/>
      <c r="K106" s="854"/>
      <c r="L106" s="854"/>
      <c r="M106" s="854"/>
      <c r="N106" s="854"/>
      <c r="O106" s="854"/>
      <c r="P106" s="854"/>
      <c r="Q106" s="854"/>
      <c r="R106" s="854"/>
      <c r="S106" s="854"/>
      <c r="T106" s="854"/>
      <c r="U106" s="854"/>
      <c r="V106" s="854"/>
      <c r="W106" s="854"/>
      <c r="X106" s="854"/>
      <c r="Y106" s="854"/>
      <c r="Z106" s="854"/>
      <c r="AA106" s="854"/>
      <c r="AB106" s="854"/>
      <c r="AC106" s="854"/>
      <c r="AD106" s="854"/>
      <c r="AE106" s="854"/>
      <c r="AF106" s="854"/>
      <c r="AG106" s="854"/>
      <c r="AH106" s="854"/>
      <c r="AI106" s="854"/>
      <c r="AJ106" s="854"/>
      <c r="AK106" s="854"/>
      <c r="AL106" s="854"/>
      <c r="AM106" s="854"/>
      <c r="AN106" s="854"/>
      <c r="AO106" s="854"/>
      <c r="AP106" s="854"/>
      <c r="AQ106" s="854"/>
      <c r="AR106" s="854"/>
      <c r="AS106" s="854"/>
      <c r="AT106" s="854"/>
      <c r="AU106" s="854"/>
      <c r="AV106" s="854"/>
      <c r="AW106" s="854"/>
      <c r="AX106" s="854"/>
      <c r="AY106" s="854"/>
      <c r="AZ106" s="854"/>
      <c r="BA106" s="854"/>
      <c r="BB106" s="854"/>
      <c r="BC106" s="854"/>
      <c r="BD106" s="854"/>
      <c r="BE106" s="854"/>
      <c r="BF106" s="854"/>
      <c r="BG106" s="854"/>
      <c r="BH106" s="854"/>
      <c r="BI106" s="854"/>
      <c r="BJ106" s="854"/>
      <c r="BK106" s="854"/>
      <c r="BL106" s="854"/>
      <c r="BM106" s="854"/>
      <c r="BN106" s="854"/>
      <c r="BO106" s="854"/>
      <c r="BP106" s="854"/>
      <c r="BQ106" s="854"/>
      <c r="BR106" s="854"/>
      <c r="BS106" s="854"/>
      <c r="BT106" s="854"/>
      <c r="BU106" s="854"/>
      <c r="BV106" s="854"/>
      <c r="BW106" s="854"/>
      <c r="BX106" s="854"/>
      <c r="BY106" s="854"/>
      <c r="BZ106" s="854"/>
      <c r="CA106" s="571">
        <f>IF(OR(I106="",I106&lt;'Configs &amp; Procedures'!$L$29),0,IF(I106&gt;'Configs &amp; Procedures'!$L$30,1,IF(F106&gt;'Configs &amp; Procedures'!$L$31,0,1)))</f>
        <v>0</v>
      </c>
    </row>
    <row r="107" spans="2:79">
      <c r="B107" s="854"/>
      <c r="C107" s="854"/>
      <c r="D107" s="854"/>
      <c r="E107" s="854"/>
      <c r="F107" s="854"/>
      <c r="G107" s="854"/>
      <c r="H107" s="854"/>
      <c r="I107" s="854"/>
      <c r="J107" s="854"/>
      <c r="K107" s="854"/>
      <c r="L107" s="854"/>
      <c r="M107" s="854"/>
      <c r="N107" s="854"/>
      <c r="O107" s="854"/>
      <c r="P107" s="854"/>
      <c r="Q107" s="854"/>
      <c r="R107" s="854"/>
      <c r="S107" s="854"/>
      <c r="T107" s="854"/>
      <c r="U107" s="854"/>
      <c r="V107" s="854"/>
      <c r="W107" s="854"/>
      <c r="X107" s="854"/>
      <c r="Y107" s="854"/>
      <c r="Z107" s="854"/>
      <c r="AA107" s="854"/>
      <c r="AB107" s="854"/>
      <c r="AC107" s="854"/>
      <c r="AD107" s="854"/>
      <c r="AE107" s="854"/>
      <c r="AF107" s="854"/>
      <c r="AG107" s="854"/>
      <c r="AH107" s="854"/>
      <c r="AI107" s="854"/>
      <c r="AJ107" s="854"/>
      <c r="AK107" s="854"/>
      <c r="AL107" s="854"/>
      <c r="AM107" s="854"/>
      <c r="AN107" s="854"/>
      <c r="AO107" s="854"/>
      <c r="AP107" s="854"/>
      <c r="AQ107" s="854"/>
      <c r="AR107" s="854"/>
      <c r="AS107" s="854"/>
      <c r="AT107" s="854"/>
      <c r="AU107" s="854"/>
      <c r="AV107" s="854"/>
      <c r="AW107" s="854"/>
      <c r="AX107" s="854"/>
      <c r="AY107" s="854"/>
      <c r="AZ107" s="854"/>
      <c r="BA107" s="854"/>
      <c r="BB107" s="854"/>
      <c r="BC107" s="854"/>
      <c r="BD107" s="854"/>
      <c r="BE107" s="854"/>
      <c r="BF107" s="854"/>
      <c r="BG107" s="854"/>
      <c r="BH107" s="854"/>
      <c r="BI107" s="854"/>
      <c r="BJ107" s="854"/>
      <c r="BK107" s="854"/>
      <c r="BL107" s="854"/>
      <c r="BM107" s="854"/>
      <c r="BN107" s="854"/>
      <c r="BO107" s="854"/>
      <c r="BP107" s="854"/>
      <c r="BQ107" s="854"/>
      <c r="BR107" s="854"/>
      <c r="BS107" s="854"/>
      <c r="BT107" s="854"/>
      <c r="BU107" s="854"/>
      <c r="BV107" s="854"/>
      <c r="BW107" s="854"/>
      <c r="BX107" s="854"/>
      <c r="BY107" s="854"/>
      <c r="BZ107" s="854"/>
      <c r="CA107" s="571">
        <f>IF(OR(I107="",I107&lt;'Configs &amp; Procedures'!$L$29),0,IF(I107&gt;'Configs &amp; Procedures'!$L$30,1,IF(F107&gt;'Configs &amp; Procedures'!$L$31,0,1)))</f>
        <v>0</v>
      </c>
    </row>
    <row r="108" spans="2:79">
      <c r="B108" s="854"/>
      <c r="C108" s="854"/>
      <c r="D108" s="854"/>
      <c r="E108" s="854"/>
      <c r="F108" s="854"/>
      <c r="G108" s="854"/>
      <c r="H108" s="854"/>
      <c r="I108" s="854"/>
      <c r="J108" s="854"/>
      <c r="K108" s="854"/>
      <c r="L108" s="854"/>
      <c r="M108" s="854"/>
      <c r="N108" s="854"/>
      <c r="O108" s="854"/>
      <c r="P108" s="854"/>
      <c r="Q108" s="854"/>
      <c r="R108" s="854"/>
      <c r="S108" s="854"/>
      <c r="T108" s="854"/>
      <c r="U108" s="854"/>
      <c r="V108" s="854"/>
      <c r="W108" s="854"/>
      <c r="X108" s="854"/>
      <c r="Y108" s="854"/>
      <c r="Z108" s="854"/>
      <c r="AA108" s="854"/>
      <c r="AB108" s="854"/>
      <c r="AC108" s="854"/>
      <c r="AD108" s="854"/>
      <c r="AE108" s="854"/>
      <c r="AF108" s="854"/>
      <c r="AG108" s="854"/>
      <c r="AH108" s="854"/>
      <c r="AI108" s="854"/>
      <c r="AJ108" s="854"/>
      <c r="AK108" s="854"/>
      <c r="AL108" s="854"/>
      <c r="AM108" s="854"/>
      <c r="AN108" s="854"/>
      <c r="AO108" s="854"/>
      <c r="AP108" s="854"/>
      <c r="AQ108" s="854"/>
      <c r="AR108" s="854"/>
      <c r="AS108" s="854"/>
      <c r="AT108" s="854"/>
      <c r="AU108" s="854"/>
      <c r="AV108" s="854"/>
      <c r="AW108" s="854"/>
      <c r="AX108" s="854"/>
      <c r="AY108" s="854"/>
      <c r="AZ108" s="854"/>
      <c r="BA108" s="854"/>
      <c r="BB108" s="854"/>
      <c r="BC108" s="854"/>
      <c r="BD108" s="854"/>
      <c r="BE108" s="854"/>
      <c r="BF108" s="854"/>
      <c r="BG108" s="854"/>
      <c r="BH108" s="854"/>
      <c r="BI108" s="854"/>
      <c r="BJ108" s="854"/>
      <c r="BK108" s="854"/>
      <c r="BL108" s="854"/>
      <c r="BM108" s="854"/>
      <c r="BN108" s="854"/>
      <c r="BO108" s="854"/>
      <c r="BP108" s="854"/>
      <c r="BQ108" s="854"/>
      <c r="BR108" s="854"/>
      <c r="BS108" s="854"/>
      <c r="BT108" s="854"/>
      <c r="BU108" s="854"/>
      <c r="BV108" s="854"/>
      <c r="BW108" s="854"/>
      <c r="BX108" s="854"/>
      <c r="BY108" s="854"/>
      <c r="BZ108" s="854"/>
      <c r="CA108" s="571">
        <f>IF(OR(I108="",I108&lt;'Configs &amp; Procedures'!$L$29),0,IF(I108&gt;'Configs &amp; Procedures'!$L$30,1,IF(F108&gt;'Configs &amp; Procedures'!$L$31,0,1)))</f>
        <v>0</v>
      </c>
    </row>
    <row r="109" spans="2:79">
      <c r="B109" s="854"/>
      <c r="C109" s="854"/>
      <c r="D109" s="854"/>
      <c r="E109" s="854"/>
      <c r="F109" s="854"/>
      <c r="G109" s="854"/>
      <c r="H109" s="854"/>
      <c r="I109" s="854"/>
      <c r="J109" s="854"/>
      <c r="K109" s="854"/>
      <c r="L109" s="854"/>
      <c r="M109" s="854"/>
      <c r="N109" s="854"/>
      <c r="O109" s="854"/>
      <c r="P109" s="854"/>
      <c r="Q109" s="854"/>
      <c r="R109" s="854"/>
      <c r="S109" s="854"/>
      <c r="T109" s="854"/>
      <c r="U109" s="854"/>
      <c r="V109" s="854"/>
      <c r="W109" s="854"/>
      <c r="X109" s="854"/>
      <c r="Y109" s="854"/>
      <c r="Z109" s="854"/>
      <c r="AA109" s="854"/>
      <c r="AB109" s="854"/>
      <c r="AC109" s="854"/>
      <c r="AD109" s="854"/>
      <c r="AE109" s="854"/>
      <c r="AF109" s="854"/>
      <c r="AG109" s="854"/>
      <c r="AH109" s="854"/>
      <c r="AI109" s="854"/>
      <c r="AJ109" s="854"/>
      <c r="AK109" s="854"/>
      <c r="AL109" s="854"/>
      <c r="AM109" s="854"/>
      <c r="AN109" s="854"/>
      <c r="AO109" s="854"/>
      <c r="AP109" s="854"/>
      <c r="AQ109" s="854"/>
      <c r="AR109" s="854"/>
      <c r="AS109" s="854"/>
      <c r="AT109" s="854"/>
      <c r="AU109" s="854"/>
      <c r="AV109" s="854"/>
      <c r="AW109" s="854"/>
      <c r="AX109" s="854"/>
      <c r="AY109" s="854"/>
      <c r="AZ109" s="854"/>
      <c r="BA109" s="854"/>
      <c r="BB109" s="854"/>
      <c r="BC109" s="854"/>
      <c r="BD109" s="854"/>
      <c r="BE109" s="854"/>
      <c r="BF109" s="854"/>
      <c r="BG109" s="854"/>
      <c r="BH109" s="854"/>
      <c r="BI109" s="854"/>
      <c r="BJ109" s="854"/>
      <c r="BK109" s="854"/>
      <c r="BL109" s="854"/>
      <c r="BM109" s="854"/>
      <c r="BN109" s="854"/>
      <c r="BO109" s="854"/>
      <c r="BP109" s="854"/>
      <c r="BQ109" s="854"/>
      <c r="BR109" s="854"/>
      <c r="BS109" s="854"/>
      <c r="BT109" s="854"/>
      <c r="BU109" s="854"/>
      <c r="BV109" s="854"/>
      <c r="BW109" s="854"/>
      <c r="BX109" s="854"/>
      <c r="BY109" s="854"/>
      <c r="BZ109" s="854"/>
      <c r="CA109" s="571">
        <f>IF(OR(I109="",I109&lt;'Configs &amp; Procedures'!$L$29),0,IF(I109&gt;'Configs &amp; Procedures'!$L$30,1,IF(F109&gt;'Configs &amp; Procedures'!$L$31,0,1)))</f>
        <v>0</v>
      </c>
    </row>
    <row r="110" spans="2:79">
      <c r="B110" s="854"/>
      <c r="C110" s="854"/>
      <c r="D110" s="854"/>
      <c r="E110" s="854"/>
      <c r="F110" s="854"/>
      <c r="G110" s="854"/>
      <c r="H110" s="854"/>
      <c r="I110" s="854"/>
      <c r="J110" s="854"/>
      <c r="K110" s="854"/>
      <c r="L110" s="854"/>
      <c r="M110" s="854"/>
      <c r="N110" s="854"/>
      <c r="O110" s="854"/>
      <c r="P110" s="854"/>
      <c r="Q110" s="854"/>
      <c r="R110" s="854"/>
      <c r="S110" s="854"/>
      <c r="T110" s="854"/>
      <c r="U110" s="854"/>
      <c r="V110" s="854"/>
      <c r="W110" s="854"/>
      <c r="X110" s="854"/>
      <c r="Y110" s="854"/>
      <c r="Z110" s="854"/>
      <c r="AA110" s="854"/>
      <c r="AB110" s="854"/>
      <c r="AC110" s="854"/>
      <c r="AD110" s="854"/>
      <c r="AE110" s="854"/>
      <c r="AF110" s="854"/>
      <c r="AG110" s="854"/>
      <c r="AH110" s="854"/>
      <c r="AI110" s="854"/>
      <c r="AJ110" s="854"/>
      <c r="AK110" s="854"/>
      <c r="AL110" s="854"/>
      <c r="AM110" s="854"/>
      <c r="AN110" s="854"/>
      <c r="AO110" s="854"/>
      <c r="AP110" s="854"/>
      <c r="AQ110" s="854"/>
      <c r="AR110" s="854"/>
      <c r="AS110" s="854"/>
      <c r="AT110" s="854"/>
      <c r="AU110" s="854"/>
      <c r="AV110" s="854"/>
      <c r="AW110" s="854"/>
      <c r="AX110" s="854"/>
      <c r="AY110" s="854"/>
      <c r="AZ110" s="854"/>
      <c r="BA110" s="854"/>
      <c r="BB110" s="854"/>
      <c r="BC110" s="854"/>
      <c r="BD110" s="854"/>
      <c r="BE110" s="854"/>
      <c r="BF110" s="854"/>
      <c r="BG110" s="854"/>
      <c r="BH110" s="854"/>
      <c r="BI110" s="854"/>
      <c r="BJ110" s="854"/>
      <c r="BK110" s="854"/>
      <c r="BL110" s="854"/>
      <c r="BM110" s="854"/>
      <c r="BN110" s="854"/>
      <c r="BO110" s="854"/>
      <c r="BP110" s="854"/>
      <c r="BQ110" s="854"/>
      <c r="BR110" s="854"/>
      <c r="BS110" s="854"/>
      <c r="BT110" s="854"/>
      <c r="BU110" s="854"/>
      <c r="BV110" s="854"/>
      <c r="BW110" s="854"/>
      <c r="BX110" s="854"/>
      <c r="BY110" s="854"/>
      <c r="BZ110" s="854"/>
      <c r="CA110" s="571">
        <f>IF(OR(I110="",I110&lt;'Configs &amp; Procedures'!$L$29),0,IF(I110&gt;'Configs &amp; Procedures'!$L$30,1,IF(F110&gt;'Configs &amp; Procedures'!$L$31,0,1)))</f>
        <v>0</v>
      </c>
    </row>
    <row r="111" spans="2:79">
      <c r="B111" s="854"/>
      <c r="C111" s="854"/>
      <c r="D111" s="854"/>
      <c r="E111" s="854"/>
      <c r="F111" s="854"/>
      <c r="G111" s="854"/>
      <c r="H111" s="854"/>
      <c r="I111" s="854"/>
      <c r="J111" s="854"/>
      <c r="K111" s="854"/>
      <c r="L111" s="854"/>
      <c r="M111" s="854"/>
      <c r="N111" s="854"/>
      <c r="O111" s="854"/>
      <c r="P111" s="854"/>
      <c r="Q111" s="854"/>
      <c r="R111" s="854"/>
      <c r="S111" s="854"/>
      <c r="T111" s="854"/>
      <c r="U111" s="854"/>
      <c r="V111" s="854"/>
      <c r="W111" s="854"/>
      <c r="X111" s="854"/>
      <c r="Y111" s="854"/>
      <c r="Z111" s="854"/>
      <c r="AA111" s="854"/>
      <c r="AB111" s="854"/>
      <c r="AC111" s="854"/>
      <c r="AD111" s="854"/>
      <c r="AE111" s="854"/>
      <c r="AF111" s="854"/>
      <c r="AG111" s="854"/>
      <c r="AH111" s="854"/>
      <c r="AI111" s="854"/>
      <c r="AJ111" s="854"/>
      <c r="AK111" s="854"/>
      <c r="AL111" s="854"/>
      <c r="AM111" s="854"/>
      <c r="AN111" s="854"/>
      <c r="AO111" s="854"/>
      <c r="AP111" s="854"/>
      <c r="AQ111" s="854"/>
      <c r="AR111" s="854"/>
      <c r="AS111" s="854"/>
      <c r="AT111" s="854"/>
      <c r="AU111" s="854"/>
      <c r="AV111" s="854"/>
      <c r="AW111" s="854"/>
      <c r="AX111" s="854"/>
      <c r="AY111" s="854"/>
      <c r="AZ111" s="854"/>
      <c r="BA111" s="854"/>
      <c r="BB111" s="854"/>
      <c r="BC111" s="854"/>
      <c r="BD111" s="854"/>
      <c r="BE111" s="854"/>
      <c r="BF111" s="854"/>
      <c r="BG111" s="854"/>
      <c r="BH111" s="854"/>
      <c r="BI111" s="854"/>
      <c r="BJ111" s="854"/>
      <c r="BK111" s="854"/>
      <c r="BL111" s="854"/>
      <c r="BM111" s="854"/>
      <c r="BN111" s="854"/>
      <c r="BO111" s="854"/>
      <c r="BP111" s="854"/>
      <c r="BQ111" s="854"/>
      <c r="BR111" s="854"/>
      <c r="BS111" s="854"/>
      <c r="BT111" s="854"/>
      <c r="BU111" s="854"/>
      <c r="BV111" s="854"/>
      <c r="BW111" s="854"/>
      <c r="BX111" s="854"/>
      <c r="BY111" s="854"/>
      <c r="BZ111" s="854"/>
      <c r="CA111" s="571">
        <f>IF(OR(I111="",I111&lt;'Configs &amp; Procedures'!$L$29),0,IF(I111&gt;'Configs &amp; Procedures'!$L$30,1,IF(F111&gt;'Configs &amp; Procedures'!$L$31,0,1)))</f>
        <v>0</v>
      </c>
    </row>
    <row r="112" spans="2:79">
      <c r="B112" s="854"/>
      <c r="C112" s="854"/>
      <c r="D112" s="854"/>
      <c r="E112" s="854"/>
      <c r="F112" s="854"/>
      <c r="G112" s="854"/>
      <c r="H112" s="854"/>
      <c r="I112" s="854"/>
      <c r="J112" s="854"/>
      <c r="K112" s="854"/>
      <c r="L112" s="854"/>
      <c r="M112" s="854"/>
      <c r="N112" s="854"/>
      <c r="O112" s="854"/>
      <c r="P112" s="854"/>
      <c r="Q112" s="854"/>
      <c r="R112" s="854"/>
      <c r="S112" s="854"/>
      <c r="T112" s="854"/>
      <c r="U112" s="854"/>
      <c r="V112" s="854"/>
      <c r="W112" s="854"/>
      <c r="X112" s="854"/>
      <c r="Y112" s="854"/>
      <c r="Z112" s="854"/>
      <c r="AA112" s="854"/>
      <c r="AB112" s="854"/>
      <c r="AC112" s="854"/>
      <c r="AD112" s="854"/>
      <c r="AE112" s="854"/>
      <c r="AF112" s="854"/>
      <c r="AG112" s="854"/>
      <c r="AH112" s="854"/>
      <c r="AI112" s="854"/>
      <c r="AJ112" s="854"/>
      <c r="AK112" s="854"/>
      <c r="AL112" s="854"/>
      <c r="AM112" s="854"/>
      <c r="AN112" s="854"/>
      <c r="AO112" s="854"/>
      <c r="AP112" s="854"/>
      <c r="AQ112" s="854"/>
      <c r="AR112" s="854"/>
      <c r="AS112" s="854"/>
      <c r="AT112" s="854"/>
      <c r="AU112" s="854"/>
      <c r="AV112" s="854"/>
      <c r="AW112" s="854"/>
      <c r="AX112" s="854"/>
      <c r="AY112" s="854"/>
      <c r="AZ112" s="854"/>
      <c r="BA112" s="854"/>
      <c r="BB112" s="854"/>
      <c r="BC112" s="854"/>
      <c r="BD112" s="854"/>
      <c r="BE112" s="854"/>
      <c r="BF112" s="854"/>
      <c r="BG112" s="854"/>
      <c r="BH112" s="854"/>
      <c r="BI112" s="854"/>
      <c r="BJ112" s="854"/>
      <c r="BK112" s="854"/>
      <c r="BL112" s="854"/>
      <c r="BM112" s="854"/>
      <c r="BN112" s="854"/>
      <c r="BO112" s="854"/>
      <c r="BP112" s="854"/>
      <c r="BQ112" s="854"/>
      <c r="BR112" s="854"/>
      <c r="BS112" s="854"/>
      <c r="BT112" s="854"/>
      <c r="BU112" s="854"/>
      <c r="BV112" s="854"/>
      <c r="BW112" s="854"/>
      <c r="BX112" s="854"/>
      <c r="BY112" s="854"/>
      <c r="BZ112" s="854"/>
      <c r="CA112" s="571">
        <f>IF(OR(I112="",I112&lt;'Configs &amp; Procedures'!$L$29),0,IF(I112&gt;'Configs &amp; Procedures'!$L$30,1,IF(F112&gt;'Configs &amp; Procedures'!$L$31,0,1)))</f>
        <v>0</v>
      </c>
    </row>
    <row r="113" spans="2:79">
      <c r="B113" s="854"/>
      <c r="C113" s="854"/>
      <c r="D113" s="854"/>
      <c r="E113" s="854"/>
      <c r="F113" s="854"/>
      <c r="G113" s="854"/>
      <c r="H113" s="854"/>
      <c r="I113" s="854"/>
      <c r="J113" s="854"/>
      <c r="K113" s="854"/>
      <c r="L113" s="854"/>
      <c r="M113" s="854"/>
      <c r="N113" s="854"/>
      <c r="O113" s="854"/>
      <c r="P113" s="854"/>
      <c r="Q113" s="854"/>
      <c r="R113" s="854"/>
      <c r="S113" s="854"/>
      <c r="T113" s="854"/>
      <c r="U113" s="854"/>
      <c r="V113" s="854"/>
      <c r="W113" s="854"/>
      <c r="X113" s="854"/>
      <c r="Y113" s="854"/>
      <c r="Z113" s="854"/>
      <c r="AA113" s="854"/>
      <c r="AB113" s="854"/>
      <c r="AC113" s="854"/>
      <c r="AD113" s="854"/>
      <c r="AE113" s="854"/>
      <c r="AF113" s="854"/>
      <c r="AG113" s="854"/>
      <c r="AH113" s="854"/>
      <c r="AI113" s="854"/>
      <c r="AJ113" s="854"/>
      <c r="AK113" s="854"/>
      <c r="AL113" s="854"/>
      <c r="AM113" s="854"/>
      <c r="AN113" s="854"/>
      <c r="AO113" s="854"/>
      <c r="AP113" s="854"/>
      <c r="AQ113" s="854"/>
      <c r="AR113" s="854"/>
      <c r="AS113" s="854"/>
      <c r="AT113" s="854"/>
      <c r="AU113" s="854"/>
      <c r="AV113" s="854"/>
      <c r="AW113" s="854"/>
      <c r="AX113" s="854"/>
      <c r="AY113" s="854"/>
      <c r="AZ113" s="854"/>
      <c r="BA113" s="854"/>
      <c r="BB113" s="854"/>
      <c r="BC113" s="854"/>
      <c r="BD113" s="854"/>
      <c r="BE113" s="854"/>
      <c r="BF113" s="854"/>
      <c r="BG113" s="854"/>
      <c r="BH113" s="854"/>
      <c r="BI113" s="854"/>
      <c r="BJ113" s="854"/>
      <c r="BK113" s="854"/>
      <c r="BL113" s="854"/>
      <c r="BM113" s="854"/>
      <c r="BN113" s="854"/>
      <c r="BO113" s="854"/>
      <c r="BP113" s="854"/>
      <c r="BQ113" s="854"/>
      <c r="BR113" s="854"/>
      <c r="BS113" s="854"/>
      <c r="BT113" s="854"/>
      <c r="BU113" s="854"/>
      <c r="BV113" s="854"/>
      <c r="BW113" s="854"/>
      <c r="BX113" s="854"/>
      <c r="BY113" s="854"/>
      <c r="BZ113" s="854"/>
      <c r="CA113" s="571">
        <f>IF(OR(I113="",I113&lt;'Configs &amp; Procedures'!$L$29),0,IF(I113&gt;'Configs &amp; Procedures'!$L$30,1,IF(F113&gt;'Configs &amp; Procedures'!$L$31,0,1)))</f>
        <v>0</v>
      </c>
    </row>
    <row r="114" spans="2:79">
      <c r="B114" s="854"/>
      <c r="C114" s="854"/>
      <c r="D114" s="854"/>
      <c r="E114" s="854"/>
      <c r="F114" s="854"/>
      <c r="G114" s="854"/>
      <c r="H114" s="854"/>
      <c r="I114" s="854"/>
      <c r="J114" s="854"/>
      <c r="K114" s="854"/>
      <c r="L114" s="854"/>
      <c r="M114" s="854"/>
      <c r="N114" s="854"/>
      <c r="O114" s="854"/>
      <c r="P114" s="854"/>
      <c r="Q114" s="854"/>
      <c r="R114" s="854"/>
      <c r="S114" s="854"/>
      <c r="T114" s="854"/>
      <c r="U114" s="854"/>
      <c r="V114" s="854"/>
      <c r="W114" s="854"/>
      <c r="X114" s="854"/>
      <c r="Y114" s="854"/>
      <c r="Z114" s="854"/>
      <c r="AA114" s="854"/>
      <c r="AB114" s="854"/>
      <c r="AC114" s="854"/>
      <c r="AD114" s="854"/>
      <c r="AE114" s="854"/>
      <c r="AF114" s="854"/>
      <c r="AG114" s="854"/>
      <c r="AH114" s="854"/>
      <c r="AI114" s="854"/>
      <c r="AJ114" s="854"/>
      <c r="AK114" s="854"/>
      <c r="AL114" s="854"/>
      <c r="AM114" s="854"/>
      <c r="AN114" s="854"/>
      <c r="AO114" s="854"/>
      <c r="AP114" s="854"/>
      <c r="AQ114" s="854"/>
      <c r="AR114" s="854"/>
      <c r="AS114" s="854"/>
      <c r="AT114" s="854"/>
      <c r="AU114" s="854"/>
      <c r="AV114" s="854"/>
      <c r="AW114" s="854"/>
      <c r="AX114" s="854"/>
      <c r="AY114" s="854"/>
      <c r="AZ114" s="854"/>
      <c r="BA114" s="854"/>
      <c r="BB114" s="854"/>
      <c r="BC114" s="854"/>
      <c r="BD114" s="854"/>
      <c r="BE114" s="854"/>
      <c r="BF114" s="854"/>
      <c r="BG114" s="854"/>
      <c r="BH114" s="854"/>
      <c r="BI114" s="854"/>
      <c r="BJ114" s="854"/>
      <c r="BK114" s="854"/>
      <c r="BL114" s="854"/>
      <c r="BM114" s="854"/>
      <c r="BN114" s="854"/>
      <c r="BO114" s="854"/>
      <c r="BP114" s="854"/>
      <c r="BQ114" s="854"/>
      <c r="BR114" s="854"/>
      <c r="BS114" s="854"/>
      <c r="BT114" s="854"/>
      <c r="BU114" s="854"/>
      <c r="BV114" s="854"/>
      <c r="BW114" s="854"/>
      <c r="BX114" s="854"/>
      <c r="BY114" s="854"/>
      <c r="BZ114" s="854"/>
      <c r="CA114" s="571">
        <f>IF(OR(I114="",I114&lt;'Configs &amp; Procedures'!$L$29),0,IF(I114&gt;'Configs &amp; Procedures'!$L$30,1,IF(F114&gt;'Configs &amp; Procedures'!$L$31,0,1)))</f>
        <v>0</v>
      </c>
    </row>
    <row r="115" spans="2:79">
      <c r="B115" s="854"/>
      <c r="C115" s="854"/>
      <c r="D115" s="854"/>
      <c r="E115" s="854"/>
      <c r="F115" s="854"/>
      <c r="G115" s="854"/>
      <c r="H115" s="854"/>
      <c r="I115" s="854"/>
      <c r="J115" s="854"/>
      <c r="K115" s="854"/>
      <c r="L115" s="854"/>
      <c r="M115" s="854"/>
      <c r="N115" s="854"/>
      <c r="O115" s="854"/>
      <c r="P115" s="854"/>
      <c r="Q115" s="854"/>
      <c r="R115" s="854"/>
      <c r="S115" s="854"/>
      <c r="T115" s="854"/>
      <c r="U115" s="854"/>
      <c r="V115" s="854"/>
      <c r="W115" s="854"/>
      <c r="X115" s="854"/>
      <c r="Y115" s="854"/>
      <c r="Z115" s="854"/>
      <c r="AA115" s="854"/>
      <c r="AB115" s="854"/>
      <c r="AC115" s="854"/>
      <c r="AD115" s="854"/>
      <c r="AE115" s="854"/>
      <c r="AF115" s="854"/>
      <c r="AG115" s="854"/>
      <c r="AH115" s="854"/>
      <c r="AI115" s="854"/>
      <c r="AJ115" s="854"/>
      <c r="AK115" s="854"/>
      <c r="AL115" s="854"/>
      <c r="AM115" s="854"/>
      <c r="AN115" s="854"/>
      <c r="AO115" s="854"/>
      <c r="AP115" s="854"/>
      <c r="AQ115" s="854"/>
      <c r="AR115" s="854"/>
      <c r="AS115" s="854"/>
      <c r="AT115" s="854"/>
      <c r="AU115" s="854"/>
      <c r="AV115" s="854"/>
      <c r="AW115" s="854"/>
      <c r="AX115" s="854"/>
      <c r="AY115" s="854"/>
      <c r="AZ115" s="854"/>
      <c r="BA115" s="854"/>
      <c r="BB115" s="854"/>
      <c r="BC115" s="854"/>
      <c r="BD115" s="854"/>
      <c r="BE115" s="854"/>
      <c r="BF115" s="854"/>
      <c r="BG115" s="854"/>
      <c r="BH115" s="854"/>
      <c r="BI115" s="854"/>
      <c r="BJ115" s="854"/>
      <c r="BK115" s="854"/>
      <c r="BL115" s="854"/>
      <c r="BM115" s="854"/>
      <c r="BN115" s="854"/>
      <c r="BO115" s="854"/>
      <c r="BP115" s="854"/>
      <c r="BQ115" s="854"/>
      <c r="BR115" s="854"/>
      <c r="BS115" s="854"/>
      <c r="BT115" s="854"/>
      <c r="BU115" s="854"/>
      <c r="BV115" s="854"/>
      <c r="BW115" s="854"/>
      <c r="BX115" s="854"/>
      <c r="BY115" s="854"/>
      <c r="BZ115" s="854"/>
      <c r="CA115" s="571">
        <f>IF(OR(I115="",I115&lt;'Configs &amp; Procedures'!$L$29),0,IF(I115&gt;'Configs &amp; Procedures'!$L$30,1,IF(F115&gt;'Configs &amp; Procedures'!$L$31,0,1)))</f>
        <v>0</v>
      </c>
    </row>
    <row r="116" spans="2:79">
      <c r="B116" s="854"/>
      <c r="C116" s="854"/>
      <c r="D116" s="854"/>
      <c r="E116" s="854"/>
      <c r="F116" s="854"/>
      <c r="G116" s="854"/>
      <c r="H116" s="854"/>
      <c r="I116" s="854"/>
      <c r="J116" s="854"/>
      <c r="K116" s="854"/>
      <c r="L116" s="854"/>
      <c r="M116" s="854"/>
      <c r="N116" s="854"/>
      <c r="O116" s="854"/>
      <c r="P116" s="854"/>
      <c r="Q116" s="854"/>
      <c r="R116" s="854"/>
      <c r="S116" s="854"/>
      <c r="T116" s="854"/>
      <c r="U116" s="854"/>
      <c r="V116" s="854"/>
      <c r="W116" s="854"/>
      <c r="X116" s="854"/>
      <c r="Y116" s="854"/>
      <c r="Z116" s="854"/>
      <c r="AA116" s="854"/>
      <c r="AB116" s="854"/>
      <c r="AC116" s="854"/>
      <c r="AD116" s="854"/>
      <c r="AE116" s="854"/>
      <c r="AF116" s="854"/>
      <c r="AG116" s="854"/>
      <c r="AH116" s="854"/>
      <c r="AI116" s="854"/>
      <c r="AJ116" s="854"/>
      <c r="AK116" s="854"/>
      <c r="AL116" s="854"/>
      <c r="AM116" s="854"/>
      <c r="AN116" s="854"/>
      <c r="AO116" s="854"/>
      <c r="AP116" s="854"/>
      <c r="AQ116" s="854"/>
      <c r="AR116" s="854"/>
      <c r="AS116" s="854"/>
      <c r="AT116" s="854"/>
      <c r="AU116" s="854"/>
      <c r="AV116" s="854"/>
      <c r="AW116" s="854"/>
      <c r="AX116" s="854"/>
      <c r="AY116" s="854"/>
      <c r="AZ116" s="854"/>
      <c r="BA116" s="854"/>
      <c r="BB116" s="854"/>
      <c r="BC116" s="854"/>
      <c r="BD116" s="854"/>
      <c r="BE116" s="854"/>
      <c r="BF116" s="854"/>
      <c r="BG116" s="854"/>
      <c r="BH116" s="854"/>
      <c r="BI116" s="854"/>
      <c r="BJ116" s="854"/>
      <c r="BK116" s="854"/>
      <c r="BL116" s="854"/>
      <c r="BM116" s="854"/>
      <c r="BN116" s="854"/>
      <c r="BO116" s="854"/>
      <c r="BP116" s="854"/>
      <c r="BQ116" s="854"/>
      <c r="BR116" s="854"/>
      <c r="BS116" s="854"/>
      <c r="BT116" s="854"/>
      <c r="BU116" s="854"/>
      <c r="BV116" s="854"/>
      <c r="BW116" s="854"/>
      <c r="BX116" s="854"/>
      <c r="BY116" s="854"/>
      <c r="BZ116" s="854"/>
      <c r="CA116" s="571">
        <f>IF(OR(I116="",I116&lt;'Configs &amp; Procedures'!$L$29),0,IF(I116&gt;'Configs &amp; Procedures'!$L$30,1,IF(F116&gt;'Configs &amp; Procedures'!$L$31,0,1)))</f>
        <v>0</v>
      </c>
    </row>
    <row r="117" spans="2:79">
      <c r="B117" s="854"/>
      <c r="C117" s="854"/>
      <c r="D117" s="854"/>
      <c r="E117" s="854"/>
      <c r="F117" s="854"/>
      <c r="G117" s="854"/>
      <c r="H117" s="854"/>
      <c r="I117" s="854"/>
      <c r="J117" s="854"/>
      <c r="K117" s="854"/>
      <c r="L117" s="854"/>
      <c r="M117" s="854"/>
      <c r="N117" s="854"/>
      <c r="O117" s="854"/>
      <c r="P117" s="854"/>
      <c r="Q117" s="854"/>
      <c r="R117" s="854"/>
      <c r="S117" s="854"/>
      <c r="T117" s="854"/>
      <c r="U117" s="854"/>
      <c r="V117" s="854"/>
      <c r="W117" s="854"/>
      <c r="X117" s="854"/>
      <c r="Y117" s="854"/>
      <c r="Z117" s="854"/>
      <c r="AA117" s="854"/>
      <c r="AB117" s="854"/>
      <c r="AC117" s="854"/>
      <c r="AD117" s="854"/>
      <c r="AE117" s="854"/>
      <c r="AF117" s="854"/>
      <c r="AG117" s="854"/>
      <c r="AH117" s="854"/>
      <c r="AI117" s="854"/>
      <c r="AJ117" s="854"/>
      <c r="AK117" s="854"/>
      <c r="AL117" s="854"/>
      <c r="AM117" s="854"/>
      <c r="AN117" s="854"/>
      <c r="AO117" s="854"/>
      <c r="AP117" s="854"/>
      <c r="AQ117" s="854"/>
      <c r="AR117" s="854"/>
      <c r="AS117" s="854"/>
      <c r="AT117" s="854"/>
      <c r="AU117" s="854"/>
      <c r="AV117" s="854"/>
      <c r="AW117" s="854"/>
      <c r="AX117" s="854"/>
      <c r="AY117" s="854"/>
      <c r="AZ117" s="854"/>
      <c r="BA117" s="854"/>
      <c r="BB117" s="854"/>
      <c r="BC117" s="854"/>
      <c r="BD117" s="854"/>
      <c r="BE117" s="854"/>
      <c r="BF117" s="854"/>
      <c r="BG117" s="854"/>
      <c r="BH117" s="854"/>
      <c r="BI117" s="854"/>
      <c r="BJ117" s="854"/>
      <c r="BK117" s="854"/>
      <c r="BL117" s="854"/>
      <c r="BM117" s="854"/>
      <c r="BN117" s="854"/>
      <c r="BO117" s="854"/>
      <c r="BP117" s="854"/>
      <c r="BQ117" s="854"/>
      <c r="BR117" s="854"/>
      <c r="BS117" s="854"/>
      <c r="BT117" s="854"/>
      <c r="BU117" s="854"/>
      <c r="BV117" s="854"/>
      <c r="BW117" s="854"/>
      <c r="BX117" s="854"/>
      <c r="BY117" s="854"/>
      <c r="BZ117" s="854"/>
      <c r="CA117" s="571">
        <f>IF(OR(I117="",I117&lt;'Configs &amp; Procedures'!$L$29),0,IF(I117&gt;'Configs &amp; Procedures'!$L$30,1,IF(F117&gt;'Configs &amp; Procedures'!$L$31,0,1)))</f>
        <v>0</v>
      </c>
    </row>
    <row r="118" spans="2:79">
      <c r="B118" s="854"/>
      <c r="C118" s="854"/>
      <c r="D118" s="854"/>
      <c r="E118" s="854"/>
      <c r="F118" s="854"/>
      <c r="G118" s="854"/>
      <c r="H118" s="854"/>
      <c r="I118" s="854"/>
      <c r="J118" s="854"/>
      <c r="K118" s="854"/>
      <c r="L118" s="854"/>
      <c r="M118" s="854"/>
      <c r="N118" s="854"/>
      <c r="O118" s="854"/>
      <c r="P118" s="854"/>
      <c r="Q118" s="854"/>
      <c r="R118" s="854"/>
      <c r="S118" s="854"/>
      <c r="T118" s="854"/>
      <c r="U118" s="854"/>
      <c r="V118" s="854"/>
      <c r="W118" s="854"/>
      <c r="X118" s="854"/>
      <c r="Y118" s="854"/>
      <c r="Z118" s="854"/>
      <c r="AA118" s="854"/>
      <c r="AB118" s="854"/>
      <c r="AC118" s="854"/>
      <c r="AD118" s="854"/>
      <c r="AE118" s="854"/>
      <c r="AF118" s="854"/>
      <c r="AG118" s="854"/>
      <c r="AH118" s="854"/>
      <c r="AI118" s="854"/>
      <c r="AJ118" s="854"/>
      <c r="AK118" s="854"/>
      <c r="AL118" s="854"/>
      <c r="AM118" s="854"/>
      <c r="AN118" s="854"/>
      <c r="AO118" s="854"/>
      <c r="AP118" s="854"/>
      <c r="AQ118" s="854"/>
      <c r="AR118" s="854"/>
      <c r="AS118" s="854"/>
      <c r="AT118" s="854"/>
      <c r="AU118" s="854"/>
      <c r="AV118" s="854"/>
      <c r="AW118" s="854"/>
      <c r="AX118" s="854"/>
      <c r="AY118" s="854"/>
      <c r="AZ118" s="854"/>
      <c r="BA118" s="854"/>
      <c r="BB118" s="854"/>
      <c r="BC118" s="854"/>
      <c r="BD118" s="854"/>
      <c r="BE118" s="854"/>
      <c r="BF118" s="854"/>
      <c r="BG118" s="854"/>
      <c r="BH118" s="854"/>
      <c r="BI118" s="854"/>
      <c r="BJ118" s="854"/>
      <c r="BK118" s="854"/>
      <c r="BL118" s="854"/>
      <c r="BM118" s="854"/>
      <c r="BN118" s="854"/>
      <c r="BO118" s="854"/>
      <c r="BP118" s="854"/>
      <c r="BQ118" s="854"/>
      <c r="BR118" s="854"/>
      <c r="BS118" s="854"/>
      <c r="BT118" s="854"/>
      <c r="BU118" s="854"/>
      <c r="BV118" s="854"/>
      <c r="BW118" s="854"/>
      <c r="BX118" s="854"/>
      <c r="BY118" s="854"/>
      <c r="BZ118" s="854"/>
      <c r="CA118" s="571">
        <f>IF(OR(I118="",I118&lt;'Configs &amp; Procedures'!$L$29),0,IF(I118&gt;'Configs &amp; Procedures'!$L$30,1,IF(F118&gt;'Configs &amp; Procedures'!$L$31,0,1)))</f>
        <v>0</v>
      </c>
    </row>
    <row r="119" spans="2:79">
      <c r="B119" s="854"/>
      <c r="C119" s="854"/>
      <c r="D119" s="854"/>
      <c r="E119" s="854"/>
      <c r="F119" s="854"/>
      <c r="G119" s="854"/>
      <c r="H119" s="854"/>
      <c r="I119" s="854"/>
      <c r="J119" s="854"/>
      <c r="K119" s="854"/>
      <c r="L119" s="854"/>
      <c r="M119" s="854"/>
      <c r="N119" s="854"/>
      <c r="O119" s="854"/>
      <c r="P119" s="854"/>
      <c r="Q119" s="854"/>
      <c r="R119" s="854"/>
      <c r="S119" s="854"/>
      <c r="T119" s="854"/>
      <c r="U119" s="854"/>
      <c r="V119" s="854"/>
      <c r="W119" s="854"/>
      <c r="X119" s="854"/>
      <c r="Y119" s="854"/>
      <c r="Z119" s="854"/>
      <c r="AA119" s="854"/>
      <c r="AB119" s="854"/>
      <c r="AC119" s="854"/>
      <c r="AD119" s="854"/>
      <c r="AE119" s="854"/>
      <c r="AF119" s="854"/>
      <c r="AG119" s="854"/>
      <c r="AH119" s="854"/>
      <c r="AI119" s="854"/>
      <c r="AJ119" s="854"/>
      <c r="AK119" s="854"/>
      <c r="AL119" s="854"/>
      <c r="AM119" s="854"/>
      <c r="AN119" s="854"/>
      <c r="AO119" s="854"/>
      <c r="AP119" s="854"/>
      <c r="AQ119" s="854"/>
      <c r="AR119" s="854"/>
      <c r="AS119" s="854"/>
      <c r="AT119" s="854"/>
      <c r="AU119" s="854"/>
      <c r="AV119" s="854"/>
      <c r="AW119" s="854"/>
      <c r="AX119" s="854"/>
      <c r="AY119" s="854"/>
      <c r="AZ119" s="854"/>
      <c r="BA119" s="854"/>
      <c r="BB119" s="854"/>
      <c r="BC119" s="854"/>
      <c r="BD119" s="854"/>
      <c r="BE119" s="854"/>
      <c r="BF119" s="854"/>
      <c r="BG119" s="854"/>
      <c r="BH119" s="854"/>
      <c r="BI119" s="854"/>
      <c r="BJ119" s="854"/>
      <c r="BK119" s="854"/>
      <c r="BL119" s="854"/>
      <c r="BM119" s="854"/>
      <c r="BN119" s="854"/>
      <c r="BO119" s="854"/>
      <c r="BP119" s="854"/>
      <c r="BQ119" s="854"/>
      <c r="BR119" s="854"/>
      <c r="BS119" s="854"/>
      <c r="BT119" s="854"/>
      <c r="BU119" s="854"/>
      <c r="BV119" s="854"/>
      <c r="BW119" s="854"/>
      <c r="BX119" s="854"/>
      <c r="BY119" s="854"/>
      <c r="BZ119" s="854"/>
      <c r="CA119" s="571">
        <f>IF(OR(I119="",I119&lt;'Configs &amp; Procedures'!$L$29),0,IF(I119&gt;'Configs &amp; Procedures'!$L$30,1,IF(F119&gt;'Configs &amp; Procedures'!$L$31,0,1)))</f>
        <v>0</v>
      </c>
    </row>
    <row r="120" spans="2:79">
      <c r="B120" s="854"/>
      <c r="C120" s="854"/>
      <c r="D120" s="854"/>
      <c r="E120" s="854"/>
      <c r="F120" s="854"/>
      <c r="G120" s="854"/>
      <c r="H120" s="854"/>
      <c r="I120" s="854"/>
      <c r="J120" s="854"/>
      <c r="K120" s="854"/>
      <c r="L120" s="854"/>
      <c r="M120" s="854"/>
      <c r="N120" s="854"/>
      <c r="O120" s="854"/>
      <c r="P120" s="854"/>
      <c r="Q120" s="854"/>
      <c r="R120" s="854"/>
      <c r="S120" s="854"/>
      <c r="T120" s="854"/>
      <c r="U120" s="854"/>
      <c r="V120" s="854"/>
      <c r="W120" s="854"/>
      <c r="X120" s="854"/>
      <c r="Y120" s="854"/>
      <c r="Z120" s="854"/>
      <c r="AA120" s="854"/>
      <c r="AB120" s="854"/>
      <c r="AC120" s="854"/>
      <c r="AD120" s="854"/>
      <c r="AE120" s="854"/>
      <c r="AF120" s="854"/>
      <c r="AG120" s="854"/>
      <c r="AH120" s="854"/>
      <c r="AI120" s="854"/>
      <c r="AJ120" s="854"/>
      <c r="AK120" s="854"/>
      <c r="AL120" s="854"/>
      <c r="AM120" s="854"/>
      <c r="AN120" s="854"/>
      <c r="AO120" s="854"/>
      <c r="AP120" s="854"/>
      <c r="AQ120" s="854"/>
      <c r="AR120" s="854"/>
      <c r="AS120" s="854"/>
      <c r="AT120" s="854"/>
      <c r="AU120" s="854"/>
      <c r="AV120" s="854"/>
      <c r="AW120" s="854"/>
      <c r="AX120" s="854"/>
      <c r="AY120" s="854"/>
      <c r="AZ120" s="854"/>
      <c r="BA120" s="854"/>
      <c r="BB120" s="854"/>
      <c r="BC120" s="854"/>
      <c r="BD120" s="854"/>
      <c r="BE120" s="854"/>
      <c r="BF120" s="854"/>
      <c r="BG120" s="854"/>
      <c r="BH120" s="854"/>
      <c r="BI120" s="854"/>
      <c r="BJ120" s="854"/>
      <c r="BK120" s="854"/>
      <c r="BL120" s="854"/>
      <c r="BM120" s="854"/>
      <c r="BN120" s="854"/>
      <c r="BO120" s="854"/>
      <c r="BP120" s="854"/>
      <c r="BQ120" s="854"/>
      <c r="BR120" s="854"/>
      <c r="BS120" s="854"/>
      <c r="BT120" s="854"/>
      <c r="BU120" s="854"/>
      <c r="BV120" s="854"/>
      <c r="BW120" s="854"/>
      <c r="BX120" s="854"/>
      <c r="BY120" s="854"/>
      <c r="BZ120" s="854"/>
      <c r="CA120" s="571">
        <f>IF(OR(I120="",I120&lt;'Configs &amp; Procedures'!$L$29),0,IF(I120&gt;'Configs &amp; Procedures'!$L$30,1,IF(F120&gt;'Configs &amp; Procedures'!$L$31,0,1)))</f>
        <v>0</v>
      </c>
    </row>
    <row r="121" spans="2:79">
      <c r="B121" s="854"/>
      <c r="C121" s="854"/>
      <c r="D121" s="854"/>
      <c r="E121" s="854"/>
      <c r="F121" s="854"/>
      <c r="G121" s="854"/>
      <c r="H121" s="854"/>
      <c r="I121" s="854"/>
      <c r="J121" s="854"/>
      <c r="K121" s="854"/>
      <c r="L121" s="854"/>
      <c r="M121" s="854"/>
      <c r="N121" s="854"/>
      <c r="O121" s="854"/>
      <c r="P121" s="854"/>
      <c r="Q121" s="854"/>
      <c r="R121" s="854"/>
      <c r="S121" s="854"/>
      <c r="T121" s="854"/>
      <c r="U121" s="854"/>
      <c r="V121" s="854"/>
      <c r="W121" s="854"/>
      <c r="X121" s="854"/>
      <c r="Y121" s="854"/>
      <c r="Z121" s="854"/>
      <c r="AA121" s="854"/>
      <c r="AB121" s="854"/>
      <c r="AC121" s="854"/>
      <c r="AD121" s="854"/>
      <c r="AE121" s="854"/>
      <c r="AF121" s="854"/>
      <c r="AG121" s="854"/>
      <c r="AH121" s="854"/>
      <c r="AI121" s="854"/>
      <c r="AJ121" s="854"/>
      <c r="AK121" s="854"/>
      <c r="AL121" s="854"/>
      <c r="AM121" s="854"/>
      <c r="AN121" s="854"/>
      <c r="AO121" s="854"/>
      <c r="AP121" s="854"/>
      <c r="AQ121" s="854"/>
      <c r="AR121" s="854"/>
      <c r="AS121" s="854"/>
      <c r="AT121" s="854"/>
      <c r="AU121" s="854"/>
      <c r="AV121" s="854"/>
      <c r="AW121" s="854"/>
      <c r="AX121" s="854"/>
      <c r="AY121" s="854"/>
      <c r="AZ121" s="854"/>
      <c r="BA121" s="854"/>
      <c r="BB121" s="854"/>
      <c r="BC121" s="854"/>
      <c r="BD121" s="854"/>
      <c r="BE121" s="854"/>
      <c r="BF121" s="854"/>
      <c r="BG121" s="854"/>
      <c r="BH121" s="854"/>
      <c r="BI121" s="854"/>
      <c r="BJ121" s="854"/>
      <c r="BK121" s="854"/>
      <c r="BL121" s="854"/>
      <c r="BM121" s="854"/>
      <c r="BN121" s="854"/>
      <c r="BO121" s="854"/>
      <c r="BP121" s="854"/>
      <c r="BQ121" s="854"/>
      <c r="BR121" s="854"/>
      <c r="BS121" s="854"/>
      <c r="BT121" s="854"/>
      <c r="BU121" s="854"/>
      <c r="BV121" s="854"/>
      <c r="BW121" s="854"/>
      <c r="BX121" s="854"/>
      <c r="BY121" s="854"/>
      <c r="BZ121" s="854"/>
      <c r="CA121" s="571">
        <f>IF(OR(I121="",I121&lt;'Configs &amp; Procedures'!$L$29),0,IF(I121&gt;'Configs &amp; Procedures'!$L$30,1,IF(F121&gt;'Configs &amp; Procedures'!$L$31,0,1)))</f>
        <v>0</v>
      </c>
    </row>
    <row r="122" spans="2:79">
      <c r="B122" s="854"/>
      <c r="C122" s="854"/>
      <c r="D122" s="854"/>
      <c r="E122" s="854"/>
      <c r="F122" s="854"/>
      <c r="G122" s="854"/>
      <c r="H122" s="854"/>
      <c r="I122" s="854"/>
      <c r="J122" s="854"/>
      <c r="K122" s="854"/>
      <c r="L122" s="854"/>
      <c r="M122" s="854"/>
      <c r="N122" s="854"/>
      <c r="O122" s="854"/>
      <c r="P122" s="854"/>
      <c r="Q122" s="854"/>
      <c r="R122" s="854"/>
      <c r="S122" s="854"/>
      <c r="T122" s="854"/>
      <c r="U122" s="854"/>
      <c r="V122" s="854"/>
      <c r="W122" s="854"/>
      <c r="X122" s="854"/>
      <c r="Y122" s="854"/>
      <c r="Z122" s="854"/>
      <c r="AA122" s="854"/>
      <c r="AB122" s="854"/>
      <c r="AC122" s="854"/>
      <c r="AD122" s="854"/>
      <c r="AE122" s="854"/>
      <c r="AF122" s="854"/>
      <c r="AG122" s="854"/>
      <c r="AH122" s="854"/>
      <c r="AI122" s="854"/>
      <c r="AJ122" s="854"/>
      <c r="AK122" s="854"/>
      <c r="AL122" s="854"/>
      <c r="AM122" s="854"/>
      <c r="AN122" s="854"/>
      <c r="AO122" s="854"/>
      <c r="AP122" s="854"/>
      <c r="AQ122" s="854"/>
      <c r="AR122" s="854"/>
      <c r="AS122" s="854"/>
      <c r="AT122" s="854"/>
      <c r="AU122" s="854"/>
      <c r="AV122" s="854"/>
      <c r="AW122" s="854"/>
      <c r="AX122" s="854"/>
      <c r="AY122" s="854"/>
      <c r="AZ122" s="854"/>
      <c r="BA122" s="854"/>
      <c r="BB122" s="854"/>
      <c r="BC122" s="854"/>
      <c r="BD122" s="854"/>
      <c r="BE122" s="854"/>
      <c r="BF122" s="854"/>
      <c r="BG122" s="854"/>
      <c r="BH122" s="854"/>
      <c r="BI122" s="854"/>
      <c r="BJ122" s="854"/>
      <c r="BK122" s="854"/>
      <c r="BL122" s="854"/>
      <c r="BM122" s="854"/>
      <c r="BN122" s="854"/>
      <c r="BO122" s="854"/>
      <c r="BP122" s="854"/>
      <c r="BQ122" s="854"/>
      <c r="BR122" s="854"/>
      <c r="BS122" s="854"/>
      <c r="BT122" s="854"/>
      <c r="BU122" s="854"/>
      <c r="BV122" s="854"/>
      <c r="BW122" s="854"/>
      <c r="BX122" s="854"/>
      <c r="BY122" s="854"/>
      <c r="BZ122" s="854"/>
      <c r="CA122" s="571">
        <f>IF(OR(I122="",I122&lt;'Configs &amp; Procedures'!$L$29),0,IF(I122&gt;'Configs &amp; Procedures'!$L$30,1,IF(F122&gt;'Configs &amp; Procedures'!$L$31,0,1)))</f>
        <v>0</v>
      </c>
    </row>
    <row r="123" spans="2:79">
      <c r="B123" s="854"/>
      <c r="C123" s="854"/>
      <c r="D123" s="854"/>
      <c r="E123" s="854"/>
      <c r="F123" s="854"/>
      <c r="G123" s="854"/>
      <c r="H123" s="854"/>
      <c r="I123" s="854"/>
      <c r="J123" s="854"/>
      <c r="K123" s="854"/>
      <c r="L123" s="854"/>
      <c r="M123" s="854"/>
      <c r="N123" s="854"/>
      <c r="O123" s="854"/>
      <c r="P123" s="854"/>
      <c r="Q123" s="854"/>
      <c r="R123" s="854"/>
      <c r="S123" s="854"/>
      <c r="T123" s="854"/>
      <c r="U123" s="854"/>
      <c r="V123" s="854"/>
      <c r="W123" s="854"/>
      <c r="X123" s="854"/>
      <c r="Y123" s="854"/>
      <c r="Z123" s="854"/>
      <c r="AA123" s="854"/>
      <c r="AB123" s="854"/>
      <c r="AC123" s="854"/>
      <c r="AD123" s="854"/>
      <c r="AE123" s="854"/>
      <c r="AF123" s="854"/>
      <c r="AG123" s="854"/>
      <c r="AH123" s="854"/>
      <c r="AI123" s="854"/>
      <c r="AJ123" s="854"/>
      <c r="AK123" s="854"/>
      <c r="AL123" s="854"/>
      <c r="AM123" s="854"/>
      <c r="AN123" s="854"/>
      <c r="AO123" s="854"/>
      <c r="AP123" s="854"/>
      <c r="AQ123" s="854"/>
      <c r="AR123" s="854"/>
      <c r="AS123" s="854"/>
      <c r="AT123" s="854"/>
      <c r="AU123" s="854"/>
      <c r="AV123" s="854"/>
      <c r="AW123" s="854"/>
      <c r="AX123" s="854"/>
      <c r="AY123" s="854"/>
      <c r="AZ123" s="854"/>
      <c r="BA123" s="854"/>
      <c r="BB123" s="854"/>
      <c r="BC123" s="854"/>
      <c r="BD123" s="854"/>
      <c r="BE123" s="854"/>
      <c r="BF123" s="854"/>
      <c r="BG123" s="854"/>
      <c r="BH123" s="854"/>
      <c r="BI123" s="854"/>
      <c r="BJ123" s="854"/>
      <c r="BK123" s="854"/>
      <c r="BL123" s="854"/>
      <c r="BM123" s="854"/>
      <c r="BN123" s="854"/>
      <c r="BO123" s="854"/>
      <c r="BP123" s="854"/>
      <c r="BQ123" s="854"/>
      <c r="BR123" s="854"/>
      <c r="BS123" s="854"/>
      <c r="BT123" s="854"/>
      <c r="BU123" s="854"/>
      <c r="BV123" s="854"/>
      <c r="BW123" s="854"/>
      <c r="BX123" s="854"/>
      <c r="BY123" s="854"/>
      <c r="BZ123" s="854"/>
      <c r="CA123" s="571">
        <f>IF(OR(I123="",I123&lt;'Configs &amp; Procedures'!$L$29),0,IF(I123&gt;'Configs &amp; Procedures'!$L$30,1,IF(F123&gt;'Configs &amp; Procedures'!$L$31,0,1)))</f>
        <v>0</v>
      </c>
    </row>
    <row r="124" spans="2:79">
      <c r="B124" s="854"/>
      <c r="C124" s="854"/>
      <c r="D124" s="854"/>
      <c r="E124" s="854"/>
      <c r="F124" s="854"/>
      <c r="G124" s="854"/>
      <c r="H124" s="854"/>
      <c r="I124" s="854"/>
      <c r="J124" s="854"/>
      <c r="K124" s="854"/>
      <c r="L124" s="854"/>
      <c r="M124" s="854"/>
      <c r="N124" s="854"/>
      <c r="O124" s="854"/>
      <c r="P124" s="854"/>
      <c r="Q124" s="854"/>
      <c r="R124" s="854"/>
      <c r="S124" s="854"/>
      <c r="T124" s="854"/>
      <c r="U124" s="854"/>
      <c r="V124" s="854"/>
      <c r="W124" s="854"/>
      <c r="X124" s="854"/>
      <c r="Y124" s="854"/>
      <c r="Z124" s="854"/>
      <c r="AA124" s="854"/>
      <c r="AB124" s="854"/>
      <c r="AC124" s="854"/>
      <c r="AD124" s="854"/>
      <c r="AE124" s="854"/>
      <c r="AF124" s="854"/>
      <c r="AG124" s="854"/>
      <c r="AH124" s="854"/>
      <c r="AI124" s="854"/>
      <c r="AJ124" s="854"/>
      <c r="AK124" s="854"/>
      <c r="AL124" s="854"/>
      <c r="AM124" s="854"/>
      <c r="AN124" s="854"/>
      <c r="AO124" s="854"/>
      <c r="AP124" s="854"/>
      <c r="AQ124" s="854"/>
      <c r="AR124" s="854"/>
      <c r="AS124" s="854"/>
      <c r="AT124" s="854"/>
      <c r="AU124" s="854"/>
      <c r="AV124" s="854"/>
      <c r="AW124" s="854"/>
      <c r="AX124" s="854"/>
      <c r="AY124" s="854"/>
      <c r="AZ124" s="854"/>
      <c r="BA124" s="854"/>
      <c r="BB124" s="854"/>
      <c r="BC124" s="854"/>
      <c r="BD124" s="854"/>
      <c r="BE124" s="854"/>
      <c r="BF124" s="854"/>
      <c r="BG124" s="854"/>
      <c r="BH124" s="854"/>
      <c r="BI124" s="854"/>
      <c r="BJ124" s="854"/>
      <c r="BK124" s="854"/>
      <c r="BL124" s="854"/>
      <c r="BM124" s="854"/>
      <c r="BN124" s="854"/>
      <c r="BO124" s="854"/>
      <c r="BP124" s="854"/>
      <c r="BQ124" s="854"/>
      <c r="BR124" s="854"/>
      <c r="BS124" s="854"/>
      <c r="BT124" s="854"/>
      <c r="BU124" s="854"/>
      <c r="BV124" s="854"/>
      <c r="BW124" s="854"/>
      <c r="BX124" s="854"/>
      <c r="BY124" s="854"/>
      <c r="BZ124" s="854"/>
      <c r="CA124" s="571">
        <f>IF(OR(I124="",I124&lt;'Configs &amp; Procedures'!$L$29),0,IF(I124&gt;'Configs &amp; Procedures'!$L$30,1,IF(F124&gt;'Configs &amp; Procedures'!$L$31,0,1)))</f>
        <v>0</v>
      </c>
    </row>
    <row r="125" spans="2:79">
      <c r="B125" s="854"/>
      <c r="C125" s="854"/>
      <c r="D125" s="854"/>
      <c r="E125" s="854"/>
      <c r="F125" s="854"/>
      <c r="G125" s="854"/>
      <c r="H125" s="854"/>
      <c r="I125" s="854"/>
      <c r="J125" s="854"/>
      <c r="K125" s="854"/>
      <c r="L125" s="854"/>
      <c r="M125" s="854"/>
      <c r="N125" s="854"/>
      <c r="O125" s="854"/>
      <c r="P125" s="854"/>
      <c r="Q125" s="854"/>
      <c r="R125" s="854"/>
      <c r="S125" s="854"/>
      <c r="T125" s="854"/>
      <c r="U125" s="854"/>
      <c r="V125" s="854"/>
      <c r="W125" s="854"/>
      <c r="X125" s="854"/>
      <c r="Y125" s="854"/>
      <c r="Z125" s="854"/>
      <c r="AA125" s="854"/>
      <c r="AB125" s="854"/>
      <c r="AC125" s="854"/>
      <c r="AD125" s="854"/>
      <c r="AE125" s="854"/>
      <c r="AF125" s="854"/>
      <c r="AG125" s="854"/>
      <c r="AH125" s="854"/>
      <c r="AI125" s="854"/>
      <c r="AJ125" s="854"/>
      <c r="AK125" s="854"/>
      <c r="AL125" s="854"/>
      <c r="AM125" s="854"/>
      <c r="AN125" s="854"/>
      <c r="AO125" s="854"/>
      <c r="AP125" s="854"/>
      <c r="AQ125" s="854"/>
      <c r="AR125" s="854"/>
      <c r="AS125" s="854"/>
      <c r="AT125" s="854"/>
      <c r="AU125" s="854"/>
      <c r="AV125" s="854"/>
      <c r="AW125" s="854"/>
      <c r="AX125" s="854"/>
      <c r="AY125" s="854"/>
      <c r="AZ125" s="854"/>
      <c r="BA125" s="854"/>
      <c r="BB125" s="854"/>
      <c r="BC125" s="854"/>
      <c r="BD125" s="854"/>
      <c r="BE125" s="854"/>
      <c r="BF125" s="854"/>
      <c r="BG125" s="854"/>
      <c r="BH125" s="854"/>
      <c r="BI125" s="854"/>
      <c r="BJ125" s="854"/>
      <c r="BK125" s="854"/>
      <c r="BL125" s="854"/>
      <c r="BM125" s="854"/>
      <c r="BN125" s="854"/>
      <c r="BO125" s="854"/>
      <c r="BP125" s="854"/>
      <c r="BQ125" s="854"/>
      <c r="BR125" s="854"/>
      <c r="BS125" s="854"/>
      <c r="BT125" s="854"/>
      <c r="BU125" s="854"/>
      <c r="BV125" s="854"/>
      <c r="BW125" s="854"/>
      <c r="BX125" s="854"/>
      <c r="BY125" s="854"/>
      <c r="BZ125" s="854"/>
      <c r="CA125" s="571">
        <f>IF(OR(I125="",I125&lt;'Configs &amp; Procedures'!$L$29),0,IF(I125&gt;'Configs &amp; Procedures'!$L$30,1,IF(F125&gt;'Configs &amp; Procedures'!$L$31,0,1)))</f>
        <v>0</v>
      </c>
    </row>
    <row r="126" spans="2:79">
      <c r="B126" s="854"/>
      <c r="C126" s="854"/>
      <c r="D126" s="854"/>
      <c r="E126" s="854"/>
      <c r="F126" s="854"/>
      <c r="G126" s="854"/>
      <c r="H126" s="854"/>
      <c r="I126" s="854"/>
      <c r="J126" s="854"/>
      <c r="K126" s="854"/>
      <c r="L126" s="854"/>
      <c r="M126" s="854"/>
      <c r="N126" s="854"/>
      <c r="O126" s="854"/>
      <c r="P126" s="854"/>
      <c r="Q126" s="854"/>
      <c r="R126" s="854"/>
      <c r="S126" s="854"/>
      <c r="T126" s="854"/>
      <c r="U126" s="854"/>
      <c r="V126" s="854"/>
      <c r="W126" s="854"/>
      <c r="X126" s="854"/>
      <c r="Y126" s="854"/>
      <c r="Z126" s="854"/>
      <c r="AA126" s="854"/>
      <c r="AB126" s="854"/>
      <c r="AC126" s="854"/>
      <c r="AD126" s="854"/>
      <c r="AE126" s="854"/>
      <c r="AF126" s="854"/>
      <c r="AG126" s="854"/>
      <c r="AH126" s="854"/>
      <c r="AI126" s="854"/>
      <c r="AJ126" s="854"/>
      <c r="AK126" s="854"/>
      <c r="AL126" s="854"/>
      <c r="AM126" s="854"/>
      <c r="AN126" s="854"/>
      <c r="AO126" s="854"/>
      <c r="AP126" s="854"/>
      <c r="AQ126" s="854"/>
      <c r="AR126" s="854"/>
      <c r="AS126" s="854"/>
      <c r="AT126" s="854"/>
      <c r="AU126" s="854"/>
      <c r="AV126" s="854"/>
      <c r="AW126" s="854"/>
      <c r="AX126" s="854"/>
      <c r="AY126" s="854"/>
      <c r="AZ126" s="854"/>
      <c r="BA126" s="854"/>
      <c r="BB126" s="854"/>
      <c r="BC126" s="854"/>
      <c r="BD126" s="854"/>
      <c r="BE126" s="854"/>
      <c r="BF126" s="854"/>
      <c r="BG126" s="854"/>
      <c r="BH126" s="854"/>
      <c r="BI126" s="854"/>
      <c r="BJ126" s="854"/>
      <c r="BK126" s="854"/>
      <c r="BL126" s="854"/>
      <c r="BM126" s="854"/>
      <c r="BN126" s="854"/>
      <c r="BO126" s="854"/>
      <c r="BP126" s="854"/>
      <c r="BQ126" s="854"/>
      <c r="BR126" s="854"/>
      <c r="BS126" s="854"/>
      <c r="BT126" s="854"/>
      <c r="BU126" s="854"/>
      <c r="BV126" s="854"/>
      <c r="BW126" s="854"/>
      <c r="BX126" s="854"/>
      <c r="BY126" s="854"/>
      <c r="BZ126" s="854"/>
      <c r="CA126" s="571">
        <f>IF(OR(I126="",I126&lt;'Configs &amp; Procedures'!$L$29),0,IF(I126&gt;'Configs &amp; Procedures'!$L$30,1,IF(F126&gt;'Configs &amp; Procedures'!$L$31,0,1)))</f>
        <v>0</v>
      </c>
    </row>
    <row r="127" spans="2:79">
      <c r="B127" s="854"/>
      <c r="C127" s="854"/>
      <c r="D127" s="854"/>
      <c r="E127" s="854"/>
      <c r="F127" s="854"/>
      <c r="G127" s="854"/>
      <c r="H127" s="854"/>
      <c r="I127" s="854"/>
      <c r="J127" s="854"/>
      <c r="K127" s="854"/>
      <c r="L127" s="854"/>
      <c r="M127" s="854"/>
      <c r="N127" s="854"/>
      <c r="O127" s="854"/>
      <c r="P127" s="854"/>
      <c r="Q127" s="854"/>
      <c r="R127" s="854"/>
      <c r="S127" s="854"/>
      <c r="T127" s="854"/>
      <c r="U127" s="854"/>
      <c r="V127" s="854"/>
      <c r="W127" s="854"/>
      <c r="X127" s="854"/>
      <c r="Y127" s="854"/>
      <c r="Z127" s="854"/>
      <c r="AA127" s="854"/>
      <c r="AB127" s="854"/>
      <c r="AC127" s="854"/>
      <c r="AD127" s="854"/>
      <c r="AE127" s="854"/>
      <c r="AF127" s="854"/>
      <c r="AG127" s="854"/>
      <c r="AH127" s="854"/>
      <c r="AI127" s="854"/>
      <c r="AJ127" s="854"/>
      <c r="AK127" s="854"/>
      <c r="AL127" s="854"/>
      <c r="AM127" s="854"/>
      <c r="AN127" s="854"/>
      <c r="AO127" s="854"/>
      <c r="AP127" s="854"/>
      <c r="AQ127" s="854"/>
      <c r="AR127" s="854"/>
      <c r="AS127" s="854"/>
      <c r="AT127" s="854"/>
      <c r="AU127" s="854"/>
      <c r="AV127" s="854"/>
      <c r="AW127" s="854"/>
      <c r="AX127" s="854"/>
      <c r="AY127" s="854"/>
      <c r="AZ127" s="854"/>
      <c r="BA127" s="854"/>
      <c r="BB127" s="854"/>
      <c r="BC127" s="854"/>
      <c r="BD127" s="854"/>
      <c r="BE127" s="854"/>
      <c r="BF127" s="854"/>
      <c r="BG127" s="854"/>
      <c r="BH127" s="854"/>
      <c r="BI127" s="854"/>
      <c r="BJ127" s="854"/>
      <c r="BK127" s="854"/>
      <c r="BL127" s="854"/>
      <c r="BM127" s="854"/>
      <c r="BN127" s="854"/>
      <c r="BO127" s="854"/>
      <c r="BP127" s="854"/>
      <c r="BQ127" s="854"/>
      <c r="BR127" s="854"/>
      <c r="BS127" s="854"/>
      <c r="BT127" s="854"/>
      <c r="BU127" s="854"/>
      <c r="BV127" s="854"/>
      <c r="BW127" s="854"/>
      <c r="BX127" s="854"/>
      <c r="BY127" s="854"/>
      <c r="BZ127" s="854"/>
      <c r="CA127" s="571">
        <f>IF(OR(I127="",I127&lt;'Configs &amp; Procedures'!$L$29),0,IF(I127&gt;'Configs &amp; Procedures'!$L$30,1,IF(F127&gt;'Configs &amp; Procedures'!$L$31,0,1)))</f>
        <v>0</v>
      </c>
    </row>
    <row r="128" spans="2:79">
      <c r="B128" s="854"/>
      <c r="C128" s="854"/>
      <c r="D128" s="854"/>
      <c r="E128" s="854"/>
      <c r="F128" s="854"/>
      <c r="G128" s="854"/>
      <c r="H128" s="854"/>
      <c r="I128" s="854"/>
      <c r="J128" s="854"/>
      <c r="K128" s="854"/>
      <c r="L128" s="854"/>
      <c r="M128" s="854"/>
      <c r="N128" s="854"/>
      <c r="O128" s="854"/>
      <c r="P128" s="854"/>
      <c r="Q128" s="854"/>
      <c r="R128" s="854"/>
      <c r="S128" s="854"/>
      <c r="T128" s="854"/>
      <c r="U128" s="854"/>
      <c r="V128" s="854"/>
      <c r="W128" s="854"/>
      <c r="X128" s="854"/>
      <c r="Y128" s="854"/>
      <c r="Z128" s="854"/>
      <c r="AA128" s="854"/>
      <c r="AB128" s="854"/>
      <c r="AC128" s="854"/>
      <c r="AD128" s="854"/>
      <c r="AE128" s="854"/>
      <c r="AF128" s="854"/>
      <c r="AG128" s="854"/>
      <c r="AH128" s="854"/>
      <c r="AI128" s="854"/>
      <c r="AJ128" s="854"/>
      <c r="AK128" s="854"/>
      <c r="AL128" s="854"/>
      <c r="AM128" s="854"/>
      <c r="AN128" s="854"/>
      <c r="AO128" s="854"/>
      <c r="AP128" s="854"/>
      <c r="AQ128" s="854"/>
      <c r="AR128" s="854"/>
      <c r="AS128" s="854"/>
      <c r="AT128" s="854"/>
      <c r="AU128" s="854"/>
      <c r="AV128" s="854"/>
      <c r="AW128" s="854"/>
      <c r="AX128" s="854"/>
      <c r="AY128" s="854"/>
      <c r="AZ128" s="854"/>
      <c r="BA128" s="854"/>
      <c r="BB128" s="854"/>
      <c r="BC128" s="854"/>
      <c r="BD128" s="854"/>
      <c r="BE128" s="854"/>
      <c r="BF128" s="854"/>
      <c r="BG128" s="854"/>
      <c r="BH128" s="854"/>
      <c r="BI128" s="854"/>
      <c r="BJ128" s="854"/>
      <c r="BK128" s="854"/>
      <c r="BL128" s="854"/>
      <c r="BM128" s="854"/>
      <c r="BN128" s="854"/>
      <c r="BO128" s="854"/>
      <c r="BP128" s="854"/>
      <c r="BQ128" s="854"/>
      <c r="BR128" s="854"/>
      <c r="BS128" s="854"/>
      <c r="BT128" s="854"/>
      <c r="BU128" s="854"/>
      <c r="BV128" s="854"/>
      <c r="BW128" s="854"/>
      <c r="BX128" s="854"/>
      <c r="BY128" s="854"/>
      <c r="BZ128" s="854"/>
      <c r="CA128" s="571">
        <f>IF(OR(I128="",I128&lt;'Configs &amp; Procedures'!$L$29),0,IF(I128&gt;'Configs &amp; Procedures'!$L$30,1,IF(F128&gt;'Configs &amp; Procedures'!$L$31,0,1)))</f>
        <v>0</v>
      </c>
    </row>
    <row r="129" spans="2:79">
      <c r="B129" s="854"/>
      <c r="C129" s="854"/>
      <c r="D129" s="854"/>
      <c r="E129" s="854"/>
      <c r="F129" s="854"/>
      <c r="G129" s="854"/>
      <c r="H129" s="854"/>
      <c r="I129" s="854"/>
      <c r="J129" s="854"/>
      <c r="K129" s="854"/>
      <c r="L129" s="854"/>
      <c r="M129" s="854"/>
      <c r="N129" s="854"/>
      <c r="O129" s="854"/>
      <c r="P129" s="854"/>
      <c r="Q129" s="854"/>
      <c r="R129" s="854"/>
      <c r="S129" s="854"/>
      <c r="T129" s="854"/>
      <c r="U129" s="854"/>
      <c r="V129" s="854"/>
      <c r="W129" s="854"/>
      <c r="X129" s="854"/>
      <c r="Y129" s="854"/>
      <c r="Z129" s="854"/>
      <c r="AA129" s="854"/>
      <c r="AB129" s="854"/>
      <c r="AC129" s="854"/>
      <c r="AD129" s="854"/>
      <c r="AE129" s="854"/>
      <c r="AF129" s="854"/>
      <c r="AG129" s="854"/>
      <c r="AH129" s="854"/>
      <c r="AI129" s="854"/>
      <c r="AJ129" s="854"/>
      <c r="AK129" s="854"/>
      <c r="AL129" s="854"/>
      <c r="AM129" s="854"/>
      <c r="AN129" s="854"/>
      <c r="AO129" s="854"/>
      <c r="AP129" s="854"/>
      <c r="AQ129" s="854"/>
      <c r="AR129" s="854"/>
      <c r="AS129" s="854"/>
      <c r="AT129" s="854"/>
      <c r="AU129" s="854"/>
      <c r="AV129" s="854"/>
      <c r="AW129" s="854"/>
      <c r="AX129" s="854"/>
      <c r="AY129" s="854"/>
      <c r="AZ129" s="854"/>
      <c r="BA129" s="854"/>
      <c r="BB129" s="854"/>
      <c r="BC129" s="854"/>
      <c r="BD129" s="854"/>
      <c r="BE129" s="854"/>
      <c r="BF129" s="854"/>
      <c r="BG129" s="854"/>
      <c r="BH129" s="854"/>
      <c r="BI129" s="854"/>
      <c r="BJ129" s="854"/>
      <c r="BK129" s="854"/>
      <c r="BL129" s="854"/>
      <c r="BM129" s="854"/>
      <c r="BN129" s="854"/>
      <c r="BO129" s="854"/>
      <c r="BP129" s="854"/>
      <c r="BQ129" s="854"/>
      <c r="BR129" s="854"/>
      <c r="BS129" s="854"/>
      <c r="BT129" s="854"/>
      <c r="BU129" s="854"/>
      <c r="BV129" s="854"/>
      <c r="BW129" s="854"/>
      <c r="BX129" s="854"/>
      <c r="BY129" s="854"/>
      <c r="BZ129" s="854"/>
      <c r="CA129" s="571">
        <f>IF(OR(I129="",I129&lt;'Configs &amp; Procedures'!$L$29),0,IF(I129&gt;'Configs &amp; Procedures'!$L$30,1,IF(F129&gt;'Configs &amp; Procedures'!$L$31,0,1)))</f>
        <v>0</v>
      </c>
    </row>
    <row r="130" spans="2:79">
      <c r="B130" s="854"/>
      <c r="C130" s="854"/>
      <c r="D130" s="854"/>
      <c r="E130" s="854"/>
      <c r="F130" s="854"/>
      <c r="G130" s="854"/>
      <c r="H130" s="854"/>
      <c r="I130" s="854"/>
      <c r="J130" s="854"/>
      <c r="K130" s="854"/>
      <c r="L130" s="854"/>
      <c r="M130" s="854"/>
      <c r="N130" s="854"/>
      <c r="O130" s="854"/>
      <c r="P130" s="854"/>
      <c r="Q130" s="854"/>
      <c r="R130" s="854"/>
      <c r="S130" s="854"/>
      <c r="T130" s="854"/>
      <c r="U130" s="854"/>
      <c r="V130" s="854"/>
      <c r="W130" s="854"/>
      <c r="X130" s="854"/>
      <c r="Y130" s="854"/>
      <c r="Z130" s="854"/>
      <c r="AA130" s="854"/>
      <c r="AB130" s="854"/>
      <c r="AC130" s="854"/>
      <c r="AD130" s="854"/>
      <c r="AE130" s="854"/>
      <c r="AF130" s="854"/>
      <c r="AG130" s="854"/>
      <c r="AH130" s="854"/>
      <c r="AI130" s="854"/>
      <c r="AJ130" s="854"/>
      <c r="AK130" s="854"/>
      <c r="AL130" s="854"/>
      <c r="AM130" s="854"/>
      <c r="AN130" s="854"/>
      <c r="AO130" s="854"/>
      <c r="AP130" s="854"/>
      <c r="AQ130" s="854"/>
      <c r="AR130" s="854"/>
      <c r="AS130" s="854"/>
      <c r="AT130" s="854"/>
      <c r="AU130" s="854"/>
      <c r="AV130" s="854"/>
      <c r="AW130" s="854"/>
      <c r="AX130" s="854"/>
      <c r="AY130" s="854"/>
      <c r="AZ130" s="854"/>
      <c r="BA130" s="854"/>
      <c r="BB130" s="854"/>
      <c r="BC130" s="854"/>
      <c r="BD130" s="854"/>
      <c r="BE130" s="854"/>
      <c r="BF130" s="854"/>
      <c r="BG130" s="854"/>
      <c r="BH130" s="854"/>
      <c r="BI130" s="854"/>
      <c r="BJ130" s="854"/>
      <c r="BK130" s="854"/>
      <c r="BL130" s="854"/>
      <c r="BM130" s="854"/>
      <c r="BN130" s="854"/>
      <c r="BO130" s="854"/>
      <c r="BP130" s="854"/>
      <c r="BQ130" s="854"/>
      <c r="BR130" s="854"/>
      <c r="BS130" s="854"/>
      <c r="BT130" s="854"/>
      <c r="BU130" s="854"/>
      <c r="BV130" s="854"/>
      <c r="BW130" s="854"/>
      <c r="BX130" s="854"/>
      <c r="BY130" s="854"/>
      <c r="BZ130" s="854"/>
      <c r="CA130" s="571">
        <f>IF(OR(I130="",I130&lt;'Configs &amp; Procedures'!$L$29),0,IF(I130&gt;'Configs &amp; Procedures'!$L$30,1,IF(F130&gt;'Configs &amp; Procedures'!$L$31,0,1)))</f>
        <v>0</v>
      </c>
    </row>
    <row r="131" spans="2:79">
      <c r="B131" s="854"/>
      <c r="C131" s="854"/>
      <c r="D131" s="854"/>
      <c r="E131" s="854"/>
      <c r="F131" s="854"/>
      <c r="G131" s="854"/>
      <c r="H131" s="854"/>
      <c r="I131" s="854"/>
      <c r="J131" s="854"/>
      <c r="K131" s="854"/>
      <c r="L131" s="854"/>
      <c r="M131" s="854"/>
      <c r="N131" s="854"/>
      <c r="O131" s="854"/>
      <c r="P131" s="854"/>
      <c r="Q131" s="854"/>
      <c r="R131" s="854"/>
      <c r="S131" s="854"/>
      <c r="T131" s="854"/>
      <c r="U131" s="854"/>
      <c r="V131" s="854"/>
      <c r="W131" s="854"/>
      <c r="X131" s="854"/>
      <c r="Y131" s="854"/>
      <c r="Z131" s="854"/>
      <c r="AA131" s="854"/>
      <c r="AB131" s="854"/>
      <c r="AC131" s="854"/>
      <c r="AD131" s="854"/>
      <c r="AE131" s="854"/>
      <c r="AF131" s="854"/>
      <c r="AG131" s="854"/>
      <c r="AH131" s="854"/>
      <c r="AI131" s="854"/>
      <c r="AJ131" s="854"/>
      <c r="AK131" s="854"/>
      <c r="AL131" s="854"/>
      <c r="AM131" s="854"/>
      <c r="AN131" s="854"/>
      <c r="AO131" s="854"/>
      <c r="AP131" s="854"/>
      <c r="AQ131" s="854"/>
      <c r="AR131" s="854"/>
      <c r="AS131" s="854"/>
      <c r="AT131" s="854"/>
      <c r="AU131" s="854"/>
      <c r="AV131" s="854"/>
      <c r="AW131" s="854"/>
      <c r="AX131" s="854"/>
      <c r="AY131" s="854"/>
      <c r="AZ131" s="854"/>
      <c r="BA131" s="854"/>
      <c r="BB131" s="854"/>
      <c r="BC131" s="854"/>
      <c r="BD131" s="854"/>
      <c r="BE131" s="854"/>
      <c r="BF131" s="854"/>
      <c r="BG131" s="854"/>
      <c r="BH131" s="854"/>
      <c r="BI131" s="854"/>
      <c r="BJ131" s="854"/>
      <c r="BK131" s="854"/>
      <c r="BL131" s="854"/>
      <c r="BM131" s="854"/>
      <c r="BN131" s="854"/>
      <c r="BO131" s="854"/>
      <c r="BP131" s="854"/>
      <c r="BQ131" s="854"/>
      <c r="BR131" s="854"/>
      <c r="BS131" s="854"/>
      <c r="BT131" s="854"/>
      <c r="BU131" s="854"/>
      <c r="BV131" s="854"/>
      <c r="BW131" s="854"/>
      <c r="BX131" s="854"/>
      <c r="BY131" s="854"/>
      <c r="BZ131" s="854"/>
      <c r="CA131" s="571">
        <f>IF(OR(I131="",I131&lt;'Configs &amp; Procedures'!$L$29),0,IF(I131&gt;'Configs &amp; Procedures'!$L$30,1,IF(F131&gt;'Configs &amp; Procedures'!$L$31,0,1)))</f>
        <v>0</v>
      </c>
    </row>
    <row r="132" spans="2:79">
      <c r="B132" s="854"/>
      <c r="C132" s="854"/>
      <c r="D132" s="854"/>
      <c r="E132" s="854"/>
      <c r="F132" s="854"/>
      <c r="G132" s="854"/>
      <c r="H132" s="854"/>
      <c r="I132" s="854"/>
      <c r="J132" s="854"/>
      <c r="K132" s="854"/>
      <c r="L132" s="854"/>
      <c r="M132" s="854"/>
      <c r="N132" s="854"/>
      <c r="O132" s="854"/>
      <c r="P132" s="854"/>
      <c r="Q132" s="854"/>
      <c r="R132" s="854"/>
      <c r="S132" s="854"/>
      <c r="T132" s="854"/>
      <c r="U132" s="854"/>
      <c r="V132" s="854"/>
      <c r="W132" s="854"/>
      <c r="X132" s="854"/>
      <c r="Y132" s="854"/>
      <c r="Z132" s="854"/>
      <c r="AA132" s="854"/>
      <c r="AB132" s="854"/>
      <c r="AC132" s="854"/>
      <c r="AD132" s="854"/>
      <c r="AE132" s="854"/>
      <c r="AF132" s="854"/>
      <c r="AG132" s="854"/>
      <c r="AH132" s="854"/>
      <c r="AI132" s="854"/>
      <c r="AJ132" s="854"/>
      <c r="AK132" s="854"/>
      <c r="AL132" s="854"/>
      <c r="AM132" s="854"/>
      <c r="AN132" s="854"/>
      <c r="AO132" s="854"/>
      <c r="AP132" s="854"/>
      <c r="AQ132" s="854"/>
      <c r="AR132" s="854"/>
      <c r="AS132" s="854"/>
      <c r="AT132" s="854"/>
      <c r="AU132" s="854"/>
      <c r="AV132" s="854"/>
      <c r="AW132" s="854"/>
      <c r="AX132" s="854"/>
      <c r="AY132" s="854"/>
      <c r="AZ132" s="854"/>
      <c r="BA132" s="854"/>
      <c r="BB132" s="854"/>
      <c r="BC132" s="854"/>
      <c r="BD132" s="854"/>
      <c r="BE132" s="854"/>
      <c r="BF132" s="854"/>
      <c r="BG132" s="854"/>
      <c r="BH132" s="854"/>
      <c r="BI132" s="854"/>
      <c r="BJ132" s="854"/>
      <c r="BK132" s="854"/>
      <c r="BL132" s="854"/>
      <c r="BM132" s="854"/>
      <c r="BN132" s="854"/>
      <c r="BO132" s="854"/>
      <c r="BP132" s="854"/>
      <c r="BQ132" s="854"/>
      <c r="BR132" s="854"/>
      <c r="BS132" s="854"/>
      <c r="BT132" s="854"/>
      <c r="BU132" s="854"/>
      <c r="BV132" s="854"/>
      <c r="BW132" s="854"/>
      <c r="BX132" s="854"/>
      <c r="BY132" s="854"/>
      <c r="BZ132" s="854"/>
      <c r="CA132" s="571">
        <f>IF(OR(I132="",I132&lt;'Configs &amp; Procedures'!$L$29),0,IF(I132&gt;'Configs &amp; Procedures'!$L$30,1,IF(F132&gt;'Configs &amp; Procedures'!$L$31,0,1)))</f>
        <v>0</v>
      </c>
    </row>
    <row r="133" spans="2:79">
      <c r="B133" s="854"/>
      <c r="C133" s="854"/>
      <c r="D133" s="854"/>
      <c r="E133" s="854"/>
      <c r="F133" s="854"/>
      <c r="G133" s="854"/>
      <c r="H133" s="854"/>
      <c r="I133" s="854"/>
      <c r="J133" s="854"/>
      <c r="K133" s="854"/>
      <c r="L133" s="854"/>
      <c r="M133" s="854"/>
      <c r="N133" s="854"/>
      <c r="O133" s="854"/>
      <c r="P133" s="854"/>
      <c r="Q133" s="854"/>
      <c r="R133" s="854"/>
      <c r="S133" s="854"/>
      <c r="T133" s="854"/>
      <c r="U133" s="854"/>
      <c r="V133" s="854"/>
      <c r="W133" s="854"/>
      <c r="X133" s="854"/>
      <c r="Y133" s="854"/>
      <c r="Z133" s="854"/>
      <c r="AA133" s="854"/>
      <c r="AB133" s="854"/>
      <c r="AC133" s="854"/>
      <c r="AD133" s="854"/>
      <c r="AE133" s="854"/>
      <c r="AF133" s="854"/>
      <c r="AG133" s="854"/>
      <c r="AH133" s="854"/>
      <c r="AI133" s="854"/>
      <c r="AJ133" s="854"/>
      <c r="AK133" s="854"/>
      <c r="AL133" s="854"/>
      <c r="AM133" s="854"/>
      <c r="AN133" s="854"/>
      <c r="AO133" s="854"/>
      <c r="AP133" s="854"/>
      <c r="AQ133" s="854"/>
      <c r="AR133" s="854"/>
      <c r="AS133" s="854"/>
      <c r="AT133" s="854"/>
      <c r="AU133" s="854"/>
      <c r="AV133" s="854"/>
      <c r="AW133" s="854"/>
      <c r="AX133" s="854"/>
      <c r="AY133" s="854"/>
      <c r="AZ133" s="854"/>
      <c r="BA133" s="854"/>
      <c r="BB133" s="854"/>
      <c r="BC133" s="854"/>
      <c r="BD133" s="854"/>
      <c r="BE133" s="854"/>
      <c r="BF133" s="854"/>
      <c r="BG133" s="854"/>
      <c r="BH133" s="854"/>
      <c r="BI133" s="854"/>
      <c r="BJ133" s="854"/>
      <c r="BK133" s="854"/>
      <c r="BL133" s="854"/>
      <c r="BM133" s="854"/>
      <c r="BN133" s="854"/>
      <c r="BO133" s="854"/>
      <c r="BP133" s="854"/>
      <c r="BQ133" s="854"/>
      <c r="BR133" s="854"/>
      <c r="BS133" s="854"/>
      <c r="BT133" s="854"/>
      <c r="BU133" s="854"/>
      <c r="BV133" s="854"/>
      <c r="BW133" s="854"/>
      <c r="BX133" s="854"/>
      <c r="BY133" s="854"/>
      <c r="BZ133" s="854"/>
      <c r="CA133" s="571">
        <f>IF(OR(I133="",I133&lt;'Configs &amp; Procedures'!$L$29),0,IF(I133&gt;'Configs &amp; Procedures'!$L$30,1,IF(F133&gt;'Configs &amp; Procedures'!$L$31,0,1)))</f>
        <v>0</v>
      </c>
    </row>
    <row r="134" spans="2:79">
      <c r="B134" s="854"/>
      <c r="C134" s="854"/>
      <c r="D134" s="854"/>
      <c r="E134" s="854"/>
      <c r="F134" s="854"/>
      <c r="G134" s="854"/>
      <c r="H134" s="854"/>
      <c r="I134" s="854"/>
      <c r="J134" s="854"/>
      <c r="K134" s="854"/>
      <c r="L134" s="854"/>
      <c r="M134" s="854"/>
      <c r="N134" s="854"/>
      <c r="O134" s="854"/>
      <c r="P134" s="854"/>
      <c r="Q134" s="854"/>
      <c r="R134" s="854"/>
      <c r="S134" s="854"/>
      <c r="T134" s="854"/>
      <c r="U134" s="854"/>
      <c r="V134" s="854"/>
      <c r="W134" s="854"/>
      <c r="X134" s="854"/>
      <c r="Y134" s="854"/>
      <c r="Z134" s="854"/>
      <c r="AA134" s="854"/>
      <c r="AB134" s="854"/>
      <c r="AC134" s="854"/>
      <c r="AD134" s="854"/>
      <c r="AE134" s="854"/>
      <c r="AF134" s="854"/>
      <c r="AG134" s="854"/>
      <c r="AH134" s="854"/>
      <c r="AI134" s="854"/>
      <c r="AJ134" s="854"/>
      <c r="AK134" s="854"/>
      <c r="AL134" s="854"/>
      <c r="AM134" s="854"/>
      <c r="AN134" s="854"/>
      <c r="AO134" s="854"/>
      <c r="AP134" s="854"/>
      <c r="AQ134" s="854"/>
      <c r="AR134" s="854"/>
      <c r="AS134" s="854"/>
      <c r="AT134" s="854"/>
      <c r="AU134" s="854"/>
      <c r="AV134" s="854"/>
      <c r="AW134" s="854"/>
      <c r="AX134" s="854"/>
      <c r="AY134" s="854"/>
      <c r="AZ134" s="854"/>
      <c r="BA134" s="854"/>
      <c r="BB134" s="854"/>
      <c r="BC134" s="854"/>
      <c r="BD134" s="854"/>
      <c r="BE134" s="854"/>
      <c r="BF134" s="854"/>
      <c r="BG134" s="854"/>
      <c r="BH134" s="854"/>
      <c r="BI134" s="854"/>
      <c r="BJ134" s="854"/>
      <c r="BK134" s="854"/>
      <c r="BL134" s="854"/>
      <c r="BM134" s="854"/>
      <c r="BN134" s="854"/>
      <c r="BO134" s="854"/>
      <c r="BP134" s="854"/>
      <c r="BQ134" s="854"/>
      <c r="BR134" s="854"/>
      <c r="BS134" s="854"/>
      <c r="BT134" s="854"/>
      <c r="BU134" s="854"/>
      <c r="BV134" s="854"/>
      <c r="BW134" s="854"/>
      <c r="BX134" s="854"/>
      <c r="BY134" s="854"/>
      <c r="BZ134" s="854"/>
      <c r="CA134" s="571">
        <f>IF(OR(I134="",I134&lt;'Configs &amp; Procedures'!$L$29),0,IF(I134&gt;'Configs &amp; Procedures'!$L$30,1,IF(F134&gt;'Configs &amp; Procedures'!$L$31,0,1)))</f>
        <v>0</v>
      </c>
    </row>
    <row r="135" spans="2:79">
      <c r="B135" s="854"/>
      <c r="C135" s="854"/>
      <c r="D135" s="854"/>
      <c r="E135" s="854"/>
      <c r="F135" s="854"/>
      <c r="G135" s="854"/>
      <c r="H135" s="854"/>
      <c r="I135" s="854"/>
      <c r="J135" s="854"/>
      <c r="K135" s="854"/>
      <c r="L135" s="854"/>
      <c r="M135" s="854"/>
      <c r="N135" s="854"/>
      <c r="O135" s="854"/>
      <c r="P135" s="854"/>
      <c r="Q135" s="854"/>
      <c r="R135" s="854"/>
      <c r="S135" s="854"/>
      <c r="T135" s="854"/>
      <c r="U135" s="854"/>
      <c r="V135" s="854"/>
      <c r="W135" s="854"/>
      <c r="X135" s="854"/>
      <c r="Y135" s="854"/>
      <c r="Z135" s="854"/>
      <c r="AA135" s="854"/>
      <c r="AB135" s="854"/>
      <c r="AC135" s="854"/>
      <c r="AD135" s="854"/>
      <c r="AE135" s="854"/>
      <c r="AF135" s="854"/>
      <c r="AG135" s="854"/>
      <c r="AH135" s="854"/>
      <c r="AI135" s="854"/>
      <c r="AJ135" s="854"/>
      <c r="AK135" s="854"/>
      <c r="AL135" s="854"/>
      <c r="AM135" s="854"/>
      <c r="AN135" s="854"/>
      <c r="AO135" s="854"/>
      <c r="AP135" s="854"/>
      <c r="AQ135" s="854"/>
      <c r="AR135" s="854"/>
      <c r="AS135" s="854"/>
      <c r="AT135" s="854"/>
      <c r="AU135" s="854"/>
      <c r="AV135" s="854"/>
      <c r="AW135" s="854"/>
      <c r="AX135" s="854"/>
      <c r="AY135" s="854"/>
      <c r="AZ135" s="854"/>
      <c r="BA135" s="854"/>
      <c r="BB135" s="854"/>
      <c r="BC135" s="854"/>
      <c r="BD135" s="854"/>
      <c r="BE135" s="854"/>
      <c r="BF135" s="854"/>
      <c r="BG135" s="854"/>
      <c r="BH135" s="854"/>
      <c r="BI135" s="854"/>
      <c r="BJ135" s="854"/>
      <c r="BK135" s="854"/>
      <c r="BL135" s="854"/>
      <c r="BM135" s="854"/>
      <c r="BN135" s="854"/>
      <c r="BO135" s="854"/>
      <c r="BP135" s="854"/>
      <c r="BQ135" s="854"/>
      <c r="BR135" s="854"/>
      <c r="BS135" s="854"/>
      <c r="BT135" s="854"/>
      <c r="BU135" s="854"/>
      <c r="BV135" s="854"/>
      <c r="BW135" s="854"/>
      <c r="BX135" s="854"/>
      <c r="BY135" s="854"/>
      <c r="BZ135" s="854"/>
      <c r="CA135" s="571">
        <f>IF(OR(I135="",I135&lt;'Configs &amp; Procedures'!$L$29),0,IF(I135&gt;'Configs &amp; Procedures'!$L$30,1,IF(F135&gt;'Configs &amp; Procedures'!$L$31,0,1)))</f>
        <v>0</v>
      </c>
    </row>
    <row r="136" spans="2:79">
      <c r="B136" s="854"/>
      <c r="C136" s="854"/>
      <c r="D136" s="854"/>
      <c r="E136" s="854"/>
      <c r="F136" s="854"/>
      <c r="G136" s="854"/>
      <c r="H136" s="854"/>
      <c r="I136" s="854"/>
      <c r="J136" s="854"/>
      <c r="K136" s="854"/>
      <c r="L136" s="854"/>
      <c r="M136" s="854"/>
      <c r="N136" s="854"/>
      <c r="O136" s="854"/>
      <c r="P136" s="854"/>
      <c r="Q136" s="854"/>
      <c r="R136" s="854"/>
      <c r="S136" s="854"/>
      <c r="T136" s="854"/>
      <c r="U136" s="854"/>
      <c r="V136" s="854"/>
      <c r="W136" s="854"/>
      <c r="X136" s="854"/>
      <c r="Y136" s="854"/>
      <c r="Z136" s="854"/>
      <c r="AA136" s="854"/>
      <c r="AB136" s="854"/>
      <c r="AC136" s="854"/>
      <c r="AD136" s="854"/>
      <c r="AE136" s="854"/>
      <c r="AF136" s="854"/>
      <c r="AG136" s="854"/>
      <c r="AH136" s="854"/>
      <c r="AI136" s="854"/>
      <c r="AJ136" s="854"/>
      <c r="AK136" s="854"/>
      <c r="AL136" s="854"/>
      <c r="AM136" s="854"/>
      <c r="AN136" s="854"/>
      <c r="AO136" s="854"/>
      <c r="AP136" s="854"/>
      <c r="AQ136" s="854"/>
      <c r="AR136" s="854"/>
      <c r="AS136" s="854"/>
      <c r="AT136" s="854"/>
      <c r="AU136" s="854"/>
      <c r="AV136" s="854"/>
      <c r="AW136" s="854"/>
      <c r="AX136" s="854"/>
      <c r="AY136" s="854"/>
      <c r="AZ136" s="854"/>
      <c r="BA136" s="854"/>
      <c r="BB136" s="854"/>
      <c r="BC136" s="854"/>
      <c r="BD136" s="854"/>
      <c r="BE136" s="854"/>
      <c r="BF136" s="854"/>
      <c r="BG136" s="854"/>
      <c r="BH136" s="854"/>
      <c r="BI136" s="854"/>
      <c r="BJ136" s="854"/>
      <c r="BK136" s="854"/>
      <c r="BL136" s="854"/>
      <c r="BM136" s="854"/>
      <c r="BN136" s="854"/>
      <c r="BO136" s="854"/>
      <c r="BP136" s="854"/>
      <c r="BQ136" s="854"/>
      <c r="BR136" s="854"/>
      <c r="BS136" s="854"/>
      <c r="BT136" s="854"/>
      <c r="BU136" s="854"/>
      <c r="BV136" s="854"/>
      <c r="BW136" s="854"/>
      <c r="BX136" s="854"/>
      <c r="BY136" s="854"/>
      <c r="BZ136" s="854"/>
      <c r="CA136" s="571">
        <f>IF(OR(I136="",I136&lt;'Configs &amp; Procedures'!$L$29),0,IF(I136&gt;'Configs &amp; Procedures'!$L$30,1,IF(F136&gt;'Configs &amp; Procedures'!$L$31,0,1)))</f>
        <v>0</v>
      </c>
    </row>
    <row r="137" spans="2:79">
      <c r="B137" s="854"/>
      <c r="C137" s="854"/>
      <c r="D137" s="854"/>
      <c r="E137" s="854"/>
      <c r="F137" s="854"/>
      <c r="G137" s="854"/>
      <c r="H137" s="854"/>
      <c r="I137" s="854"/>
      <c r="J137" s="854"/>
      <c r="K137" s="854"/>
      <c r="L137" s="854"/>
      <c r="M137" s="854"/>
      <c r="N137" s="854"/>
      <c r="O137" s="854"/>
      <c r="P137" s="854"/>
      <c r="Q137" s="854"/>
      <c r="R137" s="854"/>
      <c r="S137" s="854"/>
      <c r="T137" s="854"/>
      <c r="U137" s="854"/>
      <c r="V137" s="854"/>
      <c r="W137" s="854"/>
      <c r="X137" s="854"/>
      <c r="Y137" s="854"/>
      <c r="Z137" s="854"/>
      <c r="AA137" s="854"/>
      <c r="AB137" s="854"/>
      <c r="AC137" s="854"/>
      <c r="AD137" s="854"/>
      <c r="AE137" s="854"/>
      <c r="AF137" s="854"/>
      <c r="AG137" s="854"/>
      <c r="AH137" s="854"/>
      <c r="AI137" s="854"/>
      <c r="AJ137" s="854"/>
      <c r="AK137" s="854"/>
      <c r="AL137" s="854"/>
      <c r="AM137" s="854"/>
      <c r="AN137" s="854"/>
      <c r="AO137" s="854"/>
      <c r="AP137" s="854"/>
      <c r="AQ137" s="854"/>
      <c r="AR137" s="854"/>
      <c r="AS137" s="854"/>
      <c r="AT137" s="854"/>
      <c r="AU137" s="854"/>
      <c r="AV137" s="854"/>
      <c r="AW137" s="854"/>
      <c r="AX137" s="854"/>
      <c r="AY137" s="854"/>
      <c r="AZ137" s="854"/>
      <c r="BA137" s="854"/>
      <c r="BB137" s="854"/>
      <c r="BC137" s="854"/>
      <c r="BD137" s="854"/>
      <c r="BE137" s="854"/>
      <c r="BF137" s="854"/>
      <c r="BG137" s="854"/>
      <c r="BH137" s="854"/>
      <c r="BI137" s="854"/>
      <c r="BJ137" s="854"/>
      <c r="BK137" s="854"/>
      <c r="BL137" s="854"/>
      <c r="BM137" s="854"/>
      <c r="BN137" s="854"/>
      <c r="BO137" s="854"/>
      <c r="BP137" s="854"/>
      <c r="BQ137" s="854"/>
      <c r="BR137" s="854"/>
      <c r="BS137" s="854"/>
      <c r="BT137" s="854"/>
      <c r="BU137" s="854"/>
      <c r="BV137" s="854"/>
      <c r="BW137" s="854"/>
      <c r="BX137" s="854"/>
      <c r="BY137" s="854"/>
      <c r="BZ137" s="854"/>
      <c r="CA137" s="571">
        <f>IF(OR(I137="",I137&lt;'Configs &amp; Procedures'!$L$29),0,IF(I137&gt;'Configs &amp; Procedures'!$L$30,1,IF(F137&gt;'Configs &amp; Procedures'!$L$31,0,1)))</f>
        <v>0</v>
      </c>
    </row>
    <row r="138" spans="2:79">
      <c r="B138" s="854"/>
      <c r="C138" s="854"/>
      <c r="D138" s="854"/>
      <c r="E138" s="854"/>
      <c r="F138" s="854"/>
      <c r="G138" s="854"/>
      <c r="H138" s="854"/>
      <c r="I138" s="854"/>
      <c r="J138" s="854"/>
      <c r="K138" s="854"/>
      <c r="L138" s="854"/>
      <c r="M138" s="854"/>
      <c r="N138" s="854"/>
      <c r="O138" s="854"/>
      <c r="P138" s="854"/>
      <c r="Q138" s="854"/>
      <c r="R138" s="854"/>
      <c r="S138" s="854"/>
      <c r="T138" s="854"/>
      <c r="U138" s="854"/>
      <c r="V138" s="854"/>
      <c r="W138" s="854"/>
      <c r="X138" s="854"/>
      <c r="Y138" s="854"/>
      <c r="Z138" s="854"/>
      <c r="AA138" s="854"/>
      <c r="AB138" s="854"/>
      <c r="AC138" s="854"/>
      <c r="AD138" s="854"/>
      <c r="AE138" s="854"/>
      <c r="AF138" s="854"/>
      <c r="AG138" s="854"/>
      <c r="AH138" s="854"/>
      <c r="AI138" s="854"/>
      <c r="AJ138" s="854"/>
      <c r="AK138" s="854"/>
      <c r="AL138" s="854"/>
      <c r="AM138" s="854"/>
      <c r="AN138" s="854"/>
      <c r="AO138" s="854"/>
      <c r="AP138" s="854"/>
      <c r="AQ138" s="854"/>
      <c r="AR138" s="854"/>
      <c r="AS138" s="854"/>
      <c r="AT138" s="854"/>
      <c r="AU138" s="854"/>
      <c r="AV138" s="854"/>
      <c r="AW138" s="854"/>
      <c r="AX138" s="854"/>
      <c r="AY138" s="854"/>
      <c r="AZ138" s="854"/>
      <c r="BA138" s="854"/>
      <c r="BB138" s="854"/>
      <c r="BC138" s="854"/>
      <c r="BD138" s="854"/>
      <c r="BE138" s="854"/>
      <c r="BF138" s="854"/>
      <c r="BG138" s="854"/>
      <c r="BH138" s="854"/>
      <c r="BI138" s="854"/>
      <c r="BJ138" s="854"/>
      <c r="BK138" s="854"/>
      <c r="BL138" s="854"/>
      <c r="BM138" s="854"/>
      <c r="BN138" s="854"/>
      <c r="BO138" s="854"/>
      <c r="BP138" s="854"/>
      <c r="BQ138" s="854"/>
      <c r="BR138" s="854"/>
      <c r="BS138" s="854"/>
      <c r="BT138" s="854"/>
      <c r="BU138" s="854"/>
      <c r="BV138" s="854"/>
      <c r="BW138" s="854"/>
      <c r="BX138" s="854"/>
      <c r="BY138" s="854"/>
      <c r="BZ138" s="854"/>
      <c r="CA138" s="571">
        <f>IF(OR(I138="",I138&lt;'Configs &amp; Procedures'!$L$29),0,IF(I138&gt;'Configs &amp; Procedures'!$L$30,1,IF(F138&gt;'Configs &amp; Procedures'!$L$31,0,1)))</f>
        <v>0</v>
      </c>
    </row>
    <row r="139" spans="2:79">
      <c r="B139" s="854"/>
      <c r="C139" s="854"/>
      <c r="D139" s="854"/>
      <c r="E139" s="854"/>
      <c r="F139" s="854"/>
      <c r="G139" s="854"/>
      <c r="H139" s="854"/>
      <c r="I139" s="854"/>
      <c r="J139" s="854"/>
      <c r="K139" s="854"/>
      <c r="L139" s="854"/>
      <c r="M139" s="854"/>
      <c r="N139" s="854"/>
      <c r="O139" s="854"/>
      <c r="P139" s="854"/>
      <c r="Q139" s="854"/>
      <c r="R139" s="854"/>
      <c r="S139" s="854"/>
      <c r="T139" s="854"/>
      <c r="U139" s="854"/>
      <c r="V139" s="854"/>
      <c r="W139" s="854"/>
      <c r="X139" s="854"/>
      <c r="Y139" s="854"/>
      <c r="Z139" s="854"/>
      <c r="AA139" s="854"/>
      <c r="AB139" s="854"/>
      <c r="AC139" s="854"/>
      <c r="AD139" s="854"/>
      <c r="AE139" s="854"/>
      <c r="AF139" s="854"/>
      <c r="AG139" s="854"/>
      <c r="AH139" s="854"/>
      <c r="AI139" s="854"/>
      <c r="AJ139" s="854"/>
      <c r="AK139" s="854"/>
      <c r="AL139" s="854"/>
      <c r="AM139" s="854"/>
      <c r="AN139" s="854"/>
      <c r="AO139" s="854"/>
      <c r="AP139" s="854"/>
      <c r="AQ139" s="854"/>
      <c r="AR139" s="854"/>
      <c r="AS139" s="854"/>
      <c r="AT139" s="854"/>
      <c r="AU139" s="854"/>
      <c r="AV139" s="854"/>
      <c r="AW139" s="854"/>
      <c r="AX139" s="854"/>
      <c r="AY139" s="854"/>
      <c r="AZ139" s="854"/>
      <c r="BA139" s="854"/>
      <c r="BB139" s="854"/>
      <c r="BC139" s="854"/>
      <c r="BD139" s="854"/>
      <c r="BE139" s="854"/>
      <c r="BF139" s="854"/>
      <c r="BG139" s="854"/>
      <c r="BH139" s="854"/>
      <c r="BI139" s="854"/>
      <c r="BJ139" s="854"/>
      <c r="BK139" s="854"/>
      <c r="BL139" s="854"/>
      <c r="BM139" s="854"/>
      <c r="BN139" s="854"/>
      <c r="BO139" s="854"/>
      <c r="BP139" s="854"/>
      <c r="BQ139" s="854"/>
      <c r="BR139" s="854"/>
      <c r="BS139" s="854"/>
      <c r="BT139" s="854"/>
      <c r="BU139" s="854"/>
      <c r="BV139" s="854"/>
      <c r="BW139" s="854"/>
      <c r="BX139" s="854"/>
      <c r="BY139" s="854"/>
      <c r="BZ139" s="854"/>
      <c r="CA139" s="571">
        <f>IF(OR(I139="",I139&lt;'Configs &amp; Procedures'!$L$29),0,IF(I139&gt;'Configs &amp; Procedures'!$L$30,1,IF(F139&gt;'Configs &amp; Procedures'!$L$31,0,1)))</f>
        <v>0</v>
      </c>
    </row>
    <row r="140" spans="2:79">
      <c r="B140" s="854"/>
      <c r="C140" s="854"/>
      <c r="D140" s="854"/>
      <c r="E140" s="854"/>
      <c r="F140" s="854"/>
      <c r="G140" s="854"/>
      <c r="H140" s="854"/>
      <c r="I140" s="854"/>
      <c r="J140" s="854"/>
      <c r="K140" s="854"/>
      <c r="L140" s="854"/>
      <c r="M140" s="854"/>
      <c r="N140" s="854"/>
      <c r="O140" s="854"/>
      <c r="P140" s="854"/>
      <c r="Q140" s="854"/>
      <c r="R140" s="854"/>
      <c r="S140" s="854"/>
      <c r="T140" s="854"/>
      <c r="U140" s="854"/>
      <c r="V140" s="854"/>
      <c r="W140" s="854"/>
      <c r="X140" s="854"/>
      <c r="Y140" s="854"/>
      <c r="Z140" s="854"/>
      <c r="AA140" s="854"/>
      <c r="AB140" s="854"/>
      <c r="AC140" s="854"/>
      <c r="AD140" s="854"/>
      <c r="AE140" s="854"/>
      <c r="AF140" s="854"/>
      <c r="AG140" s="854"/>
      <c r="AH140" s="854"/>
      <c r="AI140" s="854"/>
      <c r="AJ140" s="854"/>
      <c r="AK140" s="854"/>
      <c r="AL140" s="854"/>
      <c r="AM140" s="854"/>
      <c r="AN140" s="854"/>
      <c r="AO140" s="854"/>
      <c r="AP140" s="854"/>
      <c r="AQ140" s="854"/>
      <c r="AR140" s="854"/>
      <c r="AS140" s="854"/>
      <c r="AT140" s="854"/>
      <c r="AU140" s="854"/>
      <c r="AV140" s="854"/>
      <c r="AW140" s="854"/>
      <c r="AX140" s="854"/>
      <c r="AY140" s="854"/>
      <c r="AZ140" s="854"/>
      <c r="BA140" s="854"/>
      <c r="BB140" s="854"/>
      <c r="BC140" s="854"/>
      <c r="BD140" s="854"/>
      <c r="BE140" s="854"/>
      <c r="BF140" s="854"/>
      <c r="BG140" s="854"/>
      <c r="BH140" s="854"/>
      <c r="BI140" s="854"/>
      <c r="BJ140" s="854"/>
      <c r="BK140" s="854"/>
      <c r="BL140" s="854"/>
      <c r="BM140" s="854"/>
      <c r="BN140" s="854"/>
      <c r="BO140" s="854"/>
      <c r="BP140" s="854"/>
      <c r="BQ140" s="854"/>
      <c r="BR140" s="854"/>
      <c r="BS140" s="854"/>
      <c r="BT140" s="854"/>
      <c r="BU140" s="854"/>
      <c r="BV140" s="854"/>
      <c r="BW140" s="854"/>
      <c r="BX140" s="854"/>
      <c r="BY140" s="854"/>
      <c r="BZ140" s="854"/>
      <c r="CA140" s="571">
        <f>IF(OR(I140="",I140&lt;'Configs &amp; Procedures'!$L$29),0,IF(I140&gt;'Configs &amp; Procedures'!$L$30,1,IF(F140&gt;'Configs &amp; Procedures'!$L$31,0,1)))</f>
        <v>0</v>
      </c>
    </row>
    <row r="141" spans="2:79">
      <c r="B141" s="854"/>
      <c r="C141" s="854"/>
      <c r="D141" s="854"/>
      <c r="E141" s="854"/>
      <c r="F141" s="854"/>
      <c r="G141" s="854"/>
      <c r="H141" s="854"/>
      <c r="I141" s="854"/>
      <c r="J141" s="854"/>
      <c r="K141" s="854"/>
      <c r="L141" s="854"/>
      <c r="M141" s="854"/>
      <c r="N141" s="854"/>
      <c r="O141" s="854"/>
      <c r="P141" s="854"/>
      <c r="Q141" s="854"/>
      <c r="R141" s="854"/>
      <c r="S141" s="854"/>
      <c r="T141" s="854"/>
      <c r="U141" s="854"/>
      <c r="V141" s="854"/>
      <c r="W141" s="854"/>
      <c r="X141" s="854"/>
      <c r="Y141" s="854"/>
      <c r="Z141" s="854"/>
      <c r="AA141" s="854"/>
      <c r="AB141" s="854"/>
      <c r="AC141" s="854"/>
      <c r="AD141" s="854"/>
      <c r="AE141" s="854"/>
      <c r="AF141" s="854"/>
      <c r="AG141" s="854"/>
      <c r="AH141" s="854"/>
      <c r="AI141" s="854"/>
      <c r="AJ141" s="854"/>
      <c r="AK141" s="854"/>
      <c r="AL141" s="854"/>
      <c r="AM141" s="854"/>
      <c r="AN141" s="854"/>
      <c r="AO141" s="854"/>
      <c r="AP141" s="854"/>
      <c r="AQ141" s="854"/>
      <c r="AR141" s="854"/>
      <c r="AS141" s="854"/>
      <c r="AT141" s="854"/>
      <c r="AU141" s="854"/>
      <c r="AV141" s="854"/>
      <c r="AW141" s="854"/>
      <c r="AX141" s="854"/>
      <c r="AY141" s="854"/>
      <c r="AZ141" s="854"/>
      <c r="BA141" s="854"/>
      <c r="BB141" s="854"/>
      <c r="BC141" s="854"/>
      <c r="BD141" s="854"/>
      <c r="BE141" s="854"/>
      <c r="BF141" s="854"/>
      <c r="BG141" s="854"/>
      <c r="BH141" s="854"/>
      <c r="BI141" s="854"/>
      <c r="BJ141" s="854"/>
      <c r="BK141" s="854"/>
      <c r="BL141" s="854"/>
      <c r="BM141" s="854"/>
      <c r="BN141" s="854"/>
      <c r="BO141" s="854"/>
      <c r="BP141" s="854"/>
      <c r="BQ141" s="854"/>
      <c r="BR141" s="854"/>
      <c r="BS141" s="854"/>
      <c r="BT141" s="854"/>
      <c r="BU141" s="854"/>
      <c r="BV141" s="854"/>
      <c r="BW141" s="854"/>
      <c r="BX141" s="854"/>
      <c r="BY141" s="854"/>
      <c r="BZ141" s="854"/>
      <c r="CA141" s="571">
        <f>IF(OR(I141="",I141&lt;'Configs &amp; Procedures'!$L$29),0,IF(I141&gt;'Configs &amp; Procedures'!$L$30,1,IF(F141&gt;'Configs &amp; Procedures'!$L$31,0,1)))</f>
        <v>0</v>
      </c>
    </row>
    <row r="142" spans="2:79">
      <c r="B142" s="854"/>
      <c r="C142" s="854"/>
      <c r="D142" s="854"/>
      <c r="E142" s="854"/>
      <c r="F142" s="854"/>
      <c r="G142" s="854"/>
      <c r="H142" s="854"/>
      <c r="I142" s="854"/>
      <c r="J142" s="854"/>
      <c r="K142" s="854"/>
      <c r="L142" s="854"/>
      <c r="M142" s="854"/>
      <c r="N142" s="854"/>
      <c r="O142" s="854"/>
      <c r="P142" s="854"/>
      <c r="Q142" s="854"/>
      <c r="R142" s="854"/>
      <c r="S142" s="854"/>
      <c r="T142" s="854"/>
      <c r="U142" s="854"/>
      <c r="V142" s="854"/>
      <c r="W142" s="854"/>
      <c r="X142" s="854"/>
      <c r="Y142" s="854"/>
      <c r="Z142" s="854"/>
      <c r="AA142" s="854"/>
      <c r="AB142" s="854"/>
      <c r="AC142" s="854"/>
      <c r="AD142" s="854"/>
      <c r="AE142" s="854"/>
      <c r="AF142" s="854"/>
      <c r="AG142" s="854"/>
      <c r="AH142" s="854"/>
      <c r="AI142" s="854"/>
      <c r="AJ142" s="854"/>
      <c r="AK142" s="854"/>
      <c r="AL142" s="854"/>
      <c r="AM142" s="854"/>
      <c r="AN142" s="854"/>
      <c r="AO142" s="854"/>
      <c r="AP142" s="854"/>
      <c r="AQ142" s="854"/>
      <c r="AR142" s="854"/>
      <c r="AS142" s="854"/>
      <c r="AT142" s="854"/>
      <c r="AU142" s="854"/>
      <c r="AV142" s="854"/>
      <c r="AW142" s="854"/>
      <c r="AX142" s="854"/>
      <c r="AY142" s="854"/>
      <c r="AZ142" s="854"/>
      <c r="BA142" s="854"/>
      <c r="BB142" s="854"/>
      <c r="BC142" s="854"/>
      <c r="BD142" s="854"/>
      <c r="BE142" s="854"/>
      <c r="BF142" s="854"/>
      <c r="BG142" s="854"/>
      <c r="BH142" s="854"/>
      <c r="BI142" s="854"/>
      <c r="BJ142" s="854"/>
      <c r="BK142" s="854"/>
      <c r="BL142" s="854"/>
      <c r="BM142" s="854"/>
      <c r="BN142" s="854"/>
      <c r="BO142" s="854"/>
      <c r="BP142" s="854"/>
      <c r="BQ142" s="854"/>
      <c r="BR142" s="854"/>
      <c r="BS142" s="854"/>
      <c r="BT142" s="854"/>
      <c r="BU142" s="854"/>
      <c r="BV142" s="854"/>
      <c r="BW142" s="854"/>
      <c r="BX142" s="854"/>
      <c r="BY142" s="854"/>
      <c r="BZ142" s="854"/>
      <c r="CA142" s="571">
        <f>IF(OR(I142="",I142&lt;'Configs &amp; Procedures'!$L$29),0,IF(I142&gt;'Configs &amp; Procedures'!$L$30,1,IF(F142&gt;'Configs &amp; Procedures'!$L$31,0,1)))</f>
        <v>0</v>
      </c>
    </row>
    <row r="143" spans="2:79">
      <c r="B143" s="854"/>
      <c r="C143" s="854"/>
      <c r="D143" s="854"/>
      <c r="E143" s="854"/>
      <c r="F143" s="854"/>
      <c r="G143" s="854"/>
      <c r="H143" s="854"/>
      <c r="I143" s="854"/>
      <c r="J143" s="854"/>
      <c r="K143" s="854"/>
      <c r="L143" s="854"/>
      <c r="M143" s="854"/>
      <c r="N143" s="854"/>
      <c r="O143" s="854"/>
      <c r="P143" s="854"/>
      <c r="Q143" s="854"/>
      <c r="R143" s="854"/>
      <c r="S143" s="854"/>
      <c r="T143" s="854"/>
      <c r="U143" s="854"/>
      <c r="V143" s="854"/>
      <c r="W143" s="854"/>
      <c r="X143" s="854"/>
      <c r="Y143" s="854"/>
      <c r="Z143" s="854"/>
      <c r="AA143" s="854"/>
      <c r="AB143" s="854"/>
      <c r="AC143" s="854"/>
      <c r="AD143" s="854"/>
      <c r="AE143" s="854"/>
      <c r="AF143" s="854"/>
      <c r="AG143" s="854"/>
      <c r="AH143" s="854"/>
      <c r="AI143" s="854"/>
      <c r="AJ143" s="854"/>
      <c r="AK143" s="854"/>
      <c r="AL143" s="854"/>
      <c r="AM143" s="854"/>
      <c r="AN143" s="854"/>
      <c r="AO143" s="854"/>
      <c r="AP143" s="854"/>
      <c r="AQ143" s="854"/>
      <c r="AR143" s="854"/>
      <c r="AS143" s="854"/>
      <c r="AT143" s="854"/>
      <c r="AU143" s="854"/>
      <c r="AV143" s="854"/>
      <c r="AW143" s="854"/>
      <c r="AX143" s="854"/>
      <c r="AY143" s="854"/>
      <c r="AZ143" s="854"/>
      <c r="BA143" s="854"/>
      <c r="BB143" s="854"/>
      <c r="BC143" s="854"/>
      <c r="BD143" s="854"/>
      <c r="BE143" s="854"/>
      <c r="BF143" s="854"/>
      <c r="BG143" s="854"/>
      <c r="BH143" s="854"/>
      <c r="BI143" s="854"/>
      <c r="BJ143" s="854"/>
      <c r="BK143" s="854"/>
      <c r="BL143" s="854"/>
      <c r="BM143" s="854"/>
      <c r="BN143" s="854"/>
      <c r="BO143" s="854"/>
      <c r="BP143" s="854"/>
      <c r="BQ143" s="854"/>
      <c r="BR143" s="854"/>
      <c r="BS143" s="854"/>
      <c r="BT143" s="854"/>
      <c r="BU143" s="854"/>
      <c r="BV143" s="854"/>
      <c r="BW143" s="854"/>
      <c r="BX143" s="854"/>
      <c r="BY143" s="854"/>
      <c r="BZ143" s="854"/>
      <c r="CA143" s="571">
        <f>IF(OR(I143="",I143&lt;'Configs &amp; Procedures'!$L$29),0,IF(I143&gt;'Configs &amp; Procedures'!$L$30,1,IF(F143&gt;'Configs &amp; Procedures'!$L$31,0,1)))</f>
        <v>0</v>
      </c>
    </row>
    <row r="144" spans="2:79">
      <c r="B144" s="854"/>
      <c r="C144" s="854"/>
      <c r="D144" s="854"/>
      <c r="E144" s="854"/>
      <c r="F144" s="854"/>
      <c r="G144" s="854"/>
      <c r="H144" s="854"/>
      <c r="I144" s="854"/>
      <c r="J144" s="854"/>
      <c r="K144" s="854"/>
      <c r="L144" s="854"/>
      <c r="M144" s="854"/>
      <c r="N144" s="854"/>
      <c r="O144" s="854"/>
      <c r="P144" s="854"/>
      <c r="Q144" s="854"/>
      <c r="R144" s="854"/>
      <c r="S144" s="854"/>
      <c r="T144" s="854"/>
      <c r="U144" s="854"/>
      <c r="V144" s="854"/>
      <c r="W144" s="854"/>
      <c r="X144" s="854"/>
      <c r="Y144" s="854"/>
      <c r="Z144" s="854"/>
      <c r="AA144" s="854"/>
      <c r="AB144" s="854"/>
      <c r="AC144" s="854"/>
      <c r="AD144" s="854"/>
      <c r="AE144" s="854"/>
      <c r="AF144" s="854"/>
      <c r="AG144" s="854"/>
      <c r="AH144" s="854"/>
      <c r="AI144" s="854"/>
      <c r="AJ144" s="854"/>
      <c r="AK144" s="854"/>
      <c r="AL144" s="854"/>
      <c r="AM144" s="854"/>
      <c r="AN144" s="854"/>
      <c r="AO144" s="854"/>
      <c r="AP144" s="854"/>
      <c r="AQ144" s="854"/>
      <c r="AR144" s="854"/>
      <c r="AS144" s="854"/>
      <c r="AT144" s="854"/>
      <c r="AU144" s="854"/>
      <c r="AV144" s="854"/>
      <c r="AW144" s="854"/>
      <c r="AX144" s="854"/>
      <c r="AY144" s="854"/>
      <c r="AZ144" s="854"/>
      <c r="BA144" s="854"/>
      <c r="BB144" s="854"/>
      <c r="BC144" s="854"/>
      <c r="BD144" s="854"/>
      <c r="BE144" s="854"/>
      <c r="BF144" s="854"/>
      <c r="BG144" s="854"/>
      <c r="BH144" s="854"/>
      <c r="BI144" s="854"/>
      <c r="BJ144" s="854"/>
      <c r="BK144" s="854"/>
      <c r="BL144" s="854"/>
      <c r="BM144" s="854"/>
      <c r="BN144" s="854"/>
      <c r="BO144" s="854"/>
      <c r="BP144" s="854"/>
      <c r="BQ144" s="854"/>
      <c r="BR144" s="854"/>
      <c r="BS144" s="854"/>
      <c r="BT144" s="854"/>
      <c r="BU144" s="854"/>
      <c r="BV144" s="854"/>
      <c r="BW144" s="854"/>
      <c r="BX144" s="854"/>
      <c r="BY144" s="854"/>
      <c r="BZ144" s="854"/>
      <c r="CA144" s="571">
        <f>IF(OR(I144="",I144&lt;'Configs &amp; Procedures'!$L$29),0,IF(I144&gt;'Configs &amp; Procedures'!$L$30,1,IF(F144&gt;'Configs &amp; Procedures'!$L$31,0,1)))</f>
        <v>0</v>
      </c>
    </row>
    <row r="145" spans="2:79">
      <c r="B145" s="854"/>
      <c r="C145" s="854"/>
      <c r="D145" s="854"/>
      <c r="E145" s="854"/>
      <c r="F145" s="854"/>
      <c r="G145" s="854"/>
      <c r="H145" s="854"/>
      <c r="I145" s="854"/>
      <c r="J145" s="854"/>
      <c r="K145" s="854"/>
      <c r="L145" s="854"/>
      <c r="M145" s="854"/>
      <c r="N145" s="854"/>
      <c r="O145" s="854"/>
      <c r="P145" s="854"/>
      <c r="Q145" s="854"/>
      <c r="R145" s="854"/>
      <c r="S145" s="854"/>
      <c r="T145" s="854"/>
      <c r="U145" s="854"/>
      <c r="V145" s="854"/>
      <c r="W145" s="854"/>
      <c r="X145" s="854"/>
      <c r="Y145" s="854"/>
      <c r="Z145" s="854"/>
      <c r="AA145" s="854"/>
      <c r="AB145" s="854"/>
      <c r="AC145" s="854"/>
      <c r="AD145" s="854"/>
      <c r="AE145" s="854"/>
      <c r="AF145" s="854"/>
      <c r="AG145" s="854"/>
      <c r="AH145" s="854"/>
      <c r="AI145" s="854"/>
      <c r="AJ145" s="854"/>
      <c r="AK145" s="854"/>
      <c r="AL145" s="854"/>
      <c r="AM145" s="854"/>
      <c r="AN145" s="854"/>
      <c r="AO145" s="854"/>
      <c r="AP145" s="854"/>
      <c r="AQ145" s="854"/>
      <c r="AR145" s="854"/>
      <c r="AS145" s="854"/>
      <c r="AT145" s="854"/>
      <c r="AU145" s="854"/>
      <c r="AV145" s="854"/>
      <c r="AW145" s="854"/>
      <c r="AX145" s="854"/>
      <c r="AY145" s="854"/>
      <c r="AZ145" s="854"/>
      <c r="BA145" s="854"/>
      <c r="BB145" s="854"/>
      <c r="BC145" s="854"/>
      <c r="BD145" s="854"/>
      <c r="BE145" s="854"/>
      <c r="BF145" s="854"/>
      <c r="BG145" s="854"/>
      <c r="BH145" s="854"/>
      <c r="BI145" s="854"/>
      <c r="BJ145" s="854"/>
      <c r="BK145" s="854"/>
      <c r="BL145" s="854"/>
      <c r="BM145" s="854"/>
      <c r="BN145" s="854"/>
      <c r="BO145" s="854"/>
      <c r="BP145" s="854"/>
      <c r="BQ145" s="854"/>
      <c r="BR145" s="854"/>
      <c r="BS145" s="854"/>
      <c r="BT145" s="854"/>
      <c r="BU145" s="854"/>
      <c r="BV145" s="854"/>
      <c r="BW145" s="854"/>
      <c r="BX145" s="854"/>
      <c r="BY145" s="854"/>
      <c r="BZ145" s="854"/>
      <c r="CA145" s="571">
        <f>IF(OR(I145="",I145&lt;'Configs &amp; Procedures'!$L$29),0,IF(I145&gt;'Configs &amp; Procedures'!$L$30,1,IF(F145&gt;'Configs &amp; Procedures'!$L$31,0,1)))</f>
        <v>0</v>
      </c>
    </row>
    <row r="146" spans="2:79">
      <c r="B146" s="854"/>
      <c r="C146" s="854"/>
      <c r="D146" s="854"/>
      <c r="E146" s="854"/>
      <c r="F146" s="854"/>
      <c r="G146" s="854"/>
      <c r="H146" s="854"/>
      <c r="I146" s="854"/>
      <c r="J146" s="854"/>
      <c r="K146" s="854"/>
      <c r="L146" s="854"/>
      <c r="M146" s="854"/>
      <c r="N146" s="854"/>
      <c r="O146" s="854"/>
      <c r="P146" s="854"/>
      <c r="Q146" s="854"/>
      <c r="R146" s="854"/>
      <c r="S146" s="854"/>
      <c r="T146" s="854"/>
      <c r="U146" s="854"/>
      <c r="V146" s="854"/>
      <c r="W146" s="854"/>
      <c r="X146" s="854"/>
      <c r="Y146" s="854"/>
      <c r="Z146" s="854"/>
      <c r="AA146" s="854"/>
      <c r="AB146" s="854"/>
      <c r="AC146" s="854"/>
      <c r="AD146" s="854"/>
      <c r="AE146" s="854"/>
      <c r="AF146" s="854"/>
      <c r="AG146" s="854"/>
      <c r="AH146" s="854"/>
      <c r="AI146" s="854"/>
      <c r="AJ146" s="854"/>
      <c r="AK146" s="854"/>
      <c r="AL146" s="854"/>
      <c r="AM146" s="854"/>
      <c r="AN146" s="854"/>
      <c r="AO146" s="854"/>
      <c r="AP146" s="854"/>
      <c r="AQ146" s="854"/>
      <c r="AR146" s="854"/>
      <c r="AS146" s="854"/>
      <c r="AT146" s="854"/>
      <c r="AU146" s="854"/>
      <c r="AV146" s="854"/>
      <c r="AW146" s="854"/>
      <c r="AX146" s="854"/>
      <c r="AY146" s="854"/>
      <c r="AZ146" s="854"/>
      <c r="BA146" s="854"/>
      <c r="BB146" s="854"/>
      <c r="BC146" s="854"/>
      <c r="BD146" s="854"/>
      <c r="BE146" s="854"/>
      <c r="BF146" s="854"/>
      <c r="BG146" s="854"/>
      <c r="BH146" s="854"/>
      <c r="BI146" s="854"/>
      <c r="BJ146" s="854"/>
      <c r="BK146" s="854"/>
      <c r="BL146" s="854"/>
      <c r="BM146" s="854"/>
      <c r="BN146" s="854"/>
      <c r="BO146" s="854"/>
      <c r="BP146" s="854"/>
      <c r="BQ146" s="854"/>
      <c r="BR146" s="854"/>
      <c r="BS146" s="854"/>
      <c r="BT146" s="854"/>
      <c r="BU146" s="854"/>
      <c r="BV146" s="854"/>
      <c r="BW146" s="854"/>
      <c r="BX146" s="854"/>
      <c r="BY146" s="854"/>
      <c r="BZ146" s="854"/>
      <c r="CA146" s="571">
        <f>IF(OR(I146="",I146&lt;'Configs &amp; Procedures'!$L$29),0,IF(I146&gt;'Configs &amp; Procedures'!$L$30,1,IF(F146&gt;'Configs &amp; Procedures'!$L$31,0,1)))</f>
        <v>0</v>
      </c>
    </row>
    <row r="147" spans="2:79">
      <c r="B147" s="854"/>
      <c r="C147" s="854"/>
      <c r="D147" s="854"/>
      <c r="E147" s="854"/>
      <c r="F147" s="854"/>
      <c r="G147" s="854"/>
      <c r="H147" s="854"/>
      <c r="I147" s="854"/>
      <c r="J147" s="854"/>
      <c r="K147" s="854"/>
      <c r="L147" s="854"/>
      <c r="M147" s="854"/>
      <c r="N147" s="854"/>
      <c r="O147" s="854"/>
      <c r="P147" s="854"/>
      <c r="Q147" s="854"/>
      <c r="R147" s="854"/>
      <c r="S147" s="854"/>
      <c r="T147" s="854"/>
      <c r="U147" s="854"/>
      <c r="V147" s="854"/>
      <c r="W147" s="854"/>
      <c r="X147" s="854"/>
      <c r="Y147" s="854"/>
      <c r="Z147" s="854"/>
      <c r="AA147" s="854"/>
      <c r="AB147" s="854"/>
      <c r="AC147" s="854"/>
      <c r="AD147" s="854"/>
      <c r="AE147" s="854"/>
      <c r="AF147" s="854"/>
      <c r="AG147" s="854"/>
      <c r="AH147" s="854"/>
      <c r="AI147" s="854"/>
      <c r="AJ147" s="854"/>
      <c r="AK147" s="854"/>
      <c r="AL147" s="854"/>
      <c r="AM147" s="854"/>
      <c r="AN147" s="854"/>
      <c r="AO147" s="854"/>
      <c r="AP147" s="854"/>
      <c r="AQ147" s="854"/>
      <c r="AR147" s="854"/>
      <c r="AS147" s="854"/>
      <c r="AT147" s="854"/>
      <c r="AU147" s="854"/>
      <c r="AV147" s="854"/>
      <c r="AW147" s="854"/>
      <c r="AX147" s="854"/>
      <c r="AY147" s="854"/>
      <c r="AZ147" s="854"/>
      <c r="BA147" s="854"/>
      <c r="BB147" s="854"/>
      <c r="BC147" s="854"/>
      <c r="BD147" s="854"/>
      <c r="BE147" s="854"/>
      <c r="BF147" s="854"/>
      <c r="BG147" s="854"/>
      <c r="BH147" s="854"/>
      <c r="BI147" s="854"/>
      <c r="BJ147" s="854"/>
      <c r="BK147" s="854"/>
      <c r="BL147" s="854"/>
      <c r="BM147" s="854"/>
      <c r="BN147" s="854"/>
      <c r="BO147" s="854"/>
      <c r="BP147" s="854"/>
      <c r="BQ147" s="854"/>
      <c r="BR147" s="854"/>
      <c r="BS147" s="854"/>
      <c r="BT147" s="854"/>
      <c r="BU147" s="854"/>
      <c r="BV147" s="854"/>
      <c r="BW147" s="854"/>
      <c r="BX147" s="854"/>
      <c r="BY147" s="854"/>
      <c r="BZ147" s="854"/>
      <c r="CA147" s="571">
        <f>IF(OR(I147="",I147&lt;'Configs &amp; Procedures'!$L$29),0,IF(I147&gt;'Configs &amp; Procedures'!$L$30,1,IF(F147&gt;'Configs &amp; Procedures'!$L$31,0,1)))</f>
        <v>0</v>
      </c>
    </row>
    <row r="148" spans="2:79">
      <c r="B148" s="854"/>
      <c r="C148" s="854"/>
      <c r="D148" s="854"/>
      <c r="E148" s="854"/>
      <c r="F148" s="854"/>
      <c r="G148" s="854"/>
      <c r="H148" s="854"/>
      <c r="I148" s="854"/>
      <c r="J148" s="854"/>
      <c r="K148" s="854"/>
      <c r="L148" s="854"/>
      <c r="M148" s="854"/>
      <c r="N148" s="854"/>
      <c r="O148" s="854"/>
      <c r="P148" s="854"/>
      <c r="Q148" s="854"/>
      <c r="R148" s="854"/>
      <c r="S148" s="854"/>
      <c r="T148" s="854"/>
      <c r="U148" s="854"/>
      <c r="V148" s="854"/>
      <c r="W148" s="854"/>
      <c r="X148" s="854"/>
      <c r="Y148" s="854"/>
      <c r="Z148" s="854"/>
      <c r="AA148" s="854"/>
      <c r="AB148" s="854"/>
      <c r="AC148" s="854"/>
      <c r="AD148" s="854"/>
      <c r="AE148" s="854"/>
      <c r="AF148" s="854"/>
      <c r="AG148" s="854"/>
      <c r="AH148" s="854"/>
      <c r="AI148" s="854"/>
      <c r="AJ148" s="854"/>
      <c r="AK148" s="854"/>
      <c r="AL148" s="854"/>
      <c r="AM148" s="854"/>
      <c r="AN148" s="854"/>
      <c r="AO148" s="854"/>
      <c r="AP148" s="854"/>
      <c r="AQ148" s="854"/>
      <c r="AR148" s="854"/>
      <c r="AS148" s="854"/>
      <c r="AT148" s="854"/>
      <c r="AU148" s="854"/>
      <c r="AV148" s="854"/>
      <c r="AW148" s="854"/>
      <c r="AX148" s="854"/>
      <c r="AY148" s="854"/>
      <c r="AZ148" s="854"/>
      <c r="BA148" s="854"/>
      <c r="BB148" s="854"/>
      <c r="BC148" s="854"/>
      <c r="BD148" s="854"/>
      <c r="BE148" s="854"/>
      <c r="BF148" s="854"/>
      <c r="BG148" s="854"/>
      <c r="BH148" s="854"/>
      <c r="BI148" s="854"/>
      <c r="BJ148" s="854"/>
      <c r="BK148" s="854"/>
      <c r="BL148" s="854"/>
      <c r="BM148" s="854"/>
      <c r="BN148" s="854"/>
      <c r="BO148" s="854"/>
      <c r="BP148" s="854"/>
      <c r="BQ148" s="854"/>
      <c r="BR148" s="854"/>
      <c r="BS148" s="854"/>
      <c r="BT148" s="854"/>
      <c r="BU148" s="854"/>
      <c r="BV148" s="854"/>
      <c r="BW148" s="854"/>
      <c r="BX148" s="854"/>
      <c r="BY148" s="854"/>
      <c r="BZ148" s="854"/>
      <c r="CA148" s="571">
        <f>IF(OR(I148="",I148&lt;'Configs &amp; Procedures'!$L$29),0,IF(I148&gt;'Configs &amp; Procedures'!$L$30,1,IF(F148&gt;'Configs &amp; Procedures'!$L$31,0,1)))</f>
        <v>0</v>
      </c>
    </row>
    <row r="149" spans="2:79">
      <c r="B149" s="854"/>
      <c r="C149" s="854"/>
      <c r="D149" s="854"/>
      <c r="E149" s="854"/>
      <c r="F149" s="854"/>
      <c r="G149" s="854"/>
      <c r="H149" s="854"/>
      <c r="I149" s="854"/>
      <c r="J149" s="854"/>
      <c r="K149" s="854"/>
      <c r="L149" s="854"/>
      <c r="M149" s="854"/>
      <c r="N149" s="854"/>
      <c r="O149" s="854"/>
      <c r="P149" s="854"/>
      <c r="Q149" s="854"/>
      <c r="R149" s="854"/>
      <c r="S149" s="854"/>
      <c r="T149" s="854"/>
      <c r="U149" s="854"/>
      <c r="V149" s="854"/>
      <c r="W149" s="854"/>
      <c r="X149" s="854"/>
      <c r="Y149" s="854"/>
      <c r="Z149" s="854"/>
      <c r="AA149" s="854"/>
      <c r="AB149" s="854"/>
      <c r="AC149" s="854"/>
      <c r="AD149" s="854"/>
      <c r="AE149" s="854"/>
      <c r="AF149" s="854"/>
      <c r="AG149" s="854"/>
      <c r="AH149" s="854"/>
      <c r="AI149" s="854"/>
      <c r="AJ149" s="854"/>
      <c r="AK149" s="854"/>
      <c r="AL149" s="854"/>
      <c r="AM149" s="854"/>
      <c r="AN149" s="854"/>
      <c r="AO149" s="854"/>
      <c r="AP149" s="854"/>
      <c r="AQ149" s="854"/>
      <c r="AR149" s="854"/>
      <c r="AS149" s="854"/>
      <c r="AT149" s="854"/>
      <c r="AU149" s="854"/>
      <c r="AV149" s="854"/>
      <c r="AW149" s="854"/>
      <c r="AX149" s="854"/>
      <c r="AY149" s="854"/>
      <c r="AZ149" s="854"/>
      <c r="BA149" s="854"/>
      <c r="BB149" s="854"/>
      <c r="BC149" s="854"/>
      <c r="BD149" s="854"/>
      <c r="BE149" s="854"/>
      <c r="BF149" s="854"/>
      <c r="BG149" s="854"/>
      <c r="BH149" s="854"/>
      <c r="BI149" s="854"/>
      <c r="BJ149" s="854"/>
      <c r="BK149" s="854"/>
      <c r="BL149" s="854"/>
      <c r="BM149" s="854"/>
      <c r="BN149" s="854"/>
      <c r="BO149" s="854"/>
      <c r="BP149" s="854"/>
      <c r="BQ149" s="854"/>
      <c r="BR149" s="854"/>
      <c r="BS149" s="854"/>
      <c r="BT149" s="854"/>
      <c r="BU149" s="854"/>
      <c r="BV149" s="854"/>
      <c r="BW149" s="854"/>
      <c r="BX149" s="854"/>
      <c r="BY149" s="854"/>
      <c r="BZ149" s="854"/>
      <c r="CA149" s="571">
        <f>IF(OR(I149="",I149&lt;'Configs &amp; Procedures'!$L$29),0,IF(I149&gt;'Configs &amp; Procedures'!$L$30,1,IF(F149&gt;'Configs &amp; Procedures'!$L$31,0,1)))</f>
        <v>0</v>
      </c>
    </row>
    <row r="150" spans="2:79">
      <c r="B150" s="854"/>
      <c r="C150" s="854"/>
      <c r="D150" s="854"/>
      <c r="E150" s="854"/>
      <c r="F150" s="854"/>
      <c r="G150" s="854"/>
      <c r="H150" s="854"/>
      <c r="I150" s="854"/>
      <c r="J150" s="854"/>
      <c r="K150" s="854"/>
      <c r="L150" s="854"/>
      <c r="M150" s="854"/>
      <c r="N150" s="854"/>
      <c r="O150" s="854"/>
      <c r="P150" s="854"/>
      <c r="Q150" s="854"/>
      <c r="R150" s="854"/>
      <c r="S150" s="854"/>
      <c r="T150" s="854"/>
      <c r="U150" s="854"/>
      <c r="V150" s="854"/>
      <c r="W150" s="854"/>
      <c r="X150" s="854"/>
      <c r="Y150" s="854"/>
      <c r="Z150" s="854"/>
      <c r="AA150" s="854"/>
      <c r="AB150" s="854"/>
      <c r="AC150" s="854"/>
      <c r="AD150" s="854"/>
      <c r="AE150" s="854"/>
      <c r="AF150" s="854"/>
      <c r="AG150" s="854"/>
      <c r="AH150" s="854"/>
      <c r="AI150" s="854"/>
      <c r="AJ150" s="854"/>
      <c r="AK150" s="854"/>
      <c r="AL150" s="854"/>
      <c r="AM150" s="854"/>
      <c r="AN150" s="854"/>
      <c r="AO150" s="854"/>
      <c r="AP150" s="854"/>
      <c r="AQ150" s="854"/>
      <c r="AR150" s="854"/>
      <c r="AS150" s="854"/>
      <c r="AT150" s="854"/>
      <c r="AU150" s="854"/>
      <c r="AV150" s="854"/>
      <c r="AW150" s="854"/>
      <c r="AX150" s="854"/>
      <c r="AY150" s="854"/>
      <c r="AZ150" s="854"/>
      <c r="BA150" s="854"/>
      <c r="BB150" s="854"/>
      <c r="BC150" s="854"/>
      <c r="BD150" s="854"/>
      <c r="BE150" s="854"/>
      <c r="BF150" s="854"/>
      <c r="BG150" s="854"/>
      <c r="BH150" s="854"/>
      <c r="BI150" s="854"/>
      <c r="BJ150" s="854"/>
      <c r="BK150" s="854"/>
      <c r="BL150" s="854"/>
      <c r="BM150" s="854"/>
      <c r="BN150" s="854"/>
      <c r="BO150" s="854"/>
      <c r="BP150" s="854"/>
      <c r="BQ150" s="854"/>
      <c r="BR150" s="854"/>
      <c r="BS150" s="854"/>
      <c r="BT150" s="854"/>
      <c r="BU150" s="854"/>
      <c r="BV150" s="854"/>
      <c r="BW150" s="854"/>
      <c r="BX150" s="854"/>
      <c r="BY150" s="854"/>
      <c r="BZ150" s="854"/>
      <c r="CA150" s="571">
        <f>IF(OR(I150="",I150&lt;'Configs &amp; Procedures'!$L$29),0,IF(I150&gt;'Configs &amp; Procedures'!$L$30,1,IF(F150&gt;'Configs &amp; Procedures'!$L$31,0,1)))</f>
        <v>0</v>
      </c>
    </row>
    <row r="151" spans="2:79">
      <c r="B151" s="854"/>
      <c r="C151" s="854"/>
      <c r="D151" s="854"/>
      <c r="E151" s="854"/>
      <c r="F151" s="854"/>
      <c r="G151" s="854"/>
      <c r="H151" s="854"/>
      <c r="I151" s="854"/>
      <c r="J151" s="854"/>
      <c r="K151" s="854"/>
      <c r="L151" s="854"/>
      <c r="M151" s="854"/>
      <c r="N151" s="854"/>
      <c r="O151" s="854"/>
      <c r="P151" s="854"/>
      <c r="Q151" s="854"/>
      <c r="R151" s="854"/>
      <c r="S151" s="854"/>
      <c r="T151" s="854"/>
      <c r="U151" s="854"/>
      <c r="V151" s="854"/>
      <c r="W151" s="854"/>
      <c r="X151" s="854"/>
      <c r="Y151" s="854"/>
      <c r="Z151" s="854"/>
      <c r="AA151" s="854"/>
      <c r="AB151" s="854"/>
      <c r="AC151" s="854"/>
      <c r="AD151" s="854"/>
      <c r="AE151" s="854"/>
      <c r="AF151" s="854"/>
      <c r="AG151" s="854"/>
      <c r="AH151" s="854"/>
      <c r="AI151" s="854"/>
      <c r="AJ151" s="854"/>
      <c r="AK151" s="854"/>
      <c r="AL151" s="854"/>
      <c r="AM151" s="854"/>
      <c r="AN151" s="854"/>
      <c r="AO151" s="854"/>
      <c r="AP151" s="854"/>
      <c r="AQ151" s="854"/>
      <c r="AR151" s="854"/>
      <c r="AS151" s="854"/>
      <c r="AT151" s="854"/>
      <c r="AU151" s="854"/>
      <c r="AV151" s="854"/>
      <c r="AW151" s="854"/>
      <c r="AX151" s="854"/>
      <c r="AY151" s="854"/>
      <c r="AZ151" s="854"/>
      <c r="BA151" s="854"/>
      <c r="BB151" s="854"/>
      <c r="BC151" s="854"/>
      <c r="BD151" s="854"/>
      <c r="BE151" s="854"/>
      <c r="BF151" s="854"/>
      <c r="BG151" s="854"/>
      <c r="BH151" s="854"/>
      <c r="BI151" s="854"/>
      <c r="BJ151" s="854"/>
      <c r="BK151" s="854"/>
      <c r="BL151" s="854"/>
      <c r="BM151" s="854"/>
      <c r="BN151" s="854"/>
      <c r="BO151" s="854"/>
      <c r="BP151" s="854"/>
      <c r="BQ151" s="854"/>
      <c r="BR151" s="854"/>
      <c r="BS151" s="854"/>
      <c r="BT151" s="854"/>
      <c r="BU151" s="854"/>
      <c r="BV151" s="854"/>
      <c r="BW151" s="854"/>
      <c r="BX151" s="854"/>
      <c r="BY151" s="854"/>
      <c r="BZ151" s="854"/>
      <c r="CA151" s="571">
        <f>IF(OR(I151="",I151&lt;'Configs &amp; Procedures'!$L$29),0,IF(I151&gt;'Configs &amp; Procedures'!$L$30,1,IF(F151&gt;'Configs &amp; Procedures'!$L$31,0,1)))</f>
        <v>0</v>
      </c>
    </row>
    <row r="152" spans="2:79">
      <c r="B152" s="854"/>
      <c r="C152" s="854"/>
      <c r="D152" s="854"/>
      <c r="E152" s="854"/>
      <c r="F152" s="854"/>
      <c r="G152" s="854"/>
      <c r="H152" s="854"/>
      <c r="I152" s="854"/>
      <c r="J152" s="854"/>
      <c r="K152" s="854"/>
      <c r="L152" s="854"/>
      <c r="M152" s="854"/>
      <c r="N152" s="854"/>
      <c r="O152" s="854"/>
      <c r="P152" s="854"/>
      <c r="Q152" s="854"/>
      <c r="R152" s="854"/>
      <c r="S152" s="854"/>
      <c r="T152" s="854"/>
      <c r="U152" s="854"/>
      <c r="V152" s="854"/>
      <c r="W152" s="854"/>
      <c r="X152" s="854"/>
      <c r="Y152" s="854"/>
      <c r="Z152" s="854"/>
      <c r="AA152" s="854"/>
      <c r="AB152" s="854"/>
      <c r="AC152" s="854"/>
      <c r="AD152" s="854"/>
      <c r="AE152" s="854"/>
      <c r="AF152" s="854"/>
      <c r="AG152" s="854"/>
      <c r="AH152" s="854"/>
      <c r="AI152" s="854"/>
      <c r="AJ152" s="854"/>
      <c r="AK152" s="854"/>
      <c r="AL152" s="854"/>
      <c r="AM152" s="854"/>
      <c r="AN152" s="854"/>
      <c r="AO152" s="854"/>
      <c r="AP152" s="854"/>
      <c r="AQ152" s="854"/>
      <c r="AR152" s="854"/>
      <c r="AS152" s="854"/>
      <c r="AT152" s="854"/>
      <c r="AU152" s="854"/>
      <c r="AV152" s="854"/>
      <c r="AW152" s="854"/>
      <c r="AX152" s="854"/>
      <c r="AY152" s="854"/>
      <c r="AZ152" s="854"/>
      <c r="BA152" s="854"/>
      <c r="BB152" s="854"/>
      <c r="BC152" s="854"/>
      <c r="BD152" s="854"/>
      <c r="BE152" s="854"/>
      <c r="BF152" s="854"/>
      <c r="BG152" s="854"/>
      <c r="BH152" s="854"/>
      <c r="BI152" s="854"/>
      <c r="BJ152" s="854"/>
      <c r="BK152" s="854"/>
      <c r="BL152" s="854"/>
      <c r="BM152" s="854"/>
      <c r="BN152" s="854"/>
      <c r="BO152" s="854"/>
      <c r="BP152" s="854"/>
      <c r="BQ152" s="854"/>
      <c r="BR152" s="854"/>
      <c r="BS152" s="854"/>
      <c r="BT152" s="854"/>
      <c r="BU152" s="854"/>
      <c r="BV152" s="854"/>
      <c r="BW152" s="854"/>
      <c r="BX152" s="854"/>
      <c r="BY152" s="854"/>
      <c r="BZ152" s="854"/>
      <c r="CA152" s="571">
        <f>IF(OR(I152="",I152&lt;'Configs &amp; Procedures'!$L$29),0,IF(I152&gt;'Configs &amp; Procedures'!$L$30,1,IF(F152&gt;'Configs &amp; Procedures'!$L$31,0,1)))</f>
        <v>0</v>
      </c>
    </row>
    <row r="153" spans="2:79">
      <c r="B153" s="854"/>
      <c r="C153" s="854"/>
      <c r="D153" s="854"/>
      <c r="E153" s="854"/>
      <c r="F153" s="854"/>
      <c r="G153" s="854"/>
      <c r="H153" s="854"/>
      <c r="I153" s="854"/>
      <c r="J153" s="854"/>
      <c r="K153" s="854"/>
      <c r="L153" s="854"/>
      <c r="M153" s="854"/>
      <c r="N153" s="854"/>
      <c r="O153" s="854"/>
      <c r="P153" s="854"/>
      <c r="Q153" s="854"/>
      <c r="R153" s="854"/>
      <c r="S153" s="854"/>
      <c r="T153" s="854"/>
      <c r="U153" s="854"/>
      <c r="V153" s="854"/>
      <c r="W153" s="854"/>
      <c r="X153" s="854"/>
      <c r="Y153" s="854"/>
      <c r="Z153" s="854"/>
      <c r="AA153" s="854"/>
      <c r="AB153" s="854"/>
      <c r="AC153" s="854"/>
      <c r="AD153" s="854"/>
      <c r="AE153" s="854"/>
      <c r="AF153" s="854"/>
      <c r="AG153" s="854"/>
      <c r="AH153" s="854"/>
      <c r="AI153" s="854"/>
      <c r="AJ153" s="854"/>
      <c r="AK153" s="854"/>
      <c r="AL153" s="854"/>
      <c r="AM153" s="854"/>
      <c r="AN153" s="854"/>
      <c r="AO153" s="854"/>
      <c r="AP153" s="854"/>
      <c r="AQ153" s="854"/>
      <c r="AR153" s="854"/>
      <c r="AS153" s="854"/>
      <c r="AT153" s="854"/>
      <c r="AU153" s="854"/>
      <c r="AV153" s="854"/>
      <c r="AW153" s="854"/>
      <c r="AX153" s="854"/>
      <c r="AY153" s="854"/>
      <c r="AZ153" s="854"/>
      <c r="BA153" s="854"/>
      <c r="BB153" s="854"/>
      <c r="BC153" s="854"/>
      <c r="BD153" s="854"/>
      <c r="BE153" s="854"/>
      <c r="BF153" s="854"/>
      <c r="BG153" s="854"/>
      <c r="BH153" s="854"/>
      <c r="BI153" s="854"/>
      <c r="BJ153" s="854"/>
      <c r="BK153" s="854"/>
      <c r="BL153" s="854"/>
      <c r="BM153" s="854"/>
      <c r="BN153" s="854"/>
      <c r="BO153" s="854"/>
      <c r="BP153" s="854"/>
      <c r="BQ153" s="854"/>
      <c r="BR153" s="854"/>
      <c r="BS153" s="854"/>
      <c r="BT153" s="854"/>
      <c r="BU153" s="854"/>
      <c r="BV153" s="854"/>
      <c r="BW153" s="854"/>
      <c r="BX153" s="854"/>
      <c r="BY153" s="854"/>
      <c r="BZ153" s="854"/>
      <c r="CA153" s="571">
        <f>IF(OR(I153="",I153&lt;'Configs &amp; Procedures'!$L$29),0,IF(I153&gt;'Configs &amp; Procedures'!$L$30,1,IF(F153&gt;'Configs &amp; Procedures'!$L$31,0,1)))</f>
        <v>0</v>
      </c>
    </row>
    <row r="154" spans="2:79">
      <c r="B154" s="854"/>
      <c r="C154" s="854"/>
      <c r="D154" s="854"/>
      <c r="E154" s="854"/>
      <c r="F154" s="854"/>
      <c r="G154" s="854"/>
      <c r="H154" s="854"/>
      <c r="I154" s="854"/>
      <c r="J154" s="854"/>
      <c r="K154" s="854"/>
      <c r="L154" s="854"/>
      <c r="M154" s="854"/>
      <c r="N154" s="854"/>
      <c r="O154" s="854"/>
      <c r="P154" s="854"/>
      <c r="Q154" s="854"/>
      <c r="R154" s="854"/>
      <c r="S154" s="854"/>
      <c r="T154" s="854"/>
      <c r="U154" s="854"/>
      <c r="V154" s="854"/>
      <c r="W154" s="854"/>
      <c r="X154" s="854"/>
      <c r="Y154" s="854"/>
      <c r="Z154" s="854"/>
      <c r="AA154" s="854"/>
      <c r="AB154" s="854"/>
      <c r="AC154" s="854"/>
      <c r="AD154" s="854"/>
      <c r="AE154" s="854"/>
      <c r="AF154" s="854"/>
      <c r="AG154" s="854"/>
      <c r="AH154" s="854"/>
      <c r="AI154" s="854"/>
      <c r="AJ154" s="854"/>
      <c r="AK154" s="854"/>
      <c r="AL154" s="854"/>
      <c r="AM154" s="854"/>
      <c r="AN154" s="854"/>
      <c r="AO154" s="854"/>
      <c r="AP154" s="854"/>
      <c r="AQ154" s="854"/>
      <c r="AR154" s="854"/>
      <c r="AS154" s="854"/>
      <c r="AT154" s="854"/>
      <c r="AU154" s="854"/>
      <c r="AV154" s="854"/>
      <c r="AW154" s="854"/>
      <c r="AX154" s="854"/>
      <c r="AY154" s="854"/>
      <c r="AZ154" s="854"/>
      <c r="BA154" s="854"/>
      <c r="BB154" s="854"/>
      <c r="BC154" s="854"/>
      <c r="BD154" s="854"/>
      <c r="BE154" s="854"/>
      <c r="BF154" s="854"/>
      <c r="BG154" s="854"/>
      <c r="BH154" s="854"/>
      <c r="BI154" s="854"/>
      <c r="BJ154" s="854"/>
      <c r="BK154" s="854"/>
      <c r="BL154" s="854"/>
      <c r="BM154" s="854"/>
      <c r="BN154" s="854"/>
      <c r="BO154" s="854"/>
      <c r="BP154" s="854"/>
      <c r="BQ154" s="854"/>
      <c r="BR154" s="854"/>
      <c r="BS154" s="854"/>
      <c r="BT154" s="854"/>
      <c r="BU154" s="854"/>
      <c r="BV154" s="854"/>
      <c r="BW154" s="854"/>
      <c r="BX154" s="854"/>
      <c r="BY154" s="854"/>
      <c r="BZ154" s="854"/>
      <c r="CA154" s="571">
        <f>IF(OR(I154="",I154&lt;'Configs &amp; Procedures'!$L$29),0,IF(I154&gt;'Configs &amp; Procedures'!$L$30,1,IF(F154&gt;'Configs &amp; Procedures'!$L$31,0,1)))</f>
        <v>0</v>
      </c>
    </row>
    <row r="155" spans="2:79">
      <c r="B155" s="854"/>
      <c r="C155" s="854"/>
      <c r="D155" s="854"/>
      <c r="E155" s="854"/>
      <c r="F155" s="854"/>
      <c r="G155" s="854"/>
      <c r="H155" s="854"/>
      <c r="I155" s="854"/>
      <c r="J155" s="854"/>
      <c r="K155" s="854"/>
      <c r="L155" s="854"/>
      <c r="M155" s="854"/>
      <c r="N155" s="854"/>
      <c r="O155" s="854"/>
      <c r="P155" s="854"/>
      <c r="Q155" s="854"/>
      <c r="R155" s="854"/>
      <c r="S155" s="854"/>
      <c r="T155" s="854"/>
      <c r="U155" s="854"/>
      <c r="V155" s="854"/>
      <c r="W155" s="854"/>
      <c r="X155" s="854"/>
      <c r="Y155" s="854"/>
      <c r="Z155" s="854"/>
      <c r="AA155" s="854"/>
      <c r="AB155" s="854"/>
      <c r="AC155" s="854"/>
      <c r="AD155" s="854"/>
      <c r="AE155" s="854"/>
      <c r="AF155" s="854"/>
      <c r="AG155" s="854"/>
      <c r="AH155" s="854"/>
      <c r="AI155" s="854"/>
      <c r="AJ155" s="854"/>
      <c r="AK155" s="854"/>
      <c r="AL155" s="854"/>
      <c r="AM155" s="854"/>
      <c r="AN155" s="854"/>
      <c r="AO155" s="854"/>
      <c r="AP155" s="854"/>
      <c r="AQ155" s="854"/>
      <c r="AR155" s="854"/>
      <c r="AS155" s="854"/>
      <c r="AT155" s="854"/>
      <c r="AU155" s="854"/>
      <c r="AV155" s="854"/>
      <c r="AW155" s="854"/>
      <c r="AX155" s="854"/>
      <c r="AY155" s="854"/>
      <c r="AZ155" s="854"/>
      <c r="BA155" s="854"/>
      <c r="BB155" s="854"/>
      <c r="BC155" s="854"/>
      <c r="BD155" s="854"/>
      <c r="BE155" s="854"/>
      <c r="BF155" s="854"/>
      <c r="BG155" s="854"/>
      <c r="BH155" s="854"/>
      <c r="BI155" s="854"/>
      <c r="BJ155" s="854"/>
      <c r="BK155" s="854"/>
      <c r="BL155" s="854"/>
      <c r="BM155" s="854"/>
      <c r="BN155" s="854"/>
      <c r="BO155" s="854"/>
      <c r="BP155" s="854"/>
      <c r="BQ155" s="854"/>
      <c r="BR155" s="854"/>
      <c r="BS155" s="854"/>
      <c r="BT155" s="854"/>
      <c r="BU155" s="854"/>
      <c r="BV155" s="854"/>
      <c r="BW155" s="854"/>
      <c r="BX155" s="854"/>
      <c r="BY155" s="854"/>
      <c r="BZ155" s="854"/>
      <c r="CA155" s="571">
        <f>IF(OR(I155="",I155&lt;'Configs &amp; Procedures'!$L$29),0,IF(I155&gt;'Configs &amp; Procedures'!$L$30,1,IF(F155&gt;'Configs &amp; Procedures'!$L$31,0,1)))</f>
        <v>0</v>
      </c>
    </row>
    <row r="156" spans="2:79">
      <c r="B156" s="854"/>
      <c r="C156" s="854"/>
      <c r="D156" s="854"/>
      <c r="E156" s="854"/>
      <c r="F156" s="854"/>
      <c r="G156" s="854"/>
      <c r="H156" s="854"/>
      <c r="I156" s="854"/>
      <c r="J156" s="854"/>
      <c r="K156" s="854"/>
      <c r="L156" s="854"/>
      <c r="M156" s="854"/>
      <c r="N156" s="854"/>
      <c r="O156" s="854"/>
      <c r="P156" s="854"/>
      <c r="Q156" s="854"/>
      <c r="R156" s="854"/>
      <c r="S156" s="854"/>
      <c r="T156" s="854"/>
      <c r="U156" s="854"/>
      <c r="V156" s="854"/>
      <c r="W156" s="854"/>
      <c r="X156" s="854"/>
      <c r="Y156" s="854"/>
      <c r="Z156" s="854"/>
      <c r="AA156" s="854"/>
      <c r="AB156" s="854"/>
      <c r="AC156" s="854"/>
      <c r="AD156" s="854"/>
      <c r="AE156" s="854"/>
      <c r="AF156" s="854"/>
      <c r="AG156" s="854"/>
      <c r="AH156" s="854"/>
      <c r="AI156" s="854"/>
      <c r="AJ156" s="854"/>
      <c r="AK156" s="854"/>
      <c r="AL156" s="854"/>
      <c r="AM156" s="854"/>
      <c r="AN156" s="854"/>
      <c r="AO156" s="854"/>
      <c r="AP156" s="854"/>
      <c r="AQ156" s="854"/>
      <c r="AR156" s="854"/>
      <c r="AS156" s="854"/>
      <c r="AT156" s="854"/>
      <c r="AU156" s="854"/>
      <c r="AV156" s="854"/>
      <c r="AW156" s="854"/>
      <c r="AX156" s="854"/>
      <c r="AY156" s="854"/>
      <c r="AZ156" s="854"/>
      <c r="BA156" s="854"/>
      <c r="BB156" s="854"/>
      <c r="BC156" s="854"/>
      <c r="BD156" s="854"/>
      <c r="BE156" s="854"/>
      <c r="BF156" s="854"/>
      <c r="BG156" s="854"/>
      <c r="BH156" s="854"/>
      <c r="BI156" s="854"/>
      <c r="BJ156" s="854"/>
      <c r="BK156" s="854"/>
      <c r="BL156" s="854"/>
      <c r="BM156" s="854"/>
      <c r="BN156" s="854"/>
      <c r="BO156" s="854"/>
      <c r="BP156" s="854"/>
      <c r="BQ156" s="854"/>
      <c r="BR156" s="854"/>
      <c r="BS156" s="854"/>
      <c r="BT156" s="854"/>
      <c r="BU156" s="854"/>
      <c r="BV156" s="854"/>
      <c r="BW156" s="854"/>
      <c r="BX156" s="854"/>
      <c r="BY156" s="854"/>
      <c r="BZ156" s="854"/>
      <c r="CA156" s="571">
        <f>IF(OR(I156="",I156&lt;'Configs &amp; Procedures'!$L$29),0,IF(I156&gt;'Configs &amp; Procedures'!$L$30,1,IF(F156&gt;'Configs &amp; Procedures'!$L$31,0,1)))</f>
        <v>0</v>
      </c>
    </row>
    <row r="157" spans="2:79">
      <c r="B157" s="854"/>
      <c r="C157" s="854"/>
      <c r="D157" s="854"/>
      <c r="E157" s="854"/>
      <c r="F157" s="854"/>
      <c r="G157" s="854"/>
      <c r="H157" s="854"/>
      <c r="I157" s="854"/>
      <c r="J157" s="854"/>
      <c r="K157" s="854"/>
      <c r="L157" s="854"/>
      <c r="M157" s="854"/>
      <c r="N157" s="854"/>
      <c r="O157" s="854"/>
      <c r="P157" s="854"/>
      <c r="Q157" s="854"/>
      <c r="R157" s="854"/>
      <c r="S157" s="854"/>
      <c r="T157" s="854"/>
      <c r="U157" s="854"/>
      <c r="V157" s="854"/>
      <c r="W157" s="854"/>
      <c r="X157" s="854"/>
      <c r="Y157" s="854"/>
      <c r="Z157" s="854"/>
      <c r="AA157" s="854"/>
      <c r="AB157" s="854"/>
      <c r="AC157" s="854"/>
      <c r="AD157" s="854"/>
      <c r="AE157" s="854"/>
      <c r="AF157" s="854"/>
      <c r="AG157" s="854"/>
      <c r="AH157" s="854"/>
      <c r="AI157" s="854"/>
      <c r="AJ157" s="854"/>
      <c r="AK157" s="854"/>
      <c r="AL157" s="854"/>
      <c r="AM157" s="854"/>
      <c r="AN157" s="854"/>
      <c r="AO157" s="854"/>
      <c r="AP157" s="854"/>
      <c r="AQ157" s="854"/>
      <c r="AR157" s="854"/>
      <c r="AS157" s="854"/>
      <c r="AT157" s="854"/>
      <c r="AU157" s="854"/>
      <c r="AV157" s="854"/>
      <c r="AW157" s="854"/>
      <c r="AX157" s="854"/>
      <c r="AY157" s="854"/>
      <c r="AZ157" s="854"/>
      <c r="BA157" s="854"/>
      <c r="BB157" s="854"/>
      <c r="BC157" s="854"/>
      <c r="BD157" s="854"/>
      <c r="BE157" s="854"/>
      <c r="BF157" s="854"/>
      <c r="BG157" s="854"/>
      <c r="BH157" s="854"/>
      <c r="BI157" s="854"/>
      <c r="BJ157" s="854"/>
      <c r="BK157" s="854"/>
      <c r="BL157" s="854"/>
      <c r="BM157" s="854"/>
      <c r="BN157" s="854"/>
      <c r="BO157" s="854"/>
      <c r="BP157" s="854"/>
      <c r="BQ157" s="854"/>
      <c r="BR157" s="854"/>
      <c r="BS157" s="854"/>
      <c r="BT157" s="854"/>
      <c r="BU157" s="854"/>
      <c r="BV157" s="854"/>
      <c r="BW157" s="854"/>
      <c r="BX157" s="854"/>
      <c r="BY157" s="854"/>
      <c r="BZ157" s="854"/>
      <c r="CA157" s="571">
        <f>IF(OR(I157="",I157&lt;'Configs &amp; Procedures'!$L$29),0,IF(I157&gt;'Configs &amp; Procedures'!$L$30,1,IF(F157&gt;'Configs &amp; Procedures'!$L$31,0,1)))</f>
        <v>0</v>
      </c>
    </row>
    <row r="158" spans="2:79">
      <c r="B158" s="854"/>
      <c r="C158" s="854"/>
      <c r="D158" s="854"/>
      <c r="E158" s="854"/>
      <c r="F158" s="854"/>
      <c r="G158" s="854"/>
      <c r="H158" s="854"/>
      <c r="I158" s="854"/>
      <c r="J158" s="854"/>
      <c r="K158" s="854"/>
      <c r="L158" s="854"/>
      <c r="M158" s="854"/>
      <c r="N158" s="854"/>
      <c r="O158" s="854"/>
      <c r="P158" s="854"/>
      <c r="Q158" s="854"/>
      <c r="R158" s="854"/>
      <c r="S158" s="854"/>
      <c r="T158" s="854"/>
      <c r="U158" s="854"/>
      <c r="V158" s="854"/>
      <c r="W158" s="854"/>
      <c r="X158" s="854"/>
      <c r="Y158" s="854"/>
      <c r="Z158" s="854"/>
      <c r="AA158" s="854"/>
      <c r="AB158" s="854"/>
      <c r="AC158" s="854"/>
      <c r="AD158" s="854"/>
      <c r="AE158" s="854"/>
      <c r="AF158" s="854"/>
      <c r="AG158" s="854"/>
      <c r="AH158" s="854"/>
      <c r="AI158" s="854"/>
      <c r="AJ158" s="854"/>
      <c r="AK158" s="854"/>
      <c r="AL158" s="854"/>
      <c r="AM158" s="854"/>
      <c r="AN158" s="854"/>
      <c r="AO158" s="854"/>
      <c r="AP158" s="854"/>
      <c r="AQ158" s="854"/>
      <c r="AR158" s="854"/>
      <c r="AS158" s="854"/>
      <c r="AT158" s="854"/>
      <c r="AU158" s="854"/>
      <c r="AV158" s="854"/>
      <c r="AW158" s="854"/>
      <c r="AX158" s="854"/>
      <c r="AY158" s="854"/>
      <c r="AZ158" s="854"/>
      <c r="BA158" s="854"/>
      <c r="BB158" s="854"/>
      <c r="BC158" s="854"/>
      <c r="BD158" s="854"/>
      <c r="BE158" s="854"/>
      <c r="BF158" s="854"/>
      <c r="BG158" s="854"/>
      <c r="BH158" s="854"/>
      <c r="BI158" s="854"/>
      <c r="BJ158" s="854"/>
      <c r="BK158" s="854"/>
      <c r="BL158" s="854"/>
      <c r="BM158" s="854"/>
      <c r="BN158" s="854"/>
      <c r="BO158" s="854"/>
      <c r="BP158" s="854"/>
      <c r="BQ158" s="854"/>
      <c r="BR158" s="854"/>
      <c r="BS158" s="854"/>
      <c r="BT158" s="854"/>
      <c r="BU158" s="854"/>
      <c r="BV158" s="854"/>
      <c r="BW158" s="854"/>
      <c r="BX158" s="854"/>
      <c r="BY158" s="854"/>
      <c r="BZ158" s="854"/>
      <c r="CA158" s="571">
        <f>IF(OR(I158="",I158&lt;'Configs &amp; Procedures'!$L$29),0,IF(I158&gt;'Configs &amp; Procedures'!$L$30,1,IF(F158&gt;'Configs &amp; Procedures'!$L$31,0,1)))</f>
        <v>0</v>
      </c>
    </row>
    <row r="159" spans="2:79">
      <c r="B159" s="854"/>
      <c r="C159" s="854"/>
      <c r="D159" s="854"/>
      <c r="E159" s="854"/>
      <c r="F159" s="854"/>
      <c r="G159" s="854"/>
      <c r="H159" s="854"/>
      <c r="I159" s="854"/>
      <c r="J159" s="854"/>
      <c r="K159" s="854"/>
      <c r="L159" s="854"/>
      <c r="M159" s="854"/>
      <c r="N159" s="854"/>
      <c r="O159" s="854"/>
      <c r="P159" s="854"/>
      <c r="Q159" s="854"/>
      <c r="R159" s="854"/>
      <c r="S159" s="854"/>
      <c r="T159" s="854"/>
      <c r="U159" s="854"/>
      <c r="V159" s="854"/>
      <c r="W159" s="854"/>
      <c r="X159" s="854"/>
      <c r="Y159" s="854"/>
      <c r="Z159" s="854"/>
      <c r="AA159" s="854"/>
      <c r="AB159" s="854"/>
      <c r="AC159" s="854"/>
      <c r="AD159" s="854"/>
      <c r="AE159" s="854"/>
      <c r="AF159" s="854"/>
      <c r="AG159" s="854"/>
      <c r="AH159" s="854"/>
      <c r="AI159" s="854"/>
      <c r="AJ159" s="854"/>
      <c r="AK159" s="854"/>
      <c r="AL159" s="854"/>
      <c r="AM159" s="854"/>
      <c r="AN159" s="854"/>
      <c r="AO159" s="854"/>
      <c r="AP159" s="854"/>
      <c r="AQ159" s="854"/>
      <c r="AR159" s="854"/>
      <c r="AS159" s="854"/>
      <c r="AT159" s="854"/>
      <c r="AU159" s="854"/>
      <c r="AV159" s="854"/>
      <c r="AW159" s="854"/>
      <c r="AX159" s="854"/>
      <c r="AY159" s="854"/>
      <c r="AZ159" s="854"/>
      <c r="BA159" s="854"/>
      <c r="BB159" s="854"/>
      <c r="BC159" s="854"/>
      <c r="BD159" s="854"/>
      <c r="BE159" s="854"/>
      <c r="BF159" s="854"/>
      <c r="BG159" s="854"/>
      <c r="BH159" s="854"/>
      <c r="BI159" s="854"/>
      <c r="BJ159" s="854"/>
      <c r="BK159" s="854"/>
      <c r="BL159" s="854"/>
      <c r="BM159" s="854"/>
      <c r="BN159" s="854"/>
      <c r="BO159" s="854"/>
      <c r="BP159" s="854"/>
      <c r="BQ159" s="854"/>
      <c r="BR159" s="854"/>
      <c r="BS159" s="854"/>
      <c r="BT159" s="854"/>
      <c r="BU159" s="854"/>
      <c r="BV159" s="854"/>
      <c r="BW159" s="854"/>
      <c r="BX159" s="854"/>
      <c r="BY159" s="854"/>
      <c r="BZ159" s="854"/>
      <c r="CA159" s="571">
        <f>IF(OR(I159="",I159&lt;'Configs &amp; Procedures'!$L$29),0,IF(I159&gt;'Configs &amp; Procedures'!$L$30,1,IF(F159&gt;'Configs &amp; Procedures'!$L$31,0,1)))</f>
        <v>0</v>
      </c>
    </row>
    <row r="160" spans="2:79">
      <c r="B160" s="854"/>
      <c r="C160" s="854"/>
      <c r="D160" s="854"/>
      <c r="E160" s="854"/>
      <c r="F160" s="854"/>
      <c r="G160" s="854"/>
      <c r="H160" s="854"/>
      <c r="I160" s="854"/>
      <c r="J160" s="854"/>
      <c r="K160" s="854"/>
      <c r="L160" s="854"/>
      <c r="M160" s="854"/>
      <c r="N160" s="854"/>
      <c r="O160" s="854"/>
      <c r="P160" s="854"/>
      <c r="Q160" s="854"/>
      <c r="R160" s="854"/>
      <c r="S160" s="854"/>
      <c r="T160" s="854"/>
      <c r="U160" s="854"/>
      <c r="V160" s="854"/>
      <c r="W160" s="854"/>
      <c r="X160" s="854"/>
      <c r="Y160" s="854"/>
      <c r="Z160" s="854"/>
      <c r="AA160" s="854"/>
      <c r="AB160" s="854"/>
      <c r="AC160" s="854"/>
      <c r="AD160" s="854"/>
      <c r="AE160" s="854"/>
      <c r="AF160" s="854"/>
      <c r="AG160" s="854"/>
      <c r="AH160" s="854"/>
      <c r="AI160" s="854"/>
      <c r="AJ160" s="854"/>
      <c r="AK160" s="854"/>
      <c r="AL160" s="854"/>
      <c r="AM160" s="854"/>
      <c r="AN160" s="854"/>
      <c r="AO160" s="854"/>
      <c r="AP160" s="854"/>
      <c r="AQ160" s="854"/>
      <c r="AR160" s="854"/>
      <c r="AS160" s="854"/>
      <c r="AT160" s="854"/>
      <c r="AU160" s="854"/>
      <c r="AV160" s="854"/>
      <c r="AW160" s="854"/>
      <c r="AX160" s="854"/>
      <c r="AY160" s="854"/>
      <c r="AZ160" s="854"/>
      <c r="BA160" s="854"/>
      <c r="BB160" s="854"/>
      <c r="BC160" s="854"/>
      <c r="BD160" s="854"/>
      <c r="BE160" s="854"/>
      <c r="BF160" s="854"/>
      <c r="BG160" s="854"/>
      <c r="BH160" s="854"/>
      <c r="BI160" s="854"/>
      <c r="BJ160" s="854"/>
      <c r="BK160" s="854"/>
      <c r="BL160" s="854"/>
      <c r="BM160" s="854"/>
      <c r="BN160" s="854"/>
      <c r="BO160" s="854"/>
      <c r="BP160" s="854"/>
      <c r="BQ160" s="854"/>
      <c r="BR160" s="854"/>
      <c r="BS160" s="854"/>
      <c r="BT160" s="854"/>
      <c r="BU160" s="854"/>
      <c r="BV160" s="854"/>
      <c r="BW160" s="854"/>
      <c r="BX160" s="854"/>
      <c r="BY160" s="854"/>
      <c r="BZ160" s="854"/>
      <c r="CA160" s="571">
        <f>IF(OR(I160="",I160&lt;'Configs &amp; Procedures'!$L$29),0,IF(I160&gt;'Configs &amp; Procedures'!$L$30,1,IF(F160&gt;'Configs &amp; Procedures'!$L$31,0,1)))</f>
        <v>0</v>
      </c>
    </row>
    <row r="161" spans="2:79">
      <c r="B161" s="854"/>
      <c r="C161" s="854"/>
      <c r="D161" s="854"/>
      <c r="E161" s="854"/>
      <c r="F161" s="854"/>
      <c r="G161" s="854"/>
      <c r="H161" s="854"/>
      <c r="I161" s="854"/>
      <c r="J161" s="854"/>
      <c r="K161" s="854"/>
      <c r="L161" s="854"/>
      <c r="M161" s="854"/>
      <c r="N161" s="854"/>
      <c r="O161" s="854"/>
      <c r="P161" s="854"/>
      <c r="Q161" s="854"/>
      <c r="R161" s="854"/>
      <c r="S161" s="854"/>
      <c r="T161" s="854"/>
      <c r="U161" s="854"/>
      <c r="V161" s="854"/>
      <c r="W161" s="854"/>
      <c r="X161" s="854"/>
      <c r="Y161" s="854"/>
      <c r="Z161" s="854"/>
      <c r="AA161" s="854"/>
      <c r="AB161" s="854"/>
      <c r="AC161" s="854"/>
      <c r="AD161" s="854"/>
      <c r="AE161" s="854"/>
      <c r="AF161" s="854"/>
      <c r="AG161" s="854"/>
      <c r="AH161" s="854"/>
      <c r="AI161" s="854"/>
      <c r="AJ161" s="854"/>
      <c r="AK161" s="854"/>
      <c r="AL161" s="854"/>
      <c r="AM161" s="854"/>
      <c r="AN161" s="854"/>
      <c r="AO161" s="854"/>
      <c r="AP161" s="854"/>
      <c r="AQ161" s="854"/>
      <c r="AR161" s="854"/>
      <c r="AS161" s="854"/>
      <c r="AT161" s="854"/>
      <c r="AU161" s="854"/>
      <c r="AV161" s="854"/>
      <c r="AW161" s="854"/>
      <c r="AX161" s="854"/>
      <c r="AY161" s="854"/>
      <c r="AZ161" s="854"/>
      <c r="BA161" s="854"/>
      <c r="BB161" s="854"/>
      <c r="BC161" s="854"/>
      <c r="BD161" s="854"/>
      <c r="BE161" s="854"/>
      <c r="BF161" s="854"/>
      <c r="BG161" s="854"/>
      <c r="BH161" s="854"/>
      <c r="BI161" s="854"/>
      <c r="BJ161" s="854"/>
      <c r="BK161" s="854"/>
      <c r="BL161" s="854"/>
      <c r="BM161" s="854"/>
      <c r="BN161" s="854"/>
      <c r="BO161" s="854"/>
      <c r="BP161" s="854"/>
      <c r="BQ161" s="854"/>
      <c r="BR161" s="854"/>
      <c r="BS161" s="854"/>
      <c r="BT161" s="854"/>
      <c r="BU161" s="854"/>
      <c r="BV161" s="854"/>
      <c r="BW161" s="854"/>
      <c r="BX161" s="854"/>
      <c r="BY161" s="854"/>
      <c r="BZ161" s="854"/>
      <c r="CA161" s="571">
        <f>IF(OR(I161="",I161&lt;'Configs &amp; Procedures'!$L$29),0,IF(I161&gt;'Configs &amp; Procedures'!$L$30,1,IF(F161&gt;'Configs &amp; Procedures'!$L$31,0,1)))</f>
        <v>0</v>
      </c>
    </row>
    <row r="162" spans="2:79">
      <c r="B162" s="854"/>
      <c r="C162" s="854"/>
      <c r="D162" s="854"/>
      <c r="E162" s="854"/>
      <c r="F162" s="854"/>
      <c r="G162" s="854"/>
      <c r="H162" s="854"/>
      <c r="I162" s="854"/>
      <c r="J162" s="854"/>
      <c r="K162" s="854"/>
      <c r="L162" s="854"/>
      <c r="M162" s="854"/>
      <c r="N162" s="854"/>
      <c r="O162" s="854"/>
      <c r="P162" s="854"/>
      <c r="Q162" s="854"/>
      <c r="R162" s="854"/>
      <c r="S162" s="854"/>
      <c r="T162" s="854"/>
      <c r="U162" s="854"/>
      <c r="V162" s="854"/>
      <c r="W162" s="854"/>
      <c r="X162" s="854"/>
      <c r="Y162" s="854"/>
      <c r="Z162" s="854"/>
      <c r="AA162" s="854"/>
      <c r="AB162" s="854"/>
      <c r="AC162" s="854"/>
      <c r="AD162" s="854"/>
      <c r="AE162" s="854"/>
      <c r="AF162" s="854"/>
      <c r="AG162" s="854"/>
      <c r="AH162" s="854"/>
      <c r="AI162" s="854"/>
      <c r="AJ162" s="854"/>
      <c r="AK162" s="854"/>
      <c r="AL162" s="854"/>
      <c r="AM162" s="854"/>
      <c r="AN162" s="854"/>
      <c r="AO162" s="854"/>
      <c r="AP162" s="854"/>
      <c r="AQ162" s="854"/>
      <c r="AR162" s="854"/>
      <c r="AS162" s="854"/>
      <c r="AT162" s="854"/>
      <c r="AU162" s="854"/>
      <c r="AV162" s="854"/>
      <c r="AW162" s="854"/>
      <c r="AX162" s="854"/>
      <c r="AY162" s="854"/>
      <c r="AZ162" s="854"/>
      <c r="BA162" s="854"/>
      <c r="BB162" s="854"/>
      <c r="BC162" s="854"/>
      <c r="BD162" s="854"/>
      <c r="BE162" s="854"/>
      <c r="BF162" s="854"/>
      <c r="BG162" s="854"/>
      <c r="BH162" s="854"/>
      <c r="BI162" s="854"/>
      <c r="BJ162" s="854"/>
      <c r="BK162" s="854"/>
      <c r="BL162" s="854"/>
      <c r="BM162" s="854"/>
      <c r="BN162" s="854"/>
      <c r="BO162" s="854"/>
      <c r="BP162" s="854"/>
      <c r="BQ162" s="854"/>
      <c r="BR162" s="854"/>
      <c r="BS162" s="854"/>
      <c r="BT162" s="854"/>
      <c r="BU162" s="854"/>
      <c r="BV162" s="854"/>
      <c r="BW162" s="854"/>
      <c r="BX162" s="854"/>
      <c r="BY162" s="854"/>
      <c r="BZ162" s="854"/>
      <c r="CA162" s="571">
        <f>IF(OR(I162="",I162&lt;'Configs &amp; Procedures'!$L$29),0,IF(I162&gt;'Configs &amp; Procedures'!$L$30,1,IF(F162&gt;'Configs &amp; Procedures'!$L$31,0,1)))</f>
        <v>0</v>
      </c>
    </row>
    <row r="163" spans="2:79">
      <c r="B163" s="854"/>
      <c r="C163" s="854"/>
      <c r="D163" s="854"/>
      <c r="E163" s="854"/>
      <c r="F163" s="854"/>
      <c r="G163" s="854"/>
      <c r="H163" s="854"/>
      <c r="I163" s="854"/>
      <c r="J163" s="854"/>
      <c r="K163" s="854"/>
      <c r="L163" s="854"/>
      <c r="M163" s="854"/>
      <c r="N163" s="854"/>
      <c r="O163" s="854"/>
      <c r="P163" s="854"/>
      <c r="Q163" s="854"/>
      <c r="R163" s="854"/>
      <c r="S163" s="854"/>
      <c r="T163" s="854"/>
      <c r="U163" s="854"/>
      <c r="V163" s="854"/>
      <c r="W163" s="854"/>
      <c r="X163" s="854"/>
      <c r="Y163" s="854"/>
      <c r="Z163" s="854"/>
      <c r="AA163" s="854"/>
      <c r="AB163" s="854"/>
      <c r="AC163" s="854"/>
      <c r="AD163" s="854"/>
      <c r="AE163" s="854"/>
      <c r="AF163" s="854"/>
      <c r="AG163" s="854"/>
      <c r="AH163" s="854"/>
      <c r="AI163" s="854"/>
      <c r="AJ163" s="854"/>
      <c r="AK163" s="854"/>
      <c r="AL163" s="854"/>
      <c r="AM163" s="854"/>
      <c r="AN163" s="854"/>
      <c r="AO163" s="854"/>
      <c r="AP163" s="854"/>
      <c r="AQ163" s="854"/>
      <c r="AR163" s="854"/>
      <c r="AS163" s="854"/>
      <c r="AT163" s="854"/>
      <c r="AU163" s="854"/>
      <c r="AV163" s="854"/>
      <c r="AW163" s="854"/>
      <c r="AX163" s="854"/>
      <c r="AY163" s="854"/>
      <c r="AZ163" s="854"/>
      <c r="BA163" s="854"/>
      <c r="BB163" s="854"/>
      <c r="BC163" s="854"/>
      <c r="BD163" s="854"/>
      <c r="BE163" s="854"/>
      <c r="BF163" s="854"/>
      <c r="BG163" s="854"/>
      <c r="BH163" s="854"/>
      <c r="BI163" s="854"/>
      <c r="BJ163" s="854"/>
      <c r="BK163" s="854"/>
      <c r="BL163" s="854"/>
      <c r="BM163" s="854"/>
      <c r="BN163" s="854"/>
      <c r="BO163" s="854"/>
      <c r="BP163" s="854"/>
      <c r="BQ163" s="854"/>
      <c r="BR163" s="854"/>
      <c r="BS163" s="854"/>
      <c r="BT163" s="854"/>
      <c r="BU163" s="854"/>
      <c r="BV163" s="854"/>
      <c r="BW163" s="854"/>
      <c r="BX163" s="854"/>
      <c r="BY163" s="854"/>
      <c r="BZ163" s="854"/>
      <c r="CA163" s="571">
        <f>IF(OR(I163="",I163&lt;'Configs &amp; Procedures'!$L$29),0,IF(I163&gt;'Configs &amp; Procedures'!$L$30,1,IF(F163&gt;'Configs &amp; Procedures'!$L$31,0,1)))</f>
        <v>0</v>
      </c>
    </row>
    <row r="164" spans="2:79">
      <c r="B164" s="854"/>
      <c r="C164" s="854"/>
      <c r="D164" s="854"/>
      <c r="E164" s="854"/>
      <c r="F164" s="854"/>
      <c r="G164" s="854"/>
      <c r="H164" s="854"/>
      <c r="I164" s="854"/>
      <c r="J164" s="854"/>
      <c r="K164" s="854"/>
      <c r="L164" s="854"/>
      <c r="M164" s="854"/>
      <c r="N164" s="854"/>
      <c r="O164" s="854"/>
      <c r="P164" s="854"/>
      <c r="Q164" s="854"/>
      <c r="R164" s="854"/>
      <c r="S164" s="854"/>
      <c r="T164" s="854"/>
      <c r="U164" s="854"/>
      <c r="V164" s="854"/>
      <c r="W164" s="854"/>
      <c r="X164" s="854"/>
      <c r="Y164" s="854"/>
      <c r="Z164" s="854"/>
      <c r="AA164" s="854"/>
      <c r="AB164" s="854"/>
      <c r="AC164" s="854"/>
      <c r="AD164" s="854"/>
      <c r="AE164" s="854"/>
      <c r="AF164" s="854"/>
      <c r="AG164" s="854"/>
      <c r="AH164" s="854"/>
      <c r="AI164" s="854"/>
      <c r="AJ164" s="854"/>
      <c r="AK164" s="854"/>
      <c r="AL164" s="854"/>
      <c r="AM164" s="854"/>
      <c r="AN164" s="854"/>
      <c r="AO164" s="854"/>
      <c r="AP164" s="854"/>
      <c r="AQ164" s="854"/>
      <c r="AR164" s="854"/>
      <c r="AS164" s="854"/>
      <c r="AT164" s="854"/>
      <c r="AU164" s="854"/>
      <c r="AV164" s="854"/>
      <c r="AW164" s="854"/>
      <c r="AX164" s="854"/>
      <c r="AY164" s="854"/>
      <c r="AZ164" s="854"/>
      <c r="BA164" s="854"/>
      <c r="BB164" s="854"/>
      <c r="BC164" s="854"/>
      <c r="BD164" s="854"/>
      <c r="BE164" s="854"/>
      <c r="BF164" s="854"/>
      <c r="BG164" s="854"/>
      <c r="BH164" s="854"/>
      <c r="BI164" s="854"/>
      <c r="BJ164" s="854"/>
      <c r="BK164" s="854"/>
      <c r="BL164" s="854"/>
      <c r="BM164" s="854"/>
      <c r="BN164" s="854"/>
      <c r="BO164" s="854"/>
      <c r="BP164" s="854"/>
      <c r="BQ164" s="854"/>
      <c r="BR164" s="854"/>
      <c r="BS164" s="854"/>
      <c r="BT164" s="854"/>
      <c r="BU164" s="854"/>
      <c r="BV164" s="854"/>
      <c r="BW164" s="854"/>
      <c r="BX164" s="854"/>
      <c r="BY164" s="854"/>
      <c r="BZ164" s="854"/>
      <c r="CA164" s="571">
        <f>IF(OR(I164="",I164&lt;'Configs &amp; Procedures'!$L$29),0,IF(I164&gt;'Configs &amp; Procedures'!$L$30,1,IF(F164&gt;'Configs &amp; Procedures'!$L$31,0,1)))</f>
        <v>0</v>
      </c>
    </row>
    <row r="165" spans="2:79">
      <c r="B165" s="854"/>
      <c r="C165" s="854"/>
      <c r="D165" s="854"/>
      <c r="E165" s="854"/>
      <c r="F165" s="854"/>
      <c r="G165" s="854"/>
      <c r="H165" s="854"/>
      <c r="I165" s="854"/>
      <c r="J165" s="854"/>
      <c r="K165" s="854"/>
      <c r="L165" s="854"/>
      <c r="M165" s="854"/>
      <c r="N165" s="854"/>
      <c r="O165" s="854"/>
      <c r="P165" s="854"/>
      <c r="Q165" s="854"/>
      <c r="R165" s="854"/>
      <c r="S165" s="854"/>
      <c r="T165" s="854"/>
      <c r="U165" s="854"/>
      <c r="V165" s="854"/>
      <c r="W165" s="854"/>
      <c r="X165" s="854"/>
      <c r="Y165" s="854"/>
      <c r="Z165" s="854"/>
      <c r="AA165" s="854"/>
      <c r="AB165" s="854"/>
      <c r="AC165" s="854"/>
      <c r="AD165" s="854"/>
      <c r="AE165" s="854"/>
      <c r="AF165" s="854"/>
      <c r="AG165" s="854"/>
      <c r="AH165" s="854"/>
      <c r="AI165" s="854"/>
      <c r="AJ165" s="854"/>
      <c r="AK165" s="854"/>
      <c r="AL165" s="854"/>
      <c r="AM165" s="854"/>
      <c r="AN165" s="854"/>
      <c r="AO165" s="854"/>
      <c r="AP165" s="854"/>
      <c r="AQ165" s="854"/>
      <c r="AR165" s="854"/>
      <c r="AS165" s="854"/>
      <c r="AT165" s="854"/>
      <c r="AU165" s="854"/>
      <c r="AV165" s="854"/>
      <c r="AW165" s="854"/>
      <c r="AX165" s="854"/>
      <c r="AY165" s="854"/>
      <c r="AZ165" s="854"/>
      <c r="BA165" s="854"/>
      <c r="BB165" s="854"/>
      <c r="BC165" s="854"/>
      <c r="BD165" s="854"/>
      <c r="BE165" s="854"/>
      <c r="BF165" s="854"/>
      <c r="BG165" s="854"/>
      <c r="BH165" s="854"/>
      <c r="BI165" s="854"/>
      <c r="BJ165" s="854"/>
      <c r="BK165" s="854"/>
      <c r="BL165" s="854"/>
      <c r="BM165" s="854"/>
      <c r="BN165" s="854"/>
      <c r="BO165" s="854"/>
      <c r="BP165" s="854"/>
      <c r="BQ165" s="854"/>
      <c r="BR165" s="854"/>
      <c r="BS165" s="854"/>
      <c r="BT165" s="854"/>
      <c r="BU165" s="854"/>
      <c r="BV165" s="854"/>
      <c r="BW165" s="854"/>
      <c r="BX165" s="854"/>
      <c r="BY165" s="854"/>
      <c r="BZ165" s="854"/>
      <c r="CA165" s="571">
        <f>IF(OR(I165="",I165&lt;'Configs &amp; Procedures'!$L$29),0,IF(I165&gt;'Configs &amp; Procedures'!$L$30,1,IF(F165&gt;'Configs &amp; Procedures'!$L$31,0,1)))</f>
        <v>0</v>
      </c>
    </row>
    <row r="166" spans="2:79">
      <c r="B166" s="854"/>
      <c r="C166" s="854"/>
      <c r="D166" s="854"/>
      <c r="E166" s="854"/>
      <c r="F166" s="854"/>
      <c r="G166" s="854"/>
      <c r="H166" s="854"/>
      <c r="I166" s="854"/>
      <c r="J166" s="854"/>
      <c r="K166" s="854"/>
      <c r="L166" s="854"/>
      <c r="M166" s="854"/>
      <c r="N166" s="854"/>
      <c r="O166" s="854"/>
      <c r="P166" s="854"/>
      <c r="Q166" s="854"/>
      <c r="R166" s="854"/>
      <c r="S166" s="854"/>
      <c r="T166" s="854"/>
      <c r="U166" s="854"/>
      <c r="V166" s="854"/>
      <c r="W166" s="854"/>
      <c r="X166" s="854"/>
      <c r="Y166" s="854"/>
      <c r="Z166" s="854"/>
      <c r="AA166" s="854"/>
      <c r="AB166" s="854"/>
      <c r="AC166" s="854"/>
      <c r="AD166" s="854"/>
      <c r="AE166" s="854"/>
      <c r="AF166" s="854"/>
      <c r="AG166" s="854"/>
      <c r="AH166" s="854"/>
      <c r="AI166" s="854"/>
      <c r="AJ166" s="854"/>
      <c r="AK166" s="854"/>
      <c r="AL166" s="854"/>
      <c r="AM166" s="854"/>
      <c r="AN166" s="854"/>
      <c r="AO166" s="854"/>
      <c r="AP166" s="854"/>
      <c r="AQ166" s="854"/>
      <c r="AR166" s="854"/>
      <c r="AS166" s="854"/>
      <c r="AT166" s="854"/>
      <c r="AU166" s="854"/>
      <c r="AV166" s="854"/>
      <c r="AW166" s="854"/>
      <c r="AX166" s="854"/>
      <c r="AY166" s="854"/>
      <c r="AZ166" s="854"/>
      <c r="BA166" s="854"/>
      <c r="BB166" s="854"/>
      <c r="BC166" s="854"/>
      <c r="BD166" s="854"/>
      <c r="BE166" s="854"/>
      <c r="BF166" s="854"/>
      <c r="BG166" s="854"/>
      <c r="BH166" s="854"/>
      <c r="BI166" s="854"/>
      <c r="BJ166" s="854"/>
      <c r="BK166" s="854"/>
      <c r="BL166" s="854"/>
      <c r="BM166" s="854"/>
      <c r="BN166" s="854"/>
      <c r="BO166" s="854"/>
      <c r="BP166" s="854"/>
      <c r="BQ166" s="854"/>
      <c r="BR166" s="854"/>
      <c r="BS166" s="854"/>
      <c r="BT166" s="854"/>
      <c r="BU166" s="854"/>
      <c r="BV166" s="854"/>
      <c r="BW166" s="854"/>
      <c r="BX166" s="854"/>
      <c r="BY166" s="854"/>
      <c r="BZ166" s="854"/>
      <c r="CA166" s="571">
        <f>IF(OR(I166="",I166&lt;'Configs &amp; Procedures'!$L$29),0,IF(I166&gt;'Configs &amp; Procedures'!$L$30,1,IF(F166&gt;'Configs &amp; Procedures'!$L$31,0,1)))</f>
        <v>0</v>
      </c>
    </row>
    <row r="167" spans="2:79">
      <c r="B167" s="854"/>
      <c r="C167" s="854"/>
      <c r="D167" s="854"/>
      <c r="E167" s="854"/>
      <c r="F167" s="854"/>
      <c r="G167" s="854"/>
      <c r="H167" s="854"/>
      <c r="I167" s="854"/>
      <c r="J167" s="854"/>
      <c r="K167" s="854"/>
      <c r="L167" s="854"/>
      <c r="M167" s="854"/>
      <c r="N167" s="854"/>
      <c r="O167" s="854"/>
      <c r="P167" s="854"/>
      <c r="Q167" s="854"/>
      <c r="R167" s="854"/>
      <c r="S167" s="854"/>
      <c r="T167" s="854"/>
      <c r="U167" s="854"/>
      <c r="V167" s="854"/>
      <c r="W167" s="854"/>
      <c r="X167" s="854"/>
      <c r="Y167" s="854"/>
      <c r="Z167" s="854"/>
      <c r="AA167" s="854"/>
      <c r="AB167" s="854"/>
      <c r="AC167" s="854"/>
      <c r="AD167" s="854"/>
      <c r="AE167" s="854"/>
      <c r="AF167" s="854"/>
      <c r="AG167" s="854"/>
      <c r="AH167" s="854"/>
      <c r="AI167" s="854"/>
      <c r="AJ167" s="854"/>
      <c r="AK167" s="854"/>
      <c r="AL167" s="854"/>
      <c r="AM167" s="854"/>
      <c r="AN167" s="854"/>
      <c r="AO167" s="854"/>
      <c r="AP167" s="854"/>
      <c r="AQ167" s="854"/>
      <c r="AR167" s="854"/>
      <c r="AS167" s="854"/>
      <c r="AT167" s="854"/>
      <c r="AU167" s="854"/>
      <c r="AV167" s="854"/>
      <c r="AW167" s="854"/>
      <c r="AX167" s="854"/>
      <c r="AY167" s="854"/>
      <c r="AZ167" s="854"/>
      <c r="BA167" s="854"/>
      <c r="BB167" s="854"/>
      <c r="BC167" s="854"/>
      <c r="BD167" s="854"/>
      <c r="BE167" s="854"/>
      <c r="BF167" s="854"/>
      <c r="BG167" s="854"/>
      <c r="BH167" s="854"/>
      <c r="BI167" s="854"/>
      <c r="BJ167" s="854"/>
      <c r="BK167" s="854"/>
      <c r="BL167" s="854"/>
      <c r="BM167" s="854"/>
      <c r="BN167" s="854"/>
      <c r="BO167" s="854"/>
      <c r="BP167" s="854"/>
      <c r="BQ167" s="854"/>
      <c r="BR167" s="854"/>
      <c r="BS167" s="854"/>
      <c r="BT167" s="854"/>
      <c r="BU167" s="854"/>
      <c r="BV167" s="854"/>
      <c r="BW167" s="854"/>
      <c r="BX167" s="854"/>
      <c r="BY167" s="854"/>
      <c r="BZ167" s="854"/>
      <c r="CA167" s="571">
        <f>IF(OR(I167="",I167&lt;'Configs &amp; Procedures'!$L$29),0,IF(I167&gt;'Configs &amp; Procedures'!$L$30,1,IF(F167&gt;'Configs &amp; Procedures'!$L$31,0,1)))</f>
        <v>0</v>
      </c>
    </row>
    <row r="168" spans="2:79">
      <c r="B168" s="854"/>
      <c r="C168" s="854"/>
      <c r="D168" s="854"/>
      <c r="E168" s="854"/>
      <c r="F168" s="854"/>
      <c r="G168" s="854"/>
      <c r="H168" s="854"/>
      <c r="I168" s="854"/>
      <c r="J168" s="854"/>
      <c r="K168" s="854"/>
      <c r="L168" s="854"/>
      <c r="M168" s="854"/>
      <c r="N168" s="854"/>
      <c r="O168" s="854"/>
      <c r="P168" s="854"/>
      <c r="Q168" s="854"/>
      <c r="R168" s="854"/>
      <c r="S168" s="854"/>
      <c r="T168" s="854"/>
      <c r="U168" s="854"/>
      <c r="V168" s="854"/>
      <c r="W168" s="854"/>
      <c r="X168" s="854"/>
      <c r="Y168" s="854"/>
      <c r="Z168" s="854"/>
      <c r="AA168" s="854"/>
      <c r="AB168" s="854"/>
      <c r="AC168" s="854"/>
      <c r="AD168" s="854"/>
      <c r="AE168" s="854"/>
      <c r="AF168" s="854"/>
      <c r="AG168" s="854"/>
      <c r="AH168" s="854"/>
      <c r="AI168" s="854"/>
      <c r="AJ168" s="854"/>
      <c r="AK168" s="854"/>
      <c r="AL168" s="854"/>
      <c r="AM168" s="854"/>
      <c r="AN168" s="854"/>
      <c r="AO168" s="854"/>
      <c r="AP168" s="854"/>
      <c r="AQ168" s="854"/>
      <c r="AR168" s="854"/>
      <c r="AS168" s="854"/>
      <c r="AT168" s="854"/>
      <c r="AU168" s="854"/>
      <c r="AV168" s="854"/>
      <c r="AW168" s="854"/>
      <c r="AX168" s="854"/>
      <c r="AY168" s="854"/>
      <c r="AZ168" s="854"/>
      <c r="BA168" s="854"/>
      <c r="BB168" s="854"/>
      <c r="BC168" s="854"/>
      <c r="BD168" s="854"/>
      <c r="BE168" s="854"/>
      <c r="BF168" s="854"/>
      <c r="BG168" s="854"/>
      <c r="BH168" s="854"/>
      <c r="BI168" s="854"/>
      <c r="BJ168" s="854"/>
      <c r="BK168" s="854"/>
      <c r="BL168" s="854"/>
      <c r="BM168" s="854"/>
      <c r="BN168" s="854"/>
      <c r="BO168" s="854"/>
      <c r="BP168" s="854"/>
      <c r="BQ168" s="854"/>
      <c r="BR168" s="854"/>
      <c r="BS168" s="854"/>
      <c r="BT168" s="854"/>
      <c r="BU168" s="854"/>
      <c r="BV168" s="854"/>
      <c r="BW168" s="854"/>
      <c r="BX168" s="854"/>
      <c r="BY168" s="854"/>
      <c r="BZ168" s="854"/>
      <c r="CA168" s="571">
        <f>IF(OR(I168="",I168&lt;'Configs &amp; Procedures'!$L$29),0,IF(I168&gt;'Configs &amp; Procedures'!$L$30,1,IF(F168&gt;'Configs &amp; Procedures'!$L$31,0,1)))</f>
        <v>0</v>
      </c>
    </row>
    <row r="169" spans="2:79">
      <c r="B169" s="854"/>
      <c r="C169" s="854"/>
      <c r="D169" s="854"/>
      <c r="E169" s="854"/>
      <c r="F169" s="854"/>
      <c r="G169" s="854"/>
      <c r="H169" s="854"/>
      <c r="I169" s="854"/>
      <c r="J169" s="854"/>
      <c r="K169" s="854"/>
      <c r="L169" s="854"/>
      <c r="M169" s="854"/>
      <c r="N169" s="854"/>
      <c r="O169" s="854"/>
      <c r="P169" s="854"/>
      <c r="Q169" s="854"/>
      <c r="R169" s="854"/>
      <c r="S169" s="854"/>
      <c r="T169" s="854"/>
      <c r="U169" s="854"/>
      <c r="V169" s="854"/>
      <c r="W169" s="854"/>
      <c r="X169" s="854"/>
      <c r="Y169" s="854"/>
      <c r="Z169" s="854"/>
      <c r="AA169" s="854"/>
      <c r="AB169" s="854"/>
      <c r="AC169" s="854"/>
      <c r="AD169" s="854"/>
      <c r="AE169" s="854"/>
      <c r="AF169" s="854"/>
      <c r="AG169" s="854"/>
      <c r="AH169" s="854"/>
      <c r="AI169" s="854"/>
      <c r="AJ169" s="854"/>
      <c r="AK169" s="854"/>
      <c r="AL169" s="854"/>
      <c r="AM169" s="854"/>
      <c r="AN169" s="854"/>
      <c r="AO169" s="854"/>
      <c r="AP169" s="854"/>
      <c r="AQ169" s="854"/>
      <c r="AR169" s="854"/>
      <c r="AS169" s="854"/>
      <c r="AT169" s="854"/>
      <c r="AU169" s="854"/>
      <c r="AV169" s="854"/>
      <c r="AW169" s="854"/>
      <c r="AX169" s="854"/>
      <c r="AY169" s="854"/>
      <c r="AZ169" s="854"/>
      <c r="BA169" s="854"/>
      <c r="BB169" s="854"/>
      <c r="BC169" s="854"/>
      <c r="BD169" s="854"/>
      <c r="BE169" s="854"/>
      <c r="BF169" s="854"/>
      <c r="BG169" s="854"/>
      <c r="BH169" s="854"/>
      <c r="BI169" s="854"/>
      <c r="BJ169" s="854"/>
      <c r="BK169" s="854"/>
      <c r="BL169" s="854"/>
      <c r="BM169" s="854"/>
      <c r="BN169" s="854"/>
      <c r="BO169" s="854"/>
      <c r="BP169" s="854"/>
      <c r="BQ169" s="854"/>
      <c r="BR169" s="854"/>
      <c r="BS169" s="854"/>
      <c r="BT169" s="854"/>
      <c r="BU169" s="854"/>
      <c r="BV169" s="854"/>
      <c r="BW169" s="854"/>
      <c r="BX169" s="854"/>
      <c r="BY169" s="854"/>
      <c r="BZ169" s="854"/>
      <c r="CA169" s="571">
        <f>IF(OR(I169="",I169&lt;'Configs &amp; Procedures'!$L$29),0,IF(I169&gt;'Configs &amp; Procedures'!$L$30,1,IF(F169&gt;'Configs &amp; Procedures'!$L$31,0,1)))</f>
        <v>0</v>
      </c>
    </row>
    <row r="170" spans="2:79">
      <c r="B170" s="854"/>
      <c r="C170" s="854"/>
      <c r="D170" s="854"/>
      <c r="E170" s="854"/>
      <c r="F170" s="854"/>
      <c r="G170" s="854"/>
      <c r="H170" s="854"/>
      <c r="I170" s="854"/>
      <c r="J170" s="854"/>
      <c r="K170" s="854"/>
      <c r="L170" s="854"/>
      <c r="M170" s="854"/>
      <c r="N170" s="854"/>
      <c r="O170" s="854"/>
      <c r="P170" s="854"/>
      <c r="Q170" s="854"/>
      <c r="R170" s="854"/>
      <c r="S170" s="854"/>
      <c r="T170" s="854"/>
      <c r="U170" s="854"/>
      <c r="V170" s="854"/>
      <c r="W170" s="854"/>
      <c r="X170" s="854"/>
      <c r="Y170" s="854"/>
      <c r="Z170" s="854"/>
      <c r="AA170" s="854"/>
      <c r="AB170" s="854"/>
      <c r="AC170" s="854"/>
      <c r="AD170" s="854"/>
      <c r="AE170" s="854"/>
      <c r="AF170" s="854"/>
      <c r="AG170" s="854"/>
      <c r="AH170" s="854"/>
      <c r="AI170" s="854"/>
      <c r="AJ170" s="854"/>
      <c r="AK170" s="854"/>
      <c r="AL170" s="854"/>
      <c r="AM170" s="854"/>
      <c r="AN170" s="854"/>
      <c r="AO170" s="854"/>
      <c r="AP170" s="854"/>
      <c r="AQ170" s="854"/>
      <c r="AR170" s="854"/>
      <c r="AS170" s="854"/>
      <c r="AT170" s="854"/>
      <c r="AU170" s="854"/>
      <c r="AV170" s="854"/>
      <c r="AW170" s="854"/>
      <c r="AX170" s="854"/>
      <c r="AY170" s="854"/>
      <c r="AZ170" s="854"/>
      <c r="BA170" s="854"/>
      <c r="BB170" s="854"/>
      <c r="BC170" s="854"/>
      <c r="BD170" s="854"/>
      <c r="BE170" s="854"/>
      <c r="BF170" s="854"/>
      <c r="BG170" s="854"/>
      <c r="BH170" s="854"/>
      <c r="BI170" s="854"/>
      <c r="BJ170" s="854"/>
      <c r="BK170" s="854"/>
      <c r="BL170" s="854"/>
      <c r="BM170" s="854"/>
      <c r="BN170" s="854"/>
      <c r="BO170" s="854"/>
      <c r="BP170" s="854"/>
      <c r="BQ170" s="854"/>
      <c r="BR170" s="854"/>
      <c r="BS170" s="854"/>
      <c r="BT170" s="854"/>
      <c r="BU170" s="854"/>
      <c r="BV170" s="854"/>
      <c r="BW170" s="854"/>
      <c r="BX170" s="854"/>
      <c r="BY170" s="854"/>
      <c r="BZ170" s="854"/>
      <c r="CA170" s="571">
        <f>IF(OR(I170="",I170&lt;'Configs &amp; Procedures'!$L$29),0,IF(I170&gt;'Configs &amp; Procedures'!$L$30,1,IF(F170&gt;'Configs &amp; Procedures'!$L$31,0,1)))</f>
        <v>0</v>
      </c>
    </row>
    <row r="171" spans="2:79">
      <c r="B171" s="854"/>
      <c r="C171" s="854"/>
      <c r="D171" s="854"/>
      <c r="E171" s="854"/>
      <c r="F171" s="854"/>
      <c r="G171" s="854"/>
      <c r="H171" s="854"/>
      <c r="I171" s="854"/>
      <c r="J171" s="854"/>
      <c r="K171" s="854"/>
      <c r="L171" s="854"/>
      <c r="M171" s="854"/>
      <c r="N171" s="854"/>
      <c r="O171" s="854"/>
      <c r="P171" s="854"/>
      <c r="Q171" s="854"/>
      <c r="R171" s="854"/>
      <c r="S171" s="854"/>
      <c r="T171" s="854"/>
      <c r="U171" s="854"/>
      <c r="V171" s="854"/>
      <c r="W171" s="854"/>
      <c r="X171" s="854"/>
      <c r="Y171" s="854"/>
      <c r="Z171" s="854"/>
      <c r="AA171" s="854"/>
      <c r="AB171" s="854"/>
      <c r="AC171" s="854"/>
      <c r="AD171" s="854"/>
      <c r="AE171" s="854"/>
      <c r="AF171" s="854"/>
      <c r="AG171" s="854"/>
      <c r="AH171" s="854"/>
      <c r="AI171" s="854"/>
      <c r="AJ171" s="854"/>
      <c r="AK171" s="854"/>
      <c r="AL171" s="854"/>
      <c r="AM171" s="854"/>
      <c r="AN171" s="854"/>
      <c r="AO171" s="854"/>
      <c r="AP171" s="854"/>
      <c r="AQ171" s="854"/>
      <c r="AR171" s="854"/>
      <c r="AS171" s="854"/>
      <c r="AT171" s="854"/>
      <c r="AU171" s="854"/>
      <c r="AV171" s="854"/>
      <c r="AW171" s="854"/>
      <c r="AX171" s="854"/>
      <c r="AY171" s="854"/>
      <c r="AZ171" s="854"/>
      <c r="BA171" s="854"/>
      <c r="BB171" s="854"/>
      <c r="BC171" s="854"/>
      <c r="BD171" s="854"/>
      <c r="BE171" s="854"/>
      <c r="BF171" s="854"/>
      <c r="BG171" s="854"/>
      <c r="BH171" s="854"/>
      <c r="BI171" s="854"/>
      <c r="BJ171" s="854"/>
      <c r="BK171" s="854"/>
      <c r="BL171" s="854"/>
      <c r="BM171" s="854"/>
      <c r="BN171" s="854"/>
      <c r="BO171" s="854"/>
      <c r="BP171" s="854"/>
      <c r="BQ171" s="854"/>
      <c r="BR171" s="854"/>
      <c r="BS171" s="854"/>
      <c r="BT171" s="854"/>
      <c r="BU171" s="854"/>
      <c r="BV171" s="854"/>
      <c r="BW171" s="854"/>
      <c r="BX171" s="854"/>
      <c r="BY171" s="854"/>
      <c r="BZ171" s="854"/>
      <c r="CA171" s="571">
        <f>IF(OR(I171="",I171&lt;'Configs &amp; Procedures'!$L$29),0,IF(I171&gt;'Configs &amp; Procedures'!$L$30,1,IF(F171&gt;'Configs &amp; Procedures'!$L$31,0,1)))</f>
        <v>0</v>
      </c>
    </row>
    <row r="172" spans="2:79">
      <c r="B172" s="854"/>
      <c r="C172" s="854"/>
      <c r="D172" s="854"/>
      <c r="E172" s="854"/>
      <c r="F172" s="854"/>
      <c r="G172" s="854"/>
      <c r="H172" s="854"/>
      <c r="I172" s="854"/>
      <c r="J172" s="854"/>
      <c r="K172" s="854"/>
      <c r="L172" s="854"/>
      <c r="M172" s="854"/>
      <c r="N172" s="854"/>
      <c r="O172" s="854"/>
      <c r="P172" s="854"/>
      <c r="Q172" s="854"/>
      <c r="R172" s="854"/>
      <c r="S172" s="854"/>
      <c r="T172" s="854"/>
      <c r="U172" s="854"/>
      <c r="V172" s="854"/>
      <c r="W172" s="854"/>
      <c r="X172" s="854"/>
      <c r="Y172" s="854"/>
      <c r="Z172" s="854"/>
      <c r="AA172" s="854"/>
      <c r="AB172" s="854"/>
      <c r="AC172" s="854"/>
      <c r="AD172" s="854"/>
      <c r="AE172" s="854"/>
      <c r="AF172" s="854"/>
      <c r="AG172" s="854"/>
      <c r="AH172" s="854"/>
      <c r="AI172" s="854"/>
      <c r="AJ172" s="854"/>
      <c r="AK172" s="854"/>
      <c r="AL172" s="854"/>
      <c r="AM172" s="854"/>
      <c r="AN172" s="854"/>
      <c r="AO172" s="854"/>
      <c r="AP172" s="854"/>
      <c r="AQ172" s="854"/>
      <c r="AR172" s="854"/>
      <c r="AS172" s="854"/>
      <c r="AT172" s="854"/>
      <c r="AU172" s="854"/>
      <c r="AV172" s="854"/>
      <c r="AW172" s="854"/>
      <c r="AX172" s="854"/>
      <c r="AY172" s="854"/>
      <c r="AZ172" s="854"/>
      <c r="BA172" s="854"/>
      <c r="BB172" s="854"/>
      <c r="BC172" s="854"/>
      <c r="BD172" s="854"/>
      <c r="BE172" s="854"/>
      <c r="BF172" s="854"/>
      <c r="BG172" s="854"/>
      <c r="BH172" s="854"/>
      <c r="BI172" s="854"/>
      <c r="BJ172" s="854"/>
      <c r="BK172" s="854"/>
      <c r="BL172" s="854"/>
      <c r="BM172" s="854"/>
      <c r="BN172" s="854"/>
      <c r="BO172" s="854"/>
      <c r="BP172" s="854"/>
      <c r="BQ172" s="854"/>
      <c r="BR172" s="854"/>
      <c r="BS172" s="854"/>
      <c r="BT172" s="854"/>
      <c r="BU172" s="854"/>
      <c r="BV172" s="854"/>
      <c r="BW172" s="854"/>
      <c r="BX172" s="854"/>
      <c r="BY172" s="854"/>
      <c r="BZ172" s="854"/>
      <c r="CA172" s="571">
        <f>IF(OR(I172="",I172&lt;'Configs &amp; Procedures'!$L$29),0,IF(I172&gt;'Configs &amp; Procedures'!$L$30,1,IF(F172&gt;'Configs &amp; Procedures'!$L$31,0,1)))</f>
        <v>0</v>
      </c>
    </row>
    <row r="173" spans="2:79">
      <c r="B173" s="854"/>
      <c r="C173" s="854"/>
      <c r="D173" s="854"/>
      <c r="E173" s="854"/>
      <c r="F173" s="854"/>
      <c r="G173" s="854"/>
      <c r="H173" s="854"/>
      <c r="I173" s="854"/>
      <c r="J173" s="854"/>
      <c r="K173" s="854"/>
      <c r="L173" s="854"/>
      <c r="M173" s="854"/>
      <c r="N173" s="854"/>
      <c r="O173" s="854"/>
      <c r="P173" s="854"/>
      <c r="Q173" s="854"/>
      <c r="R173" s="854"/>
      <c r="S173" s="854"/>
      <c r="T173" s="854"/>
      <c r="U173" s="854"/>
      <c r="V173" s="854"/>
      <c r="W173" s="854"/>
      <c r="X173" s="854"/>
      <c r="Y173" s="854"/>
      <c r="Z173" s="854"/>
      <c r="AA173" s="854"/>
      <c r="AB173" s="854"/>
      <c r="AC173" s="854"/>
      <c r="AD173" s="854"/>
      <c r="AE173" s="854"/>
      <c r="AF173" s="854"/>
      <c r="AG173" s="854"/>
      <c r="AH173" s="854"/>
      <c r="AI173" s="854"/>
      <c r="AJ173" s="854"/>
      <c r="AK173" s="854"/>
      <c r="AL173" s="854"/>
      <c r="AM173" s="854"/>
      <c r="AN173" s="854"/>
      <c r="AO173" s="854"/>
      <c r="AP173" s="854"/>
      <c r="AQ173" s="854"/>
      <c r="AR173" s="854"/>
      <c r="AS173" s="854"/>
      <c r="AT173" s="854"/>
      <c r="AU173" s="854"/>
      <c r="AV173" s="854"/>
      <c r="AW173" s="854"/>
      <c r="AX173" s="854"/>
      <c r="AY173" s="854"/>
      <c r="AZ173" s="854"/>
      <c r="BA173" s="854"/>
      <c r="BB173" s="854"/>
      <c r="BC173" s="854"/>
      <c r="BD173" s="854"/>
      <c r="BE173" s="854"/>
      <c r="BF173" s="854"/>
      <c r="BG173" s="854"/>
      <c r="BH173" s="854"/>
      <c r="BI173" s="854"/>
      <c r="BJ173" s="854"/>
      <c r="BK173" s="854"/>
      <c r="BL173" s="854"/>
      <c r="BM173" s="854"/>
      <c r="BN173" s="854"/>
      <c r="BO173" s="854"/>
      <c r="BP173" s="854"/>
      <c r="BQ173" s="854"/>
      <c r="BR173" s="854"/>
      <c r="BS173" s="854"/>
      <c r="BT173" s="854"/>
      <c r="BU173" s="854"/>
      <c r="BV173" s="854"/>
      <c r="BW173" s="854"/>
      <c r="BX173" s="854"/>
      <c r="BY173" s="854"/>
      <c r="BZ173" s="854"/>
      <c r="CA173" s="571">
        <f>IF(OR(I173="",I173&lt;'Configs &amp; Procedures'!$L$29),0,IF(I173&gt;'Configs &amp; Procedures'!$L$30,1,IF(F173&gt;'Configs &amp; Procedures'!$L$31,0,1)))</f>
        <v>0</v>
      </c>
    </row>
    <row r="174" spans="2:79">
      <c r="B174" s="854"/>
      <c r="C174" s="854"/>
      <c r="D174" s="854"/>
      <c r="E174" s="854"/>
      <c r="F174" s="854"/>
      <c r="G174" s="854"/>
      <c r="H174" s="854"/>
      <c r="I174" s="854"/>
      <c r="J174" s="854"/>
      <c r="K174" s="854"/>
      <c r="L174" s="854"/>
      <c r="M174" s="854"/>
      <c r="N174" s="854"/>
      <c r="O174" s="854"/>
      <c r="P174" s="854"/>
      <c r="Q174" s="854"/>
      <c r="R174" s="854"/>
      <c r="S174" s="854"/>
      <c r="T174" s="854"/>
      <c r="U174" s="854"/>
      <c r="V174" s="854"/>
      <c r="W174" s="854"/>
      <c r="X174" s="854"/>
      <c r="Y174" s="854"/>
      <c r="Z174" s="854"/>
      <c r="AA174" s="854"/>
      <c r="AB174" s="854"/>
      <c r="AC174" s="854"/>
      <c r="AD174" s="854"/>
      <c r="AE174" s="854"/>
      <c r="AF174" s="854"/>
      <c r="AG174" s="854"/>
      <c r="AH174" s="854"/>
      <c r="AI174" s="854"/>
      <c r="AJ174" s="854"/>
      <c r="AK174" s="854"/>
      <c r="AL174" s="854"/>
      <c r="AM174" s="854"/>
      <c r="AN174" s="854"/>
      <c r="AO174" s="854"/>
      <c r="AP174" s="854"/>
      <c r="AQ174" s="854"/>
      <c r="AR174" s="854"/>
      <c r="AS174" s="854"/>
      <c r="AT174" s="854"/>
      <c r="AU174" s="854"/>
      <c r="AV174" s="854"/>
      <c r="AW174" s="854"/>
      <c r="AX174" s="854"/>
      <c r="AY174" s="854"/>
      <c r="AZ174" s="854"/>
      <c r="BA174" s="854"/>
      <c r="BB174" s="854"/>
      <c r="BC174" s="854"/>
      <c r="BD174" s="854"/>
      <c r="BE174" s="854"/>
      <c r="BF174" s="854"/>
      <c r="BG174" s="854"/>
      <c r="BH174" s="854"/>
      <c r="BI174" s="854"/>
      <c r="BJ174" s="854"/>
      <c r="BK174" s="854"/>
      <c r="BL174" s="854"/>
      <c r="BM174" s="854"/>
      <c r="BN174" s="854"/>
      <c r="BO174" s="854"/>
      <c r="BP174" s="854"/>
      <c r="BQ174" s="854"/>
      <c r="BR174" s="854"/>
      <c r="BS174" s="854"/>
      <c r="BT174" s="854"/>
      <c r="BU174" s="854"/>
      <c r="BV174" s="854"/>
      <c r="BW174" s="854"/>
      <c r="BX174" s="854"/>
      <c r="BY174" s="854"/>
      <c r="BZ174" s="854"/>
      <c r="CA174" s="571">
        <f>IF(OR(I174="",I174&lt;'Configs &amp; Procedures'!$L$29),0,IF(I174&gt;'Configs &amp; Procedures'!$L$30,1,IF(F174&gt;'Configs &amp; Procedures'!$L$31,0,1)))</f>
        <v>0</v>
      </c>
    </row>
    <row r="175" spans="2:79">
      <c r="B175" s="854"/>
      <c r="C175" s="854"/>
      <c r="D175" s="854"/>
      <c r="E175" s="854"/>
      <c r="F175" s="854"/>
      <c r="G175" s="854"/>
      <c r="H175" s="854"/>
      <c r="I175" s="854"/>
      <c r="J175" s="854"/>
      <c r="K175" s="854"/>
      <c r="L175" s="854"/>
      <c r="M175" s="854"/>
      <c r="N175" s="854"/>
      <c r="O175" s="854"/>
      <c r="P175" s="854"/>
      <c r="Q175" s="854"/>
      <c r="R175" s="854"/>
      <c r="S175" s="854"/>
      <c r="T175" s="854"/>
      <c r="U175" s="854"/>
      <c r="V175" s="854"/>
      <c r="W175" s="854"/>
      <c r="X175" s="854"/>
      <c r="Y175" s="854"/>
      <c r="Z175" s="854"/>
      <c r="AA175" s="854"/>
      <c r="AB175" s="854"/>
      <c r="AC175" s="854"/>
      <c r="AD175" s="854"/>
      <c r="AE175" s="854"/>
      <c r="AF175" s="854"/>
      <c r="AG175" s="854"/>
      <c r="AH175" s="854"/>
      <c r="AI175" s="854"/>
      <c r="AJ175" s="854"/>
      <c r="AK175" s="854"/>
      <c r="AL175" s="854"/>
      <c r="AM175" s="854"/>
      <c r="AN175" s="854"/>
      <c r="AO175" s="854"/>
      <c r="AP175" s="854"/>
      <c r="AQ175" s="854"/>
      <c r="AR175" s="854"/>
      <c r="AS175" s="854"/>
      <c r="AT175" s="854"/>
      <c r="AU175" s="854"/>
      <c r="AV175" s="854"/>
      <c r="AW175" s="854"/>
      <c r="AX175" s="854"/>
      <c r="AY175" s="854"/>
      <c r="AZ175" s="854"/>
      <c r="BA175" s="854"/>
      <c r="BB175" s="854"/>
      <c r="BC175" s="854"/>
      <c r="BD175" s="854"/>
      <c r="BE175" s="854"/>
      <c r="BF175" s="854"/>
      <c r="BG175" s="854"/>
      <c r="BH175" s="854"/>
      <c r="BI175" s="854"/>
      <c r="BJ175" s="854"/>
      <c r="BK175" s="854"/>
      <c r="BL175" s="854"/>
      <c r="BM175" s="854"/>
      <c r="BN175" s="854"/>
      <c r="BO175" s="854"/>
      <c r="BP175" s="854"/>
      <c r="BQ175" s="854"/>
      <c r="BR175" s="854"/>
      <c r="BS175" s="854"/>
      <c r="BT175" s="854"/>
      <c r="BU175" s="854"/>
      <c r="BV175" s="854"/>
      <c r="BW175" s="854"/>
      <c r="BX175" s="854"/>
      <c r="BY175" s="854"/>
      <c r="BZ175" s="854"/>
      <c r="CA175" s="571">
        <f>IF(OR(I175="",I175&lt;'Configs &amp; Procedures'!$L$29),0,IF(I175&gt;'Configs &amp; Procedures'!$L$30,1,IF(F175&gt;'Configs &amp; Procedures'!$L$31,0,1)))</f>
        <v>0</v>
      </c>
    </row>
    <row r="176" spans="2:79">
      <c r="B176" s="854"/>
      <c r="C176" s="854"/>
      <c r="D176" s="854"/>
      <c r="E176" s="854"/>
      <c r="F176" s="854"/>
      <c r="G176" s="854"/>
      <c r="H176" s="854"/>
      <c r="I176" s="854"/>
      <c r="J176" s="854"/>
      <c r="K176" s="854"/>
      <c r="L176" s="854"/>
      <c r="M176" s="854"/>
      <c r="N176" s="854"/>
      <c r="O176" s="854"/>
      <c r="P176" s="854"/>
      <c r="Q176" s="854"/>
      <c r="R176" s="854"/>
      <c r="S176" s="854"/>
      <c r="T176" s="854"/>
      <c r="U176" s="854"/>
      <c r="V176" s="854"/>
      <c r="W176" s="854"/>
      <c r="X176" s="854"/>
      <c r="Y176" s="854"/>
      <c r="Z176" s="854"/>
      <c r="AA176" s="854"/>
      <c r="AB176" s="854"/>
      <c r="AC176" s="854"/>
      <c r="AD176" s="854"/>
      <c r="AE176" s="854"/>
      <c r="AF176" s="854"/>
      <c r="AG176" s="854"/>
      <c r="AH176" s="854"/>
      <c r="AI176" s="854"/>
      <c r="AJ176" s="854"/>
      <c r="AK176" s="854"/>
      <c r="AL176" s="854"/>
      <c r="AM176" s="854"/>
      <c r="AN176" s="854"/>
      <c r="AO176" s="854"/>
      <c r="AP176" s="854"/>
      <c r="AQ176" s="854"/>
      <c r="AR176" s="854"/>
      <c r="AS176" s="854"/>
      <c r="AT176" s="854"/>
      <c r="AU176" s="854"/>
      <c r="AV176" s="854"/>
      <c r="AW176" s="854"/>
      <c r="AX176" s="854"/>
      <c r="AY176" s="854"/>
      <c r="AZ176" s="854"/>
      <c r="BA176" s="854"/>
      <c r="BB176" s="854"/>
      <c r="BC176" s="854"/>
      <c r="BD176" s="854"/>
      <c r="BE176" s="854"/>
      <c r="BF176" s="854"/>
      <c r="BG176" s="854"/>
      <c r="BH176" s="854"/>
      <c r="BI176" s="854"/>
      <c r="BJ176" s="854"/>
      <c r="BK176" s="854"/>
      <c r="BL176" s="854"/>
      <c r="BM176" s="854"/>
      <c r="BN176" s="854"/>
      <c r="BO176" s="854"/>
      <c r="BP176" s="854"/>
      <c r="BQ176" s="854"/>
      <c r="BR176" s="854"/>
      <c r="BS176" s="854"/>
      <c r="BT176" s="854"/>
      <c r="BU176" s="854"/>
      <c r="BV176" s="854"/>
      <c r="BW176" s="854"/>
      <c r="BX176" s="854"/>
      <c r="BY176" s="854"/>
      <c r="BZ176" s="854"/>
      <c r="CA176" s="571">
        <f>IF(OR(I176="",I176&lt;'Configs &amp; Procedures'!$L$29),0,IF(I176&gt;'Configs &amp; Procedures'!$L$30,1,IF(F176&gt;'Configs &amp; Procedures'!$L$31,0,1)))</f>
        <v>0</v>
      </c>
    </row>
    <row r="177" spans="2:79">
      <c r="B177" s="854"/>
      <c r="C177" s="854"/>
      <c r="D177" s="854"/>
      <c r="E177" s="854"/>
      <c r="F177" s="854"/>
      <c r="G177" s="854"/>
      <c r="H177" s="854"/>
      <c r="I177" s="854"/>
      <c r="J177" s="854"/>
      <c r="K177" s="854"/>
      <c r="L177" s="854"/>
      <c r="M177" s="854"/>
      <c r="N177" s="854"/>
      <c r="O177" s="854"/>
      <c r="P177" s="854"/>
      <c r="Q177" s="854"/>
      <c r="R177" s="854"/>
      <c r="S177" s="854"/>
      <c r="T177" s="854"/>
      <c r="U177" s="854"/>
      <c r="V177" s="854"/>
      <c r="W177" s="854"/>
      <c r="X177" s="854"/>
      <c r="Y177" s="854"/>
      <c r="Z177" s="854"/>
      <c r="AA177" s="854"/>
      <c r="AB177" s="854"/>
      <c r="AC177" s="854"/>
      <c r="AD177" s="854"/>
      <c r="AE177" s="854"/>
      <c r="AF177" s="854"/>
      <c r="AG177" s="854"/>
      <c r="AH177" s="854"/>
      <c r="AI177" s="854"/>
      <c r="AJ177" s="854"/>
      <c r="AK177" s="854"/>
      <c r="AL177" s="854"/>
      <c r="AM177" s="854"/>
      <c r="AN177" s="854"/>
      <c r="AO177" s="854"/>
      <c r="AP177" s="854"/>
      <c r="AQ177" s="854"/>
      <c r="AR177" s="854"/>
      <c r="AS177" s="854"/>
      <c r="AT177" s="854"/>
      <c r="AU177" s="854"/>
      <c r="AV177" s="854"/>
      <c r="AW177" s="854"/>
      <c r="AX177" s="854"/>
      <c r="AY177" s="854"/>
      <c r="AZ177" s="854"/>
      <c r="BA177" s="854"/>
      <c r="BB177" s="854"/>
      <c r="BC177" s="854"/>
      <c r="BD177" s="854"/>
      <c r="BE177" s="854"/>
      <c r="BF177" s="854"/>
      <c r="BG177" s="854"/>
      <c r="BH177" s="854"/>
      <c r="BI177" s="854"/>
      <c r="BJ177" s="854"/>
      <c r="BK177" s="854"/>
      <c r="BL177" s="854"/>
      <c r="BM177" s="854"/>
      <c r="BN177" s="854"/>
      <c r="BO177" s="854"/>
      <c r="BP177" s="854"/>
      <c r="BQ177" s="854"/>
      <c r="BR177" s="854"/>
      <c r="BS177" s="854"/>
      <c r="BT177" s="854"/>
      <c r="BU177" s="854"/>
      <c r="BV177" s="854"/>
      <c r="BW177" s="854"/>
      <c r="BX177" s="854"/>
      <c r="BY177" s="854"/>
      <c r="BZ177" s="854"/>
      <c r="CA177" s="571">
        <f>IF(OR(I177="",I177&lt;'Configs &amp; Procedures'!$L$29),0,IF(I177&gt;'Configs &amp; Procedures'!$L$30,1,IF(F177&gt;'Configs &amp; Procedures'!$L$31,0,1)))</f>
        <v>0</v>
      </c>
    </row>
    <row r="178" spans="2:79">
      <c r="B178" s="854"/>
      <c r="C178" s="854"/>
      <c r="D178" s="854"/>
      <c r="E178" s="854"/>
      <c r="F178" s="854"/>
      <c r="G178" s="854"/>
      <c r="H178" s="854"/>
      <c r="I178" s="854"/>
      <c r="J178" s="854"/>
      <c r="K178" s="854"/>
      <c r="L178" s="854"/>
      <c r="M178" s="854"/>
      <c r="N178" s="854"/>
      <c r="O178" s="854"/>
      <c r="P178" s="854"/>
      <c r="Q178" s="854"/>
      <c r="R178" s="854"/>
      <c r="S178" s="854"/>
      <c r="T178" s="854"/>
      <c r="U178" s="854"/>
      <c r="V178" s="854"/>
      <c r="W178" s="854"/>
      <c r="X178" s="854"/>
      <c r="Y178" s="854"/>
      <c r="Z178" s="854"/>
      <c r="AA178" s="854"/>
      <c r="AB178" s="854"/>
      <c r="AC178" s="854"/>
      <c r="AD178" s="854"/>
      <c r="AE178" s="854"/>
      <c r="AF178" s="854"/>
      <c r="AG178" s="854"/>
      <c r="AH178" s="854"/>
      <c r="AI178" s="854"/>
      <c r="AJ178" s="854"/>
      <c r="AK178" s="854"/>
      <c r="AL178" s="854"/>
      <c r="AM178" s="854"/>
      <c r="AN178" s="854"/>
      <c r="AO178" s="854"/>
      <c r="AP178" s="854"/>
      <c r="AQ178" s="854"/>
      <c r="AR178" s="854"/>
      <c r="AS178" s="854"/>
      <c r="AT178" s="854"/>
      <c r="AU178" s="854"/>
      <c r="AV178" s="854"/>
      <c r="AW178" s="854"/>
      <c r="AX178" s="854"/>
      <c r="AY178" s="854"/>
      <c r="AZ178" s="854"/>
      <c r="BA178" s="854"/>
      <c r="BB178" s="854"/>
      <c r="BC178" s="854"/>
      <c r="BD178" s="854"/>
      <c r="BE178" s="854"/>
      <c r="BF178" s="854"/>
      <c r="BG178" s="854"/>
      <c r="BH178" s="854"/>
      <c r="BI178" s="854"/>
      <c r="BJ178" s="854"/>
      <c r="BK178" s="854"/>
      <c r="BL178" s="854"/>
      <c r="BM178" s="854"/>
      <c r="BN178" s="854"/>
      <c r="BO178" s="854"/>
      <c r="BP178" s="854"/>
      <c r="BQ178" s="854"/>
      <c r="BR178" s="854"/>
      <c r="BS178" s="854"/>
      <c r="BT178" s="854"/>
      <c r="BU178" s="854"/>
      <c r="BV178" s="854"/>
      <c r="BW178" s="854"/>
      <c r="BX178" s="854"/>
      <c r="BY178" s="854"/>
      <c r="BZ178" s="854"/>
      <c r="CA178" s="571">
        <f>IF(OR(I178="",I178&lt;'Configs &amp; Procedures'!$L$29),0,IF(I178&gt;'Configs &amp; Procedures'!$L$30,1,IF(F178&gt;'Configs &amp; Procedures'!$L$31,0,1)))</f>
        <v>0</v>
      </c>
    </row>
    <row r="179" spans="2:79">
      <c r="B179" s="854"/>
      <c r="C179" s="854"/>
      <c r="D179" s="854"/>
      <c r="E179" s="854"/>
      <c r="F179" s="854"/>
      <c r="G179" s="854"/>
      <c r="H179" s="854"/>
      <c r="I179" s="854"/>
      <c r="J179" s="854"/>
      <c r="K179" s="854"/>
      <c r="L179" s="854"/>
      <c r="M179" s="854"/>
      <c r="N179" s="854"/>
      <c r="O179" s="854"/>
      <c r="P179" s="854"/>
      <c r="Q179" s="854"/>
      <c r="R179" s="854"/>
      <c r="S179" s="854"/>
      <c r="T179" s="854"/>
      <c r="U179" s="854"/>
      <c r="V179" s="854"/>
      <c r="W179" s="854"/>
      <c r="X179" s="854"/>
      <c r="Y179" s="854"/>
      <c r="Z179" s="854"/>
      <c r="AA179" s="854"/>
      <c r="AB179" s="854"/>
      <c r="AC179" s="854"/>
      <c r="AD179" s="854"/>
      <c r="AE179" s="854"/>
      <c r="AF179" s="854"/>
      <c r="AG179" s="854"/>
      <c r="AH179" s="854"/>
      <c r="AI179" s="854"/>
      <c r="AJ179" s="854"/>
      <c r="AK179" s="854"/>
      <c r="AL179" s="854"/>
      <c r="AM179" s="854"/>
      <c r="AN179" s="854"/>
      <c r="AO179" s="854"/>
      <c r="AP179" s="854"/>
      <c r="AQ179" s="854"/>
      <c r="AR179" s="854"/>
      <c r="AS179" s="854"/>
      <c r="AT179" s="854"/>
      <c r="AU179" s="854"/>
      <c r="AV179" s="854"/>
      <c r="AW179" s="854"/>
      <c r="AX179" s="854"/>
      <c r="AY179" s="854"/>
      <c r="AZ179" s="854"/>
      <c r="BA179" s="854"/>
      <c r="BB179" s="854"/>
      <c r="BC179" s="854"/>
      <c r="BD179" s="854"/>
      <c r="BE179" s="854"/>
      <c r="BF179" s="854"/>
      <c r="BG179" s="854"/>
      <c r="BH179" s="854"/>
      <c r="BI179" s="854"/>
      <c r="BJ179" s="854"/>
      <c r="BK179" s="854"/>
      <c r="BL179" s="854"/>
      <c r="BM179" s="854"/>
      <c r="BN179" s="854"/>
      <c r="BO179" s="854"/>
      <c r="BP179" s="854"/>
      <c r="BQ179" s="854"/>
      <c r="BR179" s="854"/>
      <c r="BS179" s="854"/>
      <c r="BT179" s="854"/>
      <c r="BU179" s="854"/>
      <c r="BV179" s="854"/>
      <c r="BW179" s="854"/>
      <c r="BX179" s="854"/>
      <c r="BY179" s="854"/>
      <c r="BZ179" s="854"/>
      <c r="CA179" s="571">
        <f>IF(OR(I179="",I179&lt;'Configs &amp; Procedures'!$L$29),0,IF(I179&gt;'Configs &amp; Procedures'!$L$30,1,IF(F179&gt;'Configs &amp; Procedures'!$L$31,0,1)))</f>
        <v>0</v>
      </c>
    </row>
    <row r="180" spans="2:79">
      <c r="B180" s="854"/>
      <c r="C180" s="854"/>
      <c r="D180" s="854"/>
      <c r="E180" s="854"/>
      <c r="F180" s="854"/>
      <c r="G180" s="854"/>
      <c r="H180" s="854"/>
      <c r="I180" s="854"/>
      <c r="J180" s="854"/>
      <c r="K180" s="854"/>
      <c r="L180" s="854"/>
      <c r="M180" s="854"/>
      <c r="N180" s="854"/>
      <c r="O180" s="854"/>
      <c r="P180" s="854"/>
      <c r="Q180" s="854"/>
      <c r="R180" s="854"/>
      <c r="S180" s="854"/>
      <c r="T180" s="854"/>
      <c r="U180" s="854"/>
      <c r="V180" s="854"/>
      <c r="W180" s="854"/>
      <c r="X180" s="854"/>
      <c r="Y180" s="854"/>
      <c r="Z180" s="854"/>
      <c r="AA180" s="854"/>
      <c r="AB180" s="854"/>
      <c r="AC180" s="854"/>
      <c r="AD180" s="854"/>
      <c r="AE180" s="854"/>
      <c r="AF180" s="854"/>
      <c r="AG180" s="854"/>
      <c r="AH180" s="854"/>
      <c r="AI180" s="854"/>
      <c r="AJ180" s="854"/>
      <c r="AK180" s="854"/>
      <c r="AL180" s="854"/>
      <c r="AM180" s="854"/>
      <c r="AN180" s="854"/>
      <c r="AO180" s="854"/>
      <c r="AP180" s="854"/>
      <c r="AQ180" s="854"/>
      <c r="AR180" s="854"/>
      <c r="AS180" s="854"/>
      <c r="AT180" s="854"/>
      <c r="AU180" s="854"/>
      <c r="AV180" s="854"/>
      <c r="AW180" s="854"/>
      <c r="AX180" s="854"/>
      <c r="AY180" s="854"/>
      <c r="AZ180" s="854"/>
      <c r="BA180" s="854"/>
      <c r="BB180" s="854"/>
      <c r="BC180" s="854"/>
      <c r="BD180" s="854"/>
      <c r="BE180" s="854"/>
      <c r="BF180" s="854"/>
      <c r="BG180" s="854"/>
      <c r="BH180" s="854"/>
      <c r="BI180" s="854"/>
      <c r="BJ180" s="854"/>
      <c r="BK180" s="854"/>
      <c r="BL180" s="854"/>
      <c r="BM180" s="854"/>
      <c r="BN180" s="854"/>
      <c r="BO180" s="854"/>
      <c r="BP180" s="854"/>
      <c r="BQ180" s="854"/>
      <c r="BR180" s="854"/>
      <c r="BS180" s="854"/>
      <c r="BT180" s="854"/>
      <c r="BU180" s="854"/>
      <c r="BV180" s="854"/>
      <c r="BW180" s="854"/>
      <c r="BX180" s="854"/>
      <c r="BY180" s="854"/>
      <c r="BZ180" s="854"/>
      <c r="CA180" s="571">
        <f>IF(OR(I180="",I180&lt;'Configs &amp; Procedures'!$L$29),0,IF(I180&gt;'Configs &amp; Procedures'!$L$30,1,IF(F180&gt;'Configs &amp; Procedures'!$L$31,0,1)))</f>
        <v>0</v>
      </c>
    </row>
    <row r="181" spans="2:79">
      <c r="B181" s="854"/>
      <c r="C181" s="854"/>
      <c r="D181" s="854"/>
      <c r="E181" s="854"/>
      <c r="F181" s="854"/>
      <c r="G181" s="854"/>
      <c r="H181" s="854"/>
      <c r="I181" s="854"/>
      <c r="J181" s="854"/>
      <c r="K181" s="854"/>
      <c r="L181" s="854"/>
      <c r="M181" s="854"/>
      <c r="N181" s="854"/>
      <c r="O181" s="854"/>
      <c r="P181" s="854"/>
      <c r="Q181" s="854"/>
      <c r="R181" s="854"/>
      <c r="S181" s="854"/>
      <c r="T181" s="854"/>
      <c r="U181" s="854"/>
      <c r="V181" s="854"/>
      <c r="W181" s="854"/>
      <c r="X181" s="854"/>
      <c r="Y181" s="854"/>
      <c r="Z181" s="854"/>
      <c r="AA181" s="854"/>
      <c r="AB181" s="854"/>
      <c r="AC181" s="854"/>
      <c r="AD181" s="854"/>
      <c r="AE181" s="854"/>
      <c r="AF181" s="854"/>
      <c r="AG181" s="854"/>
      <c r="AH181" s="854"/>
      <c r="AI181" s="854"/>
      <c r="AJ181" s="854"/>
      <c r="AK181" s="854"/>
      <c r="AL181" s="854"/>
      <c r="AM181" s="854"/>
      <c r="AN181" s="854"/>
      <c r="AO181" s="854"/>
      <c r="AP181" s="854"/>
      <c r="AQ181" s="854"/>
      <c r="AR181" s="854"/>
      <c r="AS181" s="854"/>
      <c r="AT181" s="854"/>
      <c r="AU181" s="854"/>
      <c r="AV181" s="854"/>
      <c r="AW181" s="854"/>
      <c r="AX181" s="854"/>
      <c r="AY181" s="854"/>
      <c r="AZ181" s="854"/>
      <c r="BA181" s="854"/>
      <c r="BB181" s="854"/>
      <c r="BC181" s="854"/>
      <c r="BD181" s="854"/>
      <c r="BE181" s="854"/>
      <c r="BF181" s="854"/>
      <c r="BG181" s="854"/>
      <c r="BH181" s="854"/>
      <c r="BI181" s="854"/>
      <c r="BJ181" s="854"/>
      <c r="BK181" s="854"/>
      <c r="BL181" s="854"/>
      <c r="BM181" s="854"/>
      <c r="BN181" s="854"/>
      <c r="BO181" s="854"/>
      <c r="BP181" s="854"/>
      <c r="BQ181" s="854"/>
      <c r="BR181" s="854"/>
      <c r="BS181" s="854"/>
      <c r="BT181" s="854"/>
      <c r="BU181" s="854"/>
      <c r="BV181" s="854"/>
      <c r="BW181" s="854"/>
      <c r="BX181" s="854"/>
      <c r="BY181" s="854"/>
      <c r="BZ181" s="854"/>
      <c r="CA181" s="571">
        <f>IF(OR(I181="",I181&lt;'Configs &amp; Procedures'!$L$29),0,IF(I181&gt;'Configs &amp; Procedures'!$L$30,1,IF(F181&gt;'Configs &amp; Procedures'!$L$31,0,1)))</f>
        <v>0</v>
      </c>
    </row>
    <row r="182" spans="2:79">
      <c r="B182" s="854"/>
      <c r="C182" s="854"/>
      <c r="D182" s="854"/>
      <c r="E182" s="854"/>
      <c r="F182" s="854"/>
      <c r="G182" s="854"/>
      <c r="H182" s="854"/>
      <c r="I182" s="854"/>
      <c r="J182" s="854"/>
      <c r="K182" s="854"/>
      <c r="L182" s="854"/>
      <c r="M182" s="854"/>
      <c r="N182" s="854"/>
      <c r="O182" s="854"/>
      <c r="P182" s="854"/>
      <c r="Q182" s="854"/>
      <c r="R182" s="854"/>
      <c r="S182" s="854"/>
      <c r="T182" s="854"/>
      <c r="U182" s="854"/>
      <c r="V182" s="854"/>
      <c r="W182" s="854"/>
      <c r="X182" s="854"/>
      <c r="Y182" s="854"/>
      <c r="Z182" s="854"/>
      <c r="AA182" s="854"/>
      <c r="AB182" s="854"/>
      <c r="AC182" s="854"/>
      <c r="AD182" s="854"/>
      <c r="AE182" s="854"/>
      <c r="AF182" s="854"/>
      <c r="AG182" s="854"/>
      <c r="AH182" s="854"/>
      <c r="AI182" s="854"/>
      <c r="AJ182" s="854"/>
      <c r="AK182" s="854"/>
      <c r="AL182" s="854"/>
      <c r="AM182" s="854"/>
      <c r="AN182" s="854"/>
      <c r="AO182" s="854"/>
      <c r="AP182" s="854"/>
      <c r="AQ182" s="854"/>
      <c r="AR182" s="854"/>
      <c r="AS182" s="854"/>
      <c r="AT182" s="854"/>
      <c r="AU182" s="854"/>
      <c r="AV182" s="854"/>
      <c r="AW182" s="854"/>
      <c r="AX182" s="854"/>
      <c r="AY182" s="854"/>
      <c r="AZ182" s="854"/>
      <c r="BA182" s="854"/>
      <c r="BB182" s="854"/>
      <c r="BC182" s="854"/>
      <c r="BD182" s="854"/>
      <c r="BE182" s="854"/>
      <c r="BF182" s="854"/>
      <c r="BG182" s="854"/>
      <c r="BH182" s="854"/>
      <c r="BI182" s="854"/>
      <c r="BJ182" s="854"/>
      <c r="BK182" s="854"/>
      <c r="BL182" s="854"/>
      <c r="BM182" s="854"/>
      <c r="BN182" s="854"/>
      <c r="BO182" s="854"/>
      <c r="BP182" s="854"/>
      <c r="BQ182" s="854"/>
      <c r="BR182" s="854"/>
      <c r="BS182" s="854"/>
      <c r="BT182" s="854"/>
      <c r="BU182" s="854"/>
      <c r="BV182" s="854"/>
      <c r="BW182" s="854"/>
      <c r="BX182" s="854"/>
      <c r="BY182" s="854"/>
      <c r="BZ182" s="854"/>
      <c r="CA182" s="571">
        <f>IF(OR(I182="",I182&lt;'Configs &amp; Procedures'!$L$29),0,IF(I182&gt;'Configs &amp; Procedures'!$L$30,1,IF(F182&gt;'Configs &amp; Procedures'!$L$31,0,1)))</f>
        <v>0</v>
      </c>
    </row>
    <row r="183" spans="2:79">
      <c r="B183" s="854"/>
      <c r="C183" s="854"/>
      <c r="D183" s="854"/>
      <c r="E183" s="854"/>
      <c r="F183" s="854"/>
      <c r="G183" s="854"/>
      <c r="H183" s="854"/>
      <c r="I183" s="854"/>
      <c r="J183" s="854"/>
      <c r="K183" s="854"/>
      <c r="L183" s="854"/>
      <c r="M183" s="854"/>
      <c r="N183" s="854"/>
      <c r="O183" s="854"/>
      <c r="P183" s="854"/>
      <c r="Q183" s="854"/>
      <c r="R183" s="854"/>
      <c r="S183" s="854"/>
      <c r="T183" s="854"/>
      <c r="U183" s="854"/>
      <c r="V183" s="854"/>
      <c r="W183" s="854"/>
      <c r="X183" s="854"/>
      <c r="Y183" s="854"/>
      <c r="Z183" s="854"/>
      <c r="AA183" s="854"/>
      <c r="AB183" s="854"/>
      <c r="AC183" s="854"/>
      <c r="AD183" s="854"/>
      <c r="AE183" s="854"/>
      <c r="AF183" s="854"/>
      <c r="AG183" s="854"/>
      <c r="AH183" s="854"/>
      <c r="AI183" s="854"/>
      <c r="AJ183" s="854"/>
      <c r="AK183" s="854"/>
      <c r="AL183" s="854"/>
      <c r="AM183" s="854"/>
      <c r="AN183" s="854"/>
      <c r="AO183" s="854"/>
      <c r="AP183" s="854"/>
      <c r="AQ183" s="854"/>
      <c r="AR183" s="854"/>
      <c r="AS183" s="854"/>
      <c r="AT183" s="854"/>
      <c r="AU183" s="854"/>
      <c r="AV183" s="854"/>
      <c r="AW183" s="854"/>
      <c r="AX183" s="854"/>
      <c r="AY183" s="854"/>
      <c r="AZ183" s="854"/>
      <c r="BA183" s="854"/>
      <c r="BB183" s="854"/>
      <c r="BC183" s="854"/>
      <c r="BD183" s="854"/>
      <c r="BE183" s="854"/>
      <c r="BF183" s="854"/>
      <c r="BG183" s="854"/>
      <c r="BH183" s="854"/>
      <c r="BI183" s="854"/>
      <c r="BJ183" s="854"/>
      <c r="BK183" s="854"/>
      <c r="BL183" s="854"/>
      <c r="BM183" s="854"/>
      <c r="BN183" s="854"/>
      <c r="BO183" s="854"/>
      <c r="BP183" s="854"/>
      <c r="BQ183" s="854"/>
      <c r="BR183" s="854"/>
      <c r="BS183" s="854"/>
      <c r="BT183" s="854"/>
      <c r="BU183" s="854"/>
      <c r="BV183" s="854"/>
      <c r="BW183" s="854"/>
      <c r="BX183" s="854"/>
      <c r="BY183" s="854"/>
      <c r="BZ183" s="854"/>
      <c r="CA183" s="571">
        <f>IF(OR(I183="",I183&lt;'Configs &amp; Procedures'!$L$29),0,IF(I183&gt;'Configs &amp; Procedures'!$L$30,1,IF(F183&gt;'Configs &amp; Procedures'!$L$31,0,1)))</f>
        <v>0</v>
      </c>
    </row>
    <row r="184" spans="2:79">
      <c r="B184" s="854"/>
      <c r="C184" s="854"/>
      <c r="D184" s="854"/>
      <c r="E184" s="854"/>
      <c r="F184" s="854"/>
      <c r="G184" s="854"/>
      <c r="H184" s="854"/>
      <c r="I184" s="854"/>
      <c r="J184" s="854"/>
      <c r="K184" s="854"/>
      <c r="L184" s="854"/>
      <c r="M184" s="854"/>
      <c r="N184" s="854"/>
      <c r="O184" s="854"/>
      <c r="P184" s="854"/>
      <c r="Q184" s="854"/>
      <c r="R184" s="854"/>
      <c r="S184" s="854"/>
      <c r="T184" s="854"/>
      <c r="U184" s="854"/>
      <c r="V184" s="854"/>
      <c r="W184" s="854"/>
      <c r="X184" s="854"/>
      <c r="Y184" s="854"/>
      <c r="Z184" s="854"/>
      <c r="AA184" s="854"/>
      <c r="AB184" s="854"/>
      <c r="AC184" s="854"/>
      <c r="AD184" s="854"/>
      <c r="AE184" s="854"/>
      <c r="AF184" s="854"/>
      <c r="AG184" s="854"/>
      <c r="AH184" s="854"/>
      <c r="AI184" s="854"/>
      <c r="AJ184" s="854"/>
      <c r="AK184" s="854"/>
      <c r="AL184" s="854"/>
      <c r="AM184" s="854"/>
      <c r="AN184" s="854"/>
      <c r="AO184" s="854"/>
      <c r="AP184" s="854"/>
      <c r="AQ184" s="854"/>
      <c r="AR184" s="854"/>
      <c r="AS184" s="854"/>
      <c r="AT184" s="854"/>
      <c r="AU184" s="854"/>
      <c r="AV184" s="854"/>
      <c r="AW184" s="854"/>
      <c r="AX184" s="854"/>
      <c r="AY184" s="854"/>
      <c r="AZ184" s="854"/>
      <c r="BA184" s="854"/>
      <c r="BB184" s="854"/>
      <c r="BC184" s="854"/>
      <c r="BD184" s="854"/>
      <c r="BE184" s="854"/>
      <c r="BF184" s="854"/>
      <c r="BG184" s="854"/>
      <c r="BH184" s="854"/>
      <c r="BI184" s="854"/>
      <c r="BJ184" s="854"/>
      <c r="BK184" s="854"/>
      <c r="BL184" s="854"/>
      <c r="BM184" s="854"/>
      <c r="BN184" s="854"/>
      <c r="BO184" s="854"/>
      <c r="BP184" s="854"/>
      <c r="BQ184" s="854"/>
      <c r="BR184" s="854"/>
      <c r="BS184" s="854"/>
      <c r="BT184" s="854"/>
      <c r="BU184" s="854"/>
      <c r="BV184" s="854"/>
      <c r="BW184" s="854"/>
      <c r="BX184" s="854"/>
      <c r="BY184" s="854"/>
      <c r="BZ184" s="854"/>
      <c r="CA184" s="571">
        <f>IF(OR(I184="",I184&lt;'Configs &amp; Procedures'!$L$29),0,IF(I184&gt;'Configs &amp; Procedures'!$L$30,1,IF(F184&gt;'Configs &amp; Procedures'!$L$31,0,1)))</f>
        <v>0</v>
      </c>
    </row>
    <row r="185" spans="2:79">
      <c r="B185" s="854"/>
      <c r="C185" s="854"/>
      <c r="D185" s="854"/>
      <c r="E185" s="854"/>
      <c r="F185" s="854"/>
      <c r="G185" s="854"/>
      <c r="H185" s="854"/>
      <c r="I185" s="854"/>
      <c r="J185" s="854"/>
      <c r="K185" s="854"/>
      <c r="L185" s="854"/>
      <c r="M185" s="854"/>
      <c r="N185" s="854"/>
      <c r="O185" s="854"/>
      <c r="P185" s="854"/>
      <c r="Q185" s="854"/>
      <c r="R185" s="854"/>
      <c r="S185" s="854"/>
      <c r="T185" s="854"/>
      <c r="U185" s="854"/>
      <c r="V185" s="854"/>
      <c r="W185" s="854"/>
      <c r="X185" s="854"/>
      <c r="Y185" s="854"/>
      <c r="Z185" s="854"/>
      <c r="AA185" s="854"/>
      <c r="AB185" s="854"/>
      <c r="AC185" s="854"/>
      <c r="AD185" s="854"/>
      <c r="AE185" s="854"/>
      <c r="AF185" s="854"/>
      <c r="AG185" s="854"/>
      <c r="AH185" s="854"/>
      <c r="AI185" s="854"/>
      <c r="AJ185" s="854"/>
      <c r="AK185" s="854"/>
      <c r="AL185" s="854"/>
      <c r="AM185" s="854"/>
      <c r="AN185" s="854"/>
      <c r="AO185" s="854"/>
      <c r="AP185" s="854"/>
      <c r="AQ185" s="854"/>
      <c r="AR185" s="854"/>
      <c r="AS185" s="854"/>
      <c r="AT185" s="854"/>
      <c r="AU185" s="854"/>
      <c r="AV185" s="854"/>
      <c r="AW185" s="854"/>
      <c r="AX185" s="854"/>
      <c r="AY185" s="854"/>
      <c r="AZ185" s="854"/>
      <c r="BA185" s="854"/>
      <c r="BB185" s="854"/>
      <c r="BC185" s="854"/>
      <c r="BD185" s="854"/>
      <c r="BE185" s="854"/>
      <c r="BF185" s="854"/>
      <c r="BG185" s="854"/>
      <c r="BH185" s="854"/>
      <c r="BI185" s="854"/>
      <c r="BJ185" s="854"/>
      <c r="BK185" s="854"/>
      <c r="BL185" s="854"/>
      <c r="BM185" s="854"/>
      <c r="BN185" s="854"/>
      <c r="BO185" s="854"/>
      <c r="BP185" s="854"/>
      <c r="BQ185" s="854"/>
      <c r="BR185" s="854"/>
      <c r="BS185" s="854"/>
      <c r="BT185" s="854"/>
      <c r="BU185" s="854"/>
      <c r="BV185" s="854"/>
      <c r="BW185" s="854"/>
      <c r="BX185" s="854"/>
      <c r="BY185" s="854"/>
      <c r="BZ185" s="854"/>
      <c r="CA185" s="571">
        <f>IF(OR(I185="",I185&lt;'Configs &amp; Procedures'!$L$29),0,IF(I185&gt;'Configs &amp; Procedures'!$L$30,1,IF(F185&gt;'Configs &amp; Procedures'!$L$31,0,1)))</f>
        <v>0</v>
      </c>
    </row>
    <row r="186" spans="2:79">
      <c r="B186" s="854"/>
      <c r="C186" s="854"/>
      <c r="D186" s="854"/>
      <c r="E186" s="854"/>
      <c r="F186" s="854"/>
      <c r="G186" s="854"/>
      <c r="H186" s="854"/>
      <c r="I186" s="854"/>
      <c r="J186" s="854"/>
      <c r="K186" s="854"/>
      <c r="L186" s="854"/>
      <c r="M186" s="854"/>
      <c r="N186" s="854"/>
      <c r="O186" s="854"/>
      <c r="P186" s="854"/>
      <c r="Q186" s="854"/>
      <c r="R186" s="854"/>
      <c r="S186" s="854"/>
      <c r="T186" s="854"/>
      <c r="U186" s="854"/>
      <c r="V186" s="854"/>
      <c r="W186" s="854"/>
      <c r="X186" s="854"/>
      <c r="Y186" s="854"/>
      <c r="Z186" s="854"/>
      <c r="AA186" s="854"/>
      <c r="AB186" s="854"/>
      <c r="AC186" s="854"/>
      <c r="AD186" s="854"/>
      <c r="AE186" s="854"/>
      <c r="AF186" s="854"/>
      <c r="AG186" s="854"/>
      <c r="AH186" s="854"/>
      <c r="AI186" s="854"/>
      <c r="AJ186" s="854"/>
      <c r="AK186" s="854"/>
      <c r="AL186" s="854"/>
      <c r="AM186" s="854"/>
      <c r="AN186" s="854"/>
      <c r="AO186" s="854"/>
      <c r="AP186" s="854"/>
      <c r="AQ186" s="854"/>
      <c r="AR186" s="854"/>
      <c r="AS186" s="854"/>
      <c r="AT186" s="854"/>
      <c r="AU186" s="854"/>
      <c r="AV186" s="854"/>
      <c r="AW186" s="854"/>
      <c r="AX186" s="854"/>
      <c r="AY186" s="854"/>
      <c r="AZ186" s="854"/>
      <c r="BA186" s="854"/>
      <c r="BB186" s="854"/>
      <c r="BC186" s="854"/>
      <c r="BD186" s="854"/>
      <c r="BE186" s="854"/>
      <c r="BF186" s="854"/>
      <c r="BG186" s="854"/>
      <c r="BH186" s="854"/>
      <c r="BI186" s="854"/>
      <c r="BJ186" s="854"/>
      <c r="BK186" s="854"/>
      <c r="BL186" s="854"/>
      <c r="BM186" s="854"/>
      <c r="BN186" s="854"/>
      <c r="BO186" s="854"/>
      <c r="BP186" s="854"/>
      <c r="BQ186" s="854"/>
      <c r="BR186" s="854"/>
      <c r="BS186" s="854"/>
      <c r="BT186" s="854"/>
      <c r="BU186" s="854"/>
      <c r="BV186" s="854"/>
      <c r="BW186" s="854"/>
      <c r="BX186" s="854"/>
      <c r="BY186" s="854"/>
      <c r="BZ186" s="854"/>
      <c r="CA186" s="571">
        <f>IF(OR(I186="",I186&lt;'Configs &amp; Procedures'!$L$29),0,IF(I186&gt;'Configs &amp; Procedures'!$L$30,1,IF(F186&gt;'Configs &amp; Procedures'!$L$31,0,1)))</f>
        <v>0</v>
      </c>
    </row>
    <row r="187" spans="2:79">
      <c r="B187" s="854"/>
      <c r="C187" s="854"/>
      <c r="D187" s="854"/>
      <c r="E187" s="854"/>
      <c r="F187" s="854"/>
      <c r="G187" s="854"/>
      <c r="H187" s="854"/>
      <c r="I187" s="854"/>
      <c r="J187" s="854"/>
      <c r="K187" s="854"/>
      <c r="L187" s="854"/>
      <c r="M187" s="854"/>
      <c r="N187" s="854"/>
      <c r="O187" s="854"/>
      <c r="P187" s="854"/>
      <c r="Q187" s="854"/>
      <c r="R187" s="854"/>
      <c r="S187" s="854"/>
      <c r="T187" s="854"/>
      <c r="U187" s="854"/>
      <c r="V187" s="854"/>
      <c r="W187" s="854"/>
      <c r="X187" s="854"/>
      <c r="Y187" s="854"/>
      <c r="Z187" s="854"/>
      <c r="AA187" s="854"/>
      <c r="AB187" s="854"/>
      <c r="AC187" s="854"/>
      <c r="AD187" s="854"/>
      <c r="AE187" s="854"/>
      <c r="AF187" s="854"/>
      <c r="AG187" s="854"/>
      <c r="AH187" s="854"/>
      <c r="AI187" s="854"/>
      <c r="AJ187" s="854"/>
      <c r="AK187" s="854"/>
      <c r="AL187" s="854"/>
      <c r="AM187" s="854"/>
      <c r="AN187" s="854"/>
      <c r="AO187" s="854"/>
      <c r="AP187" s="854"/>
      <c r="AQ187" s="854"/>
      <c r="AR187" s="854"/>
      <c r="AS187" s="854"/>
      <c r="AT187" s="854"/>
      <c r="AU187" s="854"/>
      <c r="AV187" s="854"/>
      <c r="AW187" s="854"/>
      <c r="AX187" s="854"/>
      <c r="AY187" s="854"/>
      <c r="AZ187" s="854"/>
      <c r="BA187" s="854"/>
      <c r="BB187" s="854"/>
      <c r="BC187" s="854"/>
      <c r="BD187" s="854"/>
      <c r="BE187" s="854"/>
      <c r="BF187" s="854"/>
      <c r="BG187" s="854"/>
      <c r="BH187" s="854"/>
      <c r="BI187" s="854"/>
      <c r="BJ187" s="854"/>
      <c r="BK187" s="854"/>
      <c r="BL187" s="854"/>
      <c r="BM187" s="854"/>
      <c r="BN187" s="854"/>
      <c r="BO187" s="854"/>
      <c r="BP187" s="854"/>
      <c r="BQ187" s="854"/>
      <c r="BR187" s="854"/>
      <c r="BS187" s="854"/>
      <c r="BT187" s="854"/>
      <c r="BU187" s="854"/>
      <c r="BV187" s="854"/>
      <c r="BW187" s="854"/>
      <c r="BX187" s="854"/>
      <c r="BY187" s="854"/>
      <c r="BZ187" s="854"/>
      <c r="CA187" s="571">
        <f>IF(OR(I187="",I187&lt;'Configs &amp; Procedures'!$L$29),0,IF(I187&gt;'Configs &amp; Procedures'!$L$30,1,IF(F187&gt;'Configs &amp; Procedures'!$L$31,0,1)))</f>
        <v>0</v>
      </c>
    </row>
    <row r="188" spans="2:79">
      <c r="B188" s="854"/>
      <c r="C188" s="854"/>
      <c r="D188" s="854"/>
      <c r="E188" s="854"/>
      <c r="F188" s="854"/>
      <c r="G188" s="854"/>
      <c r="H188" s="854"/>
      <c r="I188" s="854"/>
      <c r="J188" s="854"/>
      <c r="K188" s="854"/>
      <c r="L188" s="854"/>
      <c r="M188" s="854"/>
      <c r="N188" s="854"/>
      <c r="O188" s="854"/>
      <c r="P188" s="854"/>
      <c r="Q188" s="854"/>
      <c r="R188" s="854"/>
      <c r="S188" s="854"/>
      <c r="T188" s="854"/>
      <c r="U188" s="854"/>
      <c r="V188" s="854"/>
      <c r="W188" s="854"/>
      <c r="X188" s="854"/>
      <c r="Y188" s="854"/>
      <c r="Z188" s="854"/>
      <c r="AA188" s="854"/>
      <c r="AB188" s="854"/>
      <c r="AC188" s="854"/>
      <c r="AD188" s="854"/>
      <c r="AE188" s="854"/>
      <c r="AF188" s="854"/>
      <c r="AG188" s="854"/>
      <c r="AH188" s="854"/>
      <c r="AI188" s="854"/>
      <c r="AJ188" s="854"/>
      <c r="AK188" s="854"/>
      <c r="AL188" s="854"/>
      <c r="AM188" s="854"/>
      <c r="AN188" s="854"/>
      <c r="AO188" s="854"/>
      <c r="AP188" s="854"/>
      <c r="AQ188" s="854"/>
      <c r="AR188" s="854"/>
      <c r="AS188" s="854"/>
      <c r="AT188" s="854"/>
      <c r="AU188" s="854"/>
      <c r="AV188" s="854"/>
      <c r="AW188" s="854"/>
      <c r="AX188" s="854"/>
      <c r="AY188" s="854"/>
      <c r="AZ188" s="854"/>
      <c r="BA188" s="854"/>
      <c r="BB188" s="854"/>
      <c r="BC188" s="854"/>
      <c r="BD188" s="854"/>
      <c r="BE188" s="854"/>
      <c r="BF188" s="854"/>
      <c r="BG188" s="854"/>
      <c r="BH188" s="854"/>
      <c r="BI188" s="854"/>
      <c r="BJ188" s="854"/>
      <c r="BK188" s="854"/>
      <c r="BL188" s="854"/>
      <c r="BM188" s="854"/>
      <c r="BN188" s="854"/>
      <c r="BO188" s="854"/>
      <c r="BP188" s="854"/>
      <c r="BQ188" s="854"/>
      <c r="BR188" s="854"/>
      <c r="BS188" s="854"/>
      <c r="BT188" s="854"/>
      <c r="BU188" s="854"/>
      <c r="BV188" s="854"/>
      <c r="BW188" s="854"/>
      <c r="BX188" s="854"/>
      <c r="BY188" s="854"/>
      <c r="BZ188" s="854"/>
      <c r="CA188" s="571">
        <f>IF(OR(I188="",I188&lt;'Configs &amp; Procedures'!$L$29),0,IF(I188&gt;'Configs &amp; Procedures'!$L$30,1,IF(F188&gt;'Configs &amp; Procedures'!$L$31,0,1)))</f>
        <v>0</v>
      </c>
    </row>
    <row r="189" spans="2:79">
      <c r="B189" s="854"/>
      <c r="C189" s="854"/>
      <c r="D189" s="854"/>
      <c r="E189" s="854"/>
      <c r="F189" s="854"/>
      <c r="G189" s="854"/>
      <c r="H189" s="854"/>
      <c r="I189" s="854"/>
      <c r="J189" s="854"/>
      <c r="K189" s="854"/>
      <c r="L189" s="854"/>
      <c r="M189" s="854"/>
      <c r="N189" s="854"/>
      <c r="O189" s="854"/>
      <c r="P189" s="854"/>
      <c r="Q189" s="854"/>
      <c r="R189" s="854"/>
      <c r="S189" s="854"/>
      <c r="T189" s="854"/>
      <c r="U189" s="854"/>
      <c r="V189" s="854"/>
      <c r="W189" s="854"/>
      <c r="X189" s="854"/>
      <c r="Y189" s="854"/>
      <c r="Z189" s="854"/>
      <c r="AA189" s="854"/>
      <c r="AB189" s="854"/>
      <c r="AC189" s="854"/>
      <c r="AD189" s="854"/>
      <c r="AE189" s="854"/>
      <c r="AF189" s="854"/>
      <c r="AG189" s="854"/>
      <c r="AH189" s="854"/>
      <c r="AI189" s="854"/>
      <c r="AJ189" s="854"/>
      <c r="AK189" s="854"/>
      <c r="AL189" s="854"/>
      <c r="AM189" s="854"/>
      <c r="AN189" s="854"/>
      <c r="AO189" s="854"/>
      <c r="AP189" s="854"/>
      <c r="AQ189" s="854"/>
      <c r="AR189" s="854"/>
      <c r="AS189" s="854"/>
      <c r="AT189" s="854"/>
      <c r="AU189" s="854"/>
      <c r="AV189" s="854"/>
      <c r="AW189" s="854"/>
      <c r="AX189" s="854"/>
      <c r="AY189" s="854"/>
      <c r="AZ189" s="854"/>
      <c r="BA189" s="854"/>
      <c r="BB189" s="854"/>
      <c r="BC189" s="854"/>
      <c r="BD189" s="854"/>
      <c r="BE189" s="854"/>
      <c r="BF189" s="854"/>
      <c r="BG189" s="854"/>
      <c r="BH189" s="854"/>
      <c r="BI189" s="854"/>
      <c r="BJ189" s="854"/>
      <c r="BK189" s="854"/>
      <c r="BL189" s="854"/>
      <c r="BM189" s="854"/>
      <c r="BN189" s="854"/>
      <c r="BO189" s="854"/>
      <c r="BP189" s="854"/>
      <c r="BQ189" s="854"/>
      <c r="BR189" s="854"/>
      <c r="BS189" s="854"/>
      <c r="BT189" s="854"/>
      <c r="BU189" s="854"/>
      <c r="BV189" s="854"/>
      <c r="BW189" s="854"/>
      <c r="BX189" s="854"/>
      <c r="BY189" s="854"/>
      <c r="BZ189" s="854"/>
      <c r="CA189" s="571">
        <f>IF(OR(I189="",I189&lt;'Configs &amp; Procedures'!$L$29),0,IF(I189&gt;'Configs &amp; Procedures'!$L$30,1,IF(F189&gt;'Configs &amp; Procedures'!$L$31,0,1)))</f>
        <v>0</v>
      </c>
    </row>
    <row r="190" spans="2:79">
      <c r="B190" s="854"/>
      <c r="C190" s="854"/>
      <c r="D190" s="854"/>
      <c r="E190" s="854"/>
      <c r="F190" s="854"/>
      <c r="G190" s="854"/>
      <c r="H190" s="854"/>
      <c r="I190" s="854"/>
      <c r="J190" s="854"/>
      <c r="K190" s="854"/>
      <c r="L190" s="854"/>
      <c r="M190" s="854"/>
      <c r="N190" s="854"/>
      <c r="O190" s="854"/>
      <c r="P190" s="854"/>
      <c r="Q190" s="854"/>
      <c r="R190" s="854"/>
      <c r="S190" s="854"/>
      <c r="T190" s="854"/>
      <c r="U190" s="854"/>
      <c r="V190" s="854"/>
      <c r="W190" s="854"/>
      <c r="X190" s="854"/>
      <c r="Y190" s="854"/>
      <c r="Z190" s="854"/>
      <c r="AA190" s="854"/>
      <c r="AB190" s="854"/>
      <c r="AC190" s="854"/>
      <c r="AD190" s="854"/>
      <c r="AE190" s="854"/>
      <c r="AF190" s="854"/>
      <c r="AG190" s="854"/>
      <c r="AH190" s="854"/>
      <c r="AI190" s="854"/>
      <c r="AJ190" s="854"/>
      <c r="AK190" s="854"/>
      <c r="AL190" s="854"/>
      <c r="AM190" s="854"/>
      <c r="AN190" s="854"/>
      <c r="AO190" s="854"/>
      <c r="AP190" s="854"/>
      <c r="AQ190" s="854"/>
      <c r="AR190" s="854"/>
      <c r="AS190" s="854"/>
      <c r="AT190" s="854"/>
      <c r="AU190" s="854"/>
      <c r="AV190" s="854"/>
      <c r="AW190" s="854"/>
      <c r="AX190" s="854"/>
      <c r="AY190" s="854"/>
      <c r="AZ190" s="854"/>
      <c r="BA190" s="854"/>
      <c r="BB190" s="854"/>
      <c r="BC190" s="854"/>
      <c r="BD190" s="854"/>
      <c r="BE190" s="854"/>
      <c r="BF190" s="854"/>
      <c r="BG190" s="854"/>
      <c r="BH190" s="854"/>
      <c r="BI190" s="854"/>
      <c r="BJ190" s="854"/>
      <c r="BK190" s="854"/>
      <c r="BL190" s="854"/>
      <c r="BM190" s="854"/>
      <c r="BN190" s="854"/>
      <c r="BO190" s="854"/>
      <c r="BP190" s="854"/>
      <c r="BQ190" s="854"/>
      <c r="BR190" s="854"/>
      <c r="BS190" s="854"/>
      <c r="BT190" s="854"/>
      <c r="BU190" s="854"/>
      <c r="BV190" s="854"/>
      <c r="BW190" s="854"/>
      <c r="BX190" s="854"/>
      <c r="BY190" s="854"/>
      <c r="BZ190" s="854"/>
      <c r="CA190" s="571">
        <f>IF(OR(I190="",I190&lt;'Configs &amp; Procedures'!$L$29),0,IF(I190&gt;'Configs &amp; Procedures'!$L$30,1,IF(F190&gt;'Configs &amp; Procedures'!$L$31,0,1)))</f>
        <v>0</v>
      </c>
    </row>
    <row r="191" spans="2:79">
      <c r="B191" s="854"/>
      <c r="C191" s="854"/>
      <c r="D191" s="854"/>
      <c r="E191" s="854"/>
      <c r="F191" s="854"/>
      <c r="G191" s="854"/>
      <c r="H191" s="854"/>
      <c r="I191" s="854"/>
      <c r="J191" s="854"/>
      <c r="K191" s="854"/>
      <c r="L191" s="854"/>
      <c r="M191" s="854"/>
      <c r="N191" s="854"/>
      <c r="O191" s="854"/>
      <c r="P191" s="854"/>
      <c r="Q191" s="854"/>
      <c r="R191" s="854"/>
      <c r="S191" s="854"/>
      <c r="T191" s="854"/>
      <c r="U191" s="854"/>
      <c r="V191" s="854"/>
      <c r="W191" s="854"/>
      <c r="X191" s="854"/>
      <c r="Y191" s="854"/>
      <c r="Z191" s="854"/>
      <c r="AA191" s="854"/>
      <c r="AB191" s="854"/>
      <c r="AC191" s="854"/>
      <c r="AD191" s="854"/>
      <c r="AE191" s="854"/>
      <c r="AF191" s="854"/>
      <c r="AG191" s="854"/>
      <c r="AH191" s="854"/>
      <c r="AI191" s="854"/>
      <c r="AJ191" s="854"/>
      <c r="AK191" s="854"/>
      <c r="AL191" s="854"/>
      <c r="AM191" s="854"/>
      <c r="AN191" s="854"/>
      <c r="AO191" s="854"/>
      <c r="AP191" s="854"/>
      <c r="AQ191" s="854"/>
      <c r="AR191" s="854"/>
      <c r="AS191" s="854"/>
      <c r="AT191" s="854"/>
      <c r="AU191" s="854"/>
      <c r="AV191" s="854"/>
      <c r="AW191" s="854"/>
      <c r="AX191" s="854"/>
      <c r="AY191" s="854"/>
      <c r="AZ191" s="854"/>
      <c r="BA191" s="854"/>
      <c r="BB191" s="854"/>
      <c r="BC191" s="854"/>
      <c r="BD191" s="854"/>
      <c r="BE191" s="854"/>
      <c r="BF191" s="854"/>
      <c r="BG191" s="854"/>
      <c r="BH191" s="854"/>
      <c r="BI191" s="854"/>
      <c r="BJ191" s="854"/>
      <c r="BK191" s="854"/>
      <c r="BL191" s="854"/>
      <c r="BM191" s="854"/>
      <c r="BN191" s="854"/>
      <c r="BO191" s="854"/>
      <c r="BP191" s="854"/>
      <c r="BQ191" s="854"/>
      <c r="BR191" s="854"/>
      <c r="BS191" s="854"/>
      <c r="BT191" s="854"/>
      <c r="BU191" s="854"/>
      <c r="BV191" s="854"/>
      <c r="BW191" s="854"/>
      <c r="BX191" s="854"/>
      <c r="BY191" s="854"/>
      <c r="BZ191" s="854"/>
      <c r="CA191" s="571">
        <f>IF(OR(I191="",I191&lt;'Configs &amp; Procedures'!$L$29),0,IF(I191&gt;'Configs &amp; Procedures'!$L$30,1,IF(F191&gt;'Configs &amp; Procedures'!$L$31,0,1)))</f>
        <v>0</v>
      </c>
    </row>
    <row r="192" spans="2:79">
      <c r="B192" s="854"/>
      <c r="C192" s="854"/>
      <c r="D192" s="854"/>
      <c r="E192" s="854"/>
      <c r="F192" s="854"/>
      <c r="G192" s="854"/>
      <c r="H192" s="854"/>
      <c r="I192" s="854"/>
      <c r="J192" s="854"/>
      <c r="K192" s="854"/>
      <c r="L192" s="854"/>
      <c r="M192" s="854"/>
      <c r="N192" s="854"/>
      <c r="O192" s="854"/>
      <c r="P192" s="854"/>
      <c r="Q192" s="854"/>
      <c r="R192" s="854"/>
      <c r="S192" s="854"/>
      <c r="T192" s="854"/>
      <c r="U192" s="854"/>
      <c r="V192" s="854"/>
      <c r="W192" s="854"/>
      <c r="X192" s="854"/>
      <c r="Y192" s="854"/>
      <c r="Z192" s="854"/>
      <c r="AA192" s="854"/>
      <c r="AB192" s="854"/>
      <c r="AC192" s="854"/>
      <c r="AD192" s="854"/>
      <c r="AE192" s="854"/>
      <c r="AF192" s="854"/>
      <c r="AG192" s="854"/>
      <c r="AH192" s="854"/>
      <c r="AI192" s="854"/>
      <c r="AJ192" s="854"/>
      <c r="AK192" s="854"/>
      <c r="AL192" s="854"/>
      <c r="AM192" s="854"/>
      <c r="AN192" s="854"/>
      <c r="AO192" s="854"/>
      <c r="AP192" s="854"/>
      <c r="AQ192" s="854"/>
      <c r="AR192" s="854"/>
      <c r="AS192" s="854"/>
      <c r="AT192" s="854"/>
      <c r="AU192" s="854"/>
      <c r="AV192" s="854"/>
      <c r="AW192" s="854"/>
      <c r="AX192" s="854"/>
      <c r="AY192" s="854"/>
      <c r="AZ192" s="854"/>
      <c r="BA192" s="854"/>
      <c r="BB192" s="854"/>
      <c r="BC192" s="854"/>
      <c r="BD192" s="854"/>
      <c r="BE192" s="854"/>
      <c r="BF192" s="854"/>
      <c r="BG192" s="854"/>
      <c r="BH192" s="854"/>
      <c r="BI192" s="854"/>
      <c r="BJ192" s="854"/>
      <c r="BK192" s="854"/>
      <c r="BL192" s="854"/>
      <c r="BM192" s="854"/>
      <c r="BN192" s="854"/>
      <c r="BO192" s="854"/>
      <c r="BP192" s="854"/>
      <c r="BQ192" s="854"/>
      <c r="BR192" s="854"/>
      <c r="BS192" s="854"/>
      <c r="BT192" s="854"/>
      <c r="BU192" s="854"/>
      <c r="BV192" s="854"/>
      <c r="BW192" s="854"/>
      <c r="BX192" s="854"/>
      <c r="BY192" s="854"/>
      <c r="BZ192" s="854"/>
      <c r="CA192" s="571">
        <f>IF(OR(I192="",I192&lt;'Configs &amp; Procedures'!$L$29),0,IF(I192&gt;'Configs &amp; Procedures'!$L$30,1,IF(F192&gt;'Configs &amp; Procedures'!$L$31,0,1)))</f>
        <v>0</v>
      </c>
    </row>
    <row r="193" spans="2:79">
      <c r="B193" s="854"/>
      <c r="C193" s="854"/>
      <c r="D193" s="854"/>
      <c r="E193" s="854"/>
      <c r="F193" s="854"/>
      <c r="G193" s="854"/>
      <c r="H193" s="854"/>
      <c r="I193" s="854"/>
      <c r="J193" s="854"/>
      <c r="K193" s="854"/>
      <c r="L193" s="854"/>
      <c r="M193" s="854"/>
      <c r="N193" s="854"/>
      <c r="O193" s="854"/>
      <c r="P193" s="854"/>
      <c r="Q193" s="854"/>
      <c r="R193" s="854"/>
      <c r="S193" s="854"/>
      <c r="T193" s="854"/>
      <c r="U193" s="854"/>
      <c r="V193" s="854"/>
      <c r="W193" s="854"/>
      <c r="X193" s="854"/>
      <c r="Y193" s="854"/>
      <c r="Z193" s="854"/>
      <c r="AA193" s="854"/>
      <c r="AB193" s="854"/>
      <c r="AC193" s="854"/>
      <c r="AD193" s="854"/>
      <c r="AE193" s="854"/>
      <c r="AF193" s="854"/>
      <c r="AG193" s="854"/>
      <c r="AH193" s="854"/>
      <c r="AI193" s="854"/>
      <c r="AJ193" s="854"/>
      <c r="AK193" s="854"/>
      <c r="AL193" s="854"/>
      <c r="AM193" s="854"/>
      <c r="AN193" s="854"/>
      <c r="AO193" s="854"/>
      <c r="AP193" s="854"/>
      <c r="AQ193" s="854"/>
      <c r="AR193" s="854"/>
      <c r="AS193" s="854"/>
      <c r="AT193" s="854"/>
      <c r="AU193" s="854"/>
      <c r="AV193" s="854"/>
      <c r="AW193" s="854"/>
      <c r="AX193" s="854"/>
      <c r="AY193" s="854"/>
      <c r="AZ193" s="854"/>
      <c r="BA193" s="854"/>
      <c r="BB193" s="854"/>
      <c r="BC193" s="854"/>
      <c r="BD193" s="854"/>
      <c r="BE193" s="854"/>
      <c r="BF193" s="854"/>
      <c r="BG193" s="854"/>
      <c r="BH193" s="854"/>
      <c r="BI193" s="854"/>
      <c r="BJ193" s="854"/>
      <c r="BK193" s="854"/>
      <c r="BL193" s="854"/>
      <c r="BM193" s="854"/>
      <c r="BN193" s="854"/>
      <c r="BO193" s="854"/>
      <c r="BP193" s="854"/>
      <c r="BQ193" s="854"/>
      <c r="BR193" s="854"/>
      <c r="BS193" s="854"/>
      <c r="BT193" s="854"/>
      <c r="BU193" s="854"/>
      <c r="BV193" s="854"/>
      <c r="BW193" s="854"/>
      <c r="BX193" s="854"/>
      <c r="BY193" s="854"/>
      <c r="BZ193" s="854"/>
      <c r="CA193" s="571">
        <f>IF(OR(I193="",I193&lt;'Configs &amp; Procedures'!$L$29),0,IF(I193&gt;'Configs &amp; Procedures'!$L$30,1,IF(F193&gt;'Configs &amp; Procedures'!$L$31,0,1)))</f>
        <v>0</v>
      </c>
    </row>
    <row r="194" spans="2:79">
      <c r="B194" s="854"/>
      <c r="C194" s="854"/>
      <c r="D194" s="854"/>
      <c r="E194" s="854"/>
      <c r="F194" s="854"/>
      <c r="G194" s="854"/>
      <c r="H194" s="854"/>
      <c r="I194" s="854"/>
      <c r="J194" s="854"/>
      <c r="K194" s="854"/>
      <c r="L194" s="854"/>
      <c r="M194" s="854"/>
      <c r="N194" s="854"/>
      <c r="O194" s="854"/>
      <c r="P194" s="854"/>
      <c r="Q194" s="854"/>
      <c r="R194" s="854"/>
      <c r="S194" s="854"/>
      <c r="T194" s="854"/>
      <c r="U194" s="854"/>
      <c r="V194" s="854"/>
      <c r="W194" s="854"/>
      <c r="X194" s="854"/>
      <c r="Y194" s="854"/>
      <c r="Z194" s="854"/>
      <c r="AA194" s="854"/>
      <c r="AB194" s="854"/>
      <c r="AC194" s="854"/>
      <c r="AD194" s="854"/>
      <c r="AE194" s="854"/>
      <c r="AF194" s="854"/>
      <c r="AG194" s="854"/>
      <c r="AH194" s="854"/>
      <c r="AI194" s="854"/>
      <c r="AJ194" s="854"/>
      <c r="AK194" s="854"/>
      <c r="AL194" s="854"/>
      <c r="AM194" s="854"/>
      <c r="AN194" s="854"/>
      <c r="AO194" s="854"/>
      <c r="AP194" s="854"/>
      <c r="AQ194" s="854"/>
      <c r="AR194" s="854"/>
      <c r="AS194" s="854"/>
      <c r="AT194" s="854"/>
      <c r="AU194" s="854"/>
      <c r="AV194" s="854"/>
      <c r="AW194" s="854"/>
      <c r="AX194" s="854"/>
      <c r="AY194" s="854"/>
      <c r="AZ194" s="854"/>
      <c r="BA194" s="854"/>
      <c r="BB194" s="854"/>
      <c r="BC194" s="854"/>
      <c r="BD194" s="854"/>
      <c r="BE194" s="854"/>
      <c r="BF194" s="854"/>
      <c r="BG194" s="854"/>
      <c r="BH194" s="854"/>
      <c r="BI194" s="854"/>
      <c r="BJ194" s="854"/>
      <c r="BK194" s="854"/>
      <c r="BL194" s="854"/>
      <c r="BM194" s="854"/>
      <c r="BN194" s="854"/>
      <c r="BO194" s="854"/>
      <c r="BP194" s="854"/>
      <c r="BQ194" s="854"/>
      <c r="BR194" s="854"/>
      <c r="BS194" s="854"/>
      <c r="BT194" s="854"/>
      <c r="BU194" s="854"/>
      <c r="BV194" s="854"/>
      <c r="BW194" s="854"/>
      <c r="BX194" s="854"/>
      <c r="BY194" s="854"/>
      <c r="BZ194" s="854"/>
      <c r="CA194" s="571">
        <f>IF(OR(I194="",I194&lt;'Configs &amp; Procedures'!$L$29),0,IF(I194&gt;'Configs &amp; Procedures'!$L$30,1,IF(F194&gt;'Configs &amp; Procedures'!$L$31,0,1)))</f>
        <v>0</v>
      </c>
    </row>
    <row r="195" spans="2:79">
      <c r="B195" s="854"/>
      <c r="C195" s="854"/>
      <c r="D195" s="854"/>
      <c r="E195" s="854"/>
      <c r="F195" s="854"/>
      <c r="G195" s="854"/>
      <c r="H195" s="854"/>
      <c r="I195" s="854"/>
      <c r="J195" s="854"/>
      <c r="K195" s="854"/>
      <c r="L195" s="854"/>
      <c r="M195" s="854"/>
      <c r="N195" s="854"/>
      <c r="O195" s="854"/>
      <c r="P195" s="854"/>
      <c r="Q195" s="854"/>
      <c r="R195" s="854"/>
      <c r="S195" s="854"/>
      <c r="T195" s="854"/>
      <c r="U195" s="854"/>
      <c r="V195" s="854"/>
      <c r="W195" s="854"/>
      <c r="X195" s="854"/>
      <c r="Y195" s="854"/>
      <c r="Z195" s="854"/>
      <c r="AA195" s="854"/>
      <c r="AB195" s="854"/>
      <c r="AC195" s="854"/>
      <c r="AD195" s="854"/>
      <c r="AE195" s="854"/>
      <c r="AF195" s="854"/>
      <c r="AG195" s="854"/>
      <c r="AH195" s="854"/>
      <c r="AI195" s="854"/>
      <c r="AJ195" s="854"/>
      <c r="AK195" s="854"/>
      <c r="AL195" s="854"/>
      <c r="AM195" s="854"/>
      <c r="AN195" s="854"/>
      <c r="AO195" s="854"/>
      <c r="AP195" s="854"/>
      <c r="AQ195" s="854"/>
      <c r="AR195" s="854"/>
      <c r="AS195" s="854"/>
      <c r="AT195" s="854"/>
      <c r="AU195" s="854"/>
      <c r="AV195" s="854"/>
      <c r="AW195" s="854"/>
      <c r="AX195" s="854"/>
      <c r="AY195" s="854"/>
      <c r="AZ195" s="854"/>
      <c r="BA195" s="854"/>
      <c r="BB195" s="854"/>
      <c r="BC195" s="854"/>
      <c r="BD195" s="854"/>
      <c r="BE195" s="854"/>
      <c r="BF195" s="854"/>
      <c r="BG195" s="854"/>
      <c r="BH195" s="854"/>
      <c r="BI195" s="854"/>
      <c r="BJ195" s="854"/>
      <c r="BK195" s="854"/>
      <c r="BL195" s="854"/>
      <c r="BM195" s="854"/>
      <c r="BN195" s="854"/>
      <c r="BO195" s="854"/>
      <c r="BP195" s="854"/>
      <c r="BQ195" s="854"/>
      <c r="BR195" s="854"/>
      <c r="BS195" s="854"/>
      <c r="BT195" s="854"/>
      <c r="BU195" s="854"/>
      <c r="BV195" s="854"/>
      <c r="BW195" s="854"/>
      <c r="BX195" s="854"/>
      <c r="BY195" s="854"/>
      <c r="BZ195" s="854"/>
      <c r="CA195" s="571">
        <f>IF(OR(I195="",I195&lt;'Configs &amp; Procedures'!$L$29),0,IF(I195&gt;'Configs &amp; Procedures'!$L$30,1,IF(F195&gt;'Configs &amp; Procedures'!$L$31,0,1)))</f>
        <v>0</v>
      </c>
    </row>
    <row r="196" spans="2:79">
      <c r="B196" s="854"/>
      <c r="C196" s="854"/>
      <c r="D196" s="854"/>
      <c r="E196" s="854"/>
      <c r="F196" s="854"/>
      <c r="G196" s="854"/>
      <c r="H196" s="854"/>
      <c r="I196" s="854"/>
      <c r="J196" s="854"/>
      <c r="K196" s="854"/>
      <c r="L196" s="854"/>
      <c r="M196" s="854"/>
      <c r="N196" s="854"/>
      <c r="O196" s="854"/>
      <c r="P196" s="854"/>
      <c r="Q196" s="854"/>
      <c r="R196" s="854"/>
      <c r="S196" s="854"/>
      <c r="T196" s="854"/>
      <c r="U196" s="854"/>
      <c r="V196" s="854"/>
      <c r="W196" s="854"/>
      <c r="X196" s="854"/>
      <c r="Y196" s="854"/>
      <c r="Z196" s="854"/>
      <c r="AA196" s="854"/>
      <c r="AB196" s="854"/>
      <c r="AC196" s="854"/>
      <c r="AD196" s="854"/>
      <c r="AE196" s="854"/>
      <c r="AF196" s="854"/>
      <c r="AG196" s="854"/>
      <c r="AH196" s="854"/>
      <c r="AI196" s="854"/>
      <c r="AJ196" s="854"/>
      <c r="AK196" s="854"/>
      <c r="AL196" s="854"/>
      <c r="AM196" s="854"/>
      <c r="AN196" s="854"/>
      <c r="AO196" s="854"/>
      <c r="AP196" s="854"/>
      <c r="AQ196" s="854"/>
      <c r="AR196" s="854"/>
      <c r="AS196" s="854"/>
      <c r="AT196" s="854"/>
      <c r="AU196" s="854"/>
      <c r="AV196" s="854"/>
      <c r="AW196" s="854"/>
      <c r="AX196" s="854"/>
      <c r="AY196" s="854"/>
      <c r="AZ196" s="854"/>
      <c r="BA196" s="854"/>
      <c r="BB196" s="854"/>
      <c r="BC196" s="854"/>
      <c r="BD196" s="854"/>
      <c r="BE196" s="854"/>
      <c r="BF196" s="854"/>
      <c r="BG196" s="854"/>
      <c r="BH196" s="854"/>
      <c r="BI196" s="854"/>
      <c r="BJ196" s="854"/>
      <c r="BK196" s="854"/>
      <c r="BL196" s="854"/>
      <c r="BM196" s="854"/>
      <c r="BN196" s="854"/>
      <c r="BO196" s="854"/>
      <c r="BP196" s="854"/>
      <c r="BQ196" s="854"/>
      <c r="BR196" s="854"/>
      <c r="BS196" s="854"/>
      <c r="BT196" s="854"/>
      <c r="BU196" s="854"/>
      <c r="BV196" s="854"/>
      <c r="BW196" s="854"/>
      <c r="BX196" s="854"/>
      <c r="BY196" s="854"/>
      <c r="BZ196" s="854"/>
      <c r="CA196" s="571">
        <f>IF(OR(I196="",I196&lt;'Configs &amp; Procedures'!$L$29),0,IF(I196&gt;'Configs &amp; Procedures'!$L$30,1,IF(F196&gt;'Configs &amp; Procedures'!$L$31,0,1)))</f>
        <v>0</v>
      </c>
    </row>
    <row r="197" spans="2:79">
      <c r="B197" s="854"/>
      <c r="C197" s="854"/>
      <c r="D197" s="854"/>
      <c r="E197" s="854"/>
      <c r="F197" s="854"/>
      <c r="G197" s="854"/>
      <c r="H197" s="854"/>
      <c r="I197" s="854"/>
      <c r="J197" s="854"/>
      <c r="K197" s="854"/>
      <c r="L197" s="854"/>
      <c r="M197" s="854"/>
      <c r="N197" s="854"/>
      <c r="O197" s="854"/>
      <c r="P197" s="854"/>
      <c r="Q197" s="854"/>
      <c r="R197" s="854"/>
      <c r="S197" s="854"/>
      <c r="T197" s="854"/>
      <c r="U197" s="854"/>
      <c r="V197" s="854"/>
      <c r="W197" s="854"/>
      <c r="X197" s="854"/>
      <c r="Y197" s="854"/>
      <c r="Z197" s="854"/>
      <c r="AA197" s="854"/>
      <c r="AB197" s="854"/>
      <c r="AC197" s="854"/>
      <c r="AD197" s="854"/>
      <c r="AE197" s="854"/>
      <c r="AF197" s="854"/>
      <c r="AG197" s="854"/>
      <c r="AH197" s="854"/>
      <c r="AI197" s="854"/>
      <c r="AJ197" s="854"/>
      <c r="AK197" s="854"/>
      <c r="AL197" s="854"/>
      <c r="AM197" s="854"/>
      <c r="AN197" s="854"/>
      <c r="AO197" s="854"/>
      <c r="AP197" s="854"/>
      <c r="AQ197" s="854"/>
      <c r="AR197" s="854"/>
      <c r="AS197" s="854"/>
      <c r="AT197" s="854"/>
      <c r="AU197" s="854"/>
      <c r="AV197" s="854"/>
      <c r="AW197" s="854"/>
      <c r="AX197" s="854"/>
      <c r="AY197" s="854"/>
      <c r="AZ197" s="854"/>
      <c r="BA197" s="854"/>
      <c r="BB197" s="854"/>
      <c r="BC197" s="854"/>
      <c r="BD197" s="854"/>
      <c r="BE197" s="854"/>
      <c r="BF197" s="854"/>
      <c r="BG197" s="854"/>
      <c r="BH197" s="854"/>
      <c r="BI197" s="854"/>
      <c r="BJ197" s="854"/>
      <c r="BK197" s="854"/>
      <c r="BL197" s="854"/>
      <c r="BM197" s="854"/>
      <c r="BN197" s="854"/>
      <c r="BO197" s="854"/>
      <c r="BP197" s="854"/>
      <c r="BQ197" s="854"/>
      <c r="BR197" s="854"/>
      <c r="BS197" s="854"/>
      <c r="BT197" s="854"/>
      <c r="BU197" s="854"/>
      <c r="BV197" s="854"/>
      <c r="BW197" s="854"/>
      <c r="BX197" s="854"/>
      <c r="BY197" s="854"/>
      <c r="BZ197" s="854"/>
      <c r="CA197" s="571">
        <f>IF(OR(I197="",I197&lt;'Configs &amp; Procedures'!$L$29),0,IF(I197&gt;'Configs &amp; Procedures'!$L$30,1,IF(F197&gt;'Configs &amp; Procedures'!$L$31,0,1)))</f>
        <v>0</v>
      </c>
    </row>
    <row r="198" spans="2:79">
      <c r="B198" s="854"/>
      <c r="C198" s="854"/>
      <c r="D198" s="854"/>
      <c r="E198" s="854"/>
      <c r="F198" s="854"/>
      <c r="G198" s="854"/>
      <c r="H198" s="854"/>
      <c r="I198" s="854"/>
      <c r="J198" s="854"/>
      <c r="K198" s="854"/>
      <c r="L198" s="854"/>
      <c r="M198" s="854"/>
      <c r="N198" s="854"/>
      <c r="O198" s="854"/>
      <c r="P198" s="854"/>
      <c r="Q198" s="854"/>
      <c r="R198" s="854"/>
      <c r="S198" s="854"/>
      <c r="T198" s="854"/>
      <c r="U198" s="854"/>
      <c r="V198" s="854"/>
      <c r="W198" s="854"/>
      <c r="X198" s="854"/>
      <c r="Y198" s="854"/>
      <c r="Z198" s="854"/>
      <c r="AA198" s="854"/>
      <c r="AB198" s="854"/>
      <c r="AC198" s="854"/>
      <c r="AD198" s="854"/>
      <c r="AE198" s="854"/>
      <c r="AF198" s="854"/>
      <c r="AG198" s="854"/>
      <c r="AH198" s="854"/>
      <c r="AI198" s="854"/>
      <c r="AJ198" s="854"/>
      <c r="AK198" s="854"/>
      <c r="AL198" s="854"/>
      <c r="AM198" s="854"/>
      <c r="AN198" s="854"/>
      <c r="AO198" s="854"/>
      <c r="AP198" s="854"/>
      <c r="AQ198" s="854"/>
      <c r="AR198" s="854"/>
      <c r="AS198" s="854"/>
      <c r="AT198" s="854"/>
      <c r="AU198" s="854"/>
      <c r="AV198" s="854"/>
      <c r="AW198" s="854"/>
      <c r="AX198" s="854"/>
      <c r="AY198" s="854"/>
      <c r="AZ198" s="854"/>
      <c r="BA198" s="854"/>
      <c r="BB198" s="854"/>
      <c r="BC198" s="854"/>
      <c r="BD198" s="854"/>
      <c r="BE198" s="854"/>
      <c r="BF198" s="854"/>
      <c r="BG198" s="854"/>
      <c r="BH198" s="854"/>
      <c r="BI198" s="854"/>
      <c r="BJ198" s="854"/>
      <c r="BK198" s="854"/>
      <c r="BL198" s="854"/>
      <c r="BM198" s="854"/>
      <c r="BN198" s="854"/>
      <c r="BO198" s="854"/>
      <c r="BP198" s="854"/>
      <c r="BQ198" s="854"/>
      <c r="BR198" s="854"/>
      <c r="BS198" s="854"/>
      <c r="BT198" s="854"/>
      <c r="BU198" s="854"/>
      <c r="BV198" s="854"/>
      <c r="BW198" s="854"/>
      <c r="BX198" s="854"/>
      <c r="BY198" s="854"/>
      <c r="BZ198" s="854"/>
      <c r="CA198" s="571">
        <f>IF(OR(I198="",I198&lt;'Configs &amp; Procedures'!$L$29),0,IF(I198&gt;'Configs &amp; Procedures'!$L$30,1,IF(F198&gt;'Configs &amp; Procedures'!$L$31,0,1)))</f>
        <v>0</v>
      </c>
    </row>
    <row r="199" spans="2:79">
      <c r="B199" s="854"/>
      <c r="C199" s="854"/>
      <c r="D199" s="854"/>
      <c r="E199" s="854"/>
      <c r="F199" s="854"/>
      <c r="G199" s="854"/>
      <c r="H199" s="854"/>
      <c r="I199" s="854"/>
      <c r="J199" s="854"/>
      <c r="K199" s="854"/>
      <c r="L199" s="854"/>
      <c r="M199" s="854"/>
      <c r="N199" s="854"/>
      <c r="O199" s="854"/>
      <c r="P199" s="854"/>
      <c r="Q199" s="854"/>
      <c r="R199" s="854"/>
      <c r="S199" s="854"/>
      <c r="T199" s="854"/>
      <c r="U199" s="854"/>
      <c r="V199" s="854"/>
      <c r="W199" s="854"/>
      <c r="X199" s="854"/>
      <c r="Y199" s="854"/>
      <c r="Z199" s="854"/>
      <c r="AA199" s="854"/>
      <c r="AB199" s="854"/>
      <c r="AC199" s="854"/>
      <c r="AD199" s="854"/>
      <c r="AE199" s="854"/>
      <c r="AF199" s="854"/>
      <c r="AG199" s="854"/>
      <c r="AH199" s="854"/>
      <c r="AI199" s="854"/>
      <c r="AJ199" s="854"/>
      <c r="AK199" s="854"/>
      <c r="AL199" s="854"/>
      <c r="AM199" s="854"/>
      <c r="AN199" s="854"/>
      <c r="AO199" s="854"/>
      <c r="AP199" s="854"/>
      <c r="AQ199" s="854"/>
      <c r="AR199" s="854"/>
      <c r="AS199" s="854"/>
      <c r="AT199" s="854"/>
      <c r="AU199" s="854"/>
      <c r="AV199" s="854"/>
      <c r="AW199" s="854"/>
      <c r="AX199" s="854"/>
      <c r="AY199" s="854"/>
      <c r="AZ199" s="854"/>
      <c r="BA199" s="854"/>
      <c r="BB199" s="854"/>
      <c r="BC199" s="854"/>
      <c r="BD199" s="854"/>
      <c r="BE199" s="854"/>
      <c r="BF199" s="854"/>
      <c r="BG199" s="854"/>
      <c r="BH199" s="854"/>
      <c r="BI199" s="854"/>
      <c r="BJ199" s="854"/>
      <c r="BK199" s="854"/>
      <c r="BL199" s="854"/>
      <c r="BM199" s="854"/>
      <c r="BN199" s="854"/>
      <c r="BO199" s="854"/>
      <c r="BP199" s="854"/>
      <c r="BQ199" s="854"/>
      <c r="BR199" s="854"/>
      <c r="BS199" s="854"/>
      <c r="BT199" s="854"/>
      <c r="BU199" s="854"/>
      <c r="BV199" s="854"/>
      <c r="BW199" s="854"/>
      <c r="BX199" s="854"/>
      <c r="BY199" s="854"/>
      <c r="BZ199" s="854"/>
      <c r="CA199" s="571">
        <f>IF(OR(I199="",I199&lt;'Configs &amp; Procedures'!$L$29),0,IF(I199&gt;'Configs &amp; Procedures'!$L$30,1,IF(F199&gt;'Configs &amp; Procedures'!$L$31,0,1)))</f>
        <v>0</v>
      </c>
    </row>
    <row r="200" spans="2:79">
      <c r="B200" s="854"/>
      <c r="C200" s="854"/>
      <c r="D200" s="854"/>
      <c r="E200" s="854"/>
      <c r="F200" s="854"/>
      <c r="G200" s="854"/>
      <c r="H200" s="854"/>
      <c r="I200" s="854"/>
      <c r="J200" s="854"/>
      <c r="K200" s="854"/>
      <c r="L200" s="854"/>
      <c r="M200" s="854"/>
      <c r="N200" s="854"/>
      <c r="O200" s="854"/>
      <c r="P200" s="854"/>
      <c r="Q200" s="854"/>
      <c r="R200" s="854"/>
      <c r="S200" s="854"/>
      <c r="T200" s="854"/>
      <c r="U200" s="854"/>
      <c r="V200" s="854"/>
      <c r="W200" s="854"/>
      <c r="X200" s="854"/>
      <c r="Y200" s="854"/>
      <c r="Z200" s="854"/>
      <c r="AA200" s="854"/>
      <c r="AB200" s="854"/>
      <c r="AC200" s="854"/>
      <c r="AD200" s="854"/>
      <c r="AE200" s="854"/>
      <c r="AF200" s="854"/>
      <c r="AG200" s="854"/>
      <c r="AH200" s="854"/>
      <c r="AI200" s="854"/>
      <c r="AJ200" s="854"/>
      <c r="AK200" s="854"/>
      <c r="AL200" s="854"/>
      <c r="AM200" s="854"/>
      <c r="AN200" s="854"/>
      <c r="AO200" s="854"/>
      <c r="AP200" s="854"/>
      <c r="AQ200" s="854"/>
      <c r="AR200" s="854"/>
      <c r="AS200" s="854"/>
      <c r="AT200" s="854"/>
      <c r="AU200" s="854"/>
      <c r="AV200" s="854"/>
      <c r="AW200" s="854"/>
      <c r="AX200" s="854"/>
      <c r="AY200" s="854"/>
      <c r="AZ200" s="854"/>
      <c r="BA200" s="854"/>
      <c r="BB200" s="854"/>
      <c r="BC200" s="854"/>
      <c r="BD200" s="854"/>
      <c r="BE200" s="854"/>
      <c r="BF200" s="854"/>
      <c r="BG200" s="854"/>
      <c r="BH200" s="854"/>
      <c r="BI200" s="854"/>
      <c r="BJ200" s="854"/>
      <c r="BK200" s="854"/>
      <c r="BL200" s="854"/>
      <c r="BM200" s="854"/>
      <c r="BN200" s="854"/>
      <c r="BO200" s="854"/>
      <c r="BP200" s="854"/>
      <c r="BQ200" s="854"/>
      <c r="BR200" s="854"/>
      <c r="BS200" s="854"/>
      <c r="BT200" s="854"/>
      <c r="BU200" s="854"/>
      <c r="BV200" s="854"/>
      <c r="BW200" s="854"/>
      <c r="BX200" s="854"/>
      <c r="BY200" s="854"/>
      <c r="BZ200" s="854"/>
      <c r="CA200" s="571">
        <f>IF(OR(I200="",I200&lt;'Configs &amp; Procedures'!$L$29),0,IF(I200&gt;'Configs &amp; Procedures'!$L$30,1,IF(F200&gt;'Configs &amp; Procedures'!$L$31,0,1)))</f>
        <v>0</v>
      </c>
    </row>
    <row r="201" spans="2:79">
      <c r="B201" s="854"/>
      <c r="C201" s="854"/>
      <c r="D201" s="854"/>
      <c r="E201" s="854"/>
      <c r="F201" s="854"/>
      <c r="G201" s="854"/>
      <c r="H201" s="854"/>
      <c r="I201" s="854"/>
      <c r="J201" s="854"/>
      <c r="K201" s="854"/>
      <c r="L201" s="854"/>
      <c r="M201" s="854"/>
      <c r="N201" s="854"/>
      <c r="O201" s="854"/>
      <c r="P201" s="854"/>
      <c r="Q201" s="854"/>
      <c r="R201" s="854"/>
      <c r="S201" s="854"/>
      <c r="T201" s="854"/>
      <c r="U201" s="854"/>
      <c r="V201" s="854"/>
      <c r="W201" s="854"/>
      <c r="X201" s="854"/>
      <c r="Y201" s="854"/>
      <c r="Z201" s="854"/>
      <c r="AA201" s="854"/>
      <c r="AB201" s="854"/>
      <c r="AC201" s="854"/>
      <c r="AD201" s="854"/>
      <c r="AE201" s="854"/>
      <c r="AF201" s="854"/>
      <c r="AG201" s="854"/>
      <c r="AH201" s="854"/>
      <c r="AI201" s="854"/>
      <c r="AJ201" s="854"/>
      <c r="AK201" s="854"/>
      <c r="AL201" s="854"/>
      <c r="AM201" s="854"/>
      <c r="AN201" s="854"/>
      <c r="AO201" s="854"/>
      <c r="AP201" s="854"/>
      <c r="AQ201" s="854"/>
      <c r="AR201" s="854"/>
      <c r="AS201" s="854"/>
      <c r="AT201" s="854"/>
      <c r="AU201" s="854"/>
      <c r="AV201" s="854"/>
      <c r="AW201" s="854"/>
      <c r="AX201" s="854"/>
      <c r="AY201" s="854"/>
      <c r="AZ201" s="854"/>
      <c r="BA201" s="854"/>
      <c r="BB201" s="854"/>
      <c r="BC201" s="854"/>
      <c r="BD201" s="854"/>
      <c r="BE201" s="854"/>
      <c r="BF201" s="854"/>
      <c r="BG201" s="854"/>
      <c r="BH201" s="854"/>
      <c r="BI201" s="854"/>
      <c r="BJ201" s="854"/>
      <c r="BK201" s="854"/>
      <c r="BL201" s="854"/>
      <c r="BM201" s="854"/>
      <c r="BN201" s="854"/>
      <c r="BO201" s="854"/>
      <c r="BP201" s="854"/>
      <c r="BQ201" s="854"/>
      <c r="BR201" s="854"/>
      <c r="BS201" s="854"/>
      <c r="BT201" s="854"/>
      <c r="BU201" s="854"/>
      <c r="BV201" s="854"/>
      <c r="BW201" s="854"/>
      <c r="BX201" s="854"/>
      <c r="BY201" s="854"/>
      <c r="BZ201" s="854"/>
      <c r="CA201" s="571">
        <f>IF(OR(I201="",I201&lt;'Configs &amp; Procedures'!$L$29),0,IF(I201&gt;'Configs &amp; Procedures'!$L$30,1,IF(F201&gt;'Configs &amp; Procedures'!$L$31,0,1)))</f>
        <v>0</v>
      </c>
    </row>
    <row r="202" spans="2:79">
      <c r="B202" s="854"/>
      <c r="C202" s="854"/>
      <c r="D202" s="854"/>
      <c r="E202" s="854"/>
      <c r="F202" s="854"/>
      <c r="G202" s="854"/>
      <c r="H202" s="854"/>
      <c r="I202" s="854"/>
      <c r="J202" s="854"/>
      <c r="K202" s="854"/>
      <c r="L202" s="854"/>
      <c r="M202" s="854"/>
      <c r="N202" s="854"/>
      <c r="O202" s="854"/>
      <c r="P202" s="854"/>
      <c r="Q202" s="854"/>
      <c r="R202" s="854"/>
      <c r="S202" s="854"/>
      <c r="T202" s="854"/>
      <c r="U202" s="854"/>
      <c r="V202" s="854"/>
      <c r="W202" s="854"/>
      <c r="X202" s="854"/>
      <c r="Y202" s="854"/>
      <c r="Z202" s="854"/>
      <c r="AA202" s="854"/>
      <c r="AB202" s="854"/>
      <c r="AC202" s="854"/>
      <c r="AD202" s="854"/>
      <c r="AE202" s="854"/>
      <c r="AF202" s="854"/>
      <c r="AG202" s="854"/>
      <c r="AH202" s="854"/>
      <c r="AI202" s="854"/>
      <c r="AJ202" s="854"/>
      <c r="AK202" s="854"/>
      <c r="AL202" s="854"/>
      <c r="AM202" s="854"/>
      <c r="AN202" s="854"/>
      <c r="AO202" s="854"/>
      <c r="AP202" s="854"/>
      <c r="AQ202" s="854"/>
      <c r="AR202" s="854"/>
      <c r="AS202" s="854"/>
      <c r="AT202" s="854"/>
      <c r="AU202" s="854"/>
      <c r="AV202" s="854"/>
      <c r="AW202" s="854"/>
      <c r="AX202" s="854"/>
      <c r="AY202" s="854"/>
      <c r="AZ202" s="854"/>
      <c r="BA202" s="854"/>
      <c r="BB202" s="854"/>
      <c r="BC202" s="854"/>
      <c r="BD202" s="854"/>
      <c r="BE202" s="854"/>
      <c r="BF202" s="854"/>
      <c r="BG202" s="854"/>
      <c r="BH202" s="854"/>
      <c r="BI202" s="854"/>
      <c r="BJ202" s="854"/>
      <c r="BK202" s="854"/>
      <c r="BL202" s="854"/>
      <c r="BM202" s="854"/>
      <c r="BN202" s="854"/>
      <c r="BO202" s="854"/>
      <c r="BP202" s="854"/>
      <c r="BQ202" s="854"/>
      <c r="BR202" s="854"/>
      <c r="BS202" s="854"/>
      <c r="BT202" s="854"/>
      <c r="BU202" s="854"/>
      <c r="BV202" s="854"/>
      <c r="BW202" s="854"/>
      <c r="BX202" s="854"/>
      <c r="BY202" s="854"/>
      <c r="BZ202" s="854"/>
      <c r="CA202" s="571">
        <f>IF(OR(I202="",I202&lt;'Configs &amp; Procedures'!$L$29),0,IF(I202&gt;'Configs &amp; Procedures'!$L$30,1,IF(F202&gt;'Configs &amp; Procedures'!$L$31,0,1)))</f>
        <v>0</v>
      </c>
    </row>
    <row r="203" spans="2:79">
      <c r="B203" s="854"/>
      <c r="C203" s="854"/>
      <c r="D203" s="854"/>
      <c r="E203" s="854"/>
      <c r="F203" s="854"/>
      <c r="G203" s="854"/>
      <c r="H203" s="854"/>
      <c r="I203" s="854"/>
      <c r="J203" s="854"/>
      <c r="K203" s="854"/>
      <c r="L203" s="854"/>
      <c r="M203" s="854"/>
      <c r="N203" s="854"/>
      <c r="O203" s="854"/>
      <c r="P203" s="854"/>
      <c r="Q203" s="854"/>
      <c r="R203" s="854"/>
      <c r="S203" s="854"/>
      <c r="T203" s="854"/>
      <c r="U203" s="854"/>
      <c r="V203" s="854"/>
      <c r="W203" s="854"/>
      <c r="X203" s="854"/>
      <c r="Y203" s="854"/>
      <c r="Z203" s="854"/>
      <c r="AA203" s="854"/>
      <c r="AB203" s="854"/>
      <c r="AC203" s="854"/>
      <c r="AD203" s="854"/>
      <c r="AE203" s="854"/>
      <c r="AF203" s="854"/>
      <c r="AG203" s="854"/>
      <c r="AH203" s="854"/>
      <c r="AI203" s="854"/>
      <c r="AJ203" s="854"/>
      <c r="AK203" s="854"/>
      <c r="AL203" s="854"/>
      <c r="AM203" s="854"/>
      <c r="AN203" s="854"/>
      <c r="AO203" s="854"/>
      <c r="AP203" s="854"/>
      <c r="AQ203" s="854"/>
      <c r="AR203" s="854"/>
      <c r="AS203" s="854"/>
      <c r="AT203" s="854"/>
      <c r="AU203" s="854"/>
      <c r="AV203" s="854"/>
      <c r="AW203" s="854"/>
      <c r="AX203" s="854"/>
      <c r="AY203" s="854"/>
      <c r="AZ203" s="854"/>
      <c r="BA203" s="854"/>
      <c r="BB203" s="854"/>
      <c r="BC203" s="854"/>
      <c r="BD203" s="854"/>
      <c r="BE203" s="854"/>
      <c r="BF203" s="854"/>
      <c r="BG203" s="854"/>
      <c r="BH203" s="854"/>
      <c r="BI203" s="854"/>
      <c r="BJ203" s="854"/>
      <c r="BK203" s="854"/>
      <c r="BL203" s="854"/>
      <c r="BM203" s="854"/>
      <c r="BN203" s="854"/>
      <c r="BO203" s="854"/>
      <c r="BP203" s="854"/>
      <c r="BQ203" s="854"/>
      <c r="BR203" s="854"/>
      <c r="BS203" s="854"/>
      <c r="BT203" s="854"/>
      <c r="BU203" s="854"/>
      <c r="BV203" s="854"/>
      <c r="BW203" s="854"/>
      <c r="BX203" s="854"/>
      <c r="BY203" s="854"/>
      <c r="BZ203" s="854"/>
      <c r="CA203" s="571">
        <f>IF(OR(I203="",I203&lt;'Configs &amp; Procedures'!$L$29),0,IF(I203&gt;'Configs &amp; Procedures'!$L$30,1,IF(F203&gt;'Configs &amp; Procedures'!$L$31,0,1)))</f>
        <v>0</v>
      </c>
    </row>
    <row r="204" spans="2:79">
      <c r="B204" s="854"/>
      <c r="C204" s="854"/>
      <c r="D204" s="854"/>
      <c r="E204" s="854"/>
      <c r="F204" s="854"/>
      <c r="G204" s="854"/>
      <c r="H204" s="854"/>
      <c r="I204" s="854"/>
      <c r="J204" s="854"/>
      <c r="K204" s="854"/>
      <c r="L204" s="854"/>
      <c r="M204" s="854"/>
      <c r="N204" s="854"/>
      <c r="O204" s="854"/>
      <c r="P204" s="854"/>
      <c r="Q204" s="854"/>
      <c r="R204" s="854"/>
      <c r="S204" s="854"/>
      <c r="T204" s="854"/>
      <c r="U204" s="854"/>
      <c r="V204" s="854"/>
      <c r="W204" s="854"/>
      <c r="X204" s="854"/>
      <c r="Y204" s="854"/>
      <c r="Z204" s="854"/>
      <c r="AA204" s="854"/>
      <c r="AB204" s="854"/>
      <c r="AC204" s="854"/>
      <c r="AD204" s="854"/>
      <c r="AE204" s="854"/>
      <c r="AF204" s="854"/>
      <c r="AG204" s="854"/>
      <c r="AH204" s="854"/>
      <c r="AI204" s="854"/>
      <c r="AJ204" s="854"/>
      <c r="AK204" s="854"/>
      <c r="AL204" s="854"/>
      <c r="AM204" s="854"/>
      <c r="AN204" s="854"/>
      <c r="AO204" s="854"/>
      <c r="AP204" s="854"/>
      <c r="AQ204" s="854"/>
      <c r="AR204" s="854"/>
      <c r="AS204" s="854"/>
      <c r="AT204" s="854"/>
      <c r="AU204" s="854"/>
      <c r="AV204" s="854"/>
      <c r="AW204" s="854"/>
      <c r="AX204" s="854"/>
      <c r="AY204" s="854"/>
      <c r="AZ204" s="854"/>
      <c r="BA204" s="854"/>
      <c r="BB204" s="854"/>
      <c r="BC204" s="854"/>
      <c r="BD204" s="854"/>
      <c r="BE204" s="854"/>
      <c r="BF204" s="854"/>
      <c r="BG204" s="854"/>
      <c r="BH204" s="854"/>
      <c r="BI204" s="854"/>
      <c r="BJ204" s="854"/>
      <c r="BK204" s="854"/>
      <c r="BL204" s="854"/>
      <c r="BM204" s="854"/>
      <c r="BN204" s="854"/>
      <c r="BO204" s="854"/>
      <c r="BP204" s="854"/>
      <c r="BQ204" s="854"/>
      <c r="BR204" s="854"/>
      <c r="BS204" s="854"/>
      <c r="BT204" s="854"/>
      <c r="BU204" s="854"/>
      <c r="BV204" s="854"/>
      <c r="BW204" s="854"/>
      <c r="BX204" s="854"/>
      <c r="BY204" s="854"/>
      <c r="BZ204" s="854"/>
      <c r="CA204" s="571">
        <f>IF(OR(I204="",I204&lt;'Configs &amp; Procedures'!$L$29),0,IF(I204&gt;'Configs &amp; Procedures'!$L$30,1,IF(F204&gt;'Configs &amp; Procedures'!$L$31,0,1)))</f>
        <v>0</v>
      </c>
    </row>
    <row r="205" spans="2:79">
      <c r="B205" s="854"/>
      <c r="C205" s="854"/>
      <c r="D205" s="854"/>
      <c r="E205" s="854"/>
      <c r="F205" s="854"/>
      <c r="G205" s="854"/>
      <c r="H205" s="854"/>
      <c r="I205" s="854"/>
      <c r="J205" s="854"/>
      <c r="K205" s="854"/>
      <c r="L205" s="854"/>
      <c r="M205" s="854"/>
      <c r="N205" s="854"/>
      <c r="O205" s="854"/>
      <c r="P205" s="854"/>
      <c r="Q205" s="854"/>
      <c r="R205" s="854"/>
      <c r="S205" s="854"/>
      <c r="T205" s="854"/>
      <c r="U205" s="854"/>
      <c r="V205" s="854"/>
      <c r="W205" s="854"/>
      <c r="X205" s="854"/>
      <c r="Y205" s="854"/>
      <c r="Z205" s="854"/>
      <c r="AA205" s="854"/>
      <c r="AB205" s="854"/>
      <c r="AC205" s="854"/>
      <c r="AD205" s="854"/>
      <c r="AE205" s="854"/>
      <c r="AF205" s="854"/>
      <c r="AG205" s="854"/>
      <c r="AH205" s="854"/>
      <c r="AI205" s="854"/>
      <c r="AJ205" s="854"/>
      <c r="AK205" s="854"/>
      <c r="AL205" s="854"/>
      <c r="AM205" s="854"/>
      <c r="AN205" s="854"/>
      <c r="AO205" s="854"/>
      <c r="AP205" s="854"/>
      <c r="AQ205" s="854"/>
      <c r="AR205" s="854"/>
      <c r="AS205" s="854"/>
      <c r="AT205" s="854"/>
      <c r="AU205" s="854"/>
      <c r="AV205" s="854"/>
      <c r="AW205" s="854"/>
      <c r="AX205" s="854"/>
      <c r="AY205" s="854"/>
      <c r="AZ205" s="854"/>
      <c r="BA205" s="854"/>
      <c r="BB205" s="854"/>
      <c r="BC205" s="854"/>
      <c r="BD205" s="854"/>
      <c r="BE205" s="854"/>
      <c r="BF205" s="854"/>
      <c r="BG205" s="854"/>
      <c r="BH205" s="854"/>
      <c r="BI205" s="854"/>
      <c r="BJ205" s="854"/>
      <c r="BK205" s="854"/>
      <c r="BL205" s="854"/>
      <c r="BM205" s="854"/>
      <c r="BN205" s="854"/>
      <c r="BO205" s="854"/>
      <c r="BP205" s="854"/>
      <c r="BQ205" s="854"/>
      <c r="BR205" s="854"/>
      <c r="BS205" s="854"/>
      <c r="BT205" s="854"/>
      <c r="BU205" s="854"/>
      <c r="BV205" s="854"/>
      <c r="BW205" s="854"/>
      <c r="BX205" s="854"/>
      <c r="BY205" s="854"/>
      <c r="BZ205" s="854"/>
      <c r="CA205" s="571">
        <f>IF(OR(I205="",I205&lt;'Configs &amp; Procedures'!$L$29),0,IF(I205&gt;'Configs &amp; Procedures'!$L$30,1,IF(F205&gt;'Configs &amp; Procedures'!$L$31,0,1)))</f>
        <v>0</v>
      </c>
    </row>
    <row r="206" spans="2:79">
      <c r="B206" s="854"/>
      <c r="C206" s="854"/>
      <c r="D206" s="854"/>
      <c r="E206" s="854"/>
      <c r="F206" s="854"/>
      <c r="G206" s="854"/>
      <c r="H206" s="854"/>
      <c r="I206" s="854"/>
      <c r="J206" s="854"/>
      <c r="K206" s="854"/>
      <c r="L206" s="854"/>
      <c r="M206" s="854"/>
      <c r="N206" s="854"/>
      <c r="O206" s="854"/>
      <c r="P206" s="854"/>
      <c r="Q206" s="854"/>
      <c r="R206" s="854"/>
      <c r="S206" s="854"/>
      <c r="T206" s="854"/>
      <c r="U206" s="854"/>
      <c r="V206" s="854"/>
      <c r="W206" s="854"/>
      <c r="X206" s="854"/>
      <c r="Y206" s="854"/>
      <c r="Z206" s="854"/>
      <c r="AA206" s="854"/>
      <c r="AB206" s="854"/>
      <c r="AC206" s="854"/>
      <c r="AD206" s="854"/>
      <c r="AE206" s="854"/>
      <c r="AF206" s="854"/>
      <c r="AG206" s="854"/>
      <c r="AH206" s="854"/>
      <c r="AI206" s="854"/>
      <c r="AJ206" s="854"/>
      <c r="AK206" s="854"/>
      <c r="AL206" s="854"/>
      <c r="AM206" s="854"/>
      <c r="AN206" s="854"/>
      <c r="AO206" s="854"/>
      <c r="AP206" s="854"/>
      <c r="AQ206" s="854"/>
      <c r="AR206" s="854"/>
      <c r="AS206" s="854"/>
      <c r="AT206" s="854"/>
      <c r="AU206" s="854"/>
      <c r="AV206" s="854"/>
      <c r="AW206" s="854"/>
      <c r="AX206" s="854"/>
      <c r="AY206" s="854"/>
      <c r="AZ206" s="854"/>
      <c r="BA206" s="854"/>
      <c r="BB206" s="854"/>
      <c r="BC206" s="854"/>
      <c r="BD206" s="854"/>
      <c r="BE206" s="854"/>
      <c r="BF206" s="854"/>
      <c r="BG206" s="854"/>
      <c r="BH206" s="854"/>
      <c r="BI206" s="854"/>
      <c r="BJ206" s="854"/>
      <c r="BK206" s="854"/>
      <c r="BL206" s="854"/>
      <c r="BM206" s="854"/>
      <c r="BN206" s="854"/>
      <c r="BO206" s="854"/>
      <c r="BP206" s="854"/>
      <c r="BQ206" s="854"/>
      <c r="BR206" s="854"/>
      <c r="BS206" s="854"/>
      <c r="BT206" s="854"/>
      <c r="BU206" s="854"/>
      <c r="BV206" s="854"/>
      <c r="BW206" s="854"/>
      <c r="BX206" s="854"/>
      <c r="BY206" s="854"/>
      <c r="BZ206" s="854"/>
      <c r="CA206" s="571">
        <f>IF(OR(I206="",I206&lt;'Configs &amp; Procedures'!$L$29),0,IF(I206&gt;'Configs &amp; Procedures'!$L$30,1,IF(F206&gt;'Configs &amp; Procedures'!$L$31,0,1)))</f>
        <v>0</v>
      </c>
    </row>
    <row r="207" spans="2:79">
      <c r="B207" s="854"/>
      <c r="C207" s="854"/>
      <c r="D207" s="854"/>
      <c r="E207" s="854"/>
      <c r="F207" s="854"/>
      <c r="G207" s="854"/>
      <c r="H207" s="854"/>
      <c r="I207" s="854"/>
      <c r="J207" s="854"/>
      <c r="K207" s="854"/>
      <c r="L207" s="854"/>
      <c r="M207" s="854"/>
      <c r="N207" s="854"/>
      <c r="O207" s="854"/>
      <c r="P207" s="854"/>
      <c r="Q207" s="854"/>
      <c r="R207" s="854"/>
      <c r="S207" s="854"/>
      <c r="T207" s="854"/>
      <c r="U207" s="854"/>
      <c r="V207" s="854"/>
      <c r="W207" s="854"/>
      <c r="X207" s="854"/>
      <c r="Y207" s="854"/>
      <c r="Z207" s="854"/>
      <c r="AA207" s="854"/>
      <c r="AB207" s="854"/>
      <c r="AC207" s="854"/>
      <c r="AD207" s="854"/>
      <c r="AE207" s="854"/>
      <c r="AF207" s="854"/>
      <c r="AG207" s="854"/>
      <c r="AH207" s="854"/>
      <c r="AI207" s="854"/>
      <c r="AJ207" s="854"/>
      <c r="AK207" s="854"/>
      <c r="AL207" s="854"/>
      <c r="AM207" s="854"/>
      <c r="AN207" s="854"/>
      <c r="AO207" s="854"/>
      <c r="AP207" s="854"/>
      <c r="AQ207" s="854"/>
      <c r="AR207" s="854"/>
      <c r="AS207" s="854"/>
      <c r="AT207" s="854"/>
      <c r="AU207" s="854"/>
      <c r="AV207" s="854"/>
      <c r="AW207" s="854"/>
      <c r="AX207" s="854"/>
      <c r="AY207" s="854"/>
      <c r="AZ207" s="854"/>
      <c r="BA207" s="854"/>
      <c r="BB207" s="854"/>
      <c r="BC207" s="854"/>
      <c r="BD207" s="854"/>
      <c r="BE207" s="854"/>
      <c r="BF207" s="854"/>
      <c r="BG207" s="854"/>
      <c r="BH207" s="854"/>
      <c r="BI207" s="854"/>
      <c r="BJ207" s="854"/>
      <c r="BK207" s="854"/>
      <c r="BL207" s="854"/>
      <c r="BM207" s="854"/>
      <c r="BN207" s="854"/>
      <c r="BO207" s="854"/>
      <c r="BP207" s="854"/>
      <c r="BQ207" s="854"/>
      <c r="BR207" s="854"/>
      <c r="BS207" s="854"/>
      <c r="BT207" s="854"/>
      <c r="BU207" s="854"/>
      <c r="BV207" s="854"/>
      <c r="BW207" s="854"/>
      <c r="BX207" s="854"/>
      <c r="BY207" s="854"/>
      <c r="BZ207" s="854"/>
      <c r="CA207" s="571">
        <f>IF(OR(I207="",I207&lt;'Configs &amp; Procedures'!$L$29),0,IF(I207&gt;'Configs &amp; Procedures'!$L$30,1,IF(F207&gt;'Configs &amp; Procedures'!$L$31,0,1)))</f>
        <v>0</v>
      </c>
    </row>
    <row r="208" spans="2:79">
      <c r="B208" s="854"/>
      <c r="C208" s="854"/>
      <c r="D208" s="854"/>
      <c r="E208" s="854"/>
      <c r="F208" s="854"/>
      <c r="G208" s="854"/>
      <c r="H208" s="854"/>
      <c r="I208" s="854"/>
      <c r="J208" s="854"/>
      <c r="K208" s="854"/>
      <c r="L208" s="854"/>
      <c r="M208" s="854"/>
      <c r="N208" s="854"/>
      <c r="O208" s="854"/>
      <c r="P208" s="854"/>
      <c r="Q208" s="854"/>
      <c r="R208" s="854"/>
      <c r="S208" s="854"/>
      <c r="T208" s="854"/>
      <c r="U208" s="854"/>
      <c r="V208" s="854"/>
      <c r="W208" s="854"/>
      <c r="X208" s="854"/>
      <c r="Y208" s="854"/>
      <c r="Z208" s="854"/>
      <c r="AA208" s="854"/>
      <c r="AB208" s="854"/>
      <c r="AC208" s="854"/>
      <c r="AD208" s="854"/>
      <c r="AE208" s="854"/>
      <c r="AF208" s="854"/>
      <c r="AG208" s="854"/>
      <c r="AH208" s="854"/>
      <c r="AI208" s="854"/>
      <c r="AJ208" s="854"/>
      <c r="AK208" s="854"/>
      <c r="AL208" s="854"/>
      <c r="AM208" s="854"/>
      <c r="AN208" s="854"/>
      <c r="AO208" s="854"/>
      <c r="AP208" s="854"/>
      <c r="AQ208" s="854"/>
      <c r="AR208" s="854"/>
      <c r="AS208" s="854"/>
      <c r="AT208" s="854"/>
      <c r="AU208" s="854"/>
      <c r="AV208" s="854"/>
      <c r="AW208" s="854"/>
      <c r="AX208" s="854"/>
      <c r="AY208" s="854"/>
      <c r="AZ208" s="854"/>
      <c r="BA208" s="854"/>
      <c r="BB208" s="854"/>
      <c r="BC208" s="854"/>
      <c r="BD208" s="854"/>
      <c r="BE208" s="854"/>
      <c r="BF208" s="854"/>
      <c r="BG208" s="854"/>
      <c r="BH208" s="854"/>
      <c r="BI208" s="854"/>
      <c r="BJ208" s="854"/>
      <c r="BK208" s="854"/>
      <c r="BL208" s="854"/>
      <c r="BM208" s="854"/>
      <c r="BN208" s="854"/>
      <c r="BO208" s="854"/>
      <c r="BP208" s="854"/>
      <c r="BQ208" s="854"/>
      <c r="BR208" s="854"/>
      <c r="BS208" s="854"/>
      <c r="BT208" s="854"/>
      <c r="BU208" s="854"/>
      <c r="BV208" s="854"/>
      <c r="BW208" s="854"/>
      <c r="BX208" s="854"/>
      <c r="BY208" s="854"/>
      <c r="BZ208" s="854"/>
      <c r="CA208" s="571">
        <f>IF(OR(I208="",I208&lt;'Configs &amp; Procedures'!$L$29),0,IF(I208&gt;'Configs &amp; Procedures'!$L$30,1,IF(F208&gt;'Configs &amp; Procedures'!$L$31,0,1)))</f>
        <v>0</v>
      </c>
    </row>
    <row r="209" spans="2:79">
      <c r="B209" s="854"/>
      <c r="C209" s="854"/>
      <c r="D209" s="854"/>
      <c r="E209" s="854"/>
      <c r="F209" s="854"/>
      <c r="G209" s="854"/>
      <c r="H209" s="854"/>
      <c r="I209" s="854"/>
      <c r="J209" s="854"/>
      <c r="K209" s="854"/>
      <c r="L209" s="854"/>
      <c r="M209" s="854"/>
      <c r="N209" s="854"/>
      <c r="O209" s="854"/>
      <c r="P209" s="854"/>
      <c r="Q209" s="854"/>
      <c r="R209" s="854"/>
      <c r="S209" s="854"/>
      <c r="T209" s="854"/>
      <c r="U209" s="854"/>
      <c r="V209" s="854"/>
      <c r="W209" s="854"/>
      <c r="X209" s="854"/>
      <c r="Y209" s="854"/>
      <c r="Z209" s="854"/>
      <c r="AA209" s="854"/>
      <c r="AB209" s="854"/>
      <c r="AC209" s="854"/>
      <c r="AD209" s="854"/>
      <c r="AE209" s="854"/>
      <c r="AF209" s="854"/>
      <c r="AG209" s="854"/>
      <c r="AH209" s="854"/>
      <c r="AI209" s="854"/>
      <c r="AJ209" s="854"/>
      <c r="AK209" s="854"/>
      <c r="AL209" s="854"/>
      <c r="AM209" s="854"/>
      <c r="AN209" s="854"/>
      <c r="AO209" s="854"/>
      <c r="AP209" s="854"/>
      <c r="AQ209" s="854"/>
      <c r="AR209" s="854"/>
      <c r="AS209" s="854"/>
      <c r="AT209" s="854"/>
      <c r="AU209" s="854"/>
      <c r="AV209" s="854"/>
      <c r="AW209" s="854"/>
      <c r="AX209" s="854"/>
      <c r="AY209" s="854"/>
      <c r="AZ209" s="854"/>
      <c r="BA209" s="854"/>
      <c r="BB209" s="854"/>
      <c r="BC209" s="854"/>
      <c r="BD209" s="854"/>
      <c r="BE209" s="854"/>
      <c r="BF209" s="854"/>
      <c r="BG209" s="854"/>
      <c r="BH209" s="854"/>
      <c r="BI209" s="854"/>
      <c r="BJ209" s="854"/>
      <c r="BK209" s="854"/>
      <c r="BL209" s="854"/>
      <c r="BM209" s="854"/>
      <c r="BN209" s="854"/>
      <c r="BO209" s="854"/>
      <c r="BP209" s="854"/>
      <c r="BQ209" s="854"/>
      <c r="BR209" s="854"/>
      <c r="BS209" s="854"/>
      <c r="BT209" s="854"/>
      <c r="BU209" s="854"/>
      <c r="BV209" s="854"/>
      <c r="BW209" s="854"/>
      <c r="BX209" s="854"/>
      <c r="BY209" s="854"/>
      <c r="BZ209" s="854"/>
      <c r="CA209" s="571">
        <f>IF(OR(I209="",I209&lt;'Configs &amp; Procedures'!$L$29),0,IF(I209&gt;'Configs &amp; Procedures'!$L$30,1,IF(F209&gt;'Configs &amp; Procedures'!$L$31,0,1)))</f>
        <v>0</v>
      </c>
    </row>
    <row r="210" spans="2:79">
      <c r="B210" s="854"/>
      <c r="C210" s="854"/>
      <c r="D210" s="854"/>
      <c r="E210" s="854"/>
      <c r="F210" s="854"/>
      <c r="G210" s="854"/>
      <c r="H210" s="854"/>
      <c r="I210" s="854"/>
      <c r="J210" s="854"/>
      <c r="K210" s="854"/>
      <c r="L210" s="854"/>
      <c r="M210" s="854"/>
      <c r="N210" s="854"/>
      <c r="O210" s="854"/>
      <c r="P210" s="854"/>
      <c r="Q210" s="854"/>
      <c r="R210" s="854"/>
      <c r="S210" s="854"/>
      <c r="T210" s="854"/>
      <c r="U210" s="854"/>
      <c r="V210" s="854"/>
      <c r="W210" s="854"/>
      <c r="X210" s="854"/>
      <c r="Y210" s="854"/>
      <c r="Z210" s="854"/>
      <c r="AA210" s="854"/>
      <c r="AB210" s="854"/>
      <c r="AC210" s="854"/>
      <c r="AD210" s="854"/>
      <c r="AE210" s="854"/>
      <c r="AF210" s="854"/>
      <c r="AG210" s="854"/>
      <c r="AH210" s="854"/>
      <c r="AI210" s="854"/>
      <c r="AJ210" s="854"/>
      <c r="AK210" s="854"/>
      <c r="AL210" s="854"/>
      <c r="AM210" s="854"/>
      <c r="AN210" s="854"/>
      <c r="AO210" s="854"/>
      <c r="AP210" s="854"/>
      <c r="AQ210" s="854"/>
      <c r="AR210" s="854"/>
      <c r="AS210" s="854"/>
      <c r="AT210" s="854"/>
      <c r="AU210" s="854"/>
      <c r="AV210" s="854"/>
      <c r="AW210" s="854"/>
      <c r="AX210" s="854"/>
      <c r="AY210" s="854"/>
      <c r="AZ210" s="854"/>
      <c r="BA210" s="854"/>
      <c r="BB210" s="854"/>
      <c r="BC210" s="854"/>
      <c r="BD210" s="854"/>
      <c r="BE210" s="854"/>
      <c r="BF210" s="854"/>
      <c r="BG210" s="854"/>
      <c r="BH210" s="854"/>
      <c r="BI210" s="854"/>
      <c r="BJ210" s="854"/>
      <c r="BK210" s="854"/>
      <c r="BL210" s="854"/>
      <c r="BM210" s="854"/>
      <c r="BN210" s="854"/>
      <c r="BO210" s="854"/>
      <c r="BP210" s="854"/>
      <c r="BQ210" s="854"/>
      <c r="BR210" s="854"/>
      <c r="BS210" s="854"/>
      <c r="BT210" s="854"/>
      <c r="BU210" s="854"/>
      <c r="BV210" s="854"/>
      <c r="BW210" s="854"/>
      <c r="BX210" s="854"/>
      <c r="BY210" s="854"/>
      <c r="BZ210" s="854"/>
      <c r="CA210" s="571">
        <f>IF(OR(I210="",I210&lt;'Configs &amp; Procedures'!$L$29),0,IF(I210&gt;'Configs &amp; Procedures'!$L$30,1,IF(F210&gt;'Configs &amp; Procedures'!$L$31,0,1)))</f>
        <v>0</v>
      </c>
    </row>
    <row r="211" spans="2:79">
      <c r="B211" s="854"/>
      <c r="C211" s="854"/>
      <c r="D211" s="854"/>
      <c r="E211" s="854"/>
      <c r="F211" s="854"/>
      <c r="G211" s="854"/>
      <c r="H211" s="854"/>
      <c r="I211" s="854"/>
      <c r="J211" s="854"/>
      <c r="K211" s="854"/>
      <c r="L211" s="854"/>
      <c r="M211" s="854"/>
      <c r="N211" s="854"/>
      <c r="O211" s="854"/>
      <c r="P211" s="854"/>
      <c r="Q211" s="854"/>
      <c r="R211" s="854"/>
      <c r="S211" s="854"/>
      <c r="T211" s="854"/>
      <c r="U211" s="854"/>
      <c r="V211" s="854"/>
      <c r="W211" s="854"/>
      <c r="X211" s="854"/>
      <c r="Y211" s="854"/>
      <c r="Z211" s="854"/>
      <c r="AA211" s="854"/>
      <c r="AB211" s="854"/>
      <c r="AC211" s="854"/>
      <c r="AD211" s="854"/>
      <c r="AE211" s="854"/>
      <c r="AF211" s="854"/>
      <c r="AG211" s="854"/>
      <c r="AH211" s="854"/>
      <c r="AI211" s="854"/>
      <c r="AJ211" s="854"/>
      <c r="AK211" s="854"/>
      <c r="AL211" s="854"/>
      <c r="AM211" s="854"/>
      <c r="AN211" s="854"/>
      <c r="AO211" s="854"/>
      <c r="AP211" s="854"/>
      <c r="AQ211" s="854"/>
      <c r="AR211" s="854"/>
      <c r="AS211" s="854"/>
      <c r="AT211" s="854"/>
      <c r="AU211" s="854"/>
      <c r="AV211" s="854"/>
      <c r="AW211" s="854"/>
      <c r="AX211" s="854"/>
      <c r="AY211" s="854"/>
      <c r="AZ211" s="854"/>
      <c r="BA211" s="854"/>
      <c r="BB211" s="854"/>
      <c r="BC211" s="854"/>
      <c r="BD211" s="854"/>
      <c r="BE211" s="854"/>
      <c r="BF211" s="854"/>
      <c r="BG211" s="854"/>
      <c r="BH211" s="854"/>
      <c r="BI211" s="854"/>
      <c r="BJ211" s="854"/>
      <c r="BK211" s="854"/>
      <c r="BL211" s="854"/>
      <c r="BM211" s="854"/>
      <c r="BN211" s="854"/>
      <c r="BO211" s="854"/>
      <c r="BP211" s="854"/>
      <c r="BQ211" s="854"/>
      <c r="BR211" s="854"/>
      <c r="BS211" s="854"/>
      <c r="BT211" s="854"/>
      <c r="BU211" s="854"/>
      <c r="BV211" s="854"/>
      <c r="BW211" s="854"/>
      <c r="BX211" s="854"/>
      <c r="BY211" s="854"/>
      <c r="BZ211" s="854"/>
      <c r="CA211" s="571">
        <f>IF(OR(I211="",I211&lt;'Configs &amp; Procedures'!$L$29),0,IF(I211&gt;'Configs &amp; Procedures'!$L$30,1,IF(F211&gt;'Configs &amp; Procedures'!$L$31,0,1)))</f>
        <v>0</v>
      </c>
    </row>
    <row r="212" spans="2:79">
      <c r="B212" s="854"/>
      <c r="C212" s="854"/>
      <c r="D212" s="854"/>
      <c r="E212" s="854"/>
      <c r="F212" s="854"/>
      <c r="G212" s="854"/>
      <c r="H212" s="854"/>
      <c r="I212" s="854"/>
      <c r="J212" s="854"/>
      <c r="K212" s="854"/>
      <c r="L212" s="854"/>
      <c r="M212" s="854"/>
      <c r="N212" s="854"/>
      <c r="O212" s="854"/>
      <c r="P212" s="854"/>
      <c r="Q212" s="854"/>
      <c r="R212" s="854"/>
      <c r="S212" s="854"/>
      <c r="T212" s="854"/>
      <c r="U212" s="854"/>
      <c r="V212" s="854"/>
      <c r="W212" s="854"/>
      <c r="X212" s="854"/>
      <c r="Y212" s="854"/>
      <c r="Z212" s="854"/>
      <c r="AA212" s="854"/>
      <c r="AB212" s="854"/>
      <c r="AC212" s="854"/>
      <c r="AD212" s="854"/>
      <c r="AE212" s="854"/>
      <c r="AF212" s="854"/>
      <c r="AG212" s="854"/>
      <c r="AH212" s="854"/>
      <c r="AI212" s="854"/>
      <c r="AJ212" s="854"/>
      <c r="AK212" s="854"/>
      <c r="AL212" s="854"/>
      <c r="AM212" s="854"/>
      <c r="AN212" s="854"/>
      <c r="AO212" s="854"/>
      <c r="AP212" s="854"/>
      <c r="AQ212" s="854"/>
      <c r="AR212" s="854"/>
      <c r="AS212" s="854"/>
      <c r="AT212" s="854"/>
      <c r="AU212" s="854"/>
      <c r="AV212" s="854"/>
      <c r="AW212" s="854"/>
      <c r="AX212" s="854"/>
      <c r="AY212" s="854"/>
      <c r="AZ212" s="854"/>
      <c r="BA212" s="854"/>
      <c r="BB212" s="854"/>
      <c r="BC212" s="854"/>
      <c r="BD212" s="854"/>
      <c r="BE212" s="854"/>
      <c r="BF212" s="854"/>
      <c r="BG212" s="854"/>
      <c r="BH212" s="854"/>
      <c r="BI212" s="854"/>
      <c r="BJ212" s="854"/>
      <c r="BK212" s="854"/>
      <c r="BL212" s="854"/>
      <c r="BM212" s="854"/>
      <c r="BN212" s="854"/>
      <c r="BO212" s="854"/>
      <c r="BP212" s="854"/>
      <c r="BQ212" s="854"/>
      <c r="BR212" s="854"/>
      <c r="BS212" s="854"/>
      <c r="BT212" s="854"/>
      <c r="BU212" s="854"/>
      <c r="BV212" s="854"/>
      <c r="BW212" s="854"/>
      <c r="BX212" s="854"/>
      <c r="BY212" s="854"/>
      <c r="BZ212" s="854"/>
      <c r="CA212" s="571">
        <f>IF(OR(I212="",I212&lt;'Configs &amp; Procedures'!$L$29),0,IF(I212&gt;'Configs &amp; Procedures'!$L$30,1,IF(F212&gt;'Configs &amp; Procedures'!$L$31,0,1)))</f>
        <v>0</v>
      </c>
    </row>
    <row r="213" spans="2:79">
      <c r="B213" s="854"/>
      <c r="C213" s="854"/>
      <c r="D213" s="854"/>
      <c r="E213" s="854"/>
      <c r="F213" s="854"/>
      <c r="G213" s="854"/>
      <c r="H213" s="854"/>
      <c r="I213" s="854"/>
      <c r="J213" s="854"/>
      <c r="K213" s="854"/>
      <c r="L213" s="854"/>
      <c r="M213" s="854"/>
      <c r="N213" s="854"/>
      <c r="O213" s="854"/>
      <c r="P213" s="854"/>
      <c r="Q213" s="854"/>
      <c r="R213" s="854"/>
      <c r="S213" s="854"/>
      <c r="T213" s="854"/>
      <c r="U213" s="854"/>
      <c r="V213" s="854"/>
      <c r="W213" s="854"/>
      <c r="X213" s="854"/>
      <c r="Y213" s="854"/>
      <c r="Z213" s="854"/>
      <c r="AA213" s="854"/>
      <c r="AB213" s="854"/>
      <c r="AC213" s="854"/>
      <c r="AD213" s="854"/>
      <c r="AE213" s="854"/>
      <c r="AF213" s="854"/>
      <c r="AG213" s="854"/>
      <c r="AH213" s="854"/>
      <c r="AI213" s="854"/>
      <c r="AJ213" s="854"/>
      <c r="AK213" s="854"/>
      <c r="AL213" s="854"/>
      <c r="AM213" s="854"/>
      <c r="AN213" s="854"/>
      <c r="AO213" s="854"/>
      <c r="AP213" s="854"/>
      <c r="AQ213" s="854"/>
      <c r="AR213" s="854"/>
      <c r="AS213" s="854"/>
      <c r="AT213" s="854"/>
      <c r="AU213" s="854"/>
      <c r="AV213" s="854"/>
      <c r="AW213" s="854"/>
      <c r="AX213" s="854"/>
      <c r="AY213" s="854"/>
      <c r="AZ213" s="854"/>
      <c r="BA213" s="854"/>
      <c r="BB213" s="854"/>
      <c r="BC213" s="854"/>
      <c r="BD213" s="854"/>
      <c r="BE213" s="854"/>
      <c r="BF213" s="854"/>
      <c r="BG213" s="854"/>
      <c r="BH213" s="854"/>
      <c r="BI213" s="854"/>
      <c r="BJ213" s="854"/>
      <c r="BK213" s="854"/>
      <c r="BL213" s="854"/>
      <c r="BM213" s="854"/>
      <c r="BN213" s="854"/>
      <c r="BO213" s="854"/>
      <c r="BP213" s="854"/>
      <c r="BQ213" s="854"/>
      <c r="BR213" s="854"/>
      <c r="BS213" s="854"/>
      <c r="BT213" s="854"/>
      <c r="BU213" s="854"/>
      <c r="BV213" s="854"/>
      <c r="BW213" s="854"/>
      <c r="BX213" s="854"/>
      <c r="BY213" s="854"/>
      <c r="BZ213" s="854"/>
      <c r="CA213" s="571">
        <f>IF(OR(I213="",I213&lt;'Configs &amp; Procedures'!$L$29),0,IF(I213&gt;'Configs &amp; Procedures'!$L$30,1,IF(F213&gt;'Configs &amp; Procedures'!$L$31,0,1)))</f>
        <v>0</v>
      </c>
    </row>
    <row r="214" spans="2:79">
      <c r="B214" s="854"/>
      <c r="C214" s="854"/>
      <c r="D214" s="854"/>
      <c r="E214" s="854"/>
      <c r="F214" s="854"/>
      <c r="G214" s="854"/>
      <c r="H214" s="854"/>
      <c r="I214" s="854"/>
      <c r="J214" s="854"/>
      <c r="K214" s="854"/>
      <c r="L214" s="854"/>
      <c r="M214" s="854"/>
      <c r="N214" s="854"/>
      <c r="O214" s="854"/>
      <c r="P214" s="854"/>
      <c r="Q214" s="854"/>
      <c r="R214" s="854"/>
      <c r="S214" s="854"/>
      <c r="T214" s="854"/>
      <c r="U214" s="854"/>
      <c r="V214" s="854"/>
      <c r="W214" s="854"/>
      <c r="X214" s="854"/>
      <c r="Y214" s="854"/>
      <c r="Z214" s="854"/>
      <c r="AA214" s="854"/>
      <c r="AB214" s="854"/>
      <c r="AC214" s="854"/>
      <c r="AD214" s="854"/>
      <c r="AE214" s="854"/>
      <c r="AF214" s="854"/>
      <c r="AG214" s="854"/>
      <c r="AH214" s="854"/>
      <c r="AI214" s="854"/>
      <c r="AJ214" s="854"/>
      <c r="AK214" s="854"/>
      <c r="AL214" s="854"/>
      <c r="AM214" s="854"/>
      <c r="AN214" s="854"/>
      <c r="AO214" s="854"/>
      <c r="AP214" s="854"/>
      <c r="AQ214" s="854"/>
      <c r="AR214" s="854"/>
      <c r="AS214" s="854"/>
      <c r="AT214" s="854"/>
      <c r="AU214" s="854"/>
      <c r="AV214" s="854"/>
      <c r="AW214" s="854"/>
      <c r="AX214" s="854"/>
      <c r="AY214" s="854"/>
      <c r="AZ214" s="854"/>
      <c r="BA214" s="854"/>
      <c r="BB214" s="854"/>
      <c r="BC214" s="854"/>
      <c r="BD214" s="854"/>
      <c r="BE214" s="854"/>
      <c r="BF214" s="854"/>
      <c r="BG214" s="854"/>
      <c r="BH214" s="854"/>
      <c r="BI214" s="854"/>
      <c r="BJ214" s="854"/>
      <c r="BK214" s="854"/>
      <c r="BL214" s="854"/>
      <c r="BM214" s="854"/>
      <c r="BN214" s="854"/>
      <c r="BO214" s="854"/>
      <c r="BP214" s="854"/>
      <c r="BQ214" s="854"/>
      <c r="BR214" s="854"/>
      <c r="BS214" s="854"/>
      <c r="BT214" s="854"/>
      <c r="BU214" s="854"/>
      <c r="BV214" s="854"/>
      <c r="BW214" s="854"/>
      <c r="BX214" s="854"/>
      <c r="BY214" s="854"/>
      <c r="BZ214" s="854"/>
      <c r="CA214" s="571">
        <f>IF(OR(I214="",I214&lt;'Configs &amp; Procedures'!$L$29),0,IF(I214&gt;'Configs &amp; Procedures'!$L$30,1,IF(F214&gt;'Configs &amp; Procedures'!$L$31,0,1)))</f>
        <v>0</v>
      </c>
    </row>
    <row r="215" spans="2:79">
      <c r="B215" s="854"/>
      <c r="C215" s="854"/>
      <c r="D215" s="854"/>
      <c r="E215" s="854"/>
      <c r="F215" s="854"/>
      <c r="G215" s="854"/>
      <c r="H215" s="854"/>
      <c r="I215" s="854"/>
      <c r="J215" s="854"/>
      <c r="K215" s="854"/>
      <c r="L215" s="854"/>
      <c r="M215" s="854"/>
      <c r="N215" s="854"/>
      <c r="O215" s="854"/>
      <c r="P215" s="854"/>
      <c r="Q215" s="854"/>
      <c r="R215" s="854"/>
      <c r="S215" s="854"/>
      <c r="T215" s="854"/>
      <c r="U215" s="854"/>
      <c r="V215" s="854"/>
      <c r="W215" s="854"/>
      <c r="X215" s="854"/>
      <c r="Y215" s="854"/>
      <c r="Z215" s="854"/>
      <c r="AA215" s="854"/>
      <c r="AB215" s="854"/>
      <c r="AC215" s="854"/>
      <c r="AD215" s="854"/>
      <c r="AE215" s="854"/>
      <c r="AF215" s="854"/>
      <c r="AG215" s="854"/>
      <c r="AH215" s="854"/>
      <c r="AI215" s="854"/>
      <c r="AJ215" s="854"/>
      <c r="AK215" s="854"/>
      <c r="AL215" s="854"/>
      <c r="AM215" s="854"/>
      <c r="AN215" s="854"/>
      <c r="AO215" s="854"/>
      <c r="AP215" s="854"/>
      <c r="AQ215" s="854"/>
      <c r="AR215" s="854"/>
      <c r="AS215" s="854"/>
      <c r="AT215" s="854"/>
      <c r="AU215" s="854"/>
      <c r="AV215" s="854"/>
      <c r="AW215" s="854"/>
      <c r="AX215" s="854"/>
      <c r="AY215" s="854"/>
      <c r="AZ215" s="854"/>
      <c r="BA215" s="854"/>
      <c r="BB215" s="854"/>
      <c r="BC215" s="854"/>
      <c r="BD215" s="854"/>
      <c r="BE215" s="854"/>
      <c r="BF215" s="854"/>
      <c r="BG215" s="854"/>
      <c r="BH215" s="854"/>
      <c r="BI215" s="854"/>
      <c r="BJ215" s="854"/>
      <c r="BK215" s="854"/>
      <c r="BL215" s="854"/>
      <c r="BM215" s="854"/>
      <c r="BN215" s="854"/>
      <c r="BO215" s="854"/>
      <c r="BP215" s="854"/>
      <c r="BQ215" s="854"/>
      <c r="BR215" s="854"/>
      <c r="BS215" s="854"/>
      <c r="BT215" s="854"/>
      <c r="BU215" s="854"/>
      <c r="BV215" s="854"/>
      <c r="BW215" s="854"/>
      <c r="BX215" s="854"/>
      <c r="BY215" s="854"/>
      <c r="BZ215" s="854"/>
      <c r="CA215" s="571">
        <f>IF(OR(I215="",I215&lt;'Configs &amp; Procedures'!$L$29),0,IF(I215&gt;'Configs &amp; Procedures'!$L$30,1,IF(F215&gt;'Configs &amp; Procedures'!$L$31,0,1)))</f>
        <v>0</v>
      </c>
    </row>
    <row r="216" spans="2:79">
      <c r="B216" s="854"/>
      <c r="C216" s="854"/>
      <c r="D216" s="854"/>
      <c r="E216" s="854"/>
      <c r="F216" s="854"/>
      <c r="G216" s="854"/>
      <c r="H216" s="854"/>
      <c r="I216" s="854"/>
      <c r="J216" s="854"/>
      <c r="K216" s="854"/>
      <c r="L216" s="854"/>
      <c r="M216" s="854"/>
      <c r="N216" s="854"/>
      <c r="O216" s="854"/>
      <c r="P216" s="854"/>
      <c r="Q216" s="854"/>
      <c r="R216" s="854"/>
      <c r="S216" s="854"/>
      <c r="T216" s="854"/>
      <c r="U216" s="854"/>
      <c r="V216" s="854"/>
      <c r="W216" s="854"/>
      <c r="X216" s="854"/>
      <c r="Y216" s="854"/>
      <c r="Z216" s="854"/>
      <c r="AA216" s="854"/>
      <c r="AB216" s="854"/>
      <c r="AC216" s="854"/>
      <c r="AD216" s="854"/>
      <c r="AE216" s="854"/>
      <c r="AF216" s="854"/>
      <c r="AG216" s="854"/>
      <c r="AH216" s="854"/>
      <c r="AI216" s="854"/>
      <c r="AJ216" s="854"/>
      <c r="AK216" s="854"/>
      <c r="AL216" s="854"/>
      <c r="AM216" s="854"/>
      <c r="AN216" s="854"/>
      <c r="AO216" s="854"/>
      <c r="AP216" s="854"/>
      <c r="AQ216" s="854"/>
      <c r="AR216" s="854"/>
      <c r="AS216" s="854"/>
      <c r="AT216" s="854"/>
      <c r="AU216" s="854"/>
      <c r="AV216" s="854"/>
      <c r="AW216" s="854"/>
      <c r="AX216" s="854"/>
      <c r="AY216" s="854"/>
      <c r="AZ216" s="854"/>
      <c r="BA216" s="854"/>
      <c r="BB216" s="854"/>
      <c r="BC216" s="854"/>
      <c r="BD216" s="854"/>
      <c r="BE216" s="854"/>
      <c r="BF216" s="854"/>
      <c r="BG216" s="854"/>
      <c r="BH216" s="854"/>
      <c r="BI216" s="854"/>
      <c r="BJ216" s="854"/>
      <c r="BK216" s="854"/>
      <c r="BL216" s="854"/>
      <c r="BM216" s="854"/>
      <c r="BN216" s="854"/>
      <c r="BO216" s="854"/>
      <c r="BP216" s="854"/>
      <c r="BQ216" s="854"/>
      <c r="BR216" s="854"/>
      <c r="BS216" s="854"/>
      <c r="BT216" s="854"/>
      <c r="BU216" s="854"/>
      <c r="BV216" s="854"/>
      <c r="BW216" s="854"/>
      <c r="BX216" s="854"/>
      <c r="BY216" s="854"/>
      <c r="BZ216" s="854"/>
      <c r="CA216" s="571">
        <f>IF(OR(I216="",I216&lt;'Configs &amp; Procedures'!$L$29),0,IF(I216&gt;'Configs &amp; Procedures'!$L$30,1,IF(F216&gt;'Configs &amp; Procedures'!$L$31,0,1)))</f>
        <v>0</v>
      </c>
    </row>
    <row r="217" spans="2:79">
      <c r="B217" s="854"/>
      <c r="C217" s="854"/>
      <c r="D217" s="854"/>
      <c r="E217" s="854"/>
      <c r="F217" s="854"/>
      <c r="G217" s="854"/>
      <c r="H217" s="854"/>
      <c r="I217" s="854"/>
      <c r="J217" s="854"/>
      <c r="K217" s="854"/>
      <c r="L217" s="854"/>
      <c r="M217" s="854"/>
      <c r="N217" s="854"/>
      <c r="O217" s="854"/>
      <c r="P217" s="854"/>
      <c r="Q217" s="854"/>
      <c r="R217" s="854"/>
      <c r="S217" s="854"/>
      <c r="T217" s="854"/>
      <c r="U217" s="854"/>
      <c r="V217" s="854"/>
      <c r="W217" s="854"/>
      <c r="X217" s="854"/>
      <c r="Y217" s="854"/>
      <c r="Z217" s="854"/>
      <c r="AA217" s="854"/>
      <c r="AB217" s="854"/>
      <c r="AC217" s="854"/>
      <c r="AD217" s="854"/>
      <c r="AE217" s="854"/>
      <c r="AF217" s="854"/>
      <c r="AG217" s="854"/>
      <c r="AH217" s="854"/>
      <c r="AI217" s="854"/>
      <c r="AJ217" s="854"/>
      <c r="AK217" s="854"/>
      <c r="AL217" s="854"/>
      <c r="AM217" s="854"/>
      <c r="AN217" s="854"/>
      <c r="AO217" s="854"/>
      <c r="AP217" s="854"/>
      <c r="AQ217" s="854"/>
      <c r="AR217" s="854"/>
      <c r="AS217" s="854"/>
      <c r="AT217" s="854"/>
      <c r="AU217" s="854"/>
      <c r="AV217" s="854"/>
      <c r="AW217" s="854"/>
      <c r="AX217" s="854"/>
      <c r="AY217" s="854"/>
      <c r="AZ217" s="854"/>
      <c r="BA217" s="854"/>
      <c r="BB217" s="854"/>
      <c r="BC217" s="854"/>
      <c r="BD217" s="854"/>
      <c r="BE217" s="854"/>
      <c r="BF217" s="854"/>
      <c r="BG217" s="854"/>
      <c r="BH217" s="854"/>
      <c r="BI217" s="854"/>
      <c r="BJ217" s="854"/>
      <c r="BK217" s="854"/>
      <c r="BL217" s="854"/>
      <c r="BM217" s="854"/>
      <c r="BN217" s="854"/>
      <c r="BO217" s="854"/>
      <c r="BP217" s="854"/>
      <c r="BQ217" s="854"/>
      <c r="BR217" s="854"/>
      <c r="BS217" s="854"/>
      <c r="BT217" s="854"/>
      <c r="BU217" s="854"/>
      <c r="BV217" s="854"/>
      <c r="BW217" s="854"/>
      <c r="BX217" s="854"/>
      <c r="BY217" s="854"/>
      <c r="BZ217" s="854"/>
      <c r="CA217" s="571">
        <f>IF(OR(I217="",I217&lt;'Configs &amp; Procedures'!$L$29),0,IF(I217&gt;'Configs &amp; Procedures'!$L$30,1,IF(F217&gt;'Configs &amp; Procedures'!$L$31,0,1)))</f>
        <v>0</v>
      </c>
    </row>
    <row r="218" spans="2:79">
      <c r="B218" s="854"/>
      <c r="C218" s="854"/>
      <c r="D218" s="854"/>
      <c r="E218" s="854"/>
      <c r="F218" s="854"/>
      <c r="G218" s="854"/>
      <c r="H218" s="854"/>
      <c r="I218" s="854"/>
      <c r="J218" s="854"/>
      <c r="K218" s="854"/>
      <c r="L218" s="854"/>
      <c r="M218" s="854"/>
      <c r="N218" s="854"/>
      <c r="O218" s="854"/>
      <c r="P218" s="854"/>
      <c r="Q218" s="854"/>
      <c r="R218" s="854"/>
      <c r="S218" s="854"/>
      <c r="T218" s="854"/>
      <c r="U218" s="854"/>
      <c r="V218" s="854"/>
      <c r="W218" s="854"/>
      <c r="X218" s="854"/>
      <c r="Y218" s="854"/>
      <c r="Z218" s="854"/>
      <c r="AA218" s="854"/>
      <c r="AB218" s="854"/>
      <c r="AC218" s="854"/>
      <c r="AD218" s="854"/>
      <c r="AE218" s="854"/>
      <c r="AF218" s="854"/>
      <c r="AG218" s="854"/>
      <c r="AH218" s="854"/>
      <c r="AI218" s="854"/>
      <c r="AJ218" s="854"/>
      <c r="AK218" s="854"/>
      <c r="AL218" s="854"/>
      <c r="AM218" s="854"/>
      <c r="AN218" s="854"/>
      <c r="AO218" s="854"/>
      <c r="AP218" s="854"/>
      <c r="AQ218" s="854"/>
      <c r="AR218" s="854"/>
      <c r="AS218" s="854"/>
      <c r="AT218" s="854"/>
      <c r="AU218" s="854"/>
      <c r="AV218" s="854"/>
      <c r="AW218" s="854"/>
      <c r="AX218" s="854"/>
      <c r="AY218" s="854"/>
      <c r="AZ218" s="854"/>
      <c r="BA218" s="854"/>
      <c r="BB218" s="854"/>
      <c r="BC218" s="854"/>
      <c r="BD218" s="854"/>
      <c r="BE218" s="854"/>
      <c r="BF218" s="854"/>
      <c r="BG218" s="854"/>
      <c r="BH218" s="854"/>
      <c r="BI218" s="854"/>
      <c r="BJ218" s="854"/>
      <c r="BK218" s="854"/>
      <c r="BL218" s="854"/>
      <c r="BM218" s="854"/>
      <c r="BN218" s="854"/>
      <c r="BO218" s="854"/>
      <c r="BP218" s="854"/>
      <c r="BQ218" s="854"/>
      <c r="BR218" s="854"/>
      <c r="BS218" s="854"/>
      <c r="BT218" s="854"/>
      <c r="BU218" s="854"/>
      <c r="BV218" s="854"/>
      <c r="BW218" s="854"/>
      <c r="BX218" s="854"/>
      <c r="BY218" s="854"/>
      <c r="BZ218" s="854"/>
      <c r="CA218" s="571">
        <f>IF(OR(I218="",I218&lt;'Configs &amp; Procedures'!$L$29),0,IF(I218&gt;'Configs &amp; Procedures'!$L$30,1,IF(F218&gt;'Configs &amp; Procedures'!$L$31,0,1)))</f>
        <v>0</v>
      </c>
    </row>
    <row r="219" spans="2:79">
      <c r="B219" s="854"/>
      <c r="C219" s="854"/>
      <c r="D219" s="854"/>
      <c r="E219" s="854"/>
      <c r="F219" s="854"/>
      <c r="G219" s="854"/>
      <c r="H219" s="854"/>
      <c r="I219" s="854"/>
      <c r="J219" s="854"/>
      <c r="K219" s="854"/>
      <c r="L219" s="854"/>
      <c r="M219" s="854"/>
      <c r="N219" s="854"/>
      <c r="O219" s="854"/>
      <c r="P219" s="854"/>
      <c r="Q219" s="854"/>
      <c r="R219" s="854"/>
      <c r="S219" s="854"/>
      <c r="T219" s="854"/>
      <c r="U219" s="854"/>
      <c r="V219" s="854"/>
      <c r="W219" s="854"/>
      <c r="X219" s="854"/>
      <c r="Y219" s="854"/>
      <c r="Z219" s="854"/>
      <c r="AA219" s="854"/>
      <c r="AB219" s="854"/>
      <c r="AC219" s="854"/>
      <c r="AD219" s="854"/>
      <c r="AE219" s="854"/>
      <c r="AF219" s="854"/>
      <c r="AG219" s="854"/>
      <c r="AH219" s="854"/>
      <c r="AI219" s="854"/>
      <c r="AJ219" s="854"/>
      <c r="AK219" s="854"/>
      <c r="AL219" s="854"/>
      <c r="AM219" s="854"/>
      <c r="AN219" s="854"/>
      <c r="AO219" s="854"/>
      <c r="AP219" s="854"/>
      <c r="AQ219" s="854"/>
      <c r="AR219" s="854"/>
      <c r="AS219" s="854"/>
      <c r="AT219" s="854"/>
      <c r="AU219" s="854"/>
      <c r="AV219" s="854"/>
      <c r="AW219" s="854"/>
      <c r="AX219" s="854"/>
      <c r="AY219" s="854"/>
      <c r="AZ219" s="854"/>
      <c r="BA219" s="854"/>
      <c r="BB219" s="854"/>
      <c r="BC219" s="854"/>
      <c r="BD219" s="854"/>
      <c r="BE219" s="854"/>
      <c r="BF219" s="854"/>
      <c r="BG219" s="854"/>
      <c r="BH219" s="854"/>
      <c r="BI219" s="854"/>
      <c r="BJ219" s="854"/>
      <c r="BK219" s="854"/>
      <c r="BL219" s="854"/>
      <c r="BM219" s="854"/>
      <c r="BN219" s="854"/>
      <c r="BO219" s="854"/>
      <c r="BP219" s="854"/>
      <c r="BQ219" s="854"/>
      <c r="BR219" s="854"/>
      <c r="BS219" s="854"/>
      <c r="BT219" s="854"/>
      <c r="BU219" s="854"/>
      <c r="BV219" s="854"/>
      <c r="BW219" s="854"/>
      <c r="BX219" s="854"/>
      <c r="BY219" s="854"/>
      <c r="BZ219" s="854"/>
      <c r="CA219" s="571">
        <f>IF(OR(I219="",I219&lt;'Configs &amp; Procedures'!$L$29),0,IF(I219&gt;'Configs &amp; Procedures'!$L$30,1,IF(F219&gt;'Configs &amp; Procedures'!$L$31,0,1)))</f>
        <v>0</v>
      </c>
    </row>
    <row r="220" spans="2:79">
      <c r="B220" s="854"/>
      <c r="C220" s="854"/>
      <c r="D220" s="854"/>
      <c r="E220" s="854"/>
      <c r="F220" s="854"/>
      <c r="G220" s="854"/>
      <c r="H220" s="854"/>
      <c r="I220" s="854"/>
      <c r="J220" s="854"/>
      <c r="K220" s="854"/>
      <c r="L220" s="854"/>
      <c r="M220" s="854"/>
      <c r="N220" s="854"/>
      <c r="O220" s="854"/>
      <c r="P220" s="854"/>
      <c r="Q220" s="854"/>
      <c r="R220" s="854"/>
      <c r="S220" s="854"/>
      <c r="T220" s="854"/>
      <c r="U220" s="854"/>
      <c r="V220" s="854"/>
      <c r="W220" s="854"/>
      <c r="X220" s="854"/>
      <c r="Y220" s="854"/>
      <c r="Z220" s="854"/>
      <c r="AA220" s="854"/>
      <c r="AB220" s="854"/>
      <c r="AC220" s="854"/>
      <c r="AD220" s="854"/>
      <c r="AE220" s="854"/>
      <c r="AF220" s="854"/>
      <c r="AG220" s="854"/>
      <c r="AH220" s="854"/>
      <c r="AI220" s="854"/>
      <c r="AJ220" s="854"/>
      <c r="AK220" s="854"/>
      <c r="AL220" s="854"/>
      <c r="AM220" s="854"/>
      <c r="AN220" s="854"/>
      <c r="AO220" s="854"/>
      <c r="AP220" s="854"/>
      <c r="AQ220" s="854"/>
      <c r="AR220" s="854"/>
      <c r="AS220" s="854"/>
      <c r="AT220" s="854"/>
      <c r="AU220" s="854"/>
      <c r="AV220" s="854"/>
      <c r="AW220" s="854"/>
      <c r="AX220" s="854"/>
      <c r="AY220" s="854"/>
      <c r="AZ220" s="854"/>
      <c r="BA220" s="854"/>
      <c r="BB220" s="854"/>
      <c r="BC220" s="854"/>
      <c r="BD220" s="854"/>
      <c r="BE220" s="854"/>
      <c r="BF220" s="854"/>
      <c r="BG220" s="854"/>
      <c r="BH220" s="854"/>
      <c r="BI220" s="854"/>
      <c r="BJ220" s="854"/>
      <c r="BK220" s="854"/>
      <c r="BL220" s="854"/>
      <c r="BM220" s="854"/>
      <c r="BN220" s="854"/>
      <c r="BO220" s="854"/>
      <c r="BP220" s="854"/>
      <c r="BQ220" s="854"/>
      <c r="BR220" s="854"/>
      <c r="BS220" s="854"/>
      <c r="BT220" s="854"/>
      <c r="BU220" s="854"/>
      <c r="BV220" s="854"/>
      <c r="BW220" s="854"/>
      <c r="BX220" s="854"/>
      <c r="BY220" s="854"/>
      <c r="BZ220" s="854"/>
      <c r="CA220" s="571">
        <f>IF(OR(I220="",I220&lt;'Configs &amp; Procedures'!$L$29),0,IF(I220&gt;'Configs &amp; Procedures'!$L$30,1,IF(F220&gt;'Configs &amp; Procedures'!$L$31,0,1)))</f>
        <v>0</v>
      </c>
    </row>
    <row r="221" spans="2:79">
      <c r="B221" s="854"/>
      <c r="C221" s="854"/>
      <c r="D221" s="854"/>
      <c r="E221" s="854"/>
      <c r="F221" s="854"/>
      <c r="G221" s="854"/>
      <c r="H221" s="854"/>
      <c r="I221" s="854"/>
      <c r="J221" s="854"/>
      <c r="K221" s="854"/>
      <c r="L221" s="854"/>
      <c r="M221" s="854"/>
      <c r="N221" s="854"/>
      <c r="O221" s="854"/>
      <c r="P221" s="854"/>
      <c r="Q221" s="854"/>
      <c r="R221" s="854"/>
      <c r="S221" s="854"/>
      <c r="T221" s="854"/>
      <c r="U221" s="854"/>
      <c r="V221" s="854"/>
      <c r="W221" s="854"/>
      <c r="X221" s="854"/>
      <c r="Y221" s="854"/>
      <c r="Z221" s="854"/>
      <c r="AA221" s="854"/>
      <c r="AB221" s="854"/>
      <c r="AC221" s="854"/>
      <c r="AD221" s="854"/>
      <c r="AE221" s="854"/>
      <c r="AF221" s="854"/>
      <c r="AG221" s="854"/>
      <c r="AH221" s="854"/>
      <c r="AI221" s="854"/>
      <c r="AJ221" s="854"/>
      <c r="AK221" s="854"/>
      <c r="AL221" s="854"/>
      <c r="AM221" s="854"/>
      <c r="AN221" s="854"/>
      <c r="AO221" s="854"/>
      <c r="AP221" s="854"/>
      <c r="AQ221" s="854"/>
      <c r="AR221" s="854"/>
      <c r="AS221" s="854"/>
      <c r="AT221" s="854"/>
      <c r="AU221" s="854"/>
      <c r="AV221" s="854"/>
      <c r="AW221" s="854"/>
      <c r="AX221" s="854"/>
      <c r="AY221" s="854"/>
      <c r="AZ221" s="854"/>
      <c r="BA221" s="854"/>
      <c r="BB221" s="854"/>
      <c r="BC221" s="854"/>
      <c r="BD221" s="854"/>
      <c r="BE221" s="854"/>
      <c r="BF221" s="854"/>
      <c r="BG221" s="854"/>
      <c r="BH221" s="854"/>
      <c r="BI221" s="854"/>
      <c r="BJ221" s="854"/>
      <c r="BK221" s="854"/>
      <c r="BL221" s="854"/>
      <c r="BM221" s="854"/>
      <c r="BN221" s="854"/>
      <c r="BO221" s="854"/>
      <c r="BP221" s="854"/>
      <c r="BQ221" s="854"/>
      <c r="BR221" s="854"/>
      <c r="BS221" s="854"/>
      <c r="BT221" s="854"/>
      <c r="BU221" s="854"/>
      <c r="BV221" s="854"/>
      <c r="BW221" s="854"/>
      <c r="BX221" s="854"/>
      <c r="BY221" s="854"/>
      <c r="BZ221" s="854"/>
      <c r="CA221" s="571">
        <f>IF(OR(I221="",I221&lt;'Configs &amp; Procedures'!$L$29),0,IF(I221&gt;'Configs &amp; Procedures'!$L$30,1,IF(F221&gt;'Configs &amp; Procedures'!$L$31,0,1)))</f>
        <v>0</v>
      </c>
    </row>
    <row r="222" spans="2:79">
      <c r="B222" s="854"/>
      <c r="C222" s="854"/>
      <c r="D222" s="854"/>
      <c r="E222" s="854"/>
      <c r="F222" s="854"/>
      <c r="G222" s="854"/>
      <c r="H222" s="854"/>
      <c r="I222" s="854"/>
      <c r="J222" s="854"/>
      <c r="K222" s="854"/>
      <c r="L222" s="854"/>
      <c r="M222" s="854"/>
      <c r="N222" s="854"/>
      <c r="O222" s="854"/>
      <c r="P222" s="854"/>
      <c r="Q222" s="854"/>
      <c r="R222" s="854"/>
      <c r="S222" s="854"/>
      <c r="T222" s="854"/>
      <c r="U222" s="854"/>
      <c r="V222" s="854"/>
      <c r="W222" s="854"/>
      <c r="X222" s="854"/>
      <c r="Y222" s="854"/>
      <c r="Z222" s="854"/>
      <c r="AA222" s="854"/>
      <c r="AB222" s="854"/>
      <c r="AC222" s="854"/>
      <c r="AD222" s="854"/>
      <c r="AE222" s="854"/>
      <c r="AF222" s="854"/>
      <c r="AG222" s="854"/>
      <c r="AH222" s="854"/>
      <c r="AI222" s="854"/>
      <c r="AJ222" s="854"/>
      <c r="AK222" s="854"/>
      <c r="AL222" s="854"/>
      <c r="AM222" s="854"/>
      <c r="AN222" s="854"/>
      <c r="AO222" s="854"/>
      <c r="AP222" s="854"/>
      <c r="AQ222" s="854"/>
      <c r="AR222" s="854"/>
      <c r="AS222" s="854"/>
      <c r="AT222" s="854"/>
      <c r="AU222" s="854"/>
      <c r="AV222" s="854"/>
      <c r="AW222" s="854"/>
      <c r="AX222" s="854"/>
      <c r="AY222" s="854"/>
      <c r="AZ222" s="854"/>
      <c r="BA222" s="854"/>
      <c r="BB222" s="854"/>
      <c r="BC222" s="854"/>
      <c r="BD222" s="854"/>
      <c r="BE222" s="854"/>
      <c r="BF222" s="854"/>
      <c r="BG222" s="854"/>
      <c r="BH222" s="854"/>
      <c r="BI222" s="854"/>
      <c r="BJ222" s="854"/>
      <c r="BK222" s="854"/>
      <c r="BL222" s="854"/>
      <c r="BM222" s="854"/>
      <c r="BN222" s="854"/>
      <c r="BO222" s="854"/>
      <c r="BP222" s="854"/>
      <c r="BQ222" s="854"/>
      <c r="BR222" s="854"/>
      <c r="BS222" s="854"/>
      <c r="BT222" s="854"/>
      <c r="BU222" s="854"/>
      <c r="BV222" s="854"/>
      <c r="BW222" s="854"/>
      <c r="BX222" s="854"/>
      <c r="BY222" s="854"/>
      <c r="BZ222" s="854"/>
      <c r="CA222" s="571">
        <f>IF(OR(I222="",I222&lt;'Configs &amp; Procedures'!$L$29),0,IF(I222&gt;'Configs &amp; Procedures'!$L$30,1,IF(F222&gt;'Configs &amp; Procedures'!$L$31,0,1)))</f>
        <v>0</v>
      </c>
    </row>
    <row r="223" spans="2:79">
      <c r="B223" s="854"/>
      <c r="C223" s="854"/>
      <c r="D223" s="854"/>
      <c r="E223" s="854"/>
      <c r="F223" s="854"/>
      <c r="G223" s="854"/>
      <c r="H223" s="854"/>
      <c r="I223" s="854"/>
      <c r="J223" s="854"/>
      <c r="K223" s="854"/>
      <c r="L223" s="854"/>
      <c r="M223" s="854"/>
      <c r="N223" s="854"/>
      <c r="O223" s="854"/>
      <c r="P223" s="854"/>
      <c r="Q223" s="854"/>
      <c r="R223" s="854"/>
      <c r="S223" s="854"/>
      <c r="T223" s="854"/>
      <c r="U223" s="854"/>
      <c r="V223" s="854"/>
      <c r="W223" s="854"/>
      <c r="X223" s="854"/>
      <c r="Y223" s="854"/>
      <c r="Z223" s="854"/>
      <c r="AA223" s="854"/>
      <c r="AB223" s="854"/>
      <c r="AC223" s="854"/>
      <c r="AD223" s="854"/>
      <c r="AE223" s="854"/>
      <c r="AF223" s="854"/>
      <c r="AG223" s="854"/>
      <c r="AH223" s="854"/>
      <c r="AI223" s="854"/>
      <c r="AJ223" s="854"/>
      <c r="AK223" s="854"/>
      <c r="AL223" s="854"/>
      <c r="AM223" s="854"/>
      <c r="AN223" s="854"/>
      <c r="AO223" s="854"/>
      <c r="AP223" s="854"/>
      <c r="AQ223" s="854"/>
      <c r="AR223" s="854"/>
      <c r="AS223" s="854"/>
      <c r="AT223" s="854"/>
      <c r="AU223" s="854"/>
      <c r="AV223" s="854"/>
      <c r="AW223" s="854"/>
      <c r="AX223" s="854"/>
      <c r="AY223" s="854"/>
      <c r="AZ223" s="854"/>
      <c r="BA223" s="854"/>
      <c r="BB223" s="854"/>
      <c r="BC223" s="854"/>
      <c r="BD223" s="854"/>
      <c r="BE223" s="854"/>
      <c r="BF223" s="854"/>
      <c r="BG223" s="854"/>
      <c r="BH223" s="854"/>
      <c r="BI223" s="854"/>
      <c r="BJ223" s="854"/>
      <c r="BK223" s="854"/>
      <c r="BL223" s="854"/>
      <c r="BM223" s="854"/>
      <c r="BN223" s="854"/>
      <c r="BO223" s="854"/>
      <c r="BP223" s="854"/>
      <c r="BQ223" s="854"/>
      <c r="BR223" s="854"/>
      <c r="BS223" s="854"/>
      <c r="BT223" s="854"/>
      <c r="BU223" s="854"/>
      <c r="BV223" s="854"/>
      <c r="BW223" s="854"/>
      <c r="BX223" s="854"/>
      <c r="BY223" s="854"/>
      <c r="BZ223" s="854"/>
      <c r="CA223" s="571">
        <f>IF(OR(I223="",I223&lt;'Configs &amp; Procedures'!$L$29),0,IF(I223&gt;'Configs &amp; Procedures'!$L$30,1,IF(F223&gt;'Configs &amp; Procedures'!$L$31,0,1)))</f>
        <v>0</v>
      </c>
    </row>
    <row r="224" spans="2:79">
      <c r="B224" s="854"/>
      <c r="C224" s="854"/>
      <c r="D224" s="854"/>
      <c r="E224" s="854"/>
      <c r="F224" s="854"/>
      <c r="G224" s="854"/>
      <c r="H224" s="854"/>
      <c r="I224" s="854"/>
      <c r="J224" s="854"/>
      <c r="K224" s="854"/>
      <c r="L224" s="854"/>
      <c r="M224" s="854"/>
      <c r="N224" s="854"/>
      <c r="O224" s="854"/>
      <c r="P224" s="854"/>
      <c r="Q224" s="854"/>
      <c r="R224" s="854"/>
      <c r="S224" s="854"/>
      <c r="T224" s="854"/>
      <c r="U224" s="854"/>
      <c r="V224" s="854"/>
      <c r="W224" s="854"/>
      <c r="X224" s="854"/>
      <c r="Y224" s="854"/>
      <c r="Z224" s="854"/>
      <c r="AA224" s="854"/>
      <c r="AB224" s="854"/>
      <c r="AC224" s="854"/>
      <c r="AD224" s="854"/>
      <c r="AE224" s="854"/>
      <c r="AF224" s="854"/>
      <c r="AG224" s="854"/>
      <c r="AH224" s="854"/>
      <c r="AI224" s="854"/>
      <c r="AJ224" s="854"/>
      <c r="AK224" s="854"/>
      <c r="AL224" s="854"/>
      <c r="AM224" s="854"/>
      <c r="AN224" s="854"/>
      <c r="AO224" s="854"/>
      <c r="AP224" s="854"/>
      <c r="AQ224" s="854"/>
      <c r="AR224" s="854"/>
      <c r="AS224" s="854"/>
      <c r="AT224" s="854"/>
      <c r="AU224" s="854"/>
      <c r="AV224" s="854"/>
      <c r="AW224" s="854"/>
      <c r="AX224" s="854"/>
      <c r="AY224" s="854"/>
      <c r="AZ224" s="854"/>
      <c r="BA224" s="854"/>
      <c r="BB224" s="854"/>
      <c r="BC224" s="854"/>
      <c r="BD224" s="854"/>
      <c r="BE224" s="854"/>
      <c r="BF224" s="854"/>
      <c r="BG224" s="854"/>
      <c r="BH224" s="854"/>
      <c r="BI224" s="854"/>
      <c r="BJ224" s="854"/>
      <c r="BK224" s="854"/>
      <c r="BL224" s="854"/>
      <c r="BM224" s="854"/>
      <c r="BN224" s="854"/>
      <c r="BO224" s="854"/>
      <c r="BP224" s="854"/>
      <c r="BQ224" s="854"/>
      <c r="BR224" s="854"/>
      <c r="BS224" s="854"/>
      <c r="BT224" s="854"/>
      <c r="BU224" s="854"/>
      <c r="BV224" s="854"/>
      <c r="BW224" s="854"/>
      <c r="BX224" s="854"/>
      <c r="BY224" s="854"/>
      <c r="BZ224" s="854"/>
      <c r="CA224" s="571">
        <f>IF(OR(I224="",I224&lt;'Configs &amp; Procedures'!$L$29),0,IF(I224&gt;'Configs &amp; Procedures'!$L$30,1,IF(F224&gt;'Configs &amp; Procedures'!$L$31,0,1)))</f>
        <v>0</v>
      </c>
    </row>
    <row r="225" spans="2:79">
      <c r="B225" s="854"/>
      <c r="C225" s="854"/>
      <c r="D225" s="854"/>
      <c r="E225" s="854"/>
      <c r="F225" s="854"/>
      <c r="G225" s="854"/>
      <c r="H225" s="854"/>
      <c r="I225" s="854"/>
      <c r="J225" s="854"/>
      <c r="K225" s="854"/>
      <c r="L225" s="854"/>
      <c r="M225" s="854"/>
      <c r="N225" s="854"/>
      <c r="O225" s="854"/>
      <c r="P225" s="854"/>
      <c r="Q225" s="854"/>
      <c r="R225" s="854"/>
      <c r="S225" s="854"/>
      <c r="T225" s="854"/>
      <c r="U225" s="854"/>
      <c r="V225" s="854"/>
      <c r="W225" s="854"/>
      <c r="X225" s="854"/>
      <c r="Y225" s="854"/>
      <c r="Z225" s="854"/>
      <c r="AA225" s="854"/>
      <c r="AB225" s="854"/>
      <c r="AC225" s="854"/>
      <c r="AD225" s="854"/>
      <c r="AE225" s="854"/>
      <c r="AF225" s="854"/>
      <c r="AG225" s="854"/>
      <c r="AH225" s="854"/>
      <c r="AI225" s="854"/>
      <c r="AJ225" s="854"/>
      <c r="AK225" s="854"/>
      <c r="AL225" s="854"/>
      <c r="AM225" s="854"/>
      <c r="AN225" s="854"/>
      <c r="AO225" s="854"/>
      <c r="AP225" s="854"/>
      <c r="AQ225" s="854"/>
      <c r="AR225" s="854"/>
      <c r="AS225" s="854"/>
      <c r="AT225" s="854"/>
      <c r="AU225" s="854"/>
      <c r="AV225" s="854"/>
      <c r="AW225" s="854"/>
      <c r="AX225" s="854"/>
      <c r="AY225" s="854"/>
      <c r="AZ225" s="854"/>
      <c r="BA225" s="854"/>
      <c r="BB225" s="854"/>
      <c r="BC225" s="854"/>
      <c r="BD225" s="854"/>
      <c r="BE225" s="854"/>
      <c r="BF225" s="854"/>
      <c r="BG225" s="854"/>
      <c r="BH225" s="854"/>
      <c r="BI225" s="854"/>
      <c r="BJ225" s="854"/>
      <c r="BK225" s="854"/>
      <c r="BL225" s="854"/>
      <c r="BM225" s="854"/>
      <c r="BN225" s="854"/>
      <c r="BO225" s="854"/>
      <c r="BP225" s="854"/>
      <c r="BQ225" s="854"/>
      <c r="BR225" s="854"/>
      <c r="BS225" s="854"/>
      <c r="BT225" s="854"/>
      <c r="BU225" s="854"/>
      <c r="BV225" s="854"/>
      <c r="BW225" s="854"/>
      <c r="BX225" s="854"/>
      <c r="BY225" s="854"/>
      <c r="BZ225" s="854"/>
      <c r="CA225" s="571">
        <f>IF(OR(I225="",I225&lt;'Configs &amp; Procedures'!$L$29),0,IF(I225&gt;'Configs &amp; Procedures'!$L$30,1,IF(F225&gt;'Configs &amp; Procedures'!$L$31,0,1)))</f>
        <v>0</v>
      </c>
    </row>
    <row r="226" spans="2:79">
      <c r="B226" s="854"/>
      <c r="C226" s="854"/>
      <c r="D226" s="854"/>
      <c r="E226" s="854"/>
      <c r="F226" s="854"/>
      <c r="G226" s="854"/>
      <c r="H226" s="854"/>
      <c r="I226" s="854"/>
      <c r="J226" s="854"/>
      <c r="K226" s="854"/>
      <c r="L226" s="854"/>
      <c r="M226" s="854"/>
      <c r="N226" s="854"/>
      <c r="O226" s="854"/>
      <c r="P226" s="854"/>
      <c r="Q226" s="854"/>
      <c r="R226" s="854"/>
      <c r="S226" s="854"/>
      <c r="T226" s="854"/>
      <c r="U226" s="854"/>
      <c r="V226" s="854"/>
      <c r="W226" s="854"/>
      <c r="X226" s="854"/>
      <c r="Y226" s="854"/>
      <c r="Z226" s="854"/>
      <c r="AA226" s="854"/>
      <c r="AB226" s="854"/>
      <c r="AC226" s="854"/>
      <c r="AD226" s="854"/>
      <c r="AE226" s="854"/>
      <c r="AF226" s="854"/>
      <c r="AG226" s="854"/>
      <c r="AH226" s="854"/>
      <c r="AI226" s="854"/>
      <c r="AJ226" s="854"/>
      <c r="AK226" s="854"/>
      <c r="AL226" s="854"/>
      <c r="AM226" s="854"/>
      <c r="AN226" s="854"/>
      <c r="AO226" s="854"/>
      <c r="AP226" s="854"/>
      <c r="AQ226" s="854"/>
      <c r="AR226" s="854"/>
      <c r="AS226" s="854"/>
      <c r="AT226" s="854"/>
      <c r="AU226" s="854"/>
      <c r="AV226" s="854"/>
      <c r="AW226" s="854"/>
      <c r="AX226" s="854"/>
      <c r="AY226" s="854"/>
      <c r="AZ226" s="854"/>
      <c r="BA226" s="854"/>
      <c r="BB226" s="854"/>
      <c r="BC226" s="854"/>
      <c r="BD226" s="854"/>
      <c r="BE226" s="854"/>
      <c r="BF226" s="854"/>
      <c r="BG226" s="854"/>
      <c r="BH226" s="854"/>
      <c r="BI226" s="854"/>
      <c r="BJ226" s="854"/>
      <c r="BK226" s="854"/>
      <c r="BL226" s="854"/>
      <c r="BM226" s="854"/>
      <c r="BN226" s="854"/>
      <c r="BO226" s="854"/>
      <c r="BP226" s="854"/>
      <c r="BQ226" s="854"/>
      <c r="BR226" s="854"/>
      <c r="BS226" s="854"/>
      <c r="BT226" s="854"/>
      <c r="BU226" s="854"/>
      <c r="BV226" s="854"/>
      <c r="BW226" s="854"/>
      <c r="BX226" s="854"/>
      <c r="BY226" s="854"/>
      <c r="BZ226" s="854"/>
      <c r="CA226" s="571">
        <f>IF(OR(I226="",I226&lt;'Configs &amp; Procedures'!$L$29),0,IF(I226&gt;'Configs &amp; Procedures'!$L$30,1,IF(F226&gt;'Configs &amp; Procedures'!$L$31,0,1)))</f>
        <v>0</v>
      </c>
    </row>
    <row r="227" spans="2:79">
      <c r="B227" s="854"/>
      <c r="C227" s="854"/>
      <c r="D227" s="854"/>
      <c r="E227" s="854"/>
      <c r="F227" s="854"/>
      <c r="G227" s="854"/>
      <c r="H227" s="854"/>
      <c r="I227" s="854"/>
      <c r="J227" s="854"/>
      <c r="K227" s="854"/>
      <c r="L227" s="854"/>
      <c r="M227" s="854"/>
      <c r="N227" s="854"/>
      <c r="O227" s="854"/>
      <c r="P227" s="854"/>
      <c r="Q227" s="854"/>
      <c r="R227" s="854"/>
      <c r="S227" s="854"/>
      <c r="T227" s="854"/>
      <c r="U227" s="854"/>
      <c r="V227" s="854"/>
      <c r="W227" s="854"/>
      <c r="X227" s="854"/>
      <c r="Y227" s="854"/>
      <c r="Z227" s="854"/>
      <c r="AA227" s="854"/>
      <c r="AB227" s="854"/>
      <c r="AC227" s="854"/>
      <c r="AD227" s="854"/>
      <c r="AE227" s="854"/>
      <c r="AF227" s="854"/>
      <c r="AG227" s="854"/>
      <c r="AH227" s="854"/>
      <c r="AI227" s="854"/>
      <c r="AJ227" s="854"/>
      <c r="AK227" s="854"/>
      <c r="AL227" s="854"/>
      <c r="AM227" s="854"/>
      <c r="AN227" s="854"/>
      <c r="AO227" s="854"/>
      <c r="AP227" s="854"/>
      <c r="AQ227" s="854"/>
      <c r="AR227" s="854"/>
      <c r="AS227" s="854"/>
      <c r="AT227" s="854"/>
      <c r="AU227" s="854"/>
      <c r="AV227" s="854"/>
      <c r="AW227" s="854"/>
      <c r="AX227" s="854"/>
      <c r="AY227" s="854"/>
      <c r="AZ227" s="854"/>
      <c r="BA227" s="854"/>
      <c r="BB227" s="854"/>
      <c r="BC227" s="854"/>
      <c r="BD227" s="854"/>
      <c r="BE227" s="854"/>
      <c r="BF227" s="854"/>
      <c r="BG227" s="854"/>
      <c r="BH227" s="854"/>
      <c r="BI227" s="854"/>
      <c r="BJ227" s="854"/>
      <c r="BK227" s="854"/>
      <c r="BL227" s="854"/>
      <c r="BM227" s="854"/>
      <c r="BN227" s="854"/>
      <c r="BO227" s="854"/>
      <c r="BP227" s="854"/>
      <c r="BQ227" s="854"/>
      <c r="BR227" s="854"/>
      <c r="BS227" s="854"/>
      <c r="BT227" s="854"/>
      <c r="BU227" s="854"/>
      <c r="BV227" s="854"/>
      <c r="BW227" s="854"/>
      <c r="BX227" s="854"/>
      <c r="BY227" s="854"/>
      <c r="BZ227" s="854"/>
      <c r="CA227" s="571">
        <f>IF(OR(I227="",I227&lt;'Configs &amp; Procedures'!$L$29),0,IF(I227&gt;'Configs &amp; Procedures'!$L$30,1,IF(F227&gt;'Configs &amp; Procedures'!$L$31,0,1)))</f>
        <v>0</v>
      </c>
    </row>
    <row r="228" spans="2:79">
      <c r="B228" s="854"/>
      <c r="C228" s="854"/>
      <c r="D228" s="854"/>
      <c r="E228" s="854"/>
      <c r="F228" s="854"/>
      <c r="G228" s="854"/>
      <c r="H228" s="854"/>
      <c r="I228" s="854"/>
      <c r="J228" s="854"/>
      <c r="K228" s="854"/>
      <c r="L228" s="854"/>
      <c r="M228" s="854"/>
      <c r="N228" s="854"/>
      <c r="O228" s="854"/>
      <c r="P228" s="854"/>
      <c r="Q228" s="854"/>
      <c r="R228" s="854"/>
      <c r="S228" s="854"/>
      <c r="T228" s="854"/>
      <c r="U228" s="854"/>
      <c r="V228" s="854"/>
      <c r="W228" s="854"/>
      <c r="X228" s="854"/>
      <c r="Y228" s="854"/>
      <c r="Z228" s="854"/>
      <c r="AA228" s="854"/>
      <c r="AB228" s="854"/>
      <c r="AC228" s="854"/>
      <c r="AD228" s="854"/>
      <c r="AE228" s="854"/>
      <c r="AF228" s="854"/>
      <c r="AG228" s="854"/>
      <c r="AH228" s="854"/>
      <c r="AI228" s="854"/>
      <c r="AJ228" s="854"/>
      <c r="AK228" s="854"/>
      <c r="AL228" s="854"/>
      <c r="AM228" s="854"/>
      <c r="AN228" s="854"/>
      <c r="AO228" s="854"/>
      <c r="AP228" s="854"/>
      <c r="AQ228" s="854"/>
      <c r="AR228" s="854"/>
      <c r="AS228" s="854"/>
      <c r="AT228" s="854"/>
      <c r="AU228" s="854"/>
      <c r="AV228" s="854"/>
      <c r="AW228" s="854"/>
      <c r="AX228" s="854"/>
      <c r="AY228" s="854"/>
      <c r="AZ228" s="854"/>
      <c r="BA228" s="854"/>
      <c r="BB228" s="854"/>
      <c r="BC228" s="854"/>
      <c r="BD228" s="854"/>
      <c r="BE228" s="854"/>
      <c r="BF228" s="854"/>
      <c r="BG228" s="854"/>
      <c r="BH228" s="854"/>
      <c r="BI228" s="854"/>
      <c r="BJ228" s="854"/>
      <c r="BK228" s="854"/>
      <c r="BL228" s="854"/>
      <c r="BM228" s="854"/>
      <c r="BN228" s="854"/>
      <c r="BO228" s="854"/>
      <c r="BP228" s="854"/>
      <c r="BQ228" s="854"/>
      <c r="BR228" s="854"/>
      <c r="BS228" s="854"/>
      <c r="BT228" s="854"/>
      <c r="BU228" s="854"/>
      <c r="BV228" s="854"/>
      <c r="BW228" s="854"/>
      <c r="BX228" s="854"/>
      <c r="BY228" s="854"/>
      <c r="BZ228" s="854"/>
      <c r="CA228" s="571">
        <f>IF(OR(I228="",I228&lt;'Configs &amp; Procedures'!$L$29),0,IF(I228&gt;'Configs &amp; Procedures'!$L$30,1,IF(F228&gt;'Configs &amp; Procedures'!$L$31,0,1)))</f>
        <v>0</v>
      </c>
    </row>
    <row r="229" spans="2:79">
      <c r="B229" s="854"/>
      <c r="C229" s="854"/>
      <c r="D229" s="854"/>
      <c r="E229" s="854"/>
      <c r="F229" s="854"/>
      <c r="G229" s="854"/>
      <c r="H229" s="854"/>
      <c r="I229" s="854"/>
      <c r="J229" s="854"/>
      <c r="K229" s="854"/>
      <c r="L229" s="854"/>
      <c r="M229" s="854"/>
      <c r="N229" s="854"/>
      <c r="O229" s="854"/>
      <c r="P229" s="854"/>
      <c r="Q229" s="854"/>
      <c r="R229" s="854"/>
      <c r="S229" s="854"/>
      <c r="T229" s="854"/>
      <c r="U229" s="854"/>
      <c r="V229" s="854"/>
      <c r="W229" s="854"/>
      <c r="X229" s="854"/>
      <c r="Y229" s="854"/>
      <c r="Z229" s="854"/>
      <c r="AA229" s="854"/>
      <c r="AB229" s="854"/>
      <c r="AC229" s="854"/>
      <c r="AD229" s="854"/>
      <c r="AE229" s="854"/>
      <c r="AF229" s="854"/>
      <c r="AG229" s="854"/>
      <c r="AH229" s="854"/>
      <c r="AI229" s="854"/>
      <c r="AJ229" s="854"/>
      <c r="AK229" s="854"/>
      <c r="AL229" s="854"/>
      <c r="AM229" s="854"/>
      <c r="AN229" s="854"/>
      <c r="AO229" s="854"/>
      <c r="AP229" s="854"/>
      <c r="AQ229" s="854"/>
      <c r="AR229" s="854"/>
      <c r="AS229" s="854"/>
      <c r="AT229" s="854"/>
      <c r="AU229" s="854"/>
      <c r="AV229" s="854"/>
      <c r="AW229" s="854"/>
      <c r="AX229" s="854"/>
      <c r="AY229" s="854"/>
      <c r="AZ229" s="854"/>
      <c r="BA229" s="854"/>
      <c r="BB229" s="854"/>
      <c r="BC229" s="854"/>
      <c r="BD229" s="854"/>
      <c r="BE229" s="854"/>
      <c r="BF229" s="854"/>
      <c r="BG229" s="854"/>
      <c r="BH229" s="854"/>
      <c r="BI229" s="854"/>
      <c r="BJ229" s="854"/>
      <c r="BK229" s="854"/>
      <c r="BL229" s="854"/>
      <c r="BM229" s="854"/>
      <c r="BN229" s="854"/>
      <c r="BO229" s="854"/>
      <c r="BP229" s="854"/>
      <c r="BQ229" s="854"/>
      <c r="BR229" s="854"/>
      <c r="BS229" s="854"/>
      <c r="BT229" s="854"/>
      <c r="BU229" s="854"/>
      <c r="BV229" s="854"/>
      <c r="BW229" s="854"/>
      <c r="BX229" s="854"/>
      <c r="BY229" s="854"/>
      <c r="BZ229" s="854"/>
      <c r="CA229" s="571">
        <f>IF(OR(I229="",I229&lt;'Configs &amp; Procedures'!$L$29),0,IF(I229&gt;'Configs &amp; Procedures'!$L$30,1,IF(F229&gt;'Configs &amp; Procedures'!$L$31,0,1)))</f>
        <v>0</v>
      </c>
    </row>
    <row r="230" spans="2:79">
      <c r="B230" s="854"/>
      <c r="C230" s="854"/>
      <c r="D230" s="854"/>
      <c r="E230" s="854"/>
      <c r="F230" s="854"/>
      <c r="G230" s="854"/>
      <c r="H230" s="854"/>
      <c r="I230" s="854"/>
      <c r="J230" s="854"/>
      <c r="K230" s="854"/>
      <c r="L230" s="854"/>
      <c r="M230" s="854"/>
      <c r="N230" s="854"/>
      <c r="O230" s="854"/>
      <c r="P230" s="854"/>
      <c r="Q230" s="854"/>
      <c r="R230" s="854"/>
      <c r="S230" s="854"/>
      <c r="T230" s="854"/>
      <c r="U230" s="854"/>
      <c r="V230" s="854"/>
      <c r="W230" s="854"/>
      <c r="X230" s="854"/>
      <c r="Y230" s="854"/>
      <c r="Z230" s="854"/>
      <c r="AA230" s="854"/>
      <c r="AB230" s="854"/>
      <c r="AC230" s="854"/>
      <c r="AD230" s="854"/>
      <c r="AE230" s="854"/>
      <c r="AF230" s="854"/>
      <c r="AG230" s="854"/>
      <c r="AH230" s="854"/>
      <c r="AI230" s="854"/>
      <c r="AJ230" s="854"/>
      <c r="AK230" s="854"/>
      <c r="AL230" s="854"/>
      <c r="AM230" s="854"/>
      <c r="AN230" s="854"/>
      <c r="AO230" s="854"/>
      <c r="AP230" s="854"/>
      <c r="AQ230" s="854"/>
      <c r="AR230" s="854"/>
      <c r="AS230" s="854"/>
      <c r="AT230" s="854"/>
      <c r="AU230" s="854"/>
      <c r="AV230" s="854"/>
      <c r="AW230" s="854"/>
      <c r="AX230" s="854"/>
      <c r="AY230" s="854"/>
      <c r="AZ230" s="854"/>
      <c r="BA230" s="854"/>
      <c r="BB230" s="854"/>
      <c r="BC230" s="854"/>
      <c r="BD230" s="854"/>
      <c r="BE230" s="854"/>
      <c r="BF230" s="854"/>
      <c r="BG230" s="854"/>
      <c r="BH230" s="854"/>
      <c r="BI230" s="854"/>
      <c r="BJ230" s="854"/>
      <c r="BK230" s="854"/>
      <c r="BL230" s="854"/>
      <c r="BM230" s="854"/>
      <c r="BN230" s="854"/>
      <c r="BO230" s="854"/>
      <c r="BP230" s="854"/>
      <c r="BQ230" s="854"/>
      <c r="BR230" s="854"/>
      <c r="BS230" s="854"/>
      <c r="BT230" s="854"/>
      <c r="BU230" s="854"/>
      <c r="BV230" s="854"/>
      <c r="BW230" s="854"/>
      <c r="BX230" s="854"/>
      <c r="BY230" s="854"/>
      <c r="BZ230" s="854"/>
      <c r="CA230" s="571">
        <f>IF(OR(I230="",I230&lt;'Configs &amp; Procedures'!$L$29),0,IF(I230&gt;'Configs &amp; Procedures'!$L$30,1,IF(F230&gt;'Configs &amp; Procedures'!$L$31,0,1)))</f>
        <v>0</v>
      </c>
    </row>
    <row r="231" spans="2:79">
      <c r="B231" s="854"/>
      <c r="C231" s="854"/>
      <c r="D231" s="854"/>
      <c r="E231" s="854"/>
      <c r="F231" s="854"/>
      <c r="G231" s="854"/>
      <c r="H231" s="854"/>
      <c r="I231" s="854"/>
      <c r="J231" s="854"/>
      <c r="K231" s="854"/>
      <c r="L231" s="854"/>
      <c r="M231" s="854"/>
      <c r="N231" s="854"/>
      <c r="O231" s="854"/>
      <c r="P231" s="854"/>
      <c r="Q231" s="854"/>
      <c r="R231" s="854"/>
      <c r="S231" s="854"/>
      <c r="T231" s="854"/>
      <c r="U231" s="854"/>
      <c r="V231" s="854"/>
      <c r="W231" s="854"/>
      <c r="X231" s="854"/>
      <c r="Y231" s="854"/>
      <c r="Z231" s="854"/>
      <c r="AA231" s="854"/>
      <c r="AB231" s="854"/>
      <c r="AC231" s="854"/>
      <c r="AD231" s="854"/>
      <c r="AE231" s="854"/>
      <c r="AF231" s="854"/>
      <c r="AG231" s="854"/>
      <c r="AH231" s="854"/>
      <c r="AI231" s="854"/>
      <c r="AJ231" s="854"/>
      <c r="AK231" s="854"/>
      <c r="AL231" s="854"/>
      <c r="AM231" s="854"/>
      <c r="AN231" s="854"/>
      <c r="AO231" s="854"/>
      <c r="AP231" s="854"/>
      <c r="AQ231" s="854"/>
      <c r="AR231" s="854"/>
      <c r="AS231" s="854"/>
      <c r="AT231" s="854"/>
      <c r="AU231" s="854"/>
      <c r="AV231" s="854"/>
      <c r="AW231" s="854"/>
      <c r="AX231" s="854"/>
      <c r="AY231" s="854"/>
      <c r="AZ231" s="854"/>
      <c r="BA231" s="854"/>
      <c r="BB231" s="854"/>
      <c r="BC231" s="854"/>
      <c r="BD231" s="854"/>
      <c r="BE231" s="854"/>
      <c r="BF231" s="854"/>
      <c r="BG231" s="854"/>
      <c r="BH231" s="854"/>
      <c r="BI231" s="854"/>
      <c r="BJ231" s="854"/>
      <c r="BK231" s="854"/>
      <c r="BL231" s="854"/>
      <c r="BM231" s="854"/>
      <c r="BN231" s="854"/>
      <c r="BO231" s="854"/>
      <c r="BP231" s="854"/>
      <c r="BQ231" s="854"/>
      <c r="BR231" s="854"/>
      <c r="BS231" s="854"/>
      <c r="BT231" s="854"/>
      <c r="BU231" s="854"/>
      <c r="BV231" s="854"/>
      <c r="BW231" s="854"/>
      <c r="BX231" s="854"/>
      <c r="BY231" s="854"/>
      <c r="BZ231" s="854"/>
      <c r="CA231" s="571">
        <f>IF(OR(I231="",I231&lt;'Configs &amp; Procedures'!$L$29),0,IF(I231&gt;'Configs &amp; Procedures'!$L$30,1,IF(F231&gt;'Configs &amp; Procedures'!$L$31,0,1)))</f>
        <v>0</v>
      </c>
    </row>
    <row r="232" spans="2:79">
      <c r="B232" s="854"/>
      <c r="C232" s="854"/>
      <c r="D232" s="854"/>
      <c r="E232" s="854"/>
      <c r="F232" s="854"/>
      <c r="G232" s="854"/>
      <c r="H232" s="854"/>
      <c r="I232" s="854"/>
      <c r="J232" s="854"/>
      <c r="K232" s="854"/>
      <c r="L232" s="854"/>
      <c r="M232" s="854"/>
      <c r="N232" s="854"/>
      <c r="O232" s="854"/>
      <c r="P232" s="854"/>
      <c r="Q232" s="854"/>
      <c r="R232" s="854"/>
      <c r="S232" s="854"/>
      <c r="T232" s="854"/>
      <c r="U232" s="854"/>
      <c r="V232" s="854"/>
      <c r="W232" s="854"/>
      <c r="X232" s="854"/>
      <c r="Y232" s="854"/>
      <c r="Z232" s="854"/>
      <c r="AA232" s="854"/>
      <c r="AB232" s="854"/>
      <c r="AC232" s="854"/>
      <c r="AD232" s="854"/>
      <c r="AE232" s="854"/>
      <c r="AF232" s="854"/>
      <c r="AG232" s="854"/>
      <c r="AH232" s="854"/>
      <c r="AI232" s="854"/>
      <c r="AJ232" s="854"/>
      <c r="AK232" s="854"/>
      <c r="AL232" s="854"/>
      <c r="AM232" s="854"/>
      <c r="AN232" s="854"/>
      <c r="AO232" s="854"/>
      <c r="AP232" s="854"/>
      <c r="AQ232" s="854"/>
      <c r="AR232" s="854"/>
      <c r="AS232" s="854"/>
      <c r="AT232" s="854"/>
      <c r="AU232" s="854"/>
      <c r="AV232" s="854"/>
      <c r="AW232" s="854"/>
      <c r="AX232" s="854"/>
      <c r="AY232" s="854"/>
      <c r="AZ232" s="854"/>
      <c r="BA232" s="854"/>
      <c r="BB232" s="854"/>
      <c r="BC232" s="854"/>
      <c r="BD232" s="854"/>
      <c r="BE232" s="854"/>
      <c r="BF232" s="854"/>
      <c r="BG232" s="854"/>
      <c r="BH232" s="854"/>
      <c r="BI232" s="854"/>
      <c r="BJ232" s="854"/>
      <c r="BK232" s="854"/>
      <c r="BL232" s="854"/>
      <c r="BM232" s="854"/>
      <c r="BN232" s="854"/>
      <c r="BO232" s="854"/>
      <c r="BP232" s="854"/>
      <c r="BQ232" s="854"/>
      <c r="BR232" s="854"/>
      <c r="BS232" s="854"/>
      <c r="BT232" s="854"/>
      <c r="BU232" s="854"/>
      <c r="BV232" s="854"/>
      <c r="BW232" s="854"/>
      <c r="BX232" s="854"/>
      <c r="BY232" s="854"/>
      <c r="BZ232" s="854"/>
      <c r="CA232" s="571">
        <f>IF(OR(I232="",I232&lt;'Configs &amp; Procedures'!$L$29),0,IF(I232&gt;'Configs &amp; Procedures'!$L$30,1,IF(F232&gt;'Configs &amp; Procedures'!$L$31,0,1)))</f>
        <v>0</v>
      </c>
    </row>
    <row r="233" spans="2:79">
      <c r="B233" s="854"/>
      <c r="C233" s="854"/>
      <c r="D233" s="854"/>
      <c r="E233" s="854"/>
      <c r="F233" s="854"/>
      <c r="G233" s="854"/>
      <c r="H233" s="854"/>
      <c r="I233" s="854"/>
      <c r="J233" s="854"/>
      <c r="K233" s="854"/>
      <c r="L233" s="854"/>
      <c r="M233" s="854"/>
      <c r="N233" s="854"/>
      <c r="O233" s="854"/>
      <c r="P233" s="854"/>
      <c r="Q233" s="854"/>
      <c r="R233" s="854"/>
      <c r="S233" s="854"/>
      <c r="T233" s="854"/>
      <c r="U233" s="854"/>
      <c r="V233" s="854"/>
      <c r="W233" s="854"/>
      <c r="X233" s="854"/>
      <c r="Y233" s="854"/>
      <c r="Z233" s="854"/>
      <c r="AA233" s="854"/>
      <c r="AB233" s="854"/>
      <c r="AC233" s="854"/>
      <c r="AD233" s="854"/>
      <c r="AE233" s="854"/>
      <c r="AF233" s="854"/>
      <c r="AG233" s="854"/>
      <c r="AH233" s="854"/>
      <c r="AI233" s="854"/>
      <c r="AJ233" s="854"/>
      <c r="AK233" s="854"/>
      <c r="AL233" s="854"/>
      <c r="AM233" s="854"/>
      <c r="AN233" s="854"/>
      <c r="AO233" s="854"/>
      <c r="AP233" s="854"/>
      <c r="AQ233" s="854"/>
      <c r="AR233" s="854"/>
      <c r="AS233" s="854"/>
      <c r="AT233" s="854"/>
      <c r="AU233" s="854"/>
      <c r="AV233" s="854"/>
      <c r="AW233" s="854"/>
      <c r="AX233" s="854"/>
      <c r="AY233" s="854"/>
      <c r="AZ233" s="854"/>
      <c r="BA233" s="854"/>
      <c r="BB233" s="854"/>
      <c r="BC233" s="854"/>
      <c r="BD233" s="854"/>
      <c r="BE233" s="854"/>
      <c r="BF233" s="854"/>
      <c r="BG233" s="854"/>
      <c r="BH233" s="854"/>
      <c r="BI233" s="854"/>
      <c r="BJ233" s="854"/>
      <c r="BK233" s="854"/>
      <c r="BL233" s="854"/>
      <c r="BM233" s="854"/>
      <c r="BN233" s="854"/>
      <c r="BO233" s="854"/>
      <c r="BP233" s="854"/>
      <c r="BQ233" s="854"/>
      <c r="BR233" s="854"/>
      <c r="BS233" s="854"/>
      <c r="BT233" s="854"/>
      <c r="BU233" s="854"/>
      <c r="BV233" s="854"/>
      <c r="BW233" s="854"/>
      <c r="BX233" s="854"/>
      <c r="BY233" s="854"/>
      <c r="BZ233" s="854"/>
      <c r="CA233" s="571">
        <f>IF(OR(I233="",I233&lt;'Configs &amp; Procedures'!$L$29),0,IF(I233&gt;'Configs &amp; Procedures'!$L$30,1,IF(F233&gt;'Configs &amp; Procedures'!$L$31,0,1)))</f>
        <v>0</v>
      </c>
    </row>
    <row r="234" spans="2:79">
      <c r="B234" s="854"/>
      <c r="C234" s="854"/>
      <c r="D234" s="854"/>
      <c r="E234" s="854"/>
      <c r="F234" s="854"/>
      <c r="G234" s="854"/>
      <c r="H234" s="854"/>
      <c r="I234" s="854"/>
      <c r="J234" s="854"/>
      <c r="K234" s="854"/>
      <c r="L234" s="854"/>
      <c r="M234" s="854"/>
      <c r="N234" s="854"/>
      <c r="O234" s="854"/>
      <c r="P234" s="854"/>
      <c r="Q234" s="854"/>
      <c r="R234" s="854"/>
      <c r="S234" s="854"/>
      <c r="T234" s="854"/>
      <c r="U234" s="854"/>
      <c r="V234" s="854"/>
      <c r="W234" s="854"/>
      <c r="X234" s="854"/>
      <c r="Y234" s="854"/>
      <c r="Z234" s="854"/>
      <c r="AA234" s="854"/>
      <c r="AB234" s="854"/>
      <c r="AC234" s="854"/>
      <c r="AD234" s="854"/>
      <c r="AE234" s="854"/>
      <c r="AF234" s="854"/>
      <c r="AG234" s="854"/>
      <c r="AH234" s="854"/>
      <c r="AI234" s="854"/>
      <c r="AJ234" s="854"/>
      <c r="AK234" s="854"/>
      <c r="AL234" s="854"/>
      <c r="AM234" s="854"/>
      <c r="AN234" s="854"/>
      <c r="AO234" s="854"/>
      <c r="AP234" s="854"/>
      <c r="AQ234" s="854"/>
      <c r="AR234" s="854"/>
      <c r="AS234" s="854"/>
      <c r="AT234" s="854"/>
      <c r="AU234" s="854"/>
      <c r="AV234" s="854"/>
      <c r="AW234" s="854"/>
      <c r="AX234" s="854"/>
      <c r="AY234" s="854"/>
      <c r="AZ234" s="854"/>
      <c r="BA234" s="854"/>
      <c r="BB234" s="854"/>
      <c r="BC234" s="854"/>
      <c r="BD234" s="854"/>
      <c r="BE234" s="854"/>
      <c r="BF234" s="854"/>
      <c r="BG234" s="854"/>
      <c r="BH234" s="854"/>
      <c r="BI234" s="854"/>
      <c r="BJ234" s="854"/>
      <c r="BK234" s="854"/>
      <c r="BL234" s="854"/>
      <c r="BM234" s="854"/>
      <c r="BN234" s="854"/>
      <c r="BO234" s="854"/>
      <c r="BP234" s="854"/>
      <c r="BQ234" s="854"/>
      <c r="BR234" s="854"/>
      <c r="BS234" s="854"/>
      <c r="BT234" s="854"/>
      <c r="BU234" s="854"/>
      <c r="BV234" s="854"/>
      <c r="BW234" s="854"/>
      <c r="BX234" s="854"/>
      <c r="BY234" s="854"/>
      <c r="BZ234" s="854"/>
      <c r="CA234" s="571">
        <f>IF(OR(I234="",I234&lt;'Configs &amp; Procedures'!$L$29),0,IF(I234&gt;'Configs &amp; Procedures'!$L$30,1,IF(F234&gt;'Configs &amp; Procedures'!$L$31,0,1)))</f>
        <v>0</v>
      </c>
    </row>
    <row r="235" spans="2:79">
      <c r="B235" s="854"/>
      <c r="C235" s="854"/>
      <c r="D235" s="854"/>
      <c r="E235" s="854"/>
      <c r="F235" s="854"/>
      <c r="G235" s="854"/>
      <c r="H235" s="854"/>
      <c r="I235" s="854"/>
      <c r="J235" s="854"/>
      <c r="K235" s="854"/>
      <c r="L235" s="854"/>
      <c r="M235" s="854"/>
      <c r="N235" s="854"/>
      <c r="O235" s="854"/>
      <c r="P235" s="854"/>
      <c r="Q235" s="854"/>
      <c r="R235" s="854"/>
      <c r="S235" s="854"/>
      <c r="T235" s="854"/>
      <c r="U235" s="854"/>
      <c r="V235" s="854"/>
      <c r="W235" s="854"/>
      <c r="X235" s="854"/>
      <c r="Y235" s="854"/>
      <c r="Z235" s="854"/>
      <c r="AA235" s="854"/>
      <c r="AB235" s="854"/>
      <c r="AC235" s="854"/>
      <c r="AD235" s="854"/>
      <c r="AE235" s="854"/>
      <c r="AF235" s="854"/>
      <c r="AG235" s="854"/>
      <c r="AH235" s="854"/>
      <c r="AI235" s="854"/>
      <c r="AJ235" s="854"/>
      <c r="AK235" s="854"/>
      <c r="AL235" s="854"/>
      <c r="AM235" s="854"/>
      <c r="AN235" s="854"/>
      <c r="AO235" s="854"/>
      <c r="AP235" s="854"/>
      <c r="AQ235" s="854"/>
      <c r="AR235" s="854"/>
      <c r="AS235" s="854"/>
      <c r="AT235" s="854"/>
      <c r="AU235" s="854"/>
      <c r="AV235" s="854"/>
      <c r="AW235" s="854"/>
      <c r="AX235" s="854"/>
      <c r="AY235" s="854"/>
      <c r="AZ235" s="854"/>
      <c r="BA235" s="854"/>
      <c r="BB235" s="854"/>
      <c r="BC235" s="854"/>
      <c r="BD235" s="854"/>
      <c r="BE235" s="854"/>
      <c r="BF235" s="854"/>
      <c r="BG235" s="854"/>
      <c r="BH235" s="854"/>
      <c r="BI235" s="854"/>
      <c r="BJ235" s="854"/>
      <c r="BK235" s="854"/>
      <c r="BL235" s="854"/>
      <c r="BM235" s="854"/>
      <c r="BN235" s="854"/>
      <c r="BO235" s="854"/>
      <c r="BP235" s="854"/>
      <c r="BQ235" s="854"/>
      <c r="BR235" s="854"/>
      <c r="BS235" s="854"/>
      <c r="BT235" s="854"/>
      <c r="BU235" s="854"/>
      <c r="BV235" s="854"/>
      <c r="BW235" s="854"/>
      <c r="BX235" s="854"/>
      <c r="BY235" s="854"/>
      <c r="BZ235" s="854"/>
      <c r="CA235" s="571">
        <f>IF(OR(I235="",I235&lt;'Configs &amp; Procedures'!$L$29),0,IF(I235&gt;'Configs &amp; Procedures'!$L$30,1,IF(F235&gt;'Configs &amp; Procedures'!$L$31,0,1)))</f>
        <v>0</v>
      </c>
    </row>
    <row r="236" spans="2:79">
      <c r="B236" s="854"/>
      <c r="C236" s="854"/>
      <c r="D236" s="854"/>
      <c r="E236" s="854"/>
      <c r="F236" s="854"/>
      <c r="G236" s="854"/>
      <c r="H236" s="854"/>
      <c r="I236" s="854"/>
      <c r="J236" s="854"/>
      <c r="K236" s="854"/>
      <c r="L236" s="854"/>
      <c r="M236" s="854"/>
      <c r="N236" s="854"/>
      <c r="O236" s="854"/>
      <c r="P236" s="854"/>
      <c r="Q236" s="854"/>
      <c r="R236" s="854"/>
      <c r="S236" s="854"/>
      <c r="T236" s="854"/>
      <c r="U236" s="854"/>
      <c r="V236" s="854"/>
      <c r="W236" s="854"/>
      <c r="X236" s="854"/>
      <c r="Y236" s="854"/>
      <c r="Z236" s="854"/>
      <c r="AA236" s="854"/>
      <c r="AB236" s="854"/>
      <c r="AC236" s="854"/>
      <c r="AD236" s="854"/>
      <c r="AE236" s="854"/>
      <c r="AF236" s="854"/>
      <c r="AG236" s="854"/>
      <c r="AH236" s="854"/>
      <c r="AI236" s="854"/>
      <c r="AJ236" s="854"/>
      <c r="AK236" s="854"/>
      <c r="AL236" s="854"/>
      <c r="AM236" s="854"/>
      <c r="AN236" s="854"/>
      <c r="AO236" s="854"/>
      <c r="AP236" s="854"/>
      <c r="AQ236" s="854"/>
      <c r="AR236" s="854"/>
      <c r="AS236" s="854"/>
      <c r="AT236" s="854"/>
      <c r="AU236" s="854"/>
      <c r="AV236" s="854"/>
      <c r="AW236" s="854"/>
      <c r="AX236" s="854"/>
      <c r="AY236" s="854"/>
      <c r="AZ236" s="854"/>
      <c r="BA236" s="854"/>
      <c r="BB236" s="854"/>
      <c r="BC236" s="854"/>
      <c r="BD236" s="854"/>
      <c r="BE236" s="854"/>
      <c r="BF236" s="854"/>
      <c r="BG236" s="854"/>
      <c r="BH236" s="854"/>
      <c r="BI236" s="854"/>
      <c r="BJ236" s="854"/>
      <c r="BK236" s="854"/>
      <c r="BL236" s="854"/>
      <c r="BM236" s="854"/>
      <c r="BN236" s="854"/>
      <c r="BO236" s="854"/>
      <c r="BP236" s="854"/>
      <c r="BQ236" s="854"/>
      <c r="BR236" s="854"/>
      <c r="BS236" s="854"/>
      <c r="BT236" s="854"/>
      <c r="BU236" s="854"/>
      <c r="BV236" s="854"/>
      <c r="BW236" s="854"/>
      <c r="BX236" s="854"/>
      <c r="BY236" s="854"/>
      <c r="BZ236" s="854"/>
      <c r="CA236" s="571">
        <f>IF(OR(I236="",I236&lt;'Configs &amp; Procedures'!$L$29),0,IF(I236&gt;'Configs &amp; Procedures'!$L$30,1,IF(F236&gt;'Configs &amp; Procedures'!$L$31,0,1)))</f>
        <v>0</v>
      </c>
    </row>
    <row r="237" spans="2:79">
      <c r="B237" s="854"/>
      <c r="C237" s="854"/>
      <c r="D237" s="854"/>
      <c r="E237" s="854"/>
      <c r="F237" s="854"/>
      <c r="G237" s="854"/>
      <c r="H237" s="854"/>
      <c r="I237" s="854"/>
      <c r="J237" s="854"/>
      <c r="K237" s="854"/>
      <c r="L237" s="854"/>
      <c r="M237" s="854"/>
      <c r="N237" s="854"/>
      <c r="O237" s="854"/>
      <c r="P237" s="854"/>
      <c r="Q237" s="854"/>
      <c r="R237" s="854"/>
      <c r="S237" s="854"/>
      <c r="T237" s="854"/>
      <c r="U237" s="854"/>
      <c r="V237" s="854"/>
      <c r="W237" s="854"/>
      <c r="X237" s="854"/>
      <c r="Y237" s="854"/>
      <c r="Z237" s="854"/>
      <c r="AA237" s="854"/>
      <c r="AB237" s="854"/>
      <c r="AC237" s="854"/>
      <c r="AD237" s="854"/>
      <c r="AE237" s="854"/>
      <c r="AF237" s="854"/>
      <c r="AG237" s="854"/>
      <c r="AH237" s="854"/>
      <c r="AI237" s="854"/>
      <c r="AJ237" s="854"/>
      <c r="AK237" s="854"/>
      <c r="AL237" s="854"/>
      <c r="AM237" s="854"/>
      <c r="AN237" s="854"/>
      <c r="AO237" s="854"/>
      <c r="AP237" s="854"/>
      <c r="AQ237" s="854"/>
      <c r="AR237" s="854"/>
      <c r="AS237" s="854"/>
      <c r="AT237" s="854"/>
      <c r="AU237" s="854"/>
      <c r="AV237" s="854"/>
      <c r="AW237" s="854"/>
      <c r="AX237" s="854"/>
      <c r="AY237" s="854"/>
      <c r="AZ237" s="854"/>
      <c r="BA237" s="854"/>
      <c r="BB237" s="854"/>
      <c r="BC237" s="854"/>
      <c r="BD237" s="854"/>
      <c r="BE237" s="854"/>
      <c r="BF237" s="854"/>
      <c r="BG237" s="854"/>
      <c r="BH237" s="854"/>
      <c r="BI237" s="854"/>
      <c r="BJ237" s="854"/>
      <c r="BK237" s="854"/>
      <c r="BL237" s="854"/>
      <c r="BM237" s="854"/>
      <c r="BN237" s="854"/>
      <c r="BO237" s="854"/>
      <c r="BP237" s="854"/>
      <c r="BQ237" s="854"/>
      <c r="BR237" s="854"/>
      <c r="BS237" s="854"/>
      <c r="BT237" s="854"/>
      <c r="BU237" s="854"/>
      <c r="BV237" s="854"/>
      <c r="BW237" s="854"/>
      <c r="BX237" s="854"/>
      <c r="BY237" s="854"/>
      <c r="BZ237" s="854"/>
      <c r="CA237" s="571">
        <f>IF(OR(I237="",I237&lt;'Configs &amp; Procedures'!$L$29),0,IF(I237&gt;'Configs &amp; Procedures'!$L$30,1,IF(F237&gt;'Configs &amp; Procedures'!$L$31,0,1)))</f>
        <v>0</v>
      </c>
    </row>
    <row r="238" spans="2:79">
      <c r="B238" s="854"/>
      <c r="C238" s="854"/>
      <c r="D238" s="854"/>
      <c r="E238" s="854"/>
      <c r="F238" s="854"/>
      <c r="G238" s="854"/>
      <c r="H238" s="854"/>
      <c r="I238" s="854"/>
      <c r="J238" s="854"/>
      <c r="K238" s="854"/>
      <c r="L238" s="854"/>
      <c r="M238" s="854"/>
      <c r="N238" s="854"/>
      <c r="O238" s="854"/>
      <c r="P238" s="854"/>
      <c r="Q238" s="854"/>
      <c r="R238" s="854"/>
      <c r="S238" s="854"/>
      <c r="T238" s="854"/>
      <c r="U238" s="854"/>
      <c r="V238" s="854"/>
      <c r="W238" s="854"/>
      <c r="X238" s="854"/>
      <c r="Y238" s="854"/>
      <c r="Z238" s="854"/>
      <c r="AA238" s="854"/>
      <c r="AB238" s="854"/>
      <c r="AC238" s="854"/>
      <c r="AD238" s="854"/>
      <c r="AE238" s="854"/>
      <c r="AF238" s="854"/>
      <c r="AG238" s="854"/>
      <c r="AH238" s="854"/>
      <c r="AI238" s="854"/>
      <c r="AJ238" s="854"/>
      <c r="AK238" s="854"/>
      <c r="AL238" s="854"/>
      <c r="AM238" s="854"/>
      <c r="AN238" s="854"/>
      <c r="AO238" s="854"/>
      <c r="AP238" s="854"/>
      <c r="AQ238" s="854"/>
      <c r="AR238" s="854"/>
      <c r="AS238" s="854"/>
      <c r="AT238" s="854"/>
      <c r="AU238" s="854"/>
      <c r="AV238" s="854"/>
      <c r="AW238" s="854"/>
      <c r="AX238" s="854"/>
      <c r="AY238" s="854"/>
      <c r="AZ238" s="854"/>
      <c r="BA238" s="854"/>
      <c r="BB238" s="854"/>
      <c r="BC238" s="854"/>
      <c r="BD238" s="854"/>
      <c r="BE238" s="854"/>
      <c r="BF238" s="854"/>
      <c r="BG238" s="854"/>
      <c r="BH238" s="854"/>
      <c r="BI238" s="854"/>
      <c r="BJ238" s="854"/>
      <c r="BK238" s="854"/>
      <c r="BL238" s="854"/>
      <c r="BM238" s="854"/>
      <c r="BN238" s="854"/>
      <c r="BO238" s="854"/>
      <c r="BP238" s="854"/>
      <c r="BQ238" s="854"/>
      <c r="BR238" s="854"/>
      <c r="BS238" s="854"/>
      <c r="BT238" s="854"/>
      <c r="BU238" s="854"/>
      <c r="BV238" s="854"/>
      <c r="BW238" s="854"/>
      <c r="BX238" s="854"/>
      <c r="BY238" s="854"/>
      <c r="BZ238" s="854"/>
      <c r="CA238" s="571">
        <f>IF(OR(I238="",I238&lt;'Configs &amp; Procedures'!$L$29),0,IF(I238&gt;'Configs &amp; Procedures'!$L$30,1,IF(F238&gt;'Configs &amp; Procedures'!$L$31,0,1)))</f>
        <v>0</v>
      </c>
    </row>
    <row r="239" spans="2:79">
      <c r="B239" s="854"/>
      <c r="C239" s="854"/>
      <c r="D239" s="854"/>
      <c r="E239" s="854"/>
      <c r="F239" s="854"/>
      <c r="G239" s="854"/>
      <c r="H239" s="854"/>
      <c r="I239" s="854"/>
      <c r="J239" s="854"/>
      <c r="K239" s="854"/>
      <c r="L239" s="854"/>
      <c r="M239" s="854"/>
      <c r="N239" s="854"/>
      <c r="O239" s="854"/>
      <c r="P239" s="854"/>
      <c r="Q239" s="854"/>
      <c r="R239" s="854"/>
      <c r="S239" s="854"/>
      <c r="T239" s="854"/>
      <c r="U239" s="854"/>
      <c r="V239" s="854"/>
      <c r="W239" s="854"/>
      <c r="X239" s="854"/>
      <c r="Y239" s="854"/>
      <c r="Z239" s="854"/>
      <c r="AA239" s="854"/>
      <c r="AB239" s="854"/>
      <c r="AC239" s="854"/>
      <c r="AD239" s="854"/>
      <c r="AE239" s="854"/>
      <c r="AF239" s="854"/>
      <c r="AG239" s="854"/>
      <c r="AH239" s="854"/>
      <c r="AI239" s="854"/>
      <c r="AJ239" s="854"/>
      <c r="AK239" s="854"/>
      <c r="AL239" s="854"/>
      <c r="AM239" s="854"/>
      <c r="AN239" s="854"/>
      <c r="AO239" s="854"/>
      <c r="AP239" s="854"/>
      <c r="AQ239" s="854"/>
      <c r="AR239" s="854"/>
      <c r="AS239" s="854"/>
      <c r="AT239" s="854"/>
      <c r="AU239" s="854"/>
      <c r="AV239" s="854"/>
      <c r="AW239" s="854"/>
      <c r="AX239" s="854"/>
      <c r="AY239" s="854"/>
      <c r="AZ239" s="854"/>
      <c r="BA239" s="854"/>
      <c r="BB239" s="854"/>
      <c r="BC239" s="854"/>
      <c r="BD239" s="854"/>
      <c r="BE239" s="854"/>
      <c r="BF239" s="854"/>
      <c r="BG239" s="854"/>
      <c r="BH239" s="854"/>
      <c r="BI239" s="854"/>
      <c r="BJ239" s="854"/>
      <c r="BK239" s="854"/>
      <c r="BL239" s="854"/>
      <c r="BM239" s="854"/>
      <c r="BN239" s="854"/>
      <c r="BO239" s="854"/>
      <c r="BP239" s="854"/>
      <c r="BQ239" s="854"/>
      <c r="BR239" s="854"/>
      <c r="BS239" s="854"/>
      <c r="BT239" s="854"/>
      <c r="BU239" s="854"/>
      <c r="BV239" s="854"/>
      <c r="BW239" s="854"/>
      <c r="BX239" s="854"/>
      <c r="BY239" s="854"/>
      <c r="BZ239" s="854"/>
      <c r="CA239" s="571">
        <f>IF(OR(I239="",I239&lt;'Configs &amp; Procedures'!$L$29),0,IF(I239&gt;'Configs &amp; Procedures'!$L$30,1,IF(F239&gt;'Configs &amp; Procedures'!$L$31,0,1)))</f>
        <v>0</v>
      </c>
    </row>
    <row r="240" spans="2:79">
      <c r="B240" s="854"/>
      <c r="C240" s="854"/>
      <c r="D240" s="854"/>
      <c r="E240" s="854"/>
      <c r="F240" s="854"/>
      <c r="G240" s="854"/>
      <c r="H240" s="854"/>
      <c r="I240" s="854"/>
      <c r="J240" s="854"/>
      <c r="K240" s="854"/>
      <c r="L240" s="854"/>
      <c r="M240" s="854"/>
      <c r="N240" s="854"/>
      <c r="O240" s="854"/>
      <c r="P240" s="854"/>
      <c r="Q240" s="854"/>
      <c r="R240" s="854"/>
      <c r="S240" s="854"/>
      <c r="T240" s="854"/>
      <c r="U240" s="854"/>
      <c r="V240" s="854"/>
      <c r="W240" s="854"/>
      <c r="X240" s="854"/>
      <c r="Y240" s="854"/>
      <c r="Z240" s="854"/>
      <c r="AA240" s="854"/>
      <c r="AB240" s="854"/>
      <c r="AC240" s="854"/>
      <c r="AD240" s="854"/>
      <c r="AE240" s="854"/>
      <c r="AF240" s="854"/>
      <c r="AG240" s="854"/>
      <c r="AH240" s="854"/>
      <c r="AI240" s="854"/>
      <c r="AJ240" s="854"/>
      <c r="AK240" s="854"/>
      <c r="AL240" s="854"/>
      <c r="AM240" s="854"/>
      <c r="AN240" s="854"/>
      <c r="AO240" s="854"/>
      <c r="AP240" s="854"/>
      <c r="AQ240" s="854"/>
      <c r="AR240" s="854"/>
      <c r="AS240" s="854"/>
      <c r="AT240" s="854"/>
      <c r="AU240" s="854"/>
      <c r="AV240" s="854"/>
      <c r="AW240" s="854"/>
      <c r="AX240" s="854"/>
      <c r="AY240" s="854"/>
      <c r="AZ240" s="854"/>
      <c r="BA240" s="854"/>
      <c r="BB240" s="854"/>
      <c r="BC240" s="854"/>
      <c r="BD240" s="854"/>
      <c r="BE240" s="854"/>
      <c r="BF240" s="854"/>
      <c r="BG240" s="854"/>
      <c r="BH240" s="854"/>
      <c r="BI240" s="854"/>
      <c r="BJ240" s="854"/>
      <c r="BK240" s="854"/>
      <c r="BL240" s="854"/>
      <c r="BM240" s="854"/>
      <c r="BN240" s="854"/>
      <c r="BO240" s="854"/>
      <c r="BP240" s="854"/>
      <c r="BQ240" s="854"/>
      <c r="BR240" s="854"/>
      <c r="BS240" s="854"/>
      <c r="BT240" s="854"/>
      <c r="BU240" s="854"/>
      <c r="BV240" s="854"/>
      <c r="BW240" s="854"/>
      <c r="BX240" s="854"/>
      <c r="BY240" s="854"/>
      <c r="BZ240" s="854"/>
      <c r="CA240" s="571">
        <f>IF(OR(I240="",I240&lt;'Configs &amp; Procedures'!$L$29),0,IF(I240&gt;'Configs &amp; Procedures'!$L$30,1,IF(F240&gt;'Configs &amp; Procedures'!$L$31,0,1)))</f>
        <v>0</v>
      </c>
    </row>
    <row r="241" spans="2:79">
      <c r="B241" s="854"/>
      <c r="C241" s="854"/>
      <c r="D241" s="854"/>
      <c r="E241" s="854"/>
      <c r="F241" s="854"/>
      <c r="G241" s="854"/>
      <c r="H241" s="854"/>
      <c r="I241" s="854"/>
      <c r="J241" s="854"/>
      <c r="K241" s="854"/>
      <c r="L241" s="854"/>
      <c r="M241" s="854"/>
      <c r="N241" s="854"/>
      <c r="O241" s="854"/>
      <c r="P241" s="854"/>
      <c r="Q241" s="854"/>
      <c r="R241" s="854"/>
      <c r="S241" s="854"/>
      <c r="T241" s="854"/>
      <c r="U241" s="854"/>
      <c r="V241" s="854"/>
      <c r="W241" s="854"/>
      <c r="X241" s="854"/>
      <c r="Y241" s="854"/>
      <c r="Z241" s="854"/>
      <c r="AA241" s="854"/>
      <c r="AB241" s="854"/>
      <c r="AC241" s="854"/>
      <c r="AD241" s="854"/>
      <c r="AE241" s="854"/>
      <c r="AF241" s="854"/>
      <c r="AG241" s="854"/>
      <c r="AH241" s="854"/>
      <c r="AI241" s="854"/>
      <c r="AJ241" s="854"/>
      <c r="AK241" s="854"/>
      <c r="AL241" s="854"/>
      <c r="AM241" s="854"/>
      <c r="AN241" s="854"/>
      <c r="AO241" s="854"/>
      <c r="AP241" s="854"/>
      <c r="AQ241" s="854"/>
      <c r="AR241" s="854"/>
      <c r="AS241" s="854"/>
      <c r="AT241" s="854"/>
      <c r="AU241" s="854"/>
      <c r="AV241" s="854"/>
      <c r="AW241" s="854"/>
      <c r="AX241" s="854"/>
      <c r="AY241" s="854"/>
      <c r="AZ241" s="854"/>
      <c r="BA241" s="854"/>
      <c r="BB241" s="854"/>
      <c r="BC241" s="854"/>
      <c r="BD241" s="854"/>
      <c r="BE241" s="854"/>
      <c r="BF241" s="854"/>
      <c r="BG241" s="854"/>
      <c r="BH241" s="854"/>
      <c r="BI241" s="854"/>
      <c r="BJ241" s="854"/>
      <c r="BK241" s="854"/>
      <c r="BL241" s="854"/>
      <c r="BM241" s="854"/>
      <c r="BN241" s="854"/>
      <c r="BO241" s="854"/>
      <c r="BP241" s="854"/>
      <c r="BQ241" s="854"/>
      <c r="BR241" s="854"/>
      <c r="BS241" s="854"/>
      <c r="BT241" s="854"/>
      <c r="BU241" s="854"/>
      <c r="BV241" s="854"/>
      <c r="BW241" s="854"/>
      <c r="BX241" s="854"/>
      <c r="BY241" s="854"/>
      <c r="BZ241" s="854"/>
      <c r="CA241" s="571">
        <f>IF(OR(I241="",I241&lt;'Configs &amp; Procedures'!$L$29),0,IF(I241&gt;'Configs &amp; Procedures'!$L$30,1,IF(F241&gt;'Configs &amp; Procedures'!$L$31,0,1)))</f>
        <v>0</v>
      </c>
    </row>
    <row r="242" spans="2:79">
      <c r="B242" s="854"/>
      <c r="C242" s="854"/>
      <c r="D242" s="854"/>
      <c r="E242" s="854"/>
      <c r="F242" s="854"/>
      <c r="G242" s="854"/>
      <c r="H242" s="854"/>
      <c r="I242" s="854"/>
      <c r="J242" s="854"/>
      <c r="K242" s="854"/>
      <c r="L242" s="854"/>
      <c r="M242" s="854"/>
      <c r="N242" s="854"/>
      <c r="O242" s="854"/>
      <c r="P242" s="854"/>
      <c r="Q242" s="854"/>
      <c r="R242" s="854"/>
      <c r="S242" s="854"/>
      <c r="T242" s="854"/>
      <c r="U242" s="854"/>
      <c r="V242" s="854"/>
      <c r="W242" s="854"/>
      <c r="X242" s="854"/>
      <c r="Y242" s="854"/>
      <c r="Z242" s="854"/>
      <c r="AA242" s="854"/>
      <c r="AB242" s="854"/>
      <c r="AC242" s="854"/>
      <c r="AD242" s="854"/>
      <c r="AE242" s="854"/>
      <c r="AF242" s="854"/>
      <c r="AG242" s="854"/>
      <c r="AH242" s="854"/>
      <c r="AI242" s="854"/>
      <c r="AJ242" s="854"/>
      <c r="AK242" s="854"/>
      <c r="AL242" s="854"/>
      <c r="AM242" s="854"/>
      <c r="AN242" s="854"/>
      <c r="AO242" s="854"/>
      <c r="AP242" s="854"/>
      <c r="AQ242" s="854"/>
      <c r="AR242" s="854"/>
      <c r="AS242" s="854"/>
      <c r="AT242" s="854"/>
      <c r="AU242" s="854"/>
      <c r="AV242" s="854"/>
      <c r="AW242" s="854"/>
      <c r="AX242" s="854"/>
      <c r="AY242" s="854"/>
      <c r="AZ242" s="854"/>
      <c r="BA242" s="854"/>
      <c r="BB242" s="854"/>
      <c r="BC242" s="854"/>
      <c r="BD242" s="854"/>
      <c r="BE242" s="854"/>
      <c r="BF242" s="854"/>
      <c r="BG242" s="854"/>
      <c r="BH242" s="854"/>
      <c r="BI242" s="854"/>
      <c r="BJ242" s="854"/>
      <c r="BK242" s="854"/>
      <c r="BL242" s="854"/>
      <c r="BM242" s="854"/>
      <c r="BN242" s="854"/>
      <c r="BO242" s="854"/>
      <c r="BP242" s="854"/>
      <c r="BQ242" s="854"/>
      <c r="BR242" s="854"/>
      <c r="BS242" s="854"/>
      <c r="BT242" s="854"/>
      <c r="BU242" s="854"/>
      <c r="BV242" s="854"/>
      <c r="BW242" s="854"/>
      <c r="BX242" s="854"/>
      <c r="BY242" s="854"/>
      <c r="BZ242" s="854"/>
      <c r="CA242" s="571">
        <f>IF(OR(I242="",I242&lt;'Configs &amp; Procedures'!$L$29),0,IF(I242&gt;'Configs &amp; Procedures'!$L$30,1,IF(F242&gt;'Configs &amp; Procedures'!$L$31,0,1)))</f>
        <v>0</v>
      </c>
    </row>
    <row r="243" spans="2:79">
      <c r="B243" s="854"/>
      <c r="C243" s="854"/>
      <c r="D243" s="854"/>
      <c r="E243" s="854"/>
      <c r="F243" s="854"/>
      <c r="G243" s="854"/>
      <c r="H243" s="854"/>
      <c r="I243" s="854"/>
      <c r="J243" s="854"/>
      <c r="K243" s="854"/>
      <c r="L243" s="854"/>
      <c r="M243" s="854"/>
      <c r="N243" s="854"/>
      <c r="O243" s="854"/>
      <c r="P243" s="854"/>
      <c r="Q243" s="854"/>
      <c r="R243" s="854"/>
      <c r="S243" s="854"/>
      <c r="T243" s="854"/>
      <c r="U243" s="854"/>
      <c r="V243" s="854"/>
      <c r="W243" s="854"/>
      <c r="X243" s="854"/>
      <c r="Y243" s="854"/>
      <c r="Z243" s="854"/>
      <c r="AA243" s="854"/>
      <c r="AB243" s="854"/>
      <c r="AC243" s="854"/>
      <c r="AD243" s="854"/>
      <c r="AE243" s="854"/>
      <c r="AF243" s="854"/>
      <c r="AG243" s="854"/>
      <c r="AH243" s="854"/>
      <c r="AI243" s="854"/>
      <c r="AJ243" s="854"/>
      <c r="AK243" s="854"/>
      <c r="AL243" s="854"/>
      <c r="AM243" s="854"/>
      <c r="AN243" s="854"/>
      <c r="AO243" s="854"/>
      <c r="AP243" s="854"/>
      <c r="AQ243" s="854"/>
      <c r="AR243" s="854"/>
      <c r="AS243" s="854"/>
      <c r="AT243" s="854"/>
      <c r="AU243" s="854"/>
      <c r="AV243" s="854"/>
      <c r="AW243" s="854"/>
      <c r="AX243" s="854"/>
      <c r="AY243" s="854"/>
      <c r="AZ243" s="854"/>
      <c r="BA243" s="854"/>
      <c r="BB243" s="854"/>
      <c r="BC243" s="854"/>
      <c r="BD243" s="854"/>
      <c r="BE243" s="854"/>
      <c r="BF243" s="854"/>
      <c r="BG243" s="854"/>
      <c r="BH243" s="854"/>
      <c r="BI243" s="854"/>
      <c r="BJ243" s="854"/>
      <c r="BK243" s="854"/>
      <c r="BL243" s="854"/>
      <c r="BM243" s="854"/>
      <c r="BN243" s="854"/>
      <c r="BO243" s="854"/>
      <c r="BP243" s="854"/>
      <c r="BQ243" s="854"/>
      <c r="BR243" s="854"/>
      <c r="BS243" s="854"/>
      <c r="BT243" s="854"/>
      <c r="BU243" s="854"/>
      <c r="BV243" s="854"/>
      <c r="BW243" s="854"/>
      <c r="BX243" s="854"/>
      <c r="BY243" s="854"/>
      <c r="BZ243" s="854"/>
      <c r="CA243" s="571">
        <f>IF(OR(I243="",I243&lt;'Configs &amp; Procedures'!$L$29),0,IF(I243&gt;'Configs &amp; Procedures'!$L$30,1,IF(F243&gt;'Configs &amp; Procedures'!$L$31,0,1)))</f>
        <v>0</v>
      </c>
    </row>
    <row r="244" spans="2:79">
      <c r="B244" s="854"/>
      <c r="C244" s="854"/>
      <c r="D244" s="854"/>
      <c r="E244" s="854"/>
      <c r="F244" s="854"/>
      <c r="G244" s="854"/>
      <c r="H244" s="854"/>
      <c r="I244" s="854"/>
      <c r="J244" s="854"/>
      <c r="K244" s="854"/>
      <c r="L244" s="854"/>
      <c r="M244" s="854"/>
      <c r="N244" s="854"/>
      <c r="O244" s="854"/>
      <c r="P244" s="854"/>
      <c r="Q244" s="854"/>
      <c r="R244" s="854"/>
      <c r="S244" s="854"/>
      <c r="T244" s="854"/>
      <c r="U244" s="854"/>
      <c r="V244" s="854"/>
      <c r="W244" s="854"/>
      <c r="X244" s="854"/>
      <c r="Y244" s="854"/>
      <c r="Z244" s="854"/>
      <c r="AA244" s="854"/>
      <c r="AB244" s="854"/>
      <c r="AC244" s="854"/>
      <c r="AD244" s="854"/>
      <c r="AE244" s="854"/>
      <c r="AF244" s="854"/>
      <c r="AG244" s="854"/>
      <c r="AH244" s="854"/>
      <c r="AI244" s="854"/>
      <c r="AJ244" s="854"/>
      <c r="AK244" s="854"/>
      <c r="AL244" s="854"/>
      <c r="AM244" s="854"/>
      <c r="AN244" s="854"/>
      <c r="AO244" s="854"/>
      <c r="AP244" s="854"/>
      <c r="AQ244" s="854"/>
      <c r="AR244" s="854"/>
      <c r="AS244" s="854"/>
      <c r="AT244" s="854"/>
      <c r="AU244" s="854"/>
      <c r="AV244" s="854"/>
      <c r="AW244" s="854"/>
      <c r="AX244" s="854"/>
      <c r="AY244" s="854"/>
      <c r="AZ244" s="854"/>
      <c r="BA244" s="854"/>
      <c r="BB244" s="854"/>
      <c r="BC244" s="854"/>
      <c r="BD244" s="854"/>
      <c r="BE244" s="854"/>
      <c r="BF244" s="854"/>
      <c r="BG244" s="854"/>
      <c r="BH244" s="854"/>
      <c r="BI244" s="854"/>
      <c r="BJ244" s="854"/>
      <c r="BK244" s="854"/>
      <c r="BL244" s="854"/>
      <c r="BM244" s="854"/>
      <c r="BN244" s="854"/>
      <c r="BO244" s="854"/>
      <c r="BP244" s="854"/>
      <c r="BQ244" s="854"/>
      <c r="BR244" s="854"/>
      <c r="BS244" s="854"/>
      <c r="BT244" s="854"/>
      <c r="BU244" s="854"/>
      <c r="BV244" s="854"/>
      <c r="BW244" s="854"/>
      <c r="BX244" s="854"/>
      <c r="BY244" s="854"/>
      <c r="BZ244" s="854"/>
      <c r="CA244" s="571">
        <f>IF(OR(I244="",I244&lt;'Configs &amp; Procedures'!$L$29),0,IF(I244&gt;'Configs &amp; Procedures'!$L$30,1,IF(F244&gt;'Configs &amp; Procedures'!$L$31,0,1)))</f>
        <v>0</v>
      </c>
    </row>
    <row r="245" spans="2:79">
      <c r="B245" s="854"/>
      <c r="C245" s="854"/>
      <c r="D245" s="854"/>
      <c r="E245" s="854"/>
      <c r="F245" s="854"/>
      <c r="G245" s="854"/>
      <c r="H245" s="854"/>
      <c r="I245" s="854"/>
      <c r="J245" s="854"/>
      <c r="K245" s="854"/>
      <c r="L245" s="854"/>
      <c r="M245" s="854"/>
      <c r="N245" s="854"/>
      <c r="O245" s="854"/>
      <c r="P245" s="854"/>
      <c r="Q245" s="854"/>
      <c r="R245" s="854"/>
      <c r="S245" s="854"/>
      <c r="T245" s="854"/>
      <c r="U245" s="854"/>
      <c r="V245" s="854"/>
      <c r="W245" s="854"/>
      <c r="X245" s="854"/>
      <c r="Y245" s="854"/>
      <c r="Z245" s="854"/>
      <c r="AA245" s="854"/>
      <c r="AB245" s="854"/>
      <c r="AC245" s="854"/>
      <c r="AD245" s="854"/>
      <c r="AE245" s="854"/>
      <c r="AF245" s="854"/>
      <c r="AG245" s="854"/>
      <c r="AH245" s="854"/>
      <c r="AI245" s="854"/>
      <c r="AJ245" s="854"/>
      <c r="AK245" s="854"/>
      <c r="AL245" s="854"/>
      <c r="AM245" s="854"/>
      <c r="AN245" s="854"/>
      <c r="AO245" s="854"/>
      <c r="AP245" s="854"/>
      <c r="AQ245" s="854"/>
      <c r="AR245" s="854"/>
      <c r="AS245" s="854"/>
      <c r="AT245" s="854"/>
      <c r="AU245" s="854"/>
      <c r="AV245" s="854"/>
      <c r="AW245" s="854"/>
      <c r="AX245" s="854"/>
      <c r="AY245" s="854"/>
      <c r="AZ245" s="854"/>
      <c r="BA245" s="854"/>
      <c r="BB245" s="854"/>
      <c r="BC245" s="854"/>
      <c r="BD245" s="854"/>
      <c r="BE245" s="854"/>
      <c r="BF245" s="854"/>
      <c r="BG245" s="854"/>
      <c r="BH245" s="854"/>
      <c r="BI245" s="854"/>
      <c r="BJ245" s="854"/>
      <c r="BK245" s="854"/>
      <c r="BL245" s="854"/>
      <c r="BM245" s="854"/>
      <c r="BN245" s="854"/>
      <c r="BO245" s="854"/>
      <c r="BP245" s="854"/>
      <c r="BQ245" s="854"/>
      <c r="BR245" s="854"/>
      <c r="BS245" s="854"/>
      <c r="BT245" s="854"/>
      <c r="BU245" s="854"/>
      <c r="BV245" s="854"/>
      <c r="BW245" s="854"/>
      <c r="BX245" s="854"/>
      <c r="BY245" s="854"/>
      <c r="BZ245" s="854"/>
      <c r="CA245" s="571">
        <f>IF(OR(I245="",I245&lt;'Configs &amp; Procedures'!$L$29),0,IF(I245&gt;'Configs &amp; Procedures'!$L$30,1,IF(F245&gt;'Configs &amp; Procedures'!$L$31,0,1)))</f>
        <v>0</v>
      </c>
    </row>
    <row r="246" spans="2:79">
      <c r="B246" s="854"/>
      <c r="C246" s="854"/>
      <c r="D246" s="854"/>
      <c r="E246" s="854"/>
      <c r="F246" s="854"/>
      <c r="G246" s="854"/>
      <c r="H246" s="854"/>
      <c r="I246" s="854"/>
      <c r="J246" s="854"/>
      <c r="K246" s="854"/>
      <c r="L246" s="854"/>
      <c r="M246" s="854"/>
      <c r="N246" s="854"/>
      <c r="O246" s="854"/>
      <c r="P246" s="854"/>
      <c r="Q246" s="854"/>
      <c r="R246" s="854"/>
      <c r="S246" s="854"/>
      <c r="T246" s="854"/>
      <c r="U246" s="854"/>
      <c r="V246" s="854"/>
      <c r="W246" s="854"/>
      <c r="X246" s="854"/>
      <c r="Y246" s="854"/>
      <c r="Z246" s="854"/>
      <c r="AA246" s="854"/>
      <c r="AB246" s="854"/>
      <c r="AC246" s="854"/>
      <c r="AD246" s="854"/>
      <c r="AE246" s="854"/>
      <c r="AF246" s="854"/>
      <c r="AG246" s="854"/>
      <c r="AH246" s="854"/>
      <c r="AI246" s="854"/>
      <c r="AJ246" s="854"/>
      <c r="AK246" s="854"/>
      <c r="AL246" s="854"/>
      <c r="AM246" s="854"/>
      <c r="AN246" s="854"/>
      <c r="AO246" s="854"/>
      <c r="AP246" s="854"/>
      <c r="AQ246" s="854"/>
      <c r="AR246" s="854"/>
      <c r="AS246" s="854"/>
      <c r="AT246" s="854"/>
      <c r="AU246" s="854"/>
      <c r="AV246" s="854"/>
      <c r="AW246" s="854"/>
      <c r="AX246" s="854"/>
      <c r="AY246" s="854"/>
      <c r="AZ246" s="854"/>
      <c r="BA246" s="854"/>
      <c r="BB246" s="854"/>
      <c r="BC246" s="854"/>
      <c r="BD246" s="854"/>
      <c r="BE246" s="854"/>
      <c r="BF246" s="854"/>
      <c r="BG246" s="854"/>
      <c r="BH246" s="854"/>
      <c r="BI246" s="854"/>
      <c r="BJ246" s="854"/>
      <c r="BK246" s="854"/>
      <c r="BL246" s="854"/>
      <c r="BM246" s="854"/>
      <c r="BN246" s="854"/>
      <c r="BO246" s="854"/>
      <c r="BP246" s="854"/>
      <c r="BQ246" s="854"/>
      <c r="BR246" s="854"/>
      <c r="BS246" s="854"/>
      <c r="BT246" s="854"/>
      <c r="BU246" s="854"/>
      <c r="BV246" s="854"/>
      <c r="BW246" s="854"/>
      <c r="BX246" s="854"/>
      <c r="BY246" s="854"/>
      <c r="BZ246" s="854"/>
      <c r="CA246" s="571">
        <f>IF(OR(I246="",I246&lt;'Configs &amp; Procedures'!$L$29),0,IF(I246&gt;'Configs &amp; Procedures'!$L$30,1,IF(F246&gt;'Configs &amp; Procedures'!$L$31,0,1)))</f>
        <v>0</v>
      </c>
    </row>
    <row r="247" spans="2:79">
      <c r="B247" s="854"/>
      <c r="C247" s="854"/>
      <c r="D247" s="854"/>
      <c r="E247" s="854"/>
      <c r="F247" s="854"/>
      <c r="G247" s="854"/>
      <c r="H247" s="854"/>
      <c r="I247" s="854"/>
      <c r="J247" s="854"/>
      <c r="K247" s="854"/>
      <c r="L247" s="854"/>
      <c r="M247" s="854"/>
      <c r="N247" s="854"/>
      <c r="O247" s="854"/>
      <c r="P247" s="854"/>
      <c r="Q247" s="854"/>
      <c r="R247" s="854"/>
      <c r="S247" s="854"/>
      <c r="T247" s="854"/>
      <c r="U247" s="854"/>
      <c r="V247" s="854"/>
      <c r="W247" s="854"/>
      <c r="X247" s="854"/>
      <c r="Y247" s="854"/>
      <c r="Z247" s="854"/>
      <c r="AA247" s="854"/>
      <c r="AB247" s="854"/>
      <c r="AC247" s="854"/>
      <c r="AD247" s="854"/>
      <c r="AE247" s="854"/>
      <c r="AF247" s="854"/>
      <c r="AG247" s="854"/>
      <c r="AH247" s="854"/>
      <c r="AI247" s="854"/>
      <c r="AJ247" s="854"/>
      <c r="AK247" s="854"/>
      <c r="AL247" s="854"/>
      <c r="AM247" s="854"/>
      <c r="AN247" s="854"/>
      <c r="AO247" s="854"/>
      <c r="AP247" s="854"/>
      <c r="AQ247" s="854"/>
      <c r="AR247" s="854"/>
      <c r="AS247" s="854"/>
      <c r="AT247" s="854"/>
      <c r="AU247" s="854"/>
      <c r="AV247" s="854"/>
      <c r="AW247" s="854"/>
      <c r="AX247" s="854"/>
      <c r="AY247" s="854"/>
      <c r="AZ247" s="854"/>
      <c r="BA247" s="854"/>
      <c r="BB247" s="854"/>
      <c r="BC247" s="854"/>
      <c r="BD247" s="854"/>
      <c r="BE247" s="854"/>
      <c r="BF247" s="854"/>
      <c r="BG247" s="854"/>
      <c r="BH247" s="854"/>
      <c r="BI247" s="854"/>
      <c r="BJ247" s="854"/>
      <c r="BK247" s="854"/>
      <c r="BL247" s="854"/>
      <c r="BM247" s="854"/>
      <c r="BN247" s="854"/>
      <c r="BO247" s="854"/>
      <c r="BP247" s="854"/>
      <c r="BQ247" s="854"/>
      <c r="BR247" s="854"/>
      <c r="BS247" s="854"/>
      <c r="BT247" s="854"/>
      <c r="BU247" s="854"/>
      <c r="BV247" s="854"/>
      <c r="BW247" s="854"/>
      <c r="BX247" s="854"/>
      <c r="BY247" s="854"/>
      <c r="BZ247" s="854"/>
      <c r="CA247" s="571">
        <f>IF(OR(I247="",I247&lt;'Configs &amp; Procedures'!$L$29),0,IF(I247&gt;'Configs &amp; Procedures'!$L$30,1,IF(F247&gt;'Configs &amp; Procedures'!$L$31,0,1)))</f>
        <v>0</v>
      </c>
    </row>
    <row r="248" spans="2:79">
      <c r="B248" s="854"/>
      <c r="C248" s="854"/>
      <c r="D248" s="854"/>
      <c r="E248" s="854"/>
      <c r="F248" s="854"/>
      <c r="G248" s="854"/>
      <c r="H248" s="854"/>
      <c r="I248" s="854"/>
      <c r="J248" s="854"/>
      <c r="K248" s="854"/>
      <c r="L248" s="854"/>
      <c r="M248" s="854"/>
      <c r="N248" s="854"/>
      <c r="O248" s="854"/>
      <c r="P248" s="854"/>
      <c r="Q248" s="854"/>
      <c r="R248" s="854"/>
      <c r="S248" s="854"/>
      <c r="T248" s="854"/>
      <c r="U248" s="854"/>
      <c r="V248" s="854"/>
      <c r="W248" s="854"/>
      <c r="X248" s="854"/>
      <c r="Y248" s="854"/>
      <c r="Z248" s="854"/>
      <c r="AA248" s="854"/>
      <c r="AB248" s="854"/>
      <c r="AC248" s="854"/>
      <c r="AD248" s="854"/>
      <c r="AE248" s="854"/>
      <c r="AF248" s="854"/>
      <c r="AG248" s="854"/>
      <c r="AH248" s="854"/>
      <c r="AI248" s="854"/>
      <c r="AJ248" s="854"/>
      <c r="AK248" s="854"/>
      <c r="AL248" s="854"/>
      <c r="AM248" s="854"/>
      <c r="AN248" s="854"/>
      <c r="AO248" s="854"/>
      <c r="AP248" s="854"/>
      <c r="AQ248" s="854"/>
      <c r="AR248" s="854"/>
      <c r="AS248" s="854"/>
      <c r="AT248" s="854"/>
      <c r="AU248" s="854"/>
      <c r="AV248" s="854"/>
      <c r="AW248" s="854"/>
      <c r="AX248" s="854"/>
      <c r="AY248" s="854"/>
      <c r="AZ248" s="854"/>
      <c r="BA248" s="854"/>
      <c r="BB248" s="854"/>
      <c r="BC248" s="854"/>
      <c r="BD248" s="854"/>
      <c r="BE248" s="854"/>
      <c r="BF248" s="854"/>
      <c r="BG248" s="854"/>
      <c r="BH248" s="854"/>
      <c r="BI248" s="854"/>
      <c r="BJ248" s="854"/>
      <c r="BK248" s="854"/>
      <c r="BL248" s="854"/>
      <c r="BM248" s="854"/>
      <c r="BN248" s="854"/>
      <c r="BO248" s="854"/>
      <c r="BP248" s="854"/>
      <c r="BQ248" s="854"/>
      <c r="BR248" s="854"/>
      <c r="BS248" s="854"/>
      <c r="BT248" s="854"/>
      <c r="BU248" s="854"/>
      <c r="BV248" s="854"/>
      <c r="BW248" s="854"/>
      <c r="BX248" s="854"/>
      <c r="BY248" s="854"/>
      <c r="BZ248" s="854"/>
      <c r="CA248" s="571">
        <f>IF(OR(I248="",I248&lt;'Configs &amp; Procedures'!$L$29),0,IF(I248&gt;'Configs &amp; Procedures'!$L$30,1,IF(F248&gt;'Configs &amp; Procedures'!$L$31,0,1)))</f>
        <v>0</v>
      </c>
    </row>
    <row r="249" spans="2:79">
      <c r="B249" s="854"/>
      <c r="C249" s="854"/>
      <c r="D249" s="854"/>
      <c r="E249" s="854"/>
      <c r="F249" s="854"/>
      <c r="G249" s="854"/>
      <c r="H249" s="854"/>
      <c r="I249" s="854"/>
      <c r="J249" s="854"/>
      <c r="K249" s="854"/>
      <c r="L249" s="854"/>
      <c r="M249" s="854"/>
      <c r="N249" s="854"/>
      <c r="O249" s="854"/>
      <c r="P249" s="854"/>
      <c r="Q249" s="854"/>
      <c r="R249" s="854"/>
      <c r="S249" s="854"/>
      <c r="T249" s="854"/>
      <c r="U249" s="854"/>
      <c r="V249" s="854"/>
      <c r="W249" s="854"/>
      <c r="X249" s="854"/>
      <c r="Y249" s="854"/>
      <c r="Z249" s="854"/>
      <c r="AA249" s="854"/>
      <c r="AB249" s="854"/>
      <c r="AC249" s="854"/>
      <c r="AD249" s="854"/>
      <c r="AE249" s="854"/>
      <c r="AF249" s="854"/>
      <c r="AG249" s="854"/>
      <c r="AH249" s="854"/>
      <c r="AI249" s="854"/>
      <c r="AJ249" s="854"/>
      <c r="AK249" s="854"/>
      <c r="AL249" s="854"/>
      <c r="AM249" s="854"/>
      <c r="AN249" s="854"/>
      <c r="AO249" s="854"/>
      <c r="AP249" s="854"/>
      <c r="AQ249" s="854"/>
      <c r="AR249" s="854"/>
      <c r="AS249" s="854"/>
      <c r="AT249" s="854"/>
      <c r="AU249" s="854"/>
      <c r="AV249" s="854"/>
      <c r="AW249" s="854"/>
      <c r="AX249" s="854"/>
      <c r="AY249" s="854"/>
      <c r="AZ249" s="854"/>
      <c r="BA249" s="854"/>
      <c r="BB249" s="854"/>
      <c r="BC249" s="854"/>
      <c r="BD249" s="854"/>
      <c r="BE249" s="854"/>
      <c r="BF249" s="854"/>
      <c r="BG249" s="854"/>
      <c r="BH249" s="854"/>
      <c r="BI249" s="854"/>
      <c r="BJ249" s="854"/>
      <c r="BK249" s="854"/>
      <c r="BL249" s="854"/>
      <c r="BM249" s="854"/>
      <c r="BN249" s="854"/>
      <c r="BO249" s="854"/>
      <c r="BP249" s="854"/>
      <c r="BQ249" s="854"/>
      <c r="BR249" s="854"/>
      <c r="BS249" s="854"/>
      <c r="BT249" s="854"/>
      <c r="BU249" s="854"/>
      <c r="BV249" s="854"/>
      <c r="BW249" s="854"/>
      <c r="BX249" s="854"/>
      <c r="BY249" s="854"/>
      <c r="BZ249" s="854"/>
      <c r="CA249" s="571">
        <f>IF(OR(I249="",I249&lt;'Configs &amp; Procedures'!$L$29),0,IF(I249&gt;'Configs &amp; Procedures'!$L$30,1,IF(F249&gt;'Configs &amp; Procedures'!$L$31,0,1)))</f>
        <v>0</v>
      </c>
    </row>
    <row r="250" spans="2:79">
      <c r="B250" s="854"/>
      <c r="C250" s="854"/>
      <c r="D250" s="854"/>
      <c r="E250" s="854"/>
      <c r="F250" s="854"/>
      <c r="G250" s="854"/>
      <c r="H250" s="854"/>
      <c r="I250" s="854"/>
      <c r="J250" s="854"/>
      <c r="K250" s="854"/>
      <c r="L250" s="854"/>
      <c r="M250" s="854"/>
      <c r="N250" s="854"/>
      <c r="O250" s="854"/>
      <c r="P250" s="854"/>
      <c r="Q250" s="854"/>
      <c r="R250" s="854"/>
      <c r="S250" s="854"/>
      <c r="T250" s="854"/>
      <c r="U250" s="854"/>
      <c r="V250" s="854"/>
      <c r="W250" s="854"/>
      <c r="X250" s="854"/>
      <c r="Y250" s="854"/>
      <c r="Z250" s="854"/>
      <c r="AA250" s="854"/>
      <c r="AB250" s="854"/>
      <c r="AC250" s="854"/>
      <c r="AD250" s="854"/>
      <c r="AE250" s="854"/>
      <c r="AF250" s="854"/>
      <c r="AG250" s="854"/>
      <c r="AH250" s="854"/>
      <c r="AI250" s="854"/>
      <c r="AJ250" s="854"/>
      <c r="AK250" s="854"/>
      <c r="AL250" s="854"/>
      <c r="AM250" s="854"/>
      <c r="AN250" s="854"/>
      <c r="AO250" s="854"/>
      <c r="AP250" s="854"/>
      <c r="AQ250" s="854"/>
      <c r="AR250" s="854"/>
      <c r="AS250" s="854"/>
      <c r="AT250" s="854"/>
      <c r="AU250" s="854"/>
      <c r="AV250" s="854"/>
      <c r="AW250" s="854"/>
      <c r="AX250" s="854"/>
      <c r="AY250" s="854"/>
      <c r="AZ250" s="854"/>
      <c r="BA250" s="854"/>
      <c r="BB250" s="854"/>
      <c r="BC250" s="854"/>
      <c r="BD250" s="854"/>
      <c r="BE250" s="854"/>
      <c r="BF250" s="854"/>
      <c r="BG250" s="854"/>
      <c r="BH250" s="854"/>
      <c r="BI250" s="854"/>
      <c r="BJ250" s="854"/>
      <c r="BK250" s="854"/>
      <c r="BL250" s="854"/>
      <c r="BM250" s="854"/>
      <c r="BN250" s="854"/>
      <c r="BO250" s="854"/>
      <c r="BP250" s="854"/>
      <c r="BQ250" s="854"/>
      <c r="BR250" s="854"/>
      <c r="BS250" s="854"/>
      <c r="BT250" s="854"/>
      <c r="BU250" s="854"/>
      <c r="BV250" s="854"/>
      <c r="BW250" s="854"/>
      <c r="BX250" s="854"/>
      <c r="BY250" s="854"/>
      <c r="BZ250" s="854"/>
      <c r="CA250" s="571">
        <f>IF(OR(I250="",I250&lt;'Configs &amp; Procedures'!$L$29),0,IF(I250&gt;'Configs &amp; Procedures'!$L$30,1,IF(F250&gt;'Configs &amp; Procedures'!$L$31,0,1)))</f>
        <v>0</v>
      </c>
    </row>
    <row r="251" spans="2:79">
      <c r="B251" s="854"/>
      <c r="C251" s="854"/>
      <c r="D251" s="854"/>
      <c r="E251" s="854"/>
      <c r="F251" s="854"/>
      <c r="G251" s="854"/>
      <c r="H251" s="854"/>
      <c r="I251" s="854"/>
      <c r="J251" s="854"/>
      <c r="K251" s="854"/>
      <c r="L251" s="854"/>
      <c r="M251" s="854"/>
      <c r="N251" s="854"/>
      <c r="O251" s="854"/>
      <c r="P251" s="854"/>
      <c r="Q251" s="854"/>
      <c r="R251" s="854"/>
      <c r="S251" s="854"/>
      <c r="T251" s="854"/>
      <c r="U251" s="854"/>
      <c r="V251" s="854"/>
      <c r="W251" s="854"/>
      <c r="X251" s="854"/>
      <c r="Y251" s="854"/>
      <c r="Z251" s="854"/>
      <c r="AA251" s="854"/>
      <c r="AB251" s="854"/>
      <c r="AC251" s="854"/>
      <c r="AD251" s="854"/>
      <c r="AE251" s="854"/>
      <c r="AF251" s="854"/>
      <c r="AG251" s="854"/>
      <c r="AH251" s="854"/>
      <c r="AI251" s="854"/>
      <c r="AJ251" s="854"/>
      <c r="AK251" s="854"/>
      <c r="AL251" s="854"/>
      <c r="AM251" s="854"/>
      <c r="AN251" s="854"/>
      <c r="AO251" s="854"/>
      <c r="AP251" s="854"/>
      <c r="AQ251" s="854"/>
      <c r="AR251" s="854"/>
      <c r="AS251" s="854"/>
      <c r="AT251" s="854"/>
      <c r="AU251" s="854"/>
      <c r="AV251" s="854"/>
      <c r="AW251" s="854"/>
      <c r="AX251" s="854"/>
      <c r="AY251" s="854"/>
      <c r="AZ251" s="854"/>
      <c r="BA251" s="854"/>
      <c r="BB251" s="854"/>
      <c r="BC251" s="854"/>
      <c r="BD251" s="854"/>
      <c r="BE251" s="854"/>
      <c r="BF251" s="854"/>
      <c r="BG251" s="854"/>
      <c r="BH251" s="854"/>
      <c r="BI251" s="854"/>
      <c r="BJ251" s="854"/>
      <c r="BK251" s="854"/>
      <c r="BL251" s="854"/>
      <c r="BM251" s="854"/>
      <c r="BN251" s="854"/>
      <c r="BO251" s="854"/>
      <c r="BP251" s="854"/>
      <c r="BQ251" s="854"/>
      <c r="BR251" s="854"/>
      <c r="BS251" s="854"/>
      <c r="BT251" s="854"/>
      <c r="BU251" s="854"/>
      <c r="BV251" s="854"/>
      <c r="BW251" s="854"/>
      <c r="BX251" s="854"/>
      <c r="BY251" s="854"/>
      <c r="BZ251" s="854"/>
      <c r="CA251" s="571">
        <f>IF(OR(I251="",I251&lt;'Configs &amp; Procedures'!$L$29),0,IF(I251&gt;'Configs &amp; Procedures'!$L$30,1,IF(F251&gt;'Configs &amp; Procedures'!$L$31,0,1)))</f>
        <v>0</v>
      </c>
    </row>
    <row r="252" spans="2:79">
      <c r="B252" s="854"/>
      <c r="C252" s="854"/>
      <c r="D252" s="854"/>
      <c r="E252" s="854"/>
      <c r="F252" s="854"/>
      <c r="G252" s="854"/>
      <c r="H252" s="854"/>
      <c r="I252" s="854"/>
      <c r="J252" s="854"/>
      <c r="K252" s="854"/>
      <c r="L252" s="854"/>
      <c r="M252" s="854"/>
      <c r="N252" s="854"/>
      <c r="O252" s="854"/>
      <c r="P252" s="854"/>
      <c r="Q252" s="854"/>
      <c r="R252" s="854"/>
      <c r="S252" s="854"/>
      <c r="T252" s="854"/>
      <c r="U252" s="854"/>
      <c r="V252" s="854"/>
      <c r="W252" s="854"/>
      <c r="X252" s="854"/>
      <c r="Y252" s="854"/>
      <c r="Z252" s="854"/>
      <c r="AA252" s="854"/>
      <c r="AB252" s="854"/>
      <c r="AC252" s="854"/>
      <c r="AD252" s="854"/>
      <c r="AE252" s="854"/>
      <c r="AF252" s="854"/>
      <c r="AG252" s="854"/>
      <c r="AH252" s="854"/>
      <c r="AI252" s="854"/>
      <c r="AJ252" s="854"/>
      <c r="AK252" s="854"/>
      <c r="AL252" s="854"/>
      <c r="AM252" s="854"/>
      <c r="AN252" s="854"/>
      <c r="AO252" s="854"/>
      <c r="AP252" s="854"/>
      <c r="AQ252" s="854"/>
      <c r="AR252" s="854"/>
      <c r="AS252" s="854"/>
      <c r="AT252" s="854"/>
      <c r="AU252" s="854"/>
      <c r="AV252" s="854"/>
      <c r="AW252" s="854"/>
      <c r="AX252" s="854"/>
      <c r="AY252" s="854"/>
      <c r="AZ252" s="854"/>
      <c r="BA252" s="854"/>
      <c r="BB252" s="854"/>
      <c r="BC252" s="854"/>
      <c r="BD252" s="854"/>
      <c r="BE252" s="854"/>
      <c r="BF252" s="854"/>
      <c r="BG252" s="854"/>
      <c r="BH252" s="854"/>
      <c r="BI252" s="854"/>
      <c r="BJ252" s="854"/>
      <c r="BK252" s="854"/>
      <c r="BL252" s="854"/>
      <c r="BM252" s="854"/>
      <c r="BN252" s="854"/>
      <c r="BO252" s="854"/>
      <c r="BP252" s="854"/>
      <c r="BQ252" s="854"/>
      <c r="BR252" s="854"/>
      <c r="BS252" s="854"/>
      <c r="BT252" s="854"/>
      <c r="BU252" s="854"/>
      <c r="BV252" s="854"/>
      <c r="BW252" s="854"/>
      <c r="BX252" s="854"/>
      <c r="BY252" s="854"/>
      <c r="BZ252" s="854"/>
      <c r="CA252" s="571">
        <f>IF(OR(I252="",I252&lt;'Configs &amp; Procedures'!$L$29),0,IF(I252&gt;'Configs &amp; Procedures'!$L$30,1,IF(F252&gt;'Configs &amp; Procedures'!$L$31,0,1)))</f>
        <v>0</v>
      </c>
    </row>
    <row r="253" spans="2:79">
      <c r="B253" s="854"/>
      <c r="C253" s="854"/>
      <c r="D253" s="854"/>
      <c r="E253" s="854"/>
      <c r="F253" s="854"/>
      <c r="G253" s="854"/>
      <c r="H253" s="854"/>
      <c r="I253" s="854"/>
      <c r="J253" s="854"/>
      <c r="K253" s="854"/>
      <c r="L253" s="854"/>
      <c r="M253" s="854"/>
      <c r="N253" s="854"/>
      <c r="O253" s="854"/>
      <c r="P253" s="854"/>
      <c r="Q253" s="854"/>
      <c r="R253" s="854"/>
      <c r="S253" s="854"/>
      <c r="T253" s="854"/>
      <c r="U253" s="854"/>
      <c r="V253" s="854"/>
      <c r="W253" s="854"/>
      <c r="X253" s="854"/>
      <c r="Y253" s="854"/>
      <c r="Z253" s="854"/>
      <c r="AA253" s="854"/>
      <c r="AB253" s="854"/>
      <c r="AC253" s="854"/>
      <c r="AD253" s="854"/>
      <c r="AE253" s="854"/>
      <c r="AF253" s="854"/>
      <c r="AG253" s="854"/>
      <c r="AH253" s="854"/>
      <c r="AI253" s="854"/>
      <c r="AJ253" s="854"/>
      <c r="AK253" s="854"/>
      <c r="AL253" s="854"/>
      <c r="AM253" s="854"/>
      <c r="AN253" s="854"/>
      <c r="AO253" s="854"/>
      <c r="AP253" s="854"/>
      <c r="AQ253" s="854"/>
      <c r="AR253" s="854"/>
      <c r="AS253" s="854"/>
      <c r="AT253" s="854"/>
      <c r="AU253" s="854"/>
      <c r="AV253" s="854"/>
      <c r="AW253" s="854"/>
      <c r="AX253" s="854"/>
      <c r="AY253" s="854"/>
      <c r="AZ253" s="854"/>
      <c r="BA253" s="854"/>
      <c r="BB253" s="854"/>
      <c r="BC253" s="854"/>
      <c r="BD253" s="854"/>
      <c r="BE253" s="854"/>
      <c r="BF253" s="854"/>
      <c r="BG253" s="854"/>
      <c r="BH253" s="854"/>
      <c r="BI253" s="854"/>
      <c r="BJ253" s="854"/>
      <c r="BK253" s="854"/>
      <c r="BL253" s="854"/>
      <c r="BM253" s="854"/>
      <c r="BN253" s="854"/>
      <c r="BO253" s="854"/>
      <c r="BP253" s="854"/>
      <c r="BQ253" s="854"/>
      <c r="BR253" s="854"/>
      <c r="BS253" s="854"/>
      <c r="BT253" s="854"/>
      <c r="BU253" s="854"/>
      <c r="BV253" s="854"/>
      <c r="BW253" s="854"/>
      <c r="BX253" s="854"/>
      <c r="BY253" s="854"/>
      <c r="BZ253" s="854"/>
      <c r="CA253" s="571">
        <f>IF(OR(I253="",I253&lt;'Configs &amp; Procedures'!$L$29),0,IF(I253&gt;'Configs &amp; Procedures'!$L$30,1,IF(F253&gt;'Configs &amp; Procedures'!$L$31,0,1)))</f>
        <v>0</v>
      </c>
    </row>
    <row r="254" spans="2:79">
      <c r="B254" s="854"/>
      <c r="C254" s="854"/>
      <c r="D254" s="854"/>
      <c r="E254" s="854"/>
      <c r="F254" s="854"/>
      <c r="G254" s="854"/>
      <c r="H254" s="854"/>
      <c r="I254" s="854"/>
      <c r="J254" s="854"/>
      <c r="K254" s="854"/>
      <c r="L254" s="854"/>
      <c r="M254" s="854"/>
      <c r="N254" s="854"/>
      <c r="O254" s="854"/>
      <c r="P254" s="854"/>
      <c r="Q254" s="854"/>
      <c r="R254" s="854"/>
      <c r="S254" s="854"/>
      <c r="T254" s="854"/>
      <c r="U254" s="854"/>
      <c r="V254" s="854"/>
      <c r="W254" s="854"/>
      <c r="X254" s="854"/>
      <c r="Y254" s="854"/>
      <c r="Z254" s="854"/>
      <c r="AA254" s="854"/>
      <c r="AB254" s="854"/>
      <c r="AC254" s="854"/>
      <c r="AD254" s="854"/>
      <c r="AE254" s="854"/>
      <c r="AF254" s="854"/>
      <c r="AG254" s="854"/>
      <c r="AH254" s="854"/>
      <c r="AI254" s="854"/>
      <c r="AJ254" s="854"/>
      <c r="AK254" s="854"/>
      <c r="AL254" s="854"/>
      <c r="AM254" s="854"/>
      <c r="AN254" s="854"/>
      <c r="AO254" s="854"/>
      <c r="AP254" s="854"/>
      <c r="AQ254" s="854"/>
      <c r="AR254" s="854"/>
      <c r="AS254" s="854"/>
      <c r="AT254" s="854"/>
      <c r="AU254" s="854"/>
      <c r="AV254" s="854"/>
      <c r="AW254" s="854"/>
      <c r="AX254" s="854"/>
      <c r="AY254" s="854"/>
      <c r="AZ254" s="854"/>
      <c r="BA254" s="854"/>
      <c r="BB254" s="854"/>
      <c r="BC254" s="854"/>
      <c r="BD254" s="854"/>
      <c r="BE254" s="854"/>
      <c r="BF254" s="854"/>
      <c r="BG254" s="854"/>
      <c r="BH254" s="854"/>
      <c r="BI254" s="854"/>
      <c r="BJ254" s="854"/>
      <c r="BK254" s="854"/>
      <c r="BL254" s="854"/>
      <c r="BM254" s="854"/>
      <c r="BN254" s="854"/>
      <c r="BO254" s="854"/>
      <c r="BP254" s="854"/>
      <c r="BQ254" s="854"/>
      <c r="BR254" s="854"/>
      <c r="BS254" s="854"/>
      <c r="BT254" s="854"/>
      <c r="BU254" s="854"/>
      <c r="BV254" s="854"/>
      <c r="BW254" s="854"/>
      <c r="BX254" s="854"/>
      <c r="BY254" s="854"/>
      <c r="BZ254" s="854"/>
      <c r="CA254" s="571">
        <f>IF(OR(I254="",I254&lt;'Configs &amp; Procedures'!$L$29),0,IF(I254&gt;'Configs &amp; Procedures'!$L$30,1,IF(F254&gt;'Configs &amp; Procedures'!$L$31,0,1)))</f>
        <v>0</v>
      </c>
    </row>
    <row r="255" spans="2:79">
      <c r="B255" s="854"/>
      <c r="C255" s="854"/>
      <c r="D255" s="854"/>
      <c r="E255" s="854"/>
      <c r="F255" s="854"/>
      <c r="G255" s="854"/>
      <c r="H255" s="854"/>
      <c r="I255" s="854"/>
      <c r="J255" s="854"/>
      <c r="K255" s="854"/>
      <c r="L255" s="854"/>
      <c r="M255" s="854"/>
      <c r="N255" s="854"/>
      <c r="O255" s="854"/>
      <c r="P255" s="854"/>
      <c r="Q255" s="854"/>
      <c r="R255" s="854"/>
      <c r="S255" s="854"/>
      <c r="T255" s="854"/>
      <c r="U255" s="854"/>
      <c r="V255" s="854"/>
      <c r="W255" s="854"/>
      <c r="X255" s="854"/>
      <c r="Y255" s="854"/>
      <c r="Z255" s="854"/>
      <c r="AA255" s="854"/>
      <c r="AB255" s="854"/>
      <c r="AC255" s="854"/>
      <c r="AD255" s="854"/>
      <c r="AE255" s="854"/>
      <c r="AF255" s="854"/>
      <c r="AG255" s="854"/>
      <c r="AH255" s="854"/>
      <c r="AI255" s="854"/>
      <c r="AJ255" s="854"/>
      <c r="AK255" s="854"/>
      <c r="AL255" s="854"/>
      <c r="AM255" s="854"/>
      <c r="AN255" s="854"/>
      <c r="AO255" s="854"/>
      <c r="AP255" s="854"/>
      <c r="AQ255" s="854"/>
      <c r="AR255" s="854"/>
      <c r="AS255" s="854"/>
      <c r="AT255" s="854"/>
      <c r="AU255" s="854"/>
      <c r="AV255" s="854"/>
      <c r="AW255" s="854"/>
      <c r="AX255" s="854"/>
      <c r="AY255" s="854"/>
      <c r="AZ255" s="854"/>
      <c r="BA255" s="854"/>
      <c r="BB255" s="854"/>
      <c r="BC255" s="854"/>
      <c r="BD255" s="854"/>
      <c r="BE255" s="854"/>
      <c r="BF255" s="854"/>
      <c r="BG255" s="854"/>
      <c r="BH255" s="854"/>
      <c r="BI255" s="854"/>
      <c r="BJ255" s="854"/>
      <c r="BK255" s="854"/>
      <c r="BL255" s="854"/>
      <c r="BM255" s="854"/>
      <c r="BN255" s="854"/>
      <c r="BO255" s="854"/>
      <c r="BP255" s="854"/>
      <c r="BQ255" s="854"/>
      <c r="BR255" s="854"/>
      <c r="BS255" s="854"/>
      <c r="BT255" s="854"/>
      <c r="BU255" s="854"/>
      <c r="BV255" s="854"/>
      <c r="BW255" s="854"/>
      <c r="BX255" s="854"/>
      <c r="BY255" s="854"/>
      <c r="BZ255" s="854"/>
      <c r="CA255" s="571">
        <f>IF(OR(I255="",I255&lt;'Configs &amp; Procedures'!$L$29),0,IF(I255&gt;'Configs &amp; Procedures'!$L$30,1,IF(F255&gt;'Configs &amp; Procedures'!$L$31,0,1)))</f>
        <v>0</v>
      </c>
    </row>
    <row r="256" spans="2:79">
      <c r="B256" s="854"/>
      <c r="C256" s="854"/>
      <c r="D256" s="854"/>
      <c r="E256" s="854"/>
      <c r="F256" s="854"/>
      <c r="G256" s="854"/>
      <c r="H256" s="854"/>
      <c r="I256" s="854"/>
      <c r="J256" s="854"/>
      <c r="K256" s="854"/>
      <c r="L256" s="854"/>
      <c r="M256" s="854"/>
      <c r="N256" s="854"/>
      <c r="O256" s="854"/>
      <c r="P256" s="854"/>
      <c r="Q256" s="854"/>
      <c r="R256" s="854"/>
      <c r="S256" s="854"/>
      <c r="T256" s="854"/>
      <c r="U256" s="854"/>
      <c r="V256" s="854"/>
      <c r="W256" s="854"/>
      <c r="X256" s="854"/>
      <c r="Y256" s="854"/>
      <c r="Z256" s="854"/>
      <c r="AA256" s="854"/>
      <c r="AB256" s="854"/>
      <c r="AC256" s="854"/>
      <c r="AD256" s="854"/>
      <c r="AE256" s="854"/>
      <c r="AF256" s="854"/>
      <c r="AG256" s="854"/>
      <c r="AH256" s="854"/>
      <c r="AI256" s="854"/>
      <c r="AJ256" s="854"/>
      <c r="AK256" s="854"/>
      <c r="AL256" s="854"/>
      <c r="AM256" s="854"/>
      <c r="AN256" s="854"/>
      <c r="AO256" s="854"/>
      <c r="AP256" s="854"/>
      <c r="AQ256" s="854"/>
      <c r="AR256" s="854"/>
      <c r="AS256" s="854"/>
      <c r="AT256" s="854"/>
      <c r="AU256" s="854"/>
      <c r="AV256" s="854"/>
      <c r="AW256" s="854"/>
      <c r="AX256" s="854"/>
      <c r="AY256" s="854"/>
      <c r="AZ256" s="854"/>
      <c r="BA256" s="854"/>
      <c r="BB256" s="854"/>
      <c r="BC256" s="854"/>
      <c r="BD256" s="854"/>
      <c r="BE256" s="854"/>
      <c r="BF256" s="854"/>
      <c r="BG256" s="854"/>
      <c r="BH256" s="854"/>
      <c r="BI256" s="854"/>
      <c r="BJ256" s="854"/>
      <c r="BK256" s="854"/>
      <c r="BL256" s="854"/>
      <c r="BM256" s="854"/>
      <c r="BN256" s="854"/>
      <c r="BO256" s="854"/>
      <c r="BP256" s="854"/>
      <c r="BQ256" s="854"/>
      <c r="BR256" s="854"/>
      <c r="BS256" s="854"/>
      <c r="BT256" s="854"/>
      <c r="BU256" s="854"/>
      <c r="BV256" s="854"/>
      <c r="BW256" s="854"/>
      <c r="BX256" s="854"/>
      <c r="BY256" s="854"/>
      <c r="BZ256" s="854"/>
      <c r="CA256" s="571">
        <f>IF(OR(I256="",I256&lt;'Configs &amp; Procedures'!$L$29),0,IF(I256&gt;'Configs &amp; Procedures'!$L$30,1,IF(F256&gt;'Configs &amp; Procedures'!$L$31,0,1)))</f>
        <v>0</v>
      </c>
    </row>
    <row r="257" spans="2:79">
      <c r="B257" s="854"/>
      <c r="C257" s="854"/>
      <c r="D257" s="854"/>
      <c r="E257" s="854"/>
      <c r="F257" s="854"/>
      <c r="G257" s="854"/>
      <c r="H257" s="854"/>
      <c r="I257" s="854"/>
      <c r="J257" s="854"/>
      <c r="K257" s="854"/>
      <c r="L257" s="854"/>
      <c r="M257" s="854"/>
      <c r="N257" s="854"/>
      <c r="O257" s="854"/>
      <c r="P257" s="854"/>
      <c r="Q257" s="854"/>
      <c r="R257" s="854"/>
      <c r="S257" s="854"/>
      <c r="T257" s="854"/>
      <c r="U257" s="854"/>
      <c r="V257" s="854"/>
      <c r="W257" s="854"/>
      <c r="X257" s="854"/>
      <c r="Y257" s="854"/>
      <c r="Z257" s="854"/>
      <c r="AA257" s="854"/>
      <c r="AB257" s="854"/>
      <c r="AC257" s="854"/>
      <c r="AD257" s="854"/>
      <c r="AE257" s="854"/>
      <c r="AF257" s="854"/>
      <c r="AG257" s="854"/>
      <c r="AH257" s="854"/>
      <c r="AI257" s="854"/>
      <c r="AJ257" s="854"/>
      <c r="AK257" s="854"/>
      <c r="AL257" s="854"/>
      <c r="AM257" s="854"/>
      <c r="AN257" s="854"/>
      <c r="AO257" s="854"/>
      <c r="AP257" s="854"/>
      <c r="AQ257" s="854"/>
      <c r="AR257" s="854"/>
      <c r="AS257" s="854"/>
      <c r="AT257" s="854"/>
      <c r="AU257" s="854"/>
      <c r="AV257" s="854"/>
      <c r="AW257" s="854"/>
      <c r="AX257" s="854"/>
      <c r="AY257" s="854"/>
      <c r="AZ257" s="854"/>
      <c r="BA257" s="854"/>
      <c r="BB257" s="854"/>
      <c r="BC257" s="854"/>
      <c r="BD257" s="854"/>
      <c r="BE257" s="854"/>
      <c r="BF257" s="854"/>
      <c r="BG257" s="854"/>
      <c r="BH257" s="854"/>
      <c r="BI257" s="854"/>
      <c r="BJ257" s="854"/>
      <c r="BK257" s="854"/>
      <c r="BL257" s="854"/>
      <c r="BM257" s="854"/>
      <c r="BN257" s="854"/>
      <c r="BO257" s="854"/>
      <c r="BP257" s="854"/>
      <c r="BQ257" s="854"/>
      <c r="BR257" s="854"/>
      <c r="BS257" s="854"/>
      <c r="BT257" s="854"/>
      <c r="BU257" s="854"/>
      <c r="BV257" s="854"/>
      <c r="BW257" s="854"/>
      <c r="BX257" s="854"/>
      <c r="BY257" s="854"/>
      <c r="BZ257" s="854"/>
      <c r="CA257" s="571">
        <f>IF(OR(I257="",I257&lt;'Configs &amp; Procedures'!$L$29),0,IF(I257&gt;'Configs &amp; Procedures'!$L$30,1,IF(F257&gt;'Configs &amp; Procedures'!$L$31,0,1)))</f>
        <v>0</v>
      </c>
    </row>
    <row r="258" spans="2:79">
      <c r="B258" s="854"/>
      <c r="C258" s="854"/>
      <c r="D258" s="854"/>
      <c r="E258" s="854"/>
      <c r="F258" s="854"/>
      <c r="G258" s="854"/>
      <c r="H258" s="854"/>
      <c r="I258" s="854"/>
      <c r="J258" s="854"/>
      <c r="K258" s="854"/>
      <c r="L258" s="854"/>
      <c r="M258" s="854"/>
      <c r="N258" s="854"/>
      <c r="O258" s="854"/>
      <c r="P258" s="854"/>
      <c r="Q258" s="854"/>
      <c r="R258" s="854"/>
      <c r="S258" s="854"/>
      <c r="T258" s="854"/>
      <c r="U258" s="854"/>
      <c r="V258" s="854"/>
      <c r="W258" s="854"/>
      <c r="X258" s="854"/>
      <c r="Y258" s="854"/>
      <c r="Z258" s="854"/>
      <c r="AA258" s="854"/>
      <c r="AB258" s="854"/>
      <c r="AC258" s="854"/>
      <c r="AD258" s="854"/>
      <c r="AE258" s="854"/>
      <c r="AF258" s="854"/>
      <c r="AG258" s="854"/>
      <c r="AH258" s="854"/>
      <c r="AI258" s="854"/>
      <c r="AJ258" s="854"/>
      <c r="AK258" s="854"/>
      <c r="AL258" s="854"/>
      <c r="AM258" s="854"/>
      <c r="AN258" s="854"/>
      <c r="AO258" s="854"/>
      <c r="AP258" s="854"/>
      <c r="AQ258" s="854"/>
      <c r="AR258" s="854"/>
      <c r="AS258" s="854"/>
      <c r="AT258" s="854"/>
      <c r="AU258" s="854"/>
      <c r="AV258" s="854"/>
      <c r="AW258" s="854"/>
      <c r="AX258" s="854"/>
      <c r="AY258" s="854"/>
      <c r="AZ258" s="854"/>
      <c r="BA258" s="854"/>
      <c r="BB258" s="854"/>
      <c r="BC258" s="854"/>
      <c r="BD258" s="854"/>
      <c r="BE258" s="854"/>
      <c r="BF258" s="854"/>
      <c r="BG258" s="854"/>
      <c r="BH258" s="854"/>
      <c r="BI258" s="854"/>
      <c r="BJ258" s="854"/>
      <c r="BK258" s="854"/>
      <c r="BL258" s="854"/>
      <c r="BM258" s="854"/>
      <c r="BN258" s="854"/>
      <c r="BO258" s="854"/>
      <c r="BP258" s="854"/>
      <c r="BQ258" s="854"/>
      <c r="BR258" s="854"/>
      <c r="BS258" s="854"/>
      <c r="BT258" s="854"/>
      <c r="BU258" s="854"/>
      <c r="BV258" s="854"/>
      <c r="BW258" s="854"/>
      <c r="BX258" s="854"/>
      <c r="BY258" s="854"/>
      <c r="BZ258" s="854"/>
      <c r="CA258" s="571">
        <f>IF(OR(I258="",I258&lt;'Configs &amp; Procedures'!$L$29),0,IF(I258&gt;'Configs &amp; Procedures'!$L$30,1,IF(F258&gt;'Configs &amp; Procedures'!$L$31,0,1)))</f>
        <v>0</v>
      </c>
    </row>
    <row r="259" spans="2:79">
      <c r="B259" s="854"/>
      <c r="C259" s="854"/>
      <c r="D259" s="854"/>
      <c r="E259" s="854"/>
      <c r="F259" s="854"/>
      <c r="G259" s="854"/>
      <c r="H259" s="854"/>
      <c r="I259" s="854"/>
      <c r="J259" s="854"/>
      <c r="K259" s="854"/>
      <c r="L259" s="854"/>
      <c r="M259" s="854"/>
      <c r="N259" s="854"/>
      <c r="O259" s="854"/>
      <c r="P259" s="854"/>
      <c r="Q259" s="854"/>
      <c r="R259" s="854"/>
      <c r="S259" s="854"/>
      <c r="T259" s="854"/>
      <c r="U259" s="854"/>
      <c r="V259" s="854"/>
      <c r="W259" s="854"/>
      <c r="X259" s="854"/>
      <c r="Y259" s="854"/>
      <c r="Z259" s="854"/>
      <c r="AA259" s="854"/>
      <c r="AB259" s="854"/>
      <c r="AC259" s="854"/>
      <c r="AD259" s="854"/>
      <c r="AE259" s="854"/>
      <c r="AF259" s="854"/>
      <c r="AG259" s="854"/>
      <c r="AH259" s="854"/>
      <c r="AI259" s="854"/>
      <c r="AJ259" s="854"/>
      <c r="AK259" s="854"/>
      <c r="AL259" s="854"/>
      <c r="AM259" s="854"/>
      <c r="AN259" s="854"/>
      <c r="AO259" s="854"/>
      <c r="AP259" s="854"/>
      <c r="AQ259" s="854"/>
      <c r="AR259" s="854"/>
      <c r="AS259" s="854"/>
      <c r="AT259" s="854"/>
      <c r="AU259" s="854"/>
      <c r="AV259" s="854"/>
      <c r="AW259" s="854"/>
      <c r="AX259" s="854"/>
      <c r="AY259" s="854"/>
      <c r="AZ259" s="854"/>
      <c r="BA259" s="854"/>
      <c r="BB259" s="854"/>
      <c r="BC259" s="854"/>
      <c r="BD259" s="854"/>
      <c r="BE259" s="854"/>
      <c r="BF259" s="854"/>
      <c r="BG259" s="854"/>
      <c r="BH259" s="854"/>
      <c r="BI259" s="854"/>
      <c r="BJ259" s="854"/>
      <c r="BK259" s="854"/>
      <c r="BL259" s="854"/>
      <c r="BM259" s="854"/>
      <c r="BN259" s="854"/>
      <c r="BO259" s="854"/>
      <c r="BP259" s="854"/>
      <c r="BQ259" s="854"/>
      <c r="BR259" s="854"/>
      <c r="BS259" s="854"/>
      <c r="BT259" s="854"/>
      <c r="BU259" s="854"/>
      <c r="BV259" s="854"/>
      <c r="BW259" s="854"/>
      <c r="BX259" s="854"/>
      <c r="BY259" s="854"/>
      <c r="BZ259" s="854"/>
      <c r="CA259" s="571">
        <f>IF(OR(I259="",I259&lt;'Configs &amp; Procedures'!$L$29),0,IF(I259&gt;'Configs &amp; Procedures'!$L$30,1,IF(F259&gt;'Configs &amp; Procedures'!$L$31,0,1)))</f>
        <v>0</v>
      </c>
    </row>
    <row r="260" spans="2:79">
      <c r="B260" s="854"/>
      <c r="C260" s="854"/>
      <c r="D260" s="854"/>
      <c r="E260" s="854"/>
      <c r="F260" s="854"/>
      <c r="G260" s="854"/>
      <c r="H260" s="854"/>
      <c r="I260" s="854"/>
      <c r="J260" s="854"/>
      <c r="K260" s="854"/>
      <c r="L260" s="854"/>
      <c r="M260" s="854"/>
      <c r="N260" s="854"/>
      <c r="O260" s="854"/>
      <c r="P260" s="854"/>
      <c r="Q260" s="854"/>
      <c r="R260" s="854"/>
      <c r="S260" s="854"/>
      <c r="T260" s="854"/>
      <c r="U260" s="854"/>
      <c r="V260" s="854"/>
      <c r="W260" s="854"/>
      <c r="X260" s="854"/>
      <c r="Y260" s="854"/>
      <c r="Z260" s="854"/>
      <c r="AA260" s="854"/>
      <c r="AB260" s="854"/>
      <c r="AC260" s="854"/>
      <c r="AD260" s="854"/>
      <c r="AE260" s="854"/>
      <c r="AF260" s="854"/>
      <c r="AG260" s="854"/>
      <c r="AH260" s="854"/>
      <c r="AI260" s="854"/>
      <c r="AJ260" s="854"/>
      <c r="AK260" s="854"/>
      <c r="AL260" s="854"/>
      <c r="AM260" s="854"/>
      <c r="AN260" s="854"/>
      <c r="AO260" s="854"/>
      <c r="AP260" s="854"/>
      <c r="AQ260" s="854"/>
      <c r="AR260" s="854"/>
      <c r="AS260" s="854"/>
      <c r="AT260" s="854"/>
      <c r="AU260" s="854"/>
      <c r="AV260" s="854"/>
      <c r="AW260" s="854"/>
      <c r="AX260" s="854"/>
      <c r="AY260" s="854"/>
      <c r="AZ260" s="854"/>
      <c r="BA260" s="854"/>
      <c r="BB260" s="854"/>
      <c r="BC260" s="854"/>
      <c r="BD260" s="854"/>
      <c r="BE260" s="854"/>
      <c r="BF260" s="854"/>
      <c r="BG260" s="854"/>
      <c r="BH260" s="854"/>
      <c r="BI260" s="854"/>
      <c r="BJ260" s="854"/>
      <c r="BK260" s="854"/>
      <c r="BL260" s="854"/>
      <c r="BM260" s="854"/>
      <c r="BN260" s="854"/>
      <c r="BO260" s="854"/>
      <c r="BP260" s="854"/>
      <c r="BQ260" s="854"/>
      <c r="BR260" s="854"/>
      <c r="BS260" s="854"/>
      <c r="BT260" s="854"/>
      <c r="BU260" s="854"/>
      <c r="BV260" s="854"/>
      <c r="BW260" s="854"/>
      <c r="BX260" s="854"/>
      <c r="BY260" s="854"/>
      <c r="BZ260" s="854"/>
      <c r="CA260" s="571">
        <f>IF(OR(I260="",I260&lt;'Configs &amp; Procedures'!$L$29),0,IF(I260&gt;'Configs &amp; Procedures'!$L$30,1,IF(F260&gt;'Configs &amp; Procedures'!$L$31,0,1)))</f>
        <v>0</v>
      </c>
    </row>
    <row r="261" spans="2:79">
      <c r="B261" s="854"/>
      <c r="C261" s="854"/>
      <c r="D261" s="854"/>
      <c r="E261" s="854"/>
      <c r="F261" s="854"/>
      <c r="G261" s="854"/>
      <c r="H261" s="854"/>
      <c r="I261" s="854"/>
      <c r="J261" s="854"/>
      <c r="K261" s="854"/>
      <c r="L261" s="854"/>
      <c r="M261" s="854"/>
      <c r="N261" s="854"/>
      <c r="O261" s="854"/>
      <c r="P261" s="854"/>
      <c r="Q261" s="854"/>
      <c r="R261" s="854"/>
      <c r="S261" s="854"/>
      <c r="T261" s="854"/>
      <c r="U261" s="854"/>
      <c r="V261" s="854"/>
      <c r="W261" s="854"/>
      <c r="X261" s="854"/>
      <c r="Y261" s="854"/>
      <c r="Z261" s="854"/>
      <c r="AA261" s="854"/>
      <c r="AB261" s="854"/>
      <c r="AC261" s="854"/>
      <c r="AD261" s="854"/>
      <c r="AE261" s="854"/>
      <c r="AF261" s="854"/>
      <c r="AG261" s="854"/>
      <c r="AH261" s="854"/>
      <c r="AI261" s="854"/>
      <c r="AJ261" s="854"/>
      <c r="AK261" s="854"/>
      <c r="AL261" s="854"/>
      <c r="AM261" s="854"/>
      <c r="AN261" s="854"/>
      <c r="AO261" s="854"/>
      <c r="AP261" s="854"/>
      <c r="AQ261" s="854"/>
      <c r="AR261" s="854"/>
      <c r="AS261" s="854"/>
      <c r="AT261" s="854"/>
      <c r="AU261" s="854"/>
      <c r="AV261" s="854"/>
      <c r="AW261" s="854"/>
      <c r="AX261" s="854"/>
      <c r="AY261" s="854"/>
      <c r="AZ261" s="854"/>
      <c r="BA261" s="854"/>
      <c r="BB261" s="854"/>
      <c r="BC261" s="854"/>
      <c r="BD261" s="854"/>
      <c r="BE261" s="854"/>
      <c r="BF261" s="854"/>
      <c r="BG261" s="854"/>
      <c r="BH261" s="854"/>
      <c r="BI261" s="854"/>
      <c r="BJ261" s="854"/>
      <c r="BK261" s="854"/>
      <c r="BL261" s="854"/>
      <c r="BM261" s="854"/>
      <c r="BN261" s="854"/>
      <c r="BO261" s="854"/>
      <c r="BP261" s="854"/>
      <c r="BQ261" s="854"/>
      <c r="BR261" s="854"/>
      <c r="BS261" s="854"/>
      <c r="BT261" s="854"/>
      <c r="BU261" s="854"/>
      <c r="BV261" s="854"/>
      <c r="BW261" s="854"/>
      <c r="BX261" s="854"/>
      <c r="BY261" s="854"/>
      <c r="BZ261" s="854"/>
      <c r="CA261" s="571">
        <f>IF(OR(I261="",I261&lt;'Configs &amp; Procedures'!$L$29),0,IF(I261&gt;'Configs &amp; Procedures'!$L$30,1,IF(F261&gt;'Configs &amp; Procedures'!$L$31,0,1)))</f>
        <v>0</v>
      </c>
    </row>
    <row r="262" spans="2:79">
      <c r="B262" s="854"/>
      <c r="C262" s="854"/>
      <c r="D262" s="854"/>
      <c r="E262" s="854"/>
      <c r="F262" s="854"/>
      <c r="G262" s="854"/>
      <c r="H262" s="854"/>
      <c r="I262" s="854"/>
      <c r="J262" s="854"/>
      <c r="K262" s="854"/>
      <c r="L262" s="854"/>
      <c r="M262" s="854"/>
      <c r="N262" s="854"/>
      <c r="O262" s="854"/>
      <c r="P262" s="854"/>
      <c r="Q262" s="854"/>
      <c r="R262" s="854"/>
      <c r="S262" s="854"/>
      <c r="T262" s="854"/>
      <c r="U262" s="854"/>
      <c r="V262" s="854"/>
      <c r="W262" s="854"/>
      <c r="X262" s="854"/>
      <c r="Y262" s="854"/>
      <c r="Z262" s="854"/>
      <c r="AA262" s="854"/>
      <c r="AB262" s="854"/>
      <c r="AC262" s="854"/>
      <c r="AD262" s="854"/>
      <c r="AE262" s="854"/>
      <c r="AF262" s="854"/>
      <c r="AG262" s="854"/>
      <c r="AH262" s="854"/>
      <c r="AI262" s="854"/>
      <c r="AJ262" s="854"/>
      <c r="AK262" s="854"/>
      <c r="AL262" s="854"/>
      <c r="AM262" s="854"/>
      <c r="AN262" s="854"/>
      <c r="AO262" s="854"/>
      <c r="AP262" s="854"/>
      <c r="AQ262" s="854"/>
      <c r="AR262" s="854"/>
      <c r="AS262" s="854"/>
      <c r="AT262" s="854"/>
      <c r="AU262" s="854"/>
      <c r="AV262" s="854"/>
      <c r="AW262" s="854"/>
      <c r="AX262" s="854"/>
      <c r="AY262" s="854"/>
      <c r="AZ262" s="854"/>
      <c r="BA262" s="854"/>
      <c r="BB262" s="854"/>
      <c r="BC262" s="854"/>
      <c r="BD262" s="854"/>
      <c r="BE262" s="854"/>
      <c r="BF262" s="854"/>
      <c r="BG262" s="854"/>
      <c r="BH262" s="854"/>
      <c r="BI262" s="854"/>
      <c r="BJ262" s="854"/>
      <c r="BK262" s="854"/>
      <c r="BL262" s="854"/>
      <c r="BM262" s="854"/>
      <c r="BN262" s="854"/>
      <c r="BO262" s="854"/>
      <c r="BP262" s="854"/>
      <c r="BQ262" s="854"/>
      <c r="BR262" s="854"/>
      <c r="BS262" s="854"/>
      <c r="BT262" s="854"/>
      <c r="BU262" s="854"/>
      <c r="BV262" s="854"/>
      <c r="BW262" s="854"/>
      <c r="BX262" s="854"/>
      <c r="BY262" s="854"/>
      <c r="BZ262" s="854"/>
      <c r="CA262" s="571">
        <f>IF(OR(I262="",I262&lt;'Configs &amp; Procedures'!$L$29),0,IF(I262&gt;'Configs &amp; Procedures'!$L$30,1,IF(F262&gt;'Configs &amp; Procedures'!$L$31,0,1)))</f>
        <v>0</v>
      </c>
    </row>
    <row r="263" spans="2:79">
      <c r="B263" s="854"/>
      <c r="C263" s="854"/>
      <c r="D263" s="854"/>
      <c r="E263" s="854"/>
      <c r="F263" s="854"/>
      <c r="G263" s="854"/>
      <c r="H263" s="854"/>
      <c r="I263" s="854"/>
      <c r="J263" s="854"/>
      <c r="K263" s="854"/>
      <c r="L263" s="854"/>
      <c r="M263" s="854"/>
      <c r="N263" s="854"/>
      <c r="O263" s="854"/>
      <c r="P263" s="854"/>
      <c r="Q263" s="854"/>
      <c r="R263" s="854"/>
      <c r="S263" s="854"/>
      <c r="T263" s="854"/>
      <c r="U263" s="854"/>
      <c r="V263" s="854"/>
      <c r="W263" s="854"/>
      <c r="X263" s="854"/>
      <c r="Y263" s="854"/>
      <c r="Z263" s="854"/>
      <c r="AA263" s="854"/>
      <c r="AB263" s="854"/>
      <c r="AC263" s="854"/>
      <c r="AD263" s="854"/>
      <c r="AE263" s="854"/>
      <c r="AF263" s="854"/>
      <c r="AG263" s="854"/>
      <c r="AH263" s="854"/>
      <c r="AI263" s="854"/>
      <c r="AJ263" s="854"/>
      <c r="AK263" s="854"/>
      <c r="AL263" s="854"/>
      <c r="AM263" s="854"/>
      <c r="AN263" s="854"/>
      <c r="AO263" s="854"/>
      <c r="AP263" s="854"/>
      <c r="AQ263" s="854"/>
      <c r="AR263" s="854"/>
      <c r="AS263" s="854"/>
      <c r="AT263" s="854"/>
      <c r="AU263" s="854"/>
      <c r="AV263" s="854"/>
      <c r="AW263" s="854"/>
      <c r="AX263" s="854"/>
      <c r="AY263" s="854"/>
      <c r="AZ263" s="854"/>
      <c r="BA263" s="854"/>
      <c r="BB263" s="854"/>
      <c r="BC263" s="854"/>
      <c r="BD263" s="854"/>
      <c r="BE263" s="854"/>
      <c r="BF263" s="854"/>
      <c r="BG263" s="854"/>
      <c r="BH263" s="854"/>
      <c r="BI263" s="854"/>
      <c r="BJ263" s="854"/>
      <c r="BK263" s="854"/>
      <c r="BL263" s="854"/>
      <c r="BM263" s="854"/>
      <c r="BN263" s="854"/>
      <c r="BO263" s="854"/>
      <c r="BP263" s="854"/>
      <c r="BQ263" s="854"/>
      <c r="BR263" s="854"/>
      <c r="BS263" s="854"/>
      <c r="BT263" s="854"/>
      <c r="BU263" s="854"/>
      <c r="BV263" s="854"/>
      <c r="BW263" s="854"/>
      <c r="BX263" s="854"/>
      <c r="BY263" s="854"/>
      <c r="BZ263" s="854"/>
      <c r="CA263" s="571">
        <f>IF(OR(I263="",I263&lt;'Configs &amp; Procedures'!$L$29),0,IF(I263&gt;'Configs &amp; Procedures'!$L$30,1,IF(F263&gt;'Configs &amp; Procedures'!$L$31,0,1)))</f>
        <v>0</v>
      </c>
    </row>
    <row r="264" spans="2:79">
      <c r="B264" s="854"/>
      <c r="C264" s="854"/>
      <c r="D264" s="854"/>
      <c r="E264" s="854"/>
      <c r="F264" s="854"/>
      <c r="G264" s="854"/>
      <c r="H264" s="854"/>
      <c r="I264" s="854"/>
      <c r="J264" s="854"/>
      <c r="K264" s="854"/>
      <c r="L264" s="854"/>
      <c r="M264" s="854"/>
      <c r="N264" s="854"/>
      <c r="O264" s="854"/>
      <c r="P264" s="854"/>
      <c r="Q264" s="854"/>
      <c r="R264" s="854"/>
      <c r="S264" s="854"/>
      <c r="T264" s="854"/>
      <c r="U264" s="854"/>
      <c r="V264" s="854"/>
      <c r="W264" s="854"/>
      <c r="X264" s="854"/>
      <c r="Y264" s="854"/>
      <c r="Z264" s="854"/>
      <c r="AA264" s="854"/>
      <c r="AB264" s="854"/>
      <c r="AC264" s="854"/>
      <c r="AD264" s="854"/>
      <c r="AE264" s="854"/>
      <c r="AF264" s="854"/>
      <c r="AG264" s="854"/>
      <c r="AH264" s="854"/>
      <c r="AI264" s="854"/>
      <c r="AJ264" s="854"/>
      <c r="AK264" s="854"/>
      <c r="AL264" s="854"/>
      <c r="AM264" s="854"/>
      <c r="AN264" s="854"/>
      <c r="AO264" s="854"/>
      <c r="AP264" s="854"/>
      <c r="AQ264" s="854"/>
      <c r="AR264" s="854"/>
      <c r="AS264" s="854"/>
      <c r="AT264" s="854"/>
      <c r="AU264" s="854"/>
      <c r="AV264" s="854"/>
      <c r="AW264" s="854"/>
      <c r="AX264" s="854"/>
      <c r="AY264" s="854"/>
      <c r="AZ264" s="854"/>
      <c r="BA264" s="854"/>
      <c r="BB264" s="854"/>
      <c r="BC264" s="854"/>
      <c r="BD264" s="854"/>
      <c r="BE264" s="854"/>
      <c r="BF264" s="854"/>
      <c r="BG264" s="854"/>
      <c r="BH264" s="854"/>
      <c r="BI264" s="854"/>
      <c r="BJ264" s="854"/>
      <c r="BK264" s="854"/>
      <c r="BL264" s="854"/>
      <c r="BM264" s="854"/>
      <c r="BN264" s="854"/>
      <c r="BO264" s="854"/>
      <c r="BP264" s="854"/>
      <c r="BQ264" s="854"/>
      <c r="BR264" s="854"/>
      <c r="BS264" s="854"/>
      <c r="BT264" s="854"/>
      <c r="BU264" s="854"/>
      <c r="BV264" s="854"/>
      <c r="BW264" s="854"/>
      <c r="BX264" s="854"/>
      <c r="BY264" s="854"/>
      <c r="BZ264" s="854"/>
      <c r="CA264" s="571">
        <f>IF(OR(I264="",I264&lt;'Configs &amp; Procedures'!$L$29),0,IF(I264&gt;'Configs &amp; Procedures'!$L$30,1,IF(F264&gt;'Configs &amp; Procedures'!$L$31,0,1)))</f>
        <v>0</v>
      </c>
    </row>
    <row r="265" spans="2:79">
      <c r="B265" s="854"/>
      <c r="C265" s="854"/>
      <c r="D265" s="854"/>
      <c r="E265" s="854"/>
      <c r="F265" s="854"/>
      <c r="G265" s="854"/>
      <c r="H265" s="854"/>
      <c r="I265" s="854"/>
      <c r="J265" s="854"/>
      <c r="K265" s="854"/>
      <c r="L265" s="854"/>
      <c r="M265" s="854"/>
      <c r="N265" s="854"/>
      <c r="O265" s="854"/>
      <c r="P265" s="854"/>
      <c r="Q265" s="854"/>
      <c r="R265" s="854"/>
      <c r="S265" s="854"/>
      <c r="T265" s="854"/>
      <c r="U265" s="854"/>
      <c r="V265" s="854"/>
      <c r="W265" s="854"/>
      <c r="X265" s="854"/>
      <c r="Y265" s="854"/>
      <c r="Z265" s="854"/>
      <c r="AA265" s="854"/>
      <c r="AB265" s="854"/>
      <c r="AC265" s="854"/>
      <c r="AD265" s="854"/>
      <c r="AE265" s="854"/>
      <c r="AF265" s="854"/>
      <c r="AG265" s="854"/>
      <c r="AH265" s="854"/>
      <c r="AI265" s="854"/>
      <c r="AJ265" s="854"/>
      <c r="AK265" s="854"/>
      <c r="AL265" s="854"/>
      <c r="AM265" s="854"/>
      <c r="AN265" s="854"/>
      <c r="AO265" s="854"/>
      <c r="AP265" s="854"/>
      <c r="AQ265" s="854"/>
      <c r="AR265" s="854"/>
      <c r="AS265" s="854"/>
      <c r="AT265" s="854"/>
      <c r="AU265" s="854"/>
      <c r="AV265" s="854"/>
      <c r="AW265" s="854"/>
      <c r="AX265" s="854"/>
      <c r="AY265" s="854"/>
      <c r="AZ265" s="854"/>
      <c r="BA265" s="854"/>
      <c r="BB265" s="854"/>
      <c r="BC265" s="854"/>
      <c r="BD265" s="854"/>
      <c r="BE265" s="854"/>
      <c r="BF265" s="854"/>
      <c r="BG265" s="854"/>
      <c r="BH265" s="854"/>
      <c r="BI265" s="854"/>
      <c r="BJ265" s="854"/>
      <c r="BK265" s="854"/>
      <c r="BL265" s="854"/>
      <c r="BM265" s="854"/>
      <c r="BN265" s="854"/>
      <c r="BO265" s="854"/>
      <c r="BP265" s="854"/>
      <c r="BQ265" s="854"/>
      <c r="BR265" s="854"/>
      <c r="BS265" s="854"/>
      <c r="BT265" s="854"/>
      <c r="BU265" s="854"/>
      <c r="BV265" s="854"/>
      <c r="BW265" s="854"/>
      <c r="BX265" s="854"/>
      <c r="BY265" s="854"/>
      <c r="BZ265" s="854"/>
      <c r="CA265" s="571">
        <f>IF(OR(I265="",I265&lt;'Configs &amp; Procedures'!$L$29),0,IF(I265&gt;'Configs &amp; Procedures'!$L$30,1,IF(F265&gt;'Configs &amp; Procedures'!$L$31,0,1)))</f>
        <v>0</v>
      </c>
    </row>
    <row r="266" spans="2:79">
      <c r="B266" s="854"/>
      <c r="C266" s="854"/>
      <c r="D266" s="854"/>
      <c r="E266" s="854"/>
      <c r="F266" s="854"/>
      <c r="G266" s="854"/>
      <c r="H266" s="854"/>
      <c r="I266" s="854"/>
      <c r="J266" s="854"/>
      <c r="K266" s="854"/>
      <c r="L266" s="854"/>
      <c r="M266" s="854"/>
      <c r="N266" s="854"/>
      <c r="O266" s="854"/>
      <c r="P266" s="854"/>
      <c r="Q266" s="854"/>
      <c r="R266" s="854"/>
      <c r="S266" s="854"/>
      <c r="T266" s="854"/>
      <c r="U266" s="854"/>
      <c r="V266" s="854"/>
      <c r="W266" s="854"/>
      <c r="X266" s="854"/>
      <c r="Y266" s="854"/>
      <c r="Z266" s="854"/>
      <c r="AA266" s="854"/>
      <c r="AB266" s="854"/>
      <c r="AC266" s="854"/>
      <c r="AD266" s="854"/>
      <c r="AE266" s="854"/>
      <c r="AF266" s="854"/>
      <c r="AG266" s="854"/>
      <c r="AH266" s="854"/>
      <c r="AI266" s="854"/>
      <c r="AJ266" s="854"/>
      <c r="AK266" s="854"/>
      <c r="AL266" s="854"/>
      <c r="AM266" s="854"/>
      <c r="AN266" s="854"/>
      <c r="AO266" s="854"/>
      <c r="AP266" s="854"/>
      <c r="AQ266" s="854"/>
      <c r="AR266" s="854"/>
      <c r="AS266" s="854"/>
      <c r="AT266" s="854"/>
      <c r="AU266" s="854"/>
      <c r="AV266" s="854"/>
      <c r="AW266" s="854"/>
      <c r="AX266" s="854"/>
      <c r="AY266" s="854"/>
      <c r="AZ266" s="854"/>
      <c r="BA266" s="854"/>
      <c r="BB266" s="854"/>
      <c r="BC266" s="854"/>
      <c r="BD266" s="854"/>
      <c r="BE266" s="854"/>
      <c r="BF266" s="854"/>
      <c r="BG266" s="854"/>
      <c r="BH266" s="854"/>
      <c r="BI266" s="854"/>
      <c r="BJ266" s="854"/>
      <c r="BK266" s="854"/>
      <c r="BL266" s="854"/>
      <c r="BM266" s="854"/>
      <c r="BN266" s="854"/>
      <c r="BO266" s="854"/>
      <c r="BP266" s="854"/>
      <c r="BQ266" s="854"/>
      <c r="BR266" s="854"/>
      <c r="BS266" s="854"/>
      <c r="BT266" s="854"/>
      <c r="BU266" s="854"/>
      <c r="BV266" s="854"/>
      <c r="BW266" s="854"/>
      <c r="BX266" s="854"/>
      <c r="BY266" s="854"/>
      <c r="BZ266" s="854"/>
      <c r="CA266" s="571">
        <f>IF(OR(I266="",I266&lt;'Configs &amp; Procedures'!$L$29),0,IF(I266&gt;'Configs &amp; Procedures'!$L$30,1,IF(F266&gt;'Configs &amp; Procedures'!$L$31,0,1)))</f>
        <v>0</v>
      </c>
    </row>
    <row r="267" spans="2:79">
      <c r="B267" s="854"/>
      <c r="C267" s="854"/>
      <c r="D267" s="854"/>
      <c r="E267" s="854"/>
      <c r="F267" s="854"/>
      <c r="G267" s="854"/>
      <c r="H267" s="854"/>
      <c r="I267" s="854"/>
      <c r="J267" s="854"/>
      <c r="K267" s="854"/>
      <c r="L267" s="854"/>
      <c r="M267" s="854"/>
      <c r="N267" s="854"/>
      <c r="O267" s="854"/>
      <c r="P267" s="854"/>
      <c r="Q267" s="854"/>
      <c r="R267" s="854"/>
      <c r="S267" s="854"/>
      <c r="T267" s="854"/>
      <c r="U267" s="854"/>
      <c r="V267" s="854"/>
      <c r="W267" s="854"/>
      <c r="X267" s="854"/>
      <c r="Y267" s="854"/>
      <c r="Z267" s="854"/>
      <c r="AA267" s="854"/>
      <c r="AB267" s="854"/>
      <c r="AC267" s="854"/>
      <c r="AD267" s="854"/>
      <c r="AE267" s="854"/>
      <c r="AF267" s="854"/>
      <c r="AG267" s="854"/>
      <c r="AH267" s="854"/>
      <c r="AI267" s="854"/>
      <c r="AJ267" s="854"/>
      <c r="AK267" s="854"/>
      <c r="AL267" s="854"/>
      <c r="AM267" s="854"/>
      <c r="AN267" s="854"/>
      <c r="AO267" s="854"/>
      <c r="AP267" s="854"/>
      <c r="AQ267" s="854"/>
      <c r="AR267" s="854"/>
      <c r="AS267" s="854"/>
      <c r="AT267" s="854"/>
      <c r="AU267" s="854"/>
      <c r="AV267" s="854"/>
      <c r="AW267" s="854"/>
      <c r="AX267" s="854"/>
      <c r="AY267" s="854"/>
      <c r="AZ267" s="854"/>
      <c r="BA267" s="854"/>
      <c r="BB267" s="854"/>
      <c r="BC267" s="854"/>
      <c r="BD267" s="854"/>
      <c r="BE267" s="854"/>
      <c r="BF267" s="854"/>
      <c r="BG267" s="854"/>
      <c r="BH267" s="854"/>
      <c r="BI267" s="854"/>
      <c r="BJ267" s="854"/>
      <c r="BK267" s="854"/>
      <c r="BL267" s="854"/>
      <c r="BM267" s="854"/>
      <c r="BN267" s="854"/>
      <c r="BO267" s="854"/>
      <c r="BP267" s="854"/>
      <c r="BQ267" s="854"/>
      <c r="BR267" s="854"/>
      <c r="BS267" s="854"/>
      <c r="BT267" s="854"/>
      <c r="BU267" s="854"/>
      <c r="BV267" s="854"/>
      <c r="BW267" s="854"/>
      <c r="BX267" s="854"/>
      <c r="BY267" s="854"/>
      <c r="BZ267" s="854"/>
      <c r="CA267" s="571">
        <f>IF(OR(I267="",I267&lt;'Configs &amp; Procedures'!$L$29),0,IF(I267&gt;'Configs &amp; Procedures'!$L$30,1,IF(F267&gt;'Configs &amp; Procedures'!$L$31,0,1)))</f>
        <v>0</v>
      </c>
    </row>
    <row r="268" spans="2:79">
      <c r="B268" s="854"/>
      <c r="C268" s="854"/>
      <c r="D268" s="854"/>
      <c r="E268" s="854"/>
      <c r="F268" s="854"/>
      <c r="G268" s="854"/>
      <c r="H268" s="854"/>
      <c r="I268" s="854"/>
      <c r="J268" s="854"/>
      <c r="K268" s="854"/>
      <c r="L268" s="854"/>
      <c r="M268" s="854"/>
      <c r="N268" s="854"/>
      <c r="O268" s="854"/>
      <c r="P268" s="854"/>
      <c r="Q268" s="854"/>
      <c r="R268" s="854"/>
      <c r="S268" s="854"/>
      <c r="T268" s="854"/>
      <c r="U268" s="854"/>
      <c r="V268" s="854"/>
      <c r="W268" s="854"/>
      <c r="X268" s="854"/>
      <c r="Y268" s="854"/>
      <c r="Z268" s="854"/>
      <c r="AA268" s="854"/>
      <c r="AB268" s="854"/>
      <c r="AC268" s="854"/>
      <c r="AD268" s="854"/>
      <c r="AE268" s="854"/>
      <c r="AF268" s="854"/>
      <c r="AG268" s="854"/>
      <c r="AH268" s="854"/>
      <c r="AI268" s="854"/>
      <c r="AJ268" s="854"/>
      <c r="AK268" s="854"/>
      <c r="AL268" s="854"/>
      <c r="AM268" s="854"/>
      <c r="AN268" s="854"/>
      <c r="AO268" s="854"/>
      <c r="AP268" s="854"/>
      <c r="AQ268" s="854"/>
      <c r="AR268" s="854"/>
      <c r="AS268" s="854"/>
      <c r="AT268" s="854"/>
      <c r="AU268" s="854"/>
      <c r="AV268" s="854"/>
      <c r="AW268" s="854"/>
      <c r="AX268" s="854"/>
      <c r="AY268" s="854"/>
      <c r="AZ268" s="854"/>
      <c r="BA268" s="854"/>
      <c r="BB268" s="854"/>
      <c r="BC268" s="854"/>
      <c r="BD268" s="854"/>
      <c r="BE268" s="854"/>
      <c r="BF268" s="854"/>
      <c r="BG268" s="854"/>
      <c r="BH268" s="854"/>
      <c r="BI268" s="854"/>
      <c r="BJ268" s="854"/>
      <c r="BK268" s="854"/>
      <c r="BL268" s="854"/>
      <c r="BM268" s="854"/>
      <c r="BN268" s="854"/>
      <c r="BO268" s="854"/>
      <c r="BP268" s="854"/>
      <c r="BQ268" s="854"/>
      <c r="BR268" s="854"/>
      <c r="BS268" s="854"/>
      <c r="BT268" s="854"/>
      <c r="BU268" s="854"/>
      <c r="BV268" s="854"/>
      <c r="BW268" s="854"/>
      <c r="BX268" s="854"/>
      <c r="BY268" s="854"/>
      <c r="BZ268" s="854"/>
      <c r="CA268" s="571">
        <f>IF(OR(I268="",I268&lt;'Configs &amp; Procedures'!$L$29),0,IF(I268&gt;'Configs &amp; Procedures'!$L$30,1,IF(F268&gt;'Configs &amp; Procedures'!$L$31,0,1)))</f>
        <v>0</v>
      </c>
    </row>
    <row r="269" spans="2:79">
      <c r="B269" s="854"/>
      <c r="C269" s="854"/>
      <c r="D269" s="854"/>
      <c r="E269" s="854"/>
      <c r="F269" s="854"/>
      <c r="G269" s="854"/>
      <c r="H269" s="854"/>
      <c r="I269" s="854"/>
      <c r="J269" s="854"/>
      <c r="K269" s="854"/>
      <c r="L269" s="854"/>
      <c r="M269" s="854"/>
      <c r="N269" s="854"/>
      <c r="O269" s="854"/>
      <c r="P269" s="854"/>
      <c r="Q269" s="854"/>
      <c r="R269" s="854"/>
      <c r="S269" s="854"/>
      <c r="T269" s="854"/>
      <c r="U269" s="854"/>
      <c r="V269" s="854"/>
      <c r="W269" s="854"/>
      <c r="X269" s="854"/>
      <c r="Y269" s="854"/>
      <c r="Z269" s="854"/>
      <c r="AA269" s="854"/>
      <c r="AB269" s="854"/>
      <c r="AC269" s="854"/>
      <c r="AD269" s="854"/>
      <c r="AE269" s="854"/>
      <c r="AF269" s="854"/>
      <c r="AG269" s="854"/>
      <c r="AH269" s="854"/>
      <c r="AI269" s="854"/>
      <c r="AJ269" s="854"/>
      <c r="AK269" s="854"/>
      <c r="AL269" s="854"/>
      <c r="AM269" s="854"/>
      <c r="AN269" s="854"/>
      <c r="AO269" s="854"/>
      <c r="AP269" s="854"/>
      <c r="AQ269" s="854"/>
      <c r="AR269" s="854"/>
      <c r="AS269" s="854"/>
      <c r="AT269" s="854"/>
      <c r="AU269" s="854"/>
      <c r="AV269" s="854"/>
      <c r="AW269" s="854"/>
      <c r="AX269" s="854"/>
      <c r="AY269" s="854"/>
      <c r="AZ269" s="854"/>
      <c r="BA269" s="854"/>
      <c r="BB269" s="854"/>
      <c r="BC269" s="854"/>
      <c r="BD269" s="854"/>
      <c r="BE269" s="854"/>
      <c r="BF269" s="854"/>
      <c r="BG269" s="854"/>
      <c r="BH269" s="854"/>
      <c r="BI269" s="854"/>
      <c r="BJ269" s="854"/>
      <c r="BK269" s="854"/>
      <c r="BL269" s="854"/>
      <c r="BM269" s="854"/>
      <c r="BN269" s="854"/>
      <c r="BO269" s="854"/>
      <c r="BP269" s="854"/>
      <c r="BQ269" s="854"/>
      <c r="BR269" s="854"/>
      <c r="BS269" s="854"/>
      <c r="BT269" s="854"/>
      <c r="BU269" s="854"/>
      <c r="BV269" s="854"/>
      <c r="BW269" s="854"/>
      <c r="BX269" s="854"/>
      <c r="BY269" s="854"/>
      <c r="BZ269" s="854"/>
      <c r="CA269" s="571">
        <f>IF(OR(I269="",I269&lt;'Configs &amp; Procedures'!$L$29),0,IF(I269&gt;'Configs &amp; Procedures'!$L$30,1,IF(F269&gt;'Configs &amp; Procedures'!$L$31,0,1)))</f>
        <v>0</v>
      </c>
    </row>
    <row r="270" spans="2:79">
      <c r="B270" s="854"/>
      <c r="C270" s="854"/>
      <c r="D270" s="854"/>
      <c r="E270" s="854"/>
      <c r="F270" s="854"/>
      <c r="G270" s="854"/>
      <c r="H270" s="854"/>
      <c r="I270" s="854"/>
      <c r="J270" s="854"/>
      <c r="K270" s="854"/>
      <c r="L270" s="854"/>
      <c r="M270" s="854"/>
      <c r="N270" s="854"/>
      <c r="O270" s="854"/>
      <c r="P270" s="854"/>
      <c r="Q270" s="854"/>
      <c r="R270" s="854"/>
      <c r="S270" s="854"/>
      <c r="T270" s="854"/>
      <c r="U270" s="854"/>
      <c r="V270" s="854"/>
      <c r="W270" s="854"/>
      <c r="X270" s="854"/>
      <c r="Y270" s="854"/>
      <c r="Z270" s="854"/>
      <c r="AA270" s="854"/>
      <c r="AB270" s="854"/>
      <c r="AC270" s="854"/>
      <c r="AD270" s="854"/>
      <c r="AE270" s="854"/>
      <c r="AF270" s="854"/>
      <c r="AG270" s="854"/>
      <c r="AH270" s="854"/>
      <c r="AI270" s="854"/>
      <c r="AJ270" s="854"/>
      <c r="AK270" s="854"/>
      <c r="AL270" s="854"/>
      <c r="AM270" s="854"/>
      <c r="AN270" s="854"/>
      <c r="AO270" s="854"/>
      <c r="AP270" s="854"/>
      <c r="AQ270" s="854"/>
      <c r="AR270" s="854"/>
      <c r="AS270" s="854"/>
      <c r="AT270" s="854"/>
      <c r="AU270" s="854"/>
      <c r="AV270" s="854"/>
      <c r="AW270" s="854"/>
      <c r="AX270" s="854"/>
      <c r="AY270" s="854"/>
      <c r="AZ270" s="854"/>
      <c r="BA270" s="854"/>
      <c r="BB270" s="854"/>
      <c r="BC270" s="854"/>
      <c r="BD270" s="854"/>
      <c r="BE270" s="854"/>
      <c r="BF270" s="854"/>
      <c r="BG270" s="854"/>
      <c r="BH270" s="854"/>
      <c r="BI270" s="854"/>
      <c r="BJ270" s="854"/>
      <c r="BK270" s="854"/>
      <c r="BL270" s="854"/>
      <c r="BM270" s="854"/>
      <c r="BN270" s="854"/>
      <c r="BO270" s="854"/>
      <c r="BP270" s="854"/>
      <c r="BQ270" s="854"/>
      <c r="BR270" s="854"/>
      <c r="BS270" s="854"/>
      <c r="BT270" s="854"/>
      <c r="BU270" s="854"/>
      <c r="BV270" s="854"/>
      <c r="BW270" s="854"/>
      <c r="BX270" s="854"/>
      <c r="BY270" s="854"/>
      <c r="BZ270" s="854"/>
      <c r="CA270" s="571">
        <f>IF(OR(I270="",I270&lt;'Configs &amp; Procedures'!$L$29),0,IF(I270&gt;'Configs &amp; Procedures'!$L$30,1,IF(F270&gt;'Configs &amp; Procedures'!$L$31,0,1)))</f>
        <v>0</v>
      </c>
    </row>
    <row r="271" spans="2:79">
      <c r="B271" s="854"/>
      <c r="C271" s="854"/>
      <c r="D271" s="854"/>
      <c r="E271" s="854"/>
      <c r="F271" s="854"/>
      <c r="G271" s="854"/>
      <c r="H271" s="854"/>
      <c r="I271" s="854"/>
      <c r="J271" s="854"/>
      <c r="K271" s="854"/>
      <c r="L271" s="854"/>
      <c r="M271" s="854"/>
      <c r="N271" s="854"/>
      <c r="O271" s="854"/>
      <c r="P271" s="854"/>
      <c r="Q271" s="854"/>
      <c r="R271" s="854"/>
      <c r="S271" s="854"/>
      <c r="T271" s="854"/>
      <c r="U271" s="854"/>
      <c r="V271" s="854"/>
      <c r="W271" s="854"/>
      <c r="X271" s="854"/>
      <c r="Y271" s="854"/>
      <c r="Z271" s="854"/>
      <c r="AA271" s="854"/>
      <c r="AB271" s="854"/>
      <c r="AC271" s="854"/>
      <c r="AD271" s="854"/>
      <c r="AE271" s="854"/>
      <c r="AF271" s="854"/>
      <c r="AG271" s="854"/>
      <c r="AH271" s="854"/>
      <c r="AI271" s="854"/>
      <c r="AJ271" s="854"/>
      <c r="AK271" s="854"/>
      <c r="AL271" s="854"/>
      <c r="AM271" s="854"/>
      <c r="AN271" s="854"/>
      <c r="AO271" s="854"/>
      <c r="AP271" s="854"/>
      <c r="AQ271" s="854"/>
      <c r="AR271" s="854"/>
      <c r="AS271" s="854"/>
      <c r="AT271" s="854"/>
      <c r="AU271" s="854"/>
      <c r="AV271" s="854"/>
      <c r="AW271" s="854"/>
      <c r="AX271" s="854"/>
      <c r="AY271" s="854"/>
      <c r="AZ271" s="854"/>
      <c r="BA271" s="854"/>
      <c r="BB271" s="854"/>
      <c r="BC271" s="854"/>
      <c r="BD271" s="854"/>
      <c r="BE271" s="854"/>
      <c r="BF271" s="854"/>
      <c r="BG271" s="854"/>
      <c r="BH271" s="854"/>
      <c r="BI271" s="854"/>
      <c r="BJ271" s="854"/>
      <c r="BK271" s="854"/>
      <c r="BL271" s="854"/>
      <c r="BM271" s="854"/>
      <c r="BN271" s="854"/>
      <c r="BO271" s="854"/>
      <c r="BP271" s="854"/>
      <c r="BQ271" s="854"/>
      <c r="BR271" s="854"/>
      <c r="BS271" s="854"/>
      <c r="BT271" s="854"/>
      <c r="BU271" s="854"/>
      <c r="BV271" s="854"/>
      <c r="BW271" s="854"/>
      <c r="BX271" s="854"/>
      <c r="BY271" s="854"/>
      <c r="BZ271" s="854"/>
      <c r="CA271" s="571">
        <f>IF(OR(I271="",I271&lt;'Configs &amp; Procedures'!$L$29),0,IF(I271&gt;'Configs &amp; Procedures'!$L$30,1,IF(F271&gt;'Configs &amp; Procedures'!$L$31,0,1)))</f>
        <v>0</v>
      </c>
    </row>
    <row r="272" spans="2:79">
      <c r="B272" s="854"/>
      <c r="C272" s="854"/>
      <c r="D272" s="854"/>
      <c r="E272" s="854"/>
      <c r="F272" s="854"/>
      <c r="G272" s="854"/>
      <c r="H272" s="854"/>
      <c r="I272" s="854"/>
      <c r="J272" s="854"/>
      <c r="K272" s="854"/>
      <c r="L272" s="854"/>
      <c r="M272" s="854"/>
      <c r="N272" s="854"/>
      <c r="O272" s="854"/>
      <c r="P272" s="854"/>
      <c r="Q272" s="854"/>
      <c r="R272" s="854"/>
      <c r="S272" s="854"/>
      <c r="T272" s="854"/>
      <c r="U272" s="854"/>
      <c r="V272" s="854"/>
      <c r="W272" s="854"/>
      <c r="X272" s="854"/>
      <c r="Y272" s="854"/>
      <c r="Z272" s="854"/>
      <c r="AA272" s="854"/>
      <c r="AB272" s="854"/>
      <c r="AC272" s="854"/>
      <c r="AD272" s="854"/>
      <c r="AE272" s="854"/>
      <c r="AF272" s="854"/>
      <c r="AG272" s="854"/>
      <c r="AH272" s="854"/>
      <c r="AI272" s="854"/>
      <c r="AJ272" s="854"/>
      <c r="AK272" s="854"/>
      <c r="AL272" s="854"/>
      <c r="AM272" s="854"/>
      <c r="AN272" s="854"/>
      <c r="AO272" s="854"/>
      <c r="AP272" s="854"/>
      <c r="AQ272" s="854"/>
      <c r="AR272" s="854"/>
      <c r="AS272" s="854"/>
      <c r="AT272" s="854"/>
      <c r="AU272" s="854"/>
      <c r="AV272" s="854"/>
      <c r="AW272" s="854"/>
      <c r="AX272" s="854"/>
      <c r="AY272" s="854"/>
      <c r="AZ272" s="854"/>
      <c r="BA272" s="854"/>
      <c r="BB272" s="854"/>
      <c r="BC272" s="854"/>
      <c r="BD272" s="854"/>
      <c r="BE272" s="854"/>
      <c r="BF272" s="854"/>
      <c r="BG272" s="854"/>
      <c r="BH272" s="854"/>
      <c r="BI272" s="854"/>
      <c r="BJ272" s="854"/>
      <c r="BK272" s="854"/>
      <c r="BL272" s="854"/>
      <c r="BM272" s="854"/>
      <c r="BN272" s="854"/>
      <c r="BO272" s="854"/>
      <c r="BP272" s="854"/>
      <c r="BQ272" s="854"/>
      <c r="BR272" s="854"/>
      <c r="BS272" s="854"/>
      <c r="BT272" s="854"/>
      <c r="BU272" s="854"/>
      <c r="BV272" s="854"/>
      <c r="BW272" s="854"/>
      <c r="BX272" s="854"/>
      <c r="BY272" s="854"/>
      <c r="BZ272" s="854"/>
      <c r="CA272" s="571">
        <f>IF(OR(I272="",I272&lt;'Configs &amp; Procedures'!$L$29),0,IF(I272&gt;'Configs &amp; Procedures'!$L$30,1,IF(F272&gt;'Configs &amp; Procedures'!$L$31,0,1)))</f>
        <v>0</v>
      </c>
    </row>
    <row r="273" spans="2:79">
      <c r="B273" s="854"/>
      <c r="C273" s="854"/>
      <c r="D273" s="854"/>
      <c r="E273" s="854"/>
      <c r="F273" s="854"/>
      <c r="G273" s="854"/>
      <c r="H273" s="854"/>
      <c r="I273" s="854"/>
      <c r="J273" s="854"/>
      <c r="K273" s="854"/>
      <c r="L273" s="854"/>
      <c r="M273" s="854"/>
      <c r="N273" s="854"/>
      <c r="O273" s="854"/>
      <c r="P273" s="854"/>
      <c r="Q273" s="854"/>
      <c r="R273" s="854"/>
      <c r="S273" s="854"/>
      <c r="T273" s="854"/>
      <c r="U273" s="854"/>
      <c r="V273" s="854"/>
      <c r="W273" s="854"/>
      <c r="X273" s="854"/>
      <c r="Y273" s="854"/>
      <c r="Z273" s="854"/>
      <c r="AA273" s="854"/>
      <c r="AB273" s="854"/>
      <c r="AC273" s="854"/>
      <c r="AD273" s="854"/>
      <c r="AE273" s="854"/>
      <c r="AF273" s="854"/>
      <c r="AG273" s="854"/>
      <c r="AH273" s="854"/>
      <c r="AI273" s="854"/>
      <c r="AJ273" s="854"/>
      <c r="AK273" s="854"/>
      <c r="AL273" s="854"/>
      <c r="AM273" s="854"/>
      <c r="AN273" s="854"/>
      <c r="AO273" s="854"/>
      <c r="AP273" s="854"/>
      <c r="AQ273" s="854"/>
      <c r="AR273" s="854"/>
      <c r="AS273" s="854"/>
      <c r="AT273" s="854"/>
      <c r="AU273" s="854"/>
      <c r="AV273" s="854"/>
      <c r="AW273" s="854"/>
      <c r="AX273" s="854"/>
      <c r="AY273" s="854"/>
      <c r="AZ273" s="854"/>
      <c r="BA273" s="854"/>
      <c r="BB273" s="854"/>
      <c r="BC273" s="854"/>
      <c r="BD273" s="854"/>
      <c r="BE273" s="854"/>
      <c r="BF273" s="854"/>
      <c r="BG273" s="854"/>
      <c r="BH273" s="854"/>
      <c r="BI273" s="854"/>
      <c r="BJ273" s="854"/>
      <c r="BK273" s="854"/>
      <c r="BL273" s="854"/>
      <c r="BM273" s="854"/>
      <c r="BN273" s="854"/>
      <c r="BO273" s="854"/>
      <c r="BP273" s="854"/>
      <c r="BQ273" s="854"/>
      <c r="BR273" s="854"/>
      <c r="BS273" s="854"/>
      <c r="BT273" s="854"/>
      <c r="BU273" s="854"/>
      <c r="BV273" s="854"/>
      <c r="BW273" s="854"/>
      <c r="BX273" s="854"/>
      <c r="BY273" s="854"/>
      <c r="BZ273" s="854"/>
      <c r="CA273" s="571">
        <f>IF(OR(I273="",I273&lt;'Configs &amp; Procedures'!$L$29),0,IF(I273&gt;'Configs &amp; Procedures'!$L$30,1,IF(F273&gt;'Configs &amp; Procedures'!$L$31,0,1)))</f>
        <v>0</v>
      </c>
    </row>
    <row r="274" spans="2:79">
      <c r="B274" s="854"/>
      <c r="C274" s="854"/>
      <c r="D274" s="854"/>
      <c r="E274" s="854"/>
      <c r="F274" s="854"/>
      <c r="G274" s="854"/>
      <c r="H274" s="854"/>
      <c r="I274" s="854"/>
      <c r="J274" s="854"/>
      <c r="K274" s="854"/>
      <c r="L274" s="854"/>
      <c r="M274" s="854"/>
      <c r="N274" s="854"/>
      <c r="O274" s="854"/>
      <c r="P274" s="854"/>
      <c r="Q274" s="854"/>
      <c r="R274" s="854"/>
      <c r="S274" s="854"/>
      <c r="T274" s="854"/>
      <c r="U274" s="854"/>
      <c r="V274" s="854"/>
      <c r="W274" s="854"/>
      <c r="X274" s="854"/>
      <c r="Y274" s="854"/>
      <c r="Z274" s="854"/>
      <c r="AA274" s="854"/>
      <c r="AB274" s="854"/>
      <c r="AC274" s="854"/>
      <c r="AD274" s="854"/>
      <c r="AE274" s="854"/>
      <c r="AF274" s="854"/>
      <c r="AG274" s="854"/>
      <c r="AH274" s="854"/>
      <c r="AI274" s="854"/>
      <c r="AJ274" s="854"/>
      <c r="AK274" s="854"/>
      <c r="AL274" s="854"/>
      <c r="AM274" s="854"/>
      <c r="AN274" s="854"/>
      <c r="AO274" s="854"/>
      <c r="AP274" s="854"/>
      <c r="AQ274" s="854"/>
      <c r="AR274" s="854"/>
      <c r="AS274" s="854"/>
      <c r="AT274" s="854"/>
      <c r="AU274" s="854"/>
      <c r="AV274" s="854"/>
      <c r="AW274" s="854"/>
      <c r="AX274" s="854"/>
      <c r="AY274" s="854"/>
      <c r="AZ274" s="854"/>
      <c r="BA274" s="854"/>
      <c r="BB274" s="854"/>
      <c r="BC274" s="854"/>
      <c r="BD274" s="854"/>
      <c r="BE274" s="854"/>
      <c r="BF274" s="854"/>
      <c r="BG274" s="854"/>
      <c r="BH274" s="854"/>
      <c r="BI274" s="854"/>
      <c r="BJ274" s="854"/>
      <c r="BK274" s="854"/>
      <c r="BL274" s="854"/>
      <c r="BM274" s="854"/>
      <c r="BN274" s="854"/>
      <c r="BO274" s="854"/>
      <c r="BP274" s="854"/>
      <c r="BQ274" s="854"/>
      <c r="BR274" s="854"/>
      <c r="BS274" s="854"/>
      <c r="BT274" s="854"/>
      <c r="BU274" s="854"/>
      <c r="BV274" s="854"/>
      <c r="BW274" s="854"/>
      <c r="BX274" s="854"/>
      <c r="BY274" s="854"/>
      <c r="BZ274" s="854"/>
      <c r="CA274" s="571">
        <f>IF(OR(I274="",I274&lt;'Configs &amp; Procedures'!$L$29),0,IF(I274&gt;'Configs &amp; Procedures'!$L$30,1,IF(F274&gt;'Configs &amp; Procedures'!$L$31,0,1)))</f>
        <v>0</v>
      </c>
    </row>
    <row r="275" spans="2:79">
      <c r="B275" s="854"/>
      <c r="C275" s="854"/>
      <c r="D275" s="854"/>
      <c r="E275" s="854"/>
      <c r="F275" s="854"/>
      <c r="G275" s="854"/>
      <c r="H275" s="854"/>
      <c r="I275" s="854"/>
      <c r="J275" s="854"/>
      <c r="K275" s="854"/>
      <c r="L275" s="854"/>
      <c r="M275" s="854"/>
      <c r="N275" s="854"/>
      <c r="O275" s="854"/>
      <c r="P275" s="854"/>
      <c r="Q275" s="854"/>
      <c r="R275" s="854"/>
      <c r="S275" s="854"/>
      <c r="T275" s="854"/>
      <c r="U275" s="854"/>
      <c r="V275" s="854"/>
      <c r="W275" s="854"/>
      <c r="X275" s="854"/>
      <c r="Y275" s="854"/>
      <c r="Z275" s="854"/>
      <c r="AA275" s="854"/>
      <c r="AB275" s="854"/>
      <c r="AC275" s="854"/>
      <c r="AD275" s="854"/>
      <c r="AE275" s="854"/>
      <c r="AF275" s="854"/>
      <c r="AG275" s="854"/>
      <c r="AH275" s="854"/>
      <c r="AI275" s="854"/>
      <c r="AJ275" s="854"/>
      <c r="AK275" s="854"/>
      <c r="AL275" s="854"/>
      <c r="AM275" s="854"/>
      <c r="AN275" s="854"/>
      <c r="AO275" s="854"/>
      <c r="AP275" s="854"/>
      <c r="AQ275" s="854"/>
      <c r="AR275" s="854"/>
      <c r="AS275" s="854"/>
      <c r="AT275" s="854"/>
      <c r="AU275" s="854"/>
      <c r="AV275" s="854"/>
      <c r="AW275" s="854"/>
      <c r="AX275" s="854"/>
      <c r="AY275" s="854"/>
      <c r="AZ275" s="854"/>
      <c r="BA275" s="854"/>
      <c r="BB275" s="854"/>
      <c r="BC275" s="854"/>
      <c r="BD275" s="854"/>
      <c r="BE275" s="854"/>
      <c r="BF275" s="854"/>
      <c r="BG275" s="854"/>
      <c r="BH275" s="854"/>
      <c r="BI275" s="854"/>
      <c r="BJ275" s="854"/>
      <c r="BK275" s="854"/>
      <c r="BL275" s="854"/>
      <c r="BM275" s="854"/>
      <c r="BN275" s="854"/>
      <c r="BO275" s="854"/>
      <c r="BP275" s="854"/>
      <c r="BQ275" s="854"/>
      <c r="BR275" s="854"/>
      <c r="BS275" s="854"/>
      <c r="BT275" s="854"/>
      <c r="BU275" s="854"/>
      <c r="BV275" s="854"/>
      <c r="BW275" s="854"/>
      <c r="BX275" s="854"/>
      <c r="BY275" s="854"/>
      <c r="BZ275" s="854"/>
      <c r="CA275" s="571">
        <f>IF(OR(I275="",I275&lt;'Configs &amp; Procedures'!$L$29),0,IF(I275&gt;'Configs &amp; Procedures'!$L$30,1,IF(F275&gt;'Configs &amp; Procedures'!$L$31,0,1)))</f>
        <v>0</v>
      </c>
    </row>
    <row r="276" spans="2:79">
      <c r="B276" s="854"/>
      <c r="C276" s="854"/>
      <c r="D276" s="854"/>
      <c r="E276" s="854"/>
      <c r="F276" s="854"/>
      <c r="G276" s="854"/>
      <c r="H276" s="854"/>
      <c r="I276" s="854"/>
      <c r="J276" s="854"/>
      <c r="K276" s="854"/>
      <c r="L276" s="854"/>
      <c r="M276" s="854"/>
      <c r="N276" s="854"/>
      <c r="O276" s="854"/>
      <c r="P276" s="854"/>
      <c r="Q276" s="854"/>
      <c r="R276" s="854"/>
      <c r="S276" s="854"/>
      <c r="T276" s="854"/>
      <c r="U276" s="854"/>
      <c r="V276" s="854"/>
      <c r="W276" s="854"/>
      <c r="X276" s="854"/>
      <c r="Y276" s="854"/>
      <c r="Z276" s="854"/>
      <c r="AA276" s="854"/>
      <c r="AB276" s="854"/>
      <c r="AC276" s="854"/>
      <c r="AD276" s="854"/>
      <c r="AE276" s="854"/>
      <c r="AF276" s="854"/>
      <c r="AG276" s="854"/>
      <c r="AH276" s="854"/>
      <c r="AI276" s="854"/>
      <c r="AJ276" s="854"/>
      <c r="AK276" s="854"/>
      <c r="AL276" s="854"/>
      <c r="AM276" s="854"/>
      <c r="AN276" s="854"/>
      <c r="AO276" s="854"/>
      <c r="AP276" s="854"/>
      <c r="AQ276" s="854"/>
      <c r="AR276" s="854"/>
      <c r="AS276" s="854"/>
      <c r="AT276" s="854"/>
      <c r="AU276" s="854"/>
      <c r="AV276" s="854"/>
      <c r="AW276" s="854"/>
      <c r="AX276" s="854"/>
      <c r="AY276" s="854"/>
      <c r="AZ276" s="854"/>
      <c r="BA276" s="854"/>
      <c r="BB276" s="854"/>
      <c r="BC276" s="854"/>
      <c r="BD276" s="854"/>
      <c r="BE276" s="854"/>
      <c r="BF276" s="854"/>
      <c r="BG276" s="854"/>
      <c r="BH276" s="854"/>
      <c r="BI276" s="854"/>
      <c r="BJ276" s="854"/>
      <c r="BK276" s="854"/>
      <c r="BL276" s="854"/>
      <c r="BM276" s="854"/>
      <c r="BN276" s="854"/>
      <c r="BO276" s="854"/>
      <c r="BP276" s="854"/>
      <c r="BQ276" s="854"/>
      <c r="BR276" s="854"/>
      <c r="BS276" s="854"/>
      <c r="BT276" s="854"/>
      <c r="BU276" s="854"/>
      <c r="BV276" s="854"/>
      <c r="BW276" s="854"/>
      <c r="BX276" s="854"/>
      <c r="BY276" s="854"/>
      <c r="BZ276" s="854"/>
      <c r="CA276" s="571">
        <f>IF(OR(I276="",I276&lt;'Configs &amp; Procedures'!$L$29),0,IF(I276&gt;'Configs &amp; Procedures'!$L$30,1,IF(F276&gt;'Configs &amp; Procedures'!$L$31,0,1)))</f>
        <v>0</v>
      </c>
    </row>
    <row r="277" spans="2:79">
      <c r="B277" s="854"/>
      <c r="C277" s="854"/>
      <c r="D277" s="854"/>
      <c r="E277" s="854"/>
      <c r="F277" s="854"/>
      <c r="G277" s="854"/>
      <c r="H277" s="854"/>
      <c r="I277" s="854"/>
      <c r="J277" s="854"/>
      <c r="K277" s="854"/>
      <c r="L277" s="854"/>
      <c r="M277" s="854"/>
      <c r="N277" s="854"/>
      <c r="O277" s="854"/>
      <c r="P277" s="854"/>
      <c r="Q277" s="854"/>
      <c r="R277" s="854"/>
      <c r="S277" s="854"/>
      <c r="T277" s="854"/>
      <c r="U277" s="854"/>
      <c r="V277" s="854"/>
      <c r="W277" s="854"/>
      <c r="X277" s="854"/>
      <c r="Y277" s="854"/>
      <c r="Z277" s="854"/>
      <c r="AA277" s="854"/>
      <c r="AB277" s="854"/>
      <c r="AC277" s="854"/>
      <c r="AD277" s="854"/>
      <c r="AE277" s="854"/>
      <c r="AF277" s="854"/>
      <c r="AG277" s="854"/>
      <c r="AH277" s="854"/>
      <c r="AI277" s="854"/>
      <c r="AJ277" s="854"/>
      <c r="AK277" s="854"/>
      <c r="AL277" s="854"/>
      <c r="AM277" s="854"/>
      <c r="AN277" s="854"/>
      <c r="AO277" s="854"/>
      <c r="AP277" s="854"/>
      <c r="AQ277" s="854"/>
      <c r="AR277" s="854"/>
      <c r="AS277" s="854"/>
      <c r="AT277" s="854"/>
      <c r="AU277" s="854"/>
      <c r="AV277" s="854"/>
      <c r="AW277" s="854"/>
      <c r="AX277" s="854"/>
      <c r="AY277" s="854"/>
      <c r="AZ277" s="854"/>
      <c r="BA277" s="854"/>
      <c r="BB277" s="854"/>
      <c r="BC277" s="854"/>
      <c r="BD277" s="854"/>
      <c r="BE277" s="854"/>
      <c r="BF277" s="854"/>
      <c r="BG277" s="854"/>
      <c r="BH277" s="854"/>
      <c r="BI277" s="854"/>
      <c r="BJ277" s="854"/>
      <c r="BK277" s="854"/>
      <c r="BL277" s="854"/>
      <c r="BM277" s="854"/>
      <c r="BN277" s="854"/>
      <c r="BO277" s="854"/>
      <c r="BP277" s="854"/>
      <c r="BQ277" s="854"/>
      <c r="BR277" s="854"/>
      <c r="BS277" s="854"/>
      <c r="BT277" s="854"/>
      <c r="BU277" s="854"/>
      <c r="BV277" s="854"/>
      <c r="BW277" s="854"/>
      <c r="BX277" s="854"/>
      <c r="BY277" s="854"/>
      <c r="BZ277" s="854"/>
      <c r="CA277" s="571">
        <f>IF(OR(I277="",I277&lt;'Configs &amp; Procedures'!$L$29),0,IF(I277&gt;'Configs &amp; Procedures'!$L$30,1,IF(F277&gt;'Configs &amp; Procedures'!$L$31,0,1)))</f>
        <v>0</v>
      </c>
    </row>
    <row r="278" spans="2:79">
      <c r="B278" s="854"/>
      <c r="C278" s="854"/>
      <c r="D278" s="854"/>
      <c r="E278" s="854"/>
      <c r="F278" s="854"/>
      <c r="G278" s="854"/>
      <c r="H278" s="854"/>
      <c r="I278" s="854"/>
      <c r="J278" s="854"/>
      <c r="K278" s="854"/>
      <c r="L278" s="854"/>
      <c r="M278" s="854"/>
      <c r="N278" s="854"/>
      <c r="O278" s="854"/>
      <c r="P278" s="854"/>
      <c r="Q278" s="854"/>
      <c r="R278" s="854"/>
      <c r="S278" s="854"/>
      <c r="T278" s="854"/>
      <c r="U278" s="854"/>
      <c r="V278" s="854"/>
      <c r="W278" s="854"/>
      <c r="X278" s="854"/>
      <c r="Y278" s="854"/>
      <c r="Z278" s="854"/>
      <c r="AA278" s="854"/>
      <c r="AB278" s="854"/>
      <c r="AC278" s="854"/>
      <c r="AD278" s="854"/>
      <c r="AE278" s="854"/>
      <c r="AF278" s="854"/>
      <c r="AG278" s="854"/>
      <c r="AH278" s="854"/>
      <c r="AI278" s="854"/>
      <c r="AJ278" s="854"/>
      <c r="AK278" s="854"/>
      <c r="AL278" s="854"/>
      <c r="AM278" s="854"/>
      <c r="AN278" s="854"/>
      <c r="AO278" s="854"/>
      <c r="AP278" s="854"/>
      <c r="AQ278" s="854"/>
      <c r="AR278" s="854"/>
      <c r="AS278" s="854"/>
      <c r="AT278" s="854"/>
      <c r="AU278" s="854"/>
      <c r="AV278" s="854"/>
      <c r="AW278" s="854"/>
      <c r="AX278" s="854"/>
      <c r="AY278" s="854"/>
      <c r="AZ278" s="854"/>
      <c r="BA278" s="854"/>
      <c r="BB278" s="854"/>
      <c r="BC278" s="854"/>
      <c r="BD278" s="854"/>
      <c r="BE278" s="854"/>
      <c r="BF278" s="854"/>
      <c r="BG278" s="854"/>
      <c r="BH278" s="854"/>
      <c r="BI278" s="854"/>
      <c r="BJ278" s="854"/>
      <c r="BK278" s="854"/>
      <c r="BL278" s="854"/>
      <c r="BM278" s="854"/>
      <c r="BN278" s="854"/>
      <c r="BO278" s="854"/>
      <c r="BP278" s="854"/>
      <c r="BQ278" s="854"/>
      <c r="BR278" s="854"/>
      <c r="BS278" s="854"/>
      <c r="BT278" s="854"/>
      <c r="BU278" s="854"/>
      <c r="BV278" s="854"/>
      <c r="BW278" s="854"/>
      <c r="BX278" s="854"/>
      <c r="BY278" s="854"/>
      <c r="BZ278" s="854"/>
      <c r="CA278" s="571">
        <f>IF(OR(I278="",I278&lt;'Configs &amp; Procedures'!$L$29),0,IF(I278&gt;'Configs &amp; Procedures'!$L$30,1,IF(F278&gt;'Configs &amp; Procedures'!$L$31,0,1)))</f>
        <v>0</v>
      </c>
    </row>
    <row r="279" spans="2:79">
      <c r="B279" s="854"/>
      <c r="C279" s="854"/>
      <c r="D279" s="854"/>
      <c r="E279" s="854"/>
      <c r="F279" s="854"/>
      <c r="G279" s="854"/>
      <c r="H279" s="854"/>
      <c r="I279" s="854"/>
      <c r="J279" s="854"/>
      <c r="K279" s="854"/>
      <c r="L279" s="854"/>
      <c r="M279" s="854"/>
      <c r="N279" s="854"/>
      <c r="O279" s="854"/>
      <c r="P279" s="854"/>
      <c r="Q279" s="854"/>
      <c r="R279" s="854"/>
      <c r="S279" s="854"/>
      <c r="T279" s="854"/>
      <c r="U279" s="854"/>
      <c r="V279" s="854"/>
      <c r="W279" s="854"/>
      <c r="X279" s="854"/>
      <c r="Y279" s="854"/>
      <c r="Z279" s="854"/>
      <c r="AA279" s="854"/>
      <c r="AB279" s="854"/>
      <c r="AC279" s="854"/>
      <c r="AD279" s="854"/>
      <c r="AE279" s="854"/>
      <c r="AF279" s="854"/>
      <c r="AG279" s="854"/>
      <c r="AH279" s="854"/>
      <c r="AI279" s="854"/>
      <c r="AJ279" s="854"/>
      <c r="AK279" s="854"/>
      <c r="AL279" s="854"/>
      <c r="AM279" s="854"/>
      <c r="AN279" s="854"/>
      <c r="AO279" s="854"/>
      <c r="AP279" s="854"/>
      <c r="AQ279" s="854"/>
      <c r="AR279" s="854"/>
      <c r="AS279" s="854"/>
      <c r="AT279" s="854"/>
      <c r="AU279" s="854"/>
      <c r="AV279" s="854"/>
      <c r="AW279" s="854"/>
      <c r="AX279" s="854"/>
      <c r="AY279" s="854"/>
      <c r="AZ279" s="854"/>
      <c r="BA279" s="854"/>
      <c r="BB279" s="854"/>
      <c r="BC279" s="854"/>
      <c r="BD279" s="854"/>
      <c r="BE279" s="854"/>
      <c r="BF279" s="854"/>
      <c r="BG279" s="854"/>
      <c r="BH279" s="854"/>
      <c r="BI279" s="854"/>
      <c r="BJ279" s="854"/>
      <c r="BK279" s="854"/>
      <c r="BL279" s="854"/>
      <c r="BM279" s="854"/>
      <c r="BN279" s="854"/>
      <c r="BO279" s="854"/>
      <c r="BP279" s="854"/>
      <c r="BQ279" s="854"/>
      <c r="BR279" s="854"/>
      <c r="BS279" s="854"/>
      <c r="BT279" s="854"/>
      <c r="BU279" s="854"/>
      <c r="BV279" s="854"/>
      <c r="BW279" s="854"/>
      <c r="BX279" s="854"/>
      <c r="BY279" s="854"/>
      <c r="BZ279" s="854"/>
      <c r="CA279" s="571">
        <f>IF(OR(I279="",I279&lt;'Configs &amp; Procedures'!$L$29),0,IF(I279&gt;'Configs &amp; Procedures'!$L$30,1,IF(F279&gt;'Configs &amp; Procedures'!$L$31,0,1)))</f>
        <v>0</v>
      </c>
    </row>
    <row r="280" spans="2:79">
      <c r="B280" s="854"/>
      <c r="C280" s="854"/>
      <c r="D280" s="854"/>
      <c r="E280" s="854"/>
      <c r="F280" s="854"/>
      <c r="G280" s="854"/>
      <c r="H280" s="854"/>
      <c r="I280" s="854"/>
      <c r="J280" s="854"/>
      <c r="K280" s="854"/>
      <c r="L280" s="854"/>
      <c r="M280" s="854"/>
      <c r="N280" s="854"/>
      <c r="O280" s="854"/>
      <c r="P280" s="854"/>
      <c r="Q280" s="854"/>
      <c r="R280" s="854"/>
      <c r="S280" s="854"/>
      <c r="T280" s="854"/>
      <c r="U280" s="854"/>
      <c r="V280" s="854"/>
      <c r="W280" s="854"/>
      <c r="X280" s="854"/>
      <c r="Y280" s="854"/>
      <c r="Z280" s="854"/>
      <c r="AA280" s="854"/>
      <c r="AB280" s="854"/>
      <c r="AC280" s="854"/>
      <c r="AD280" s="854"/>
      <c r="AE280" s="854"/>
      <c r="AF280" s="854"/>
      <c r="AG280" s="854"/>
      <c r="AH280" s="854"/>
      <c r="AI280" s="854"/>
      <c r="AJ280" s="854"/>
      <c r="AK280" s="854"/>
      <c r="AL280" s="854"/>
      <c r="AM280" s="854"/>
      <c r="AN280" s="854"/>
      <c r="AO280" s="854"/>
      <c r="AP280" s="854"/>
      <c r="AQ280" s="854"/>
      <c r="AR280" s="854"/>
      <c r="AS280" s="854"/>
      <c r="AT280" s="854"/>
      <c r="AU280" s="854"/>
      <c r="AV280" s="854"/>
      <c r="AW280" s="854"/>
      <c r="AX280" s="854"/>
      <c r="AY280" s="854"/>
      <c r="AZ280" s="854"/>
      <c r="BA280" s="854"/>
      <c r="BB280" s="854"/>
      <c r="BC280" s="854"/>
      <c r="BD280" s="854"/>
      <c r="BE280" s="854"/>
      <c r="BF280" s="854"/>
      <c r="BG280" s="854"/>
      <c r="BH280" s="854"/>
      <c r="BI280" s="854"/>
      <c r="BJ280" s="854"/>
      <c r="BK280" s="854"/>
      <c r="BL280" s="854"/>
      <c r="BM280" s="854"/>
      <c r="BN280" s="854"/>
      <c r="BO280" s="854"/>
      <c r="BP280" s="854"/>
      <c r="BQ280" s="854"/>
      <c r="BR280" s="854"/>
      <c r="BS280" s="854"/>
      <c r="BT280" s="854"/>
      <c r="BU280" s="854"/>
      <c r="BV280" s="854"/>
      <c r="BW280" s="854"/>
      <c r="BX280" s="854"/>
      <c r="BY280" s="854"/>
      <c r="BZ280" s="854"/>
      <c r="CA280" s="571">
        <f>IF(OR(I280="",I280&lt;'Configs &amp; Procedures'!$L$29),0,IF(I280&gt;'Configs &amp; Procedures'!$L$30,1,IF(F280&gt;'Configs &amp; Procedures'!$L$31,0,1)))</f>
        <v>0</v>
      </c>
    </row>
    <row r="281" spans="2:79">
      <c r="B281" s="854"/>
      <c r="C281" s="854"/>
      <c r="D281" s="854"/>
      <c r="E281" s="854"/>
      <c r="F281" s="854"/>
      <c r="G281" s="854"/>
      <c r="H281" s="854"/>
      <c r="I281" s="854"/>
      <c r="J281" s="854"/>
      <c r="K281" s="854"/>
      <c r="L281" s="854"/>
      <c r="M281" s="854"/>
      <c r="N281" s="854"/>
      <c r="O281" s="854"/>
      <c r="P281" s="854"/>
      <c r="Q281" s="854"/>
      <c r="R281" s="854"/>
      <c r="S281" s="854"/>
      <c r="T281" s="854"/>
      <c r="U281" s="854"/>
      <c r="V281" s="854"/>
      <c r="W281" s="854"/>
      <c r="X281" s="854"/>
      <c r="Y281" s="854"/>
      <c r="Z281" s="854"/>
      <c r="AA281" s="854"/>
      <c r="AB281" s="854"/>
      <c r="AC281" s="854"/>
      <c r="AD281" s="854"/>
      <c r="AE281" s="854"/>
      <c r="AF281" s="854"/>
      <c r="AG281" s="854"/>
      <c r="AH281" s="854"/>
      <c r="AI281" s="854"/>
      <c r="AJ281" s="854"/>
      <c r="AK281" s="854"/>
      <c r="AL281" s="854"/>
      <c r="AM281" s="854"/>
      <c r="AN281" s="854"/>
      <c r="AO281" s="854"/>
      <c r="AP281" s="854"/>
      <c r="AQ281" s="854"/>
      <c r="AR281" s="854"/>
      <c r="AS281" s="854"/>
      <c r="AT281" s="854"/>
      <c r="AU281" s="854"/>
      <c r="AV281" s="854"/>
      <c r="AW281" s="854"/>
      <c r="AX281" s="854"/>
      <c r="AY281" s="854"/>
      <c r="AZ281" s="854"/>
      <c r="BA281" s="854"/>
      <c r="BB281" s="854"/>
      <c r="BC281" s="854"/>
      <c r="BD281" s="854"/>
      <c r="BE281" s="854"/>
      <c r="BF281" s="854"/>
      <c r="BG281" s="854"/>
      <c r="BH281" s="854"/>
      <c r="BI281" s="854"/>
      <c r="BJ281" s="854"/>
      <c r="BK281" s="854"/>
      <c r="BL281" s="854"/>
      <c r="BM281" s="854"/>
      <c r="BN281" s="854"/>
      <c r="BO281" s="854"/>
      <c r="BP281" s="854"/>
      <c r="BQ281" s="854"/>
      <c r="BR281" s="854"/>
      <c r="BS281" s="854"/>
      <c r="BT281" s="854"/>
      <c r="BU281" s="854"/>
      <c r="BV281" s="854"/>
      <c r="BW281" s="854"/>
      <c r="BX281" s="854"/>
      <c r="BY281" s="854"/>
      <c r="BZ281" s="854"/>
      <c r="CA281" s="571">
        <f>IF(OR(I281="",I281&lt;'Configs &amp; Procedures'!$L$29),0,IF(I281&gt;'Configs &amp; Procedures'!$L$30,1,IF(F281&gt;'Configs &amp; Procedures'!$L$31,0,1)))</f>
        <v>0</v>
      </c>
    </row>
    <row r="282" spans="2:79">
      <c r="B282" s="854"/>
      <c r="C282" s="854"/>
      <c r="D282" s="854"/>
      <c r="E282" s="854"/>
      <c r="F282" s="854"/>
      <c r="G282" s="854"/>
      <c r="H282" s="854"/>
      <c r="I282" s="854"/>
      <c r="J282" s="854"/>
      <c r="K282" s="854"/>
      <c r="L282" s="854"/>
      <c r="M282" s="854"/>
      <c r="N282" s="854"/>
      <c r="O282" s="854"/>
      <c r="P282" s="854"/>
      <c r="Q282" s="854"/>
      <c r="R282" s="854"/>
      <c r="S282" s="854"/>
      <c r="T282" s="854"/>
      <c r="U282" s="854"/>
      <c r="V282" s="854"/>
      <c r="W282" s="854"/>
      <c r="X282" s="854"/>
      <c r="Y282" s="854"/>
      <c r="Z282" s="854"/>
      <c r="AA282" s="854"/>
      <c r="AB282" s="854"/>
      <c r="AC282" s="854"/>
      <c r="AD282" s="854"/>
      <c r="AE282" s="854"/>
      <c r="AF282" s="854"/>
      <c r="AG282" s="854"/>
      <c r="AH282" s="854"/>
      <c r="AI282" s="854"/>
      <c r="AJ282" s="854"/>
      <c r="AK282" s="854"/>
      <c r="AL282" s="854"/>
      <c r="AM282" s="854"/>
      <c r="AN282" s="854"/>
      <c r="AO282" s="854"/>
      <c r="AP282" s="854"/>
      <c r="AQ282" s="854"/>
      <c r="AR282" s="854"/>
      <c r="AS282" s="854"/>
      <c r="AT282" s="854"/>
      <c r="AU282" s="854"/>
      <c r="AV282" s="854"/>
      <c r="AW282" s="854"/>
      <c r="AX282" s="854"/>
      <c r="AY282" s="854"/>
      <c r="AZ282" s="854"/>
      <c r="BA282" s="854"/>
      <c r="BB282" s="854"/>
      <c r="BC282" s="854"/>
      <c r="BD282" s="854"/>
      <c r="BE282" s="854"/>
      <c r="BF282" s="854"/>
      <c r="BG282" s="854"/>
      <c r="BH282" s="854"/>
      <c r="BI282" s="854"/>
      <c r="BJ282" s="854"/>
      <c r="BK282" s="854"/>
      <c r="BL282" s="854"/>
      <c r="BM282" s="854"/>
      <c r="BN282" s="854"/>
      <c r="BO282" s="854"/>
      <c r="BP282" s="854"/>
      <c r="BQ282" s="854"/>
      <c r="BR282" s="854"/>
      <c r="BS282" s="854"/>
      <c r="BT282" s="854"/>
      <c r="BU282" s="854"/>
      <c r="BV282" s="854"/>
      <c r="BW282" s="854"/>
      <c r="BX282" s="854"/>
      <c r="BY282" s="854"/>
      <c r="BZ282" s="854"/>
      <c r="CA282" s="571">
        <f>IF(OR(I282="",I282&lt;'Configs &amp; Procedures'!$L$29),0,IF(I282&gt;'Configs &amp; Procedures'!$L$30,1,IF(F282&gt;'Configs &amp; Procedures'!$L$31,0,1)))</f>
        <v>0</v>
      </c>
    </row>
    <row r="283" spans="2:79">
      <c r="B283" s="854"/>
      <c r="C283" s="854"/>
      <c r="D283" s="854"/>
      <c r="E283" s="854"/>
      <c r="F283" s="854"/>
      <c r="G283" s="854"/>
      <c r="H283" s="854"/>
      <c r="I283" s="854"/>
      <c r="J283" s="854"/>
      <c r="K283" s="854"/>
      <c r="L283" s="854"/>
      <c r="M283" s="854"/>
      <c r="N283" s="854"/>
      <c r="O283" s="854"/>
      <c r="P283" s="854"/>
      <c r="Q283" s="854"/>
      <c r="R283" s="854"/>
      <c r="S283" s="854"/>
      <c r="T283" s="854"/>
      <c r="U283" s="854"/>
      <c r="V283" s="854"/>
      <c r="W283" s="854"/>
      <c r="X283" s="854"/>
      <c r="Y283" s="854"/>
      <c r="Z283" s="854"/>
      <c r="AA283" s="854"/>
      <c r="AB283" s="854"/>
      <c r="AC283" s="854"/>
      <c r="AD283" s="854"/>
      <c r="AE283" s="854"/>
      <c r="AF283" s="854"/>
      <c r="AG283" s="854"/>
      <c r="AH283" s="854"/>
      <c r="AI283" s="854"/>
      <c r="AJ283" s="854"/>
      <c r="AK283" s="854"/>
      <c r="AL283" s="854"/>
      <c r="AM283" s="854"/>
      <c r="AN283" s="854"/>
      <c r="AO283" s="854"/>
      <c r="AP283" s="854"/>
      <c r="AQ283" s="854"/>
      <c r="AR283" s="854"/>
      <c r="AS283" s="854"/>
      <c r="AT283" s="854"/>
      <c r="AU283" s="854"/>
      <c r="AV283" s="854"/>
      <c r="AW283" s="854"/>
      <c r="AX283" s="854"/>
      <c r="AY283" s="854"/>
      <c r="AZ283" s="854"/>
      <c r="BA283" s="854"/>
      <c r="BB283" s="854"/>
      <c r="BC283" s="854"/>
      <c r="BD283" s="854"/>
      <c r="BE283" s="854"/>
      <c r="BF283" s="854"/>
      <c r="BG283" s="854"/>
      <c r="BH283" s="854"/>
      <c r="BI283" s="854"/>
      <c r="BJ283" s="854"/>
      <c r="BK283" s="854"/>
      <c r="BL283" s="854"/>
      <c r="BM283" s="854"/>
      <c r="BN283" s="854"/>
      <c r="BO283" s="854"/>
      <c r="BP283" s="854"/>
      <c r="BQ283" s="854"/>
      <c r="BR283" s="854"/>
      <c r="BS283" s="854"/>
      <c r="BT283" s="854"/>
      <c r="BU283" s="854"/>
      <c r="BV283" s="854"/>
      <c r="BW283" s="854"/>
      <c r="BX283" s="854"/>
      <c r="BY283" s="854"/>
      <c r="BZ283" s="854"/>
      <c r="CA283" s="571">
        <f>IF(OR(I283="",I283&lt;'Configs &amp; Procedures'!$L$29),0,IF(I283&gt;'Configs &amp; Procedures'!$L$30,1,IF(F283&gt;'Configs &amp; Procedures'!$L$31,0,1)))</f>
        <v>0</v>
      </c>
    </row>
    <row r="284" spans="2:79">
      <c r="B284" s="854"/>
      <c r="C284" s="854"/>
      <c r="D284" s="854"/>
      <c r="E284" s="854"/>
      <c r="F284" s="854"/>
      <c r="G284" s="854"/>
      <c r="H284" s="854"/>
      <c r="I284" s="854"/>
      <c r="J284" s="854"/>
      <c r="K284" s="854"/>
      <c r="L284" s="854"/>
      <c r="M284" s="854"/>
      <c r="N284" s="854"/>
      <c r="O284" s="854"/>
      <c r="P284" s="854"/>
      <c r="Q284" s="854"/>
      <c r="R284" s="854"/>
      <c r="S284" s="854"/>
      <c r="T284" s="854"/>
      <c r="U284" s="854"/>
      <c r="V284" s="854"/>
      <c r="W284" s="854"/>
      <c r="X284" s="854"/>
      <c r="Y284" s="854"/>
      <c r="Z284" s="854"/>
      <c r="AA284" s="854"/>
      <c r="AB284" s="854"/>
      <c r="AC284" s="854"/>
      <c r="AD284" s="854"/>
      <c r="AE284" s="854"/>
      <c r="AF284" s="854"/>
      <c r="AG284" s="854"/>
      <c r="AH284" s="854"/>
      <c r="AI284" s="854"/>
      <c r="AJ284" s="854"/>
      <c r="AK284" s="854"/>
      <c r="AL284" s="854"/>
      <c r="AM284" s="854"/>
      <c r="AN284" s="854"/>
      <c r="AO284" s="854"/>
      <c r="AP284" s="854"/>
      <c r="AQ284" s="854"/>
      <c r="AR284" s="854"/>
      <c r="AS284" s="854"/>
      <c r="AT284" s="854"/>
      <c r="AU284" s="854"/>
      <c r="AV284" s="854"/>
      <c r="AW284" s="854"/>
      <c r="AX284" s="854"/>
      <c r="AY284" s="854"/>
      <c r="AZ284" s="854"/>
      <c r="BA284" s="854"/>
      <c r="BB284" s="854"/>
      <c r="BC284" s="854"/>
      <c r="BD284" s="854"/>
      <c r="BE284" s="854"/>
      <c r="BF284" s="854"/>
      <c r="BG284" s="854"/>
      <c r="BH284" s="854"/>
      <c r="BI284" s="854"/>
      <c r="BJ284" s="854"/>
      <c r="BK284" s="854"/>
      <c r="BL284" s="854"/>
      <c r="BM284" s="854"/>
      <c r="BN284" s="854"/>
      <c r="BO284" s="854"/>
      <c r="BP284" s="854"/>
      <c r="BQ284" s="854"/>
      <c r="BR284" s="854"/>
      <c r="BS284" s="854"/>
      <c r="BT284" s="854"/>
      <c r="BU284" s="854"/>
      <c r="BV284" s="854"/>
      <c r="BW284" s="854"/>
      <c r="BX284" s="854"/>
      <c r="BY284" s="854"/>
      <c r="BZ284" s="854"/>
      <c r="CA284" s="571">
        <f>IF(OR(I284="",I284&lt;'Configs &amp; Procedures'!$L$29),0,IF(I284&gt;'Configs &amp; Procedures'!$L$30,1,IF(F284&gt;'Configs &amp; Procedures'!$L$31,0,1)))</f>
        <v>0</v>
      </c>
    </row>
    <row r="285" spans="2:79">
      <c r="B285" s="854"/>
      <c r="C285" s="854"/>
      <c r="D285" s="854"/>
      <c r="E285" s="854"/>
      <c r="F285" s="854"/>
      <c r="G285" s="854"/>
      <c r="H285" s="854"/>
      <c r="I285" s="854"/>
      <c r="J285" s="854"/>
      <c r="K285" s="854"/>
      <c r="L285" s="854"/>
      <c r="M285" s="854"/>
      <c r="N285" s="854"/>
      <c r="O285" s="854"/>
      <c r="P285" s="854"/>
      <c r="Q285" s="854"/>
      <c r="R285" s="854"/>
      <c r="S285" s="854"/>
      <c r="T285" s="854"/>
      <c r="U285" s="854"/>
      <c r="V285" s="854"/>
      <c r="W285" s="854"/>
      <c r="X285" s="854"/>
      <c r="Y285" s="854"/>
      <c r="Z285" s="854"/>
      <c r="AA285" s="854"/>
      <c r="AB285" s="854"/>
      <c r="AC285" s="854"/>
      <c r="AD285" s="854"/>
      <c r="AE285" s="854"/>
      <c r="AF285" s="854"/>
      <c r="AG285" s="854"/>
      <c r="AH285" s="854"/>
      <c r="AI285" s="854"/>
      <c r="AJ285" s="854"/>
      <c r="AK285" s="854"/>
      <c r="AL285" s="854"/>
      <c r="AM285" s="854"/>
      <c r="AN285" s="854"/>
      <c r="AO285" s="854"/>
      <c r="AP285" s="854"/>
      <c r="AQ285" s="854"/>
      <c r="AR285" s="854"/>
      <c r="AS285" s="854"/>
      <c r="AT285" s="854"/>
      <c r="AU285" s="854"/>
      <c r="AV285" s="854"/>
      <c r="AW285" s="854"/>
      <c r="AX285" s="854"/>
      <c r="AY285" s="854"/>
      <c r="AZ285" s="854"/>
      <c r="BA285" s="854"/>
      <c r="BB285" s="854"/>
      <c r="BC285" s="854"/>
      <c r="BD285" s="854"/>
      <c r="BE285" s="854"/>
      <c r="BF285" s="854"/>
      <c r="BG285" s="854"/>
      <c r="BH285" s="854"/>
      <c r="BI285" s="854"/>
      <c r="BJ285" s="854"/>
      <c r="BK285" s="854"/>
      <c r="BL285" s="854"/>
      <c r="BM285" s="854"/>
      <c r="BN285" s="854"/>
      <c r="BO285" s="854"/>
      <c r="BP285" s="854"/>
      <c r="BQ285" s="854"/>
      <c r="BR285" s="854"/>
      <c r="BS285" s="854"/>
      <c r="BT285" s="854"/>
      <c r="BU285" s="854"/>
      <c r="BV285" s="854"/>
      <c r="BW285" s="854"/>
      <c r="BX285" s="854"/>
      <c r="BY285" s="854"/>
      <c r="BZ285" s="854"/>
      <c r="CA285" s="571">
        <f>IF(OR(I285="",I285&lt;'Configs &amp; Procedures'!$L$29),0,IF(I285&gt;'Configs &amp; Procedures'!$L$30,1,IF(F285&gt;'Configs &amp; Procedures'!$L$31,0,1)))</f>
        <v>0</v>
      </c>
    </row>
    <row r="286" spans="2:79">
      <c r="B286" s="854"/>
      <c r="C286" s="854"/>
      <c r="D286" s="854"/>
      <c r="E286" s="854"/>
      <c r="F286" s="854"/>
      <c r="G286" s="854"/>
      <c r="H286" s="854"/>
      <c r="I286" s="854"/>
      <c r="J286" s="854"/>
      <c r="K286" s="854"/>
      <c r="L286" s="854"/>
      <c r="M286" s="854"/>
      <c r="N286" s="854"/>
      <c r="O286" s="854"/>
      <c r="P286" s="854"/>
      <c r="Q286" s="854"/>
      <c r="R286" s="854"/>
      <c r="S286" s="854"/>
      <c r="T286" s="854"/>
      <c r="U286" s="854"/>
      <c r="V286" s="854"/>
      <c r="W286" s="854"/>
      <c r="X286" s="854"/>
      <c r="Y286" s="854"/>
      <c r="Z286" s="854"/>
      <c r="AA286" s="854"/>
      <c r="AB286" s="854"/>
      <c r="AC286" s="854"/>
      <c r="AD286" s="854"/>
      <c r="AE286" s="854"/>
      <c r="AF286" s="854"/>
      <c r="AG286" s="854"/>
      <c r="AH286" s="854"/>
      <c r="AI286" s="854"/>
      <c r="AJ286" s="854"/>
      <c r="AK286" s="854"/>
      <c r="AL286" s="854"/>
      <c r="AM286" s="854"/>
      <c r="AN286" s="854"/>
      <c r="AO286" s="854"/>
      <c r="AP286" s="854"/>
      <c r="AQ286" s="854"/>
      <c r="AR286" s="854"/>
      <c r="AS286" s="854"/>
      <c r="AT286" s="854"/>
      <c r="AU286" s="854"/>
      <c r="AV286" s="854"/>
      <c r="AW286" s="854"/>
      <c r="AX286" s="854"/>
      <c r="AY286" s="854"/>
      <c r="AZ286" s="854"/>
      <c r="BA286" s="854"/>
      <c r="BB286" s="854"/>
      <c r="BC286" s="854"/>
      <c r="BD286" s="854"/>
      <c r="BE286" s="854"/>
      <c r="BF286" s="854"/>
      <c r="BG286" s="854"/>
      <c r="BH286" s="854"/>
      <c r="BI286" s="854"/>
      <c r="BJ286" s="854"/>
      <c r="BK286" s="854"/>
      <c r="BL286" s="854"/>
      <c r="BM286" s="854"/>
      <c r="BN286" s="854"/>
      <c r="BO286" s="854"/>
      <c r="BP286" s="854"/>
      <c r="BQ286" s="854"/>
      <c r="BR286" s="854"/>
      <c r="BS286" s="854"/>
      <c r="BT286" s="854"/>
      <c r="BU286" s="854"/>
      <c r="BV286" s="854"/>
      <c r="BW286" s="854"/>
      <c r="BX286" s="854"/>
      <c r="BY286" s="854"/>
      <c r="BZ286" s="854"/>
      <c r="CA286" s="571">
        <f>IF(OR(I286="",I286&lt;'Configs &amp; Procedures'!$L$29),0,IF(I286&gt;'Configs &amp; Procedures'!$L$30,1,IF(F286&gt;'Configs &amp; Procedures'!$L$31,0,1)))</f>
        <v>0</v>
      </c>
    </row>
    <row r="287" spans="2:79">
      <c r="B287" s="854"/>
      <c r="C287" s="854"/>
      <c r="D287" s="854"/>
      <c r="E287" s="854"/>
      <c r="F287" s="854"/>
      <c r="G287" s="854"/>
      <c r="H287" s="854"/>
      <c r="I287" s="854"/>
      <c r="J287" s="854"/>
      <c r="K287" s="854"/>
      <c r="L287" s="854"/>
      <c r="M287" s="854"/>
      <c r="N287" s="854"/>
      <c r="O287" s="854"/>
      <c r="P287" s="854"/>
      <c r="Q287" s="854"/>
      <c r="R287" s="854"/>
      <c r="S287" s="854"/>
      <c r="T287" s="854"/>
      <c r="U287" s="854"/>
      <c r="V287" s="854"/>
      <c r="W287" s="854"/>
      <c r="X287" s="854"/>
      <c r="Y287" s="854"/>
      <c r="Z287" s="854"/>
      <c r="AA287" s="854"/>
      <c r="AB287" s="854"/>
      <c r="AC287" s="854"/>
      <c r="AD287" s="854"/>
      <c r="AE287" s="854"/>
      <c r="AF287" s="854"/>
      <c r="AG287" s="854"/>
      <c r="AH287" s="854"/>
      <c r="AI287" s="854"/>
      <c r="AJ287" s="854"/>
      <c r="AK287" s="854"/>
      <c r="AL287" s="854"/>
      <c r="AM287" s="854"/>
      <c r="AN287" s="854"/>
      <c r="AO287" s="854"/>
      <c r="AP287" s="854"/>
      <c r="AQ287" s="854"/>
      <c r="AR287" s="854"/>
      <c r="AS287" s="854"/>
      <c r="AT287" s="854"/>
      <c r="AU287" s="854"/>
      <c r="AV287" s="854"/>
      <c r="AW287" s="854"/>
      <c r="AX287" s="854"/>
      <c r="AY287" s="854"/>
      <c r="AZ287" s="854"/>
      <c r="BA287" s="854"/>
      <c r="BB287" s="854"/>
      <c r="BC287" s="854"/>
      <c r="BD287" s="854"/>
      <c r="BE287" s="854"/>
      <c r="BF287" s="854"/>
      <c r="BG287" s="854"/>
      <c r="BH287" s="854"/>
      <c r="BI287" s="854"/>
      <c r="BJ287" s="854"/>
      <c r="BK287" s="854"/>
      <c r="BL287" s="854"/>
      <c r="BM287" s="854"/>
      <c r="BN287" s="854"/>
      <c r="BO287" s="854"/>
      <c r="BP287" s="854"/>
      <c r="BQ287" s="854"/>
      <c r="BR287" s="854"/>
      <c r="BS287" s="854"/>
      <c r="BT287" s="854"/>
      <c r="BU287" s="854"/>
      <c r="BV287" s="854"/>
      <c r="BW287" s="854"/>
      <c r="BX287" s="854"/>
      <c r="BY287" s="854"/>
      <c r="BZ287" s="854"/>
      <c r="CA287" s="571">
        <f>IF(OR(I287="",I287&lt;'Configs &amp; Procedures'!$L$29),0,IF(I287&gt;'Configs &amp; Procedures'!$L$30,1,IF(F287&gt;'Configs &amp; Procedures'!$L$31,0,1)))</f>
        <v>0</v>
      </c>
    </row>
    <row r="288" spans="2:79">
      <c r="B288" s="854"/>
      <c r="C288" s="854"/>
      <c r="D288" s="854"/>
      <c r="E288" s="854"/>
      <c r="F288" s="854"/>
      <c r="G288" s="854"/>
      <c r="H288" s="854"/>
      <c r="I288" s="854"/>
      <c r="J288" s="854"/>
      <c r="K288" s="854"/>
      <c r="L288" s="854"/>
      <c r="M288" s="854"/>
      <c r="N288" s="854"/>
      <c r="O288" s="854"/>
      <c r="P288" s="854"/>
      <c r="Q288" s="854"/>
      <c r="R288" s="854"/>
      <c r="S288" s="854"/>
      <c r="T288" s="854"/>
      <c r="U288" s="854"/>
      <c r="V288" s="854"/>
      <c r="W288" s="854"/>
      <c r="X288" s="854"/>
      <c r="Y288" s="854"/>
      <c r="Z288" s="854"/>
      <c r="AA288" s="854"/>
      <c r="AB288" s="854"/>
      <c r="AC288" s="854"/>
      <c r="AD288" s="854"/>
      <c r="AE288" s="854"/>
      <c r="AF288" s="854"/>
      <c r="AG288" s="854"/>
      <c r="AH288" s="854"/>
      <c r="AI288" s="854"/>
      <c r="AJ288" s="854"/>
      <c r="AK288" s="854"/>
      <c r="AL288" s="854"/>
      <c r="AM288" s="854"/>
      <c r="AN288" s="854"/>
      <c r="AO288" s="854"/>
      <c r="AP288" s="854"/>
      <c r="AQ288" s="854"/>
      <c r="AR288" s="854"/>
      <c r="AS288" s="854"/>
      <c r="AT288" s="854"/>
      <c r="AU288" s="854"/>
      <c r="AV288" s="854"/>
      <c r="AW288" s="854"/>
      <c r="AX288" s="854"/>
      <c r="AY288" s="854"/>
      <c r="AZ288" s="854"/>
      <c r="BA288" s="854"/>
      <c r="BB288" s="854"/>
      <c r="BC288" s="854"/>
      <c r="BD288" s="854"/>
      <c r="BE288" s="854"/>
      <c r="BF288" s="854"/>
      <c r="BG288" s="854"/>
      <c r="BH288" s="854"/>
      <c r="BI288" s="854"/>
      <c r="BJ288" s="854"/>
      <c r="BK288" s="854"/>
      <c r="BL288" s="854"/>
      <c r="BM288" s="854"/>
      <c r="BN288" s="854"/>
      <c r="BO288" s="854"/>
      <c r="BP288" s="854"/>
      <c r="BQ288" s="854"/>
      <c r="BR288" s="854"/>
      <c r="BS288" s="854"/>
      <c r="BT288" s="854"/>
      <c r="BU288" s="854"/>
      <c r="BV288" s="854"/>
      <c r="BW288" s="854"/>
      <c r="BX288" s="854"/>
      <c r="BY288" s="854"/>
      <c r="BZ288" s="854"/>
      <c r="CA288" s="571">
        <f>IF(OR(I288="",I288&lt;'Configs &amp; Procedures'!$L$29),0,IF(I288&gt;'Configs &amp; Procedures'!$L$30,1,IF(F288&gt;'Configs &amp; Procedures'!$L$31,0,1)))</f>
        <v>0</v>
      </c>
    </row>
    <row r="289" spans="2:79">
      <c r="B289" s="854"/>
      <c r="C289" s="854"/>
      <c r="D289" s="854"/>
      <c r="E289" s="854"/>
      <c r="F289" s="854"/>
      <c r="G289" s="854"/>
      <c r="H289" s="854"/>
      <c r="I289" s="854"/>
      <c r="J289" s="854"/>
      <c r="K289" s="854"/>
      <c r="L289" s="854"/>
      <c r="M289" s="854"/>
      <c r="N289" s="854"/>
      <c r="O289" s="854"/>
      <c r="P289" s="854"/>
      <c r="Q289" s="854"/>
      <c r="R289" s="854"/>
      <c r="S289" s="854"/>
      <c r="T289" s="854"/>
      <c r="U289" s="854"/>
      <c r="V289" s="854"/>
      <c r="W289" s="854"/>
      <c r="X289" s="854"/>
      <c r="Y289" s="854"/>
      <c r="Z289" s="854"/>
      <c r="AA289" s="854"/>
      <c r="AB289" s="854"/>
      <c r="AC289" s="854"/>
      <c r="AD289" s="854"/>
      <c r="AE289" s="854"/>
      <c r="AF289" s="854"/>
      <c r="AG289" s="854"/>
      <c r="AH289" s="854"/>
      <c r="AI289" s="854"/>
      <c r="AJ289" s="854"/>
      <c r="AK289" s="854"/>
      <c r="AL289" s="854"/>
      <c r="AM289" s="854"/>
      <c r="AN289" s="854"/>
      <c r="AO289" s="854"/>
      <c r="AP289" s="854"/>
      <c r="AQ289" s="854"/>
      <c r="AR289" s="854"/>
      <c r="AS289" s="854"/>
      <c r="AT289" s="854"/>
      <c r="AU289" s="854"/>
      <c r="AV289" s="854"/>
      <c r="AW289" s="854"/>
      <c r="AX289" s="854"/>
      <c r="AY289" s="854"/>
      <c r="AZ289" s="854"/>
      <c r="BA289" s="854"/>
      <c r="BB289" s="854"/>
      <c r="BC289" s="854"/>
      <c r="BD289" s="854"/>
      <c r="BE289" s="854"/>
      <c r="BF289" s="854"/>
      <c r="BG289" s="854"/>
      <c r="BH289" s="854"/>
      <c r="BI289" s="854"/>
      <c r="BJ289" s="854"/>
      <c r="BK289" s="854"/>
      <c r="BL289" s="854"/>
      <c r="BM289" s="854"/>
      <c r="BN289" s="854"/>
      <c r="BO289" s="854"/>
      <c r="BP289" s="854"/>
      <c r="BQ289" s="854"/>
      <c r="BR289" s="854"/>
      <c r="BS289" s="854"/>
      <c r="BT289" s="854"/>
      <c r="BU289" s="854"/>
      <c r="BV289" s="854"/>
      <c r="BW289" s="854"/>
      <c r="BX289" s="854"/>
      <c r="BY289" s="854"/>
      <c r="BZ289" s="854"/>
      <c r="CA289" s="571">
        <f>IF(OR(I289="",I289&lt;'Configs &amp; Procedures'!$L$29),0,IF(I289&gt;'Configs &amp; Procedures'!$L$30,1,IF(F289&gt;'Configs &amp; Procedures'!$L$31,0,1)))</f>
        <v>0</v>
      </c>
    </row>
    <row r="290" spans="2:79">
      <c r="B290" s="854"/>
      <c r="C290" s="854"/>
      <c r="D290" s="854"/>
      <c r="E290" s="854"/>
      <c r="F290" s="854"/>
      <c r="G290" s="854"/>
      <c r="H290" s="854"/>
      <c r="I290" s="854"/>
      <c r="J290" s="854"/>
      <c r="K290" s="854"/>
      <c r="L290" s="854"/>
      <c r="M290" s="854"/>
      <c r="N290" s="854"/>
      <c r="O290" s="854"/>
      <c r="P290" s="854"/>
      <c r="Q290" s="854"/>
      <c r="R290" s="854"/>
      <c r="S290" s="854"/>
      <c r="T290" s="854"/>
      <c r="U290" s="854"/>
      <c r="V290" s="854"/>
      <c r="W290" s="854"/>
      <c r="X290" s="854"/>
      <c r="Y290" s="854"/>
      <c r="Z290" s="854"/>
      <c r="AA290" s="854"/>
      <c r="AB290" s="854"/>
      <c r="AC290" s="854"/>
      <c r="AD290" s="854"/>
      <c r="AE290" s="854"/>
      <c r="AF290" s="854"/>
      <c r="AG290" s="854"/>
      <c r="AH290" s="854"/>
      <c r="AI290" s="854"/>
      <c r="AJ290" s="854"/>
      <c r="AK290" s="854"/>
      <c r="AL290" s="854"/>
      <c r="AM290" s="854"/>
      <c r="AN290" s="854"/>
      <c r="AO290" s="854"/>
      <c r="AP290" s="854"/>
      <c r="AQ290" s="854"/>
      <c r="AR290" s="854"/>
      <c r="AS290" s="854"/>
      <c r="AT290" s="854"/>
      <c r="AU290" s="854"/>
      <c r="AV290" s="854"/>
      <c r="AW290" s="854"/>
      <c r="AX290" s="854"/>
      <c r="AY290" s="854"/>
      <c r="AZ290" s="854"/>
      <c r="BA290" s="854"/>
      <c r="BB290" s="854"/>
      <c r="BC290" s="854"/>
      <c r="BD290" s="854"/>
      <c r="BE290" s="854"/>
      <c r="BF290" s="854"/>
      <c r="BG290" s="854"/>
      <c r="BH290" s="854"/>
      <c r="BI290" s="854"/>
      <c r="BJ290" s="854"/>
      <c r="BK290" s="854"/>
      <c r="BL290" s="854"/>
      <c r="BM290" s="854"/>
      <c r="BN290" s="854"/>
      <c r="BO290" s="854"/>
      <c r="BP290" s="854"/>
      <c r="BQ290" s="854"/>
      <c r="BR290" s="854"/>
      <c r="BS290" s="854"/>
      <c r="BT290" s="854"/>
      <c r="BU290" s="854"/>
      <c r="BV290" s="854"/>
      <c r="BW290" s="854"/>
      <c r="BX290" s="854"/>
      <c r="BY290" s="854"/>
      <c r="BZ290" s="854"/>
      <c r="CA290" s="571">
        <f>IF(OR(I290="",I290&lt;'Configs &amp; Procedures'!$L$29),0,IF(I290&gt;'Configs &amp; Procedures'!$L$30,1,IF(F290&gt;'Configs &amp; Procedures'!$L$31,0,1)))</f>
        <v>0</v>
      </c>
    </row>
    <row r="291" spans="2:79">
      <c r="B291" s="854"/>
      <c r="C291" s="854"/>
      <c r="D291" s="854"/>
      <c r="E291" s="854"/>
      <c r="F291" s="854"/>
      <c r="G291" s="854"/>
      <c r="H291" s="854"/>
      <c r="I291" s="854"/>
      <c r="J291" s="854"/>
      <c r="K291" s="854"/>
      <c r="L291" s="854"/>
      <c r="M291" s="854"/>
      <c r="N291" s="854"/>
      <c r="O291" s="854"/>
      <c r="P291" s="854"/>
      <c r="Q291" s="854"/>
      <c r="R291" s="854"/>
      <c r="S291" s="854"/>
      <c r="T291" s="854"/>
      <c r="U291" s="854"/>
      <c r="V291" s="854"/>
      <c r="W291" s="854"/>
      <c r="X291" s="854"/>
      <c r="Y291" s="854"/>
      <c r="Z291" s="854"/>
      <c r="AA291" s="854"/>
      <c r="AB291" s="854"/>
      <c r="AC291" s="854"/>
      <c r="AD291" s="854"/>
      <c r="AE291" s="854"/>
      <c r="AF291" s="854"/>
      <c r="AG291" s="854"/>
      <c r="AH291" s="854"/>
      <c r="AI291" s="854"/>
      <c r="AJ291" s="854"/>
      <c r="AK291" s="854"/>
      <c r="AL291" s="854"/>
      <c r="AM291" s="854"/>
      <c r="AN291" s="854"/>
      <c r="AO291" s="854"/>
      <c r="AP291" s="854"/>
      <c r="AQ291" s="854"/>
      <c r="AR291" s="854"/>
      <c r="AS291" s="854"/>
      <c r="AT291" s="854"/>
      <c r="AU291" s="854"/>
      <c r="AV291" s="854"/>
      <c r="AW291" s="854"/>
      <c r="AX291" s="854"/>
      <c r="AY291" s="854"/>
      <c r="AZ291" s="854"/>
      <c r="BA291" s="854"/>
      <c r="BB291" s="854"/>
      <c r="BC291" s="854"/>
      <c r="BD291" s="854"/>
      <c r="BE291" s="854"/>
      <c r="BF291" s="854"/>
      <c r="BG291" s="854"/>
      <c r="BH291" s="854"/>
      <c r="BI291" s="854"/>
      <c r="BJ291" s="854"/>
      <c r="BK291" s="854"/>
      <c r="BL291" s="854"/>
      <c r="BM291" s="854"/>
      <c r="BN291" s="854"/>
      <c r="BO291" s="854"/>
      <c r="BP291" s="854"/>
      <c r="BQ291" s="854"/>
      <c r="BR291" s="854"/>
      <c r="BS291" s="854"/>
      <c r="BT291" s="854"/>
      <c r="BU291" s="854"/>
      <c r="BV291" s="854"/>
      <c r="BW291" s="854"/>
      <c r="BX291" s="854"/>
      <c r="BY291" s="854"/>
      <c r="BZ291" s="854"/>
      <c r="CA291" s="571">
        <f>IF(OR(I291="",I291&lt;'Configs &amp; Procedures'!$L$29),0,IF(I291&gt;'Configs &amp; Procedures'!$L$30,1,IF(F291&gt;'Configs &amp; Procedures'!$L$31,0,1)))</f>
        <v>0</v>
      </c>
    </row>
    <row r="292" spans="2:79">
      <c r="B292" s="854"/>
      <c r="C292" s="854"/>
      <c r="D292" s="854"/>
      <c r="E292" s="854"/>
      <c r="F292" s="854"/>
      <c r="G292" s="854"/>
      <c r="H292" s="854"/>
      <c r="I292" s="854"/>
      <c r="J292" s="854"/>
      <c r="K292" s="854"/>
      <c r="L292" s="854"/>
      <c r="M292" s="854"/>
      <c r="N292" s="854"/>
      <c r="O292" s="854"/>
      <c r="P292" s="854"/>
      <c r="Q292" s="854"/>
      <c r="R292" s="854"/>
      <c r="S292" s="854"/>
      <c r="T292" s="854"/>
      <c r="U292" s="854"/>
      <c r="V292" s="854"/>
      <c r="W292" s="854"/>
      <c r="X292" s="854"/>
      <c r="Y292" s="854"/>
      <c r="Z292" s="854"/>
      <c r="AA292" s="854"/>
      <c r="AB292" s="854"/>
      <c r="AC292" s="854"/>
      <c r="AD292" s="854"/>
      <c r="AE292" s="854"/>
      <c r="AF292" s="854"/>
      <c r="AG292" s="854"/>
      <c r="AH292" s="854"/>
      <c r="AI292" s="854"/>
      <c r="AJ292" s="854"/>
      <c r="AK292" s="854"/>
      <c r="AL292" s="854"/>
      <c r="AM292" s="854"/>
      <c r="AN292" s="854"/>
      <c r="AO292" s="854"/>
      <c r="AP292" s="854"/>
      <c r="AQ292" s="854"/>
      <c r="AR292" s="854"/>
      <c r="AS292" s="854"/>
      <c r="AT292" s="854"/>
      <c r="AU292" s="854"/>
      <c r="AV292" s="854"/>
      <c r="AW292" s="854"/>
      <c r="AX292" s="854"/>
      <c r="AY292" s="854"/>
      <c r="AZ292" s="854"/>
      <c r="BA292" s="854"/>
      <c r="BB292" s="854"/>
      <c r="BC292" s="854"/>
      <c r="BD292" s="854"/>
      <c r="BE292" s="854"/>
      <c r="BF292" s="854"/>
      <c r="BG292" s="854"/>
      <c r="BH292" s="854"/>
      <c r="BI292" s="854"/>
      <c r="BJ292" s="854"/>
      <c r="BK292" s="854"/>
      <c r="BL292" s="854"/>
      <c r="BM292" s="854"/>
      <c r="BN292" s="854"/>
      <c r="BO292" s="854"/>
      <c r="BP292" s="854"/>
      <c r="BQ292" s="854"/>
      <c r="BR292" s="854"/>
      <c r="BS292" s="854"/>
      <c r="BT292" s="854"/>
      <c r="BU292" s="854"/>
      <c r="BV292" s="854"/>
      <c r="BW292" s="854"/>
      <c r="BX292" s="854"/>
      <c r="BY292" s="854"/>
      <c r="BZ292" s="854"/>
      <c r="CA292" s="571">
        <f>IF(OR(I292="",I292&lt;'Configs &amp; Procedures'!$L$29),0,IF(I292&gt;'Configs &amp; Procedures'!$L$30,1,IF(F292&gt;'Configs &amp; Procedures'!$L$31,0,1)))</f>
        <v>0</v>
      </c>
    </row>
    <row r="293" spans="2:79">
      <c r="B293" s="854"/>
      <c r="C293" s="854"/>
      <c r="D293" s="854"/>
      <c r="E293" s="854"/>
      <c r="F293" s="854"/>
      <c r="G293" s="854"/>
      <c r="H293" s="854"/>
      <c r="I293" s="854"/>
      <c r="J293" s="854"/>
      <c r="K293" s="854"/>
      <c r="L293" s="854"/>
      <c r="M293" s="854"/>
      <c r="N293" s="854"/>
      <c r="O293" s="854"/>
      <c r="P293" s="854"/>
      <c r="Q293" s="854"/>
      <c r="R293" s="854"/>
      <c r="S293" s="854"/>
      <c r="T293" s="854"/>
      <c r="U293" s="854"/>
      <c r="V293" s="854"/>
      <c r="W293" s="854"/>
      <c r="X293" s="854"/>
      <c r="Y293" s="854"/>
      <c r="Z293" s="854"/>
      <c r="AA293" s="854"/>
      <c r="AB293" s="854"/>
      <c r="AC293" s="854"/>
      <c r="AD293" s="854"/>
      <c r="AE293" s="854"/>
      <c r="AF293" s="854"/>
      <c r="AG293" s="854"/>
      <c r="AH293" s="854"/>
      <c r="AI293" s="854"/>
      <c r="AJ293" s="854"/>
      <c r="AK293" s="854"/>
      <c r="AL293" s="854"/>
      <c r="AM293" s="854"/>
      <c r="AN293" s="854"/>
      <c r="AO293" s="854"/>
      <c r="AP293" s="854"/>
      <c r="AQ293" s="854"/>
      <c r="AR293" s="854"/>
      <c r="AS293" s="854"/>
      <c r="AT293" s="854"/>
      <c r="AU293" s="854"/>
      <c r="AV293" s="854"/>
      <c r="AW293" s="854"/>
      <c r="AX293" s="854"/>
      <c r="AY293" s="854"/>
      <c r="AZ293" s="854"/>
      <c r="BA293" s="854"/>
      <c r="BB293" s="854"/>
      <c r="BC293" s="854"/>
      <c r="BD293" s="854"/>
      <c r="BE293" s="854"/>
      <c r="BF293" s="854"/>
      <c r="BG293" s="854"/>
      <c r="BH293" s="854"/>
      <c r="BI293" s="854"/>
      <c r="BJ293" s="854"/>
      <c r="BK293" s="854"/>
      <c r="BL293" s="854"/>
      <c r="BM293" s="854"/>
      <c r="BN293" s="854"/>
      <c r="BO293" s="854"/>
      <c r="BP293" s="854"/>
      <c r="BQ293" s="854"/>
      <c r="BR293" s="854"/>
      <c r="BS293" s="854"/>
      <c r="BT293" s="854"/>
      <c r="BU293" s="854"/>
      <c r="BV293" s="854"/>
      <c r="BW293" s="854"/>
      <c r="BX293" s="854"/>
      <c r="BY293" s="854"/>
      <c r="BZ293" s="854"/>
      <c r="CA293" s="571">
        <f>IF(OR(I293="",I293&lt;'Configs &amp; Procedures'!$L$29),0,IF(I293&gt;'Configs &amp; Procedures'!$L$30,1,IF(F293&gt;'Configs &amp; Procedures'!$L$31,0,1)))</f>
        <v>0</v>
      </c>
    </row>
    <row r="294" spans="2:79">
      <c r="B294" s="854"/>
      <c r="C294" s="854"/>
      <c r="D294" s="854"/>
      <c r="E294" s="854"/>
      <c r="F294" s="854"/>
      <c r="G294" s="854"/>
      <c r="H294" s="854"/>
      <c r="I294" s="854"/>
      <c r="J294" s="854"/>
      <c r="K294" s="854"/>
      <c r="L294" s="854"/>
      <c r="M294" s="854"/>
      <c r="N294" s="854"/>
      <c r="O294" s="854"/>
      <c r="P294" s="854"/>
      <c r="Q294" s="854"/>
      <c r="R294" s="854"/>
      <c r="S294" s="854"/>
      <c r="T294" s="854"/>
      <c r="U294" s="854"/>
      <c r="V294" s="854"/>
      <c r="W294" s="854"/>
      <c r="X294" s="854"/>
      <c r="Y294" s="854"/>
      <c r="Z294" s="854"/>
      <c r="AA294" s="854"/>
      <c r="AB294" s="854"/>
      <c r="AC294" s="854"/>
      <c r="AD294" s="854"/>
      <c r="AE294" s="854"/>
      <c r="AF294" s="854"/>
      <c r="AG294" s="854"/>
      <c r="AH294" s="854"/>
      <c r="AI294" s="854"/>
      <c r="AJ294" s="854"/>
      <c r="AK294" s="854"/>
      <c r="AL294" s="854"/>
      <c r="AM294" s="854"/>
      <c r="AN294" s="854"/>
      <c r="AO294" s="854"/>
      <c r="AP294" s="854"/>
      <c r="AQ294" s="854"/>
      <c r="AR294" s="854"/>
      <c r="AS294" s="854"/>
      <c r="AT294" s="854"/>
      <c r="AU294" s="854"/>
      <c r="AV294" s="854"/>
      <c r="AW294" s="854"/>
      <c r="AX294" s="854"/>
      <c r="AY294" s="854"/>
      <c r="AZ294" s="854"/>
      <c r="BA294" s="854"/>
      <c r="BB294" s="854"/>
      <c r="BC294" s="854"/>
      <c r="BD294" s="854"/>
      <c r="BE294" s="854"/>
      <c r="BF294" s="854"/>
      <c r="BG294" s="854"/>
      <c r="BH294" s="854"/>
      <c r="BI294" s="854"/>
      <c r="BJ294" s="854"/>
      <c r="BK294" s="854"/>
      <c r="BL294" s="854"/>
      <c r="BM294" s="854"/>
      <c r="BN294" s="854"/>
      <c r="BO294" s="854"/>
      <c r="BP294" s="854"/>
      <c r="BQ294" s="854"/>
      <c r="BR294" s="854"/>
      <c r="BS294" s="854"/>
      <c r="BT294" s="854"/>
      <c r="BU294" s="854"/>
      <c r="BV294" s="854"/>
      <c r="BW294" s="854"/>
      <c r="BX294" s="854"/>
      <c r="BY294" s="854"/>
      <c r="BZ294" s="854"/>
      <c r="CA294" s="571">
        <f>IF(OR(I294="",I294&lt;'Configs &amp; Procedures'!$L$29),0,IF(I294&gt;'Configs &amp; Procedures'!$L$30,1,IF(F294&gt;'Configs &amp; Procedures'!$L$31,0,1)))</f>
        <v>0</v>
      </c>
    </row>
    <row r="295" spans="2:79">
      <c r="B295" s="854"/>
      <c r="C295" s="854"/>
      <c r="D295" s="854"/>
      <c r="E295" s="854"/>
      <c r="F295" s="854"/>
      <c r="G295" s="854"/>
      <c r="H295" s="854"/>
      <c r="I295" s="854"/>
      <c r="J295" s="854"/>
      <c r="K295" s="854"/>
      <c r="L295" s="854"/>
      <c r="M295" s="854"/>
      <c r="N295" s="854"/>
      <c r="O295" s="854"/>
      <c r="P295" s="854"/>
      <c r="Q295" s="854"/>
      <c r="R295" s="854"/>
      <c r="S295" s="854"/>
      <c r="T295" s="854"/>
      <c r="U295" s="854"/>
      <c r="V295" s="854"/>
      <c r="W295" s="854"/>
      <c r="X295" s="854"/>
      <c r="Y295" s="854"/>
      <c r="Z295" s="854"/>
      <c r="AA295" s="854"/>
      <c r="AB295" s="854"/>
      <c r="AC295" s="854"/>
      <c r="AD295" s="854"/>
      <c r="AE295" s="854"/>
      <c r="AF295" s="854"/>
      <c r="AG295" s="854"/>
      <c r="AH295" s="854"/>
      <c r="AI295" s="854"/>
      <c r="AJ295" s="854"/>
      <c r="AK295" s="854"/>
      <c r="AL295" s="854"/>
      <c r="AM295" s="854"/>
      <c r="AN295" s="854"/>
      <c r="AO295" s="854"/>
      <c r="AP295" s="854"/>
      <c r="AQ295" s="854"/>
      <c r="AR295" s="854"/>
      <c r="AS295" s="854"/>
      <c r="AT295" s="854"/>
      <c r="AU295" s="854"/>
      <c r="AV295" s="854"/>
      <c r="AW295" s="854"/>
      <c r="AX295" s="854"/>
      <c r="AY295" s="854"/>
      <c r="AZ295" s="854"/>
      <c r="BA295" s="854"/>
      <c r="BB295" s="854"/>
      <c r="BC295" s="854"/>
      <c r="BD295" s="854"/>
      <c r="BE295" s="854"/>
      <c r="BF295" s="854"/>
      <c r="BG295" s="854"/>
      <c r="BH295" s="854"/>
      <c r="BI295" s="854"/>
      <c r="BJ295" s="854"/>
      <c r="BK295" s="854"/>
      <c r="BL295" s="854"/>
      <c r="BM295" s="854"/>
      <c r="BN295" s="854"/>
      <c r="BO295" s="854"/>
      <c r="BP295" s="854"/>
      <c r="BQ295" s="854"/>
      <c r="BR295" s="854"/>
      <c r="BS295" s="854"/>
      <c r="BT295" s="854"/>
      <c r="BU295" s="854"/>
      <c r="BV295" s="854"/>
      <c r="BW295" s="854"/>
      <c r="BX295" s="854"/>
      <c r="BY295" s="854"/>
      <c r="BZ295" s="854"/>
      <c r="CA295" s="571">
        <f>IF(OR(I295="",I295&lt;'Configs &amp; Procedures'!$L$29),0,IF(I295&gt;'Configs &amp; Procedures'!$L$30,1,IF(F295&gt;'Configs &amp; Procedures'!$L$31,0,1)))</f>
        <v>0</v>
      </c>
    </row>
    <row r="296" spans="2:79">
      <c r="B296" s="854"/>
      <c r="C296" s="854"/>
      <c r="D296" s="854"/>
      <c r="E296" s="854"/>
      <c r="F296" s="854"/>
      <c r="G296" s="854"/>
      <c r="H296" s="854"/>
      <c r="I296" s="854"/>
      <c r="J296" s="854"/>
      <c r="K296" s="854"/>
      <c r="L296" s="854"/>
      <c r="M296" s="854"/>
      <c r="N296" s="854"/>
      <c r="O296" s="854"/>
      <c r="P296" s="854"/>
      <c r="Q296" s="854"/>
      <c r="R296" s="854"/>
      <c r="S296" s="854"/>
      <c r="T296" s="854"/>
      <c r="U296" s="854"/>
      <c r="V296" s="854"/>
      <c r="W296" s="854"/>
      <c r="X296" s="854"/>
      <c r="Y296" s="854"/>
      <c r="Z296" s="854"/>
      <c r="AA296" s="854"/>
      <c r="AB296" s="854"/>
      <c r="AC296" s="854"/>
      <c r="AD296" s="854"/>
      <c r="AE296" s="854"/>
      <c r="AF296" s="854"/>
      <c r="AG296" s="854"/>
      <c r="AH296" s="854"/>
      <c r="AI296" s="854"/>
      <c r="AJ296" s="854"/>
      <c r="AK296" s="854"/>
      <c r="AL296" s="854"/>
      <c r="AM296" s="854"/>
      <c r="AN296" s="854"/>
      <c r="AO296" s="854"/>
      <c r="AP296" s="854"/>
      <c r="AQ296" s="854"/>
      <c r="AR296" s="854"/>
      <c r="AS296" s="854"/>
      <c r="AT296" s="854"/>
      <c r="AU296" s="854"/>
      <c r="AV296" s="854"/>
      <c r="AW296" s="854"/>
      <c r="AX296" s="854"/>
      <c r="AY296" s="854"/>
      <c r="AZ296" s="854"/>
      <c r="BA296" s="854"/>
      <c r="BB296" s="854"/>
      <c r="BC296" s="854"/>
      <c r="BD296" s="854"/>
      <c r="BE296" s="854"/>
      <c r="BF296" s="854"/>
      <c r="BG296" s="854"/>
      <c r="BH296" s="854"/>
      <c r="BI296" s="854"/>
      <c r="BJ296" s="854"/>
      <c r="BK296" s="854"/>
      <c r="BL296" s="854"/>
      <c r="BM296" s="854"/>
      <c r="BN296" s="854"/>
      <c r="BO296" s="854"/>
      <c r="BP296" s="854"/>
      <c r="BQ296" s="854"/>
      <c r="BR296" s="854"/>
      <c r="BS296" s="854"/>
      <c r="BT296" s="854"/>
      <c r="BU296" s="854"/>
      <c r="BV296" s="854"/>
      <c r="BW296" s="854"/>
      <c r="BX296" s="854"/>
      <c r="BY296" s="854"/>
      <c r="BZ296" s="854"/>
      <c r="CA296" s="571">
        <f>IF(OR(I296="",I296&lt;'Configs &amp; Procedures'!$L$29),0,IF(I296&gt;'Configs &amp; Procedures'!$L$30,1,IF(F296&gt;'Configs &amp; Procedures'!$L$31,0,1)))</f>
        <v>0</v>
      </c>
    </row>
    <row r="297" spans="2:79">
      <c r="B297" s="854"/>
      <c r="C297" s="854"/>
      <c r="D297" s="854"/>
      <c r="E297" s="854"/>
      <c r="F297" s="854"/>
      <c r="G297" s="854"/>
      <c r="H297" s="854"/>
      <c r="I297" s="854"/>
      <c r="J297" s="854"/>
      <c r="K297" s="854"/>
      <c r="L297" s="854"/>
      <c r="M297" s="854"/>
      <c r="N297" s="854"/>
      <c r="O297" s="854"/>
      <c r="P297" s="854"/>
      <c r="Q297" s="854"/>
      <c r="R297" s="854"/>
      <c r="S297" s="854"/>
      <c r="T297" s="854"/>
      <c r="U297" s="854"/>
      <c r="V297" s="854"/>
      <c r="W297" s="854"/>
      <c r="X297" s="854"/>
      <c r="Y297" s="854"/>
      <c r="Z297" s="854"/>
      <c r="AA297" s="854"/>
      <c r="AB297" s="854"/>
      <c r="AC297" s="854"/>
      <c r="AD297" s="854"/>
      <c r="AE297" s="854"/>
      <c r="AF297" s="854"/>
      <c r="AG297" s="854"/>
      <c r="AH297" s="854"/>
      <c r="AI297" s="854"/>
      <c r="AJ297" s="854"/>
      <c r="AK297" s="854"/>
      <c r="AL297" s="854"/>
      <c r="AM297" s="854"/>
      <c r="AN297" s="854"/>
      <c r="AO297" s="854"/>
      <c r="AP297" s="854"/>
      <c r="AQ297" s="854"/>
      <c r="AR297" s="854"/>
      <c r="AS297" s="854"/>
      <c r="AT297" s="854"/>
      <c r="AU297" s="854"/>
      <c r="AV297" s="854"/>
      <c r="AW297" s="854"/>
      <c r="AX297" s="854"/>
      <c r="AY297" s="854"/>
      <c r="AZ297" s="854"/>
      <c r="BA297" s="854"/>
      <c r="BB297" s="854"/>
      <c r="BC297" s="854"/>
      <c r="BD297" s="854"/>
      <c r="BE297" s="854"/>
      <c r="BF297" s="854"/>
      <c r="BG297" s="854"/>
      <c r="BH297" s="854"/>
      <c r="BI297" s="854"/>
      <c r="BJ297" s="854"/>
      <c r="BK297" s="854"/>
      <c r="BL297" s="854"/>
      <c r="BM297" s="854"/>
      <c r="BN297" s="854"/>
      <c r="BO297" s="854"/>
      <c r="BP297" s="854"/>
      <c r="BQ297" s="854"/>
      <c r="BR297" s="854"/>
      <c r="BS297" s="854"/>
      <c r="BT297" s="854"/>
      <c r="BU297" s="854"/>
      <c r="BV297" s="854"/>
      <c r="BW297" s="854"/>
      <c r="BX297" s="854"/>
      <c r="BY297" s="854"/>
      <c r="BZ297" s="854"/>
      <c r="CA297" s="571">
        <f>IF(OR(I297="",I297&lt;'Configs &amp; Procedures'!$L$29),0,IF(I297&gt;'Configs &amp; Procedures'!$L$30,1,IF(F297&gt;'Configs &amp; Procedures'!$L$31,0,1)))</f>
        <v>0</v>
      </c>
    </row>
    <row r="298" spans="2:79">
      <c r="B298" s="854"/>
      <c r="C298" s="854"/>
      <c r="D298" s="854"/>
      <c r="E298" s="854"/>
      <c r="F298" s="854"/>
      <c r="G298" s="854"/>
      <c r="H298" s="854"/>
      <c r="I298" s="854"/>
      <c r="J298" s="854"/>
      <c r="K298" s="854"/>
      <c r="L298" s="854"/>
      <c r="M298" s="854"/>
      <c r="N298" s="854"/>
      <c r="O298" s="854"/>
      <c r="P298" s="854"/>
      <c r="Q298" s="854"/>
      <c r="R298" s="854"/>
      <c r="S298" s="854"/>
      <c r="T298" s="854"/>
      <c r="U298" s="854"/>
      <c r="V298" s="854"/>
      <c r="W298" s="854"/>
      <c r="X298" s="854"/>
      <c r="Y298" s="854"/>
      <c r="Z298" s="854"/>
      <c r="AA298" s="854"/>
      <c r="AB298" s="854"/>
      <c r="AC298" s="854"/>
      <c r="AD298" s="854"/>
      <c r="AE298" s="854"/>
      <c r="AF298" s="854"/>
      <c r="AG298" s="854"/>
      <c r="AH298" s="854"/>
      <c r="AI298" s="854"/>
      <c r="AJ298" s="854"/>
      <c r="AK298" s="854"/>
      <c r="AL298" s="854"/>
      <c r="AM298" s="854"/>
      <c r="AN298" s="854"/>
      <c r="AO298" s="854"/>
      <c r="AP298" s="854"/>
      <c r="AQ298" s="854"/>
      <c r="AR298" s="854"/>
      <c r="AS298" s="854"/>
      <c r="AT298" s="854"/>
      <c r="AU298" s="854"/>
      <c r="AV298" s="854"/>
      <c r="AW298" s="854"/>
      <c r="AX298" s="854"/>
      <c r="AY298" s="854"/>
      <c r="AZ298" s="854"/>
      <c r="BA298" s="854"/>
      <c r="BB298" s="854"/>
      <c r="BC298" s="854"/>
      <c r="BD298" s="854"/>
      <c r="BE298" s="854"/>
      <c r="BF298" s="854"/>
      <c r="BG298" s="854"/>
      <c r="BH298" s="854"/>
      <c r="BI298" s="854"/>
      <c r="BJ298" s="854"/>
      <c r="BK298" s="854"/>
      <c r="BL298" s="854"/>
      <c r="BM298" s="854"/>
      <c r="BN298" s="854"/>
      <c r="BO298" s="854"/>
      <c r="BP298" s="854"/>
      <c r="BQ298" s="854"/>
      <c r="BR298" s="854"/>
      <c r="BS298" s="854"/>
      <c r="BT298" s="854"/>
      <c r="BU298" s="854"/>
      <c r="BV298" s="854"/>
      <c r="BW298" s="854"/>
      <c r="BX298" s="854"/>
      <c r="BY298" s="854"/>
      <c r="BZ298" s="854"/>
      <c r="CA298" s="571">
        <f>IF(OR(I298="",I298&lt;'Configs &amp; Procedures'!$L$29),0,IF(I298&gt;'Configs &amp; Procedures'!$L$30,1,IF(F298&gt;'Configs &amp; Procedures'!$L$31,0,1)))</f>
        <v>0</v>
      </c>
    </row>
    <row r="299" spans="2:79">
      <c r="B299" s="854"/>
      <c r="C299" s="854"/>
      <c r="D299" s="854"/>
      <c r="E299" s="854"/>
      <c r="F299" s="854"/>
      <c r="G299" s="854"/>
      <c r="H299" s="854"/>
      <c r="I299" s="854"/>
      <c r="J299" s="854"/>
      <c r="K299" s="854"/>
      <c r="L299" s="854"/>
      <c r="M299" s="854"/>
      <c r="N299" s="854"/>
      <c r="O299" s="854"/>
      <c r="P299" s="854"/>
      <c r="Q299" s="854"/>
      <c r="R299" s="854"/>
      <c r="S299" s="854"/>
      <c r="T299" s="854"/>
      <c r="U299" s="854"/>
      <c r="V299" s="854"/>
      <c r="W299" s="854"/>
      <c r="X299" s="854"/>
      <c r="Y299" s="854"/>
      <c r="Z299" s="854"/>
      <c r="AA299" s="854"/>
      <c r="AB299" s="854"/>
      <c r="AC299" s="854"/>
      <c r="AD299" s="854"/>
      <c r="AE299" s="854"/>
      <c r="AF299" s="854"/>
      <c r="AG299" s="854"/>
      <c r="AH299" s="854"/>
      <c r="AI299" s="854"/>
      <c r="AJ299" s="854"/>
      <c r="AK299" s="854"/>
      <c r="AL299" s="854"/>
      <c r="AM299" s="854"/>
      <c r="AN299" s="854"/>
      <c r="AO299" s="854"/>
      <c r="AP299" s="854"/>
      <c r="AQ299" s="854"/>
      <c r="AR299" s="854"/>
      <c r="AS299" s="854"/>
      <c r="AT299" s="854"/>
      <c r="AU299" s="854"/>
      <c r="AV299" s="854"/>
      <c r="AW299" s="854"/>
      <c r="AX299" s="854"/>
      <c r="AY299" s="854"/>
      <c r="AZ299" s="854"/>
      <c r="BA299" s="854"/>
      <c r="BB299" s="854"/>
      <c r="BC299" s="854"/>
      <c r="BD299" s="854"/>
      <c r="BE299" s="854"/>
      <c r="BF299" s="854"/>
      <c r="BG299" s="854"/>
      <c r="BH299" s="854"/>
      <c r="BI299" s="854"/>
      <c r="BJ299" s="854"/>
      <c r="BK299" s="854"/>
      <c r="BL299" s="854"/>
      <c r="BM299" s="854"/>
      <c r="BN299" s="854"/>
      <c r="BO299" s="854"/>
      <c r="BP299" s="854"/>
      <c r="BQ299" s="854"/>
      <c r="BR299" s="854"/>
      <c r="BS299" s="854"/>
      <c r="BT299" s="854"/>
      <c r="BU299" s="854"/>
      <c r="BV299" s="854"/>
      <c r="BW299" s="854"/>
      <c r="BX299" s="854"/>
      <c r="BY299" s="854"/>
      <c r="BZ299" s="854"/>
      <c r="CA299" s="571">
        <f>IF(OR(I299="",I299&lt;'Configs &amp; Procedures'!$L$29),0,IF(I299&gt;'Configs &amp; Procedures'!$L$30,1,IF(F299&gt;'Configs &amp; Procedures'!$L$31,0,1)))</f>
        <v>0</v>
      </c>
    </row>
    <row r="300" spans="2:79">
      <c r="B300" s="854"/>
      <c r="C300" s="854"/>
      <c r="D300" s="854"/>
      <c r="E300" s="854"/>
      <c r="F300" s="854"/>
      <c r="G300" s="854"/>
      <c r="H300" s="854"/>
      <c r="I300" s="854"/>
      <c r="J300" s="854"/>
      <c r="K300" s="854"/>
      <c r="L300" s="854"/>
      <c r="M300" s="854"/>
      <c r="N300" s="854"/>
      <c r="O300" s="854"/>
      <c r="P300" s="854"/>
      <c r="Q300" s="854"/>
      <c r="R300" s="854"/>
      <c r="S300" s="854"/>
      <c r="T300" s="854"/>
      <c r="U300" s="854"/>
      <c r="V300" s="854"/>
      <c r="W300" s="854"/>
      <c r="X300" s="854"/>
      <c r="Y300" s="854"/>
      <c r="Z300" s="854"/>
      <c r="AA300" s="854"/>
      <c r="AB300" s="854"/>
      <c r="AC300" s="854"/>
      <c r="AD300" s="854"/>
      <c r="AE300" s="854"/>
      <c r="AF300" s="854"/>
      <c r="AG300" s="854"/>
      <c r="AH300" s="854"/>
      <c r="AI300" s="854"/>
      <c r="AJ300" s="854"/>
      <c r="AK300" s="854"/>
      <c r="AL300" s="854"/>
      <c r="AM300" s="854"/>
      <c r="AN300" s="854"/>
      <c r="AO300" s="854"/>
      <c r="AP300" s="854"/>
      <c r="AQ300" s="854"/>
      <c r="AR300" s="854"/>
      <c r="AS300" s="854"/>
      <c r="AT300" s="854"/>
      <c r="AU300" s="854"/>
      <c r="AV300" s="854"/>
      <c r="AW300" s="854"/>
      <c r="AX300" s="854"/>
      <c r="AY300" s="854"/>
      <c r="AZ300" s="854"/>
      <c r="BA300" s="854"/>
      <c r="BB300" s="854"/>
      <c r="BC300" s="854"/>
      <c r="BD300" s="854"/>
      <c r="BE300" s="854"/>
      <c r="BF300" s="854"/>
      <c r="BG300" s="854"/>
      <c r="BH300" s="854"/>
      <c r="BI300" s="854"/>
      <c r="BJ300" s="854"/>
      <c r="BK300" s="854"/>
      <c r="BL300" s="854"/>
      <c r="BM300" s="854"/>
      <c r="BN300" s="854"/>
      <c r="BO300" s="854"/>
      <c r="BP300" s="854"/>
      <c r="BQ300" s="854"/>
      <c r="BR300" s="854"/>
      <c r="BS300" s="854"/>
      <c r="BT300" s="854"/>
      <c r="BU300" s="854"/>
      <c r="BV300" s="854"/>
      <c r="BW300" s="854"/>
      <c r="BX300" s="854"/>
      <c r="BY300" s="854"/>
      <c r="BZ300" s="854"/>
      <c r="CA300" s="571">
        <f>IF(OR(I300="",I300&lt;'Configs &amp; Procedures'!$L$29),0,IF(I300&gt;'Configs &amp; Procedures'!$L$30,1,IF(F300&gt;'Configs &amp; Procedures'!$L$31,0,1)))</f>
        <v>0</v>
      </c>
    </row>
    <row r="301" spans="2:79">
      <c r="B301" s="854"/>
      <c r="C301" s="854"/>
      <c r="D301" s="854"/>
      <c r="E301" s="854"/>
      <c r="F301" s="854"/>
      <c r="G301" s="854"/>
      <c r="H301" s="854"/>
      <c r="I301" s="854"/>
      <c r="J301" s="854"/>
      <c r="K301" s="854"/>
      <c r="L301" s="854"/>
      <c r="M301" s="854"/>
      <c r="N301" s="854"/>
      <c r="O301" s="854"/>
      <c r="P301" s="854"/>
      <c r="Q301" s="854"/>
      <c r="R301" s="854"/>
      <c r="S301" s="854"/>
      <c r="T301" s="854"/>
      <c r="U301" s="854"/>
      <c r="V301" s="854"/>
      <c r="W301" s="854"/>
      <c r="X301" s="854"/>
      <c r="Y301" s="854"/>
      <c r="Z301" s="854"/>
      <c r="AA301" s="854"/>
      <c r="AB301" s="854"/>
      <c r="AC301" s="854"/>
      <c r="AD301" s="854"/>
      <c r="AE301" s="854"/>
      <c r="AF301" s="854"/>
      <c r="AG301" s="854"/>
      <c r="AH301" s="854"/>
      <c r="AI301" s="854"/>
      <c r="AJ301" s="854"/>
      <c r="AK301" s="854"/>
      <c r="AL301" s="854"/>
      <c r="AM301" s="854"/>
      <c r="AN301" s="854"/>
      <c r="AO301" s="854"/>
      <c r="AP301" s="854"/>
      <c r="AQ301" s="854"/>
      <c r="AR301" s="854"/>
      <c r="AS301" s="854"/>
      <c r="AT301" s="854"/>
      <c r="AU301" s="854"/>
      <c r="AV301" s="854"/>
      <c r="AW301" s="854"/>
      <c r="AX301" s="854"/>
      <c r="AY301" s="854"/>
      <c r="AZ301" s="854"/>
      <c r="BA301" s="854"/>
      <c r="BB301" s="854"/>
      <c r="BC301" s="854"/>
      <c r="BD301" s="854"/>
      <c r="BE301" s="854"/>
      <c r="BF301" s="854"/>
      <c r="BG301" s="854"/>
      <c r="BH301" s="854"/>
      <c r="BI301" s="854"/>
      <c r="BJ301" s="854"/>
      <c r="BK301" s="854"/>
      <c r="BL301" s="854"/>
      <c r="BM301" s="854"/>
      <c r="BN301" s="854"/>
      <c r="BO301" s="854"/>
      <c r="BP301" s="854"/>
      <c r="BQ301" s="854"/>
      <c r="BR301" s="854"/>
      <c r="BS301" s="854"/>
      <c r="BT301" s="854"/>
      <c r="BU301" s="854"/>
      <c r="BV301" s="854"/>
      <c r="BW301" s="854"/>
      <c r="BX301" s="854"/>
      <c r="BY301" s="854"/>
      <c r="BZ301" s="854"/>
      <c r="CA301" s="571">
        <f>IF(OR(I301="",I301&lt;'Configs &amp; Procedures'!$L$29),0,IF(I301&gt;'Configs &amp; Procedures'!$L$30,1,IF(F301&gt;'Configs &amp; Procedures'!$L$31,0,1)))</f>
        <v>0</v>
      </c>
    </row>
    <row r="302" spans="2:79">
      <c r="B302" s="854"/>
      <c r="C302" s="854"/>
      <c r="D302" s="854"/>
      <c r="E302" s="854"/>
      <c r="F302" s="854"/>
      <c r="G302" s="854"/>
      <c r="H302" s="854"/>
      <c r="I302" s="854"/>
      <c r="J302" s="854"/>
      <c r="K302" s="854"/>
      <c r="L302" s="854"/>
      <c r="M302" s="854"/>
      <c r="N302" s="854"/>
      <c r="O302" s="854"/>
      <c r="P302" s="854"/>
      <c r="Q302" s="854"/>
      <c r="R302" s="854"/>
      <c r="S302" s="854"/>
      <c r="T302" s="854"/>
      <c r="U302" s="854"/>
      <c r="V302" s="854"/>
      <c r="W302" s="854"/>
      <c r="X302" s="854"/>
      <c r="Y302" s="854"/>
      <c r="Z302" s="854"/>
      <c r="AA302" s="854"/>
      <c r="AB302" s="854"/>
      <c r="AC302" s="854"/>
      <c r="AD302" s="854"/>
      <c r="AE302" s="854"/>
      <c r="AF302" s="854"/>
      <c r="AG302" s="854"/>
      <c r="AH302" s="854"/>
      <c r="AI302" s="854"/>
      <c r="AJ302" s="854"/>
      <c r="AK302" s="854"/>
      <c r="AL302" s="854"/>
      <c r="AM302" s="854"/>
      <c r="AN302" s="854"/>
      <c r="AO302" s="854"/>
      <c r="AP302" s="854"/>
      <c r="AQ302" s="854"/>
      <c r="AR302" s="854"/>
      <c r="AS302" s="854"/>
      <c r="AT302" s="854"/>
      <c r="AU302" s="854"/>
      <c r="AV302" s="854"/>
      <c r="AW302" s="854"/>
      <c r="AX302" s="854"/>
      <c r="AY302" s="854"/>
      <c r="AZ302" s="854"/>
      <c r="BA302" s="854"/>
      <c r="BB302" s="854"/>
      <c r="BC302" s="854"/>
      <c r="BD302" s="854"/>
      <c r="BE302" s="854"/>
      <c r="BF302" s="854"/>
      <c r="BG302" s="854"/>
      <c r="BH302" s="854"/>
      <c r="BI302" s="854"/>
      <c r="BJ302" s="854"/>
      <c r="BK302" s="854"/>
      <c r="BL302" s="854"/>
      <c r="BM302" s="854"/>
      <c r="BN302" s="854"/>
      <c r="BO302" s="854"/>
      <c r="BP302" s="854"/>
      <c r="BQ302" s="854"/>
      <c r="BR302" s="854"/>
      <c r="BS302" s="854"/>
      <c r="BT302" s="854"/>
      <c r="BU302" s="854"/>
      <c r="BV302" s="854"/>
      <c r="BW302" s="854"/>
      <c r="BX302" s="854"/>
      <c r="BY302" s="854"/>
      <c r="BZ302" s="854"/>
      <c r="CA302" s="571">
        <f>IF(OR(I302="",I302&lt;'Configs &amp; Procedures'!$L$29),0,IF(I302&gt;'Configs &amp; Procedures'!$L$30,1,IF(F302&gt;'Configs &amp; Procedures'!$L$31,0,1)))</f>
        <v>0</v>
      </c>
    </row>
    <row r="303" spans="2:79">
      <c r="B303" s="854"/>
      <c r="C303" s="854"/>
      <c r="D303" s="854"/>
      <c r="E303" s="854"/>
      <c r="F303" s="854"/>
      <c r="G303" s="854"/>
      <c r="H303" s="854"/>
      <c r="I303" s="854"/>
      <c r="J303" s="854"/>
      <c r="K303" s="854"/>
      <c r="L303" s="854"/>
      <c r="M303" s="854"/>
      <c r="N303" s="854"/>
      <c r="O303" s="854"/>
      <c r="P303" s="854"/>
      <c r="Q303" s="854"/>
      <c r="R303" s="854"/>
      <c r="S303" s="854"/>
      <c r="T303" s="854"/>
      <c r="U303" s="854"/>
      <c r="V303" s="854"/>
      <c r="W303" s="854"/>
      <c r="X303" s="854"/>
      <c r="Y303" s="854"/>
      <c r="Z303" s="854"/>
      <c r="AA303" s="854"/>
      <c r="AB303" s="854"/>
      <c r="AC303" s="854"/>
      <c r="AD303" s="854"/>
      <c r="AE303" s="854"/>
      <c r="AF303" s="854"/>
      <c r="AG303" s="854"/>
      <c r="AH303" s="854"/>
      <c r="AI303" s="854"/>
      <c r="AJ303" s="854"/>
      <c r="AK303" s="854"/>
      <c r="AL303" s="854"/>
      <c r="AM303" s="854"/>
      <c r="AN303" s="854"/>
      <c r="AO303" s="854"/>
      <c r="AP303" s="854"/>
      <c r="AQ303" s="854"/>
      <c r="AR303" s="854"/>
      <c r="AS303" s="854"/>
      <c r="AT303" s="854"/>
      <c r="AU303" s="854"/>
      <c r="AV303" s="854"/>
      <c r="AW303" s="854"/>
      <c r="AX303" s="854"/>
      <c r="AY303" s="854"/>
      <c r="AZ303" s="854"/>
      <c r="BA303" s="854"/>
      <c r="BB303" s="854"/>
      <c r="BC303" s="854"/>
      <c r="BD303" s="854"/>
      <c r="BE303" s="854"/>
      <c r="BF303" s="854"/>
      <c r="BG303" s="854"/>
      <c r="BH303" s="854"/>
      <c r="BI303" s="854"/>
      <c r="BJ303" s="854"/>
      <c r="BK303" s="854"/>
      <c r="BL303" s="854"/>
      <c r="BM303" s="854"/>
      <c r="BN303" s="854"/>
      <c r="BO303" s="854"/>
      <c r="BP303" s="854"/>
      <c r="BQ303" s="854"/>
      <c r="BR303" s="854"/>
      <c r="BS303" s="854"/>
      <c r="BT303" s="854"/>
      <c r="BU303" s="854"/>
      <c r="BV303" s="854"/>
      <c r="BW303" s="854"/>
      <c r="BX303" s="854"/>
      <c r="BY303" s="854"/>
      <c r="BZ303" s="854"/>
      <c r="CA303" s="571">
        <f>IF(OR(I303="",I303&lt;'Configs &amp; Procedures'!$L$29),0,IF(I303&gt;'Configs &amp; Procedures'!$L$30,1,IF(F303&gt;'Configs &amp; Procedures'!$L$31,0,1)))</f>
        <v>0</v>
      </c>
    </row>
    <row r="304" spans="2:79">
      <c r="B304" s="854"/>
      <c r="C304" s="854"/>
      <c r="D304" s="854"/>
      <c r="E304" s="854"/>
      <c r="F304" s="854"/>
      <c r="G304" s="854"/>
      <c r="H304" s="854"/>
      <c r="I304" s="854"/>
      <c r="J304" s="854"/>
      <c r="K304" s="854"/>
      <c r="L304" s="854"/>
      <c r="M304" s="854"/>
      <c r="N304" s="854"/>
      <c r="O304" s="854"/>
      <c r="P304" s="854"/>
      <c r="Q304" s="854"/>
      <c r="R304" s="854"/>
      <c r="S304" s="854"/>
      <c r="T304" s="854"/>
      <c r="U304" s="854"/>
      <c r="V304" s="854"/>
      <c r="W304" s="854"/>
      <c r="X304" s="854"/>
      <c r="Y304" s="854"/>
      <c r="Z304" s="854"/>
      <c r="AA304" s="854"/>
      <c r="AB304" s="854"/>
      <c r="AC304" s="854"/>
      <c r="AD304" s="854"/>
      <c r="AE304" s="854"/>
      <c r="AF304" s="854"/>
      <c r="AG304" s="854"/>
      <c r="AH304" s="854"/>
      <c r="AI304" s="854"/>
      <c r="AJ304" s="854"/>
      <c r="AK304" s="854"/>
      <c r="AL304" s="854"/>
      <c r="AM304" s="854"/>
      <c r="AN304" s="854"/>
      <c r="AO304" s="854"/>
      <c r="AP304" s="854"/>
      <c r="AQ304" s="854"/>
      <c r="AR304" s="854"/>
      <c r="AS304" s="854"/>
      <c r="AT304" s="854"/>
      <c r="AU304" s="854"/>
      <c r="AV304" s="854"/>
      <c r="AW304" s="854"/>
      <c r="AX304" s="854"/>
      <c r="AY304" s="854"/>
      <c r="AZ304" s="854"/>
      <c r="BA304" s="854"/>
      <c r="BB304" s="854"/>
      <c r="BC304" s="854"/>
      <c r="BD304" s="854"/>
      <c r="BE304" s="854"/>
      <c r="BF304" s="854"/>
      <c r="BG304" s="854"/>
      <c r="BH304" s="854"/>
      <c r="BI304" s="854"/>
      <c r="BJ304" s="854"/>
      <c r="BK304" s="854"/>
      <c r="BL304" s="854"/>
      <c r="BM304" s="854"/>
      <c r="BN304" s="854"/>
      <c r="BO304" s="854"/>
      <c r="BP304" s="854"/>
      <c r="BQ304" s="854"/>
      <c r="BR304" s="854"/>
      <c r="BS304" s="854"/>
      <c r="BT304" s="854"/>
      <c r="BU304" s="854"/>
      <c r="BV304" s="854"/>
      <c r="BW304" s="854"/>
      <c r="BX304" s="854"/>
      <c r="BY304" s="854"/>
      <c r="BZ304" s="854"/>
      <c r="CA304" s="571">
        <f>IF(OR(I304="",I304&lt;'Configs &amp; Procedures'!$L$29),0,IF(I304&gt;'Configs &amp; Procedures'!$L$30,1,IF(F304&gt;'Configs &amp; Procedures'!$L$31,0,1)))</f>
        <v>0</v>
      </c>
    </row>
    <row r="305" spans="2:79">
      <c r="B305" s="854"/>
      <c r="C305" s="854"/>
      <c r="D305" s="854"/>
      <c r="E305" s="854"/>
      <c r="F305" s="854"/>
      <c r="G305" s="854"/>
      <c r="H305" s="854"/>
      <c r="I305" s="854"/>
      <c r="J305" s="854"/>
      <c r="K305" s="854"/>
      <c r="L305" s="854"/>
      <c r="M305" s="854"/>
      <c r="N305" s="854"/>
      <c r="O305" s="854"/>
      <c r="P305" s="854"/>
      <c r="Q305" s="854"/>
      <c r="R305" s="854"/>
      <c r="S305" s="854"/>
      <c r="T305" s="854"/>
      <c r="U305" s="854"/>
      <c r="V305" s="854"/>
      <c r="W305" s="854"/>
      <c r="X305" s="854"/>
      <c r="Y305" s="854"/>
      <c r="Z305" s="854"/>
      <c r="AA305" s="854"/>
      <c r="AB305" s="854"/>
      <c r="AC305" s="854"/>
      <c r="AD305" s="854"/>
      <c r="AE305" s="854"/>
      <c r="AF305" s="854"/>
      <c r="AG305" s="854"/>
      <c r="AH305" s="854"/>
      <c r="AI305" s="854"/>
      <c r="AJ305" s="854"/>
      <c r="AK305" s="854"/>
      <c r="AL305" s="854"/>
      <c r="AM305" s="854"/>
      <c r="AN305" s="854"/>
      <c r="AO305" s="854"/>
      <c r="AP305" s="854"/>
      <c r="AQ305" s="854"/>
      <c r="AR305" s="854"/>
      <c r="AS305" s="854"/>
      <c r="AT305" s="854"/>
      <c r="AU305" s="854"/>
      <c r="AV305" s="854"/>
      <c r="AW305" s="854"/>
      <c r="AX305" s="854"/>
      <c r="AY305" s="854"/>
      <c r="AZ305" s="854"/>
      <c r="BA305" s="854"/>
      <c r="BB305" s="854"/>
      <c r="BC305" s="854"/>
      <c r="BD305" s="854"/>
      <c r="BE305" s="854"/>
      <c r="BF305" s="854"/>
      <c r="BG305" s="854"/>
      <c r="BH305" s="854"/>
      <c r="BI305" s="854"/>
      <c r="BJ305" s="854"/>
      <c r="BK305" s="854"/>
      <c r="BL305" s="854"/>
      <c r="BM305" s="854"/>
      <c r="BN305" s="854"/>
      <c r="BO305" s="854"/>
      <c r="BP305" s="854"/>
      <c r="BQ305" s="854"/>
      <c r="BR305" s="854"/>
      <c r="BS305" s="854"/>
      <c r="BT305" s="854"/>
      <c r="BU305" s="854"/>
      <c r="BV305" s="854"/>
      <c r="BW305" s="854"/>
      <c r="BX305" s="854"/>
      <c r="BY305" s="854"/>
      <c r="BZ305" s="854"/>
      <c r="CA305" s="571">
        <f>IF(OR(I305="",I305&lt;'Configs &amp; Procedures'!$L$29),0,IF(I305&gt;'Configs &amp; Procedures'!$L$30,1,IF(F305&gt;'Configs &amp; Procedures'!$L$31,0,1)))</f>
        <v>0</v>
      </c>
    </row>
    <row r="306" spans="2:79">
      <c r="B306" s="854"/>
      <c r="C306" s="854"/>
      <c r="D306" s="854"/>
      <c r="E306" s="854"/>
      <c r="F306" s="854"/>
      <c r="G306" s="854"/>
      <c r="H306" s="854"/>
      <c r="I306" s="854"/>
      <c r="J306" s="854"/>
      <c r="K306" s="854"/>
      <c r="L306" s="854"/>
      <c r="M306" s="854"/>
      <c r="N306" s="854"/>
      <c r="O306" s="854"/>
      <c r="P306" s="854"/>
      <c r="Q306" s="854"/>
      <c r="R306" s="854"/>
      <c r="S306" s="854"/>
      <c r="T306" s="854"/>
      <c r="U306" s="854"/>
      <c r="V306" s="854"/>
      <c r="W306" s="854"/>
      <c r="X306" s="854"/>
      <c r="Y306" s="854"/>
      <c r="Z306" s="854"/>
      <c r="AA306" s="854"/>
      <c r="AB306" s="854"/>
      <c r="AC306" s="854"/>
      <c r="AD306" s="854"/>
      <c r="AE306" s="854"/>
      <c r="AF306" s="854"/>
      <c r="AG306" s="854"/>
      <c r="AH306" s="854"/>
      <c r="AI306" s="854"/>
      <c r="AJ306" s="854"/>
      <c r="AK306" s="854"/>
      <c r="AL306" s="854"/>
      <c r="AM306" s="854"/>
      <c r="AN306" s="854"/>
      <c r="AO306" s="854"/>
      <c r="AP306" s="854"/>
      <c r="AQ306" s="854"/>
      <c r="AR306" s="854"/>
      <c r="AS306" s="854"/>
      <c r="AT306" s="854"/>
      <c r="AU306" s="854"/>
      <c r="AV306" s="854"/>
      <c r="AW306" s="854"/>
      <c r="AX306" s="854"/>
      <c r="AY306" s="854"/>
      <c r="AZ306" s="854"/>
      <c r="BA306" s="854"/>
      <c r="BB306" s="854"/>
      <c r="BC306" s="854"/>
      <c r="BD306" s="854"/>
      <c r="BE306" s="854"/>
      <c r="BF306" s="854"/>
      <c r="BG306" s="854"/>
      <c r="BH306" s="854"/>
      <c r="BI306" s="854"/>
      <c r="BJ306" s="854"/>
      <c r="BK306" s="854"/>
      <c r="BL306" s="854"/>
      <c r="BM306" s="854"/>
      <c r="BN306" s="854"/>
      <c r="BO306" s="854"/>
      <c r="BP306" s="854"/>
      <c r="BQ306" s="854"/>
      <c r="BR306" s="854"/>
      <c r="BS306" s="854"/>
      <c r="BT306" s="854"/>
      <c r="BU306" s="854"/>
      <c r="BV306" s="854"/>
      <c r="BW306" s="854"/>
      <c r="BX306" s="854"/>
      <c r="BY306" s="854"/>
      <c r="BZ306" s="854"/>
      <c r="CA306" s="571">
        <f>IF(OR(I306="",I306&lt;'Configs &amp; Procedures'!$L$29),0,IF(I306&gt;'Configs &amp; Procedures'!$L$30,1,IF(F306&gt;'Configs &amp; Procedures'!$L$31,0,1)))</f>
        <v>0</v>
      </c>
    </row>
    <row r="307" spans="2:79">
      <c r="B307" s="854"/>
      <c r="C307" s="854"/>
      <c r="D307" s="854"/>
      <c r="E307" s="854"/>
      <c r="F307" s="854"/>
      <c r="G307" s="854"/>
      <c r="H307" s="854"/>
      <c r="I307" s="854"/>
      <c r="J307" s="854"/>
      <c r="K307" s="854"/>
      <c r="L307" s="854"/>
      <c r="M307" s="854"/>
      <c r="N307" s="854"/>
      <c r="O307" s="854"/>
      <c r="P307" s="854"/>
      <c r="Q307" s="854"/>
      <c r="R307" s="854"/>
      <c r="S307" s="854"/>
      <c r="T307" s="854"/>
      <c r="U307" s="854"/>
      <c r="V307" s="854"/>
      <c r="W307" s="854"/>
      <c r="X307" s="854"/>
      <c r="Y307" s="854"/>
      <c r="Z307" s="854"/>
      <c r="AA307" s="854"/>
      <c r="AB307" s="854"/>
      <c r="AC307" s="854"/>
      <c r="AD307" s="854"/>
      <c r="AE307" s="854"/>
      <c r="AF307" s="854"/>
      <c r="AG307" s="854"/>
      <c r="AH307" s="854"/>
      <c r="AI307" s="854"/>
      <c r="AJ307" s="854"/>
      <c r="AK307" s="854"/>
      <c r="AL307" s="854"/>
      <c r="AM307" s="854"/>
      <c r="AN307" s="854"/>
      <c r="AO307" s="854"/>
      <c r="AP307" s="854"/>
      <c r="AQ307" s="854"/>
      <c r="AR307" s="854"/>
      <c r="AS307" s="854"/>
      <c r="AT307" s="854"/>
      <c r="AU307" s="854"/>
      <c r="AV307" s="854"/>
      <c r="AW307" s="854"/>
      <c r="AX307" s="854"/>
      <c r="AY307" s="854"/>
      <c r="AZ307" s="854"/>
      <c r="BA307" s="854"/>
      <c r="BB307" s="854"/>
      <c r="BC307" s="854"/>
      <c r="BD307" s="854"/>
      <c r="BE307" s="854"/>
      <c r="BF307" s="854"/>
      <c r="BG307" s="854"/>
      <c r="BH307" s="854"/>
      <c r="BI307" s="854"/>
      <c r="BJ307" s="854"/>
      <c r="BK307" s="854"/>
      <c r="BL307" s="854"/>
      <c r="BM307" s="854"/>
      <c r="BN307" s="854"/>
      <c r="BO307" s="854"/>
      <c r="BP307" s="854"/>
      <c r="BQ307" s="854"/>
      <c r="BR307" s="854"/>
      <c r="BS307" s="854"/>
      <c r="BT307" s="854"/>
      <c r="BU307" s="854"/>
      <c r="BV307" s="854"/>
      <c r="BW307" s="854"/>
      <c r="BX307" s="854"/>
      <c r="BY307" s="854"/>
      <c r="BZ307" s="854"/>
      <c r="CA307" s="571">
        <f>IF(OR(I307="",I307&lt;'Configs &amp; Procedures'!$L$29),0,IF(I307&gt;'Configs &amp; Procedures'!$L$30,1,IF(F307&gt;'Configs &amp; Procedures'!$L$31,0,1)))</f>
        <v>0</v>
      </c>
    </row>
    <row r="308" spans="2:79">
      <c r="B308" s="854"/>
      <c r="C308" s="854"/>
      <c r="D308" s="854"/>
      <c r="E308" s="854"/>
      <c r="F308" s="854"/>
      <c r="G308" s="854"/>
      <c r="H308" s="854"/>
      <c r="I308" s="854"/>
      <c r="J308" s="854"/>
      <c r="K308" s="854"/>
      <c r="L308" s="854"/>
      <c r="M308" s="854"/>
      <c r="N308" s="854"/>
      <c r="O308" s="854"/>
      <c r="P308" s="854"/>
      <c r="Q308" s="854"/>
      <c r="R308" s="854"/>
      <c r="S308" s="854"/>
      <c r="T308" s="854"/>
      <c r="U308" s="854"/>
      <c r="V308" s="854"/>
      <c r="W308" s="854"/>
      <c r="X308" s="854"/>
      <c r="Y308" s="854"/>
      <c r="Z308" s="854"/>
      <c r="AA308" s="854"/>
      <c r="AB308" s="854"/>
      <c r="AC308" s="854"/>
      <c r="AD308" s="854"/>
      <c r="AE308" s="854"/>
      <c r="AF308" s="854"/>
      <c r="AG308" s="854"/>
      <c r="AH308" s="854"/>
      <c r="AI308" s="854"/>
      <c r="AJ308" s="854"/>
      <c r="AK308" s="854"/>
      <c r="AL308" s="854"/>
      <c r="AM308" s="854"/>
      <c r="AN308" s="854"/>
      <c r="AO308" s="854"/>
      <c r="AP308" s="854"/>
      <c r="AQ308" s="854"/>
      <c r="AR308" s="854"/>
      <c r="AS308" s="854"/>
      <c r="AT308" s="854"/>
      <c r="AU308" s="854"/>
      <c r="AV308" s="854"/>
      <c r="AW308" s="854"/>
      <c r="AX308" s="854"/>
      <c r="AY308" s="854"/>
      <c r="AZ308" s="854"/>
      <c r="BA308" s="854"/>
      <c r="BB308" s="854"/>
      <c r="BC308" s="854"/>
      <c r="BD308" s="854"/>
      <c r="BE308" s="854"/>
      <c r="BF308" s="854"/>
      <c r="BG308" s="854"/>
      <c r="BH308" s="854"/>
      <c r="BI308" s="854"/>
      <c r="BJ308" s="854"/>
      <c r="BK308" s="854"/>
      <c r="BL308" s="854"/>
      <c r="BM308" s="854"/>
      <c r="BN308" s="854"/>
      <c r="BO308" s="854"/>
      <c r="BP308" s="854"/>
      <c r="BQ308" s="854"/>
      <c r="BR308" s="854"/>
      <c r="BS308" s="854"/>
      <c r="BT308" s="854"/>
      <c r="BU308" s="854"/>
      <c r="BV308" s="854"/>
      <c r="BW308" s="854"/>
      <c r="BX308" s="854"/>
      <c r="BY308" s="854"/>
      <c r="BZ308" s="854"/>
      <c r="CA308" s="571">
        <f>IF(OR(I308="",I308&lt;'Configs &amp; Procedures'!$L$29),0,IF(I308&gt;'Configs &amp; Procedures'!$L$30,1,IF(F308&gt;'Configs &amp; Procedures'!$L$31,0,1)))</f>
        <v>0</v>
      </c>
    </row>
    <row r="309" spans="2:79">
      <c r="B309" s="854"/>
      <c r="C309" s="854"/>
      <c r="D309" s="854"/>
      <c r="E309" s="854"/>
      <c r="F309" s="854"/>
      <c r="G309" s="854"/>
      <c r="H309" s="854"/>
      <c r="I309" s="854"/>
      <c r="J309" s="854"/>
      <c r="K309" s="854"/>
      <c r="L309" s="854"/>
      <c r="M309" s="854"/>
      <c r="N309" s="854"/>
      <c r="O309" s="854"/>
      <c r="P309" s="854"/>
      <c r="Q309" s="854"/>
      <c r="R309" s="854"/>
      <c r="S309" s="854"/>
      <c r="T309" s="854"/>
      <c r="U309" s="854"/>
      <c r="V309" s="854"/>
      <c r="W309" s="854"/>
      <c r="X309" s="854"/>
      <c r="Y309" s="854"/>
      <c r="Z309" s="854"/>
      <c r="AA309" s="854"/>
      <c r="AB309" s="854"/>
      <c r="AC309" s="854"/>
      <c r="AD309" s="854"/>
      <c r="AE309" s="854"/>
      <c r="AF309" s="854"/>
      <c r="AG309" s="854"/>
      <c r="AH309" s="854"/>
      <c r="AI309" s="854"/>
      <c r="AJ309" s="854"/>
      <c r="AK309" s="854"/>
      <c r="AL309" s="854"/>
      <c r="AM309" s="854"/>
      <c r="AN309" s="854"/>
      <c r="AO309" s="854"/>
      <c r="AP309" s="854"/>
      <c r="AQ309" s="854"/>
      <c r="AR309" s="854"/>
      <c r="AS309" s="854"/>
      <c r="AT309" s="854"/>
      <c r="AU309" s="854"/>
      <c r="AV309" s="854"/>
      <c r="AW309" s="854"/>
      <c r="AX309" s="854"/>
      <c r="AY309" s="854"/>
      <c r="AZ309" s="854"/>
      <c r="BA309" s="854"/>
      <c r="BB309" s="854"/>
      <c r="BC309" s="854"/>
      <c r="BD309" s="854"/>
      <c r="BE309" s="854"/>
      <c r="BF309" s="854"/>
      <c r="BG309" s="854"/>
      <c r="BH309" s="854"/>
      <c r="BI309" s="854"/>
      <c r="BJ309" s="854"/>
      <c r="BK309" s="854"/>
      <c r="BL309" s="854"/>
      <c r="BM309" s="854"/>
      <c r="BN309" s="854"/>
      <c r="BO309" s="854"/>
      <c r="BP309" s="854"/>
      <c r="BQ309" s="854"/>
      <c r="BR309" s="854"/>
      <c r="BS309" s="854"/>
      <c r="BT309" s="854"/>
      <c r="BU309" s="854"/>
      <c r="BV309" s="854"/>
      <c r="BW309" s="854"/>
      <c r="BX309" s="854"/>
      <c r="BY309" s="854"/>
      <c r="BZ309" s="854"/>
      <c r="CA309" s="571">
        <f>IF(OR(I309="",I309&lt;'Configs &amp; Procedures'!$L$29),0,IF(I309&gt;'Configs &amp; Procedures'!$L$30,1,IF(F309&gt;'Configs &amp; Procedures'!$L$31,0,1)))</f>
        <v>0</v>
      </c>
    </row>
    <row r="310" spans="2:79">
      <c r="B310" s="854"/>
      <c r="C310" s="854"/>
      <c r="D310" s="854"/>
      <c r="E310" s="854"/>
      <c r="F310" s="854"/>
      <c r="G310" s="854"/>
      <c r="H310" s="854"/>
      <c r="I310" s="854"/>
      <c r="J310" s="854"/>
      <c r="K310" s="854"/>
      <c r="L310" s="854"/>
      <c r="M310" s="854"/>
      <c r="N310" s="854"/>
      <c r="O310" s="854"/>
      <c r="P310" s="854"/>
      <c r="Q310" s="854"/>
      <c r="R310" s="854"/>
      <c r="S310" s="854"/>
      <c r="T310" s="854"/>
      <c r="U310" s="854"/>
      <c r="V310" s="854"/>
      <c r="W310" s="854"/>
      <c r="X310" s="854"/>
      <c r="Y310" s="854"/>
      <c r="Z310" s="854"/>
      <c r="AA310" s="854"/>
      <c r="AB310" s="854"/>
      <c r="AC310" s="854"/>
      <c r="AD310" s="854"/>
      <c r="AE310" s="854"/>
      <c r="AF310" s="854"/>
      <c r="AG310" s="854"/>
      <c r="AH310" s="854"/>
      <c r="AI310" s="854"/>
      <c r="AJ310" s="854"/>
      <c r="AK310" s="854"/>
      <c r="AL310" s="854"/>
      <c r="AM310" s="854"/>
      <c r="AN310" s="854"/>
      <c r="AO310" s="854"/>
      <c r="AP310" s="854"/>
      <c r="AQ310" s="854"/>
      <c r="AR310" s="854"/>
      <c r="AS310" s="854"/>
      <c r="AT310" s="854"/>
      <c r="AU310" s="854"/>
      <c r="AV310" s="854"/>
      <c r="AW310" s="854"/>
      <c r="AX310" s="854"/>
      <c r="AY310" s="854"/>
      <c r="AZ310" s="854"/>
      <c r="BA310" s="854"/>
      <c r="BB310" s="854"/>
      <c r="BC310" s="854"/>
      <c r="BD310" s="854"/>
      <c r="BE310" s="854"/>
      <c r="BF310" s="854"/>
      <c r="BG310" s="854"/>
      <c r="BH310" s="854"/>
      <c r="BI310" s="854"/>
      <c r="BJ310" s="854"/>
      <c r="BK310" s="854"/>
      <c r="BL310" s="854"/>
      <c r="BM310" s="854"/>
      <c r="BN310" s="854"/>
      <c r="BO310" s="854"/>
      <c r="BP310" s="854"/>
      <c r="BQ310" s="854"/>
      <c r="BR310" s="854"/>
      <c r="BS310" s="854"/>
      <c r="BT310" s="854"/>
      <c r="BU310" s="854"/>
      <c r="BV310" s="854"/>
      <c r="BW310" s="854"/>
      <c r="BX310" s="854"/>
      <c r="BY310" s="854"/>
      <c r="BZ310" s="854"/>
      <c r="CA310" s="571">
        <f>IF(OR(I310="",I310&lt;'Configs &amp; Procedures'!$L$29),0,IF(I310&gt;'Configs &amp; Procedures'!$L$30,1,IF(F310&gt;'Configs &amp; Procedures'!$L$31,0,1)))</f>
        <v>0</v>
      </c>
    </row>
    <row r="311" spans="2:79">
      <c r="B311" s="854"/>
      <c r="C311" s="854"/>
      <c r="D311" s="854"/>
      <c r="E311" s="854"/>
      <c r="F311" s="854"/>
      <c r="G311" s="854"/>
      <c r="H311" s="854"/>
      <c r="I311" s="854"/>
      <c r="J311" s="854"/>
      <c r="K311" s="854"/>
      <c r="L311" s="854"/>
      <c r="M311" s="854"/>
      <c r="N311" s="854"/>
      <c r="O311" s="854"/>
      <c r="P311" s="854"/>
      <c r="Q311" s="854"/>
      <c r="R311" s="854"/>
      <c r="S311" s="854"/>
      <c r="T311" s="854"/>
      <c r="U311" s="854"/>
      <c r="V311" s="854"/>
      <c r="W311" s="854"/>
      <c r="X311" s="854"/>
      <c r="Y311" s="854"/>
      <c r="Z311" s="854"/>
      <c r="AA311" s="854"/>
      <c r="AB311" s="854"/>
      <c r="AC311" s="854"/>
      <c r="AD311" s="854"/>
      <c r="AE311" s="854"/>
      <c r="AF311" s="854"/>
      <c r="AG311" s="854"/>
      <c r="AH311" s="854"/>
      <c r="AI311" s="854"/>
      <c r="AJ311" s="854"/>
      <c r="AK311" s="854"/>
      <c r="AL311" s="854"/>
      <c r="AM311" s="854"/>
      <c r="AN311" s="854"/>
      <c r="AO311" s="854"/>
      <c r="AP311" s="854"/>
      <c r="AQ311" s="854"/>
      <c r="AR311" s="854"/>
      <c r="AS311" s="854"/>
      <c r="AT311" s="854"/>
      <c r="AU311" s="854"/>
      <c r="AV311" s="854"/>
      <c r="AW311" s="854"/>
      <c r="AX311" s="854"/>
      <c r="AY311" s="854"/>
      <c r="AZ311" s="854"/>
      <c r="BA311" s="854"/>
      <c r="BB311" s="854"/>
      <c r="BC311" s="854"/>
      <c r="BD311" s="854"/>
      <c r="BE311" s="854"/>
      <c r="BF311" s="854"/>
      <c r="BG311" s="854"/>
      <c r="BH311" s="854"/>
      <c r="BI311" s="854"/>
      <c r="BJ311" s="854"/>
      <c r="BK311" s="854"/>
      <c r="BL311" s="854"/>
      <c r="BM311" s="854"/>
      <c r="BN311" s="854"/>
      <c r="BO311" s="854"/>
      <c r="BP311" s="854"/>
      <c r="BQ311" s="854"/>
      <c r="BR311" s="854"/>
      <c r="BS311" s="854"/>
      <c r="BT311" s="854"/>
      <c r="BU311" s="854"/>
      <c r="BV311" s="854"/>
      <c r="BW311" s="854"/>
      <c r="BX311" s="854"/>
      <c r="BY311" s="854"/>
      <c r="BZ311" s="854"/>
      <c r="CA311" s="571">
        <f>IF(OR(I311="",I311&lt;'Configs &amp; Procedures'!$L$29),0,IF(I311&gt;'Configs &amp; Procedures'!$L$30,1,IF(F311&gt;'Configs &amp; Procedures'!$L$31,0,1)))</f>
        <v>0</v>
      </c>
    </row>
    <row r="312" spans="2:79">
      <c r="B312" s="854"/>
      <c r="C312" s="854"/>
      <c r="D312" s="854"/>
      <c r="E312" s="854"/>
      <c r="F312" s="854"/>
      <c r="G312" s="854"/>
      <c r="H312" s="854"/>
      <c r="I312" s="854"/>
      <c r="J312" s="854"/>
      <c r="K312" s="854"/>
      <c r="L312" s="854"/>
      <c r="M312" s="854"/>
      <c r="N312" s="854"/>
      <c r="O312" s="854"/>
      <c r="P312" s="854"/>
      <c r="Q312" s="854"/>
      <c r="R312" s="854"/>
      <c r="S312" s="854"/>
      <c r="T312" s="854"/>
      <c r="U312" s="854"/>
      <c r="V312" s="854"/>
      <c r="W312" s="854"/>
      <c r="X312" s="854"/>
      <c r="Y312" s="854"/>
      <c r="Z312" s="854"/>
      <c r="AA312" s="854"/>
      <c r="AB312" s="854"/>
      <c r="AC312" s="854"/>
      <c r="AD312" s="854"/>
      <c r="AE312" s="854"/>
      <c r="AF312" s="854"/>
      <c r="AG312" s="854"/>
      <c r="AH312" s="854"/>
      <c r="AI312" s="854"/>
      <c r="AJ312" s="854"/>
      <c r="AK312" s="854"/>
      <c r="AL312" s="854"/>
      <c r="AM312" s="854"/>
      <c r="AN312" s="854"/>
      <c r="AO312" s="854"/>
      <c r="AP312" s="854"/>
      <c r="AQ312" s="854"/>
      <c r="AR312" s="854"/>
      <c r="AS312" s="854"/>
      <c r="AT312" s="854"/>
      <c r="AU312" s="854"/>
      <c r="AV312" s="854"/>
      <c r="AW312" s="854"/>
      <c r="AX312" s="854"/>
      <c r="AY312" s="854"/>
      <c r="AZ312" s="854"/>
      <c r="BA312" s="854"/>
      <c r="BB312" s="854"/>
      <c r="BC312" s="854"/>
      <c r="BD312" s="854"/>
      <c r="BE312" s="854"/>
      <c r="BF312" s="854"/>
      <c r="BG312" s="854"/>
      <c r="BH312" s="854"/>
      <c r="BI312" s="854"/>
      <c r="BJ312" s="854"/>
      <c r="BK312" s="854"/>
      <c r="BL312" s="854"/>
      <c r="BM312" s="854"/>
      <c r="BN312" s="854"/>
      <c r="BO312" s="854"/>
      <c r="BP312" s="854"/>
      <c r="BQ312" s="854"/>
      <c r="BR312" s="854"/>
      <c r="BS312" s="854"/>
      <c r="BT312" s="854"/>
      <c r="BU312" s="854"/>
      <c r="BV312" s="854"/>
      <c r="BW312" s="854"/>
      <c r="BX312" s="854"/>
      <c r="BY312" s="854"/>
      <c r="BZ312" s="854"/>
      <c r="CA312" s="571">
        <f>IF(OR(I312="",I312&lt;'Configs &amp; Procedures'!$L$29),0,IF(I312&gt;'Configs &amp; Procedures'!$L$30,1,IF(F312&gt;'Configs &amp; Procedures'!$L$31,0,1)))</f>
        <v>0</v>
      </c>
    </row>
    <row r="313" spans="2:79">
      <c r="B313" s="854"/>
      <c r="C313" s="854"/>
      <c r="D313" s="854"/>
      <c r="E313" s="854"/>
      <c r="F313" s="854"/>
      <c r="G313" s="854"/>
      <c r="H313" s="854"/>
      <c r="I313" s="854"/>
      <c r="J313" s="854"/>
      <c r="K313" s="854"/>
      <c r="L313" s="854"/>
      <c r="M313" s="854"/>
      <c r="N313" s="854"/>
      <c r="O313" s="854"/>
      <c r="P313" s="854"/>
      <c r="Q313" s="854"/>
      <c r="R313" s="854"/>
      <c r="S313" s="854"/>
      <c r="T313" s="854"/>
      <c r="U313" s="854"/>
      <c r="V313" s="854"/>
      <c r="W313" s="854"/>
      <c r="X313" s="854"/>
      <c r="Y313" s="854"/>
      <c r="Z313" s="854"/>
      <c r="AA313" s="854"/>
      <c r="AB313" s="854"/>
      <c r="AC313" s="854"/>
      <c r="AD313" s="854"/>
      <c r="AE313" s="854"/>
      <c r="AF313" s="854"/>
      <c r="AG313" s="854"/>
      <c r="AH313" s="854"/>
      <c r="AI313" s="854"/>
      <c r="AJ313" s="854"/>
      <c r="AK313" s="854"/>
      <c r="AL313" s="854"/>
      <c r="AM313" s="854"/>
      <c r="AN313" s="854"/>
      <c r="AO313" s="854"/>
      <c r="AP313" s="854"/>
      <c r="AQ313" s="854"/>
      <c r="AR313" s="854"/>
      <c r="AS313" s="854"/>
      <c r="AT313" s="854"/>
      <c r="AU313" s="854"/>
      <c r="AV313" s="854"/>
      <c r="AW313" s="854"/>
      <c r="AX313" s="854"/>
      <c r="AY313" s="854"/>
      <c r="AZ313" s="854"/>
      <c r="BA313" s="854"/>
      <c r="BB313" s="854"/>
      <c r="BC313" s="854"/>
      <c r="BD313" s="854"/>
      <c r="BE313" s="854"/>
      <c r="BF313" s="854"/>
      <c r="BG313" s="854"/>
      <c r="BH313" s="854"/>
      <c r="BI313" s="854"/>
      <c r="BJ313" s="854"/>
      <c r="BK313" s="854"/>
      <c r="BL313" s="854"/>
      <c r="BM313" s="854"/>
      <c r="BN313" s="854"/>
      <c r="BO313" s="854"/>
      <c r="BP313" s="854"/>
      <c r="BQ313" s="854"/>
      <c r="BR313" s="854"/>
      <c r="BS313" s="854"/>
      <c r="BT313" s="854"/>
      <c r="BU313" s="854"/>
      <c r="BV313" s="854"/>
      <c r="BW313" s="854"/>
      <c r="BX313" s="854"/>
      <c r="BY313" s="854"/>
      <c r="BZ313" s="854"/>
      <c r="CA313" s="571">
        <f>IF(OR(I313="",I313&lt;'Configs &amp; Procedures'!$L$29),0,IF(I313&gt;'Configs &amp; Procedures'!$L$30,1,IF(F313&gt;'Configs &amp; Procedures'!$L$31,0,1)))</f>
        <v>0</v>
      </c>
    </row>
    <row r="314" spans="2:79">
      <c r="B314" s="854"/>
      <c r="C314" s="854"/>
      <c r="D314" s="854"/>
      <c r="E314" s="854"/>
      <c r="F314" s="854"/>
      <c r="G314" s="854"/>
      <c r="H314" s="854"/>
      <c r="I314" s="854"/>
      <c r="J314" s="854"/>
      <c r="K314" s="854"/>
      <c r="L314" s="854"/>
      <c r="M314" s="854"/>
      <c r="N314" s="854"/>
      <c r="O314" s="854"/>
      <c r="P314" s="854"/>
      <c r="Q314" s="854"/>
      <c r="R314" s="854"/>
      <c r="S314" s="854"/>
      <c r="T314" s="854"/>
      <c r="U314" s="854"/>
      <c r="V314" s="854"/>
      <c r="W314" s="854"/>
      <c r="X314" s="854"/>
      <c r="Y314" s="854"/>
      <c r="Z314" s="854"/>
      <c r="AA314" s="854"/>
      <c r="AB314" s="854"/>
      <c r="AC314" s="854"/>
      <c r="AD314" s="854"/>
      <c r="AE314" s="854"/>
      <c r="AF314" s="854"/>
      <c r="AG314" s="854"/>
      <c r="AH314" s="854"/>
      <c r="AI314" s="854"/>
      <c r="AJ314" s="854"/>
      <c r="AK314" s="854"/>
      <c r="AL314" s="854"/>
      <c r="AM314" s="854"/>
      <c r="AN314" s="854"/>
      <c r="AO314" s="854"/>
      <c r="AP314" s="854"/>
      <c r="AQ314" s="854"/>
      <c r="AR314" s="854"/>
      <c r="AS314" s="854"/>
      <c r="AT314" s="854"/>
      <c r="AU314" s="854"/>
      <c r="AV314" s="854"/>
      <c r="AW314" s="854"/>
      <c r="AX314" s="854"/>
      <c r="AY314" s="854"/>
      <c r="AZ314" s="854"/>
      <c r="BA314" s="854"/>
      <c r="BB314" s="854"/>
      <c r="BC314" s="854"/>
      <c r="BD314" s="854"/>
      <c r="BE314" s="854"/>
      <c r="BF314" s="854"/>
      <c r="BG314" s="854"/>
      <c r="BH314" s="854"/>
      <c r="BI314" s="854"/>
      <c r="BJ314" s="854"/>
      <c r="BK314" s="854"/>
      <c r="BL314" s="854"/>
      <c r="BM314" s="854"/>
      <c r="BN314" s="854"/>
      <c r="BO314" s="854"/>
      <c r="BP314" s="854"/>
      <c r="BQ314" s="854"/>
      <c r="BR314" s="854"/>
      <c r="BS314" s="854"/>
      <c r="BT314" s="854"/>
      <c r="BU314" s="854"/>
      <c r="BV314" s="854"/>
      <c r="BW314" s="854"/>
      <c r="BX314" s="854"/>
      <c r="BY314" s="854"/>
      <c r="BZ314" s="854"/>
      <c r="CA314" s="571">
        <f>IF(OR(I314="",I314&lt;'Configs &amp; Procedures'!$L$29),0,IF(I314&gt;'Configs &amp; Procedures'!$L$30,1,IF(F314&gt;'Configs &amp; Procedures'!$L$31,0,1)))</f>
        <v>0</v>
      </c>
    </row>
    <row r="315" spans="2:79">
      <c r="B315" s="854"/>
      <c r="C315" s="854"/>
      <c r="D315" s="854"/>
      <c r="E315" s="854"/>
      <c r="F315" s="854"/>
      <c r="G315" s="854"/>
      <c r="H315" s="854"/>
      <c r="I315" s="854"/>
      <c r="J315" s="854"/>
      <c r="K315" s="854"/>
      <c r="L315" s="854"/>
      <c r="M315" s="854"/>
      <c r="N315" s="854"/>
      <c r="O315" s="854"/>
      <c r="P315" s="854"/>
      <c r="Q315" s="854"/>
      <c r="R315" s="854"/>
      <c r="S315" s="854"/>
      <c r="T315" s="854"/>
      <c r="U315" s="854"/>
      <c r="V315" s="854"/>
      <c r="W315" s="854"/>
      <c r="X315" s="854"/>
      <c r="Y315" s="854"/>
      <c r="Z315" s="854"/>
      <c r="AA315" s="854"/>
      <c r="AB315" s="854"/>
      <c r="AC315" s="854"/>
      <c r="AD315" s="854"/>
      <c r="AE315" s="854"/>
      <c r="AF315" s="854"/>
      <c r="AG315" s="854"/>
      <c r="AH315" s="854"/>
      <c r="AI315" s="854"/>
      <c r="AJ315" s="854"/>
      <c r="AK315" s="854"/>
      <c r="AL315" s="854"/>
      <c r="AM315" s="854"/>
      <c r="AN315" s="854"/>
      <c r="AO315" s="854"/>
      <c r="AP315" s="854"/>
      <c r="AQ315" s="854"/>
      <c r="AR315" s="854"/>
      <c r="AS315" s="854"/>
      <c r="AT315" s="854"/>
      <c r="AU315" s="854"/>
      <c r="AV315" s="854"/>
      <c r="AW315" s="854"/>
      <c r="AX315" s="854"/>
      <c r="AY315" s="854"/>
      <c r="AZ315" s="854"/>
      <c r="BA315" s="854"/>
      <c r="BB315" s="854"/>
      <c r="BC315" s="854"/>
      <c r="BD315" s="854"/>
      <c r="BE315" s="854"/>
      <c r="BF315" s="854"/>
      <c r="BG315" s="854"/>
      <c r="BH315" s="854"/>
      <c r="BI315" s="854"/>
      <c r="BJ315" s="854"/>
      <c r="BK315" s="854"/>
      <c r="BL315" s="854"/>
      <c r="BM315" s="854"/>
      <c r="BN315" s="854"/>
      <c r="BO315" s="854"/>
      <c r="BP315" s="854"/>
      <c r="BQ315" s="854"/>
      <c r="BR315" s="854"/>
      <c r="BS315" s="854"/>
      <c r="BT315" s="854"/>
      <c r="BU315" s="854"/>
      <c r="BV315" s="854"/>
      <c r="BW315" s="854"/>
      <c r="BX315" s="854"/>
      <c r="BY315" s="854"/>
      <c r="BZ315" s="854"/>
      <c r="CA315" s="571">
        <f>IF(OR(I315="",I315&lt;'Configs &amp; Procedures'!$L$29),0,IF(I315&gt;'Configs &amp; Procedures'!$L$30,1,IF(F315&gt;'Configs &amp; Procedures'!$L$31,0,1)))</f>
        <v>0</v>
      </c>
    </row>
    <row r="316" spans="2:79">
      <c r="B316" s="854"/>
      <c r="C316" s="854"/>
      <c r="D316" s="854"/>
      <c r="E316" s="854"/>
      <c r="F316" s="854"/>
      <c r="G316" s="854"/>
      <c r="H316" s="854"/>
      <c r="I316" s="854"/>
      <c r="J316" s="854"/>
      <c r="K316" s="854"/>
      <c r="L316" s="854"/>
      <c r="M316" s="854"/>
      <c r="N316" s="854"/>
      <c r="O316" s="854"/>
      <c r="P316" s="854"/>
      <c r="Q316" s="854"/>
      <c r="R316" s="854"/>
      <c r="S316" s="854"/>
      <c r="T316" s="854"/>
      <c r="U316" s="854"/>
      <c r="V316" s="854"/>
      <c r="W316" s="854"/>
      <c r="X316" s="854"/>
      <c r="Y316" s="854"/>
      <c r="Z316" s="854"/>
      <c r="AA316" s="854"/>
      <c r="AB316" s="854"/>
      <c r="AC316" s="854"/>
      <c r="AD316" s="854"/>
      <c r="AE316" s="854"/>
      <c r="AF316" s="854"/>
      <c r="AG316" s="854"/>
      <c r="AH316" s="854"/>
      <c r="AI316" s="854"/>
      <c r="AJ316" s="854"/>
      <c r="AK316" s="854"/>
      <c r="AL316" s="854"/>
      <c r="AM316" s="854"/>
      <c r="AN316" s="854"/>
      <c r="AO316" s="854"/>
      <c r="AP316" s="854"/>
      <c r="AQ316" s="854"/>
      <c r="AR316" s="854"/>
      <c r="AS316" s="854"/>
      <c r="AT316" s="854"/>
      <c r="AU316" s="854"/>
      <c r="AV316" s="854"/>
      <c r="AW316" s="854"/>
      <c r="AX316" s="854"/>
      <c r="AY316" s="854"/>
      <c r="AZ316" s="854"/>
      <c r="BA316" s="854"/>
      <c r="BB316" s="854"/>
      <c r="BC316" s="854"/>
      <c r="BD316" s="854"/>
      <c r="BE316" s="854"/>
      <c r="BF316" s="854"/>
      <c r="BG316" s="854"/>
      <c r="BH316" s="854"/>
      <c r="BI316" s="854"/>
      <c r="BJ316" s="854"/>
      <c r="BK316" s="854"/>
      <c r="BL316" s="854"/>
      <c r="BM316" s="854"/>
      <c r="BN316" s="854"/>
      <c r="BO316" s="854"/>
      <c r="BP316" s="854"/>
      <c r="BQ316" s="854"/>
      <c r="BR316" s="854"/>
      <c r="BS316" s="854"/>
      <c r="BT316" s="854"/>
      <c r="BU316" s="854"/>
      <c r="BV316" s="854"/>
      <c r="BW316" s="854"/>
      <c r="BX316" s="854"/>
      <c r="BY316" s="854"/>
      <c r="BZ316" s="854"/>
      <c r="CA316" s="571">
        <f>IF(OR(I316="",I316&lt;'Configs &amp; Procedures'!$L$29),0,IF(I316&gt;'Configs &amp; Procedures'!$L$30,1,IF(F316&gt;'Configs &amp; Procedures'!$L$31,0,1)))</f>
        <v>0</v>
      </c>
    </row>
    <row r="317" spans="2:79">
      <c r="B317" s="854"/>
      <c r="C317" s="854"/>
      <c r="D317" s="854"/>
      <c r="E317" s="854"/>
      <c r="F317" s="854"/>
      <c r="G317" s="854"/>
      <c r="H317" s="854"/>
      <c r="I317" s="854"/>
      <c r="J317" s="854"/>
      <c r="K317" s="854"/>
      <c r="L317" s="854"/>
      <c r="M317" s="854"/>
      <c r="N317" s="854"/>
      <c r="O317" s="854"/>
      <c r="P317" s="854"/>
      <c r="Q317" s="854"/>
      <c r="R317" s="854"/>
      <c r="S317" s="854"/>
      <c r="T317" s="854"/>
      <c r="U317" s="854"/>
      <c r="V317" s="854"/>
      <c r="W317" s="854"/>
      <c r="X317" s="854"/>
      <c r="Y317" s="854"/>
      <c r="Z317" s="854"/>
      <c r="AA317" s="854"/>
      <c r="AB317" s="854"/>
      <c r="AC317" s="854"/>
      <c r="AD317" s="854"/>
      <c r="AE317" s="854"/>
      <c r="AF317" s="854"/>
      <c r="AG317" s="854"/>
      <c r="AH317" s="854"/>
      <c r="AI317" s="854"/>
      <c r="AJ317" s="854"/>
      <c r="AK317" s="854"/>
      <c r="AL317" s="854"/>
      <c r="AM317" s="854"/>
      <c r="AN317" s="854"/>
      <c r="AO317" s="854"/>
      <c r="AP317" s="854"/>
      <c r="AQ317" s="854"/>
      <c r="AR317" s="854"/>
      <c r="AS317" s="854"/>
      <c r="AT317" s="854"/>
      <c r="AU317" s="854"/>
      <c r="AV317" s="854"/>
      <c r="AW317" s="854"/>
      <c r="AX317" s="854"/>
      <c r="AY317" s="854"/>
      <c r="AZ317" s="854"/>
      <c r="BA317" s="854"/>
      <c r="BB317" s="854"/>
      <c r="BC317" s="854"/>
      <c r="BD317" s="854"/>
      <c r="BE317" s="854"/>
      <c r="BF317" s="854"/>
      <c r="BG317" s="854"/>
      <c r="BH317" s="854"/>
      <c r="BI317" s="854"/>
      <c r="BJ317" s="854"/>
      <c r="BK317" s="854"/>
      <c r="BL317" s="854"/>
      <c r="BM317" s="854"/>
      <c r="BN317" s="854"/>
      <c r="BO317" s="854"/>
      <c r="BP317" s="854"/>
      <c r="BQ317" s="854"/>
      <c r="BR317" s="854"/>
      <c r="BS317" s="854"/>
      <c r="BT317" s="854"/>
      <c r="BU317" s="854"/>
      <c r="BV317" s="854"/>
      <c r="BW317" s="854"/>
      <c r="BX317" s="854"/>
      <c r="BY317" s="854"/>
      <c r="BZ317" s="854"/>
      <c r="CA317" s="571">
        <f>IF(OR(I317="",I317&lt;'Configs &amp; Procedures'!$L$29),0,IF(I317&gt;'Configs &amp; Procedures'!$L$30,1,IF(F317&gt;'Configs &amp; Procedures'!$L$31,0,1)))</f>
        <v>0</v>
      </c>
    </row>
    <row r="318" spans="2:79">
      <c r="B318" s="854"/>
      <c r="C318" s="854"/>
      <c r="D318" s="854"/>
      <c r="E318" s="854"/>
      <c r="F318" s="854"/>
      <c r="G318" s="854"/>
      <c r="H318" s="854"/>
      <c r="I318" s="854"/>
      <c r="J318" s="854"/>
      <c r="K318" s="854"/>
      <c r="L318" s="854"/>
      <c r="M318" s="854"/>
      <c r="N318" s="854"/>
      <c r="O318" s="854"/>
      <c r="P318" s="854"/>
      <c r="Q318" s="854"/>
      <c r="R318" s="854"/>
      <c r="S318" s="854"/>
      <c r="T318" s="854"/>
      <c r="U318" s="854"/>
      <c r="V318" s="854"/>
      <c r="W318" s="854"/>
      <c r="X318" s="854"/>
      <c r="Y318" s="854"/>
      <c r="Z318" s="854"/>
      <c r="AA318" s="854"/>
      <c r="AB318" s="854"/>
      <c r="AC318" s="854"/>
      <c r="AD318" s="854"/>
      <c r="AE318" s="854"/>
      <c r="AF318" s="854"/>
      <c r="AG318" s="854"/>
      <c r="AH318" s="854"/>
      <c r="AI318" s="854"/>
      <c r="AJ318" s="854"/>
      <c r="AK318" s="854"/>
      <c r="AL318" s="854"/>
      <c r="AM318" s="854"/>
      <c r="AN318" s="854"/>
      <c r="AO318" s="854"/>
      <c r="AP318" s="854"/>
      <c r="AQ318" s="854"/>
      <c r="AR318" s="854"/>
      <c r="AS318" s="854"/>
      <c r="AT318" s="854"/>
      <c r="AU318" s="854"/>
      <c r="AV318" s="854"/>
      <c r="AW318" s="854"/>
      <c r="AX318" s="854"/>
      <c r="AY318" s="854"/>
      <c r="AZ318" s="854"/>
      <c r="BA318" s="854"/>
      <c r="BB318" s="854"/>
      <c r="BC318" s="854"/>
      <c r="BD318" s="854"/>
      <c r="BE318" s="854"/>
      <c r="BF318" s="854"/>
      <c r="BG318" s="854"/>
      <c r="BH318" s="854"/>
      <c r="BI318" s="854"/>
      <c r="BJ318" s="854"/>
      <c r="BK318" s="854"/>
      <c r="BL318" s="854"/>
      <c r="BM318" s="854"/>
      <c r="BN318" s="854"/>
      <c r="BO318" s="854"/>
      <c r="BP318" s="854"/>
      <c r="BQ318" s="854"/>
      <c r="BR318" s="854"/>
      <c r="BS318" s="854"/>
      <c r="BT318" s="854"/>
      <c r="BU318" s="854"/>
      <c r="BV318" s="854"/>
      <c r="BW318" s="854"/>
      <c r="BX318" s="854"/>
      <c r="BY318" s="854"/>
      <c r="BZ318" s="854"/>
      <c r="CA318" s="571">
        <f>IF(OR(I318="",I318&lt;'Configs &amp; Procedures'!$L$29),0,IF(I318&gt;'Configs &amp; Procedures'!$L$30,1,IF(F318&gt;'Configs &amp; Procedures'!$L$31,0,1)))</f>
        <v>0</v>
      </c>
    </row>
    <row r="319" spans="2:79">
      <c r="B319" s="854"/>
      <c r="C319" s="854"/>
      <c r="D319" s="854"/>
      <c r="E319" s="854"/>
      <c r="F319" s="854"/>
      <c r="G319" s="854"/>
      <c r="H319" s="854"/>
      <c r="I319" s="854"/>
      <c r="J319" s="854"/>
      <c r="K319" s="854"/>
      <c r="L319" s="854"/>
      <c r="M319" s="854"/>
      <c r="N319" s="854"/>
      <c r="O319" s="854"/>
      <c r="P319" s="854"/>
      <c r="Q319" s="854"/>
      <c r="R319" s="854"/>
      <c r="S319" s="854"/>
      <c r="T319" s="854"/>
      <c r="U319" s="854"/>
      <c r="V319" s="854"/>
      <c r="W319" s="854"/>
      <c r="X319" s="854"/>
      <c r="Y319" s="854"/>
      <c r="Z319" s="854"/>
      <c r="AA319" s="854"/>
      <c r="AB319" s="854"/>
      <c r="AC319" s="854"/>
      <c r="AD319" s="854"/>
      <c r="AE319" s="854"/>
      <c r="AF319" s="854"/>
      <c r="AG319" s="854"/>
      <c r="AH319" s="854"/>
      <c r="AI319" s="854"/>
      <c r="AJ319" s="854"/>
      <c r="AK319" s="854"/>
      <c r="AL319" s="854"/>
      <c r="AM319" s="854"/>
      <c r="AN319" s="854"/>
      <c r="AO319" s="854"/>
      <c r="AP319" s="854"/>
      <c r="AQ319" s="854"/>
      <c r="AR319" s="854"/>
      <c r="AS319" s="854"/>
      <c r="AT319" s="854"/>
      <c r="AU319" s="854"/>
      <c r="AV319" s="854"/>
      <c r="AW319" s="854"/>
      <c r="AX319" s="854"/>
      <c r="AY319" s="854"/>
      <c r="AZ319" s="854"/>
      <c r="BA319" s="854"/>
      <c r="BB319" s="854"/>
      <c r="BC319" s="854"/>
      <c r="BD319" s="854"/>
      <c r="BE319" s="854"/>
      <c r="BF319" s="854"/>
      <c r="BG319" s="854"/>
      <c r="BH319" s="854"/>
      <c r="BI319" s="854"/>
      <c r="BJ319" s="854"/>
      <c r="BK319" s="854"/>
      <c r="BL319" s="854"/>
      <c r="BM319" s="854"/>
      <c r="BN319" s="854"/>
      <c r="BO319" s="854"/>
      <c r="BP319" s="854"/>
      <c r="BQ319" s="854"/>
      <c r="BR319" s="854"/>
      <c r="BS319" s="854"/>
      <c r="BT319" s="854"/>
      <c r="BU319" s="854"/>
      <c r="BV319" s="854"/>
      <c r="BW319" s="854"/>
      <c r="BX319" s="854"/>
      <c r="BY319" s="854"/>
      <c r="BZ319" s="854"/>
      <c r="CA319" s="571">
        <f>IF(OR(I319="",I319&lt;'Configs &amp; Procedures'!$L$29),0,IF(I319&gt;'Configs &amp; Procedures'!$L$30,1,IF(F319&gt;'Configs &amp; Procedures'!$L$31,0,1)))</f>
        <v>0</v>
      </c>
    </row>
    <row r="320" spans="2:79">
      <c r="B320" s="854"/>
      <c r="C320" s="854"/>
      <c r="D320" s="854"/>
      <c r="E320" s="854"/>
      <c r="F320" s="854"/>
      <c r="G320" s="854"/>
      <c r="H320" s="854"/>
      <c r="I320" s="854"/>
      <c r="J320" s="854"/>
      <c r="K320" s="854"/>
      <c r="L320" s="854"/>
      <c r="M320" s="854"/>
      <c r="N320" s="854"/>
      <c r="O320" s="854"/>
      <c r="P320" s="854"/>
      <c r="Q320" s="854"/>
      <c r="R320" s="854"/>
      <c r="S320" s="854"/>
      <c r="T320" s="854"/>
      <c r="U320" s="854"/>
      <c r="V320" s="854"/>
      <c r="W320" s="854"/>
      <c r="X320" s="854"/>
      <c r="Y320" s="854"/>
      <c r="Z320" s="854"/>
      <c r="AA320" s="854"/>
      <c r="AB320" s="854"/>
      <c r="AC320" s="854"/>
      <c r="AD320" s="854"/>
      <c r="AE320" s="854"/>
      <c r="AF320" s="854"/>
      <c r="AG320" s="854"/>
      <c r="AH320" s="854"/>
      <c r="AI320" s="854"/>
      <c r="AJ320" s="854"/>
      <c r="AK320" s="854"/>
      <c r="AL320" s="854"/>
      <c r="AM320" s="854"/>
      <c r="AN320" s="854"/>
      <c r="AO320" s="854"/>
      <c r="AP320" s="854"/>
      <c r="AQ320" s="854"/>
      <c r="AR320" s="854"/>
      <c r="AS320" s="854"/>
      <c r="AT320" s="854"/>
      <c r="AU320" s="854"/>
      <c r="AV320" s="854"/>
      <c r="AW320" s="854"/>
      <c r="AX320" s="854"/>
      <c r="AY320" s="854"/>
      <c r="AZ320" s="854"/>
      <c r="BA320" s="854"/>
      <c r="BB320" s="854"/>
      <c r="BC320" s="854"/>
      <c r="BD320" s="854"/>
      <c r="BE320" s="854"/>
      <c r="BF320" s="854"/>
      <c r="BG320" s="854"/>
      <c r="BH320" s="854"/>
      <c r="BI320" s="854"/>
      <c r="BJ320" s="854"/>
      <c r="BK320" s="854"/>
      <c r="BL320" s="854"/>
      <c r="BM320" s="854"/>
      <c r="BN320" s="854"/>
      <c r="BO320" s="854"/>
      <c r="BP320" s="854"/>
      <c r="BQ320" s="854"/>
      <c r="BR320" s="854"/>
      <c r="BS320" s="854"/>
      <c r="BT320" s="854"/>
      <c r="BU320" s="854"/>
      <c r="BV320" s="854"/>
      <c r="BW320" s="854"/>
      <c r="BX320" s="854"/>
      <c r="BY320" s="854"/>
      <c r="BZ320" s="854"/>
      <c r="CA320" s="571">
        <f>IF(OR(I320="",I320&lt;'Configs &amp; Procedures'!$L$29),0,IF(I320&gt;'Configs &amp; Procedures'!$L$30,1,IF(F320&gt;'Configs &amp; Procedures'!$L$31,0,1)))</f>
        <v>0</v>
      </c>
    </row>
    <row r="321" spans="2:79">
      <c r="B321" s="854"/>
      <c r="C321" s="854"/>
      <c r="D321" s="854"/>
      <c r="E321" s="854"/>
      <c r="F321" s="854"/>
      <c r="G321" s="854"/>
      <c r="H321" s="854"/>
      <c r="I321" s="854"/>
      <c r="J321" s="854"/>
      <c r="K321" s="854"/>
      <c r="L321" s="854"/>
      <c r="M321" s="854"/>
      <c r="N321" s="854"/>
      <c r="O321" s="854"/>
      <c r="P321" s="854"/>
      <c r="Q321" s="854"/>
      <c r="R321" s="854"/>
      <c r="S321" s="854"/>
      <c r="T321" s="854"/>
      <c r="U321" s="854"/>
      <c r="V321" s="854"/>
      <c r="W321" s="854"/>
      <c r="X321" s="854"/>
      <c r="Y321" s="854"/>
      <c r="Z321" s="854"/>
      <c r="AA321" s="854"/>
      <c r="AB321" s="854"/>
      <c r="AC321" s="854"/>
      <c r="AD321" s="854"/>
      <c r="AE321" s="854"/>
      <c r="AF321" s="854"/>
      <c r="AG321" s="854"/>
      <c r="AH321" s="854"/>
      <c r="AI321" s="854"/>
      <c r="AJ321" s="854"/>
      <c r="AK321" s="854"/>
      <c r="AL321" s="854"/>
      <c r="AM321" s="854"/>
      <c r="AN321" s="854"/>
      <c r="AO321" s="854"/>
      <c r="AP321" s="854"/>
      <c r="AQ321" s="854"/>
      <c r="AR321" s="854"/>
      <c r="AS321" s="854"/>
      <c r="AT321" s="854"/>
      <c r="AU321" s="854"/>
      <c r="AV321" s="854"/>
      <c r="AW321" s="854"/>
      <c r="AX321" s="854"/>
      <c r="AY321" s="854"/>
      <c r="AZ321" s="854"/>
      <c r="BA321" s="854"/>
      <c r="BB321" s="854"/>
      <c r="BC321" s="854"/>
      <c r="BD321" s="854"/>
      <c r="BE321" s="854"/>
      <c r="BF321" s="854"/>
      <c r="BG321" s="854"/>
      <c r="BH321" s="854"/>
      <c r="BI321" s="854"/>
      <c r="BJ321" s="854"/>
      <c r="BK321" s="854"/>
      <c r="BL321" s="854"/>
      <c r="BM321" s="854"/>
      <c r="BN321" s="854"/>
      <c r="BO321" s="854"/>
      <c r="BP321" s="854"/>
      <c r="BQ321" s="854"/>
      <c r="BR321" s="854"/>
      <c r="BS321" s="854"/>
      <c r="BT321" s="854"/>
      <c r="BU321" s="854"/>
      <c r="BV321" s="854"/>
      <c r="BW321" s="854"/>
      <c r="BX321" s="854"/>
      <c r="BY321" s="854"/>
      <c r="BZ321" s="854"/>
      <c r="CA321" s="571">
        <f>IF(OR(I321="",I321&lt;'Configs &amp; Procedures'!$L$29),0,IF(I321&gt;'Configs &amp; Procedures'!$L$30,1,IF(F321&gt;'Configs &amp; Procedures'!$L$31,0,1)))</f>
        <v>0</v>
      </c>
    </row>
    <row r="322" spans="2:79">
      <c r="B322" s="854"/>
      <c r="C322" s="854"/>
      <c r="D322" s="854"/>
      <c r="E322" s="854"/>
      <c r="F322" s="854"/>
      <c r="G322" s="854"/>
      <c r="H322" s="854"/>
      <c r="I322" s="854"/>
      <c r="J322" s="854"/>
      <c r="K322" s="854"/>
      <c r="L322" s="854"/>
      <c r="M322" s="854"/>
      <c r="N322" s="854"/>
      <c r="O322" s="854"/>
      <c r="P322" s="854"/>
      <c r="Q322" s="854"/>
      <c r="R322" s="854"/>
      <c r="S322" s="854"/>
      <c r="T322" s="854"/>
      <c r="U322" s="854"/>
      <c r="V322" s="854"/>
      <c r="W322" s="854"/>
      <c r="X322" s="854"/>
      <c r="Y322" s="854"/>
      <c r="Z322" s="854"/>
      <c r="AA322" s="854"/>
      <c r="AB322" s="854"/>
      <c r="AC322" s="854"/>
      <c r="AD322" s="854"/>
      <c r="AE322" s="854"/>
      <c r="AF322" s="854"/>
      <c r="AG322" s="854"/>
      <c r="AH322" s="854"/>
      <c r="AI322" s="854"/>
      <c r="AJ322" s="854"/>
      <c r="AK322" s="854"/>
      <c r="AL322" s="854"/>
      <c r="AM322" s="854"/>
      <c r="AN322" s="854"/>
      <c r="AO322" s="854"/>
      <c r="AP322" s="854"/>
      <c r="AQ322" s="854"/>
      <c r="AR322" s="854"/>
      <c r="AS322" s="854"/>
      <c r="AT322" s="854"/>
      <c r="AU322" s="854"/>
      <c r="AV322" s="854"/>
      <c r="AW322" s="854"/>
      <c r="AX322" s="854"/>
      <c r="AY322" s="854"/>
      <c r="AZ322" s="854"/>
      <c r="BA322" s="854"/>
      <c r="BB322" s="854"/>
      <c r="BC322" s="854"/>
      <c r="BD322" s="854"/>
      <c r="BE322" s="854"/>
      <c r="BF322" s="854"/>
      <c r="BG322" s="854"/>
      <c r="BH322" s="854"/>
      <c r="BI322" s="854"/>
      <c r="BJ322" s="854"/>
      <c r="BK322" s="854"/>
      <c r="BL322" s="854"/>
      <c r="BM322" s="854"/>
      <c r="BN322" s="854"/>
      <c r="BO322" s="854"/>
      <c r="BP322" s="854"/>
      <c r="BQ322" s="854"/>
      <c r="BR322" s="854"/>
      <c r="BS322" s="854"/>
      <c r="BT322" s="854"/>
      <c r="BU322" s="854"/>
      <c r="BV322" s="854"/>
      <c r="BW322" s="854"/>
      <c r="BX322" s="854"/>
      <c r="BY322" s="854"/>
      <c r="BZ322" s="854"/>
      <c r="CA322" s="571">
        <f>IF(OR(I322="",I322&lt;'Configs &amp; Procedures'!$L$29),0,IF(I322&gt;'Configs &amp; Procedures'!$L$30,1,IF(F322&gt;'Configs &amp; Procedures'!$L$31,0,1)))</f>
        <v>0</v>
      </c>
    </row>
    <row r="323" spans="2:79">
      <c r="B323" s="854"/>
      <c r="C323" s="854"/>
      <c r="D323" s="854"/>
      <c r="E323" s="854"/>
      <c r="F323" s="854"/>
      <c r="G323" s="854"/>
      <c r="H323" s="854"/>
      <c r="I323" s="854"/>
      <c r="J323" s="854"/>
      <c r="K323" s="854"/>
      <c r="L323" s="854"/>
      <c r="M323" s="854"/>
      <c r="N323" s="854"/>
      <c r="O323" s="854"/>
      <c r="P323" s="854"/>
      <c r="Q323" s="854"/>
      <c r="R323" s="854"/>
      <c r="S323" s="854"/>
      <c r="T323" s="854"/>
      <c r="U323" s="854"/>
      <c r="V323" s="854"/>
      <c r="W323" s="854"/>
      <c r="X323" s="854"/>
      <c r="Y323" s="854"/>
      <c r="Z323" s="854"/>
      <c r="AA323" s="854"/>
      <c r="AB323" s="854"/>
      <c r="AC323" s="854"/>
      <c r="AD323" s="854"/>
      <c r="AE323" s="854"/>
      <c r="AF323" s="854"/>
      <c r="AG323" s="854"/>
      <c r="AH323" s="854"/>
      <c r="AI323" s="854"/>
      <c r="AJ323" s="854"/>
      <c r="AK323" s="854"/>
      <c r="AL323" s="854"/>
      <c r="AM323" s="854"/>
      <c r="AN323" s="854"/>
      <c r="AO323" s="854"/>
      <c r="AP323" s="854"/>
      <c r="AQ323" s="854"/>
      <c r="AR323" s="854"/>
      <c r="AS323" s="854"/>
      <c r="AT323" s="854"/>
      <c r="AU323" s="854"/>
      <c r="AV323" s="854"/>
      <c r="AW323" s="854"/>
      <c r="AX323" s="854"/>
      <c r="AY323" s="854"/>
      <c r="AZ323" s="854"/>
      <c r="BA323" s="854"/>
      <c r="BB323" s="854"/>
      <c r="BC323" s="854"/>
      <c r="BD323" s="854"/>
      <c r="BE323" s="854"/>
      <c r="BF323" s="854"/>
      <c r="BG323" s="854"/>
      <c r="BH323" s="854"/>
      <c r="BI323" s="854"/>
      <c r="BJ323" s="854"/>
      <c r="BK323" s="854"/>
      <c r="BL323" s="854"/>
      <c r="BM323" s="854"/>
      <c r="BN323" s="854"/>
      <c r="BO323" s="854"/>
      <c r="BP323" s="854"/>
      <c r="BQ323" s="854"/>
      <c r="BR323" s="854"/>
      <c r="BS323" s="854"/>
      <c r="BT323" s="854"/>
      <c r="BU323" s="854"/>
      <c r="BV323" s="854"/>
      <c r="BW323" s="854"/>
      <c r="BX323" s="854"/>
      <c r="BY323" s="854"/>
      <c r="BZ323" s="854"/>
      <c r="CA323" s="571">
        <f>IF(OR(I323="",I323&lt;'Configs &amp; Procedures'!$L$29),0,IF(I323&gt;'Configs &amp; Procedures'!$L$30,1,IF(F323&gt;'Configs &amp; Procedures'!$L$31,0,1)))</f>
        <v>0</v>
      </c>
    </row>
    <row r="324" spans="2:79">
      <c r="B324" s="854"/>
      <c r="C324" s="854"/>
      <c r="D324" s="854"/>
      <c r="E324" s="854"/>
      <c r="F324" s="854"/>
      <c r="G324" s="854"/>
      <c r="H324" s="854"/>
      <c r="I324" s="854"/>
      <c r="J324" s="854"/>
      <c r="K324" s="854"/>
      <c r="L324" s="854"/>
      <c r="M324" s="854"/>
      <c r="N324" s="854"/>
      <c r="O324" s="854"/>
      <c r="P324" s="854"/>
      <c r="Q324" s="854"/>
      <c r="R324" s="854"/>
      <c r="S324" s="854"/>
      <c r="T324" s="854"/>
      <c r="U324" s="854"/>
      <c r="V324" s="854"/>
      <c r="W324" s="854"/>
      <c r="X324" s="854"/>
      <c r="Y324" s="854"/>
      <c r="Z324" s="854"/>
      <c r="AA324" s="854"/>
      <c r="AB324" s="854"/>
      <c r="AC324" s="854"/>
      <c r="AD324" s="854"/>
      <c r="AE324" s="854"/>
      <c r="AF324" s="854"/>
      <c r="AG324" s="854"/>
      <c r="AH324" s="854"/>
      <c r="AI324" s="854"/>
      <c r="AJ324" s="854"/>
      <c r="AK324" s="854"/>
      <c r="AL324" s="854"/>
      <c r="AM324" s="854"/>
      <c r="AN324" s="854"/>
      <c r="AO324" s="854"/>
      <c r="AP324" s="854"/>
      <c r="AQ324" s="854"/>
      <c r="AR324" s="854"/>
      <c r="AS324" s="854"/>
      <c r="AT324" s="854"/>
      <c r="AU324" s="854"/>
      <c r="AV324" s="854"/>
      <c r="AW324" s="854"/>
      <c r="AX324" s="854"/>
      <c r="AY324" s="854"/>
      <c r="AZ324" s="854"/>
      <c r="BA324" s="854"/>
      <c r="BB324" s="854"/>
      <c r="BC324" s="854"/>
      <c r="BD324" s="854"/>
      <c r="BE324" s="854"/>
      <c r="BF324" s="854"/>
      <c r="BG324" s="854"/>
      <c r="BH324" s="854"/>
      <c r="BI324" s="854"/>
      <c r="BJ324" s="854"/>
      <c r="BK324" s="854"/>
      <c r="BL324" s="854"/>
      <c r="BM324" s="854"/>
      <c r="BN324" s="854"/>
      <c r="BO324" s="854"/>
      <c r="BP324" s="854"/>
      <c r="BQ324" s="854"/>
      <c r="BR324" s="854"/>
      <c r="BS324" s="854"/>
      <c r="BT324" s="854"/>
      <c r="BU324" s="854"/>
      <c r="BV324" s="854"/>
      <c r="BW324" s="854"/>
      <c r="BX324" s="854"/>
      <c r="BY324" s="854"/>
      <c r="BZ324" s="854"/>
      <c r="CA324" s="571">
        <f>IF(OR(I324="",I324&lt;'Configs &amp; Procedures'!$L$29),0,IF(I324&gt;'Configs &amp; Procedures'!$L$30,1,IF(F324&gt;'Configs &amp; Procedures'!$L$31,0,1)))</f>
        <v>0</v>
      </c>
    </row>
    <row r="325" spans="2:79">
      <c r="B325" s="854"/>
      <c r="C325" s="854"/>
      <c r="D325" s="854"/>
      <c r="E325" s="854"/>
      <c r="F325" s="854"/>
      <c r="G325" s="854"/>
      <c r="H325" s="854"/>
      <c r="I325" s="854"/>
      <c r="J325" s="854"/>
      <c r="K325" s="854"/>
      <c r="L325" s="854"/>
      <c r="M325" s="854"/>
      <c r="N325" s="854"/>
      <c r="O325" s="854"/>
      <c r="P325" s="854"/>
      <c r="Q325" s="854"/>
      <c r="R325" s="854"/>
      <c r="S325" s="854"/>
      <c r="T325" s="854"/>
      <c r="U325" s="854"/>
      <c r="V325" s="854"/>
      <c r="W325" s="854"/>
      <c r="X325" s="854"/>
      <c r="Y325" s="854"/>
      <c r="Z325" s="854"/>
      <c r="AA325" s="854"/>
      <c r="AB325" s="854"/>
      <c r="AC325" s="854"/>
      <c r="AD325" s="854"/>
      <c r="AE325" s="854"/>
      <c r="AF325" s="854"/>
      <c r="AG325" s="854"/>
      <c r="AH325" s="854"/>
      <c r="AI325" s="854"/>
      <c r="AJ325" s="854"/>
      <c r="AK325" s="854"/>
      <c r="AL325" s="854"/>
      <c r="AM325" s="854"/>
      <c r="AN325" s="854"/>
      <c r="AO325" s="854"/>
      <c r="AP325" s="854"/>
      <c r="AQ325" s="854"/>
      <c r="AR325" s="854"/>
      <c r="AS325" s="854"/>
      <c r="AT325" s="854"/>
      <c r="AU325" s="854"/>
      <c r="AV325" s="854"/>
      <c r="AW325" s="854"/>
      <c r="AX325" s="854"/>
      <c r="AY325" s="854"/>
      <c r="AZ325" s="854"/>
      <c r="BA325" s="854"/>
      <c r="BB325" s="854"/>
      <c r="BC325" s="854"/>
      <c r="BD325" s="854"/>
      <c r="BE325" s="854"/>
      <c r="BF325" s="854"/>
      <c r="BG325" s="854"/>
      <c r="BH325" s="854"/>
      <c r="BI325" s="854"/>
      <c r="BJ325" s="854"/>
      <c r="BK325" s="854"/>
      <c r="BL325" s="854"/>
      <c r="BM325" s="854"/>
      <c r="BN325" s="854"/>
      <c r="BO325" s="854"/>
      <c r="BP325" s="854"/>
      <c r="BQ325" s="854"/>
      <c r="BR325" s="854"/>
      <c r="BS325" s="854"/>
      <c r="BT325" s="854"/>
      <c r="BU325" s="854"/>
      <c r="BV325" s="854"/>
      <c r="BW325" s="854"/>
      <c r="BX325" s="854"/>
      <c r="BY325" s="854"/>
      <c r="BZ325" s="854"/>
      <c r="CA325" s="571">
        <f>IF(OR(I325="",I325&lt;'Configs &amp; Procedures'!$L$29),0,IF(I325&gt;'Configs &amp; Procedures'!$L$30,1,IF(F325&gt;'Configs &amp; Procedures'!$L$31,0,1)))</f>
        <v>0</v>
      </c>
    </row>
    <row r="326" spans="2:79">
      <c r="B326" s="854"/>
      <c r="C326" s="854"/>
      <c r="D326" s="854"/>
      <c r="E326" s="854"/>
      <c r="F326" s="854"/>
      <c r="G326" s="854"/>
      <c r="H326" s="854"/>
      <c r="I326" s="854"/>
      <c r="J326" s="854"/>
      <c r="K326" s="854"/>
      <c r="L326" s="854"/>
      <c r="M326" s="854"/>
      <c r="N326" s="854"/>
      <c r="O326" s="854"/>
      <c r="P326" s="854"/>
      <c r="Q326" s="854"/>
      <c r="R326" s="854"/>
      <c r="S326" s="854"/>
      <c r="T326" s="854"/>
      <c r="U326" s="854"/>
      <c r="V326" s="854"/>
      <c r="W326" s="854"/>
      <c r="X326" s="854"/>
      <c r="Y326" s="854"/>
      <c r="Z326" s="854"/>
      <c r="AA326" s="854"/>
      <c r="AB326" s="854"/>
      <c r="AC326" s="854"/>
      <c r="AD326" s="854"/>
      <c r="AE326" s="854"/>
      <c r="AF326" s="854"/>
      <c r="AG326" s="854"/>
      <c r="AH326" s="854"/>
      <c r="AI326" s="854"/>
      <c r="AJ326" s="854"/>
      <c r="AK326" s="854"/>
      <c r="AL326" s="854"/>
      <c r="AM326" s="854"/>
      <c r="AN326" s="854"/>
      <c r="AO326" s="854"/>
      <c r="AP326" s="854"/>
      <c r="AQ326" s="854"/>
      <c r="AR326" s="854"/>
      <c r="AS326" s="854"/>
      <c r="AT326" s="854"/>
      <c r="AU326" s="854"/>
      <c r="AV326" s="854"/>
      <c r="AW326" s="854"/>
      <c r="AX326" s="854"/>
      <c r="AY326" s="854"/>
      <c r="AZ326" s="854"/>
      <c r="BA326" s="854"/>
      <c r="BB326" s="854"/>
      <c r="BC326" s="854"/>
      <c r="BD326" s="854"/>
      <c r="BE326" s="854"/>
      <c r="BF326" s="854"/>
      <c r="BG326" s="854"/>
      <c r="BH326" s="854"/>
      <c r="BI326" s="854"/>
      <c r="BJ326" s="854"/>
      <c r="BK326" s="854"/>
      <c r="BL326" s="854"/>
      <c r="BM326" s="854"/>
      <c r="BN326" s="854"/>
      <c r="BO326" s="854"/>
      <c r="BP326" s="854"/>
      <c r="BQ326" s="854"/>
      <c r="BR326" s="854"/>
      <c r="BS326" s="854"/>
      <c r="BT326" s="854"/>
      <c r="BU326" s="854"/>
      <c r="BV326" s="854"/>
      <c r="BW326" s="854"/>
      <c r="BX326" s="854"/>
      <c r="BY326" s="854"/>
      <c r="BZ326" s="854"/>
      <c r="CA326" s="571">
        <f>IF(OR(I326="",I326&lt;'Configs &amp; Procedures'!$L$29),0,IF(I326&gt;'Configs &amp; Procedures'!$L$30,1,IF(F326&gt;'Configs &amp; Procedures'!$L$31,0,1)))</f>
        <v>0</v>
      </c>
    </row>
    <row r="327" spans="2:79">
      <c r="B327" s="854"/>
      <c r="C327" s="854"/>
      <c r="D327" s="854"/>
      <c r="E327" s="854"/>
      <c r="F327" s="854"/>
      <c r="G327" s="854"/>
      <c r="H327" s="854"/>
      <c r="I327" s="854"/>
      <c r="J327" s="854"/>
      <c r="K327" s="854"/>
      <c r="L327" s="854"/>
      <c r="M327" s="854"/>
      <c r="N327" s="854"/>
      <c r="O327" s="854"/>
      <c r="P327" s="854"/>
      <c r="Q327" s="854"/>
      <c r="R327" s="854"/>
      <c r="S327" s="854"/>
      <c r="T327" s="854"/>
      <c r="U327" s="854"/>
      <c r="V327" s="854"/>
      <c r="W327" s="854"/>
      <c r="X327" s="854"/>
      <c r="Y327" s="854"/>
      <c r="Z327" s="854"/>
      <c r="AA327" s="854"/>
      <c r="AB327" s="854"/>
      <c r="AC327" s="854"/>
      <c r="AD327" s="854"/>
      <c r="AE327" s="854"/>
      <c r="AF327" s="854"/>
      <c r="AG327" s="854"/>
      <c r="AH327" s="854"/>
      <c r="AI327" s="854"/>
      <c r="AJ327" s="854"/>
      <c r="AK327" s="854"/>
      <c r="AL327" s="854"/>
      <c r="AM327" s="854"/>
      <c r="AN327" s="854"/>
      <c r="AO327" s="854"/>
      <c r="AP327" s="854"/>
      <c r="AQ327" s="854"/>
      <c r="AR327" s="854"/>
      <c r="AS327" s="854"/>
      <c r="AT327" s="854"/>
      <c r="AU327" s="854"/>
      <c r="AV327" s="854"/>
      <c r="AW327" s="854"/>
      <c r="AX327" s="854"/>
      <c r="AY327" s="854"/>
      <c r="AZ327" s="854"/>
      <c r="BA327" s="854"/>
      <c r="BB327" s="854"/>
      <c r="BC327" s="854"/>
      <c r="BD327" s="854"/>
      <c r="BE327" s="854"/>
      <c r="BF327" s="854"/>
      <c r="BG327" s="854"/>
      <c r="BH327" s="854"/>
      <c r="BI327" s="854"/>
      <c r="BJ327" s="854"/>
      <c r="BK327" s="854"/>
      <c r="BL327" s="854"/>
      <c r="BM327" s="854"/>
      <c r="BN327" s="854"/>
      <c r="BO327" s="854"/>
      <c r="BP327" s="854"/>
      <c r="BQ327" s="854"/>
      <c r="BR327" s="854"/>
      <c r="BS327" s="854"/>
      <c r="BT327" s="854"/>
      <c r="BU327" s="854"/>
      <c r="BV327" s="854"/>
      <c r="BW327" s="854"/>
      <c r="BX327" s="854"/>
      <c r="BY327" s="854"/>
      <c r="BZ327" s="854"/>
      <c r="CA327" s="571">
        <f>IF(OR(I327="",I327&lt;'Configs &amp; Procedures'!$L$29),0,IF(I327&gt;'Configs &amp; Procedures'!$L$30,1,IF(F327&gt;'Configs &amp; Procedures'!$L$31,0,1)))</f>
        <v>0</v>
      </c>
    </row>
    <row r="328" spans="2:79">
      <c r="B328" s="854"/>
      <c r="C328" s="854"/>
      <c r="D328" s="854"/>
      <c r="E328" s="854"/>
      <c r="F328" s="854"/>
      <c r="G328" s="854"/>
      <c r="H328" s="854"/>
      <c r="I328" s="854"/>
      <c r="J328" s="854"/>
      <c r="K328" s="854"/>
      <c r="L328" s="854"/>
      <c r="M328" s="854"/>
      <c r="N328" s="854"/>
      <c r="O328" s="854"/>
      <c r="P328" s="854"/>
      <c r="Q328" s="854"/>
      <c r="R328" s="854"/>
      <c r="S328" s="854"/>
      <c r="T328" s="854"/>
      <c r="U328" s="854"/>
      <c r="V328" s="854"/>
      <c r="W328" s="854"/>
      <c r="X328" s="854"/>
      <c r="Y328" s="854"/>
      <c r="Z328" s="854"/>
      <c r="AA328" s="854"/>
      <c r="AB328" s="854"/>
      <c r="AC328" s="854"/>
      <c r="AD328" s="854"/>
      <c r="AE328" s="854"/>
      <c r="AF328" s="854"/>
      <c r="AG328" s="854"/>
      <c r="AH328" s="854"/>
      <c r="AI328" s="854"/>
      <c r="AJ328" s="854"/>
      <c r="AK328" s="854"/>
      <c r="AL328" s="854"/>
      <c r="AM328" s="854"/>
      <c r="AN328" s="854"/>
      <c r="AO328" s="854"/>
      <c r="AP328" s="854"/>
      <c r="AQ328" s="854"/>
      <c r="AR328" s="854"/>
      <c r="AS328" s="854"/>
      <c r="AT328" s="854"/>
      <c r="AU328" s="854"/>
      <c r="AV328" s="854"/>
      <c r="AW328" s="854"/>
      <c r="AX328" s="854"/>
      <c r="AY328" s="854"/>
      <c r="AZ328" s="854"/>
      <c r="BA328" s="854"/>
      <c r="BB328" s="854"/>
      <c r="BC328" s="854"/>
      <c r="BD328" s="854"/>
      <c r="BE328" s="854"/>
      <c r="BF328" s="854"/>
      <c r="BG328" s="854"/>
      <c r="BH328" s="854"/>
      <c r="BI328" s="854"/>
      <c r="BJ328" s="854"/>
      <c r="BK328" s="854"/>
      <c r="BL328" s="854"/>
      <c r="BM328" s="854"/>
      <c r="BN328" s="854"/>
      <c r="BO328" s="854"/>
      <c r="BP328" s="854"/>
      <c r="BQ328" s="854"/>
      <c r="BR328" s="854"/>
      <c r="BS328" s="854"/>
      <c r="BT328" s="854"/>
      <c r="BU328" s="854"/>
      <c r="BV328" s="854"/>
      <c r="BW328" s="854"/>
      <c r="BX328" s="854"/>
      <c r="BY328" s="854"/>
      <c r="BZ328" s="854"/>
      <c r="CA328" s="571">
        <f>IF(OR(I328="",I328&lt;'Configs &amp; Procedures'!$L$29),0,IF(I328&gt;'Configs &amp; Procedures'!$L$30,1,IF(F328&gt;'Configs &amp; Procedures'!$L$31,0,1)))</f>
        <v>0</v>
      </c>
    </row>
    <row r="329" spans="2:79">
      <c r="B329" s="854"/>
      <c r="C329" s="854"/>
      <c r="D329" s="854"/>
      <c r="E329" s="854"/>
      <c r="F329" s="854"/>
      <c r="G329" s="854"/>
      <c r="H329" s="854"/>
      <c r="I329" s="854"/>
      <c r="J329" s="854"/>
      <c r="K329" s="854"/>
      <c r="L329" s="854"/>
      <c r="M329" s="854"/>
      <c r="N329" s="854"/>
      <c r="O329" s="854"/>
      <c r="P329" s="854"/>
      <c r="Q329" s="854"/>
      <c r="R329" s="854"/>
      <c r="S329" s="854"/>
      <c r="T329" s="854"/>
      <c r="U329" s="854"/>
      <c r="V329" s="854"/>
      <c r="W329" s="854"/>
      <c r="X329" s="854"/>
      <c r="Y329" s="854"/>
      <c r="Z329" s="854"/>
      <c r="AA329" s="854"/>
      <c r="AB329" s="854"/>
      <c r="AC329" s="854"/>
      <c r="AD329" s="854"/>
      <c r="AE329" s="854"/>
      <c r="AF329" s="854"/>
      <c r="AG329" s="854"/>
      <c r="AH329" s="854"/>
      <c r="AI329" s="854"/>
      <c r="AJ329" s="854"/>
      <c r="AK329" s="854"/>
      <c r="AL329" s="854"/>
      <c r="AM329" s="854"/>
      <c r="AN329" s="854"/>
      <c r="AO329" s="854"/>
      <c r="AP329" s="854"/>
      <c r="AQ329" s="854"/>
      <c r="AR329" s="854"/>
      <c r="AS329" s="854"/>
      <c r="AT329" s="854"/>
      <c r="AU329" s="854"/>
      <c r="AV329" s="854"/>
      <c r="AW329" s="854"/>
      <c r="AX329" s="854"/>
      <c r="AY329" s="854"/>
      <c r="AZ329" s="854"/>
      <c r="BA329" s="854"/>
      <c r="BB329" s="854"/>
      <c r="BC329" s="854"/>
      <c r="BD329" s="854"/>
      <c r="BE329" s="854"/>
      <c r="BF329" s="854"/>
      <c r="BG329" s="854"/>
      <c r="BH329" s="854"/>
      <c r="BI329" s="854"/>
      <c r="BJ329" s="854"/>
      <c r="BK329" s="854"/>
      <c r="BL329" s="854"/>
      <c r="BM329" s="854"/>
      <c r="BN329" s="854"/>
      <c r="BO329" s="854"/>
      <c r="BP329" s="854"/>
      <c r="BQ329" s="854"/>
      <c r="BR329" s="854"/>
      <c r="BS329" s="854"/>
      <c r="BT329" s="854"/>
      <c r="BU329" s="854"/>
      <c r="BV329" s="854"/>
      <c r="BW329" s="854"/>
      <c r="BX329" s="854"/>
      <c r="BY329" s="854"/>
      <c r="BZ329" s="854"/>
      <c r="CA329" s="571">
        <f>IF(OR(I329="",I329&lt;'Configs &amp; Procedures'!$L$29),0,IF(I329&gt;'Configs &amp; Procedures'!$L$30,1,IF(F329&gt;'Configs &amp; Procedures'!$L$31,0,1)))</f>
        <v>0</v>
      </c>
    </row>
    <row r="330" spans="2:79">
      <c r="B330" s="854"/>
      <c r="C330" s="854"/>
      <c r="D330" s="854"/>
      <c r="E330" s="854"/>
      <c r="F330" s="854"/>
      <c r="G330" s="854"/>
      <c r="H330" s="854"/>
      <c r="I330" s="854"/>
      <c r="J330" s="854"/>
      <c r="K330" s="854"/>
      <c r="L330" s="854"/>
      <c r="M330" s="854"/>
      <c r="N330" s="854"/>
      <c r="O330" s="854"/>
      <c r="P330" s="854"/>
      <c r="Q330" s="854"/>
      <c r="R330" s="854"/>
      <c r="S330" s="854"/>
      <c r="T330" s="854"/>
      <c r="U330" s="854"/>
      <c r="V330" s="854"/>
      <c r="W330" s="854"/>
      <c r="X330" s="854"/>
      <c r="Y330" s="854"/>
      <c r="Z330" s="854"/>
      <c r="AA330" s="854"/>
      <c r="AB330" s="854"/>
      <c r="AC330" s="854"/>
      <c r="AD330" s="854"/>
      <c r="AE330" s="854"/>
      <c r="AF330" s="854"/>
      <c r="AG330" s="854"/>
      <c r="AH330" s="854"/>
      <c r="AI330" s="854"/>
      <c r="AJ330" s="854"/>
      <c r="AK330" s="854"/>
      <c r="AL330" s="854"/>
      <c r="AM330" s="854"/>
      <c r="AN330" s="854"/>
      <c r="AO330" s="854"/>
      <c r="AP330" s="854"/>
      <c r="AQ330" s="854"/>
      <c r="AR330" s="854"/>
      <c r="AS330" s="854"/>
      <c r="AT330" s="854"/>
      <c r="AU330" s="854"/>
      <c r="AV330" s="854"/>
      <c r="AW330" s="854"/>
      <c r="AX330" s="854"/>
      <c r="AY330" s="854"/>
      <c r="AZ330" s="854"/>
      <c r="BA330" s="854"/>
      <c r="BB330" s="854"/>
      <c r="BC330" s="854"/>
      <c r="BD330" s="854"/>
      <c r="BE330" s="854"/>
      <c r="BF330" s="854"/>
      <c r="BG330" s="854"/>
      <c r="BH330" s="854"/>
      <c r="BI330" s="854"/>
      <c r="BJ330" s="854"/>
      <c r="BK330" s="854"/>
      <c r="BL330" s="854"/>
      <c r="BM330" s="854"/>
      <c r="BN330" s="854"/>
      <c r="BO330" s="854"/>
      <c r="BP330" s="854"/>
      <c r="BQ330" s="854"/>
      <c r="BR330" s="854"/>
      <c r="BS330" s="854"/>
      <c r="BT330" s="854"/>
      <c r="BU330" s="854"/>
      <c r="BV330" s="854"/>
      <c r="BW330" s="854"/>
      <c r="BX330" s="854"/>
      <c r="BY330" s="854"/>
      <c r="BZ330" s="854"/>
      <c r="CA330" s="571">
        <f>IF(OR(I330="",I330&lt;'Configs &amp; Procedures'!$L$29),0,IF(I330&gt;'Configs &amp; Procedures'!$L$30,1,IF(F330&gt;'Configs &amp; Procedures'!$L$31,0,1)))</f>
        <v>0</v>
      </c>
    </row>
    <row r="331" spans="2:79">
      <c r="B331" s="854"/>
      <c r="C331" s="854"/>
      <c r="D331" s="854"/>
      <c r="E331" s="854"/>
      <c r="F331" s="854"/>
      <c r="G331" s="854"/>
      <c r="H331" s="854"/>
      <c r="I331" s="854"/>
      <c r="J331" s="854"/>
      <c r="K331" s="854"/>
      <c r="L331" s="854"/>
      <c r="M331" s="854"/>
      <c r="N331" s="854"/>
      <c r="O331" s="854"/>
      <c r="P331" s="854"/>
      <c r="Q331" s="854"/>
      <c r="R331" s="854"/>
      <c r="S331" s="854"/>
      <c r="T331" s="854"/>
      <c r="U331" s="854"/>
      <c r="V331" s="854"/>
      <c r="W331" s="854"/>
      <c r="X331" s="854"/>
      <c r="Y331" s="854"/>
      <c r="Z331" s="854"/>
      <c r="AA331" s="854"/>
      <c r="AB331" s="854"/>
      <c r="AC331" s="854"/>
      <c r="AD331" s="854"/>
      <c r="AE331" s="854"/>
      <c r="AF331" s="854"/>
      <c r="AG331" s="854"/>
      <c r="AH331" s="854"/>
      <c r="AI331" s="854"/>
      <c r="AJ331" s="854"/>
      <c r="AK331" s="854"/>
      <c r="AL331" s="854"/>
      <c r="AM331" s="854"/>
      <c r="AN331" s="854"/>
      <c r="AO331" s="854"/>
      <c r="AP331" s="854"/>
      <c r="AQ331" s="854"/>
      <c r="AR331" s="854"/>
      <c r="AS331" s="854"/>
      <c r="AT331" s="854"/>
      <c r="AU331" s="854"/>
      <c r="AV331" s="854"/>
      <c r="AW331" s="854"/>
      <c r="AX331" s="854"/>
      <c r="AY331" s="854"/>
      <c r="AZ331" s="854"/>
      <c r="BA331" s="854"/>
      <c r="BB331" s="854"/>
      <c r="BC331" s="854"/>
      <c r="BD331" s="854"/>
      <c r="BE331" s="854"/>
      <c r="BF331" s="854"/>
      <c r="BG331" s="854"/>
      <c r="BH331" s="854"/>
      <c r="BI331" s="854"/>
      <c r="BJ331" s="854"/>
      <c r="BK331" s="854"/>
      <c r="BL331" s="854"/>
      <c r="BM331" s="854"/>
      <c r="BN331" s="854"/>
      <c r="BO331" s="854"/>
      <c r="BP331" s="854"/>
      <c r="BQ331" s="854"/>
      <c r="BR331" s="854"/>
      <c r="BS331" s="854"/>
      <c r="BT331" s="854"/>
      <c r="BU331" s="854"/>
      <c r="BV331" s="854"/>
      <c r="BW331" s="854"/>
      <c r="BX331" s="854"/>
      <c r="BY331" s="854"/>
      <c r="BZ331" s="854"/>
      <c r="CA331" s="571">
        <f>IF(OR(I331="",I331&lt;'Configs &amp; Procedures'!$L$29),0,IF(I331&gt;'Configs &amp; Procedures'!$L$30,1,IF(F331&gt;'Configs &amp; Procedures'!$L$31,0,1)))</f>
        <v>0</v>
      </c>
    </row>
    <row r="332" spans="2:79">
      <c r="B332" s="854"/>
      <c r="C332" s="854"/>
      <c r="D332" s="854"/>
      <c r="E332" s="854"/>
      <c r="F332" s="854"/>
      <c r="G332" s="854"/>
      <c r="H332" s="854"/>
      <c r="I332" s="854"/>
      <c r="J332" s="854"/>
      <c r="K332" s="854"/>
      <c r="L332" s="854"/>
      <c r="M332" s="854"/>
      <c r="N332" s="854"/>
      <c r="O332" s="854"/>
      <c r="P332" s="854"/>
      <c r="Q332" s="854"/>
      <c r="R332" s="854"/>
      <c r="S332" s="854"/>
      <c r="T332" s="854"/>
      <c r="U332" s="854"/>
      <c r="V332" s="854"/>
      <c r="W332" s="854"/>
      <c r="X332" s="854"/>
      <c r="Y332" s="854"/>
      <c r="Z332" s="854"/>
      <c r="AA332" s="854"/>
      <c r="AB332" s="854"/>
      <c r="AC332" s="854"/>
      <c r="AD332" s="854"/>
      <c r="AE332" s="854"/>
      <c r="AF332" s="854"/>
      <c r="AG332" s="854"/>
      <c r="AH332" s="854"/>
      <c r="AI332" s="854"/>
      <c r="AJ332" s="854"/>
      <c r="AK332" s="854"/>
      <c r="AL332" s="854"/>
      <c r="AM332" s="854"/>
      <c r="AN332" s="854"/>
      <c r="AO332" s="854"/>
      <c r="AP332" s="854"/>
      <c r="AQ332" s="854"/>
      <c r="AR332" s="854"/>
      <c r="AS332" s="854"/>
      <c r="AT332" s="854"/>
      <c r="AU332" s="854"/>
      <c r="AV332" s="854"/>
      <c r="AW332" s="854"/>
      <c r="AX332" s="854"/>
      <c r="AY332" s="854"/>
      <c r="AZ332" s="854"/>
      <c r="BA332" s="854"/>
      <c r="BB332" s="854"/>
      <c r="BC332" s="854"/>
      <c r="BD332" s="854"/>
      <c r="BE332" s="854"/>
      <c r="BF332" s="854"/>
      <c r="BG332" s="854"/>
      <c r="BH332" s="854"/>
      <c r="BI332" s="854"/>
      <c r="BJ332" s="854"/>
      <c r="BK332" s="854"/>
      <c r="BL332" s="854"/>
      <c r="BM332" s="854"/>
      <c r="BN332" s="854"/>
      <c r="BO332" s="854"/>
      <c r="BP332" s="854"/>
      <c r="BQ332" s="854"/>
      <c r="BR332" s="854"/>
      <c r="BS332" s="854"/>
      <c r="BT332" s="854"/>
      <c r="BU332" s="854"/>
      <c r="BV332" s="854"/>
      <c r="BW332" s="854"/>
      <c r="BX332" s="854"/>
      <c r="BY332" s="854"/>
      <c r="BZ332" s="854"/>
      <c r="CA332" s="571">
        <f>IF(OR(I332="",I332&lt;'Configs &amp; Procedures'!$L$29),0,IF(I332&gt;'Configs &amp; Procedures'!$L$30,1,IF(F332&gt;'Configs &amp; Procedures'!$L$31,0,1)))</f>
        <v>0</v>
      </c>
    </row>
    <row r="333" spans="2:79">
      <c r="B333" s="854"/>
      <c r="C333" s="854"/>
      <c r="D333" s="854"/>
      <c r="E333" s="854"/>
      <c r="F333" s="854"/>
      <c r="G333" s="854"/>
      <c r="H333" s="854"/>
      <c r="I333" s="854"/>
      <c r="J333" s="854"/>
      <c r="K333" s="854"/>
      <c r="L333" s="854"/>
      <c r="M333" s="854"/>
      <c r="N333" s="854"/>
      <c r="O333" s="854"/>
      <c r="P333" s="854"/>
      <c r="Q333" s="854"/>
      <c r="R333" s="854"/>
      <c r="S333" s="854"/>
      <c r="T333" s="854"/>
      <c r="U333" s="854"/>
      <c r="V333" s="854"/>
      <c r="W333" s="854"/>
      <c r="X333" s="854"/>
      <c r="Y333" s="854"/>
      <c r="Z333" s="854"/>
      <c r="AA333" s="854"/>
      <c r="AB333" s="854"/>
      <c r="AC333" s="854"/>
      <c r="AD333" s="854"/>
      <c r="AE333" s="854"/>
      <c r="AF333" s="854"/>
      <c r="AG333" s="854"/>
      <c r="AH333" s="854"/>
      <c r="AI333" s="854"/>
      <c r="AJ333" s="854"/>
      <c r="AK333" s="854"/>
      <c r="AL333" s="854"/>
      <c r="AM333" s="854"/>
      <c r="AN333" s="854"/>
      <c r="AO333" s="854"/>
      <c r="AP333" s="854"/>
      <c r="AQ333" s="854"/>
      <c r="AR333" s="854"/>
      <c r="AS333" s="854"/>
      <c r="AT333" s="854"/>
      <c r="AU333" s="854"/>
      <c r="AV333" s="854"/>
      <c r="AW333" s="854"/>
      <c r="AX333" s="854"/>
      <c r="AY333" s="854"/>
      <c r="AZ333" s="854"/>
      <c r="BA333" s="854"/>
      <c r="BB333" s="854"/>
      <c r="BC333" s="854"/>
      <c r="BD333" s="854"/>
      <c r="BE333" s="854"/>
      <c r="BF333" s="854"/>
      <c r="BG333" s="854"/>
      <c r="BH333" s="854"/>
      <c r="BI333" s="854"/>
      <c r="BJ333" s="854"/>
      <c r="BK333" s="854"/>
      <c r="BL333" s="854"/>
      <c r="BM333" s="854"/>
      <c r="BN333" s="854"/>
      <c r="BO333" s="854"/>
      <c r="BP333" s="854"/>
      <c r="BQ333" s="854"/>
      <c r="BR333" s="854"/>
      <c r="BS333" s="854"/>
      <c r="BT333" s="854"/>
      <c r="BU333" s="854"/>
      <c r="BV333" s="854"/>
      <c r="BW333" s="854"/>
      <c r="BX333" s="854"/>
      <c r="BY333" s="854"/>
      <c r="BZ333" s="854"/>
      <c r="CA333" s="571">
        <f>IF(OR(I333="",I333&lt;'Configs &amp; Procedures'!$L$29),0,IF(I333&gt;'Configs &amp; Procedures'!$L$30,1,IF(F333&gt;'Configs &amp; Procedures'!$L$31,0,1)))</f>
        <v>0</v>
      </c>
    </row>
    <row r="334" spans="2:79">
      <c r="B334" s="854"/>
      <c r="C334" s="854"/>
      <c r="D334" s="854"/>
      <c r="E334" s="854"/>
      <c r="F334" s="854"/>
      <c r="G334" s="854"/>
      <c r="H334" s="854"/>
      <c r="I334" s="854"/>
      <c r="J334" s="854"/>
      <c r="K334" s="854"/>
      <c r="L334" s="854"/>
      <c r="M334" s="854"/>
      <c r="N334" s="854"/>
      <c r="O334" s="854"/>
      <c r="P334" s="854"/>
      <c r="Q334" s="854"/>
      <c r="R334" s="854"/>
      <c r="S334" s="854"/>
      <c r="T334" s="854"/>
      <c r="U334" s="854"/>
      <c r="V334" s="854"/>
      <c r="W334" s="854"/>
      <c r="X334" s="854"/>
      <c r="Y334" s="854"/>
      <c r="Z334" s="854"/>
      <c r="AA334" s="854"/>
      <c r="AB334" s="854"/>
      <c r="AC334" s="854"/>
      <c r="AD334" s="854"/>
      <c r="AE334" s="854"/>
      <c r="AF334" s="854"/>
      <c r="AG334" s="854"/>
      <c r="AH334" s="854"/>
      <c r="AI334" s="854"/>
      <c r="AJ334" s="854"/>
      <c r="AK334" s="854"/>
      <c r="AL334" s="854"/>
      <c r="AM334" s="854"/>
      <c r="AN334" s="854"/>
      <c r="AO334" s="854"/>
      <c r="AP334" s="854"/>
      <c r="AQ334" s="854"/>
      <c r="AR334" s="854"/>
      <c r="AS334" s="854"/>
      <c r="AT334" s="854"/>
      <c r="AU334" s="854"/>
      <c r="AV334" s="854"/>
      <c r="AW334" s="854"/>
      <c r="AX334" s="854"/>
      <c r="AY334" s="854"/>
      <c r="AZ334" s="854"/>
      <c r="BA334" s="854"/>
      <c r="BB334" s="854"/>
      <c r="BC334" s="854"/>
      <c r="BD334" s="854"/>
      <c r="BE334" s="854"/>
      <c r="BF334" s="854"/>
      <c r="BG334" s="854"/>
      <c r="BH334" s="854"/>
      <c r="BI334" s="854"/>
      <c r="BJ334" s="854"/>
      <c r="BK334" s="854"/>
      <c r="BL334" s="854"/>
      <c r="BM334" s="854"/>
      <c r="BN334" s="854"/>
      <c r="BO334" s="854"/>
      <c r="BP334" s="854"/>
      <c r="BQ334" s="854"/>
      <c r="BR334" s="854"/>
      <c r="BS334" s="854"/>
      <c r="BT334" s="854"/>
      <c r="BU334" s="854"/>
      <c r="BV334" s="854"/>
      <c r="BW334" s="854"/>
      <c r="BX334" s="854"/>
      <c r="BY334" s="854"/>
      <c r="BZ334" s="854"/>
      <c r="CA334" s="571">
        <f>IF(OR(I334="",I334&lt;'Configs &amp; Procedures'!$L$29),0,IF(I334&gt;'Configs &amp; Procedures'!$L$30,1,IF(F334&gt;'Configs &amp; Procedures'!$L$31,0,1)))</f>
        <v>0</v>
      </c>
    </row>
    <row r="335" spans="2:79">
      <c r="B335" s="854"/>
      <c r="C335" s="854"/>
      <c r="D335" s="854"/>
      <c r="E335" s="854"/>
      <c r="F335" s="854"/>
      <c r="G335" s="854"/>
      <c r="H335" s="854"/>
      <c r="I335" s="854"/>
      <c r="J335" s="854"/>
      <c r="K335" s="854"/>
      <c r="L335" s="854"/>
      <c r="M335" s="854"/>
      <c r="N335" s="854"/>
      <c r="O335" s="854"/>
      <c r="P335" s="854"/>
      <c r="Q335" s="854"/>
      <c r="R335" s="854"/>
      <c r="S335" s="854"/>
      <c r="T335" s="854"/>
      <c r="U335" s="854"/>
      <c r="V335" s="854"/>
      <c r="W335" s="854"/>
      <c r="X335" s="854"/>
      <c r="Y335" s="854"/>
      <c r="Z335" s="854"/>
      <c r="AA335" s="854"/>
      <c r="AB335" s="854"/>
      <c r="AC335" s="854"/>
      <c r="AD335" s="854"/>
      <c r="AE335" s="854"/>
      <c r="AF335" s="854"/>
      <c r="AG335" s="854"/>
      <c r="AH335" s="854"/>
      <c r="AI335" s="854"/>
      <c r="AJ335" s="854"/>
      <c r="AK335" s="854"/>
      <c r="AL335" s="854"/>
      <c r="AM335" s="854"/>
      <c r="AN335" s="854"/>
      <c r="AO335" s="854"/>
      <c r="AP335" s="854"/>
      <c r="AQ335" s="854"/>
      <c r="AR335" s="854"/>
      <c r="AS335" s="854"/>
      <c r="AT335" s="854"/>
      <c r="AU335" s="854"/>
      <c r="AV335" s="854"/>
      <c r="AW335" s="854"/>
      <c r="AX335" s="854"/>
      <c r="AY335" s="854"/>
      <c r="AZ335" s="854"/>
      <c r="BA335" s="854"/>
      <c r="BB335" s="854"/>
      <c r="BC335" s="854"/>
      <c r="BD335" s="854"/>
      <c r="BE335" s="854"/>
      <c r="BF335" s="854"/>
      <c r="BG335" s="854"/>
      <c r="BH335" s="854"/>
      <c r="BI335" s="854"/>
      <c r="BJ335" s="854"/>
      <c r="BK335" s="854"/>
      <c r="BL335" s="854"/>
      <c r="BM335" s="854"/>
      <c r="BN335" s="854"/>
      <c r="BO335" s="854"/>
      <c r="BP335" s="854"/>
      <c r="BQ335" s="854"/>
      <c r="BR335" s="854"/>
      <c r="BS335" s="854"/>
      <c r="BT335" s="854"/>
      <c r="BU335" s="854"/>
      <c r="BV335" s="854"/>
      <c r="BW335" s="854"/>
      <c r="BX335" s="854"/>
      <c r="BY335" s="854"/>
      <c r="BZ335" s="854"/>
      <c r="CA335" s="571">
        <f>IF(OR(I335="",I335&lt;'Configs &amp; Procedures'!$L$29),0,IF(I335&gt;'Configs &amp; Procedures'!$L$30,1,IF(F335&gt;'Configs &amp; Procedures'!$L$31,0,1)))</f>
        <v>0</v>
      </c>
    </row>
    <row r="336" spans="2:79">
      <c r="B336" s="854"/>
      <c r="C336" s="854"/>
      <c r="D336" s="854"/>
      <c r="E336" s="854"/>
      <c r="F336" s="854"/>
      <c r="G336" s="854"/>
      <c r="H336" s="854"/>
      <c r="I336" s="854"/>
      <c r="J336" s="854"/>
      <c r="K336" s="854"/>
      <c r="L336" s="854"/>
      <c r="M336" s="854"/>
      <c r="N336" s="854"/>
      <c r="O336" s="854"/>
      <c r="P336" s="854"/>
      <c r="Q336" s="854"/>
      <c r="R336" s="854"/>
      <c r="S336" s="854"/>
      <c r="T336" s="854"/>
      <c r="U336" s="854"/>
      <c r="V336" s="854"/>
      <c r="W336" s="854"/>
      <c r="X336" s="854"/>
      <c r="Y336" s="854"/>
      <c r="Z336" s="854"/>
      <c r="AA336" s="854"/>
      <c r="AB336" s="854"/>
      <c r="AC336" s="854"/>
      <c r="AD336" s="854"/>
      <c r="AE336" s="854"/>
      <c r="AF336" s="854"/>
      <c r="AG336" s="854"/>
      <c r="AH336" s="854"/>
      <c r="AI336" s="854"/>
      <c r="AJ336" s="854"/>
      <c r="AK336" s="854"/>
      <c r="AL336" s="854"/>
      <c r="AM336" s="854"/>
      <c r="AN336" s="854"/>
      <c r="AO336" s="854"/>
      <c r="AP336" s="854"/>
      <c r="AQ336" s="854"/>
      <c r="AR336" s="854"/>
      <c r="AS336" s="854"/>
      <c r="AT336" s="854"/>
      <c r="AU336" s="854"/>
      <c r="AV336" s="854"/>
      <c r="AW336" s="854"/>
      <c r="AX336" s="854"/>
      <c r="AY336" s="854"/>
      <c r="AZ336" s="854"/>
      <c r="BA336" s="854"/>
      <c r="BB336" s="854"/>
      <c r="BC336" s="854"/>
      <c r="BD336" s="854"/>
      <c r="BE336" s="854"/>
      <c r="BF336" s="854"/>
      <c r="BG336" s="854"/>
      <c r="BH336" s="854"/>
      <c r="BI336" s="854"/>
      <c r="BJ336" s="854"/>
      <c r="BK336" s="854"/>
      <c r="BL336" s="854"/>
      <c r="BM336" s="854"/>
      <c r="BN336" s="854"/>
      <c r="BO336" s="854"/>
      <c r="BP336" s="854"/>
      <c r="BQ336" s="854"/>
      <c r="BR336" s="854"/>
      <c r="BS336" s="854"/>
      <c r="BT336" s="854"/>
      <c r="BU336" s="854"/>
      <c r="BV336" s="854"/>
      <c r="BW336" s="854"/>
      <c r="BX336" s="854"/>
      <c r="BY336" s="854"/>
      <c r="BZ336" s="854"/>
      <c r="CA336" s="571">
        <f>IF(OR(I336="",I336&lt;'Configs &amp; Procedures'!$L$29),0,IF(I336&gt;'Configs &amp; Procedures'!$L$30,1,IF(F336&gt;'Configs &amp; Procedures'!$L$31,0,1)))</f>
        <v>0</v>
      </c>
    </row>
    <row r="337" spans="2:79">
      <c r="B337" s="854"/>
      <c r="C337" s="854"/>
      <c r="D337" s="854"/>
      <c r="E337" s="854"/>
      <c r="F337" s="854"/>
      <c r="G337" s="854"/>
      <c r="H337" s="854"/>
      <c r="I337" s="854"/>
      <c r="J337" s="854"/>
      <c r="K337" s="854"/>
      <c r="L337" s="854"/>
      <c r="M337" s="854"/>
      <c r="N337" s="854"/>
      <c r="O337" s="854"/>
      <c r="P337" s="854"/>
      <c r="Q337" s="854"/>
      <c r="R337" s="854"/>
      <c r="S337" s="854"/>
      <c r="T337" s="854"/>
      <c r="U337" s="854"/>
      <c r="V337" s="854"/>
      <c r="W337" s="854"/>
      <c r="X337" s="854"/>
      <c r="Y337" s="854"/>
      <c r="Z337" s="854"/>
      <c r="AA337" s="854"/>
      <c r="AB337" s="854"/>
      <c r="AC337" s="854"/>
      <c r="AD337" s="854"/>
      <c r="AE337" s="854"/>
      <c r="AF337" s="854"/>
      <c r="AG337" s="854"/>
      <c r="AH337" s="854"/>
      <c r="AI337" s="854"/>
      <c r="AJ337" s="854"/>
      <c r="AK337" s="854"/>
      <c r="AL337" s="854"/>
      <c r="AM337" s="854"/>
      <c r="AN337" s="854"/>
      <c r="AO337" s="854"/>
      <c r="AP337" s="854"/>
      <c r="AQ337" s="854"/>
      <c r="AR337" s="854"/>
      <c r="AS337" s="854"/>
      <c r="AT337" s="854"/>
      <c r="AU337" s="854"/>
      <c r="AV337" s="854"/>
      <c r="AW337" s="854"/>
      <c r="AX337" s="854"/>
      <c r="AY337" s="854"/>
      <c r="AZ337" s="854"/>
      <c r="BA337" s="854"/>
      <c r="BB337" s="854"/>
      <c r="BC337" s="854"/>
      <c r="BD337" s="854"/>
      <c r="BE337" s="854"/>
      <c r="BF337" s="854"/>
      <c r="BG337" s="854"/>
      <c r="BH337" s="854"/>
      <c r="BI337" s="854"/>
      <c r="BJ337" s="854"/>
      <c r="BK337" s="854"/>
      <c r="BL337" s="854"/>
      <c r="BM337" s="854"/>
      <c r="BN337" s="854"/>
      <c r="BO337" s="854"/>
      <c r="BP337" s="854"/>
      <c r="BQ337" s="854"/>
      <c r="BR337" s="854"/>
      <c r="BS337" s="854"/>
      <c r="BT337" s="854"/>
      <c r="BU337" s="854"/>
      <c r="BV337" s="854"/>
      <c r="BW337" s="854"/>
      <c r="BX337" s="854"/>
      <c r="BY337" s="854"/>
      <c r="BZ337" s="854"/>
      <c r="CA337" s="571">
        <f>IF(OR(I337="",I337&lt;'Configs &amp; Procedures'!$L$29),0,IF(I337&gt;'Configs &amp; Procedures'!$L$30,1,IF(F337&gt;'Configs &amp; Procedures'!$L$31,0,1)))</f>
        <v>0</v>
      </c>
    </row>
    <row r="338" spans="2:79">
      <c r="B338" s="854"/>
      <c r="C338" s="854"/>
      <c r="D338" s="854"/>
      <c r="E338" s="854"/>
      <c r="F338" s="854"/>
      <c r="G338" s="854"/>
      <c r="H338" s="854"/>
      <c r="I338" s="854"/>
      <c r="J338" s="854"/>
      <c r="K338" s="854"/>
      <c r="L338" s="854"/>
      <c r="M338" s="854"/>
      <c r="N338" s="854"/>
      <c r="O338" s="854"/>
      <c r="P338" s="854"/>
      <c r="Q338" s="854"/>
      <c r="R338" s="854"/>
      <c r="S338" s="854"/>
      <c r="T338" s="854"/>
      <c r="U338" s="854"/>
      <c r="V338" s="854"/>
      <c r="W338" s="854"/>
      <c r="X338" s="854"/>
      <c r="Y338" s="854"/>
      <c r="Z338" s="854"/>
      <c r="AA338" s="854"/>
      <c r="AB338" s="854"/>
      <c r="AC338" s="854"/>
      <c r="AD338" s="854"/>
      <c r="AE338" s="854"/>
      <c r="AF338" s="854"/>
      <c r="AG338" s="854"/>
      <c r="AH338" s="854"/>
      <c r="AI338" s="854"/>
      <c r="AJ338" s="854"/>
      <c r="AK338" s="854"/>
      <c r="AL338" s="854"/>
      <c r="AM338" s="854"/>
      <c r="AN338" s="854"/>
      <c r="AO338" s="854"/>
      <c r="AP338" s="854"/>
      <c r="AQ338" s="854"/>
      <c r="AR338" s="854"/>
      <c r="AS338" s="854"/>
      <c r="AT338" s="854"/>
      <c r="AU338" s="854"/>
      <c r="AV338" s="854"/>
      <c r="AW338" s="854"/>
      <c r="AX338" s="854"/>
      <c r="AY338" s="854"/>
      <c r="AZ338" s="854"/>
      <c r="BA338" s="854"/>
      <c r="BB338" s="854"/>
      <c r="BC338" s="854"/>
      <c r="BD338" s="854"/>
      <c r="BE338" s="854"/>
      <c r="BF338" s="854"/>
      <c r="BG338" s="854"/>
      <c r="BH338" s="854"/>
      <c r="BI338" s="854"/>
      <c r="BJ338" s="854"/>
      <c r="BK338" s="854"/>
      <c r="BL338" s="854"/>
      <c r="BM338" s="854"/>
      <c r="BN338" s="854"/>
      <c r="BO338" s="854"/>
      <c r="BP338" s="854"/>
      <c r="BQ338" s="854"/>
      <c r="BR338" s="854"/>
      <c r="BS338" s="854"/>
      <c r="BT338" s="854"/>
      <c r="BU338" s="854"/>
      <c r="BV338" s="854"/>
      <c r="BW338" s="854"/>
      <c r="BX338" s="854"/>
      <c r="BY338" s="854"/>
      <c r="BZ338" s="854"/>
      <c r="CA338" s="571">
        <f>IF(OR(I338="",I338&lt;'Configs &amp; Procedures'!$L$29),0,IF(I338&gt;'Configs &amp; Procedures'!$L$30,1,IF(F338&gt;'Configs &amp; Procedures'!$L$31,0,1)))</f>
        <v>0</v>
      </c>
    </row>
    <row r="339" spans="2:79">
      <c r="B339" s="854"/>
      <c r="C339" s="854"/>
      <c r="D339" s="854"/>
      <c r="E339" s="854"/>
      <c r="F339" s="854"/>
      <c r="G339" s="854"/>
      <c r="H339" s="854"/>
      <c r="I339" s="854"/>
      <c r="J339" s="854"/>
      <c r="K339" s="854"/>
      <c r="L339" s="854"/>
      <c r="M339" s="854"/>
      <c r="N339" s="854"/>
      <c r="O339" s="854"/>
      <c r="P339" s="854"/>
      <c r="Q339" s="854"/>
      <c r="R339" s="854"/>
      <c r="S339" s="854"/>
      <c r="T339" s="854"/>
      <c r="U339" s="854"/>
      <c r="V339" s="854"/>
      <c r="W339" s="854"/>
      <c r="X339" s="854"/>
      <c r="Y339" s="854"/>
      <c r="Z339" s="854"/>
      <c r="AA339" s="854"/>
      <c r="AB339" s="854"/>
      <c r="AC339" s="854"/>
      <c r="AD339" s="854"/>
      <c r="AE339" s="854"/>
      <c r="AF339" s="854"/>
      <c r="AG339" s="854"/>
      <c r="AH339" s="854"/>
      <c r="AI339" s="854"/>
      <c r="AJ339" s="854"/>
      <c r="AK339" s="854"/>
      <c r="AL339" s="854"/>
      <c r="AM339" s="854"/>
      <c r="AN339" s="854"/>
      <c r="AO339" s="854"/>
      <c r="AP339" s="854"/>
      <c r="AQ339" s="854"/>
      <c r="AR339" s="854"/>
      <c r="AS339" s="854"/>
      <c r="AT339" s="854"/>
      <c r="AU339" s="854"/>
      <c r="AV339" s="854"/>
      <c r="AW339" s="854"/>
      <c r="AX339" s="854"/>
      <c r="AY339" s="854"/>
      <c r="AZ339" s="854"/>
      <c r="BA339" s="854"/>
      <c r="BB339" s="854"/>
      <c r="BC339" s="854"/>
      <c r="BD339" s="854"/>
      <c r="BE339" s="854"/>
      <c r="BF339" s="854"/>
      <c r="BG339" s="854"/>
      <c r="BH339" s="854"/>
      <c r="BI339" s="854"/>
      <c r="BJ339" s="854"/>
      <c r="BK339" s="854"/>
      <c r="BL339" s="854"/>
      <c r="BM339" s="854"/>
      <c r="BN339" s="854"/>
      <c r="BO339" s="854"/>
      <c r="BP339" s="854"/>
      <c r="BQ339" s="854"/>
      <c r="BR339" s="854"/>
      <c r="BS339" s="854"/>
      <c r="BT339" s="854"/>
      <c r="BU339" s="854"/>
      <c r="BV339" s="854"/>
      <c r="BW339" s="854"/>
      <c r="BX339" s="854"/>
      <c r="BY339" s="854"/>
      <c r="BZ339" s="854"/>
      <c r="CA339" s="571">
        <f>IF(OR(I339="",I339&lt;'Configs &amp; Procedures'!$L$29),0,IF(I339&gt;'Configs &amp; Procedures'!$L$30,1,IF(F339&gt;'Configs &amp; Procedures'!$L$31,0,1)))</f>
        <v>0</v>
      </c>
    </row>
    <row r="340" spans="2:79">
      <c r="B340" s="854"/>
      <c r="C340" s="854"/>
      <c r="D340" s="854"/>
      <c r="E340" s="854"/>
      <c r="F340" s="854"/>
      <c r="G340" s="854"/>
      <c r="H340" s="854"/>
      <c r="I340" s="854"/>
      <c r="J340" s="854"/>
      <c r="K340" s="854"/>
      <c r="L340" s="854"/>
      <c r="M340" s="854"/>
      <c r="N340" s="854"/>
      <c r="O340" s="854"/>
      <c r="P340" s="854"/>
      <c r="Q340" s="854"/>
      <c r="R340" s="854"/>
      <c r="S340" s="854"/>
      <c r="T340" s="854"/>
      <c r="U340" s="854"/>
      <c r="V340" s="854"/>
      <c r="W340" s="854"/>
      <c r="X340" s="854"/>
      <c r="Y340" s="854"/>
      <c r="Z340" s="854"/>
      <c r="AA340" s="854"/>
      <c r="AB340" s="854"/>
      <c r="AC340" s="854"/>
      <c r="AD340" s="854"/>
      <c r="AE340" s="854"/>
      <c r="AF340" s="854"/>
      <c r="AG340" s="854"/>
      <c r="AH340" s="854"/>
      <c r="AI340" s="854"/>
      <c r="AJ340" s="854"/>
      <c r="AK340" s="854"/>
      <c r="AL340" s="854"/>
      <c r="AM340" s="854"/>
      <c r="AN340" s="854"/>
      <c r="AO340" s="854"/>
      <c r="AP340" s="854"/>
      <c r="AQ340" s="854"/>
      <c r="AR340" s="854"/>
      <c r="AS340" s="854"/>
      <c r="AT340" s="854"/>
      <c r="AU340" s="854"/>
      <c r="AV340" s="854"/>
      <c r="AW340" s="854"/>
      <c r="AX340" s="854"/>
      <c r="AY340" s="854"/>
      <c r="AZ340" s="854"/>
      <c r="BA340" s="854"/>
      <c r="BB340" s="854"/>
      <c r="BC340" s="854"/>
      <c r="BD340" s="854"/>
      <c r="BE340" s="854"/>
      <c r="BF340" s="854"/>
      <c r="BG340" s="854"/>
      <c r="BH340" s="854"/>
      <c r="BI340" s="854"/>
      <c r="BJ340" s="854"/>
      <c r="BK340" s="854"/>
      <c r="BL340" s="854"/>
      <c r="BM340" s="854"/>
      <c r="BN340" s="854"/>
      <c r="BO340" s="854"/>
      <c r="BP340" s="854"/>
      <c r="BQ340" s="854"/>
      <c r="BR340" s="854"/>
      <c r="BS340" s="854"/>
      <c r="BT340" s="854"/>
      <c r="BU340" s="854"/>
      <c r="BV340" s="854"/>
      <c r="BW340" s="854"/>
      <c r="BX340" s="854"/>
      <c r="BY340" s="854"/>
      <c r="BZ340" s="854"/>
      <c r="CA340" s="571">
        <f>IF(OR(I340="",I340&lt;'Configs &amp; Procedures'!$L$29),0,IF(I340&gt;'Configs &amp; Procedures'!$L$30,1,IF(F340&gt;'Configs &amp; Procedures'!$L$31,0,1)))</f>
        <v>0</v>
      </c>
    </row>
    <row r="341" spans="2:79">
      <c r="B341" s="854"/>
      <c r="C341" s="854"/>
      <c r="D341" s="854"/>
      <c r="E341" s="854"/>
      <c r="F341" s="854"/>
      <c r="G341" s="854"/>
      <c r="H341" s="854"/>
      <c r="I341" s="854"/>
      <c r="J341" s="854"/>
      <c r="K341" s="854"/>
      <c r="L341" s="854"/>
      <c r="M341" s="854"/>
      <c r="N341" s="854"/>
      <c r="O341" s="854"/>
      <c r="P341" s="854"/>
      <c r="Q341" s="854"/>
      <c r="R341" s="854"/>
      <c r="S341" s="854"/>
      <c r="T341" s="854"/>
      <c r="U341" s="854"/>
      <c r="V341" s="854"/>
      <c r="W341" s="854"/>
      <c r="X341" s="854"/>
      <c r="Y341" s="854"/>
      <c r="Z341" s="854"/>
      <c r="AA341" s="854"/>
      <c r="AB341" s="854"/>
      <c r="AC341" s="854"/>
      <c r="AD341" s="854"/>
      <c r="AE341" s="854"/>
      <c r="AF341" s="854"/>
      <c r="AG341" s="854"/>
      <c r="AH341" s="854"/>
      <c r="AI341" s="854"/>
      <c r="AJ341" s="854"/>
      <c r="AK341" s="854"/>
      <c r="AL341" s="854"/>
      <c r="AM341" s="854"/>
      <c r="AN341" s="854"/>
      <c r="AO341" s="854"/>
      <c r="AP341" s="854"/>
      <c r="AQ341" s="854"/>
      <c r="AR341" s="854"/>
      <c r="AS341" s="854"/>
      <c r="AT341" s="854"/>
      <c r="AU341" s="854"/>
      <c r="AV341" s="854"/>
      <c r="AW341" s="854"/>
      <c r="AX341" s="854"/>
      <c r="AY341" s="854"/>
      <c r="AZ341" s="854"/>
      <c r="BA341" s="854"/>
      <c r="BB341" s="854"/>
      <c r="BC341" s="854"/>
      <c r="BD341" s="854"/>
      <c r="BE341" s="854"/>
      <c r="BF341" s="854"/>
      <c r="BG341" s="854"/>
      <c r="BH341" s="854"/>
      <c r="BI341" s="854"/>
      <c r="BJ341" s="854"/>
      <c r="BK341" s="854"/>
      <c r="BL341" s="854"/>
      <c r="BM341" s="854"/>
      <c r="BN341" s="854"/>
      <c r="BO341" s="854"/>
      <c r="BP341" s="854"/>
      <c r="BQ341" s="854"/>
      <c r="BR341" s="854"/>
      <c r="BS341" s="854"/>
      <c r="BT341" s="854"/>
      <c r="BU341" s="854"/>
      <c r="BV341" s="854"/>
      <c r="BW341" s="854"/>
      <c r="BX341" s="854"/>
      <c r="BY341" s="854"/>
      <c r="BZ341" s="854"/>
      <c r="CA341" s="571">
        <f>IF(OR(I341="",I341&lt;'Configs &amp; Procedures'!$L$29),0,IF(I341&gt;'Configs &amp; Procedures'!$L$30,1,IF(F341&gt;'Configs &amp; Procedures'!$L$31,0,1)))</f>
        <v>0</v>
      </c>
    </row>
    <row r="342" spans="2:79">
      <c r="B342" s="854"/>
      <c r="C342" s="854"/>
      <c r="D342" s="854"/>
      <c r="E342" s="854"/>
      <c r="F342" s="854"/>
      <c r="G342" s="854"/>
      <c r="H342" s="854"/>
      <c r="I342" s="854"/>
      <c r="J342" s="854"/>
      <c r="K342" s="854"/>
      <c r="L342" s="854"/>
      <c r="M342" s="854"/>
      <c r="N342" s="854"/>
      <c r="O342" s="854"/>
      <c r="P342" s="854"/>
      <c r="Q342" s="854"/>
      <c r="R342" s="854"/>
      <c r="S342" s="854"/>
      <c r="T342" s="854"/>
      <c r="U342" s="854"/>
      <c r="V342" s="854"/>
      <c r="W342" s="854"/>
      <c r="X342" s="854"/>
      <c r="Y342" s="854"/>
      <c r="Z342" s="854"/>
      <c r="AA342" s="854"/>
      <c r="AB342" s="854"/>
      <c r="AC342" s="854"/>
      <c r="AD342" s="854"/>
      <c r="AE342" s="854"/>
      <c r="AF342" s="854"/>
      <c r="AG342" s="854"/>
      <c r="AH342" s="854"/>
      <c r="AI342" s="854"/>
      <c r="AJ342" s="854"/>
      <c r="AK342" s="854"/>
      <c r="AL342" s="854"/>
      <c r="AM342" s="854"/>
      <c r="AN342" s="854"/>
      <c r="AO342" s="854"/>
      <c r="AP342" s="854"/>
      <c r="AQ342" s="854"/>
      <c r="AR342" s="854"/>
      <c r="AS342" s="854"/>
      <c r="AT342" s="854"/>
      <c r="AU342" s="854"/>
      <c r="AV342" s="854"/>
      <c r="AW342" s="854"/>
      <c r="AX342" s="854"/>
      <c r="AY342" s="854"/>
      <c r="AZ342" s="854"/>
      <c r="BA342" s="854"/>
      <c r="BB342" s="854"/>
      <c r="BC342" s="854"/>
      <c r="BD342" s="854"/>
      <c r="BE342" s="854"/>
      <c r="BF342" s="854"/>
      <c r="BG342" s="854"/>
      <c r="BH342" s="854"/>
      <c r="BI342" s="854"/>
      <c r="BJ342" s="854"/>
      <c r="BK342" s="854"/>
      <c r="BL342" s="854"/>
      <c r="BM342" s="854"/>
      <c r="BN342" s="854"/>
      <c r="BO342" s="854"/>
      <c r="BP342" s="854"/>
      <c r="BQ342" s="854"/>
      <c r="BR342" s="854"/>
      <c r="BS342" s="854"/>
      <c r="BT342" s="854"/>
      <c r="BU342" s="854"/>
      <c r="BV342" s="854"/>
      <c r="BW342" s="854"/>
      <c r="BX342" s="854"/>
      <c r="BY342" s="854"/>
      <c r="BZ342" s="854"/>
      <c r="CA342" s="571">
        <f>IF(OR(I342="",I342&lt;'Configs &amp; Procedures'!$L$29),0,IF(I342&gt;'Configs &amp; Procedures'!$L$30,1,IF(F342&gt;'Configs &amp; Procedures'!$L$31,0,1)))</f>
        <v>0</v>
      </c>
    </row>
    <row r="343" spans="2:79">
      <c r="B343" s="854"/>
      <c r="C343" s="854"/>
      <c r="D343" s="854"/>
      <c r="E343" s="854"/>
      <c r="F343" s="854"/>
      <c r="G343" s="854"/>
      <c r="H343" s="854"/>
      <c r="I343" s="854"/>
      <c r="J343" s="854"/>
      <c r="K343" s="854"/>
      <c r="L343" s="854"/>
      <c r="M343" s="854"/>
      <c r="N343" s="854"/>
      <c r="O343" s="854"/>
      <c r="P343" s="854"/>
      <c r="Q343" s="854"/>
      <c r="R343" s="854"/>
      <c r="S343" s="854"/>
      <c r="T343" s="854"/>
      <c r="U343" s="854"/>
      <c r="V343" s="854"/>
      <c r="W343" s="854"/>
      <c r="X343" s="854"/>
      <c r="Y343" s="854"/>
      <c r="Z343" s="854"/>
      <c r="AA343" s="854"/>
      <c r="AB343" s="854"/>
      <c r="AC343" s="854"/>
      <c r="AD343" s="854"/>
      <c r="AE343" s="854"/>
      <c r="AF343" s="854"/>
      <c r="AG343" s="854"/>
      <c r="AH343" s="854"/>
      <c r="AI343" s="854"/>
      <c r="AJ343" s="854"/>
      <c r="AK343" s="854"/>
      <c r="AL343" s="854"/>
      <c r="AM343" s="854"/>
      <c r="AN343" s="854"/>
      <c r="AO343" s="854"/>
      <c r="AP343" s="854"/>
      <c r="AQ343" s="854"/>
      <c r="AR343" s="854"/>
      <c r="AS343" s="854"/>
      <c r="AT343" s="854"/>
      <c r="AU343" s="854"/>
      <c r="AV343" s="854"/>
      <c r="AW343" s="854"/>
      <c r="AX343" s="854"/>
      <c r="AY343" s="854"/>
      <c r="AZ343" s="854"/>
      <c r="BA343" s="854"/>
      <c r="BB343" s="854"/>
      <c r="BC343" s="854"/>
      <c r="BD343" s="854"/>
      <c r="BE343" s="854"/>
      <c r="BF343" s="854"/>
      <c r="BG343" s="854"/>
      <c r="BH343" s="854"/>
      <c r="BI343" s="854"/>
      <c r="BJ343" s="854"/>
      <c r="BK343" s="854"/>
      <c r="BL343" s="854"/>
      <c r="BM343" s="854"/>
      <c r="BN343" s="854"/>
      <c r="BO343" s="854"/>
      <c r="BP343" s="854"/>
      <c r="BQ343" s="854"/>
      <c r="BR343" s="854"/>
      <c r="BS343" s="854"/>
      <c r="BT343" s="854"/>
      <c r="BU343" s="854"/>
      <c r="BV343" s="854"/>
      <c r="BW343" s="854"/>
      <c r="BX343" s="854"/>
      <c r="BY343" s="854"/>
      <c r="BZ343" s="854"/>
      <c r="CA343" s="571">
        <f>IF(OR(I343="",I343&lt;'Configs &amp; Procedures'!$L$29),0,IF(I343&gt;'Configs &amp; Procedures'!$L$30,1,IF(F343&gt;'Configs &amp; Procedures'!$L$31,0,1)))</f>
        <v>0</v>
      </c>
    </row>
    <row r="344" spans="2:79">
      <c r="B344" s="854"/>
      <c r="C344" s="854"/>
      <c r="D344" s="854"/>
      <c r="E344" s="854"/>
      <c r="F344" s="854"/>
      <c r="G344" s="854"/>
      <c r="H344" s="854"/>
      <c r="I344" s="854"/>
      <c r="J344" s="854"/>
      <c r="K344" s="854"/>
      <c r="L344" s="854"/>
      <c r="M344" s="854"/>
      <c r="N344" s="854"/>
      <c r="O344" s="854"/>
      <c r="P344" s="854"/>
      <c r="Q344" s="854"/>
      <c r="R344" s="854"/>
      <c r="S344" s="854"/>
      <c r="T344" s="854"/>
      <c r="U344" s="854"/>
      <c r="V344" s="854"/>
      <c r="W344" s="854"/>
      <c r="X344" s="854"/>
      <c r="Y344" s="854"/>
      <c r="Z344" s="854"/>
      <c r="AA344" s="854"/>
      <c r="AB344" s="854"/>
      <c r="AC344" s="854"/>
      <c r="AD344" s="854"/>
      <c r="AE344" s="854"/>
      <c r="AF344" s="854"/>
      <c r="AG344" s="854"/>
      <c r="AH344" s="854"/>
      <c r="AI344" s="854"/>
      <c r="AJ344" s="854"/>
      <c r="AK344" s="854"/>
      <c r="AL344" s="854"/>
      <c r="AM344" s="854"/>
      <c r="AN344" s="854"/>
      <c r="AO344" s="854"/>
      <c r="AP344" s="854"/>
      <c r="AQ344" s="854"/>
      <c r="AR344" s="854"/>
      <c r="AS344" s="854"/>
      <c r="AT344" s="854"/>
      <c r="AU344" s="854"/>
      <c r="AV344" s="854"/>
      <c r="AW344" s="854"/>
      <c r="AX344" s="854"/>
      <c r="AY344" s="854"/>
      <c r="AZ344" s="854"/>
      <c r="BA344" s="854"/>
      <c r="BB344" s="854"/>
      <c r="BC344" s="854"/>
      <c r="BD344" s="854"/>
      <c r="BE344" s="854"/>
      <c r="BF344" s="854"/>
      <c r="BG344" s="854"/>
      <c r="BH344" s="854"/>
      <c r="BI344" s="854"/>
      <c r="BJ344" s="854"/>
      <c r="BK344" s="854"/>
      <c r="BL344" s="854"/>
      <c r="BM344" s="854"/>
      <c r="BN344" s="854"/>
      <c r="BO344" s="854"/>
      <c r="BP344" s="854"/>
      <c r="BQ344" s="854"/>
      <c r="BR344" s="854"/>
      <c r="BS344" s="854"/>
      <c r="BT344" s="854"/>
      <c r="BU344" s="854"/>
      <c r="BV344" s="854"/>
      <c r="BW344" s="854"/>
      <c r="BX344" s="854"/>
      <c r="BY344" s="854"/>
      <c r="BZ344" s="854"/>
      <c r="CA344" s="571">
        <f>IF(OR(I344="",I344&lt;'Configs &amp; Procedures'!$L$29),0,IF(I344&gt;'Configs &amp; Procedures'!$L$30,1,IF(F344&gt;'Configs &amp; Procedures'!$L$31,0,1)))</f>
        <v>0</v>
      </c>
    </row>
    <row r="345" spans="2:79">
      <c r="B345" s="854"/>
      <c r="C345" s="854"/>
      <c r="D345" s="854"/>
      <c r="E345" s="854"/>
      <c r="F345" s="854"/>
      <c r="G345" s="854"/>
      <c r="H345" s="854"/>
      <c r="I345" s="854"/>
      <c r="J345" s="854"/>
      <c r="K345" s="854"/>
      <c r="L345" s="854"/>
      <c r="M345" s="854"/>
      <c r="N345" s="854"/>
      <c r="O345" s="854"/>
      <c r="P345" s="854"/>
      <c r="Q345" s="854"/>
      <c r="R345" s="854"/>
      <c r="S345" s="854"/>
      <c r="T345" s="854"/>
      <c r="U345" s="854"/>
      <c r="V345" s="854"/>
      <c r="W345" s="854"/>
      <c r="X345" s="854"/>
      <c r="Y345" s="854"/>
      <c r="Z345" s="854"/>
      <c r="AA345" s="854"/>
      <c r="AB345" s="854"/>
      <c r="AC345" s="854"/>
      <c r="AD345" s="854"/>
      <c r="AE345" s="854"/>
      <c r="AF345" s="854"/>
      <c r="AG345" s="854"/>
      <c r="AH345" s="854"/>
      <c r="AI345" s="854"/>
      <c r="AJ345" s="854"/>
      <c r="AK345" s="854"/>
      <c r="AL345" s="854"/>
      <c r="AM345" s="854"/>
      <c r="AN345" s="854"/>
      <c r="AO345" s="854"/>
      <c r="AP345" s="854"/>
      <c r="AQ345" s="854"/>
      <c r="AR345" s="854"/>
      <c r="AS345" s="854"/>
      <c r="AT345" s="854"/>
      <c r="AU345" s="854"/>
      <c r="AV345" s="854"/>
      <c r="AW345" s="854"/>
      <c r="AX345" s="854"/>
      <c r="AY345" s="854"/>
      <c r="AZ345" s="854"/>
      <c r="BA345" s="854"/>
      <c r="BB345" s="854"/>
      <c r="BC345" s="854"/>
      <c r="BD345" s="854"/>
      <c r="BE345" s="854"/>
      <c r="BF345" s="854"/>
      <c r="BG345" s="854"/>
      <c r="BH345" s="854"/>
      <c r="BI345" s="854"/>
      <c r="BJ345" s="854"/>
      <c r="BK345" s="854"/>
      <c r="BL345" s="854"/>
      <c r="BM345" s="854"/>
      <c r="BN345" s="854"/>
      <c r="BO345" s="854"/>
      <c r="BP345" s="854"/>
      <c r="BQ345" s="854"/>
      <c r="BR345" s="854"/>
      <c r="BS345" s="854"/>
      <c r="BT345" s="854"/>
      <c r="BU345" s="854"/>
      <c r="BV345" s="854"/>
      <c r="BW345" s="854"/>
      <c r="BX345" s="854"/>
      <c r="BY345" s="854"/>
      <c r="BZ345" s="854"/>
      <c r="CA345" s="571">
        <f>IF(OR(I345="",I345&lt;'Configs &amp; Procedures'!$L$29),0,IF(I345&gt;'Configs &amp; Procedures'!$L$30,1,IF(F345&gt;'Configs &amp; Procedures'!$L$31,0,1)))</f>
        <v>0</v>
      </c>
    </row>
    <row r="346" spans="2:79">
      <c r="B346" s="854"/>
      <c r="C346" s="854"/>
      <c r="D346" s="854"/>
      <c r="E346" s="854"/>
      <c r="F346" s="854"/>
      <c r="G346" s="854"/>
      <c r="H346" s="854"/>
      <c r="I346" s="854"/>
      <c r="J346" s="854"/>
      <c r="K346" s="854"/>
      <c r="L346" s="854"/>
      <c r="M346" s="854"/>
      <c r="N346" s="854"/>
      <c r="O346" s="854"/>
      <c r="P346" s="854"/>
      <c r="Q346" s="854"/>
      <c r="R346" s="854"/>
      <c r="S346" s="854"/>
      <c r="T346" s="854"/>
      <c r="U346" s="854"/>
      <c r="V346" s="854"/>
      <c r="W346" s="854"/>
      <c r="X346" s="854"/>
      <c r="Y346" s="854"/>
      <c r="Z346" s="854"/>
      <c r="AA346" s="854"/>
      <c r="AB346" s="854"/>
      <c r="AC346" s="854"/>
      <c r="AD346" s="854"/>
      <c r="AE346" s="854"/>
      <c r="AF346" s="854"/>
      <c r="AG346" s="854"/>
      <c r="AH346" s="854"/>
      <c r="AI346" s="854"/>
      <c r="AJ346" s="854"/>
      <c r="AK346" s="854"/>
      <c r="AL346" s="854"/>
      <c r="AM346" s="854"/>
      <c r="AN346" s="854"/>
      <c r="AO346" s="854"/>
      <c r="AP346" s="854"/>
      <c r="AQ346" s="854"/>
      <c r="AR346" s="854"/>
      <c r="AS346" s="854"/>
      <c r="AT346" s="854"/>
      <c r="AU346" s="854"/>
      <c r="AV346" s="854"/>
      <c r="AW346" s="854"/>
      <c r="AX346" s="854"/>
      <c r="AY346" s="854"/>
      <c r="AZ346" s="854"/>
      <c r="BA346" s="854"/>
      <c r="BB346" s="854"/>
      <c r="BC346" s="854"/>
      <c r="BD346" s="854"/>
      <c r="BE346" s="854"/>
      <c r="BF346" s="854"/>
      <c r="BG346" s="854"/>
      <c r="BH346" s="854"/>
      <c r="BI346" s="854"/>
      <c r="BJ346" s="854"/>
      <c r="BK346" s="854"/>
      <c r="BL346" s="854"/>
      <c r="BM346" s="854"/>
      <c r="BN346" s="854"/>
      <c r="BO346" s="854"/>
      <c r="BP346" s="854"/>
      <c r="BQ346" s="854"/>
      <c r="BR346" s="854"/>
      <c r="BS346" s="854"/>
      <c r="BT346" s="854"/>
      <c r="BU346" s="854"/>
      <c r="BV346" s="854"/>
      <c r="BW346" s="854"/>
      <c r="BX346" s="854"/>
      <c r="BY346" s="854"/>
      <c r="BZ346" s="854"/>
      <c r="CA346" s="571">
        <f>IF(OR(I346="",I346&lt;'Configs &amp; Procedures'!$L$29),0,IF(I346&gt;'Configs &amp; Procedures'!$L$30,1,IF(F346&gt;'Configs &amp; Procedures'!$L$31,0,1)))</f>
        <v>0</v>
      </c>
    </row>
    <row r="347" spans="2:79">
      <c r="B347" s="854"/>
      <c r="C347" s="854"/>
      <c r="D347" s="854"/>
      <c r="E347" s="854"/>
      <c r="F347" s="854"/>
      <c r="G347" s="854"/>
      <c r="H347" s="854"/>
      <c r="I347" s="854"/>
      <c r="J347" s="854"/>
      <c r="K347" s="854"/>
      <c r="L347" s="854"/>
      <c r="M347" s="854"/>
      <c r="N347" s="854"/>
      <c r="O347" s="854"/>
      <c r="P347" s="854"/>
      <c r="Q347" s="854"/>
      <c r="R347" s="854"/>
      <c r="S347" s="854"/>
      <c r="T347" s="854"/>
      <c r="U347" s="854"/>
      <c r="V347" s="854"/>
      <c r="W347" s="854"/>
      <c r="X347" s="854"/>
      <c r="Y347" s="854"/>
      <c r="Z347" s="854"/>
      <c r="AA347" s="854"/>
      <c r="AB347" s="854"/>
      <c r="AC347" s="854"/>
      <c r="AD347" s="854"/>
      <c r="AE347" s="854"/>
      <c r="AF347" s="854"/>
      <c r="AG347" s="854"/>
      <c r="AH347" s="854"/>
      <c r="AI347" s="854"/>
      <c r="AJ347" s="854"/>
      <c r="AK347" s="854"/>
      <c r="AL347" s="854"/>
      <c r="AM347" s="854"/>
      <c r="AN347" s="854"/>
      <c r="AO347" s="854"/>
      <c r="AP347" s="854"/>
      <c r="AQ347" s="854"/>
      <c r="AR347" s="854"/>
      <c r="AS347" s="854"/>
      <c r="AT347" s="854"/>
      <c r="AU347" s="854"/>
      <c r="AV347" s="854"/>
      <c r="AW347" s="854"/>
      <c r="AX347" s="854"/>
      <c r="AY347" s="854"/>
      <c r="AZ347" s="854"/>
      <c r="BA347" s="854"/>
      <c r="BB347" s="854"/>
      <c r="BC347" s="854"/>
      <c r="BD347" s="854"/>
      <c r="BE347" s="854"/>
      <c r="BF347" s="854"/>
      <c r="BG347" s="854"/>
      <c r="BH347" s="854"/>
      <c r="BI347" s="854"/>
      <c r="BJ347" s="854"/>
      <c r="BK347" s="854"/>
      <c r="BL347" s="854"/>
      <c r="BM347" s="854"/>
      <c r="BN347" s="854"/>
      <c r="BO347" s="854"/>
      <c r="BP347" s="854"/>
      <c r="BQ347" s="854"/>
      <c r="BR347" s="854"/>
      <c r="BS347" s="854"/>
      <c r="BT347" s="854"/>
      <c r="BU347" s="854"/>
      <c r="BV347" s="854"/>
      <c r="BW347" s="854"/>
      <c r="BX347" s="854"/>
      <c r="BY347" s="854"/>
      <c r="BZ347" s="854"/>
      <c r="CA347" s="571">
        <f>IF(OR(I347="",I347&lt;'Configs &amp; Procedures'!$L$29),0,IF(I347&gt;'Configs &amp; Procedures'!$L$30,1,IF(F347&gt;'Configs &amp; Procedures'!$L$31,0,1)))</f>
        <v>0</v>
      </c>
    </row>
    <row r="348" spans="2:79">
      <c r="B348" s="854"/>
      <c r="C348" s="854"/>
      <c r="D348" s="854"/>
      <c r="E348" s="854"/>
      <c r="F348" s="854"/>
      <c r="G348" s="854"/>
      <c r="H348" s="854"/>
      <c r="I348" s="854"/>
      <c r="J348" s="854"/>
      <c r="K348" s="854"/>
      <c r="L348" s="854"/>
      <c r="M348" s="854"/>
      <c r="N348" s="854"/>
      <c r="O348" s="854"/>
      <c r="P348" s="854"/>
      <c r="Q348" s="854"/>
      <c r="R348" s="854"/>
      <c r="S348" s="854"/>
      <c r="T348" s="854"/>
      <c r="U348" s="854"/>
      <c r="V348" s="854"/>
      <c r="W348" s="854"/>
      <c r="X348" s="854"/>
      <c r="Y348" s="854"/>
      <c r="Z348" s="854"/>
      <c r="AA348" s="854"/>
      <c r="AB348" s="854"/>
      <c r="AC348" s="854"/>
      <c r="AD348" s="854"/>
      <c r="AE348" s="854"/>
      <c r="AF348" s="854"/>
      <c r="AG348" s="854"/>
      <c r="AH348" s="854"/>
      <c r="AI348" s="854"/>
      <c r="AJ348" s="854"/>
      <c r="AK348" s="854"/>
      <c r="AL348" s="854"/>
      <c r="AM348" s="854"/>
      <c r="AN348" s="854"/>
      <c r="AO348" s="854"/>
      <c r="AP348" s="854"/>
      <c r="AQ348" s="854"/>
      <c r="AR348" s="854"/>
      <c r="AS348" s="854"/>
      <c r="AT348" s="854"/>
      <c r="AU348" s="854"/>
      <c r="AV348" s="854"/>
      <c r="AW348" s="854"/>
      <c r="AX348" s="854"/>
      <c r="AY348" s="854"/>
      <c r="AZ348" s="854"/>
      <c r="BA348" s="854"/>
      <c r="BB348" s="854"/>
      <c r="BC348" s="854"/>
      <c r="BD348" s="854"/>
      <c r="BE348" s="854"/>
      <c r="BF348" s="854"/>
      <c r="BG348" s="854"/>
      <c r="BH348" s="854"/>
      <c r="BI348" s="854"/>
      <c r="BJ348" s="854"/>
      <c r="BK348" s="854"/>
      <c r="BL348" s="854"/>
      <c r="BM348" s="854"/>
      <c r="BN348" s="854"/>
      <c r="BO348" s="854"/>
      <c r="BP348" s="854"/>
      <c r="BQ348" s="854"/>
      <c r="BR348" s="854"/>
      <c r="BS348" s="854"/>
      <c r="BT348" s="854"/>
      <c r="BU348" s="854"/>
      <c r="BV348" s="854"/>
      <c r="BW348" s="854"/>
      <c r="BX348" s="854"/>
      <c r="BY348" s="854"/>
      <c r="BZ348" s="854"/>
      <c r="CA348" s="571">
        <f>IF(OR(I348="",I348&lt;'Configs &amp; Procedures'!$L$29),0,IF(I348&gt;'Configs &amp; Procedures'!$L$30,1,IF(F348&gt;'Configs &amp; Procedures'!$L$31,0,1)))</f>
        <v>0</v>
      </c>
    </row>
    <row r="349" spans="2:79">
      <c r="B349" s="854"/>
      <c r="C349" s="854"/>
      <c r="D349" s="854"/>
      <c r="E349" s="854"/>
      <c r="F349" s="854"/>
      <c r="G349" s="854"/>
      <c r="H349" s="854"/>
      <c r="I349" s="854"/>
      <c r="J349" s="854"/>
      <c r="K349" s="854"/>
      <c r="L349" s="854"/>
      <c r="M349" s="854"/>
      <c r="N349" s="854"/>
      <c r="O349" s="854"/>
      <c r="P349" s="854"/>
      <c r="Q349" s="854"/>
      <c r="R349" s="854"/>
      <c r="S349" s="854"/>
      <c r="T349" s="854"/>
      <c r="U349" s="854"/>
      <c r="V349" s="854"/>
      <c r="W349" s="854"/>
      <c r="X349" s="854"/>
      <c r="Y349" s="854"/>
      <c r="Z349" s="854"/>
      <c r="AA349" s="854"/>
      <c r="AB349" s="854"/>
      <c r="AC349" s="854"/>
      <c r="AD349" s="854"/>
      <c r="AE349" s="854"/>
      <c r="AF349" s="854"/>
      <c r="AG349" s="854"/>
      <c r="AH349" s="854"/>
      <c r="AI349" s="854"/>
      <c r="AJ349" s="854"/>
      <c r="AK349" s="854"/>
      <c r="AL349" s="854"/>
      <c r="AM349" s="854"/>
      <c r="AN349" s="854"/>
      <c r="AO349" s="854"/>
      <c r="AP349" s="854"/>
      <c r="AQ349" s="854"/>
      <c r="AR349" s="854"/>
      <c r="AS349" s="854"/>
      <c r="AT349" s="854"/>
      <c r="AU349" s="854"/>
      <c r="AV349" s="854"/>
      <c r="AW349" s="854"/>
      <c r="AX349" s="854"/>
      <c r="AY349" s="854"/>
      <c r="AZ349" s="854"/>
      <c r="BA349" s="854"/>
      <c r="BB349" s="854"/>
      <c r="BC349" s="854"/>
      <c r="BD349" s="854"/>
      <c r="BE349" s="854"/>
      <c r="BF349" s="854"/>
      <c r="BG349" s="854"/>
      <c r="BH349" s="854"/>
      <c r="BI349" s="854"/>
      <c r="BJ349" s="854"/>
      <c r="BK349" s="854"/>
      <c r="BL349" s="854"/>
      <c r="BM349" s="854"/>
      <c r="BN349" s="854"/>
      <c r="BO349" s="854"/>
      <c r="BP349" s="854"/>
      <c r="BQ349" s="854"/>
      <c r="BR349" s="854"/>
      <c r="BS349" s="854"/>
      <c r="BT349" s="854"/>
      <c r="BU349" s="854"/>
      <c r="BV349" s="854"/>
      <c r="BW349" s="854"/>
      <c r="BX349" s="854"/>
      <c r="BY349" s="854"/>
      <c r="BZ349" s="854"/>
      <c r="CA349" s="571">
        <f>IF(OR(I349="",I349&lt;'Configs &amp; Procedures'!$L$29),0,IF(I349&gt;'Configs &amp; Procedures'!$L$30,1,IF(F349&gt;'Configs &amp; Procedures'!$L$31,0,1)))</f>
        <v>0</v>
      </c>
    </row>
    <row r="350" spans="2:79">
      <c r="B350" s="854"/>
      <c r="C350" s="854"/>
      <c r="D350" s="854"/>
      <c r="E350" s="854"/>
      <c r="F350" s="854"/>
      <c r="G350" s="854"/>
      <c r="H350" s="854"/>
      <c r="I350" s="854"/>
      <c r="J350" s="854"/>
      <c r="K350" s="854"/>
      <c r="L350" s="854"/>
      <c r="M350" s="854"/>
      <c r="N350" s="854"/>
      <c r="O350" s="854"/>
      <c r="P350" s="854"/>
      <c r="Q350" s="854"/>
      <c r="R350" s="854"/>
      <c r="S350" s="854"/>
      <c r="T350" s="854"/>
      <c r="U350" s="854"/>
      <c r="V350" s="854"/>
      <c r="W350" s="854"/>
      <c r="X350" s="854"/>
      <c r="Y350" s="854"/>
      <c r="Z350" s="854"/>
      <c r="AA350" s="854"/>
      <c r="AB350" s="854"/>
      <c r="AC350" s="854"/>
      <c r="AD350" s="854"/>
      <c r="AE350" s="854"/>
      <c r="AF350" s="854"/>
      <c r="AG350" s="854"/>
      <c r="AH350" s="854"/>
      <c r="AI350" s="854"/>
      <c r="AJ350" s="854"/>
      <c r="AK350" s="854"/>
      <c r="AL350" s="854"/>
      <c r="AM350" s="854"/>
      <c r="AN350" s="854"/>
      <c r="AO350" s="854"/>
      <c r="AP350" s="854"/>
      <c r="AQ350" s="854"/>
      <c r="AR350" s="854"/>
      <c r="AS350" s="854"/>
      <c r="AT350" s="854"/>
      <c r="AU350" s="854"/>
      <c r="AV350" s="854"/>
      <c r="AW350" s="854"/>
      <c r="AX350" s="854"/>
      <c r="AY350" s="854"/>
      <c r="AZ350" s="854"/>
      <c r="BA350" s="854"/>
      <c r="BB350" s="854"/>
      <c r="BC350" s="854"/>
      <c r="BD350" s="854"/>
      <c r="BE350" s="854"/>
      <c r="BF350" s="854"/>
      <c r="BG350" s="854"/>
      <c r="BH350" s="854"/>
      <c r="BI350" s="854"/>
      <c r="BJ350" s="854"/>
      <c r="BK350" s="854"/>
      <c r="BL350" s="854"/>
      <c r="BM350" s="854"/>
      <c r="BN350" s="854"/>
      <c r="BO350" s="854"/>
      <c r="BP350" s="854"/>
      <c r="BQ350" s="854"/>
      <c r="BR350" s="854"/>
      <c r="BS350" s="854"/>
      <c r="BT350" s="854"/>
      <c r="BU350" s="854"/>
      <c r="BV350" s="854"/>
      <c r="BW350" s="854"/>
      <c r="BX350" s="854"/>
      <c r="BY350" s="854"/>
      <c r="BZ350" s="854"/>
      <c r="CA350" s="571">
        <f>IF(OR(I350="",I350&lt;'Configs &amp; Procedures'!$L$29),0,IF(I350&gt;'Configs &amp; Procedures'!$L$30,1,IF(F350&gt;'Configs &amp; Procedures'!$L$31,0,1)))</f>
        <v>0</v>
      </c>
    </row>
    <row r="351" spans="2:79">
      <c r="B351" s="854"/>
      <c r="C351" s="854"/>
      <c r="D351" s="854"/>
      <c r="E351" s="854"/>
      <c r="F351" s="854"/>
      <c r="G351" s="854"/>
      <c r="H351" s="854"/>
      <c r="I351" s="854"/>
      <c r="J351" s="854"/>
      <c r="K351" s="854"/>
      <c r="L351" s="854"/>
      <c r="M351" s="854"/>
      <c r="N351" s="854"/>
      <c r="O351" s="854"/>
      <c r="P351" s="854"/>
      <c r="Q351" s="854"/>
      <c r="R351" s="854"/>
      <c r="S351" s="854"/>
      <c r="T351" s="854"/>
      <c r="U351" s="854"/>
      <c r="V351" s="854"/>
      <c r="W351" s="854"/>
      <c r="X351" s="854"/>
      <c r="Y351" s="854"/>
      <c r="Z351" s="854"/>
      <c r="AA351" s="854"/>
      <c r="AB351" s="854"/>
      <c r="AC351" s="854"/>
      <c r="AD351" s="854"/>
      <c r="AE351" s="854"/>
      <c r="AF351" s="854"/>
      <c r="AG351" s="854"/>
      <c r="AH351" s="854"/>
      <c r="AI351" s="854"/>
      <c r="AJ351" s="854"/>
      <c r="AK351" s="854"/>
      <c r="AL351" s="854"/>
      <c r="AM351" s="854"/>
      <c r="AN351" s="854"/>
      <c r="AO351" s="854"/>
      <c r="AP351" s="854"/>
      <c r="AQ351" s="854"/>
      <c r="AR351" s="854"/>
      <c r="AS351" s="854"/>
      <c r="AT351" s="854"/>
      <c r="AU351" s="854"/>
      <c r="AV351" s="854"/>
      <c r="AW351" s="854"/>
      <c r="AX351" s="854"/>
      <c r="AY351" s="854"/>
      <c r="AZ351" s="854"/>
      <c r="BA351" s="854"/>
      <c r="BB351" s="854"/>
      <c r="BC351" s="854"/>
      <c r="BD351" s="854"/>
      <c r="BE351" s="854"/>
      <c r="BF351" s="854"/>
      <c r="BG351" s="854"/>
      <c r="BH351" s="854"/>
      <c r="BI351" s="854"/>
      <c r="BJ351" s="854"/>
      <c r="BK351" s="854"/>
      <c r="BL351" s="854"/>
      <c r="BM351" s="854"/>
      <c r="BN351" s="854"/>
      <c r="BO351" s="854"/>
      <c r="BP351" s="854"/>
      <c r="BQ351" s="854"/>
      <c r="BR351" s="854"/>
      <c r="BS351" s="854"/>
      <c r="BT351" s="854"/>
      <c r="BU351" s="854"/>
      <c r="BV351" s="854"/>
      <c r="BW351" s="854"/>
      <c r="BX351" s="854"/>
      <c r="BY351" s="854"/>
      <c r="BZ351" s="854"/>
      <c r="CA351" s="571">
        <f>IF(OR(I351="",I351&lt;'Configs &amp; Procedures'!$L$29),0,IF(I351&gt;'Configs &amp; Procedures'!$L$30,1,IF(F351&gt;'Configs &amp; Procedures'!$L$31,0,1)))</f>
        <v>0</v>
      </c>
    </row>
    <row r="352" spans="2:79">
      <c r="B352" s="854"/>
      <c r="C352" s="854"/>
      <c r="D352" s="854"/>
      <c r="E352" s="854"/>
      <c r="F352" s="854"/>
      <c r="G352" s="854"/>
      <c r="H352" s="854"/>
      <c r="I352" s="854"/>
      <c r="J352" s="854"/>
      <c r="K352" s="854"/>
      <c r="L352" s="854"/>
      <c r="M352" s="854"/>
      <c r="N352" s="854"/>
      <c r="O352" s="854"/>
      <c r="P352" s="854"/>
      <c r="Q352" s="854"/>
      <c r="R352" s="854"/>
      <c r="S352" s="854"/>
      <c r="T352" s="854"/>
      <c r="U352" s="854"/>
      <c r="V352" s="854"/>
      <c r="W352" s="854"/>
      <c r="X352" s="854"/>
      <c r="Y352" s="854"/>
      <c r="Z352" s="854"/>
      <c r="AA352" s="854"/>
      <c r="AB352" s="854"/>
      <c r="AC352" s="854"/>
      <c r="AD352" s="854"/>
      <c r="AE352" s="854"/>
      <c r="AF352" s="854"/>
      <c r="AG352" s="854"/>
      <c r="AH352" s="854"/>
      <c r="AI352" s="854"/>
      <c r="AJ352" s="854"/>
      <c r="AK352" s="854"/>
      <c r="AL352" s="854"/>
      <c r="AM352" s="854"/>
      <c r="AN352" s="854"/>
      <c r="AO352" s="854"/>
      <c r="AP352" s="854"/>
      <c r="AQ352" s="854"/>
      <c r="AR352" s="854"/>
      <c r="AS352" s="854"/>
      <c r="AT352" s="854"/>
      <c r="AU352" s="854"/>
      <c r="AV352" s="854"/>
      <c r="AW352" s="854"/>
      <c r="AX352" s="854"/>
      <c r="AY352" s="854"/>
      <c r="AZ352" s="854"/>
      <c r="BA352" s="854"/>
      <c r="BB352" s="854"/>
      <c r="BC352" s="854"/>
      <c r="BD352" s="854"/>
      <c r="BE352" s="854"/>
      <c r="BF352" s="854"/>
      <c r="BG352" s="854"/>
      <c r="BH352" s="854"/>
      <c r="BI352" s="854"/>
      <c r="BJ352" s="854"/>
      <c r="BK352" s="854"/>
      <c r="BL352" s="854"/>
      <c r="BM352" s="854"/>
      <c r="BN352" s="854"/>
      <c r="BO352" s="854"/>
      <c r="BP352" s="854"/>
      <c r="BQ352" s="854"/>
      <c r="BR352" s="854"/>
      <c r="BS352" s="854"/>
      <c r="BT352" s="854"/>
      <c r="BU352" s="854"/>
      <c r="BV352" s="854"/>
      <c r="BW352" s="854"/>
      <c r="BX352" s="854"/>
      <c r="BY352" s="854"/>
      <c r="BZ352" s="854"/>
      <c r="CA352" s="571">
        <f>IF(OR(I352="",I352&lt;'Configs &amp; Procedures'!$L$29),0,IF(I352&gt;'Configs &amp; Procedures'!$L$30,1,IF(F352&gt;'Configs &amp; Procedures'!$L$31,0,1)))</f>
        <v>0</v>
      </c>
    </row>
    <row r="353" spans="2:79">
      <c r="B353" s="854"/>
      <c r="C353" s="854"/>
      <c r="D353" s="854"/>
      <c r="E353" s="854"/>
      <c r="F353" s="854"/>
      <c r="G353" s="854"/>
      <c r="H353" s="854"/>
      <c r="I353" s="854"/>
      <c r="J353" s="854"/>
      <c r="K353" s="854"/>
      <c r="L353" s="854"/>
      <c r="M353" s="854"/>
      <c r="N353" s="854"/>
      <c r="O353" s="854"/>
      <c r="P353" s="854"/>
      <c r="Q353" s="854"/>
      <c r="R353" s="854"/>
      <c r="S353" s="854"/>
      <c r="T353" s="854"/>
      <c r="U353" s="854"/>
      <c r="V353" s="854"/>
      <c r="W353" s="854"/>
      <c r="X353" s="854"/>
      <c r="Y353" s="854"/>
      <c r="Z353" s="854"/>
      <c r="AA353" s="854"/>
      <c r="AB353" s="854"/>
      <c r="AC353" s="854"/>
      <c r="AD353" s="854"/>
      <c r="AE353" s="854"/>
      <c r="AF353" s="854"/>
      <c r="AG353" s="854"/>
      <c r="AH353" s="854"/>
      <c r="AI353" s="854"/>
      <c r="AJ353" s="854"/>
      <c r="AK353" s="854"/>
      <c r="AL353" s="854"/>
      <c r="AM353" s="854"/>
      <c r="AN353" s="854"/>
      <c r="AO353" s="854"/>
      <c r="AP353" s="854"/>
      <c r="AQ353" s="854"/>
      <c r="AR353" s="854"/>
      <c r="AS353" s="854"/>
      <c r="AT353" s="854"/>
      <c r="AU353" s="854"/>
      <c r="AV353" s="854"/>
      <c r="AW353" s="854"/>
      <c r="AX353" s="854"/>
      <c r="AY353" s="854"/>
      <c r="AZ353" s="854"/>
      <c r="BA353" s="854"/>
      <c r="BB353" s="854"/>
      <c r="BC353" s="854"/>
      <c r="BD353" s="854"/>
      <c r="BE353" s="854"/>
      <c r="BF353" s="854"/>
      <c r="BG353" s="854"/>
      <c r="BH353" s="854"/>
      <c r="BI353" s="854"/>
      <c r="BJ353" s="854"/>
      <c r="BK353" s="854"/>
      <c r="BL353" s="854"/>
      <c r="BM353" s="854"/>
      <c r="BN353" s="854"/>
      <c r="BO353" s="854"/>
      <c r="BP353" s="854"/>
      <c r="BQ353" s="854"/>
      <c r="BR353" s="854"/>
      <c r="BS353" s="854"/>
      <c r="BT353" s="854"/>
      <c r="BU353" s="854"/>
      <c r="BV353" s="854"/>
      <c r="BW353" s="854"/>
      <c r="BX353" s="854"/>
      <c r="BY353" s="854"/>
      <c r="BZ353" s="854"/>
      <c r="CA353" s="571">
        <f>IF(OR(I353="",I353&lt;'Configs &amp; Procedures'!$L$29),0,IF(I353&gt;'Configs &amp; Procedures'!$L$30,1,IF(F353&gt;'Configs &amp; Procedures'!$L$31,0,1)))</f>
        <v>0</v>
      </c>
    </row>
    <row r="354" spans="2:79">
      <c r="B354" s="854"/>
      <c r="C354" s="854"/>
      <c r="D354" s="854"/>
      <c r="E354" s="854"/>
      <c r="F354" s="854"/>
      <c r="G354" s="854"/>
      <c r="H354" s="854"/>
      <c r="I354" s="854"/>
      <c r="J354" s="854"/>
      <c r="K354" s="854"/>
      <c r="L354" s="854"/>
      <c r="M354" s="854"/>
      <c r="N354" s="854"/>
      <c r="O354" s="854"/>
      <c r="P354" s="854"/>
      <c r="Q354" s="854"/>
      <c r="R354" s="854"/>
      <c r="S354" s="854"/>
      <c r="T354" s="854"/>
      <c r="U354" s="854"/>
      <c r="V354" s="854"/>
      <c r="W354" s="854"/>
      <c r="X354" s="854"/>
      <c r="Y354" s="854"/>
      <c r="Z354" s="854"/>
      <c r="AA354" s="854"/>
      <c r="AB354" s="854"/>
      <c r="AC354" s="854"/>
      <c r="AD354" s="854"/>
      <c r="AE354" s="854"/>
      <c r="AF354" s="854"/>
      <c r="AG354" s="854"/>
      <c r="AH354" s="854"/>
      <c r="AI354" s="854"/>
      <c r="AJ354" s="854"/>
      <c r="AK354" s="854"/>
      <c r="AL354" s="854"/>
      <c r="AM354" s="854"/>
      <c r="AN354" s="854"/>
      <c r="AO354" s="854"/>
      <c r="AP354" s="854"/>
      <c r="AQ354" s="854"/>
      <c r="AR354" s="854"/>
      <c r="AS354" s="854"/>
      <c r="AT354" s="854"/>
      <c r="AU354" s="854"/>
      <c r="AV354" s="854"/>
      <c r="AW354" s="854"/>
      <c r="AX354" s="854"/>
      <c r="AY354" s="854"/>
      <c r="AZ354" s="854"/>
      <c r="BA354" s="854"/>
      <c r="BB354" s="854"/>
      <c r="BC354" s="854"/>
      <c r="BD354" s="854"/>
      <c r="BE354" s="854"/>
      <c r="BF354" s="854"/>
      <c r="BG354" s="854"/>
      <c r="BH354" s="854"/>
      <c r="BI354" s="854"/>
      <c r="BJ354" s="854"/>
      <c r="BK354" s="854"/>
      <c r="BL354" s="854"/>
      <c r="BM354" s="854"/>
      <c r="BN354" s="854"/>
      <c r="BO354" s="854"/>
      <c r="BP354" s="854"/>
      <c r="BQ354" s="854"/>
      <c r="BR354" s="854"/>
      <c r="BS354" s="854"/>
      <c r="BT354" s="854"/>
      <c r="BU354" s="854"/>
      <c r="BV354" s="854"/>
      <c r="BW354" s="854"/>
      <c r="BX354" s="854"/>
      <c r="BY354" s="854"/>
      <c r="BZ354" s="854"/>
      <c r="CA354" s="804">
        <f>IF(OR(I354="",I354&lt;'Configs &amp; Procedures'!$L$29),0,IF(I354&gt;'Configs &amp; Procedures'!$L$30,1,IF(F354&gt;'Configs &amp; Procedures'!$L$31,0,1)))</f>
        <v>0</v>
      </c>
    </row>
    <row r="355" spans="2:79">
      <c r="B355" s="854"/>
      <c r="C355" s="854"/>
      <c r="D355" s="854"/>
      <c r="E355" s="854"/>
      <c r="F355" s="854"/>
      <c r="G355" s="854"/>
      <c r="H355" s="854"/>
      <c r="I355" s="854"/>
      <c r="J355" s="854"/>
      <c r="K355" s="854"/>
      <c r="L355" s="854"/>
      <c r="M355" s="854"/>
      <c r="N355" s="854"/>
      <c r="O355" s="854"/>
      <c r="P355" s="854"/>
      <c r="Q355" s="854"/>
      <c r="R355" s="854"/>
      <c r="S355" s="854"/>
      <c r="T355" s="854"/>
      <c r="U355" s="854"/>
      <c r="V355" s="854"/>
      <c r="W355" s="854"/>
      <c r="X355" s="854"/>
      <c r="Y355" s="854"/>
      <c r="Z355" s="854"/>
      <c r="AA355" s="854"/>
      <c r="AB355" s="854"/>
      <c r="AC355" s="854"/>
      <c r="AD355" s="854"/>
      <c r="AE355" s="854"/>
      <c r="AF355" s="854"/>
      <c r="AG355" s="854"/>
      <c r="AH355" s="854"/>
      <c r="AI355" s="854"/>
      <c r="AJ355" s="854"/>
      <c r="AK355" s="854"/>
      <c r="AL355" s="854"/>
      <c r="AM355" s="854"/>
      <c r="AN355" s="854"/>
      <c r="AO355" s="854"/>
      <c r="AP355" s="854"/>
      <c r="AQ355" s="854"/>
      <c r="AR355" s="854"/>
      <c r="AS355" s="854"/>
      <c r="AT355" s="854"/>
      <c r="AU355" s="854"/>
      <c r="AV355" s="854"/>
      <c r="AW355" s="854"/>
      <c r="AX355" s="854"/>
      <c r="AY355" s="854"/>
      <c r="AZ355" s="854"/>
      <c r="BA355" s="854"/>
      <c r="BB355" s="854"/>
      <c r="BC355" s="854"/>
      <c r="BD355" s="854"/>
      <c r="BE355" s="854"/>
      <c r="BF355" s="854"/>
      <c r="BG355" s="854"/>
      <c r="BH355" s="854"/>
      <c r="BI355" s="854"/>
      <c r="BJ355" s="854"/>
      <c r="BK355" s="854"/>
      <c r="BL355" s="854"/>
      <c r="BM355" s="854"/>
      <c r="BN355" s="854"/>
      <c r="BO355" s="854"/>
      <c r="BP355" s="854"/>
      <c r="BQ355" s="854"/>
      <c r="BR355" s="854"/>
      <c r="BS355" s="854"/>
      <c r="BT355" s="854"/>
      <c r="BU355" s="854"/>
      <c r="BV355" s="854"/>
      <c r="BW355" s="854"/>
      <c r="BX355" s="854"/>
      <c r="BY355" s="854"/>
      <c r="BZ355" s="854"/>
      <c r="CA355" s="571">
        <f>IF(OR(I355="",I355&lt;'Configs &amp; Procedures'!$L$29),0,IF(I355&gt;'Configs &amp; Procedures'!$L$30,1,IF(F355&gt;'Configs &amp; Procedures'!$L$31,0,1)))</f>
        <v>0</v>
      </c>
    </row>
    <row r="356" spans="2:79">
      <c r="B356" s="854"/>
      <c r="C356" s="854"/>
      <c r="D356" s="854"/>
      <c r="E356" s="854"/>
      <c r="F356" s="854"/>
      <c r="G356" s="854"/>
      <c r="H356" s="854"/>
      <c r="I356" s="854"/>
      <c r="J356" s="854"/>
      <c r="K356" s="854"/>
      <c r="L356" s="854"/>
      <c r="M356" s="854"/>
      <c r="N356" s="854"/>
      <c r="O356" s="854"/>
      <c r="P356" s="854"/>
      <c r="Q356" s="854"/>
      <c r="R356" s="854"/>
      <c r="S356" s="854"/>
      <c r="T356" s="854"/>
      <c r="U356" s="854"/>
      <c r="V356" s="854"/>
      <c r="W356" s="854"/>
      <c r="X356" s="854"/>
      <c r="Y356" s="854"/>
      <c r="Z356" s="854"/>
      <c r="AA356" s="854"/>
      <c r="AB356" s="854"/>
      <c r="AC356" s="854"/>
      <c r="AD356" s="854"/>
      <c r="AE356" s="854"/>
      <c r="AF356" s="854"/>
      <c r="AG356" s="854"/>
      <c r="AH356" s="854"/>
      <c r="AI356" s="854"/>
      <c r="AJ356" s="854"/>
      <c r="AK356" s="854"/>
      <c r="AL356" s="854"/>
      <c r="AM356" s="854"/>
      <c r="AN356" s="854"/>
      <c r="AO356" s="854"/>
      <c r="AP356" s="854"/>
      <c r="AQ356" s="854"/>
      <c r="AR356" s="854"/>
      <c r="AS356" s="854"/>
      <c r="AT356" s="854"/>
      <c r="AU356" s="854"/>
      <c r="AV356" s="854"/>
      <c r="AW356" s="854"/>
      <c r="AX356" s="854"/>
      <c r="AY356" s="854"/>
      <c r="AZ356" s="854"/>
      <c r="BA356" s="854"/>
      <c r="BB356" s="854"/>
      <c r="BC356" s="854"/>
      <c r="BD356" s="854"/>
      <c r="BE356" s="854"/>
      <c r="BF356" s="854"/>
      <c r="BG356" s="854"/>
      <c r="BH356" s="854"/>
      <c r="BI356" s="854"/>
      <c r="BJ356" s="854"/>
      <c r="BK356" s="854"/>
      <c r="BL356" s="854"/>
      <c r="BM356" s="854"/>
      <c r="BN356" s="854"/>
      <c r="BO356" s="854"/>
      <c r="BP356" s="854"/>
      <c r="BQ356" s="854"/>
      <c r="BR356" s="854"/>
      <c r="BS356" s="854"/>
      <c r="BT356" s="854"/>
      <c r="BU356" s="854"/>
      <c r="BV356" s="854"/>
      <c r="BW356" s="854"/>
      <c r="BX356" s="854"/>
      <c r="BY356" s="854"/>
      <c r="BZ356" s="854"/>
      <c r="CA356" s="571">
        <f>IF(OR(I356="",I356&lt;'Configs &amp; Procedures'!$L$29),0,IF(I356&gt;'Configs &amp; Procedures'!$L$30,1,IF(F356&gt;'Configs &amp; Procedures'!$L$31,0,1)))</f>
        <v>0</v>
      </c>
    </row>
    <row r="357" spans="2:79">
      <c r="B357" s="854"/>
      <c r="C357" s="854"/>
      <c r="D357" s="854"/>
      <c r="E357" s="854"/>
      <c r="F357" s="854"/>
      <c r="G357" s="854"/>
      <c r="H357" s="854"/>
      <c r="I357" s="854"/>
      <c r="J357" s="854"/>
      <c r="K357" s="854"/>
      <c r="L357" s="854"/>
      <c r="M357" s="854"/>
      <c r="N357" s="854"/>
      <c r="O357" s="854"/>
      <c r="P357" s="854"/>
      <c r="Q357" s="854"/>
      <c r="R357" s="854"/>
      <c r="S357" s="854"/>
      <c r="T357" s="854"/>
      <c r="U357" s="854"/>
      <c r="V357" s="854"/>
      <c r="W357" s="854"/>
      <c r="X357" s="854"/>
      <c r="Y357" s="854"/>
      <c r="Z357" s="854"/>
      <c r="AA357" s="854"/>
      <c r="AB357" s="854"/>
      <c r="AC357" s="854"/>
      <c r="AD357" s="854"/>
      <c r="AE357" s="854"/>
      <c r="AF357" s="854"/>
      <c r="AG357" s="854"/>
      <c r="AH357" s="854"/>
      <c r="AI357" s="854"/>
      <c r="AJ357" s="854"/>
      <c r="AK357" s="854"/>
      <c r="AL357" s="854"/>
      <c r="AM357" s="854"/>
      <c r="AN357" s="854"/>
      <c r="AO357" s="854"/>
      <c r="AP357" s="854"/>
      <c r="AQ357" s="854"/>
      <c r="AR357" s="854"/>
      <c r="AS357" s="854"/>
      <c r="AT357" s="854"/>
      <c r="AU357" s="854"/>
      <c r="AV357" s="854"/>
      <c r="AW357" s="854"/>
      <c r="AX357" s="854"/>
      <c r="AY357" s="854"/>
      <c r="AZ357" s="854"/>
      <c r="BA357" s="854"/>
      <c r="BB357" s="854"/>
      <c r="BC357" s="854"/>
      <c r="BD357" s="854"/>
      <c r="BE357" s="854"/>
      <c r="BF357" s="854"/>
      <c r="BG357" s="854"/>
      <c r="BH357" s="854"/>
      <c r="BI357" s="854"/>
      <c r="BJ357" s="854"/>
      <c r="BK357" s="854"/>
      <c r="BL357" s="854"/>
      <c r="BM357" s="854"/>
      <c r="BN357" s="854"/>
      <c r="BO357" s="854"/>
      <c r="BP357" s="854"/>
      <c r="BQ357" s="854"/>
      <c r="BR357" s="854"/>
      <c r="BS357" s="854"/>
      <c r="BT357" s="854"/>
      <c r="BU357" s="854"/>
      <c r="BV357" s="854"/>
      <c r="BW357" s="854"/>
      <c r="BX357" s="854"/>
      <c r="BY357" s="854"/>
      <c r="BZ357" s="854"/>
      <c r="CA357" s="571">
        <f>IF(OR(I357="",I357&lt;'Configs &amp; Procedures'!$L$29),0,IF(I357&gt;'Configs &amp; Procedures'!$L$30,1,IF(F357&gt;'Configs &amp; Procedures'!$L$31,0,1)))</f>
        <v>0</v>
      </c>
    </row>
    <row r="358" spans="2:79">
      <c r="B358" s="854"/>
      <c r="C358" s="854"/>
      <c r="D358" s="854"/>
      <c r="E358" s="854"/>
      <c r="F358" s="854"/>
      <c r="G358" s="854"/>
      <c r="H358" s="854"/>
      <c r="I358" s="854"/>
      <c r="J358" s="854"/>
      <c r="K358" s="854"/>
      <c r="L358" s="854"/>
      <c r="M358" s="854"/>
      <c r="N358" s="854"/>
      <c r="O358" s="854"/>
      <c r="P358" s="854"/>
      <c r="Q358" s="854"/>
      <c r="R358" s="854"/>
      <c r="S358" s="854"/>
      <c r="T358" s="854"/>
      <c r="U358" s="854"/>
      <c r="V358" s="854"/>
      <c r="W358" s="854"/>
      <c r="X358" s="854"/>
      <c r="Y358" s="854"/>
      <c r="Z358" s="854"/>
      <c r="AA358" s="854"/>
      <c r="AB358" s="854"/>
      <c r="AC358" s="854"/>
      <c r="AD358" s="854"/>
      <c r="AE358" s="854"/>
      <c r="AF358" s="854"/>
      <c r="AG358" s="854"/>
      <c r="AH358" s="854"/>
      <c r="AI358" s="854"/>
      <c r="AJ358" s="854"/>
      <c r="AK358" s="854"/>
      <c r="AL358" s="854"/>
      <c r="AM358" s="854"/>
      <c r="AN358" s="854"/>
      <c r="AO358" s="854"/>
      <c r="AP358" s="854"/>
      <c r="AQ358" s="854"/>
      <c r="AR358" s="854"/>
      <c r="AS358" s="854"/>
      <c r="AT358" s="854"/>
      <c r="AU358" s="854"/>
      <c r="AV358" s="854"/>
      <c r="AW358" s="854"/>
      <c r="AX358" s="854"/>
      <c r="AY358" s="854"/>
      <c r="AZ358" s="854"/>
      <c r="BA358" s="854"/>
      <c r="BB358" s="854"/>
      <c r="BC358" s="854"/>
      <c r="BD358" s="854"/>
      <c r="BE358" s="854"/>
      <c r="BF358" s="854"/>
      <c r="BG358" s="854"/>
      <c r="BH358" s="854"/>
      <c r="BI358" s="854"/>
      <c r="BJ358" s="854"/>
      <c r="BK358" s="854"/>
      <c r="BL358" s="854"/>
      <c r="BM358" s="854"/>
      <c r="BN358" s="854"/>
      <c r="BO358" s="854"/>
      <c r="BP358" s="854"/>
      <c r="BQ358" s="854"/>
      <c r="BR358" s="854"/>
      <c r="BS358" s="854"/>
      <c r="BT358" s="854"/>
      <c r="BU358" s="854"/>
      <c r="BV358" s="854"/>
      <c r="BW358" s="854"/>
      <c r="BX358" s="854"/>
      <c r="BY358" s="854"/>
      <c r="BZ358" s="854"/>
      <c r="CA358" s="571">
        <f>IF(OR(I358="",I358&lt;'Configs &amp; Procedures'!$L$29),0,IF(I358&gt;'Configs &amp; Procedures'!$L$30,1,IF(F358&gt;'Configs &amp; Procedures'!$L$31,0,1)))</f>
        <v>0</v>
      </c>
    </row>
    <row r="359" spans="2:79">
      <c r="B359" s="854"/>
      <c r="C359" s="854"/>
      <c r="D359" s="854"/>
      <c r="E359" s="854"/>
      <c r="F359" s="854"/>
      <c r="G359" s="854"/>
      <c r="H359" s="854"/>
      <c r="I359" s="854"/>
      <c r="J359" s="854"/>
      <c r="K359" s="854"/>
      <c r="L359" s="854"/>
      <c r="M359" s="854"/>
      <c r="N359" s="854"/>
      <c r="O359" s="854"/>
      <c r="P359" s="854"/>
      <c r="Q359" s="854"/>
      <c r="R359" s="854"/>
      <c r="S359" s="854"/>
      <c r="T359" s="854"/>
      <c r="U359" s="854"/>
      <c r="V359" s="854"/>
      <c r="W359" s="854"/>
      <c r="X359" s="854"/>
      <c r="Y359" s="854"/>
      <c r="Z359" s="854"/>
      <c r="AA359" s="854"/>
      <c r="AB359" s="854"/>
      <c r="AC359" s="854"/>
      <c r="AD359" s="854"/>
      <c r="AE359" s="854"/>
      <c r="AF359" s="854"/>
      <c r="AG359" s="854"/>
      <c r="AH359" s="854"/>
      <c r="AI359" s="854"/>
      <c r="AJ359" s="854"/>
      <c r="AK359" s="854"/>
      <c r="AL359" s="854"/>
      <c r="AM359" s="854"/>
      <c r="AN359" s="854"/>
      <c r="AO359" s="854"/>
      <c r="AP359" s="854"/>
      <c r="AQ359" s="854"/>
      <c r="AR359" s="854"/>
      <c r="AS359" s="854"/>
      <c r="AT359" s="854"/>
      <c r="AU359" s="854"/>
      <c r="AV359" s="854"/>
      <c r="AW359" s="854"/>
      <c r="AX359" s="854"/>
      <c r="AY359" s="854"/>
      <c r="AZ359" s="854"/>
      <c r="BA359" s="854"/>
      <c r="BB359" s="854"/>
      <c r="BC359" s="854"/>
      <c r="BD359" s="854"/>
      <c r="BE359" s="854"/>
      <c r="BF359" s="854"/>
      <c r="BG359" s="854"/>
      <c r="BH359" s="854"/>
      <c r="BI359" s="854"/>
      <c r="BJ359" s="854"/>
      <c r="BK359" s="854"/>
      <c r="BL359" s="854"/>
      <c r="BM359" s="854"/>
      <c r="BN359" s="854"/>
      <c r="BO359" s="854"/>
      <c r="BP359" s="854"/>
      <c r="BQ359" s="854"/>
      <c r="BR359" s="854"/>
      <c r="BS359" s="854"/>
      <c r="BT359" s="854"/>
      <c r="BU359" s="854"/>
      <c r="BV359" s="854"/>
      <c r="BW359" s="854"/>
      <c r="BX359" s="854"/>
      <c r="BY359" s="854"/>
      <c r="BZ359" s="854"/>
      <c r="CA359" s="571">
        <f>IF(OR(I359="",I359&lt;'Configs &amp; Procedures'!$L$29),0,IF(I359&gt;'Configs &amp; Procedures'!$L$30,1,IF(F359&gt;'Configs &amp; Procedures'!$L$31,0,1)))</f>
        <v>0</v>
      </c>
    </row>
    <row r="360" spans="2:79">
      <c r="B360" s="854"/>
      <c r="C360" s="854"/>
      <c r="D360" s="854"/>
      <c r="E360" s="854"/>
      <c r="F360" s="854"/>
      <c r="G360" s="854"/>
      <c r="H360" s="854"/>
      <c r="I360" s="854"/>
      <c r="J360" s="854"/>
      <c r="K360" s="854"/>
      <c r="L360" s="854"/>
      <c r="M360" s="854"/>
      <c r="N360" s="854"/>
      <c r="O360" s="854"/>
      <c r="P360" s="854"/>
      <c r="Q360" s="854"/>
      <c r="R360" s="854"/>
      <c r="S360" s="854"/>
      <c r="T360" s="854"/>
      <c r="U360" s="854"/>
      <c r="V360" s="854"/>
      <c r="W360" s="854"/>
      <c r="X360" s="854"/>
      <c r="Y360" s="854"/>
      <c r="Z360" s="854"/>
      <c r="AA360" s="854"/>
      <c r="AB360" s="854"/>
      <c r="AC360" s="854"/>
      <c r="AD360" s="854"/>
      <c r="AE360" s="854"/>
      <c r="AF360" s="854"/>
      <c r="AG360" s="854"/>
      <c r="AH360" s="854"/>
      <c r="AI360" s="854"/>
      <c r="AJ360" s="854"/>
      <c r="AK360" s="854"/>
      <c r="AL360" s="854"/>
      <c r="AM360" s="854"/>
      <c r="AN360" s="854"/>
      <c r="AO360" s="854"/>
      <c r="AP360" s="854"/>
      <c r="AQ360" s="854"/>
      <c r="AR360" s="854"/>
      <c r="AS360" s="854"/>
      <c r="AT360" s="854"/>
      <c r="AU360" s="854"/>
      <c r="AV360" s="854"/>
      <c r="AW360" s="854"/>
      <c r="AX360" s="854"/>
      <c r="AY360" s="854"/>
      <c r="AZ360" s="854"/>
      <c r="BA360" s="854"/>
      <c r="BB360" s="854"/>
      <c r="BC360" s="854"/>
      <c r="BD360" s="854"/>
      <c r="BE360" s="854"/>
      <c r="BF360" s="854"/>
      <c r="BG360" s="854"/>
      <c r="BH360" s="854"/>
      <c r="BI360" s="854"/>
      <c r="BJ360" s="854"/>
      <c r="BK360" s="854"/>
      <c r="BL360" s="854"/>
      <c r="BM360" s="854"/>
      <c r="BN360" s="854"/>
      <c r="BO360" s="854"/>
      <c r="BP360" s="854"/>
      <c r="BQ360" s="854"/>
      <c r="BR360" s="854"/>
      <c r="BS360" s="854"/>
      <c r="BT360" s="854"/>
      <c r="BU360" s="854"/>
      <c r="BV360" s="854"/>
      <c r="BW360" s="854"/>
      <c r="BX360" s="854"/>
      <c r="BY360" s="854"/>
      <c r="BZ360" s="854"/>
      <c r="CA360" s="571">
        <f>IF(OR(I360="",I360&lt;'Configs &amp; Procedures'!$L$29),0,IF(I360&gt;'Configs &amp; Procedures'!$L$30,1,IF(F360&gt;'Configs &amp; Procedures'!$L$31,0,1)))</f>
        <v>0</v>
      </c>
    </row>
    <row r="361" spans="2:79">
      <c r="B361" s="854"/>
      <c r="C361" s="854"/>
      <c r="D361" s="854"/>
      <c r="E361" s="854"/>
      <c r="F361" s="854"/>
      <c r="G361" s="854"/>
      <c r="H361" s="854"/>
      <c r="I361" s="854"/>
      <c r="J361" s="854"/>
      <c r="K361" s="854"/>
      <c r="L361" s="854"/>
      <c r="M361" s="854"/>
      <c r="N361" s="854"/>
      <c r="O361" s="854"/>
      <c r="P361" s="854"/>
      <c r="Q361" s="854"/>
      <c r="R361" s="854"/>
      <c r="S361" s="854"/>
      <c r="T361" s="854"/>
      <c r="U361" s="854"/>
      <c r="V361" s="854"/>
      <c r="W361" s="854"/>
      <c r="X361" s="854"/>
      <c r="Y361" s="854"/>
      <c r="Z361" s="854"/>
      <c r="AA361" s="854"/>
      <c r="AB361" s="854"/>
      <c r="AC361" s="854"/>
      <c r="AD361" s="854"/>
      <c r="AE361" s="854"/>
      <c r="AF361" s="854"/>
      <c r="AG361" s="854"/>
      <c r="AH361" s="854"/>
      <c r="AI361" s="854"/>
      <c r="AJ361" s="854"/>
      <c r="AK361" s="854"/>
      <c r="AL361" s="854"/>
      <c r="AM361" s="854"/>
      <c r="AN361" s="854"/>
      <c r="AO361" s="854"/>
      <c r="AP361" s="854"/>
      <c r="AQ361" s="854"/>
      <c r="AR361" s="854"/>
      <c r="AS361" s="854"/>
      <c r="AT361" s="854"/>
      <c r="AU361" s="854"/>
      <c r="AV361" s="854"/>
      <c r="AW361" s="854"/>
      <c r="AX361" s="854"/>
      <c r="AY361" s="854"/>
      <c r="AZ361" s="854"/>
      <c r="BA361" s="854"/>
      <c r="BB361" s="854"/>
      <c r="BC361" s="854"/>
      <c r="BD361" s="854"/>
      <c r="BE361" s="854"/>
      <c r="BF361" s="854"/>
      <c r="BG361" s="854"/>
      <c r="BH361" s="854"/>
      <c r="BI361" s="854"/>
      <c r="BJ361" s="854"/>
      <c r="BK361" s="854"/>
      <c r="BL361" s="854"/>
      <c r="BM361" s="854"/>
      <c r="BN361" s="854"/>
      <c r="BO361" s="854"/>
      <c r="BP361" s="854"/>
      <c r="BQ361" s="854"/>
      <c r="BR361" s="854"/>
      <c r="BS361" s="854"/>
      <c r="BT361" s="854"/>
      <c r="BU361" s="854"/>
      <c r="BV361" s="854"/>
      <c r="BW361" s="854"/>
      <c r="BX361" s="854"/>
      <c r="BY361" s="854"/>
      <c r="BZ361" s="854"/>
      <c r="CA361" s="571">
        <f>IF(OR(I361="",I361&lt;'Configs &amp; Procedures'!$L$29),0,IF(I361&gt;'Configs &amp; Procedures'!$L$30,1,IF(F361&gt;'Configs &amp; Procedures'!$L$31,0,1)))</f>
        <v>0</v>
      </c>
    </row>
    <row r="362" spans="2:79">
      <c r="B362" s="854"/>
      <c r="C362" s="854"/>
      <c r="D362" s="854"/>
      <c r="E362" s="854"/>
      <c r="F362" s="854"/>
      <c r="G362" s="854"/>
      <c r="H362" s="854"/>
      <c r="I362" s="854"/>
      <c r="J362" s="854"/>
      <c r="K362" s="854"/>
      <c r="L362" s="854"/>
      <c r="M362" s="854"/>
      <c r="N362" s="854"/>
      <c r="O362" s="854"/>
      <c r="P362" s="854"/>
      <c r="Q362" s="854"/>
      <c r="R362" s="854"/>
      <c r="S362" s="854"/>
      <c r="T362" s="854"/>
      <c r="U362" s="854"/>
      <c r="V362" s="854"/>
      <c r="W362" s="854"/>
      <c r="X362" s="854"/>
      <c r="Y362" s="854"/>
      <c r="Z362" s="854"/>
      <c r="AA362" s="854"/>
      <c r="AB362" s="854"/>
      <c r="AC362" s="854"/>
      <c r="AD362" s="854"/>
      <c r="AE362" s="854"/>
      <c r="AF362" s="854"/>
      <c r="AG362" s="854"/>
      <c r="AH362" s="854"/>
      <c r="AI362" s="854"/>
      <c r="AJ362" s="854"/>
      <c r="AK362" s="854"/>
      <c r="AL362" s="854"/>
      <c r="AM362" s="854"/>
      <c r="AN362" s="854"/>
      <c r="AO362" s="854"/>
      <c r="AP362" s="854"/>
      <c r="AQ362" s="854"/>
      <c r="AR362" s="854"/>
      <c r="AS362" s="854"/>
      <c r="AT362" s="854"/>
      <c r="AU362" s="854"/>
      <c r="AV362" s="854"/>
      <c r="AW362" s="854"/>
      <c r="AX362" s="854"/>
      <c r="AY362" s="854"/>
      <c r="AZ362" s="854"/>
      <c r="BA362" s="854"/>
      <c r="BB362" s="854"/>
      <c r="BC362" s="854"/>
      <c r="BD362" s="854"/>
      <c r="BE362" s="854"/>
      <c r="BF362" s="854"/>
      <c r="BG362" s="854"/>
      <c r="BH362" s="854"/>
      <c r="BI362" s="854"/>
      <c r="BJ362" s="854"/>
      <c r="BK362" s="854"/>
      <c r="BL362" s="854"/>
      <c r="BM362" s="854"/>
      <c r="BN362" s="854"/>
      <c r="BO362" s="854"/>
      <c r="BP362" s="854"/>
      <c r="BQ362" s="854"/>
      <c r="BR362" s="854"/>
      <c r="BS362" s="854"/>
      <c r="BT362" s="854"/>
      <c r="BU362" s="854"/>
      <c r="BV362" s="854"/>
      <c r="BW362" s="854"/>
      <c r="BX362" s="854"/>
      <c r="BY362" s="854"/>
      <c r="BZ362" s="854"/>
      <c r="CA362" s="571">
        <f>IF(OR(I362="",I362&lt;'Configs &amp; Procedures'!$L$29),0,IF(I362&gt;'Configs &amp; Procedures'!$L$30,1,IF(F362&gt;'Configs &amp; Procedures'!$L$31,0,1)))</f>
        <v>0</v>
      </c>
    </row>
    <row r="363" spans="2:79">
      <c r="B363" s="854"/>
      <c r="C363" s="854"/>
      <c r="D363" s="854"/>
      <c r="E363" s="854"/>
      <c r="F363" s="854"/>
      <c r="G363" s="854"/>
      <c r="H363" s="854"/>
      <c r="I363" s="854"/>
      <c r="J363" s="854"/>
      <c r="K363" s="854"/>
      <c r="L363" s="854"/>
      <c r="M363" s="854"/>
      <c r="N363" s="854"/>
      <c r="O363" s="854"/>
      <c r="P363" s="854"/>
      <c r="Q363" s="854"/>
      <c r="R363" s="854"/>
      <c r="S363" s="854"/>
      <c r="T363" s="854"/>
      <c r="U363" s="854"/>
      <c r="V363" s="854"/>
      <c r="W363" s="854"/>
      <c r="X363" s="854"/>
      <c r="Y363" s="854"/>
      <c r="Z363" s="854"/>
      <c r="AA363" s="854"/>
      <c r="AB363" s="854"/>
      <c r="AC363" s="854"/>
      <c r="AD363" s="854"/>
      <c r="AE363" s="854"/>
      <c r="AF363" s="854"/>
      <c r="AG363" s="854"/>
      <c r="AH363" s="854"/>
      <c r="AI363" s="854"/>
      <c r="AJ363" s="854"/>
      <c r="AK363" s="854"/>
      <c r="AL363" s="854"/>
      <c r="AM363" s="854"/>
      <c r="AN363" s="854"/>
      <c r="AO363" s="854"/>
      <c r="AP363" s="854"/>
      <c r="AQ363" s="854"/>
      <c r="AR363" s="854"/>
      <c r="AS363" s="854"/>
      <c r="AT363" s="854"/>
      <c r="AU363" s="854"/>
      <c r="AV363" s="854"/>
      <c r="AW363" s="854"/>
      <c r="AX363" s="854"/>
      <c r="AY363" s="854"/>
      <c r="AZ363" s="854"/>
      <c r="BA363" s="854"/>
      <c r="BB363" s="854"/>
      <c r="BC363" s="854"/>
      <c r="BD363" s="854"/>
      <c r="BE363" s="854"/>
      <c r="BF363" s="854"/>
      <c r="BG363" s="854"/>
      <c r="BH363" s="854"/>
      <c r="BI363" s="854"/>
      <c r="BJ363" s="854"/>
      <c r="BK363" s="854"/>
      <c r="BL363" s="854"/>
      <c r="BM363" s="854"/>
      <c r="BN363" s="854"/>
      <c r="BO363" s="854"/>
      <c r="BP363" s="854"/>
      <c r="BQ363" s="854"/>
      <c r="BR363" s="854"/>
      <c r="BS363" s="854"/>
      <c r="BT363" s="854"/>
      <c r="BU363" s="854"/>
      <c r="BV363" s="854"/>
      <c r="BW363" s="854"/>
      <c r="BX363" s="854"/>
      <c r="BY363" s="854"/>
      <c r="BZ363" s="854"/>
      <c r="CA363" s="571">
        <f>IF(OR(I363="",I363&lt;'Configs &amp; Procedures'!$L$29),0,IF(I363&gt;'Configs &amp; Procedures'!$L$30,1,IF(F363&gt;'Configs &amp; Procedures'!$L$31,0,1)))</f>
        <v>0</v>
      </c>
    </row>
    <row r="364" spans="2:79">
      <c r="B364" s="854"/>
      <c r="C364" s="854"/>
      <c r="D364" s="854"/>
      <c r="E364" s="854"/>
      <c r="F364" s="854"/>
      <c r="G364" s="854"/>
      <c r="H364" s="854"/>
      <c r="I364" s="854"/>
      <c r="J364" s="854"/>
      <c r="K364" s="854"/>
      <c r="L364" s="854"/>
      <c r="M364" s="854"/>
      <c r="N364" s="854"/>
      <c r="O364" s="854"/>
      <c r="P364" s="854"/>
      <c r="Q364" s="854"/>
      <c r="R364" s="854"/>
      <c r="S364" s="854"/>
      <c r="T364" s="854"/>
      <c r="U364" s="854"/>
      <c r="V364" s="854"/>
      <c r="W364" s="854"/>
      <c r="X364" s="854"/>
      <c r="Y364" s="854"/>
      <c r="Z364" s="854"/>
      <c r="AA364" s="854"/>
      <c r="AB364" s="854"/>
      <c r="AC364" s="854"/>
      <c r="AD364" s="854"/>
      <c r="AE364" s="854"/>
      <c r="AF364" s="854"/>
      <c r="AG364" s="854"/>
      <c r="AH364" s="854"/>
      <c r="AI364" s="854"/>
      <c r="AJ364" s="854"/>
      <c r="AK364" s="854"/>
      <c r="AL364" s="854"/>
      <c r="AM364" s="854"/>
      <c r="AN364" s="854"/>
      <c r="AO364" s="854"/>
      <c r="AP364" s="854"/>
      <c r="AQ364" s="854"/>
      <c r="AR364" s="854"/>
      <c r="AS364" s="854"/>
      <c r="AT364" s="854"/>
      <c r="AU364" s="854"/>
      <c r="AV364" s="854"/>
      <c r="AW364" s="854"/>
      <c r="AX364" s="854"/>
      <c r="AY364" s="854"/>
      <c r="AZ364" s="854"/>
      <c r="BA364" s="854"/>
      <c r="BB364" s="854"/>
      <c r="BC364" s="854"/>
      <c r="BD364" s="854"/>
      <c r="BE364" s="854"/>
      <c r="BF364" s="854"/>
      <c r="BG364" s="854"/>
      <c r="BH364" s="854"/>
      <c r="BI364" s="854"/>
      <c r="BJ364" s="854"/>
      <c r="BK364" s="854"/>
      <c r="BL364" s="854"/>
      <c r="BM364" s="854"/>
      <c r="BN364" s="854"/>
      <c r="BO364" s="854"/>
      <c r="BP364" s="854"/>
      <c r="BQ364" s="854"/>
      <c r="BR364" s="854"/>
      <c r="BS364" s="854"/>
      <c r="BT364" s="854"/>
      <c r="BU364" s="854"/>
      <c r="BV364" s="854"/>
      <c r="BW364" s="854"/>
      <c r="BX364" s="854"/>
      <c r="BY364" s="854"/>
      <c r="BZ364" s="854"/>
      <c r="CA364" s="571">
        <f>IF(OR(I364="",I364&lt;'Configs &amp; Procedures'!$L$29),0,IF(I364&gt;'Configs &amp; Procedures'!$L$30,1,IF(F364&gt;'Configs &amp; Procedures'!$L$31,0,1)))</f>
        <v>0</v>
      </c>
    </row>
    <row r="365" spans="2:79">
      <c r="B365" s="854"/>
      <c r="C365" s="854"/>
      <c r="D365" s="854"/>
      <c r="E365" s="854"/>
      <c r="F365" s="854"/>
      <c r="G365" s="854"/>
      <c r="H365" s="854"/>
      <c r="I365" s="854"/>
      <c r="J365" s="854"/>
      <c r="K365" s="854"/>
      <c r="L365" s="854"/>
      <c r="M365" s="854"/>
      <c r="N365" s="854"/>
      <c r="O365" s="854"/>
      <c r="P365" s="854"/>
      <c r="Q365" s="854"/>
      <c r="R365" s="854"/>
      <c r="S365" s="854"/>
      <c r="T365" s="854"/>
      <c r="U365" s="854"/>
      <c r="V365" s="854"/>
      <c r="W365" s="854"/>
      <c r="X365" s="854"/>
      <c r="Y365" s="854"/>
      <c r="Z365" s="854"/>
      <c r="AA365" s="854"/>
      <c r="AB365" s="854"/>
      <c r="AC365" s="854"/>
      <c r="AD365" s="854"/>
      <c r="AE365" s="854"/>
      <c r="AF365" s="854"/>
      <c r="AG365" s="854"/>
      <c r="AH365" s="854"/>
      <c r="AI365" s="854"/>
      <c r="AJ365" s="854"/>
      <c r="AK365" s="854"/>
      <c r="AL365" s="854"/>
      <c r="AM365" s="854"/>
      <c r="AN365" s="854"/>
      <c r="AO365" s="854"/>
      <c r="AP365" s="854"/>
      <c r="AQ365" s="854"/>
      <c r="AR365" s="854"/>
      <c r="AS365" s="854"/>
      <c r="AT365" s="854"/>
      <c r="AU365" s="854"/>
      <c r="AV365" s="854"/>
      <c r="AW365" s="854"/>
      <c r="AX365" s="854"/>
      <c r="AY365" s="854"/>
      <c r="AZ365" s="854"/>
      <c r="BA365" s="854"/>
      <c r="BB365" s="854"/>
      <c r="BC365" s="854"/>
      <c r="BD365" s="854"/>
      <c r="BE365" s="854"/>
      <c r="BF365" s="854"/>
      <c r="BG365" s="854"/>
      <c r="BH365" s="854"/>
      <c r="BI365" s="854"/>
      <c r="BJ365" s="854"/>
      <c r="BK365" s="854"/>
      <c r="BL365" s="854"/>
      <c r="BM365" s="854"/>
      <c r="BN365" s="854"/>
      <c r="BO365" s="854"/>
      <c r="BP365" s="854"/>
      <c r="BQ365" s="854"/>
      <c r="BR365" s="854"/>
      <c r="BS365" s="854"/>
      <c r="BT365" s="854"/>
      <c r="BU365" s="854"/>
      <c r="BV365" s="854"/>
      <c r="BW365" s="854"/>
      <c r="BX365" s="854"/>
      <c r="BY365" s="854"/>
      <c r="BZ365" s="854"/>
      <c r="CA365" s="571">
        <f>IF(OR(I365="",I365&lt;'Configs &amp; Procedures'!$L$29),0,IF(I365&gt;'Configs &amp; Procedures'!$L$30,1,IF(F365&gt;'Configs &amp; Procedures'!$L$31,0,1)))</f>
        <v>0</v>
      </c>
    </row>
    <row r="366" spans="2:79">
      <c r="B366" s="854"/>
      <c r="C366" s="854"/>
      <c r="D366" s="854"/>
      <c r="E366" s="854"/>
      <c r="F366" s="854"/>
      <c r="G366" s="854"/>
      <c r="H366" s="854"/>
      <c r="I366" s="854"/>
      <c r="J366" s="854"/>
      <c r="K366" s="854"/>
      <c r="L366" s="854"/>
      <c r="M366" s="854"/>
      <c r="N366" s="854"/>
      <c r="O366" s="854"/>
      <c r="P366" s="854"/>
      <c r="Q366" s="854"/>
      <c r="R366" s="854"/>
      <c r="S366" s="854"/>
      <c r="T366" s="854"/>
      <c r="U366" s="854"/>
      <c r="V366" s="854"/>
      <c r="W366" s="854"/>
      <c r="X366" s="854"/>
      <c r="Y366" s="854"/>
      <c r="Z366" s="854"/>
      <c r="AA366" s="854"/>
      <c r="AB366" s="854"/>
      <c r="AC366" s="854"/>
      <c r="AD366" s="854"/>
      <c r="AE366" s="854"/>
      <c r="AF366" s="854"/>
      <c r="AG366" s="854"/>
      <c r="AH366" s="854"/>
      <c r="AI366" s="854"/>
      <c r="AJ366" s="854"/>
      <c r="AK366" s="854"/>
      <c r="AL366" s="854"/>
      <c r="AM366" s="854"/>
      <c r="AN366" s="854"/>
      <c r="AO366" s="854"/>
      <c r="AP366" s="854"/>
      <c r="AQ366" s="854"/>
      <c r="AR366" s="854"/>
      <c r="AS366" s="854"/>
      <c r="AT366" s="854"/>
      <c r="AU366" s="854"/>
      <c r="AV366" s="854"/>
      <c r="AW366" s="854"/>
      <c r="AX366" s="854"/>
      <c r="AY366" s="854"/>
      <c r="AZ366" s="854"/>
      <c r="BA366" s="854"/>
      <c r="BB366" s="854"/>
      <c r="BC366" s="854"/>
      <c r="BD366" s="854"/>
      <c r="BE366" s="854"/>
      <c r="BF366" s="854"/>
      <c r="BG366" s="854"/>
      <c r="BH366" s="854"/>
      <c r="BI366" s="854"/>
      <c r="BJ366" s="854"/>
      <c r="BK366" s="854"/>
      <c r="BL366" s="854"/>
      <c r="BM366" s="854"/>
      <c r="BN366" s="854"/>
      <c r="BO366" s="854"/>
      <c r="BP366" s="854"/>
      <c r="BQ366" s="854"/>
      <c r="BR366" s="854"/>
      <c r="BS366" s="854"/>
      <c r="BT366" s="854"/>
      <c r="BU366" s="854"/>
      <c r="BV366" s="854"/>
      <c r="BW366" s="854"/>
      <c r="BX366" s="854"/>
      <c r="BY366" s="854"/>
      <c r="BZ366" s="854"/>
      <c r="CA366" s="571">
        <f>IF(OR(I366="",I366&lt;'Configs &amp; Procedures'!$L$29),0,IF(I366&gt;'Configs &amp; Procedures'!$L$30,1,IF(F366&gt;'Configs &amp; Procedures'!$L$31,0,1)))</f>
        <v>0</v>
      </c>
    </row>
    <row r="367" spans="2:79">
      <c r="B367" s="854"/>
      <c r="C367" s="854"/>
      <c r="D367" s="854"/>
      <c r="E367" s="854"/>
      <c r="F367" s="854"/>
      <c r="G367" s="854"/>
      <c r="H367" s="854"/>
      <c r="I367" s="854"/>
      <c r="J367" s="854"/>
      <c r="K367" s="854"/>
      <c r="L367" s="854"/>
      <c r="M367" s="854"/>
      <c r="N367" s="854"/>
      <c r="O367" s="854"/>
      <c r="P367" s="854"/>
      <c r="Q367" s="854"/>
      <c r="R367" s="854"/>
      <c r="S367" s="854"/>
      <c r="T367" s="854"/>
      <c r="U367" s="854"/>
      <c r="V367" s="854"/>
      <c r="W367" s="854"/>
      <c r="X367" s="854"/>
      <c r="Y367" s="854"/>
      <c r="Z367" s="854"/>
      <c r="AA367" s="854"/>
      <c r="AB367" s="854"/>
      <c r="AC367" s="854"/>
      <c r="AD367" s="854"/>
      <c r="AE367" s="854"/>
      <c r="AF367" s="854"/>
      <c r="AG367" s="854"/>
      <c r="AH367" s="854"/>
      <c r="AI367" s="854"/>
      <c r="AJ367" s="854"/>
      <c r="AK367" s="854"/>
      <c r="AL367" s="854"/>
      <c r="AM367" s="854"/>
      <c r="AN367" s="854"/>
      <c r="AO367" s="854"/>
      <c r="AP367" s="854"/>
      <c r="AQ367" s="854"/>
      <c r="AR367" s="854"/>
      <c r="AS367" s="854"/>
      <c r="AT367" s="854"/>
      <c r="AU367" s="854"/>
      <c r="AV367" s="854"/>
      <c r="AW367" s="854"/>
      <c r="AX367" s="854"/>
      <c r="AY367" s="854"/>
      <c r="AZ367" s="854"/>
      <c r="BA367" s="854"/>
      <c r="BB367" s="854"/>
      <c r="BC367" s="854"/>
      <c r="BD367" s="854"/>
      <c r="BE367" s="854"/>
      <c r="BF367" s="854"/>
      <c r="BG367" s="854"/>
      <c r="BH367" s="854"/>
      <c r="BI367" s="854"/>
      <c r="BJ367" s="854"/>
      <c r="BK367" s="854"/>
      <c r="BL367" s="854"/>
      <c r="BM367" s="854"/>
      <c r="BN367" s="854"/>
      <c r="BO367" s="854"/>
      <c r="BP367" s="854"/>
      <c r="BQ367" s="854"/>
      <c r="BR367" s="854"/>
      <c r="BS367" s="854"/>
      <c r="BT367" s="854"/>
      <c r="BU367" s="854"/>
      <c r="BV367" s="854"/>
      <c r="BW367" s="854"/>
      <c r="BX367" s="854"/>
      <c r="BY367" s="854"/>
      <c r="BZ367" s="854"/>
      <c r="CA367" s="571">
        <f>IF(OR(I367="",I367&lt;'Configs &amp; Procedures'!$L$29),0,IF(I367&gt;'Configs &amp; Procedures'!$L$30,1,IF(F367&gt;'Configs &amp; Procedures'!$L$31,0,1)))</f>
        <v>0</v>
      </c>
    </row>
    <row r="368" spans="2:79">
      <c r="B368" s="854"/>
      <c r="C368" s="854"/>
      <c r="D368" s="854"/>
      <c r="E368" s="854"/>
      <c r="F368" s="854"/>
      <c r="G368" s="854"/>
      <c r="H368" s="854"/>
      <c r="I368" s="854"/>
      <c r="J368" s="854"/>
      <c r="K368" s="854"/>
      <c r="L368" s="854"/>
      <c r="M368" s="854"/>
      <c r="N368" s="854"/>
      <c r="O368" s="854"/>
      <c r="P368" s="854"/>
      <c r="Q368" s="854"/>
      <c r="R368" s="854"/>
      <c r="S368" s="854"/>
      <c r="T368" s="854"/>
      <c r="U368" s="854"/>
      <c r="V368" s="854"/>
      <c r="W368" s="854"/>
      <c r="X368" s="854"/>
      <c r="Y368" s="854"/>
      <c r="Z368" s="854"/>
      <c r="AA368" s="854"/>
      <c r="AB368" s="854"/>
      <c r="AC368" s="854"/>
      <c r="AD368" s="854"/>
      <c r="AE368" s="854"/>
      <c r="AF368" s="854"/>
      <c r="AG368" s="854"/>
      <c r="AH368" s="854"/>
      <c r="AI368" s="854"/>
      <c r="AJ368" s="854"/>
      <c r="AK368" s="854"/>
      <c r="AL368" s="854"/>
      <c r="AM368" s="854"/>
      <c r="AN368" s="854"/>
      <c r="AO368" s="854"/>
      <c r="AP368" s="854"/>
      <c r="AQ368" s="854"/>
      <c r="AR368" s="854"/>
      <c r="AS368" s="854"/>
      <c r="AT368" s="854"/>
      <c r="AU368" s="854"/>
      <c r="AV368" s="854"/>
      <c r="AW368" s="854"/>
      <c r="AX368" s="854"/>
      <c r="AY368" s="854"/>
      <c r="AZ368" s="854"/>
      <c r="BA368" s="854"/>
      <c r="BB368" s="854"/>
      <c r="BC368" s="854"/>
      <c r="BD368" s="854"/>
      <c r="BE368" s="854"/>
      <c r="BF368" s="854"/>
      <c r="BG368" s="854"/>
      <c r="BH368" s="854"/>
      <c r="BI368" s="854"/>
      <c r="BJ368" s="854"/>
      <c r="BK368" s="854"/>
      <c r="BL368" s="854"/>
      <c r="BM368" s="854"/>
      <c r="BN368" s="854"/>
      <c r="BO368" s="854"/>
      <c r="BP368" s="854"/>
      <c r="BQ368" s="854"/>
      <c r="BR368" s="854"/>
      <c r="BS368" s="854"/>
      <c r="BT368" s="854"/>
      <c r="BU368" s="854"/>
      <c r="BV368" s="854"/>
      <c r="BW368" s="854"/>
      <c r="BX368" s="854"/>
      <c r="BY368" s="854"/>
      <c r="BZ368" s="854"/>
      <c r="CA368" s="571">
        <f>IF(OR(I368="",I368&lt;'Configs &amp; Procedures'!$L$29),0,IF(I368&gt;'Configs &amp; Procedures'!$L$30,1,IF(F368&gt;'Configs &amp; Procedures'!$L$31,0,1)))</f>
        <v>0</v>
      </c>
    </row>
    <row r="369" spans="2:79">
      <c r="B369" s="854"/>
      <c r="C369" s="854"/>
      <c r="D369" s="854"/>
      <c r="E369" s="854"/>
      <c r="F369" s="854"/>
      <c r="G369" s="854"/>
      <c r="H369" s="854"/>
      <c r="I369" s="854"/>
      <c r="J369" s="854"/>
      <c r="K369" s="854"/>
      <c r="L369" s="854"/>
      <c r="M369" s="854"/>
      <c r="N369" s="854"/>
      <c r="O369" s="854"/>
      <c r="P369" s="854"/>
      <c r="Q369" s="854"/>
      <c r="R369" s="854"/>
      <c r="S369" s="854"/>
      <c r="T369" s="854"/>
      <c r="U369" s="854"/>
      <c r="V369" s="854"/>
      <c r="W369" s="854"/>
      <c r="X369" s="854"/>
      <c r="Y369" s="854"/>
      <c r="Z369" s="854"/>
      <c r="AA369" s="854"/>
      <c r="AB369" s="854"/>
      <c r="AC369" s="854"/>
      <c r="AD369" s="854"/>
      <c r="AE369" s="854"/>
      <c r="AF369" s="854"/>
      <c r="AG369" s="854"/>
      <c r="AH369" s="854"/>
      <c r="AI369" s="854"/>
      <c r="AJ369" s="854"/>
      <c r="AK369" s="854"/>
      <c r="AL369" s="854"/>
      <c r="AM369" s="854"/>
      <c r="AN369" s="854"/>
      <c r="AO369" s="854"/>
      <c r="AP369" s="854"/>
      <c r="AQ369" s="854"/>
      <c r="AR369" s="854"/>
      <c r="AS369" s="854"/>
      <c r="AT369" s="854"/>
      <c r="AU369" s="854"/>
      <c r="AV369" s="854"/>
      <c r="AW369" s="854"/>
      <c r="AX369" s="854"/>
      <c r="AY369" s="854"/>
      <c r="AZ369" s="854"/>
      <c r="BA369" s="854"/>
      <c r="BB369" s="854"/>
      <c r="BC369" s="854"/>
      <c r="BD369" s="854"/>
      <c r="BE369" s="854"/>
      <c r="BF369" s="854"/>
      <c r="BG369" s="854"/>
      <c r="BH369" s="854"/>
      <c r="BI369" s="854"/>
      <c r="BJ369" s="854"/>
      <c r="BK369" s="854"/>
      <c r="BL369" s="854"/>
      <c r="BM369" s="854"/>
      <c r="BN369" s="854"/>
      <c r="BO369" s="854"/>
      <c r="BP369" s="854"/>
      <c r="BQ369" s="854"/>
      <c r="BR369" s="854"/>
      <c r="BS369" s="854"/>
      <c r="BT369" s="854"/>
      <c r="BU369" s="854"/>
      <c r="BV369" s="854"/>
      <c r="BW369" s="854"/>
      <c r="BX369" s="854"/>
      <c r="BY369" s="854"/>
      <c r="BZ369" s="854"/>
      <c r="CA369" s="571">
        <f>IF(OR(I369="",I369&lt;'Configs &amp; Procedures'!$L$29),0,IF(I369&gt;'Configs &amp; Procedures'!$L$30,1,IF(F369&gt;'Configs &amp; Procedures'!$L$31,0,1)))</f>
        <v>0</v>
      </c>
    </row>
    <row r="370" spans="2:79">
      <c r="B370" s="854"/>
      <c r="C370" s="854"/>
      <c r="D370" s="854"/>
      <c r="E370" s="854"/>
      <c r="F370" s="854"/>
      <c r="G370" s="854"/>
      <c r="H370" s="854"/>
      <c r="I370" s="854"/>
      <c r="J370" s="854"/>
      <c r="K370" s="854"/>
      <c r="L370" s="854"/>
      <c r="M370" s="854"/>
      <c r="N370" s="854"/>
      <c r="O370" s="854"/>
      <c r="P370" s="854"/>
      <c r="Q370" s="854"/>
      <c r="R370" s="854"/>
      <c r="S370" s="854"/>
      <c r="T370" s="854"/>
      <c r="U370" s="854"/>
      <c r="V370" s="854"/>
      <c r="W370" s="854"/>
      <c r="X370" s="854"/>
      <c r="Y370" s="854"/>
      <c r="Z370" s="854"/>
      <c r="AA370" s="854"/>
      <c r="AB370" s="854"/>
      <c r="AC370" s="854"/>
      <c r="AD370" s="854"/>
      <c r="AE370" s="854"/>
      <c r="AF370" s="854"/>
      <c r="AG370" s="854"/>
      <c r="AH370" s="854"/>
      <c r="AI370" s="854"/>
      <c r="AJ370" s="854"/>
      <c r="AK370" s="854"/>
      <c r="AL370" s="854"/>
      <c r="AM370" s="854"/>
      <c r="AN370" s="854"/>
      <c r="AO370" s="854"/>
      <c r="AP370" s="854"/>
      <c r="AQ370" s="854"/>
      <c r="AR370" s="854"/>
      <c r="AS370" s="854"/>
      <c r="AT370" s="854"/>
      <c r="AU370" s="854"/>
      <c r="AV370" s="854"/>
      <c r="AW370" s="854"/>
      <c r="AX370" s="854"/>
      <c r="AY370" s="854"/>
      <c r="AZ370" s="854"/>
      <c r="BA370" s="854"/>
      <c r="BB370" s="854"/>
      <c r="BC370" s="854"/>
      <c r="BD370" s="854"/>
      <c r="BE370" s="854"/>
      <c r="BF370" s="854"/>
      <c r="BG370" s="854"/>
      <c r="BH370" s="854"/>
      <c r="BI370" s="854"/>
      <c r="BJ370" s="854"/>
      <c r="BK370" s="854"/>
      <c r="BL370" s="854"/>
      <c r="BM370" s="854"/>
      <c r="BN370" s="854"/>
      <c r="BO370" s="854"/>
      <c r="BP370" s="854"/>
      <c r="BQ370" s="854"/>
      <c r="BR370" s="854"/>
      <c r="BS370" s="854"/>
      <c r="BT370" s="854"/>
      <c r="BU370" s="854"/>
      <c r="BV370" s="854"/>
      <c r="BW370" s="854"/>
      <c r="BX370" s="854"/>
      <c r="BY370" s="854"/>
      <c r="BZ370" s="854"/>
      <c r="CA370" s="571">
        <f>IF(OR(I370="",I370&lt;'Configs &amp; Procedures'!$L$29),0,IF(I370&gt;'Configs &amp; Procedures'!$L$30,1,IF(F370&gt;'Configs &amp; Procedures'!$L$31,0,1)))</f>
        <v>0</v>
      </c>
    </row>
    <row r="371" spans="2:79">
      <c r="B371" s="854"/>
      <c r="C371" s="854"/>
      <c r="D371" s="854"/>
      <c r="E371" s="854"/>
      <c r="F371" s="854"/>
      <c r="G371" s="854"/>
      <c r="H371" s="854"/>
      <c r="I371" s="854"/>
      <c r="J371" s="854"/>
      <c r="K371" s="854"/>
      <c r="L371" s="854"/>
      <c r="M371" s="854"/>
      <c r="N371" s="854"/>
      <c r="O371" s="854"/>
      <c r="P371" s="854"/>
      <c r="Q371" s="854"/>
      <c r="R371" s="854"/>
      <c r="S371" s="854"/>
      <c r="T371" s="854"/>
      <c r="U371" s="854"/>
      <c r="V371" s="854"/>
      <c r="W371" s="854"/>
      <c r="X371" s="854"/>
      <c r="Y371" s="854"/>
      <c r="Z371" s="854"/>
      <c r="AA371" s="854"/>
      <c r="AB371" s="854"/>
      <c r="AC371" s="854"/>
      <c r="AD371" s="854"/>
      <c r="AE371" s="854"/>
      <c r="AF371" s="854"/>
      <c r="AG371" s="854"/>
      <c r="AH371" s="854"/>
      <c r="AI371" s="854"/>
      <c r="AJ371" s="854"/>
      <c r="AK371" s="854"/>
      <c r="AL371" s="854"/>
      <c r="AM371" s="854"/>
      <c r="AN371" s="854"/>
      <c r="AO371" s="854"/>
      <c r="AP371" s="854"/>
      <c r="AQ371" s="854"/>
      <c r="AR371" s="854"/>
      <c r="AS371" s="854"/>
      <c r="AT371" s="854"/>
      <c r="AU371" s="854"/>
      <c r="AV371" s="854"/>
      <c r="AW371" s="854"/>
      <c r="AX371" s="854"/>
      <c r="AY371" s="854"/>
      <c r="AZ371" s="854"/>
      <c r="BA371" s="854"/>
      <c r="BB371" s="854"/>
      <c r="BC371" s="854"/>
      <c r="BD371" s="854"/>
      <c r="BE371" s="854"/>
      <c r="BF371" s="854"/>
      <c r="BG371" s="854"/>
      <c r="BH371" s="854"/>
      <c r="BI371" s="854"/>
      <c r="BJ371" s="854"/>
      <c r="BK371" s="854"/>
      <c r="BL371" s="854"/>
      <c r="BM371" s="854"/>
      <c r="BN371" s="854"/>
      <c r="BO371" s="854"/>
      <c r="BP371" s="854"/>
      <c r="BQ371" s="854"/>
      <c r="BR371" s="854"/>
      <c r="BS371" s="854"/>
      <c r="BT371" s="854"/>
      <c r="BU371" s="854"/>
      <c r="BV371" s="854"/>
      <c r="BW371" s="854"/>
      <c r="BX371" s="854"/>
      <c r="BY371" s="854"/>
      <c r="BZ371" s="854"/>
      <c r="CA371" s="571">
        <f>IF(OR(I371="",I371&lt;'Configs &amp; Procedures'!$L$29),0,IF(I371&gt;'Configs &amp; Procedures'!$L$30,1,IF(F371&gt;'Configs &amp; Procedures'!$L$31,0,1)))</f>
        <v>0</v>
      </c>
    </row>
    <row r="372" spans="2:79">
      <c r="B372" s="854"/>
      <c r="C372" s="854"/>
      <c r="D372" s="854"/>
      <c r="E372" s="854"/>
      <c r="F372" s="854"/>
      <c r="G372" s="854"/>
      <c r="H372" s="854"/>
      <c r="I372" s="854"/>
      <c r="J372" s="854"/>
      <c r="K372" s="854"/>
      <c r="L372" s="854"/>
      <c r="M372" s="854"/>
      <c r="N372" s="854"/>
      <c r="O372" s="854"/>
      <c r="P372" s="854"/>
      <c r="Q372" s="854"/>
      <c r="R372" s="854"/>
      <c r="S372" s="854"/>
      <c r="T372" s="854"/>
      <c r="U372" s="854"/>
      <c r="V372" s="854"/>
      <c r="W372" s="854"/>
      <c r="X372" s="854"/>
      <c r="Y372" s="854"/>
      <c r="Z372" s="854"/>
      <c r="AA372" s="854"/>
      <c r="AB372" s="854"/>
      <c r="AC372" s="854"/>
      <c r="AD372" s="854"/>
      <c r="AE372" s="854"/>
      <c r="AF372" s="854"/>
      <c r="AG372" s="854"/>
      <c r="AH372" s="854"/>
      <c r="AI372" s="854"/>
      <c r="AJ372" s="854"/>
      <c r="AK372" s="854"/>
      <c r="AL372" s="854"/>
      <c r="AM372" s="854"/>
      <c r="AN372" s="854"/>
      <c r="AO372" s="854"/>
      <c r="AP372" s="854"/>
      <c r="AQ372" s="854"/>
      <c r="AR372" s="854"/>
      <c r="AS372" s="854"/>
      <c r="AT372" s="854"/>
      <c r="AU372" s="854"/>
      <c r="AV372" s="854"/>
      <c r="AW372" s="854"/>
      <c r="AX372" s="854"/>
      <c r="AY372" s="854"/>
      <c r="AZ372" s="854"/>
      <c r="BA372" s="854"/>
      <c r="BB372" s="854"/>
      <c r="BC372" s="854"/>
      <c r="BD372" s="854"/>
      <c r="BE372" s="854"/>
      <c r="BF372" s="854"/>
      <c r="BG372" s="854"/>
      <c r="BH372" s="854"/>
      <c r="BI372" s="854"/>
      <c r="BJ372" s="854"/>
      <c r="BK372" s="854"/>
      <c r="BL372" s="854"/>
      <c r="BM372" s="854"/>
      <c r="BN372" s="854"/>
      <c r="BO372" s="854"/>
      <c r="BP372" s="854"/>
      <c r="BQ372" s="854"/>
      <c r="BR372" s="854"/>
      <c r="BS372" s="854"/>
      <c r="BT372" s="854"/>
      <c r="BU372" s="854"/>
      <c r="BV372" s="854"/>
      <c r="BW372" s="854"/>
      <c r="BX372" s="854"/>
      <c r="BY372" s="854"/>
      <c r="BZ372" s="854"/>
      <c r="CA372" s="571">
        <f>IF(OR(I372="",I372&lt;'Configs &amp; Procedures'!$L$29),0,IF(I372&gt;'Configs &amp; Procedures'!$L$30,1,IF(F372&gt;'Configs &amp; Procedures'!$L$31,0,1)))</f>
        <v>0</v>
      </c>
    </row>
    <row r="373" spans="2:79">
      <c r="B373" s="854"/>
      <c r="C373" s="854"/>
      <c r="D373" s="854"/>
      <c r="E373" s="854"/>
      <c r="F373" s="854"/>
      <c r="G373" s="854"/>
      <c r="H373" s="854"/>
      <c r="I373" s="854"/>
      <c r="J373" s="854"/>
      <c r="K373" s="854"/>
      <c r="L373" s="854"/>
      <c r="M373" s="854"/>
      <c r="N373" s="854"/>
      <c r="O373" s="854"/>
      <c r="P373" s="854"/>
      <c r="Q373" s="854"/>
      <c r="R373" s="854"/>
      <c r="S373" s="854"/>
      <c r="T373" s="854"/>
      <c r="U373" s="854"/>
      <c r="V373" s="854"/>
      <c r="W373" s="854"/>
      <c r="X373" s="854"/>
      <c r="Y373" s="854"/>
      <c r="Z373" s="854"/>
      <c r="AA373" s="854"/>
      <c r="AB373" s="854"/>
      <c r="AC373" s="854"/>
      <c r="AD373" s="854"/>
      <c r="AE373" s="854"/>
      <c r="AF373" s="854"/>
      <c r="AG373" s="854"/>
      <c r="AH373" s="854"/>
      <c r="AI373" s="854"/>
      <c r="AJ373" s="854"/>
      <c r="AK373" s="854"/>
      <c r="AL373" s="854"/>
      <c r="AM373" s="854"/>
      <c r="AN373" s="854"/>
      <c r="AO373" s="854"/>
      <c r="AP373" s="854"/>
      <c r="AQ373" s="854"/>
      <c r="AR373" s="854"/>
      <c r="AS373" s="854"/>
      <c r="AT373" s="854"/>
      <c r="AU373" s="854"/>
      <c r="AV373" s="854"/>
      <c r="AW373" s="854"/>
      <c r="AX373" s="854"/>
      <c r="AY373" s="854"/>
      <c r="AZ373" s="854"/>
      <c r="BA373" s="854"/>
      <c r="BB373" s="854"/>
      <c r="BC373" s="854"/>
      <c r="BD373" s="854"/>
      <c r="BE373" s="854"/>
      <c r="BF373" s="854"/>
      <c r="BG373" s="854"/>
      <c r="BH373" s="854"/>
      <c r="BI373" s="854"/>
      <c r="BJ373" s="854"/>
      <c r="BK373" s="854"/>
      <c r="BL373" s="854"/>
      <c r="BM373" s="854"/>
      <c r="BN373" s="854"/>
      <c r="BO373" s="854"/>
      <c r="BP373" s="854"/>
      <c r="BQ373" s="854"/>
      <c r="BR373" s="854"/>
      <c r="BS373" s="854"/>
      <c r="BT373" s="854"/>
      <c r="BU373" s="854"/>
      <c r="BV373" s="854"/>
      <c r="BW373" s="854"/>
      <c r="BX373" s="854"/>
      <c r="BY373" s="854"/>
      <c r="BZ373" s="854"/>
      <c r="CA373" s="571">
        <f>IF(OR(I373="",I373&lt;'Configs &amp; Procedures'!$L$29),0,IF(I373&gt;'Configs &amp; Procedures'!$L$30,1,IF(F373&gt;'Configs &amp; Procedures'!$L$31,0,1)))</f>
        <v>0</v>
      </c>
    </row>
    <row r="374" spans="2:79">
      <c r="B374" s="854"/>
      <c r="C374" s="854"/>
      <c r="D374" s="854"/>
      <c r="E374" s="854"/>
      <c r="F374" s="854"/>
      <c r="G374" s="854"/>
      <c r="H374" s="854"/>
      <c r="I374" s="854"/>
      <c r="J374" s="854"/>
      <c r="K374" s="854"/>
      <c r="L374" s="854"/>
      <c r="M374" s="854"/>
      <c r="N374" s="854"/>
      <c r="O374" s="854"/>
      <c r="P374" s="854"/>
      <c r="Q374" s="854"/>
      <c r="R374" s="854"/>
      <c r="S374" s="854"/>
      <c r="T374" s="854"/>
      <c r="U374" s="854"/>
      <c r="V374" s="854"/>
      <c r="W374" s="854"/>
      <c r="X374" s="854"/>
      <c r="Y374" s="854"/>
      <c r="Z374" s="854"/>
      <c r="AA374" s="854"/>
      <c r="AB374" s="854"/>
      <c r="AC374" s="854"/>
      <c r="AD374" s="854"/>
      <c r="AE374" s="854"/>
      <c r="AF374" s="854"/>
      <c r="AG374" s="854"/>
      <c r="AH374" s="854"/>
      <c r="AI374" s="854"/>
      <c r="AJ374" s="854"/>
      <c r="AK374" s="854"/>
      <c r="AL374" s="854"/>
      <c r="AM374" s="854"/>
      <c r="AN374" s="854"/>
      <c r="AO374" s="854"/>
      <c r="AP374" s="854"/>
      <c r="AQ374" s="854"/>
      <c r="AR374" s="854"/>
      <c r="AS374" s="854"/>
      <c r="AT374" s="854"/>
      <c r="AU374" s="854"/>
      <c r="AV374" s="854"/>
      <c r="AW374" s="854"/>
      <c r="AX374" s="854"/>
      <c r="AY374" s="854"/>
      <c r="AZ374" s="854"/>
      <c r="BA374" s="854"/>
      <c r="BB374" s="854"/>
      <c r="BC374" s="854"/>
      <c r="BD374" s="854"/>
      <c r="BE374" s="854"/>
      <c r="BF374" s="854"/>
      <c r="BG374" s="854"/>
      <c r="BH374" s="854"/>
      <c r="BI374" s="854"/>
      <c r="BJ374" s="854"/>
      <c r="BK374" s="854"/>
      <c r="BL374" s="854"/>
      <c r="BM374" s="854"/>
      <c r="BN374" s="854"/>
      <c r="BO374" s="854"/>
      <c r="BP374" s="854"/>
      <c r="BQ374" s="854"/>
      <c r="BR374" s="854"/>
      <c r="BS374" s="854"/>
      <c r="BT374" s="854"/>
      <c r="BU374" s="854"/>
      <c r="BV374" s="854"/>
      <c r="BW374" s="854"/>
      <c r="BX374" s="854"/>
      <c r="BY374" s="854"/>
      <c r="BZ374" s="854"/>
      <c r="CA374" s="571">
        <f>IF(OR(I374="",I374&lt;'Configs &amp; Procedures'!$L$29),0,IF(I374&gt;'Configs &amp; Procedures'!$L$30,1,IF(F374&gt;'Configs &amp; Procedures'!$L$31,0,1)))</f>
        <v>0</v>
      </c>
    </row>
    <row r="375" spans="2:79">
      <c r="B375" s="854"/>
      <c r="C375" s="854"/>
      <c r="D375" s="854"/>
      <c r="E375" s="854"/>
      <c r="F375" s="854"/>
      <c r="G375" s="854"/>
      <c r="H375" s="854"/>
      <c r="I375" s="854"/>
      <c r="J375" s="854"/>
      <c r="K375" s="854"/>
      <c r="L375" s="854"/>
      <c r="M375" s="854"/>
      <c r="N375" s="854"/>
      <c r="O375" s="854"/>
      <c r="P375" s="854"/>
      <c r="Q375" s="854"/>
      <c r="R375" s="854"/>
      <c r="S375" s="854"/>
      <c r="T375" s="854"/>
      <c r="U375" s="854"/>
      <c r="V375" s="854"/>
      <c r="W375" s="854"/>
      <c r="X375" s="854"/>
      <c r="Y375" s="854"/>
      <c r="Z375" s="854"/>
      <c r="AA375" s="854"/>
      <c r="AB375" s="854"/>
      <c r="AC375" s="854"/>
      <c r="AD375" s="854"/>
      <c r="AE375" s="854"/>
      <c r="AF375" s="854"/>
      <c r="AG375" s="854"/>
      <c r="AH375" s="854"/>
      <c r="AI375" s="854"/>
      <c r="AJ375" s="854"/>
      <c r="AK375" s="854"/>
      <c r="AL375" s="854"/>
      <c r="AM375" s="854"/>
      <c r="AN375" s="854"/>
      <c r="AO375" s="854"/>
      <c r="AP375" s="854"/>
      <c r="AQ375" s="854"/>
      <c r="AR375" s="854"/>
      <c r="AS375" s="854"/>
      <c r="AT375" s="854"/>
      <c r="AU375" s="854"/>
      <c r="AV375" s="854"/>
      <c r="AW375" s="854"/>
      <c r="AX375" s="854"/>
      <c r="AY375" s="854"/>
      <c r="AZ375" s="854"/>
      <c r="BA375" s="854"/>
      <c r="BB375" s="854"/>
      <c r="BC375" s="854"/>
      <c r="BD375" s="854"/>
      <c r="BE375" s="854"/>
      <c r="BF375" s="854"/>
      <c r="BG375" s="854"/>
      <c r="BH375" s="854"/>
      <c r="BI375" s="854"/>
      <c r="BJ375" s="854"/>
      <c r="BK375" s="854"/>
      <c r="BL375" s="854"/>
      <c r="BM375" s="854"/>
      <c r="BN375" s="854"/>
      <c r="BO375" s="854"/>
      <c r="BP375" s="854"/>
      <c r="BQ375" s="854"/>
      <c r="BR375" s="854"/>
      <c r="BS375" s="854"/>
      <c r="BT375" s="854"/>
      <c r="BU375" s="854"/>
      <c r="BV375" s="854"/>
      <c r="BW375" s="854"/>
      <c r="BX375" s="854"/>
      <c r="BY375" s="854"/>
      <c r="BZ375" s="854"/>
      <c r="CA375" s="571">
        <f>IF(OR(I375="",I375&lt;'Configs &amp; Procedures'!$L$29),0,IF(I375&gt;'Configs &amp; Procedures'!$L$30,1,IF(F375&gt;'Configs &amp; Procedures'!$L$31,0,1)))</f>
        <v>0</v>
      </c>
    </row>
    <row r="376" spans="2:79">
      <c r="B376" s="854"/>
      <c r="C376" s="854"/>
      <c r="D376" s="854"/>
      <c r="E376" s="854"/>
      <c r="F376" s="854"/>
      <c r="G376" s="854"/>
      <c r="H376" s="854"/>
      <c r="I376" s="854"/>
      <c r="J376" s="854"/>
      <c r="K376" s="854"/>
      <c r="L376" s="854"/>
      <c r="M376" s="854"/>
      <c r="N376" s="854"/>
      <c r="O376" s="854"/>
      <c r="P376" s="854"/>
      <c r="Q376" s="854"/>
      <c r="R376" s="854"/>
      <c r="S376" s="854"/>
      <c r="T376" s="854"/>
      <c r="U376" s="854"/>
      <c r="V376" s="854"/>
      <c r="W376" s="854"/>
      <c r="X376" s="854"/>
      <c r="Y376" s="854"/>
      <c r="Z376" s="854"/>
      <c r="AA376" s="854"/>
      <c r="AB376" s="854"/>
      <c r="AC376" s="854"/>
      <c r="AD376" s="854"/>
      <c r="AE376" s="854"/>
      <c r="AF376" s="854"/>
      <c r="AG376" s="854"/>
      <c r="AH376" s="854"/>
      <c r="AI376" s="854"/>
      <c r="AJ376" s="854"/>
      <c r="AK376" s="854"/>
      <c r="AL376" s="854"/>
      <c r="AM376" s="854"/>
      <c r="AN376" s="854"/>
      <c r="AO376" s="854"/>
      <c r="AP376" s="854"/>
      <c r="AQ376" s="854"/>
      <c r="AR376" s="854"/>
      <c r="AS376" s="854"/>
      <c r="AT376" s="854"/>
      <c r="AU376" s="854"/>
      <c r="AV376" s="854"/>
      <c r="AW376" s="854"/>
      <c r="AX376" s="854"/>
      <c r="AY376" s="854"/>
      <c r="AZ376" s="854"/>
      <c r="BA376" s="854"/>
      <c r="BB376" s="854"/>
      <c r="BC376" s="854"/>
      <c r="BD376" s="854"/>
      <c r="BE376" s="854"/>
      <c r="BF376" s="854"/>
      <c r="BG376" s="854"/>
      <c r="BH376" s="854"/>
      <c r="BI376" s="854"/>
      <c r="BJ376" s="854"/>
      <c r="BK376" s="854"/>
      <c r="BL376" s="854"/>
      <c r="BM376" s="854"/>
      <c r="BN376" s="854"/>
      <c r="BO376" s="854"/>
      <c r="BP376" s="854"/>
      <c r="BQ376" s="854"/>
      <c r="BR376" s="854"/>
      <c r="BS376" s="854"/>
      <c r="BT376" s="854"/>
      <c r="BU376" s="854"/>
      <c r="BV376" s="854"/>
      <c r="BW376" s="854"/>
      <c r="BX376" s="854"/>
      <c r="BY376" s="854"/>
      <c r="BZ376" s="854"/>
      <c r="CA376" s="571">
        <f>IF(OR(I376="",I376&lt;'Configs &amp; Procedures'!$L$29),0,IF(I376&gt;'Configs &amp; Procedures'!$L$30,1,IF(F376&gt;'Configs &amp; Procedures'!$L$31,0,1)))</f>
        <v>0</v>
      </c>
    </row>
    <row r="377" spans="2:79">
      <c r="B377" s="854"/>
      <c r="C377" s="854"/>
      <c r="D377" s="854"/>
      <c r="E377" s="854"/>
      <c r="F377" s="854"/>
      <c r="G377" s="854"/>
      <c r="H377" s="854"/>
      <c r="I377" s="854"/>
      <c r="J377" s="854"/>
      <c r="K377" s="854"/>
      <c r="L377" s="854"/>
      <c r="M377" s="854"/>
      <c r="N377" s="854"/>
      <c r="O377" s="854"/>
      <c r="P377" s="854"/>
      <c r="Q377" s="854"/>
      <c r="R377" s="854"/>
      <c r="S377" s="854"/>
      <c r="T377" s="854"/>
      <c r="U377" s="854"/>
      <c r="V377" s="854"/>
      <c r="W377" s="854"/>
      <c r="X377" s="854"/>
      <c r="Y377" s="854"/>
      <c r="Z377" s="854"/>
      <c r="AA377" s="854"/>
      <c r="AB377" s="854"/>
      <c r="AC377" s="854"/>
      <c r="AD377" s="854"/>
      <c r="AE377" s="854"/>
      <c r="AF377" s="854"/>
      <c r="AG377" s="854"/>
      <c r="AH377" s="854"/>
      <c r="AI377" s="854"/>
      <c r="AJ377" s="854"/>
      <c r="AK377" s="854"/>
      <c r="AL377" s="854"/>
      <c r="AM377" s="854"/>
      <c r="AN377" s="854"/>
      <c r="AO377" s="854"/>
      <c r="AP377" s="854"/>
      <c r="AQ377" s="854"/>
      <c r="AR377" s="854"/>
      <c r="AS377" s="854"/>
      <c r="AT377" s="854"/>
      <c r="AU377" s="854"/>
      <c r="AV377" s="854"/>
      <c r="AW377" s="854"/>
      <c r="AX377" s="854"/>
      <c r="AY377" s="854"/>
      <c r="AZ377" s="854"/>
      <c r="BA377" s="854"/>
      <c r="BB377" s="854"/>
      <c r="BC377" s="854"/>
      <c r="BD377" s="854"/>
      <c r="BE377" s="854"/>
      <c r="BF377" s="854"/>
      <c r="BG377" s="854"/>
      <c r="BH377" s="854"/>
      <c r="BI377" s="854"/>
      <c r="BJ377" s="854"/>
      <c r="BK377" s="854"/>
      <c r="BL377" s="854"/>
      <c r="BM377" s="854"/>
      <c r="BN377" s="854"/>
      <c r="BO377" s="854"/>
      <c r="BP377" s="854"/>
      <c r="BQ377" s="854"/>
      <c r="BR377" s="854"/>
      <c r="BS377" s="854"/>
      <c r="BT377" s="854"/>
      <c r="BU377" s="854"/>
      <c r="BV377" s="854"/>
      <c r="BW377" s="854"/>
      <c r="BX377" s="854"/>
      <c r="BY377" s="854"/>
      <c r="BZ377" s="854"/>
      <c r="CA377" s="571">
        <f>IF(OR(I377="",I377&lt;'Configs &amp; Procedures'!$L$29),0,IF(I377&gt;'Configs &amp; Procedures'!$L$30,1,IF(F377&gt;'Configs &amp; Procedures'!$L$31,0,1)))</f>
        <v>0</v>
      </c>
    </row>
    <row r="378" spans="2:79">
      <c r="B378" s="854"/>
      <c r="C378" s="854"/>
      <c r="D378" s="854"/>
      <c r="E378" s="854"/>
      <c r="F378" s="854"/>
      <c r="G378" s="854"/>
      <c r="H378" s="854"/>
      <c r="I378" s="854"/>
      <c r="J378" s="854"/>
      <c r="K378" s="854"/>
      <c r="L378" s="854"/>
      <c r="M378" s="854"/>
      <c r="N378" s="854"/>
      <c r="O378" s="854"/>
      <c r="P378" s="854"/>
      <c r="Q378" s="854"/>
      <c r="R378" s="854"/>
      <c r="S378" s="854"/>
      <c r="T378" s="854"/>
      <c r="U378" s="854"/>
      <c r="V378" s="854"/>
      <c r="W378" s="854"/>
      <c r="X378" s="854"/>
      <c r="Y378" s="854"/>
      <c r="Z378" s="854"/>
      <c r="AA378" s="854"/>
      <c r="AB378" s="854"/>
      <c r="AC378" s="854"/>
      <c r="AD378" s="854"/>
      <c r="AE378" s="854"/>
      <c r="AF378" s="854"/>
      <c r="AG378" s="854"/>
      <c r="AH378" s="854"/>
      <c r="AI378" s="854"/>
      <c r="AJ378" s="854"/>
      <c r="AK378" s="854"/>
      <c r="AL378" s="854"/>
      <c r="AM378" s="854"/>
      <c r="AN378" s="854"/>
      <c r="AO378" s="854"/>
      <c r="AP378" s="854"/>
      <c r="AQ378" s="854"/>
      <c r="AR378" s="854"/>
      <c r="AS378" s="854"/>
      <c r="AT378" s="854"/>
      <c r="AU378" s="854"/>
      <c r="AV378" s="854"/>
      <c r="AW378" s="854"/>
      <c r="AX378" s="854"/>
      <c r="AY378" s="854"/>
      <c r="AZ378" s="854"/>
      <c r="BA378" s="854"/>
      <c r="BB378" s="854"/>
      <c r="BC378" s="854"/>
      <c r="BD378" s="854"/>
      <c r="BE378" s="854"/>
      <c r="BF378" s="854"/>
      <c r="BG378" s="854"/>
      <c r="BH378" s="854"/>
      <c r="BI378" s="854"/>
      <c r="BJ378" s="854"/>
      <c r="BK378" s="854"/>
      <c r="BL378" s="854"/>
      <c r="BM378" s="854"/>
      <c r="BN378" s="854"/>
      <c r="BO378" s="854"/>
      <c r="BP378" s="854"/>
      <c r="BQ378" s="854"/>
      <c r="BR378" s="854"/>
      <c r="BS378" s="854"/>
      <c r="BT378" s="854"/>
      <c r="BU378" s="854"/>
      <c r="BV378" s="854"/>
      <c r="BW378" s="854"/>
      <c r="BX378" s="854"/>
      <c r="BY378" s="854"/>
      <c r="BZ378" s="854"/>
      <c r="CA378" s="571">
        <f>IF(OR(I378="",I378&lt;'Configs &amp; Procedures'!$L$29),0,IF(I378&gt;'Configs &amp; Procedures'!$L$30,1,IF(F378&gt;'Configs &amp; Procedures'!$L$31,0,1)))</f>
        <v>0</v>
      </c>
    </row>
    <row r="379" spans="2:79">
      <c r="B379" s="854"/>
      <c r="C379" s="854"/>
      <c r="D379" s="854"/>
      <c r="E379" s="854"/>
      <c r="F379" s="854"/>
      <c r="G379" s="854"/>
      <c r="H379" s="854"/>
      <c r="I379" s="854"/>
      <c r="J379" s="854"/>
      <c r="K379" s="854"/>
      <c r="L379" s="854"/>
      <c r="M379" s="854"/>
      <c r="N379" s="854"/>
      <c r="O379" s="854"/>
      <c r="P379" s="854"/>
      <c r="Q379" s="854"/>
      <c r="R379" s="854"/>
      <c r="S379" s="854"/>
      <c r="T379" s="854"/>
      <c r="U379" s="854"/>
      <c r="V379" s="854"/>
      <c r="W379" s="854"/>
      <c r="X379" s="854"/>
      <c r="Y379" s="854"/>
      <c r="Z379" s="854"/>
      <c r="AA379" s="854"/>
      <c r="AB379" s="854"/>
      <c r="AC379" s="854"/>
      <c r="AD379" s="854"/>
      <c r="AE379" s="854"/>
      <c r="AF379" s="854"/>
      <c r="AG379" s="854"/>
      <c r="AH379" s="854"/>
      <c r="AI379" s="854"/>
      <c r="AJ379" s="854"/>
      <c r="AK379" s="854"/>
      <c r="AL379" s="854"/>
      <c r="AM379" s="854"/>
      <c r="AN379" s="854"/>
      <c r="AO379" s="854"/>
      <c r="AP379" s="854"/>
      <c r="AQ379" s="854"/>
      <c r="AR379" s="854"/>
      <c r="AS379" s="854"/>
      <c r="AT379" s="854"/>
      <c r="AU379" s="854"/>
      <c r="AV379" s="854"/>
      <c r="AW379" s="854"/>
      <c r="AX379" s="854"/>
      <c r="AY379" s="854"/>
      <c r="AZ379" s="854"/>
      <c r="BA379" s="854"/>
      <c r="BB379" s="854"/>
      <c r="BC379" s="854"/>
      <c r="BD379" s="854"/>
      <c r="BE379" s="854"/>
      <c r="BF379" s="854"/>
      <c r="BG379" s="854"/>
      <c r="BH379" s="854"/>
      <c r="BI379" s="854"/>
      <c r="BJ379" s="854"/>
      <c r="BK379" s="854"/>
      <c r="BL379" s="854"/>
      <c r="BM379" s="854"/>
      <c r="BN379" s="854"/>
      <c r="BO379" s="854"/>
      <c r="BP379" s="854"/>
      <c r="BQ379" s="854"/>
      <c r="BR379" s="854"/>
      <c r="BS379" s="854"/>
      <c r="BT379" s="854"/>
      <c r="BU379" s="854"/>
      <c r="BV379" s="854"/>
      <c r="BW379" s="854"/>
      <c r="BX379" s="854"/>
      <c r="BY379" s="854"/>
      <c r="BZ379" s="854"/>
      <c r="CA379" s="571">
        <f>IF(OR(I379="",I379&lt;'Configs &amp; Procedures'!$L$29),0,IF(I379&gt;'Configs &amp; Procedures'!$L$30,1,IF(F379&gt;'Configs &amp; Procedures'!$L$31,0,1)))</f>
        <v>0</v>
      </c>
    </row>
    <row r="380" spans="2:79">
      <c r="B380" s="854"/>
      <c r="C380" s="854"/>
      <c r="D380" s="854"/>
      <c r="E380" s="854"/>
      <c r="F380" s="854"/>
      <c r="G380" s="854"/>
      <c r="H380" s="854"/>
      <c r="I380" s="854"/>
      <c r="J380" s="854"/>
      <c r="K380" s="854"/>
      <c r="L380" s="854"/>
      <c r="M380" s="854"/>
      <c r="N380" s="854"/>
      <c r="O380" s="854"/>
      <c r="P380" s="854"/>
      <c r="Q380" s="854"/>
      <c r="R380" s="854"/>
      <c r="S380" s="854"/>
      <c r="T380" s="854"/>
      <c r="U380" s="854"/>
      <c r="V380" s="854"/>
      <c r="W380" s="854"/>
      <c r="X380" s="854"/>
      <c r="Y380" s="854"/>
      <c r="Z380" s="854"/>
      <c r="AA380" s="854"/>
      <c r="AB380" s="854"/>
      <c r="AC380" s="854"/>
      <c r="AD380" s="854"/>
      <c r="AE380" s="854"/>
      <c r="AF380" s="854"/>
      <c r="AG380" s="854"/>
      <c r="AH380" s="854"/>
      <c r="AI380" s="854"/>
      <c r="AJ380" s="854"/>
      <c r="AK380" s="854"/>
      <c r="AL380" s="854"/>
      <c r="AM380" s="854"/>
      <c r="AN380" s="854"/>
      <c r="AO380" s="854"/>
      <c r="AP380" s="854"/>
      <c r="AQ380" s="854"/>
      <c r="AR380" s="854"/>
      <c r="AS380" s="854"/>
      <c r="AT380" s="854"/>
      <c r="AU380" s="854"/>
      <c r="AV380" s="854"/>
      <c r="AW380" s="854"/>
      <c r="AX380" s="854"/>
      <c r="AY380" s="854"/>
      <c r="AZ380" s="854"/>
      <c r="BA380" s="854"/>
      <c r="BB380" s="854"/>
      <c r="BC380" s="854"/>
      <c r="BD380" s="854"/>
      <c r="BE380" s="854"/>
      <c r="BF380" s="854"/>
      <c r="BG380" s="854"/>
      <c r="BH380" s="854"/>
      <c r="BI380" s="854"/>
      <c r="BJ380" s="854"/>
      <c r="BK380" s="854"/>
      <c r="BL380" s="854"/>
      <c r="BM380" s="854"/>
      <c r="BN380" s="854"/>
      <c r="BO380" s="854"/>
      <c r="BP380" s="854"/>
      <c r="BQ380" s="854"/>
      <c r="BR380" s="854"/>
      <c r="BS380" s="854"/>
      <c r="BT380" s="854"/>
      <c r="BU380" s="854"/>
      <c r="BV380" s="854"/>
      <c r="BW380" s="854"/>
      <c r="BX380" s="854"/>
      <c r="BY380" s="854"/>
      <c r="BZ380" s="854"/>
      <c r="CA380" s="571">
        <f>IF(OR(I380="",I380&lt;'Configs &amp; Procedures'!$L$29),0,IF(I380&gt;'Configs &amp; Procedures'!$L$30,1,IF(F380&gt;'Configs &amp; Procedures'!$L$31,0,1)))</f>
        <v>0</v>
      </c>
    </row>
    <row r="381" spans="2:79">
      <c r="B381" s="854"/>
      <c r="C381" s="854"/>
      <c r="D381" s="854"/>
      <c r="E381" s="854"/>
      <c r="F381" s="854"/>
      <c r="G381" s="854"/>
      <c r="H381" s="854"/>
      <c r="I381" s="854"/>
      <c r="J381" s="854"/>
      <c r="K381" s="854"/>
      <c r="L381" s="854"/>
      <c r="M381" s="854"/>
      <c r="N381" s="854"/>
      <c r="O381" s="854"/>
      <c r="P381" s="854"/>
      <c r="Q381" s="854"/>
      <c r="R381" s="854"/>
      <c r="S381" s="854"/>
      <c r="T381" s="854"/>
      <c r="U381" s="854"/>
      <c r="V381" s="854"/>
      <c r="W381" s="854"/>
      <c r="X381" s="854"/>
      <c r="Y381" s="854"/>
      <c r="Z381" s="854"/>
      <c r="AA381" s="854"/>
      <c r="AB381" s="854"/>
      <c r="AC381" s="854"/>
      <c r="AD381" s="854"/>
      <c r="AE381" s="854"/>
      <c r="AF381" s="854"/>
      <c r="AG381" s="854"/>
      <c r="AH381" s="854"/>
      <c r="AI381" s="854"/>
      <c r="AJ381" s="854"/>
      <c r="AK381" s="854"/>
      <c r="AL381" s="854"/>
      <c r="AM381" s="854"/>
      <c r="AN381" s="854"/>
      <c r="AO381" s="854"/>
      <c r="AP381" s="854"/>
      <c r="AQ381" s="854"/>
      <c r="AR381" s="854"/>
      <c r="AS381" s="854"/>
      <c r="AT381" s="854"/>
      <c r="AU381" s="854"/>
      <c r="AV381" s="854"/>
      <c r="AW381" s="854"/>
      <c r="AX381" s="854"/>
      <c r="AY381" s="854"/>
      <c r="AZ381" s="854"/>
      <c r="BA381" s="854"/>
      <c r="BB381" s="854"/>
      <c r="BC381" s="854"/>
      <c r="BD381" s="854"/>
      <c r="BE381" s="854"/>
      <c r="BF381" s="854"/>
      <c r="BG381" s="854"/>
      <c r="BH381" s="854"/>
      <c r="BI381" s="854"/>
      <c r="BJ381" s="854"/>
      <c r="BK381" s="854"/>
      <c r="BL381" s="854"/>
      <c r="BM381" s="854"/>
      <c r="BN381" s="854"/>
      <c r="BO381" s="854"/>
      <c r="BP381" s="854"/>
      <c r="BQ381" s="854"/>
      <c r="BR381" s="854"/>
      <c r="BS381" s="854"/>
      <c r="BT381" s="854"/>
      <c r="BU381" s="854"/>
      <c r="BV381" s="854"/>
      <c r="BW381" s="854"/>
      <c r="BX381" s="854"/>
      <c r="BY381" s="854"/>
      <c r="BZ381" s="854"/>
      <c r="CA381" s="571">
        <f>IF(OR(I381="",I381&lt;'Configs &amp; Procedures'!$L$29),0,IF(I381&gt;'Configs &amp; Procedures'!$L$30,1,IF(F381&gt;'Configs &amp; Procedures'!$L$31,0,1)))</f>
        <v>0</v>
      </c>
    </row>
    <row r="382" spans="2:79">
      <c r="B382" s="854"/>
      <c r="C382" s="854"/>
      <c r="D382" s="854"/>
      <c r="E382" s="854"/>
      <c r="F382" s="854"/>
      <c r="G382" s="854"/>
      <c r="H382" s="854"/>
      <c r="I382" s="854"/>
      <c r="J382" s="854"/>
      <c r="K382" s="854"/>
      <c r="L382" s="854"/>
      <c r="M382" s="854"/>
      <c r="N382" s="854"/>
      <c r="O382" s="854"/>
      <c r="P382" s="854"/>
      <c r="Q382" s="854"/>
      <c r="R382" s="854"/>
      <c r="S382" s="854"/>
      <c r="T382" s="854"/>
      <c r="U382" s="854"/>
      <c r="V382" s="854"/>
      <c r="W382" s="854"/>
      <c r="X382" s="854"/>
      <c r="Y382" s="854"/>
      <c r="Z382" s="854"/>
      <c r="AA382" s="854"/>
      <c r="AB382" s="854"/>
      <c r="AC382" s="854"/>
      <c r="AD382" s="854"/>
      <c r="AE382" s="854"/>
      <c r="AF382" s="854"/>
      <c r="AG382" s="854"/>
      <c r="AH382" s="854"/>
      <c r="AI382" s="854"/>
      <c r="AJ382" s="854"/>
      <c r="AK382" s="854"/>
      <c r="AL382" s="854"/>
      <c r="AM382" s="854"/>
      <c r="AN382" s="854"/>
      <c r="AO382" s="854"/>
      <c r="AP382" s="854"/>
      <c r="AQ382" s="854"/>
      <c r="AR382" s="854"/>
      <c r="AS382" s="854"/>
      <c r="AT382" s="854"/>
      <c r="AU382" s="854"/>
      <c r="AV382" s="854"/>
      <c r="AW382" s="854"/>
      <c r="AX382" s="854"/>
      <c r="AY382" s="854"/>
      <c r="AZ382" s="854"/>
      <c r="BA382" s="854"/>
      <c r="BB382" s="854"/>
      <c r="BC382" s="854"/>
      <c r="BD382" s="854"/>
      <c r="BE382" s="854"/>
      <c r="BF382" s="854"/>
      <c r="BG382" s="854"/>
      <c r="BH382" s="854"/>
      <c r="BI382" s="854"/>
      <c r="BJ382" s="854"/>
      <c r="BK382" s="854"/>
      <c r="BL382" s="854"/>
      <c r="BM382" s="854"/>
      <c r="BN382" s="854"/>
      <c r="BO382" s="854"/>
      <c r="BP382" s="854"/>
      <c r="BQ382" s="854"/>
      <c r="BR382" s="854"/>
      <c r="BS382" s="854"/>
      <c r="BT382" s="854"/>
      <c r="BU382" s="854"/>
      <c r="BV382" s="854"/>
      <c r="BW382" s="854"/>
      <c r="BX382" s="854"/>
      <c r="BY382" s="854"/>
      <c r="BZ382" s="854"/>
      <c r="CA382" s="571">
        <f>IF(OR(I382="",I382&lt;'Configs &amp; Procedures'!$L$29),0,IF(I382&gt;'Configs &amp; Procedures'!$L$30,1,IF(F382&gt;'Configs &amp; Procedures'!$L$31,0,1)))</f>
        <v>0</v>
      </c>
    </row>
    <row r="383" spans="2:79">
      <c r="B383" s="854"/>
      <c r="C383" s="854"/>
      <c r="D383" s="854"/>
      <c r="E383" s="854"/>
      <c r="F383" s="854"/>
      <c r="G383" s="854"/>
      <c r="H383" s="854"/>
      <c r="I383" s="854"/>
      <c r="J383" s="854"/>
      <c r="K383" s="854"/>
      <c r="L383" s="854"/>
      <c r="M383" s="854"/>
      <c r="N383" s="854"/>
      <c r="O383" s="854"/>
      <c r="P383" s="854"/>
      <c r="Q383" s="854"/>
      <c r="R383" s="854"/>
      <c r="S383" s="854"/>
      <c r="T383" s="854"/>
      <c r="U383" s="854"/>
      <c r="V383" s="854"/>
      <c r="W383" s="854"/>
      <c r="X383" s="854"/>
      <c r="Y383" s="854"/>
      <c r="Z383" s="854"/>
      <c r="AA383" s="854"/>
      <c r="AB383" s="854"/>
      <c r="AC383" s="854"/>
      <c r="AD383" s="854"/>
      <c r="AE383" s="854"/>
      <c r="AF383" s="854"/>
      <c r="AG383" s="854"/>
      <c r="AH383" s="854"/>
      <c r="AI383" s="854"/>
      <c r="AJ383" s="854"/>
      <c r="AK383" s="854"/>
      <c r="AL383" s="854"/>
      <c r="AM383" s="854"/>
      <c r="AN383" s="854"/>
      <c r="AO383" s="854"/>
      <c r="AP383" s="854"/>
      <c r="AQ383" s="854"/>
      <c r="AR383" s="854"/>
      <c r="AS383" s="854"/>
      <c r="AT383" s="854"/>
      <c r="AU383" s="854"/>
      <c r="AV383" s="854"/>
      <c r="AW383" s="854"/>
      <c r="AX383" s="854"/>
      <c r="AY383" s="854"/>
      <c r="AZ383" s="854"/>
      <c r="BA383" s="854"/>
      <c r="BB383" s="854"/>
      <c r="BC383" s="854"/>
      <c r="BD383" s="854"/>
      <c r="BE383" s="854"/>
      <c r="BF383" s="854"/>
      <c r="BG383" s="854"/>
      <c r="BH383" s="854"/>
      <c r="BI383" s="854"/>
      <c r="BJ383" s="854"/>
      <c r="BK383" s="854"/>
      <c r="BL383" s="854"/>
      <c r="BM383" s="854"/>
      <c r="BN383" s="854"/>
      <c r="BO383" s="854"/>
      <c r="BP383" s="854"/>
      <c r="BQ383" s="854"/>
      <c r="BR383" s="854"/>
      <c r="BS383" s="854"/>
      <c r="BT383" s="854"/>
      <c r="BU383" s="854"/>
      <c r="BV383" s="854"/>
      <c r="BW383" s="854"/>
      <c r="BX383" s="854"/>
      <c r="BY383" s="854"/>
      <c r="BZ383" s="854"/>
      <c r="CA383" s="571">
        <f>IF(OR(I383="",I383&lt;'Configs &amp; Procedures'!$L$29),0,IF(I383&gt;'Configs &amp; Procedures'!$L$30,1,IF(F383&gt;'Configs &amp; Procedures'!$L$31,0,1)))</f>
        <v>0</v>
      </c>
    </row>
    <row r="384" spans="2:79">
      <c r="B384" s="854"/>
      <c r="C384" s="854"/>
      <c r="D384" s="854"/>
      <c r="E384" s="854"/>
      <c r="F384" s="854"/>
      <c r="G384" s="854"/>
      <c r="H384" s="854"/>
      <c r="I384" s="854"/>
      <c r="J384" s="854"/>
      <c r="K384" s="854"/>
      <c r="L384" s="854"/>
      <c r="M384" s="854"/>
      <c r="N384" s="854"/>
      <c r="O384" s="854"/>
      <c r="P384" s="854"/>
      <c r="Q384" s="854"/>
      <c r="R384" s="854"/>
      <c r="S384" s="854"/>
      <c r="T384" s="854"/>
      <c r="U384" s="854"/>
      <c r="V384" s="854"/>
      <c r="W384" s="854"/>
      <c r="X384" s="854"/>
      <c r="Y384" s="854"/>
      <c r="Z384" s="854"/>
      <c r="AA384" s="854"/>
      <c r="AB384" s="854"/>
      <c r="AC384" s="854"/>
      <c r="AD384" s="854"/>
      <c r="AE384" s="854"/>
      <c r="AF384" s="854"/>
      <c r="AG384" s="854"/>
      <c r="AH384" s="854"/>
      <c r="AI384" s="854"/>
      <c r="AJ384" s="854"/>
      <c r="AK384" s="854"/>
      <c r="AL384" s="854"/>
      <c r="AM384" s="854"/>
      <c r="AN384" s="854"/>
      <c r="AO384" s="854"/>
      <c r="AP384" s="854"/>
      <c r="AQ384" s="854"/>
      <c r="AR384" s="854"/>
      <c r="AS384" s="854"/>
      <c r="AT384" s="854"/>
      <c r="AU384" s="854"/>
      <c r="AV384" s="854"/>
      <c r="AW384" s="854"/>
      <c r="AX384" s="854"/>
      <c r="AY384" s="854"/>
      <c r="AZ384" s="854"/>
      <c r="BA384" s="854"/>
      <c r="BB384" s="854"/>
      <c r="BC384" s="854"/>
      <c r="BD384" s="854"/>
      <c r="BE384" s="854"/>
      <c r="BF384" s="854"/>
      <c r="BG384" s="854"/>
      <c r="BH384" s="854"/>
      <c r="BI384" s="854"/>
      <c r="BJ384" s="854"/>
      <c r="BK384" s="854"/>
      <c r="BL384" s="854"/>
      <c r="BM384" s="854"/>
      <c r="BN384" s="854"/>
      <c r="BO384" s="854"/>
      <c r="BP384" s="854"/>
      <c r="BQ384" s="854"/>
      <c r="BR384" s="854"/>
      <c r="BS384" s="854"/>
      <c r="BT384" s="854"/>
      <c r="BU384" s="854"/>
      <c r="BV384" s="854"/>
      <c r="BW384" s="854"/>
      <c r="BX384" s="854"/>
      <c r="BY384" s="854"/>
      <c r="BZ384" s="854"/>
      <c r="CA384" s="571">
        <f>IF(OR(I384="",I384&lt;'Configs &amp; Procedures'!$L$29),0,IF(I384&gt;'Configs &amp; Procedures'!$L$30,1,IF(F384&gt;'Configs &amp; Procedures'!$L$31,0,1)))</f>
        <v>0</v>
      </c>
    </row>
    <row r="385" spans="2:79">
      <c r="B385" s="854"/>
      <c r="C385" s="854"/>
      <c r="D385" s="854"/>
      <c r="E385" s="854"/>
      <c r="F385" s="854"/>
      <c r="G385" s="854"/>
      <c r="H385" s="854"/>
      <c r="I385" s="854"/>
      <c r="J385" s="854"/>
      <c r="K385" s="854"/>
      <c r="L385" s="854"/>
      <c r="M385" s="854"/>
      <c r="N385" s="854"/>
      <c r="O385" s="854"/>
      <c r="P385" s="854"/>
      <c r="Q385" s="854"/>
      <c r="R385" s="854"/>
      <c r="S385" s="854"/>
      <c r="T385" s="854"/>
      <c r="U385" s="854"/>
      <c r="V385" s="854"/>
      <c r="W385" s="854"/>
      <c r="X385" s="854"/>
      <c r="Y385" s="854"/>
      <c r="Z385" s="854"/>
      <c r="AA385" s="854"/>
      <c r="AB385" s="854"/>
      <c r="AC385" s="854"/>
      <c r="AD385" s="854"/>
      <c r="AE385" s="854"/>
      <c r="AF385" s="854"/>
      <c r="AG385" s="854"/>
      <c r="AH385" s="854"/>
      <c r="AI385" s="854"/>
      <c r="AJ385" s="854"/>
      <c r="AK385" s="854"/>
      <c r="AL385" s="854"/>
      <c r="AM385" s="854"/>
      <c r="AN385" s="854"/>
      <c r="AO385" s="854"/>
      <c r="AP385" s="854"/>
      <c r="AQ385" s="854"/>
      <c r="AR385" s="854"/>
      <c r="AS385" s="854"/>
      <c r="AT385" s="854"/>
      <c r="AU385" s="854"/>
      <c r="AV385" s="854"/>
      <c r="AW385" s="854"/>
      <c r="AX385" s="854"/>
      <c r="AY385" s="854"/>
      <c r="AZ385" s="854"/>
      <c r="BA385" s="854"/>
      <c r="BB385" s="854"/>
      <c r="BC385" s="854"/>
      <c r="BD385" s="854"/>
      <c r="BE385" s="854"/>
      <c r="BF385" s="854"/>
      <c r="BG385" s="854"/>
      <c r="BH385" s="854"/>
      <c r="BI385" s="854"/>
      <c r="BJ385" s="854"/>
      <c r="BK385" s="854"/>
      <c r="BL385" s="854"/>
      <c r="BM385" s="854"/>
      <c r="BN385" s="854"/>
      <c r="BO385" s="854"/>
      <c r="BP385" s="854"/>
      <c r="BQ385" s="854"/>
      <c r="BR385" s="854"/>
      <c r="BS385" s="854"/>
      <c r="BT385" s="854"/>
      <c r="BU385" s="854"/>
      <c r="BV385" s="854"/>
      <c r="BW385" s="854"/>
      <c r="BX385" s="854"/>
      <c r="BY385" s="854"/>
      <c r="BZ385" s="854"/>
      <c r="CA385" s="571">
        <f>IF(OR(I385="",I385&lt;'Configs &amp; Procedures'!$L$29),0,IF(I385&gt;'Configs &amp; Procedures'!$L$30,1,IF(F385&gt;'Configs &amp; Procedures'!$L$31,0,1)))</f>
        <v>0</v>
      </c>
    </row>
    <row r="386" spans="2:79">
      <c r="B386" s="854"/>
      <c r="C386" s="854"/>
      <c r="D386" s="854"/>
      <c r="E386" s="854"/>
      <c r="F386" s="854"/>
      <c r="G386" s="854"/>
      <c r="H386" s="854"/>
      <c r="I386" s="854"/>
      <c r="J386" s="854"/>
      <c r="K386" s="854"/>
      <c r="L386" s="854"/>
      <c r="M386" s="854"/>
      <c r="N386" s="854"/>
      <c r="O386" s="854"/>
      <c r="P386" s="854"/>
      <c r="Q386" s="854"/>
      <c r="R386" s="854"/>
      <c r="S386" s="854"/>
      <c r="T386" s="854"/>
      <c r="U386" s="854"/>
      <c r="V386" s="854"/>
      <c r="W386" s="854"/>
      <c r="X386" s="854"/>
      <c r="Y386" s="854"/>
      <c r="Z386" s="854"/>
      <c r="AA386" s="854"/>
      <c r="AB386" s="854"/>
      <c r="AC386" s="854"/>
      <c r="AD386" s="854"/>
      <c r="AE386" s="854"/>
      <c r="AF386" s="854"/>
      <c r="AG386" s="854"/>
      <c r="AH386" s="854"/>
      <c r="AI386" s="854"/>
      <c r="AJ386" s="854"/>
      <c r="AK386" s="854"/>
      <c r="AL386" s="854"/>
      <c r="AM386" s="854"/>
      <c r="AN386" s="854"/>
      <c r="AO386" s="854"/>
      <c r="AP386" s="854"/>
      <c r="AQ386" s="854"/>
      <c r="AR386" s="854"/>
      <c r="AS386" s="854"/>
      <c r="AT386" s="854"/>
      <c r="AU386" s="854"/>
      <c r="AV386" s="854"/>
      <c r="AW386" s="854"/>
      <c r="AX386" s="854"/>
      <c r="AY386" s="854"/>
      <c r="AZ386" s="854"/>
      <c r="BA386" s="854"/>
      <c r="BB386" s="854"/>
      <c r="BC386" s="854"/>
      <c r="BD386" s="854"/>
      <c r="BE386" s="854"/>
      <c r="BF386" s="854"/>
      <c r="BG386" s="854"/>
      <c r="BH386" s="854"/>
      <c r="BI386" s="854"/>
      <c r="BJ386" s="854"/>
      <c r="BK386" s="854"/>
      <c r="BL386" s="854"/>
      <c r="BM386" s="854"/>
      <c r="BN386" s="854"/>
      <c r="BO386" s="854"/>
      <c r="BP386" s="854"/>
      <c r="BQ386" s="854"/>
      <c r="BR386" s="854"/>
      <c r="BS386" s="854"/>
      <c r="BT386" s="854"/>
      <c r="BU386" s="854"/>
      <c r="BV386" s="854"/>
      <c r="BW386" s="854"/>
      <c r="BX386" s="854"/>
      <c r="BY386" s="854"/>
      <c r="BZ386" s="854"/>
      <c r="CA386" s="571">
        <f>IF(OR(I386="",I386&lt;'Configs &amp; Procedures'!$L$29),0,IF(I386&gt;'Configs &amp; Procedures'!$L$30,1,IF(F386&gt;'Configs &amp; Procedures'!$L$31,0,1)))</f>
        <v>0</v>
      </c>
    </row>
    <row r="387" spans="2:79">
      <c r="B387" s="854"/>
      <c r="C387" s="854"/>
      <c r="D387" s="854"/>
      <c r="E387" s="854"/>
      <c r="F387" s="854"/>
      <c r="G387" s="854"/>
      <c r="H387" s="854"/>
      <c r="I387" s="854"/>
      <c r="J387" s="854"/>
      <c r="K387" s="854"/>
      <c r="L387" s="854"/>
      <c r="M387" s="854"/>
      <c r="N387" s="854"/>
      <c r="O387" s="854"/>
      <c r="P387" s="854"/>
      <c r="Q387" s="854"/>
      <c r="R387" s="854"/>
      <c r="S387" s="854"/>
      <c r="T387" s="854"/>
      <c r="U387" s="854"/>
      <c r="V387" s="854"/>
      <c r="W387" s="854"/>
      <c r="X387" s="854"/>
      <c r="Y387" s="854"/>
      <c r="Z387" s="854"/>
      <c r="AA387" s="854"/>
      <c r="AB387" s="854"/>
      <c r="AC387" s="854"/>
      <c r="AD387" s="854"/>
      <c r="AE387" s="854"/>
      <c r="AF387" s="854"/>
      <c r="AG387" s="854"/>
      <c r="AH387" s="854"/>
      <c r="AI387" s="854"/>
      <c r="AJ387" s="854"/>
      <c r="AK387" s="854"/>
      <c r="AL387" s="854"/>
      <c r="AM387" s="854"/>
      <c r="AN387" s="854"/>
      <c r="AO387" s="854"/>
      <c r="AP387" s="854"/>
      <c r="AQ387" s="854"/>
      <c r="AR387" s="854"/>
      <c r="AS387" s="854"/>
      <c r="AT387" s="854"/>
      <c r="AU387" s="854"/>
      <c r="AV387" s="854"/>
      <c r="AW387" s="854"/>
      <c r="AX387" s="854"/>
      <c r="AY387" s="854"/>
      <c r="AZ387" s="854"/>
      <c r="BA387" s="854"/>
      <c r="BB387" s="854"/>
      <c r="BC387" s="854"/>
      <c r="BD387" s="854"/>
      <c r="BE387" s="854"/>
      <c r="BF387" s="854"/>
      <c r="BG387" s="854"/>
      <c r="BH387" s="854"/>
      <c r="BI387" s="854"/>
      <c r="BJ387" s="854"/>
      <c r="BK387" s="854"/>
      <c r="BL387" s="854"/>
      <c r="BM387" s="854"/>
      <c r="BN387" s="854"/>
      <c r="BO387" s="854"/>
      <c r="BP387" s="854"/>
      <c r="BQ387" s="854"/>
      <c r="BR387" s="854"/>
      <c r="BS387" s="854"/>
      <c r="BT387" s="854"/>
      <c r="BU387" s="854"/>
      <c r="BV387" s="854"/>
      <c r="BW387" s="854"/>
      <c r="BX387" s="854"/>
      <c r="BY387" s="854"/>
      <c r="BZ387" s="854"/>
      <c r="CA387" s="571">
        <f>IF(OR(I387="",I387&lt;'Configs &amp; Procedures'!$L$29),0,IF(I387&gt;'Configs &amp; Procedures'!$L$30,1,IF(F387&gt;'Configs &amp; Procedures'!$L$31,0,1)))</f>
        <v>0</v>
      </c>
    </row>
    <row r="388" spans="2:79">
      <c r="B388" s="854"/>
      <c r="C388" s="854"/>
      <c r="D388" s="854"/>
      <c r="E388" s="854"/>
      <c r="F388" s="854"/>
      <c r="G388" s="854"/>
      <c r="H388" s="854"/>
      <c r="I388" s="854"/>
      <c r="J388" s="854"/>
      <c r="K388" s="854"/>
      <c r="L388" s="854"/>
      <c r="M388" s="854"/>
      <c r="N388" s="854"/>
      <c r="O388" s="854"/>
      <c r="P388" s="854"/>
      <c r="Q388" s="854"/>
      <c r="R388" s="854"/>
      <c r="S388" s="854"/>
      <c r="T388" s="854"/>
      <c r="U388" s="854"/>
      <c r="V388" s="854"/>
      <c r="W388" s="854"/>
      <c r="X388" s="854"/>
      <c r="Y388" s="854"/>
      <c r="Z388" s="854"/>
      <c r="AA388" s="854"/>
      <c r="AB388" s="854"/>
      <c r="AC388" s="854"/>
      <c r="AD388" s="854"/>
      <c r="AE388" s="854"/>
      <c r="AF388" s="854"/>
      <c r="AG388" s="854"/>
      <c r="AH388" s="854"/>
      <c r="AI388" s="854"/>
      <c r="AJ388" s="854"/>
      <c r="AK388" s="854"/>
      <c r="AL388" s="854"/>
      <c r="AM388" s="854"/>
      <c r="AN388" s="854"/>
      <c r="AO388" s="854"/>
      <c r="AP388" s="854"/>
      <c r="AQ388" s="854"/>
      <c r="AR388" s="854"/>
      <c r="AS388" s="854"/>
      <c r="AT388" s="854"/>
      <c r="AU388" s="854"/>
      <c r="AV388" s="854"/>
      <c r="AW388" s="854"/>
      <c r="AX388" s="854"/>
      <c r="AY388" s="854"/>
      <c r="AZ388" s="854"/>
      <c r="BA388" s="854"/>
      <c r="BB388" s="854"/>
      <c r="BC388" s="854"/>
      <c r="BD388" s="854"/>
      <c r="BE388" s="854"/>
      <c r="BF388" s="854"/>
      <c r="BG388" s="854"/>
      <c r="BH388" s="854"/>
      <c r="BI388" s="854"/>
      <c r="BJ388" s="854"/>
      <c r="BK388" s="854"/>
      <c r="BL388" s="854"/>
      <c r="BM388" s="854"/>
      <c r="BN388" s="854"/>
      <c r="BO388" s="854"/>
      <c r="BP388" s="854"/>
      <c r="BQ388" s="854"/>
      <c r="BR388" s="854"/>
      <c r="BS388" s="854"/>
      <c r="BT388" s="854"/>
      <c r="BU388" s="854"/>
      <c r="BV388" s="854"/>
      <c r="BW388" s="854"/>
      <c r="BX388" s="854"/>
      <c r="BY388" s="854"/>
      <c r="BZ388" s="854"/>
      <c r="CA388" s="571">
        <f>IF(OR(I388="",I388&lt;'Configs &amp; Procedures'!$L$29),0,IF(I388&gt;'Configs &amp; Procedures'!$L$30,1,IF(F388&gt;'Configs &amp; Procedures'!$L$31,0,1)))</f>
        <v>0</v>
      </c>
    </row>
    <row r="389" spans="2:79">
      <c r="B389" s="854"/>
      <c r="C389" s="854"/>
      <c r="D389" s="854"/>
      <c r="E389" s="854"/>
      <c r="F389" s="854"/>
      <c r="G389" s="854"/>
      <c r="H389" s="854"/>
      <c r="I389" s="854"/>
      <c r="J389" s="854"/>
      <c r="K389" s="854"/>
      <c r="L389" s="854"/>
      <c r="M389" s="854"/>
      <c r="N389" s="854"/>
      <c r="O389" s="854"/>
      <c r="P389" s="854"/>
      <c r="Q389" s="854"/>
      <c r="R389" s="854"/>
      <c r="S389" s="854"/>
      <c r="T389" s="854"/>
      <c r="U389" s="854"/>
      <c r="V389" s="854"/>
      <c r="W389" s="854"/>
      <c r="X389" s="854"/>
      <c r="Y389" s="854"/>
      <c r="Z389" s="854"/>
      <c r="AA389" s="854"/>
      <c r="AB389" s="854"/>
      <c r="AC389" s="854"/>
      <c r="AD389" s="854"/>
      <c r="AE389" s="854"/>
      <c r="AF389" s="854"/>
      <c r="AG389" s="854"/>
      <c r="AH389" s="854"/>
      <c r="AI389" s="854"/>
      <c r="AJ389" s="854"/>
      <c r="AK389" s="854"/>
      <c r="AL389" s="854"/>
      <c r="AM389" s="854"/>
      <c r="AN389" s="854"/>
      <c r="AO389" s="854"/>
      <c r="AP389" s="854"/>
      <c r="AQ389" s="854"/>
      <c r="AR389" s="854"/>
      <c r="AS389" s="854"/>
      <c r="AT389" s="854"/>
      <c r="AU389" s="854"/>
      <c r="AV389" s="854"/>
      <c r="AW389" s="854"/>
      <c r="AX389" s="854"/>
      <c r="AY389" s="854"/>
      <c r="AZ389" s="854"/>
      <c r="BA389" s="854"/>
      <c r="BB389" s="854"/>
      <c r="BC389" s="854"/>
      <c r="BD389" s="854"/>
      <c r="BE389" s="854"/>
      <c r="BF389" s="854"/>
      <c r="BG389" s="854"/>
      <c r="BH389" s="854"/>
      <c r="BI389" s="854"/>
      <c r="BJ389" s="854"/>
      <c r="BK389" s="854"/>
      <c r="BL389" s="854"/>
      <c r="BM389" s="854"/>
      <c r="BN389" s="854"/>
      <c r="BO389" s="854"/>
      <c r="BP389" s="854"/>
      <c r="BQ389" s="854"/>
      <c r="BR389" s="854"/>
      <c r="BS389" s="854"/>
      <c r="BT389" s="854"/>
      <c r="BU389" s="854"/>
      <c r="BV389" s="854"/>
      <c r="BW389" s="854"/>
      <c r="BX389" s="854"/>
      <c r="BY389" s="854"/>
      <c r="BZ389" s="854"/>
      <c r="CA389" s="571">
        <f>IF(OR(I389="",I389&lt;'Configs &amp; Procedures'!$L$29),0,IF(I389&gt;'Configs &amp; Procedures'!$L$30,1,IF(F389&gt;'Configs &amp; Procedures'!$L$31,0,1)))</f>
        <v>0</v>
      </c>
    </row>
    <row r="390" spans="2:79">
      <c r="B390" s="854"/>
      <c r="C390" s="854"/>
      <c r="D390" s="854"/>
      <c r="E390" s="854"/>
      <c r="F390" s="854"/>
      <c r="G390" s="854"/>
      <c r="H390" s="854"/>
      <c r="I390" s="854"/>
      <c r="J390" s="854"/>
      <c r="K390" s="854"/>
      <c r="L390" s="854"/>
      <c r="M390" s="854"/>
      <c r="N390" s="854"/>
      <c r="O390" s="854"/>
      <c r="P390" s="854"/>
      <c r="Q390" s="854"/>
      <c r="R390" s="854"/>
      <c r="S390" s="854"/>
      <c r="T390" s="854"/>
      <c r="U390" s="854"/>
      <c r="V390" s="854"/>
      <c r="W390" s="854"/>
      <c r="X390" s="854"/>
      <c r="Y390" s="854"/>
      <c r="Z390" s="854"/>
      <c r="AA390" s="854"/>
      <c r="AB390" s="854"/>
      <c r="AC390" s="854"/>
      <c r="AD390" s="854"/>
      <c r="AE390" s="854"/>
      <c r="AF390" s="854"/>
      <c r="AG390" s="854"/>
      <c r="AH390" s="854"/>
      <c r="AI390" s="854"/>
      <c r="AJ390" s="854"/>
      <c r="AK390" s="854"/>
      <c r="AL390" s="854"/>
      <c r="AM390" s="854"/>
      <c r="AN390" s="854"/>
      <c r="AO390" s="854"/>
      <c r="AP390" s="854"/>
      <c r="AQ390" s="854"/>
      <c r="AR390" s="854"/>
      <c r="AS390" s="854"/>
      <c r="AT390" s="854"/>
      <c r="AU390" s="854"/>
      <c r="AV390" s="854"/>
      <c r="AW390" s="854"/>
      <c r="AX390" s="854"/>
      <c r="AY390" s="854"/>
      <c r="AZ390" s="854"/>
      <c r="BA390" s="854"/>
      <c r="BB390" s="854"/>
      <c r="BC390" s="854"/>
      <c r="BD390" s="854"/>
      <c r="BE390" s="854"/>
      <c r="BF390" s="854"/>
      <c r="BG390" s="854"/>
      <c r="BH390" s="854"/>
      <c r="BI390" s="854"/>
      <c r="BJ390" s="854"/>
      <c r="BK390" s="854"/>
      <c r="BL390" s="854"/>
      <c r="BM390" s="854"/>
      <c r="BN390" s="854"/>
      <c r="BO390" s="854"/>
      <c r="BP390" s="854"/>
      <c r="BQ390" s="854"/>
      <c r="BR390" s="854"/>
      <c r="BS390" s="854"/>
      <c r="BT390" s="854"/>
      <c r="BU390" s="854"/>
      <c r="BV390" s="854"/>
      <c r="BW390" s="854"/>
      <c r="BX390" s="854"/>
      <c r="BY390" s="854"/>
      <c r="BZ390" s="854"/>
      <c r="CA390" s="571">
        <f>IF(OR(I390="",I390&lt;'Configs &amp; Procedures'!$L$29),0,IF(I390&gt;'Configs &amp; Procedures'!$L$30,1,IF(F390&gt;'Configs &amp; Procedures'!$L$31,0,1)))</f>
        <v>0</v>
      </c>
    </row>
    <row r="391" spans="2:79">
      <c r="B391" s="854"/>
      <c r="C391" s="854"/>
      <c r="D391" s="854"/>
      <c r="E391" s="854"/>
      <c r="F391" s="854"/>
      <c r="G391" s="854"/>
      <c r="H391" s="854"/>
      <c r="I391" s="854"/>
      <c r="J391" s="854"/>
      <c r="K391" s="854"/>
      <c r="L391" s="854"/>
      <c r="M391" s="854"/>
      <c r="N391" s="854"/>
      <c r="O391" s="854"/>
      <c r="P391" s="854"/>
      <c r="Q391" s="854"/>
      <c r="R391" s="854"/>
      <c r="S391" s="854"/>
      <c r="T391" s="854"/>
      <c r="U391" s="854"/>
      <c r="V391" s="854"/>
      <c r="W391" s="854"/>
      <c r="X391" s="854"/>
      <c r="Y391" s="854"/>
      <c r="Z391" s="854"/>
      <c r="AA391" s="854"/>
      <c r="AB391" s="854"/>
      <c r="AC391" s="854"/>
      <c r="AD391" s="854"/>
      <c r="AE391" s="854"/>
      <c r="AF391" s="854"/>
      <c r="AG391" s="854"/>
      <c r="AH391" s="854"/>
      <c r="AI391" s="854"/>
      <c r="AJ391" s="854"/>
      <c r="AK391" s="854"/>
      <c r="AL391" s="854"/>
      <c r="AM391" s="854"/>
      <c r="AN391" s="854"/>
      <c r="AO391" s="854"/>
      <c r="AP391" s="854"/>
      <c r="AQ391" s="854"/>
      <c r="AR391" s="854"/>
      <c r="AS391" s="854"/>
      <c r="AT391" s="854"/>
      <c r="AU391" s="854"/>
      <c r="AV391" s="854"/>
      <c r="AW391" s="854"/>
      <c r="AX391" s="854"/>
      <c r="AY391" s="854"/>
      <c r="AZ391" s="854"/>
      <c r="BA391" s="854"/>
      <c r="BB391" s="854"/>
      <c r="BC391" s="854"/>
      <c r="BD391" s="854"/>
      <c r="BE391" s="854"/>
      <c r="BF391" s="854"/>
      <c r="BG391" s="854"/>
      <c r="BH391" s="854"/>
      <c r="BI391" s="854"/>
      <c r="BJ391" s="854"/>
      <c r="BK391" s="854"/>
      <c r="BL391" s="854"/>
      <c r="BM391" s="854"/>
      <c r="BN391" s="854"/>
      <c r="BO391" s="854"/>
      <c r="BP391" s="854"/>
      <c r="BQ391" s="854"/>
      <c r="BR391" s="854"/>
      <c r="BS391" s="854"/>
      <c r="BT391" s="854"/>
      <c r="BU391" s="854"/>
      <c r="BV391" s="854"/>
      <c r="BW391" s="854"/>
      <c r="BX391" s="854"/>
      <c r="BY391" s="854"/>
      <c r="BZ391" s="854"/>
      <c r="CA391" s="571">
        <f>IF(OR(I391="",I391&lt;'Configs &amp; Procedures'!$L$29),0,IF(I391&gt;'Configs &amp; Procedures'!$L$30,1,IF(F391&gt;'Configs &amp; Procedures'!$L$31,0,1)))</f>
        <v>0</v>
      </c>
    </row>
    <row r="392" spans="2:79">
      <c r="B392" s="854"/>
      <c r="C392" s="854"/>
      <c r="D392" s="854"/>
      <c r="E392" s="854"/>
      <c r="F392" s="854"/>
      <c r="G392" s="854"/>
      <c r="H392" s="854"/>
      <c r="I392" s="854"/>
      <c r="J392" s="854"/>
      <c r="K392" s="854"/>
      <c r="L392" s="854"/>
      <c r="M392" s="854"/>
      <c r="N392" s="854"/>
      <c r="O392" s="854"/>
      <c r="P392" s="854"/>
      <c r="Q392" s="854"/>
      <c r="R392" s="854"/>
      <c r="S392" s="854"/>
      <c r="T392" s="854"/>
      <c r="U392" s="854"/>
      <c r="V392" s="854"/>
      <c r="W392" s="854"/>
      <c r="X392" s="854"/>
      <c r="Y392" s="854"/>
      <c r="Z392" s="854"/>
      <c r="AA392" s="854"/>
      <c r="AB392" s="854"/>
      <c r="AC392" s="854"/>
      <c r="AD392" s="854"/>
      <c r="AE392" s="854"/>
      <c r="AF392" s="854"/>
      <c r="AG392" s="854"/>
      <c r="AH392" s="854"/>
      <c r="AI392" s="854"/>
      <c r="AJ392" s="854"/>
      <c r="AK392" s="854"/>
      <c r="AL392" s="854"/>
      <c r="AM392" s="854"/>
      <c r="AN392" s="854"/>
      <c r="AO392" s="854"/>
      <c r="AP392" s="854"/>
      <c r="AQ392" s="854"/>
      <c r="AR392" s="854"/>
      <c r="AS392" s="854"/>
      <c r="AT392" s="854"/>
      <c r="AU392" s="854"/>
      <c r="AV392" s="854"/>
      <c r="AW392" s="854"/>
      <c r="AX392" s="854"/>
      <c r="AY392" s="854"/>
      <c r="AZ392" s="854"/>
      <c r="BA392" s="854"/>
      <c r="BB392" s="854"/>
      <c r="BC392" s="854"/>
      <c r="BD392" s="854"/>
      <c r="BE392" s="854"/>
      <c r="BF392" s="854"/>
      <c r="BG392" s="854"/>
      <c r="BH392" s="854"/>
      <c r="BI392" s="854"/>
      <c r="BJ392" s="854"/>
      <c r="BK392" s="854"/>
      <c r="BL392" s="854"/>
      <c r="BM392" s="854"/>
      <c r="BN392" s="854"/>
      <c r="BO392" s="854"/>
      <c r="BP392" s="854"/>
      <c r="BQ392" s="854"/>
      <c r="BR392" s="854"/>
      <c r="BS392" s="854"/>
      <c r="BT392" s="854"/>
      <c r="BU392" s="854"/>
      <c r="BV392" s="854"/>
      <c r="BW392" s="854"/>
      <c r="BX392" s="854"/>
      <c r="BY392" s="854"/>
      <c r="BZ392" s="854"/>
      <c r="CA392" s="571">
        <f>IF(OR(I392="",I392&lt;'Configs &amp; Procedures'!$L$29),0,IF(I392&gt;'Configs &amp; Procedures'!$L$30,1,IF(F392&gt;'Configs &amp; Procedures'!$L$31,0,1)))</f>
        <v>0</v>
      </c>
    </row>
    <row r="393" spans="2:79">
      <c r="B393" s="854"/>
      <c r="C393" s="854"/>
      <c r="D393" s="854"/>
      <c r="E393" s="854"/>
      <c r="F393" s="854"/>
      <c r="G393" s="854"/>
      <c r="H393" s="854"/>
      <c r="I393" s="854"/>
      <c r="J393" s="854"/>
      <c r="K393" s="854"/>
      <c r="L393" s="854"/>
      <c r="M393" s="854"/>
      <c r="N393" s="854"/>
      <c r="O393" s="854"/>
      <c r="P393" s="854"/>
      <c r="Q393" s="854"/>
      <c r="R393" s="854"/>
      <c r="S393" s="854"/>
      <c r="T393" s="854"/>
      <c r="U393" s="854"/>
      <c r="V393" s="854"/>
      <c r="W393" s="854"/>
      <c r="X393" s="854"/>
      <c r="Y393" s="854"/>
      <c r="Z393" s="854"/>
      <c r="AA393" s="854"/>
      <c r="AB393" s="854"/>
      <c r="AC393" s="854"/>
      <c r="AD393" s="854"/>
      <c r="AE393" s="854"/>
      <c r="AF393" s="854"/>
      <c r="AG393" s="854"/>
      <c r="AH393" s="854"/>
      <c r="AI393" s="854"/>
      <c r="AJ393" s="854"/>
      <c r="AK393" s="854"/>
      <c r="AL393" s="854"/>
      <c r="AM393" s="854"/>
      <c r="AN393" s="854"/>
      <c r="AO393" s="854"/>
      <c r="AP393" s="854"/>
      <c r="AQ393" s="854"/>
      <c r="AR393" s="854"/>
      <c r="AS393" s="854"/>
      <c r="AT393" s="854"/>
      <c r="AU393" s="854"/>
      <c r="AV393" s="854"/>
      <c r="AW393" s="854"/>
      <c r="AX393" s="854"/>
      <c r="AY393" s="854"/>
      <c r="AZ393" s="854"/>
      <c r="BA393" s="854"/>
      <c r="BB393" s="854"/>
      <c r="BC393" s="854"/>
      <c r="BD393" s="854"/>
      <c r="BE393" s="854"/>
      <c r="BF393" s="854"/>
      <c r="BG393" s="854"/>
      <c r="BH393" s="854"/>
      <c r="BI393" s="854"/>
      <c r="BJ393" s="854"/>
      <c r="BK393" s="854"/>
      <c r="BL393" s="854"/>
      <c r="BM393" s="854"/>
      <c r="BN393" s="854"/>
      <c r="BO393" s="854"/>
      <c r="BP393" s="854"/>
      <c r="BQ393" s="854"/>
      <c r="BR393" s="854"/>
      <c r="BS393" s="854"/>
      <c r="BT393" s="854"/>
      <c r="BU393" s="854"/>
      <c r="BV393" s="854"/>
      <c r="BW393" s="854"/>
      <c r="BX393" s="854"/>
      <c r="BY393" s="854"/>
      <c r="BZ393" s="854"/>
      <c r="CA393" s="571">
        <f>IF(OR(I393="",I393&lt;'Configs &amp; Procedures'!$L$29),0,IF(I393&gt;'Configs &amp; Procedures'!$L$30,1,IF(F393&gt;'Configs &amp; Procedures'!$L$31,0,1)))</f>
        <v>0</v>
      </c>
    </row>
    <row r="394" spans="2:79">
      <c r="B394" s="854"/>
      <c r="C394" s="854"/>
      <c r="D394" s="854"/>
      <c r="E394" s="854"/>
      <c r="F394" s="854"/>
      <c r="G394" s="854"/>
      <c r="H394" s="854"/>
      <c r="I394" s="854"/>
      <c r="J394" s="854"/>
      <c r="K394" s="854"/>
      <c r="L394" s="854"/>
      <c r="M394" s="854"/>
      <c r="N394" s="854"/>
      <c r="O394" s="854"/>
      <c r="P394" s="854"/>
      <c r="Q394" s="854"/>
      <c r="R394" s="854"/>
      <c r="S394" s="854"/>
      <c r="T394" s="854"/>
      <c r="U394" s="854"/>
      <c r="V394" s="854"/>
      <c r="W394" s="854"/>
      <c r="X394" s="854"/>
      <c r="Y394" s="854"/>
      <c r="Z394" s="854"/>
      <c r="AA394" s="854"/>
      <c r="AB394" s="854"/>
      <c r="AC394" s="854"/>
      <c r="AD394" s="854"/>
      <c r="AE394" s="854"/>
      <c r="AF394" s="854"/>
      <c r="AG394" s="854"/>
      <c r="AH394" s="854"/>
      <c r="AI394" s="854"/>
      <c r="AJ394" s="854"/>
      <c r="AK394" s="854"/>
      <c r="AL394" s="854"/>
      <c r="AM394" s="854"/>
      <c r="AN394" s="854"/>
      <c r="AO394" s="854"/>
      <c r="AP394" s="854"/>
      <c r="AQ394" s="854"/>
      <c r="AR394" s="854"/>
      <c r="AS394" s="854"/>
      <c r="AT394" s="854"/>
      <c r="AU394" s="854"/>
      <c r="AV394" s="854"/>
      <c r="AW394" s="854"/>
      <c r="AX394" s="854"/>
      <c r="AY394" s="854"/>
      <c r="AZ394" s="854"/>
      <c r="BA394" s="854"/>
      <c r="BB394" s="854"/>
      <c r="BC394" s="854"/>
      <c r="BD394" s="854"/>
      <c r="BE394" s="854"/>
      <c r="BF394" s="854"/>
      <c r="BG394" s="854"/>
      <c r="BH394" s="854"/>
      <c r="BI394" s="854"/>
      <c r="BJ394" s="854"/>
      <c r="BK394" s="854"/>
      <c r="BL394" s="854"/>
      <c r="BM394" s="854"/>
      <c r="BN394" s="854"/>
      <c r="BO394" s="854"/>
      <c r="BP394" s="854"/>
      <c r="BQ394" s="854"/>
      <c r="BR394" s="854"/>
      <c r="BS394" s="854"/>
      <c r="BT394" s="854"/>
      <c r="BU394" s="854"/>
      <c r="BV394" s="854"/>
      <c r="BW394" s="854"/>
      <c r="BX394" s="854"/>
      <c r="BY394" s="854"/>
      <c r="BZ394" s="854"/>
      <c r="CA394" s="571">
        <f>IF(OR(I394="",I394&lt;'Configs &amp; Procedures'!$L$29),0,IF(I394&gt;'Configs &amp; Procedures'!$L$30,1,IF(F394&gt;'Configs &amp; Procedures'!$L$31,0,1)))</f>
        <v>0</v>
      </c>
    </row>
    <row r="395" spans="2:79">
      <c r="B395" s="854"/>
      <c r="C395" s="854"/>
      <c r="D395" s="854"/>
      <c r="E395" s="854"/>
      <c r="F395" s="854"/>
      <c r="G395" s="854"/>
      <c r="H395" s="854"/>
      <c r="I395" s="854"/>
      <c r="J395" s="854"/>
      <c r="K395" s="854"/>
      <c r="L395" s="854"/>
      <c r="M395" s="854"/>
      <c r="N395" s="854"/>
      <c r="O395" s="854"/>
      <c r="P395" s="854"/>
      <c r="Q395" s="854"/>
      <c r="R395" s="854"/>
      <c r="S395" s="854"/>
      <c r="T395" s="854"/>
      <c r="U395" s="854"/>
      <c r="V395" s="854"/>
      <c r="W395" s="854"/>
      <c r="X395" s="854"/>
      <c r="Y395" s="854"/>
      <c r="Z395" s="854"/>
      <c r="AA395" s="854"/>
      <c r="AB395" s="854"/>
      <c r="AC395" s="854"/>
      <c r="AD395" s="854"/>
      <c r="AE395" s="854"/>
      <c r="AF395" s="854"/>
      <c r="AG395" s="854"/>
      <c r="AH395" s="854"/>
      <c r="AI395" s="854"/>
      <c r="AJ395" s="854"/>
      <c r="AK395" s="854"/>
      <c r="AL395" s="854"/>
      <c r="AM395" s="854"/>
      <c r="AN395" s="854"/>
      <c r="AO395" s="854"/>
      <c r="AP395" s="854"/>
      <c r="AQ395" s="854"/>
      <c r="AR395" s="854"/>
      <c r="AS395" s="854"/>
      <c r="AT395" s="854"/>
      <c r="AU395" s="854"/>
      <c r="AV395" s="854"/>
      <c r="AW395" s="854"/>
      <c r="AX395" s="854"/>
      <c r="AY395" s="854"/>
      <c r="AZ395" s="854"/>
      <c r="BA395" s="854"/>
      <c r="BB395" s="854"/>
      <c r="BC395" s="854"/>
      <c r="BD395" s="854"/>
      <c r="BE395" s="854"/>
      <c r="BF395" s="854"/>
      <c r="BG395" s="854"/>
      <c r="BH395" s="854"/>
      <c r="BI395" s="854"/>
      <c r="BJ395" s="854"/>
      <c r="BK395" s="854"/>
      <c r="BL395" s="854"/>
      <c r="BM395" s="854"/>
      <c r="BN395" s="854"/>
      <c r="BO395" s="854"/>
      <c r="BP395" s="854"/>
      <c r="BQ395" s="854"/>
      <c r="BR395" s="854"/>
      <c r="BS395" s="854"/>
      <c r="BT395" s="854"/>
      <c r="BU395" s="854"/>
      <c r="BV395" s="854"/>
      <c r="BW395" s="854"/>
      <c r="BX395" s="854"/>
      <c r="BY395" s="854"/>
      <c r="BZ395" s="854"/>
      <c r="CA395" s="571">
        <f>IF(OR(I395="",I395&lt;'Configs &amp; Procedures'!$L$29),0,IF(I395&gt;'Configs &amp; Procedures'!$L$30,1,IF(F395&gt;'Configs &amp; Procedures'!$L$31,0,1)))</f>
        <v>0</v>
      </c>
    </row>
    <row r="396" spans="2:79">
      <c r="B396" s="854"/>
      <c r="C396" s="854"/>
      <c r="D396" s="854"/>
      <c r="E396" s="854"/>
      <c r="F396" s="854"/>
      <c r="G396" s="854"/>
      <c r="H396" s="854"/>
      <c r="I396" s="854"/>
      <c r="J396" s="854"/>
      <c r="K396" s="854"/>
      <c r="L396" s="854"/>
      <c r="M396" s="854"/>
      <c r="N396" s="854"/>
      <c r="O396" s="854"/>
      <c r="P396" s="854"/>
      <c r="Q396" s="854"/>
      <c r="R396" s="854"/>
      <c r="S396" s="854"/>
      <c r="T396" s="854"/>
      <c r="U396" s="854"/>
      <c r="V396" s="854"/>
      <c r="W396" s="854"/>
      <c r="X396" s="854"/>
      <c r="Y396" s="854"/>
      <c r="Z396" s="854"/>
      <c r="AA396" s="854"/>
      <c r="AB396" s="854"/>
      <c r="AC396" s="854"/>
      <c r="AD396" s="854"/>
      <c r="AE396" s="854"/>
      <c r="AF396" s="854"/>
      <c r="AG396" s="854"/>
      <c r="AH396" s="854"/>
      <c r="AI396" s="854"/>
      <c r="AJ396" s="854"/>
      <c r="AK396" s="854"/>
      <c r="AL396" s="854"/>
      <c r="AM396" s="854"/>
      <c r="AN396" s="854"/>
      <c r="AO396" s="854"/>
      <c r="AP396" s="854"/>
      <c r="AQ396" s="854"/>
      <c r="AR396" s="854"/>
      <c r="AS396" s="854"/>
      <c r="AT396" s="854"/>
      <c r="AU396" s="854"/>
      <c r="AV396" s="854"/>
      <c r="AW396" s="854"/>
      <c r="AX396" s="854"/>
      <c r="AY396" s="854"/>
      <c r="AZ396" s="854"/>
      <c r="BA396" s="854"/>
      <c r="BB396" s="854"/>
      <c r="BC396" s="854"/>
      <c r="BD396" s="854"/>
      <c r="BE396" s="854"/>
      <c r="BF396" s="854"/>
      <c r="BG396" s="854"/>
      <c r="BH396" s="854"/>
      <c r="BI396" s="854"/>
      <c r="BJ396" s="854"/>
      <c r="BK396" s="854"/>
      <c r="BL396" s="854"/>
      <c r="BM396" s="854"/>
      <c r="BN396" s="854"/>
      <c r="BO396" s="854"/>
      <c r="BP396" s="854"/>
      <c r="BQ396" s="854"/>
      <c r="BR396" s="854"/>
      <c r="BS396" s="854"/>
      <c r="BT396" s="854"/>
      <c r="BU396" s="854"/>
      <c r="BV396" s="854"/>
      <c r="BW396" s="854"/>
      <c r="BX396" s="854"/>
      <c r="BY396" s="854"/>
      <c r="BZ396" s="854"/>
      <c r="CA396" s="571">
        <f>IF(OR(I396="",I396&lt;'Configs &amp; Procedures'!$L$29),0,IF(I396&gt;'Configs &amp; Procedures'!$L$30,1,IF(F396&gt;'Configs &amp; Procedures'!$L$31,0,1)))</f>
        <v>0</v>
      </c>
    </row>
    <row r="397" spans="2:79">
      <c r="B397" s="854"/>
      <c r="C397" s="854"/>
      <c r="D397" s="854"/>
      <c r="E397" s="854"/>
      <c r="F397" s="854"/>
      <c r="G397" s="854"/>
      <c r="H397" s="854"/>
      <c r="I397" s="854"/>
      <c r="J397" s="854"/>
      <c r="K397" s="854"/>
      <c r="L397" s="854"/>
      <c r="M397" s="854"/>
      <c r="N397" s="854"/>
      <c r="O397" s="854"/>
      <c r="P397" s="854"/>
      <c r="Q397" s="854"/>
      <c r="R397" s="854"/>
      <c r="S397" s="854"/>
      <c r="T397" s="854"/>
      <c r="U397" s="854"/>
      <c r="V397" s="854"/>
      <c r="W397" s="854"/>
      <c r="X397" s="854"/>
      <c r="Y397" s="854"/>
      <c r="Z397" s="854"/>
      <c r="AA397" s="854"/>
      <c r="AB397" s="854"/>
      <c r="AC397" s="854"/>
      <c r="AD397" s="854"/>
      <c r="AE397" s="854"/>
      <c r="AF397" s="854"/>
      <c r="AG397" s="854"/>
      <c r="AH397" s="854"/>
      <c r="AI397" s="854"/>
      <c r="AJ397" s="854"/>
      <c r="AK397" s="854"/>
      <c r="AL397" s="854"/>
      <c r="AM397" s="854"/>
      <c r="AN397" s="854"/>
      <c r="AO397" s="854"/>
      <c r="AP397" s="854"/>
      <c r="AQ397" s="854"/>
      <c r="AR397" s="854"/>
      <c r="AS397" s="854"/>
      <c r="AT397" s="854"/>
      <c r="AU397" s="854"/>
      <c r="AV397" s="854"/>
      <c r="AW397" s="854"/>
      <c r="AX397" s="854"/>
      <c r="AY397" s="854"/>
      <c r="AZ397" s="854"/>
      <c r="BA397" s="854"/>
      <c r="BB397" s="854"/>
      <c r="BC397" s="854"/>
      <c r="BD397" s="854"/>
      <c r="BE397" s="854"/>
      <c r="BF397" s="854"/>
      <c r="BG397" s="854"/>
      <c r="BH397" s="854"/>
      <c r="BI397" s="854"/>
      <c r="BJ397" s="854"/>
      <c r="BK397" s="854"/>
      <c r="BL397" s="854"/>
      <c r="BM397" s="854"/>
      <c r="BN397" s="854"/>
      <c r="BO397" s="854"/>
      <c r="BP397" s="854"/>
      <c r="BQ397" s="854"/>
      <c r="BR397" s="854"/>
      <c r="BS397" s="854"/>
      <c r="BT397" s="854"/>
      <c r="BU397" s="854"/>
      <c r="BV397" s="854"/>
      <c r="BW397" s="854"/>
      <c r="BX397" s="854"/>
      <c r="BY397" s="854"/>
      <c r="BZ397" s="854"/>
      <c r="CA397" s="571">
        <f>IF(OR(I397="",I397&lt;'Configs &amp; Procedures'!$L$29),0,IF(I397&gt;'Configs &amp; Procedures'!$L$30,1,IF(F397&gt;'Configs &amp; Procedures'!$L$31,0,1)))</f>
        <v>0</v>
      </c>
    </row>
    <row r="398" spans="2:79">
      <c r="B398" s="854"/>
      <c r="C398" s="854"/>
      <c r="D398" s="854"/>
      <c r="E398" s="854"/>
      <c r="F398" s="854"/>
      <c r="G398" s="854"/>
      <c r="H398" s="854"/>
      <c r="I398" s="854"/>
      <c r="J398" s="854"/>
      <c r="K398" s="854"/>
      <c r="L398" s="854"/>
      <c r="M398" s="854"/>
      <c r="N398" s="854"/>
      <c r="O398" s="854"/>
      <c r="P398" s="854"/>
      <c r="Q398" s="854"/>
      <c r="R398" s="854"/>
      <c r="S398" s="854"/>
      <c r="T398" s="854"/>
      <c r="U398" s="854"/>
      <c r="V398" s="854"/>
      <c r="W398" s="854"/>
      <c r="X398" s="854"/>
      <c r="Y398" s="854"/>
      <c r="Z398" s="854"/>
      <c r="AA398" s="854"/>
      <c r="AB398" s="854"/>
      <c r="AC398" s="854"/>
      <c r="AD398" s="854"/>
      <c r="AE398" s="854"/>
      <c r="AF398" s="854"/>
      <c r="AG398" s="854"/>
      <c r="AH398" s="854"/>
      <c r="AI398" s="854"/>
      <c r="AJ398" s="854"/>
      <c r="AK398" s="854"/>
      <c r="AL398" s="854"/>
      <c r="AM398" s="854"/>
      <c r="AN398" s="854"/>
      <c r="AO398" s="854"/>
      <c r="AP398" s="854"/>
      <c r="AQ398" s="854"/>
      <c r="AR398" s="854"/>
      <c r="AS398" s="854"/>
      <c r="AT398" s="854"/>
      <c r="AU398" s="854"/>
      <c r="AV398" s="854"/>
      <c r="AW398" s="854"/>
      <c r="AX398" s="854"/>
      <c r="AY398" s="854"/>
      <c r="AZ398" s="854"/>
      <c r="BA398" s="854"/>
      <c r="BB398" s="854"/>
      <c r="BC398" s="854"/>
      <c r="BD398" s="854"/>
      <c r="BE398" s="854"/>
      <c r="BF398" s="854"/>
      <c r="BG398" s="854"/>
      <c r="BH398" s="854"/>
      <c r="BI398" s="854"/>
      <c r="BJ398" s="854"/>
      <c r="BK398" s="854"/>
      <c r="BL398" s="854"/>
      <c r="BM398" s="854"/>
      <c r="BN398" s="854"/>
      <c r="BO398" s="854"/>
      <c r="BP398" s="854"/>
      <c r="BQ398" s="854"/>
      <c r="BR398" s="854"/>
      <c r="BS398" s="854"/>
      <c r="BT398" s="854"/>
      <c r="BU398" s="854"/>
      <c r="BV398" s="854"/>
      <c r="BW398" s="854"/>
      <c r="BX398" s="854"/>
      <c r="BY398" s="854"/>
      <c r="BZ398" s="854"/>
      <c r="CA398" s="571">
        <f>IF(OR(I398="",I398&lt;'Configs &amp; Procedures'!$L$29),0,IF(I398&gt;'Configs &amp; Procedures'!$L$30,1,IF(F398&gt;'Configs &amp; Procedures'!$L$31,0,1)))</f>
        <v>0</v>
      </c>
    </row>
    <row r="399" spans="2:79">
      <c r="B399" s="854"/>
      <c r="C399" s="854"/>
      <c r="D399" s="854"/>
      <c r="E399" s="854"/>
      <c r="F399" s="854"/>
      <c r="G399" s="854"/>
      <c r="H399" s="854"/>
      <c r="I399" s="854"/>
      <c r="J399" s="854"/>
      <c r="K399" s="854"/>
      <c r="L399" s="854"/>
      <c r="M399" s="854"/>
      <c r="N399" s="854"/>
      <c r="O399" s="854"/>
      <c r="P399" s="854"/>
      <c r="Q399" s="854"/>
      <c r="R399" s="854"/>
      <c r="S399" s="854"/>
      <c r="T399" s="854"/>
      <c r="U399" s="854"/>
      <c r="V399" s="854"/>
      <c r="W399" s="854"/>
      <c r="X399" s="854"/>
      <c r="Y399" s="854"/>
      <c r="Z399" s="854"/>
      <c r="AA399" s="854"/>
      <c r="AB399" s="854"/>
      <c r="AC399" s="854"/>
      <c r="AD399" s="854"/>
      <c r="AE399" s="854"/>
      <c r="AF399" s="854"/>
      <c r="AG399" s="854"/>
      <c r="AH399" s="854"/>
      <c r="AI399" s="854"/>
      <c r="AJ399" s="854"/>
      <c r="AK399" s="854"/>
      <c r="AL399" s="854"/>
      <c r="AM399" s="854"/>
      <c r="AN399" s="854"/>
      <c r="AO399" s="854"/>
      <c r="AP399" s="854"/>
      <c r="AQ399" s="854"/>
      <c r="AR399" s="854"/>
      <c r="AS399" s="854"/>
      <c r="AT399" s="854"/>
      <c r="AU399" s="854"/>
      <c r="AV399" s="854"/>
      <c r="AW399" s="854"/>
      <c r="AX399" s="854"/>
      <c r="AY399" s="854"/>
      <c r="AZ399" s="854"/>
      <c r="BA399" s="854"/>
      <c r="BB399" s="854"/>
      <c r="BC399" s="854"/>
      <c r="BD399" s="854"/>
      <c r="BE399" s="854"/>
      <c r="BF399" s="854"/>
      <c r="BG399" s="854"/>
      <c r="BH399" s="854"/>
      <c r="BI399" s="854"/>
      <c r="BJ399" s="854"/>
      <c r="BK399" s="854"/>
      <c r="BL399" s="854"/>
      <c r="BM399" s="854"/>
      <c r="BN399" s="854"/>
      <c r="BO399" s="854"/>
      <c r="BP399" s="854"/>
      <c r="BQ399" s="854"/>
      <c r="BR399" s="854"/>
      <c r="BS399" s="854"/>
      <c r="BT399" s="854"/>
      <c r="BU399" s="854"/>
      <c r="BV399" s="854"/>
      <c r="BW399" s="854"/>
      <c r="BX399" s="854"/>
      <c r="BY399" s="854"/>
      <c r="BZ399" s="854"/>
      <c r="CA399" s="571">
        <f>IF(OR(I399="",I399&lt;'Configs &amp; Procedures'!$L$29),0,IF(I399&gt;'Configs &amp; Procedures'!$L$30,1,IF(F399&gt;'Configs &amp; Procedures'!$L$31,0,1)))</f>
        <v>0</v>
      </c>
    </row>
    <row r="400" spans="2:79">
      <c r="B400" s="854"/>
      <c r="C400" s="854"/>
      <c r="D400" s="854"/>
      <c r="E400" s="854"/>
      <c r="F400" s="854"/>
      <c r="G400" s="854"/>
      <c r="H400" s="854"/>
      <c r="I400" s="854"/>
      <c r="J400" s="854"/>
      <c r="K400" s="854"/>
      <c r="L400" s="854"/>
      <c r="M400" s="854"/>
      <c r="N400" s="854"/>
      <c r="O400" s="854"/>
      <c r="P400" s="854"/>
      <c r="Q400" s="854"/>
      <c r="R400" s="854"/>
      <c r="S400" s="854"/>
      <c r="T400" s="854"/>
      <c r="U400" s="854"/>
      <c r="V400" s="854"/>
      <c r="W400" s="854"/>
      <c r="X400" s="854"/>
      <c r="Y400" s="854"/>
      <c r="Z400" s="854"/>
      <c r="AA400" s="854"/>
      <c r="AB400" s="854"/>
      <c r="AC400" s="854"/>
      <c r="AD400" s="854"/>
      <c r="AE400" s="854"/>
      <c r="AF400" s="854"/>
      <c r="AG400" s="854"/>
      <c r="AH400" s="854"/>
      <c r="AI400" s="854"/>
      <c r="AJ400" s="854"/>
      <c r="AK400" s="854"/>
      <c r="AL400" s="854"/>
      <c r="AM400" s="854"/>
      <c r="AN400" s="854"/>
      <c r="AO400" s="854"/>
      <c r="AP400" s="854"/>
      <c r="AQ400" s="854"/>
      <c r="AR400" s="854"/>
      <c r="AS400" s="854"/>
      <c r="AT400" s="854"/>
      <c r="AU400" s="854"/>
      <c r="AV400" s="854"/>
      <c r="AW400" s="854"/>
      <c r="AX400" s="854"/>
      <c r="AY400" s="854"/>
      <c r="AZ400" s="854"/>
      <c r="BA400" s="854"/>
      <c r="BB400" s="854"/>
      <c r="BC400" s="854"/>
      <c r="BD400" s="854"/>
      <c r="BE400" s="854"/>
      <c r="BF400" s="854"/>
      <c r="BG400" s="854"/>
      <c r="BH400" s="854"/>
      <c r="BI400" s="854"/>
      <c r="BJ400" s="854"/>
      <c r="BK400" s="854"/>
      <c r="BL400" s="854"/>
      <c r="BM400" s="854"/>
      <c r="BN400" s="854"/>
      <c r="BO400" s="854"/>
      <c r="BP400" s="854"/>
      <c r="BQ400" s="854"/>
      <c r="BR400" s="854"/>
      <c r="BS400" s="854"/>
      <c r="BT400" s="854"/>
      <c r="BU400" s="854"/>
      <c r="BV400" s="854"/>
      <c r="BW400" s="854"/>
      <c r="BX400" s="854"/>
      <c r="BY400" s="854"/>
      <c r="BZ400" s="854"/>
      <c r="CA400" s="571">
        <f>IF(OR(I400="",I400&lt;'Configs &amp; Procedures'!$L$29),0,IF(I400&gt;'Configs &amp; Procedures'!$L$30,1,IF(F400&gt;'Configs &amp; Procedures'!$L$31,0,1)))</f>
        <v>0</v>
      </c>
    </row>
    <row r="401" spans="2:79">
      <c r="B401" s="854"/>
      <c r="C401" s="854"/>
      <c r="D401" s="854"/>
      <c r="E401" s="854"/>
      <c r="F401" s="854"/>
      <c r="G401" s="854"/>
      <c r="H401" s="854"/>
      <c r="I401" s="854"/>
      <c r="J401" s="854"/>
      <c r="K401" s="854"/>
      <c r="L401" s="854"/>
      <c r="M401" s="854"/>
      <c r="N401" s="854"/>
      <c r="O401" s="854"/>
      <c r="P401" s="854"/>
      <c r="Q401" s="854"/>
      <c r="R401" s="854"/>
      <c r="S401" s="854"/>
      <c r="T401" s="854"/>
      <c r="U401" s="854"/>
      <c r="V401" s="854"/>
      <c r="W401" s="854"/>
      <c r="X401" s="854"/>
      <c r="Y401" s="854"/>
      <c r="Z401" s="854"/>
      <c r="AA401" s="854"/>
      <c r="AB401" s="854"/>
      <c r="AC401" s="854"/>
      <c r="AD401" s="854"/>
      <c r="AE401" s="854"/>
      <c r="AF401" s="854"/>
      <c r="AG401" s="854"/>
      <c r="AH401" s="854"/>
      <c r="AI401" s="854"/>
      <c r="AJ401" s="854"/>
      <c r="AK401" s="854"/>
      <c r="AL401" s="854"/>
      <c r="AM401" s="854"/>
      <c r="AN401" s="854"/>
      <c r="AO401" s="854"/>
      <c r="AP401" s="854"/>
      <c r="AQ401" s="854"/>
      <c r="AR401" s="854"/>
      <c r="AS401" s="854"/>
      <c r="AT401" s="854"/>
      <c r="AU401" s="854"/>
      <c r="AV401" s="854"/>
      <c r="AW401" s="854"/>
      <c r="AX401" s="854"/>
      <c r="AY401" s="854"/>
      <c r="AZ401" s="854"/>
      <c r="BA401" s="854"/>
      <c r="BB401" s="854"/>
      <c r="BC401" s="854"/>
      <c r="BD401" s="854"/>
      <c r="BE401" s="854"/>
      <c r="BF401" s="854"/>
      <c r="BG401" s="854"/>
      <c r="BH401" s="854"/>
      <c r="BI401" s="854"/>
      <c r="BJ401" s="854"/>
      <c r="BK401" s="854"/>
      <c r="BL401" s="854"/>
      <c r="BM401" s="854"/>
      <c r="BN401" s="854"/>
      <c r="BO401" s="854"/>
      <c r="BP401" s="854"/>
      <c r="BQ401" s="854"/>
      <c r="BR401" s="854"/>
      <c r="BS401" s="854"/>
      <c r="BT401" s="854"/>
      <c r="BU401" s="854"/>
      <c r="BV401" s="854"/>
      <c r="BW401" s="854"/>
      <c r="BX401" s="854"/>
      <c r="BY401" s="854"/>
      <c r="BZ401" s="854"/>
      <c r="CA401" s="571">
        <f>IF(OR(I401="",I401&lt;'Configs &amp; Procedures'!$L$29),0,IF(I401&gt;'Configs &amp; Procedures'!$L$30,1,IF(F401&gt;'Configs &amp; Procedures'!$L$31,0,1)))</f>
        <v>0</v>
      </c>
    </row>
    <row r="402" spans="2:79">
      <c r="B402" s="854"/>
      <c r="C402" s="854"/>
      <c r="D402" s="854"/>
      <c r="E402" s="854"/>
      <c r="F402" s="854"/>
      <c r="G402" s="854"/>
      <c r="H402" s="854"/>
      <c r="I402" s="854"/>
      <c r="J402" s="854"/>
      <c r="K402" s="854"/>
      <c r="L402" s="854"/>
      <c r="M402" s="854"/>
      <c r="N402" s="854"/>
      <c r="O402" s="854"/>
      <c r="P402" s="854"/>
      <c r="Q402" s="854"/>
      <c r="R402" s="854"/>
      <c r="S402" s="854"/>
      <c r="T402" s="854"/>
      <c r="U402" s="854"/>
      <c r="V402" s="854"/>
      <c r="W402" s="854"/>
      <c r="X402" s="854"/>
      <c r="Y402" s="854"/>
      <c r="Z402" s="854"/>
      <c r="AA402" s="854"/>
      <c r="AB402" s="854"/>
      <c r="AC402" s="854"/>
      <c r="AD402" s="854"/>
      <c r="AE402" s="854"/>
      <c r="AF402" s="854"/>
      <c r="AG402" s="854"/>
      <c r="AH402" s="854"/>
      <c r="AI402" s="854"/>
      <c r="AJ402" s="854"/>
      <c r="AK402" s="854"/>
      <c r="AL402" s="854"/>
      <c r="AM402" s="854"/>
      <c r="AN402" s="854"/>
      <c r="AO402" s="854"/>
      <c r="AP402" s="854"/>
      <c r="AQ402" s="854"/>
      <c r="AR402" s="854"/>
      <c r="AS402" s="854"/>
      <c r="AT402" s="854"/>
      <c r="AU402" s="854"/>
      <c r="AV402" s="854"/>
      <c r="AW402" s="854"/>
      <c r="AX402" s="854"/>
      <c r="AY402" s="854"/>
      <c r="AZ402" s="854"/>
      <c r="BA402" s="854"/>
      <c r="BB402" s="854"/>
      <c r="BC402" s="854"/>
      <c r="BD402" s="854"/>
      <c r="BE402" s="854"/>
      <c r="BF402" s="854"/>
      <c r="BG402" s="854"/>
      <c r="BH402" s="854"/>
      <c r="BI402" s="854"/>
      <c r="BJ402" s="854"/>
      <c r="BK402" s="854"/>
      <c r="BL402" s="854"/>
      <c r="BM402" s="854"/>
      <c r="BN402" s="854"/>
      <c r="BO402" s="854"/>
      <c r="BP402" s="854"/>
      <c r="BQ402" s="854"/>
      <c r="BR402" s="854"/>
      <c r="BS402" s="854"/>
      <c r="BT402" s="854"/>
      <c r="BU402" s="854"/>
      <c r="BV402" s="854"/>
      <c r="BW402" s="854"/>
      <c r="BX402" s="854"/>
      <c r="BY402" s="854"/>
      <c r="BZ402" s="854"/>
      <c r="CA402" s="571">
        <f>IF(OR(I402="",I402&lt;'Configs &amp; Procedures'!$L$29),0,IF(I402&gt;'Configs &amp; Procedures'!$L$30,1,IF(F402&gt;'Configs &amp; Procedures'!$L$31,0,1)))</f>
        <v>0</v>
      </c>
    </row>
    <row r="403" spans="2:79">
      <c r="B403" s="854"/>
      <c r="C403" s="854"/>
      <c r="D403" s="854"/>
      <c r="E403" s="854"/>
      <c r="F403" s="854"/>
      <c r="G403" s="854"/>
      <c r="H403" s="854"/>
      <c r="I403" s="854"/>
      <c r="J403" s="854"/>
      <c r="K403" s="854"/>
      <c r="L403" s="854"/>
      <c r="M403" s="854"/>
      <c r="N403" s="854"/>
      <c r="O403" s="854"/>
      <c r="P403" s="854"/>
      <c r="Q403" s="854"/>
      <c r="R403" s="854"/>
      <c r="S403" s="854"/>
      <c r="T403" s="854"/>
      <c r="U403" s="854"/>
      <c r="V403" s="854"/>
      <c r="W403" s="854"/>
      <c r="X403" s="854"/>
      <c r="Y403" s="854"/>
      <c r="Z403" s="854"/>
      <c r="AA403" s="854"/>
      <c r="AB403" s="854"/>
      <c r="AC403" s="854"/>
      <c r="AD403" s="854"/>
      <c r="AE403" s="854"/>
      <c r="AF403" s="854"/>
      <c r="AG403" s="854"/>
      <c r="AH403" s="854"/>
      <c r="AI403" s="854"/>
      <c r="AJ403" s="854"/>
      <c r="AK403" s="854"/>
      <c r="AL403" s="854"/>
      <c r="AM403" s="854"/>
      <c r="AN403" s="854"/>
      <c r="AO403" s="854"/>
      <c r="AP403" s="854"/>
      <c r="AQ403" s="854"/>
      <c r="AR403" s="854"/>
      <c r="AS403" s="854"/>
      <c r="AT403" s="854"/>
      <c r="AU403" s="854"/>
      <c r="AV403" s="854"/>
      <c r="AW403" s="854"/>
      <c r="AX403" s="854"/>
      <c r="AY403" s="854"/>
      <c r="AZ403" s="854"/>
      <c r="BA403" s="854"/>
      <c r="BB403" s="854"/>
      <c r="BC403" s="854"/>
      <c r="BD403" s="854"/>
      <c r="BE403" s="854"/>
      <c r="BF403" s="854"/>
      <c r="BG403" s="854"/>
      <c r="BH403" s="854"/>
      <c r="BI403" s="854"/>
      <c r="BJ403" s="854"/>
      <c r="BK403" s="854"/>
      <c r="BL403" s="854"/>
      <c r="BM403" s="854"/>
      <c r="BN403" s="854"/>
      <c r="BO403" s="854"/>
      <c r="BP403" s="854"/>
      <c r="BQ403" s="854"/>
      <c r="BR403" s="854"/>
      <c r="BS403" s="854"/>
      <c r="BT403" s="854"/>
      <c r="BU403" s="854"/>
      <c r="BV403" s="854"/>
      <c r="BW403" s="854"/>
      <c r="BX403" s="854"/>
      <c r="BY403" s="854"/>
      <c r="BZ403" s="854"/>
      <c r="CA403" s="571">
        <f>IF(OR(I403="",I403&lt;'Configs &amp; Procedures'!$L$29),0,IF(I403&gt;'Configs &amp; Procedures'!$L$30,1,IF(F403&gt;'Configs &amp; Procedures'!$L$31,0,1)))</f>
        <v>0</v>
      </c>
    </row>
    <row r="404" spans="2:79">
      <c r="B404" s="854"/>
      <c r="C404" s="854"/>
      <c r="D404" s="854"/>
      <c r="E404" s="854"/>
      <c r="F404" s="854"/>
      <c r="G404" s="854"/>
      <c r="H404" s="854"/>
      <c r="I404" s="854"/>
      <c r="J404" s="854"/>
      <c r="K404" s="854"/>
      <c r="L404" s="854"/>
      <c r="M404" s="854"/>
      <c r="N404" s="854"/>
      <c r="O404" s="854"/>
      <c r="P404" s="854"/>
      <c r="Q404" s="854"/>
      <c r="R404" s="854"/>
      <c r="S404" s="854"/>
      <c r="T404" s="854"/>
      <c r="U404" s="854"/>
      <c r="V404" s="854"/>
      <c r="W404" s="854"/>
      <c r="X404" s="854"/>
      <c r="Y404" s="854"/>
      <c r="Z404" s="854"/>
      <c r="AA404" s="854"/>
      <c r="AB404" s="854"/>
      <c r="AC404" s="854"/>
      <c r="AD404" s="854"/>
      <c r="AE404" s="854"/>
      <c r="AF404" s="854"/>
      <c r="AG404" s="854"/>
      <c r="AH404" s="854"/>
      <c r="AI404" s="854"/>
      <c r="AJ404" s="854"/>
      <c r="AK404" s="854"/>
      <c r="AL404" s="854"/>
      <c r="AM404" s="854"/>
      <c r="AN404" s="854"/>
      <c r="AO404" s="854"/>
      <c r="AP404" s="854"/>
      <c r="AQ404" s="854"/>
      <c r="AR404" s="854"/>
      <c r="AS404" s="854"/>
      <c r="AT404" s="854"/>
      <c r="AU404" s="854"/>
      <c r="AV404" s="854"/>
      <c r="AW404" s="854"/>
      <c r="AX404" s="854"/>
      <c r="AY404" s="854"/>
      <c r="AZ404" s="854"/>
      <c r="BA404" s="854"/>
      <c r="BB404" s="854"/>
      <c r="BC404" s="854"/>
      <c r="BD404" s="854"/>
      <c r="BE404" s="854"/>
      <c r="BF404" s="854"/>
      <c r="BG404" s="854"/>
      <c r="BH404" s="854"/>
      <c r="BI404" s="854"/>
      <c r="BJ404" s="854"/>
      <c r="BK404" s="854"/>
      <c r="BL404" s="854"/>
      <c r="BM404" s="854"/>
      <c r="BN404" s="854"/>
      <c r="BO404" s="854"/>
      <c r="BP404" s="854"/>
      <c r="BQ404" s="854"/>
      <c r="BR404" s="854"/>
      <c r="BS404" s="854"/>
      <c r="BT404" s="854"/>
      <c r="BU404" s="854"/>
      <c r="BV404" s="854"/>
      <c r="BW404" s="854"/>
      <c r="BX404" s="854"/>
      <c r="BY404" s="854"/>
      <c r="BZ404" s="854"/>
      <c r="CA404" s="571">
        <f>IF(OR(I404="",I404&lt;'Configs &amp; Procedures'!$L$29),0,IF(I404&gt;'Configs &amp; Procedures'!$L$30,1,IF(F404&gt;'Configs &amp; Procedures'!$L$31,0,1)))</f>
        <v>0</v>
      </c>
    </row>
    <row r="405" spans="2:79">
      <c r="B405" s="854"/>
      <c r="C405" s="854"/>
      <c r="D405" s="854"/>
      <c r="E405" s="854"/>
      <c r="F405" s="854"/>
      <c r="G405" s="854"/>
      <c r="H405" s="854"/>
      <c r="I405" s="854"/>
      <c r="J405" s="854"/>
      <c r="K405" s="854"/>
      <c r="L405" s="854"/>
      <c r="M405" s="854"/>
      <c r="N405" s="854"/>
      <c r="O405" s="854"/>
      <c r="P405" s="854"/>
      <c r="Q405" s="854"/>
      <c r="R405" s="854"/>
      <c r="S405" s="854"/>
      <c r="T405" s="854"/>
      <c r="U405" s="854"/>
      <c r="V405" s="854"/>
      <c r="W405" s="854"/>
      <c r="X405" s="854"/>
      <c r="Y405" s="854"/>
      <c r="Z405" s="854"/>
      <c r="AA405" s="854"/>
      <c r="AB405" s="854"/>
      <c r="AC405" s="854"/>
      <c r="AD405" s="854"/>
      <c r="AE405" s="854"/>
      <c r="AF405" s="854"/>
      <c r="AG405" s="854"/>
      <c r="AH405" s="854"/>
      <c r="AI405" s="854"/>
      <c r="AJ405" s="854"/>
      <c r="AK405" s="854"/>
      <c r="AL405" s="854"/>
      <c r="AM405" s="854"/>
      <c r="AN405" s="854"/>
      <c r="AO405" s="854"/>
      <c r="AP405" s="854"/>
      <c r="AQ405" s="854"/>
      <c r="AR405" s="854"/>
      <c r="AS405" s="854"/>
      <c r="AT405" s="854"/>
      <c r="AU405" s="854"/>
      <c r="AV405" s="854"/>
      <c r="AW405" s="854"/>
      <c r="AX405" s="854"/>
      <c r="AY405" s="854"/>
      <c r="AZ405" s="854"/>
      <c r="BA405" s="854"/>
      <c r="BB405" s="854"/>
      <c r="BC405" s="854"/>
      <c r="BD405" s="854"/>
      <c r="BE405" s="854"/>
      <c r="BF405" s="854"/>
      <c r="BG405" s="854"/>
      <c r="BH405" s="854"/>
      <c r="BI405" s="854"/>
      <c r="BJ405" s="854"/>
      <c r="BK405" s="854"/>
      <c r="BL405" s="854"/>
      <c r="BM405" s="854"/>
      <c r="BN405" s="854"/>
      <c r="BO405" s="854"/>
      <c r="BP405" s="854"/>
      <c r="BQ405" s="854"/>
      <c r="BR405" s="854"/>
      <c r="BS405" s="854"/>
      <c r="BT405" s="854"/>
      <c r="BU405" s="854"/>
      <c r="BV405" s="854"/>
      <c r="BW405" s="854"/>
      <c r="BX405" s="854"/>
      <c r="BY405" s="854"/>
      <c r="BZ405" s="854"/>
      <c r="CA405" s="571">
        <f>IF(OR(I405="",I405&lt;'Configs &amp; Procedures'!$L$29),0,IF(I405&gt;'Configs &amp; Procedures'!$L$30,1,IF(F405&gt;'Configs &amp; Procedures'!$L$31,0,1)))</f>
        <v>0</v>
      </c>
    </row>
    <row r="406" spans="2:79">
      <c r="B406" s="854"/>
      <c r="C406" s="854"/>
      <c r="D406" s="854"/>
      <c r="E406" s="854"/>
      <c r="F406" s="854"/>
      <c r="G406" s="854"/>
      <c r="H406" s="854"/>
      <c r="I406" s="854"/>
      <c r="J406" s="854"/>
      <c r="K406" s="854"/>
      <c r="L406" s="854"/>
      <c r="M406" s="854"/>
      <c r="N406" s="854"/>
      <c r="O406" s="854"/>
      <c r="P406" s="854"/>
      <c r="Q406" s="854"/>
      <c r="R406" s="854"/>
      <c r="S406" s="854"/>
      <c r="T406" s="854"/>
      <c r="U406" s="854"/>
      <c r="V406" s="854"/>
      <c r="W406" s="854"/>
      <c r="X406" s="854"/>
      <c r="Y406" s="854"/>
      <c r="Z406" s="854"/>
      <c r="AA406" s="854"/>
      <c r="AB406" s="854"/>
      <c r="AC406" s="854"/>
      <c r="AD406" s="854"/>
      <c r="AE406" s="854"/>
      <c r="AF406" s="854"/>
      <c r="AG406" s="854"/>
      <c r="AH406" s="854"/>
      <c r="AI406" s="854"/>
      <c r="AJ406" s="854"/>
      <c r="AK406" s="854"/>
      <c r="AL406" s="854"/>
      <c r="AM406" s="854"/>
      <c r="AN406" s="854"/>
      <c r="AO406" s="854"/>
      <c r="AP406" s="854"/>
      <c r="AQ406" s="854"/>
      <c r="AR406" s="854"/>
      <c r="AS406" s="854"/>
      <c r="AT406" s="854"/>
      <c r="AU406" s="854"/>
      <c r="AV406" s="854"/>
      <c r="AW406" s="854"/>
      <c r="AX406" s="854"/>
      <c r="AY406" s="854"/>
      <c r="AZ406" s="854"/>
      <c r="BA406" s="854"/>
      <c r="BB406" s="854"/>
      <c r="BC406" s="854"/>
      <c r="BD406" s="854"/>
      <c r="BE406" s="854"/>
      <c r="BF406" s="854"/>
      <c r="BG406" s="854"/>
      <c r="BH406" s="854"/>
      <c r="BI406" s="854"/>
      <c r="BJ406" s="854"/>
      <c r="BK406" s="854"/>
      <c r="BL406" s="854"/>
      <c r="BM406" s="854"/>
      <c r="BN406" s="854"/>
      <c r="BO406" s="854"/>
      <c r="BP406" s="854"/>
      <c r="BQ406" s="854"/>
      <c r="BR406" s="854"/>
      <c r="BS406" s="854"/>
      <c r="BT406" s="854"/>
      <c r="BU406" s="854"/>
      <c r="BV406" s="854"/>
      <c r="BW406" s="854"/>
      <c r="BX406" s="854"/>
      <c r="BY406" s="854"/>
      <c r="BZ406" s="854"/>
      <c r="CA406" s="571">
        <f>IF(OR(I406="",I406&lt;'Configs &amp; Procedures'!$L$29),0,IF(I406&gt;'Configs &amp; Procedures'!$L$30,1,IF(F406&gt;'Configs &amp; Procedures'!$L$31,0,1)))</f>
        <v>0</v>
      </c>
    </row>
    <row r="407" spans="2:79">
      <c r="B407" s="854"/>
      <c r="C407" s="854"/>
      <c r="D407" s="854"/>
      <c r="E407" s="854"/>
      <c r="F407" s="854"/>
      <c r="G407" s="854"/>
      <c r="H407" s="854"/>
      <c r="I407" s="854"/>
      <c r="J407" s="854"/>
      <c r="K407" s="854"/>
      <c r="L407" s="854"/>
      <c r="M407" s="854"/>
      <c r="N407" s="854"/>
      <c r="O407" s="854"/>
      <c r="P407" s="854"/>
      <c r="Q407" s="854"/>
      <c r="R407" s="854"/>
      <c r="S407" s="854"/>
      <c r="T407" s="854"/>
      <c r="U407" s="854"/>
      <c r="V407" s="854"/>
      <c r="W407" s="854"/>
      <c r="X407" s="854"/>
      <c r="Y407" s="854"/>
      <c r="Z407" s="854"/>
      <c r="AA407" s="854"/>
      <c r="AB407" s="854"/>
      <c r="AC407" s="854"/>
      <c r="AD407" s="854"/>
      <c r="AE407" s="854"/>
      <c r="AF407" s="854"/>
      <c r="AG407" s="854"/>
      <c r="AH407" s="854"/>
      <c r="AI407" s="854"/>
      <c r="AJ407" s="854"/>
      <c r="AK407" s="854"/>
      <c r="AL407" s="854"/>
      <c r="AM407" s="854"/>
      <c r="AN407" s="854"/>
      <c r="AO407" s="854"/>
      <c r="AP407" s="854"/>
      <c r="AQ407" s="854"/>
      <c r="AR407" s="854"/>
      <c r="AS407" s="854"/>
      <c r="AT407" s="854"/>
      <c r="AU407" s="854"/>
      <c r="AV407" s="854"/>
      <c r="AW407" s="854"/>
      <c r="AX407" s="854"/>
      <c r="AY407" s="854"/>
      <c r="AZ407" s="854"/>
      <c r="BA407" s="854"/>
      <c r="BB407" s="854"/>
      <c r="BC407" s="854"/>
      <c r="BD407" s="854"/>
      <c r="BE407" s="854"/>
      <c r="BF407" s="854"/>
      <c r="BG407" s="854"/>
      <c r="BH407" s="854"/>
      <c r="BI407" s="854"/>
      <c r="BJ407" s="854"/>
      <c r="BK407" s="854"/>
      <c r="BL407" s="854"/>
      <c r="BM407" s="854"/>
      <c r="BN407" s="854"/>
      <c r="BO407" s="854"/>
      <c r="BP407" s="854"/>
      <c r="BQ407" s="854"/>
      <c r="BR407" s="854"/>
      <c r="BS407" s="854"/>
      <c r="BT407" s="854"/>
      <c r="BU407" s="854"/>
      <c r="BV407" s="854"/>
      <c r="BW407" s="854"/>
      <c r="BX407" s="854"/>
      <c r="BY407" s="854"/>
      <c r="BZ407" s="854"/>
      <c r="CA407" s="571">
        <f>IF(OR(I407="",I407&lt;'Configs &amp; Procedures'!$L$29),0,IF(I407&gt;'Configs &amp; Procedures'!$L$30,1,IF(F407&gt;'Configs &amp; Procedures'!$L$31,0,1)))</f>
        <v>0</v>
      </c>
    </row>
    <row r="408" spans="2:79">
      <c r="B408" s="854"/>
      <c r="C408" s="854"/>
      <c r="D408" s="854"/>
      <c r="E408" s="854"/>
      <c r="F408" s="854"/>
      <c r="G408" s="854"/>
      <c r="H408" s="854"/>
      <c r="I408" s="854"/>
      <c r="J408" s="854"/>
      <c r="K408" s="854"/>
      <c r="L408" s="854"/>
      <c r="M408" s="854"/>
      <c r="N408" s="854"/>
      <c r="O408" s="854"/>
      <c r="P408" s="854"/>
      <c r="Q408" s="854"/>
      <c r="R408" s="854"/>
      <c r="S408" s="854"/>
      <c r="T408" s="854"/>
      <c r="U408" s="854"/>
      <c r="V408" s="854"/>
      <c r="W408" s="854"/>
      <c r="X408" s="854"/>
      <c r="Y408" s="854"/>
      <c r="Z408" s="854"/>
      <c r="AA408" s="854"/>
      <c r="AB408" s="854"/>
      <c r="AC408" s="854"/>
      <c r="AD408" s="854"/>
      <c r="AE408" s="854"/>
      <c r="AF408" s="854"/>
      <c r="AG408" s="854"/>
      <c r="AH408" s="854"/>
      <c r="AI408" s="854"/>
      <c r="AJ408" s="854"/>
      <c r="AK408" s="854"/>
      <c r="AL408" s="854"/>
      <c r="AM408" s="854"/>
      <c r="AN408" s="854"/>
      <c r="AO408" s="854"/>
      <c r="AP408" s="854"/>
      <c r="AQ408" s="854"/>
      <c r="AR408" s="854"/>
      <c r="AS408" s="854"/>
      <c r="AT408" s="854"/>
      <c r="AU408" s="854"/>
      <c r="AV408" s="854"/>
      <c r="AW408" s="854"/>
      <c r="AX408" s="854"/>
      <c r="AY408" s="854"/>
      <c r="AZ408" s="854"/>
      <c r="BA408" s="854"/>
      <c r="BB408" s="854"/>
      <c r="BC408" s="854"/>
      <c r="BD408" s="854"/>
      <c r="BE408" s="854"/>
      <c r="BF408" s="854"/>
      <c r="BG408" s="854"/>
      <c r="BH408" s="854"/>
      <c r="BI408" s="854"/>
      <c r="BJ408" s="854"/>
      <c r="BK408" s="854"/>
      <c r="BL408" s="854"/>
      <c r="BM408" s="854"/>
      <c r="BN408" s="854"/>
      <c r="BO408" s="854"/>
      <c r="BP408" s="854"/>
      <c r="BQ408" s="854"/>
      <c r="BR408" s="854"/>
      <c r="BS408" s="854"/>
      <c r="BT408" s="854"/>
      <c r="BU408" s="854"/>
      <c r="BV408" s="854"/>
      <c r="BW408" s="854"/>
      <c r="BX408" s="854"/>
      <c r="BY408" s="854"/>
      <c r="BZ408" s="854"/>
      <c r="CA408" s="571">
        <f>IF(OR(I408="",I408&lt;'Configs &amp; Procedures'!$L$29),0,IF(I408&gt;'Configs &amp; Procedures'!$L$30,1,IF(F408&gt;'Configs &amp; Procedures'!$L$31,0,1)))</f>
        <v>0</v>
      </c>
    </row>
    <row r="409" spans="2:79">
      <c r="B409" s="854"/>
      <c r="C409" s="854"/>
      <c r="D409" s="854"/>
      <c r="E409" s="854"/>
      <c r="F409" s="854"/>
      <c r="G409" s="854"/>
      <c r="H409" s="854"/>
      <c r="I409" s="854"/>
      <c r="J409" s="854"/>
      <c r="K409" s="854"/>
      <c r="L409" s="854"/>
      <c r="M409" s="854"/>
      <c r="N409" s="854"/>
      <c r="O409" s="854"/>
      <c r="P409" s="854"/>
      <c r="Q409" s="854"/>
      <c r="R409" s="854"/>
      <c r="S409" s="854"/>
      <c r="T409" s="854"/>
      <c r="U409" s="854"/>
      <c r="V409" s="854"/>
      <c r="W409" s="854"/>
      <c r="X409" s="854"/>
      <c r="Y409" s="854"/>
      <c r="Z409" s="854"/>
      <c r="AA409" s="854"/>
      <c r="AB409" s="854"/>
      <c r="AC409" s="854"/>
      <c r="AD409" s="854"/>
      <c r="AE409" s="854"/>
      <c r="AF409" s="854"/>
      <c r="AG409" s="854"/>
      <c r="AH409" s="854"/>
      <c r="AI409" s="854"/>
      <c r="AJ409" s="854"/>
      <c r="AK409" s="854"/>
      <c r="AL409" s="854"/>
      <c r="AM409" s="854"/>
      <c r="AN409" s="854"/>
      <c r="AO409" s="854"/>
      <c r="AP409" s="854"/>
      <c r="AQ409" s="854"/>
      <c r="AR409" s="854"/>
      <c r="AS409" s="854"/>
      <c r="AT409" s="854"/>
      <c r="AU409" s="854"/>
      <c r="AV409" s="854"/>
      <c r="AW409" s="854"/>
      <c r="AX409" s="854"/>
      <c r="AY409" s="854"/>
      <c r="AZ409" s="854"/>
      <c r="BA409" s="854"/>
      <c r="BB409" s="854"/>
      <c r="BC409" s="854"/>
      <c r="BD409" s="854"/>
      <c r="BE409" s="854"/>
      <c r="BF409" s="854"/>
      <c r="BG409" s="854"/>
      <c r="BH409" s="854"/>
      <c r="BI409" s="854"/>
      <c r="BJ409" s="854"/>
      <c r="BK409" s="854"/>
      <c r="BL409" s="854"/>
      <c r="BM409" s="854"/>
      <c r="BN409" s="854"/>
      <c r="BO409" s="854"/>
      <c r="BP409" s="854"/>
      <c r="BQ409" s="854"/>
      <c r="BR409" s="854"/>
      <c r="BS409" s="854"/>
      <c r="BT409" s="854"/>
      <c r="BU409" s="854"/>
      <c r="BV409" s="854"/>
      <c r="BW409" s="854"/>
      <c r="BX409" s="854"/>
      <c r="BY409" s="854"/>
      <c r="BZ409" s="854"/>
      <c r="CA409" s="571">
        <f>IF(OR(I409="",I409&lt;'Configs &amp; Procedures'!$L$29),0,IF(I409&gt;'Configs &amp; Procedures'!$L$30,1,IF(F409&gt;'Configs &amp; Procedures'!$L$31,0,1)))</f>
        <v>0</v>
      </c>
    </row>
    <row r="410" spans="2:79">
      <c r="B410" s="854"/>
      <c r="C410" s="854"/>
      <c r="D410" s="854"/>
      <c r="E410" s="854"/>
      <c r="F410" s="854"/>
      <c r="G410" s="854"/>
      <c r="H410" s="854"/>
      <c r="I410" s="854"/>
      <c r="J410" s="854"/>
      <c r="K410" s="854"/>
      <c r="L410" s="854"/>
      <c r="M410" s="854"/>
      <c r="N410" s="854"/>
      <c r="O410" s="854"/>
      <c r="P410" s="854"/>
      <c r="Q410" s="854"/>
      <c r="R410" s="854"/>
      <c r="S410" s="854"/>
      <c r="T410" s="854"/>
      <c r="U410" s="854"/>
      <c r="V410" s="854"/>
      <c r="W410" s="854"/>
      <c r="X410" s="854"/>
      <c r="Y410" s="854"/>
      <c r="Z410" s="854"/>
      <c r="AA410" s="854"/>
      <c r="AB410" s="854"/>
      <c r="AC410" s="854"/>
      <c r="AD410" s="854"/>
      <c r="AE410" s="854"/>
      <c r="AF410" s="854"/>
      <c r="AG410" s="854"/>
      <c r="AH410" s="854"/>
      <c r="AI410" s="854"/>
      <c r="AJ410" s="854"/>
      <c r="AK410" s="854"/>
      <c r="AL410" s="854"/>
      <c r="AM410" s="854"/>
      <c r="AN410" s="854"/>
      <c r="AO410" s="854"/>
      <c r="AP410" s="854"/>
      <c r="AQ410" s="854"/>
      <c r="AR410" s="854"/>
      <c r="AS410" s="854"/>
      <c r="AT410" s="854"/>
      <c r="AU410" s="854"/>
      <c r="AV410" s="854"/>
      <c r="AW410" s="854"/>
      <c r="AX410" s="854"/>
      <c r="AY410" s="854"/>
      <c r="AZ410" s="854"/>
      <c r="BA410" s="854"/>
      <c r="BB410" s="854"/>
      <c r="BC410" s="854"/>
      <c r="BD410" s="854"/>
      <c r="BE410" s="854"/>
      <c r="BF410" s="854"/>
      <c r="BG410" s="854"/>
      <c r="BH410" s="854"/>
      <c r="BI410" s="854"/>
      <c r="BJ410" s="854"/>
      <c r="BK410" s="854"/>
      <c r="BL410" s="854"/>
      <c r="BM410" s="854"/>
      <c r="BN410" s="854"/>
      <c r="BO410" s="854"/>
      <c r="BP410" s="854"/>
      <c r="BQ410" s="854"/>
      <c r="BR410" s="854"/>
      <c r="BS410" s="854"/>
      <c r="BT410" s="854"/>
      <c r="BU410" s="854"/>
      <c r="BV410" s="854"/>
      <c r="BW410" s="854"/>
      <c r="BX410" s="854"/>
      <c r="BY410" s="854"/>
      <c r="BZ410" s="854"/>
      <c r="CA410" s="571">
        <f>IF(OR(I410="",I410&lt;'Configs &amp; Procedures'!$L$29),0,IF(I410&gt;'Configs &amp; Procedures'!$L$30,1,IF(F410&gt;'Configs &amp; Procedures'!$L$31,0,1)))</f>
        <v>0</v>
      </c>
    </row>
    <row r="411" spans="2:79">
      <c r="B411" s="854"/>
      <c r="C411" s="854"/>
      <c r="D411" s="854"/>
      <c r="E411" s="854"/>
      <c r="F411" s="854"/>
      <c r="G411" s="854"/>
      <c r="H411" s="854"/>
      <c r="I411" s="854"/>
      <c r="J411" s="854"/>
      <c r="K411" s="854"/>
      <c r="L411" s="854"/>
      <c r="M411" s="854"/>
      <c r="N411" s="854"/>
      <c r="O411" s="854"/>
      <c r="P411" s="854"/>
      <c r="Q411" s="854"/>
      <c r="R411" s="854"/>
      <c r="S411" s="854"/>
      <c r="T411" s="854"/>
      <c r="U411" s="854"/>
      <c r="V411" s="854"/>
      <c r="W411" s="854"/>
      <c r="X411" s="854"/>
      <c r="Y411" s="854"/>
      <c r="Z411" s="854"/>
      <c r="AA411" s="854"/>
      <c r="AB411" s="854"/>
      <c r="AC411" s="854"/>
      <c r="AD411" s="854"/>
      <c r="AE411" s="854"/>
      <c r="AF411" s="854"/>
      <c r="AG411" s="854"/>
      <c r="AH411" s="854"/>
      <c r="AI411" s="854"/>
      <c r="AJ411" s="854"/>
      <c r="AK411" s="854"/>
      <c r="AL411" s="854"/>
      <c r="AM411" s="854"/>
      <c r="AN411" s="854"/>
      <c r="AO411" s="854"/>
      <c r="AP411" s="854"/>
      <c r="AQ411" s="854"/>
      <c r="AR411" s="854"/>
      <c r="AS411" s="854"/>
      <c r="AT411" s="854"/>
      <c r="AU411" s="854"/>
      <c r="AV411" s="854"/>
      <c r="AW411" s="854"/>
      <c r="AX411" s="854"/>
      <c r="AY411" s="854"/>
      <c r="AZ411" s="854"/>
      <c r="BA411" s="854"/>
      <c r="BB411" s="854"/>
      <c r="BC411" s="854"/>
      <c r="BD411" s="854"/>
      <c r="BE411" s="854"/>
      <c r="BF411" s="854"/>
      <c r="BG411" s="854"/>
      <c r="BH411" s="854"/>
      <c r="BI411" s="854"/>
      <c r="BJ411" s="854"/>
      <c r="BK411" s="854"/>
      <c r="BL411" s="854"/>
      <c r="BM411" s="854"/>
      <c r="BN411" s="854"/>
      <c r="BO411" s="854"/>
      <c r="BP411" s="854"/>
      <c r="BQ411" s="854"/>
      <c r="BR411" s="854"/>
      <c r="BS411" s="854"/>
      <c r="BT411" s="854"/>
      <c r="BU411" s="854"/>
      <c r="BV411" s="854"/>
      <c r="BW411" s="854"/>
      <c r="BX411" s="854"/>
      <c r="BY411" s="854"/>
      <c r="BZ411" s="854"/>
      <c r="CA411" s="571">
        <f>IF(OR(I411="",I411&lt;'Configs &amp; Procedures'!$L$29),0,IF(I411&gt;'Configs &amp; Procedures'!$L$30,1,IF(F411&gt;'Configs &amp; Procedures'!$L$31,0,1)))</f>
        <v>0</v>
      </c>
    </row>
    <row r="412" spans="2:79">
      <c r="B412" s="854"/>
      <c r="C412" s="854"/>
      <c r="D412" s="854"/>
      <c r="E412" s="854"/>
      <c r="F412" s="854"/>
      <c r="G412" s="854"/>
      <c r="H412" s="854"/>
      <c r="I412" s="854"/>
      <c r="J412" s="854"/>
      <c r="K412" s="854"/>
      <c r="L412" s="854"/>
      <c r="M412" s="854"/>
      <c r="N412" s="854"/>
      <c r="O412" s="854"/>
      <c r="P412" s="854"/>
      <c r="Q412" s="854"/>
      <c r="R412" s="854"/>
      <c r="S412" s="854"/>
      <c r="T412" s="854"/>
      <c r="U412" s="854"/>
      <c r="V412" s="854"/>
      <c r="W412" s="854"/>
      <c r="X412" s="854"/>
      <c r="Y412" s="854"/>
      <c r="Z412" s="854"/>
      <c r="AA412" s="854"/>
      <c r="AB412" s="854"/>
      <c r="AC412" s="854"/>
      <c r="AD412" s="854"/>
      <c r="AE412" s="854"/>
      <c r="AF412" s="854"/>
      <c r="AG412" s="854"/>
      <c r="AH412" s="854"/>
      <c r="AI412" s="854"/>
      <c r="AJ412" s="854"/>
      <c r="AK412" s="854"/>
      <c r="AL412" s="854"/>
      <c r="AM412" s="854"/>
      <c r="AN412" s="854"/>
      <c r="AO412" s="854"/>
      <c r="AP412" s="854"/>
      <c r="AQ412" s="854"/>
      <c r="AR412" s="854"/>
      <c r="AS412" s="854"/>
      <c r="AT412" s="854"/>
      <c r="AU412" s="854"/>
      <c r="AV412" s="854"/>
      <c r="AW412" s="854"/>
      <c r="AX412" s="854"/>
      <c r="AY412" s="854"/>
      <c r="AZ412" s="854"/>
      <c r="BA412" s="854"/>
      <c r="BB412" s="854"/>
      <c r="BC412" s="854"/>
      <c r="BD412" s="854"/>
      <c r="BE412" s="854"/>
      <c r="BF412" s="854"/>
      <c r="BG412" s="854"/>
      <c r="BH412" s="854"/>
      <c r="BI412" s="854"/>
      <c r="BJ412" s="854"/>
      <c r="BK412" s="854"/>
      <c r="BL412" s="854"/>
      <c r="BM412" s="854"/>
      <c r="BN412" s="854"/>
      <c r="BO412" s="854"/>
      <c r="BP412" s="854"/>
      <c r="BQ412" s="854"/>
      <c r="BR412" s="854"/>
      <c r="BS412" s="854"/>
      <c r="BT412" s="854"/>
      <c r="BU412" s="854"/>
      <c r="BV412" s="854"/>
      <c r="BW412" s="854"/>
      <c r="BX412" s="854"/>
      <c r="BY412" s="854"/>
      <c r="BZ412" s="854"/>
      <c r="CA412" s="571">
        <f>IF(OR(I412="",I412&lt;'Configs &amp; Procedures'!$L$29),0,IF(I412&gt;'Configs &amp; Procedures'!$L$30,1,IF(F412&gt;'Configs &amp; Procedures'!$L$31,0,1)))</f>
        <v>0</v>
      </c>
    </row>
    <row r="413" spans="2:79">
      <c r="B413" s="854"/>
      <c r="C413" s="854"/>
      <c r="D413" s="854"/>
      <c r="E413" s="854"/>
      <c r="F413" s="854"/>
      <c r="G413" s="854"/>
      <c r="H413" s="854"/>
      <c r="I413" s="854"/>
      <c r="J413" s="854"/>
      <c r="K413" s="854"/>
      <c r="L413" s="854"/>
      <c r="M413" s="854"/>
      <c r="N413" s="854"/>
      <c r="O413" s="854"/>
      <c r="P413" s="854"/>
      <c r="Q413" s="854"/>
      <c r="R413" s="854"/>
      <c r="S413" s="854"/>
      <c r="T413" s="854"/>
      <c r="U413" s="854"/>
      <c r="V413" s="854"/>
      <c r="W413" s="854"/>
      <c r="X413" s="854"/>
      <c r="Y413" s="854"/>
      <c r="Z413" s="854"/>
      <c r="AA413" s="854"/>
      <c r="AB413" s="854"/>
      <c r="AC413" s="854"/>
      <c r="AD413" s="854"/>
      <c r="AE413" s="854"/>
      <c r="AF413" s="854"/>
      <c r="AG413" s="854"/>
      <c r="AH413" s="854"/>
      <c r="AI413" s="854"/>
      <c r="AJ413" s="854"/>
      <c r="AK413" s="854"/>
      <c r="AL413" s="854"/>
      <c r="AM413" s="854"/>
      <c r="AN413" s="854"/>
      <c r="AO413" s="854"/>
      <c r="AP413" s="854"/>
      <c r="AQ413" s="854"/>
      <c r="AR413" s="854"/>
      <c r="AS413" s="854"/>
      <c r="AT413" s="854"/>
      <c r="AU413" s="854"/>
      <c r="AV413" s="854"/>
      <c r="AW413" s="854"/>
      <c r="AX413" s="854"/>
      <c r="AY413" s="854"/>
      <c r="AZ413" s="854"/>
      <c r="BA413" s="854"/>
      <c r="BB413" s="854"/>
      <c r="BC413" s="854"/>
      <c r="BD413" s="854"/>
      <c r="BE413" s="854"/>
      <c r="BF413" s="854"/>
      <c r="BG413" s="854"/>
      <c r="BH413" s="854"/>
      <c r="BI413" s="854"/>
      <c r="BJ413" s="854"/>
      <c r="BK413" s="854"/>
      <c r="BL413" s="854"/>
      <c r="BM413" s="854"/>
      <c r="BN413" s="854"/>
      <c r="BO413" s="854"/>
      <c r="BP413" s="854"/>
      <c r="BQ413" s="854"/>
      <c r="BR413" s="854"/>
      <c r="BS413" s="854"/>
      <c r="BT413" s="854"/>
      <c r="BU413" s="854"/>
      <c r="BV413" s="854"/>
      <c r="BW413" s="854"/>
      <c r="BX413" s="854"/>
      <c r="BY413" s="854"/>
      <c r="BZ413" s="854"/>
      <c r="CA413" s="571">
        <f>IF(OR(I413="",I413&lt;'Configs &amp; Procedures'!$L$29),0,IF(I413&gt;'Configs &amp; Procedures'!$L$30,1,IF(F413&gt;'Configs &amp; Procedures'!$L$31,0,1)))</f>
        <v>0</v>
      </c>
    </row>
    <row r="414" spans="2:79">
      <c r="B414" s="854"/>
      <c r="C414" s="854"/>
      <c r="D414" s="854"/>
      <c r="E414" s="854"/>
      <c r="F414" s="854"/>
      <c r="G414" s="854"/>
      <c r="H414" s="854"/>
      <c r="I414" s="854"/>
      <c r="J414" s="854"/>
      <c r="K414" s="854"/>
      <c r="L414" s="854"/>
      <c r="M414" s="854"/>
      <c r="N414" s="854"/>
      <c r="O414" s="854"/>
      <c r="P414" s="854"/>
      <c r="Q414" s="854"/>
      <c r="R414" s="854"/>
      <c r="S414" s="854"/>
      <c r="T414" s="854"/>
      <c r="U414" s="854"/>
      <c r="V414" s="854"/>
      <c r="W414" s="854"/>
      <c r="X414" s="854"/>
      <c r="Y414" s="854"/>
      <c r="Z414" s="854"/>
      <c r="AA414" s="854"/>
      <c r="AB414" s="854"/>
      <c r="AC414" s="854"/>
      <c r="AD414" s="854"/>
      <c r="AE414" s="854"/>
      <c r="AF414" s="854"/>
      <c r="AG414" s="854"/>
      <c r="AH414" s="854"/>
      <c r="AI414" s="854"/>
      <c r="AJ414" s="854"/>
      <c r="AK414" s="854"/>
      <c r="AL414" s="854"/>
      <c r="AM414" s="854"/>
      <c r="AN414" s="854"/>
      <c r="AO414" s="854"/>
      <c r="AP414" s="854"/>
      <c r="AQ414" s="854"/>
      <c r="AR414" s="854"/>
      <c r="AS414" s="854"/>
      <c r="AT414" s="854"/>
      <c r="AU414" s="854"/>
      <c r="AV414" s="854"/>
      <c r="AW414" s="854"/>
      <c r="AX414" s="854"/>
      <c r="AY414" s="854"/>
      <c r="AZ414" s="854"/>
      <c r="BA414" s="854"/>
      <c r="BB414" s="854"/>
      <c r="BC414" s="854"/>
      <c r="BD414" s="854"/>
      <c r="BE414" s="854"/>
      <c r="BF414" s="854"/>
      <c r="BG414" s="854"/>
      <c r="BH414" s="854"/>
      <c r="BI414" s="854"/>
      <c r="BJ414" s="854"/>
      <c r="BK414" s="854"/>
      <c r="BL414" s="854"/>
      <c r="BM414" s="854"/>
      <c r="BN414" s="854"/>
      <c r="BO414" s="854"/>
      <c r="BP414" s="854"/>
      <c r="BQ414" s="854"/>
      <c r="BR414" s="854"/>
      <c r="BS414" s="854"/>
      <c r="BT414" s="854"/>
      <c r="BU414" s="854"/>
      <c r="BV414" s="854"/>
      <c r="BW414" s="854"/>
      <c r="BX414" s="854"/>
      <c r="BY414" s="854"/>
      <c r="BZ414" s="854"/>
      <c r="CA414" s="571">
        <f>IF(OR(I414="",I414&lt;'Configs &amp; Procedures'!$L$29),0,IF(I414&gt;'Configs &amp; Procedures'!$L$30,1,IF(F414&gt;'Configs &amp; Procedures'!$L$31,0,1)))</f>
        <v>0</v>
      </c>
    </row>
    <row r="415" spans="2:79">
      <c r="B415" s="854"/>
      <c r="C415" s="854"/>
      <c r="D415" s="854"/>
      <c r="E415" s="854"/>
      <c r="F415" s="854"/>
      <c r="G415" s="854"/>
      <c r="H415" s="854"/>
      <c r="I415" s="854"/>
      <c r="J415" s="854"/>
      <c r="K415" s="854"/>
      <c r="L415" s="854"/>
      <c r="M415" s="854"/>
      <c r="N415" s="854"/>
      <c r="O415" s="854"/>
      <c r="P415" s="854"/>
      <c r="Q415" s="854"/>
      <c r="R415" s="854"/>
      <c r="S415" s="854"/>
      <c r="T415" s="854"/>
      <c r="U415" s="854"/>
      <c r="V415" s="854"/>
      <c r="W415" s="854"/>
      <c r="X415" s="854"/>
      <c r="Y415" s="854"/>
      <c r="Z415" s="854"/>
      <c r="AA415" s="854"/>
      <c r="AB415" s="854"/>
      <c r="AC415" s="854"/>
      <c r="AD415" s="854"/>
      <c r="AE415" s="854"/>
      <c r="AF415" s="854"/>
      <c r="AG415" s="854"/>
      <c r="AH415" s="854"/>
      <c r="AI415" s="854"/>
      <c r="AJ415" s="854"/>
      <c r="AK415" s="854"/>
      <c r="AL415" s="854"/>
      <c r="AM415" s="854"/>
      <c r="AN415" s="854"/>
      <c r="AO415" s="854"/>
      <c r="AP415" s="854"/>
      <c r="AQ415" s="854"/>
      <c r="AR415" s="854"/>
      <c r="AS415" s="854"/>
      <c r="AT415" s="854"/>
      <c r="AU415" s="854"/>
      <c r="AV415" s="854"/>
      <c r="AW415" s="854"/>
      <c r="AX415" s="854"/>
      <c r="AY415" s="854"/>
      <c r="AZ415" s="854"/>
      <c r="BA415" s="854"/>
      <c r="BB415" s="854"/>
      <c r="BC415" s="854"/>
      <c r="BD415" s="854"/>
      <c r="BE415" s="854"/>
      <c r="BF415" s="854"/>
      <c r="BG415" s="854"/>
      <c r="BH415" s="854"/>
      <c r="BI415" s="854"/>
      <c r="BJ415" s="854"/>
      <c r="BK415" s="854"/>
      <c r="BL415" s="854"/>
      <c r="BM415" s="854"/>
      <c r="BN415" s="854"/>
      <c r="BO415" s="854"/>
      <c r="BP415" s="854"/>
      <c r="BQ415" s="854"/>
      <c r="BR415" s="854"/>
      <c r="BS415" s="854"/>
      <c r="BT415" s="854"/>
      <c r="BU415" s="854"/>
      <c r="BV415" s="854"/>
      <c r="BW415" s="854"/>
      <c r="BX415" s="854"/>
      <c r="BY415" s="854"/>
      <c r="BZ415" s="854"/>
      <c r="CA415" s="571">
        <f>IF(OR(I415="",I415&lt;'Configs &amp; Procedures'!$L$29),0,IF(I415&gt;'Configs &amp; Procedures'!$L$30,1,IF(F415&gt;'Configs &amp; Procedures'!$L$31,0,1)))</f>
        <v>0</v>
      </c>
    </row>
    <row r="416" spans="2:79">
      <c r="B416" s="854"/>
      <c r="C416" s="854"/>
      <c r="D416" s="854"/>
      <c r="E416" s="854"/>
      <c r="F416" s="854"/>
      <c r="G416" s="854"/>
      <c r="H416" s="854"/>
      <c r="I416" s="854"/>
      <c r="J416" s="854"/>
      <c r="K416" s="854"/>
      <c r="L416" s="854"/>
      <c r="M416" s="854"/>
      <c r="N416" s="854"/>
      <c r="O416" s="854"/>
      <c r="P416" s="854"/>
      <c r="Q416" s="854"/>
      <c r="R416" s="854"/>
      <c r="S416" s="854"/>
      <c r="T416" s="854"/>
      <c r="U416" s="854"/>
      <c r="V416" s="854"/>
      <c r="W416" s="854"/>
      <c r="X416" s="854"/>
      <c r="Y416" s="854"/>
      <c r="Z416" s="854"/>
      <c r="AA416" s="854"/>
      <c r="AB416" s="854"/>
      <c r="AC416" s="854"/>
      <c r="AD416" s="854"/>
      <c r="AE416" s="854"/>
      <c r="AF416" s="854"/>
      <c r="AG416" s="854"/>
      <c r="AH416" s="854"/>
      <c r="AI416" s="854"/>
      <c r="AJ416" s="854"/>
      <c r="AK416" s="854"/>
      <c r="AL416" s="854"/>
      <c r="AM416" s="854"/>
      <c r="AN416" s="854"/>
      <c r="AO416" s="854"/>
      <c r="AP416" s="854"/>
      <c r="AQ416" s="854"/>
      <c r="AR416" s="854"/>
      <c r="AS416" s="854"/>
      <c r="AT416" s="854"/>
      <c r="AU416" s="854"/>
      <c r="AV416" s="854"/>
      <c r="AW416" s="854"/>
      <c r="AX416" s="854"/>
      <c r="AY416" s="854"/>
      <c r="AZ416" s="854"/>
      <c r="BA416" s="854"/>
      <c r="BB416" s="854"/>
      <c r="BC416" s="854"/>
      <c r="BD416" s="854"/>
      <c r="BE416" s="854"/>
      <c r="BF416" s="854"/>
      <c r="BG416" s="854"/>
      <c r="BH416" s="854"/>
      <c r="BI416" s="854"/>
      <c r="BJ416" s="854"/>
      <c r="BK416" s="854"/>
      <c r="BL416" s="854"/>
      <c r="BM416" s="854"/>
      <c r="BN416" s="854"/>
      <c r="BO416" s="854"/>
      <c r="BP416" s="854"/>
      <c r="BQ416" s="854"/>
      <c r="BR416" s="854"/>
      <c r="BS416" s="854"/>
      <c r="BT416" s="854"/>
      <c r="BU416" s="854"/>
      <c r="BV416" s="854"/>
      <c r="BW416" s="854"/>
      <c r="BX416" s="854"/>
      <c r="BY416" s="854"/>
      <c r="BZ416" s="854"/>
      <c r="CA416" s="571">
        <f>IF(OR(I416="",I416&lt;'Configs &amp; Procedures'!$L$29),0,IF(I416&gt;'Configs &amp; Procedures'!$L$30,1,IF(F416&gt;'Configs &amp; Procedures'!$L$31,0,1)))</f>
        <v>0</v>
      </c>
    </row>
    <row r="417" spans="2:79">
      <c r="B417" s="854"/>
      <c r="C417" s="854"/>
      <c r="D417" s="854"/>
      <c r="E417" s="854"/>
      <c r="F417" s="854"/>
      <c r="G417" s="854"/>
      <c r="H417" s="854"/>
      <c r="I417" s="854"/>
      <c r="J417" s="854"/>
      <c r="K417" s="854"/>
      <c r="L417" s="854"/>
      <c r="M417" s="854"/>
      <c r="N417" s="854"/>
      <c r="O417" s="854"/>
      <c r="P417" s="854"/>
      <c r="Q417" s="854"/>
      <c r="R417" s="854"/>
      <c r="S417" s="854"/>
      <c r="T417" s="854"/>
      <c r="U417" s="854"/>
      <c r="V417" s="854"/>
      <c r="W417" s="854"/>
      <c r="X417" s="854"/>
      <c r="Y417" s="854"/>
      <c r="Z417" s="854"/>
      <c r="AA417" s="854"/>
      <c r="AB417" s="854"/>
      <c r="AC417" s="854"/>
      <c r="AD417" s="854"/>
      <c r="AE417" s="854"/>
      <c r="AF417" s="854"/>
      <c r="AG417" s="854"/>
      <c r="AH417" s="854"/>
      <c r="AI417" s="854"/>
      <c r="AJ417" s="854"/>
      <c r="AK417" s="854"/>
      <c r="AL417" s="854"/>
      <c r="AM417" s="854"/>
      <c r="AN417" s="854"/>
      <c r="AO417" s="854"/>
      <c r="AP417" s="854"/>
      <c r="AQ417" s="854"/>
      <c r="AR417" s="854"/>
      <c r="AS417" s="854"/>
      <c r="AT417" s="854"/>
      <c r="AU417" s="854"/>
      <c r="AV417" s="854"/>
      <c r="AW417" s="854"/>
      <c r="AX417" s="854"/>
      <c r="AY417" s="854"/>
      <c r="AZ417" s="854"/>
      <c r="BA417" s="854"/>
      <c r="BB417" s="854"/>
      <c r="BC417" s="854"/>
      <c r="BD417" s="854"/>
      <c r="BE417" s="854"/>
      <c r="BF417" s="854"/>
      <c r="BG417" s="854"/>
      <c r="BH417" s="854"/>
      <c r="BI417" s="854"/>
      <c r="BJ417" s="854"/>
      <c r="BK417" s="854"/>
      <c r="BL417" s="854"/>
      <c r="BM417" s="854"/>
      <c r="BN417" s="854"/>
      <c r="BO417" s="854"/>
      <c r="BP417" s="854"/>
      <c r="BQ417" s="854"/>
      <c r="BR417" s="854"/>
      <c r="BS417" s="854"/>
      <c r="BT417" s="854"/>
      <c r="BU417" s="854"/>
      <c r="BV417" s="854"/>
      <c r="BW417" s="854"/>
      <c r="BX417" s="854"/>
      <c r="BY417" s="854"/>
      <c r="BZ417" s="854"/>
      <c r="CA417" s="571">
        <f>IF(OR(I417="",I417&lt;'Configs &amp; Procedures'!$L$29),0,IF(I417&gt;'Configs &amp; Procedures'!$L$30,1,IF(F417&gt;'Configs &amp; Procedures'!$L$31,0,1)))</f>
        <v>0</v>
      </c>
    </row>
    <row r="418" spans="2:79">
      <c r="B418" s="854"/>
      <c r="C418" s="854"/>
      <c r="D418" s="854"/>
      <c r="E418" s="854"/>
      <c r="F418" s="854"/>
      <c r="G418" s="854"/>
      <c r="H418" s="854"/>
      <c r="I418" s="854"/>
      <c r="J418" s="854"/>
      <c r="K418" s="854"/>
      <c r="L418" s="854"/>
      <c r="M418" s="854"/>
      <c r="N418" s="854"/>
      <c r="O418" s="854"/>
      <c r="P418" s="854"/>
      <c r="Q418" s="854"/>
      <c r="R418" s="854"/>
      <c r="S418" s="854"/>
      <c r="T418" s="854"/>
      <c r="U418" s="854"/>
      <c r="V418" s="854"/>
      <c r="W418" s="854"/>
      <c r="X418" s="854"/>
      <c r="Y418" s="854"/>
      <c r="Z418" s="854"/>
      <c r="AA418" s="854"/>
      <c r="AB418" s="854"/>
      <c r="AC418" s="854"/>
      <c r="AD418" s="854"/>
      <c r="AE418" s="854"/>
      <c r="AF418" s="854"/>
      <c r="AG418" s="854"/>
      <c r="AH418" s="854"/>
      <c r="AI418" s="854"/>
      <c r="AJ418" s="854"/>
      <c r="AK418" s="854"/>
      <c r="AL418" s="854"/>
      <c r="AM418" s="854"/>
      <c r="AN418" s="854"/>
      <c r="AO418" s="854"/>
      <c r="AP418" s="854"/>
      <c r="AQ418" s="854"/>
      <c r="AR418" s="854"/>
      <c r="AS418" s="854"/>
      <c r="AT418" s="854"/>
      <c r="AU418" s="854"/>
      <c r="AV418" s="854"/>
      <c r="AW418" s="854"/>
      <c r="AX418" s="854"/>
      <c r="AY418" s="854"/>
      <c r="AZ418" s="854"/>
      <c r="BA418" s="854"/>
      <c r="BB418" s="854"/>
      <c r="BC418" s="854"/>
      <c r="BD418" s="854"/>
      <c r="BE418" s="854"/>
      <c r="BF418" s="854"/>
      <c r="BG418" s="854"/>
      <c r="BH418" s="854"/>
      <c r="BI418" s="854"/>
      <c r="BJ418" s="854"/>
      <c r="BK418" s="854"/>
      <c r="BL418" s="854"/>
      <c r="BM418" s="854"/>
      <c r="BN418" s="854"/>
      <c r="BO418" s="854"/>
      <c r="BP418" s="854"/>
      <c r="BQ418" s="854"/>
      <c r="BR418" s="854"/>
      <c r="BS418" s="854"/>
      <c r="BT418" s="854"/>
      <c r="BU418" s="854"/>
      <c r="BV418" s="854"/>
      <c r="BW418" s="854"/>
      <c r="BX418" s="854"/>
      <c r="BY418" s="854"/>
      <c r="BZ418" s="854"/>
      <c r="CA418" s="571">
        <f>IF(OR(I418="",I418&lt;'Configs &amp; Procedures'!$L$29),0,IF(I418&gt;'Configs &amp; Procedures'!$L$30,1,IF(F418&gt;'Configs &amp; Procedures'!$L$31,0,1)))</f>
        <v>0</v>
      </c>
    </row>
    <row r="419" spans="2:79">
      <c r="B419" s="854"/>
      <c r="C419" s="854"/>
      <c r="D419" s="854"/>
      <c r="E419" s="854"/>
      <c r="F419" s="854"/>
      <c r="G419" s="854"/>
      <c r="H419" s="854"/>
      <c r="I419" s="854"/>
      <c r="J419" s="854"/>
      <c r="K419" s="854"/>
      <c r="L419" s="854"/>
      <c r="M419" s="854"/>
      <c r="N419" s="854"/>
      <c r="O419" s="854"/>
      <c r="P419" s="854"/>
      <c r="Q419" s="854"/>
      <c r="R419" s="854"/>
      <c r="S419" s="854"/>
      <c r="T419" s="854"/>
      <c r="U419" s="854"/>
      <c r="V419" s="854"/>
      <c r="W419" s="854"/>
      <c r="X419" s="854"/>
      <c r="Y419" s="854"/>
      <c r="Z419" s="854"/>
      <c r="AA419" s="854"/>
      <c r="AB419" s="854"/>
      <c r="AC419" s="854"/>
      <c r="AD419" s="854"/>
      <c r="AE419" s="854"/>
      <c r="AF419" s="854"/>
      <c r="AG419" s="854"/>
      <c r="AH419" s="854"/>
      <c r="AI419" s="854"/>
      <c r="AJ419" s="854"/>
      <c r="AK419" s="854"/>
      <c r="AL419" s="854"/>
      <c r="AM419" s="854"/>
      <c r="AN419" s="854"/>
      <c r="AO419" s="854"/>
      <c r="AP419" s="854"/>
      <c r="AQ419" s="854"/>
      <c r="AR419" s="854"/>
      <c r="AS419" s="854"/>
      <c r="AT419" s="854"/>
      <c r="AU419" s="854"/>
      <c r="AV419" s="854"/>
      <c r="AW419" s="854"/>
      <c r="AX419" s="854"/>
      <c r="AY419" s="854"/>
      <c r="AZ419" s="854"/>
      <c r="BA419" s="854"/>
      <c r="BB419" s="854"/>
      <c r="BC419" s="854"/>
      <c r="BD419" s="854"/>
      <c r="BE419" s="854"/>
      <c r="BF419" s="854"/>
      <c r="BG419" s="854"/>
      <c r="BH419" s="854"/>
      <c r="BI419" s="854"/>
      <c r="BJ419" s="854"/>
      <c r="BK419" s="854"/>
      <c r="BL419" s="854"/>
      <c r="BM419" s="854"/>
      <c r="BN419" s="854"/>
      <c r="BO419" s="854"/>
      <c r="BP419" s="854"/>
      <c r="BQ419" s="854"/>
      <c r="BR419" s="854"/>
      <c r="BS419" s="854"/>
      <c r="BT419" s="854"/>
      <c r="BU419" s="854"/>
      <c r="BV419" s="854"/>
      <c r="BW419" s="854"/>
      <c r="BX419" s="854"/>
      <c r="BY419" s="854"/>
      <c r="BZ419" s="854"/>
      <c r="CA419" s="571">
        <f>IF(OR(I419="",I419&lt;'Configs &amp; Procedures'!$L$29),0,IF(I419&gt;'Configs &amp; Procedures'!$L$30,1,IF(F419&gt;'Configs &amp; Procedures'!$L$31,0,1)))</f>
        <v>0</v>
      </c>
    </row>
    <row r="420" spans="2:79">
      <c r="B420" s="854"/>
      <c r="C420" s="854"/>
      <c r="D420" s="854"/>
      <c r="E420" s="854"/>
      <c r="F420" s="854"/>
      <c r="G420" s="854"/>
      <c r="H420" s="854"/>
      <c r="I420" s="854"/>
      <c r="J420" s="854"/>
      <c r="K420" s="854"/>
      <c r="L420" s="854"/>
      <c r="M420" s="854"/>
      <c r="N420" s="854"/>
      <c r="O420" s="854"/>
      <c r="P420" s="854"/>
      <c r="Q420" s="854"/>
      <c r="R420" s="854"/>
      <c r="S420" s="854"/>
      <c r="T420" s="854"/>
      <c r="U420" s="854"/>
      <c r="V420" s="854"/>
      <c r="W420" s="854"/>
      <c r="X420" s="854"/>
      <c r="Y420" s="854"/>
      <c r="Z420" s="854"/>
      <c r="AA420" s="854"/>
      <c r="AB420" s="854"/>
      <c r="AC420" s="854"/>
      <c r="AD420" s="854"/>
      <c r="AE420" s="854"/>
      <c r="AF420" s="854"/>
      <c r="AG420" s="854"/>
      <c r="AH420" s="854"/>
      <c r="AI420" s="854"/>
      <c r="AJ420" s="854"/>
      <c r="AK420" s="854"/>
      <c r="AL420" s="854"/>
      <c r="AM420" s="854"/>
      <c r="AN420" s="854"/>
      <c r="AO420" s="854"/>
      <c r="AP420" s="854"/>
      <c r="AQ420" s="854"/>
      <c r="AR420" s="854"/>
      <c r="AS420" s="854"/>
      <c r="AT420" s="854"/>
      <c r="AU420" s="854"/>
      <c r="AV420" s="854"/>
      <c r="AW420" s="854"/>
      <c r="AX420" s="854"/>
      <c r="AY420" s="854"/>
      <c r="AZ420" s="854"/>
      <c r="BA420" s="854"/>
      <c r="BB420" s="854"/>
      <c r="BC420" s="854"/>
      <c r="BD420" s="854"/>
      <c r="BE420" s="854"/>
      <c r="BF420" s="854"/>
      <c r="BG420" s="854"/>
      <c r="BH420" s="854"/>
      <c r="BI420" s="854"/>
      <c r="BJ420" s="854"/>
      <c r="BK420" s="854"/>
      <c r="BL420" s="854"/>
      <c r="BM420" s="854"/>
      <c r="BN420" s="854"/>
      <c r="BO420" s="854"/>
      <c r="BP420" s="854"/>
      <c r="BQ420" s="854"/>
      <c r="BR420" s="854"/>
      <c r="BS420" s="854"/>
      <c r="BT420" s="854"/>
      <c r="BU420" s="854"/>
      <c r="BV420" s="854"/>
      <c r="BW420" s="854"/>
      <c r="BX420" s="854"/>
      <c r="BY420" s="854"/>
      <c r="BZ420" s="854"/>
      <c r="CA420" s="571">
        <f>IF(OR(I420="",I420&lt;'Configs &amp; Procedures'!$L$29),0,IF(I420&gt;'Configs &amp; Procedures'!$L$30,1,IF(F420&gt;'Configs &amp; Procedures'!$L$31,0,1)))</f>
        <v>0</v>
      </c>
    </row>
    <row r="421" spans="2:79">
      <c r="B421" s="854"/>
      <c r="C421" s="854"/>
      <c r="D421" s="854"/>
      <c r="E421" s="854"/>
      <c r="F421" s="854"/>
      <c r="G421" s="854"/>
      <c r="H421" s="854"/>
      <c r="I421" s="854"/>
      <c r="J421" s="854"/>
      <c r="K421" s="854"/>
      <c r="L421" s="854"/>
      <c r="M421" s="854"/>
      <c r="N421" s="854"/>
      <c r="O421" s="854"/>
      <c r="P421" s="854"/>
      <c r="Q421" s="854"/>
      <c r="R421" s="854"/>
      <c r="S421" s="854"/>
      <c r="T421" s="854"/>
      <c r="U421" s="854"/>
      <c r="V421" s="854"/>
      <c r="W421" s="854"/>
      <c r="X421" s="854"/>
      <c r="Y421" s="854"/>
      <c r="Z421" s="854"/>
      <c r="AA421" s="854"/>
      <c r="AB421" s="854"/>
      <c r="AC421" s="854"/>
      <c r="AD421" s="854"/>
      <c r="AE421" s="854"/>
      <c r="AF421" s="854"/>
      <c r="AG421" s="854"/>
      <c r="AH421" s="854"/>
      <c r="AI421" s="854"/>
      <c r="AJ421" s="854"/>
      <c r="AK421" s="854"/>
      <c r="AL421" s="854"/>
      <c r="AM421" s="854"/>
      <c r="AN421" s="854"/>
      <c r="AO421" s="854"/>
      <c r="AP421" s="854"/>
      <c r="AQ421" s="854"/>
      <c r="AR421" s="854"/>
      <c r="AS421" s="854"/>
      <c r="AT421" s="854"/>
      <c r="AU421" s="854"/>
      <c r="AV421" s="854"/>
      <c r="AW421" s="854"/>
      <c r="AX421" s="854"/>
      <c r="AY421" s="854"/>
      <c r="AZ421" s="854"/>
      <c r="BA421" s="854"/>
      <c r="BB421" s="854"/>
      <c r="BC421" s="854"/>
      <c r="BD421" s="854"/>
      <c r="BE421" s="854"/>
      <c r="BF421" s="854"/>
      <c r="BG421" s="854"/>
      <c r="BH421" s="854"/>
      <c r="BI421" s="854"/>
      <c r="BJ421" s="854"/>
      <c r="BK421" s="854"/>
      <c r="BL421" s="854"/>
      <c r="BM421" s="854"/>
      <c r="BN421" s="854"/>
      <c r="BO421" s="854"/>
      <c r="BP421" s="854"/>
      <c r="BQ421" s="854"/>
      <c r="BR421" s="854"/>
      <c r="BS421" s="854"/>
      <c r="BT421" s="854"/>
      <c r="BU421" s="854"/>
      <c r="BV421" s="854"/>
      <c r="BW421" s="854"/>
      <c r="BX421" s="854"/>
      <c r="BY421" s="854"/>
      <c r="BZ421" s="854"/>
      <c r="CA421" s="571">
        <f>IF(OR(I421="",I421&lt;'Configs &amp; Procedures'!$L$29),0,IF(I421&gt;'Configs &amp; Procedures'!$L$30,1,IF(F421&gt;'Configs &amp; Procedures'!$L$31,0,1)))</f>
        <v>0</v>
      </c>
    </row>
    <row r="422" spans="2:79">
      <c r="B422" s="854"/>
      <c r="C422" s="854"/>
      <c r="D422" s="854"/>
      <c r="E422" s="854"/>
      <c r="F422" s="854"/>
      <c r="G422" s="854"/>
      <c r="H422" s="854"/>
      <c r="I422" s="854"/>
      <c r="J422" s="854"/>
      <c r="K422" s="854"/>
      <c r="L422" s="854"/>
      <c r="M422" s="854"/>
      <c r="N422" s="854"/>
      <c r="O422" s="854"/>
      <c r="P422" s="854"/>
      <c r="Q422" s="854"/>
      <c r="R422" s="854"/>
      <c r="S422" s="854"/>
      <c r="T422" s="854"/>
      <c r="U422" s="854"/>
      <c r="V422" s="854"/>
      <c r="W422" s="854"/>
      <c r="X422" s="854"/>
      <c r="Y422" s="854"/>
      <c r="Z422" s="854"/>
      <c r="AA422" s="854"/>
      <c r="AB422" s="854"/>
      <c r="AC422" s="854"/>
      <c r="AD422" s="854"/>
      <c r="AE422" s="854"/>
      <c r="AF422" s="854"/>
      <c r="AG422" s="854"/>
      <c r="AH422" s="854"/>
      <c r="AI422" s="854"/>
      <c r="AJ422" s="854"/>
      <c r="AK422" s="854"/>
      <c r="AL422" s="854"/>
      <c r="AM422" s="854"/>
      <c r="AN422" s="854"/>
      <c r="AO422" s="854"/>
      <c r="AP422" s="854"/>
      <c r="AQ422" s="854"/>
      <c r="AR422" s="854"/>
      <c r="AS422" s="854"/>
      <c r="AT422" s="854"/>
      <c r="AU422" s="854"/>
      <c r="AV422" s="854"/>
      <c r="AW422" s="854"/>
      <c r="AX422" s="854"/>
      <c r="AY422" s="854"/>
      <c r="AZ422" s="854"/>
      <c r="BA422" s="854"/>
      <c r="BB422" s="854"/>
      <c r="BC422" s="854"/>
      <c r="BD422" s="854"/>
      <c r="BE422" s="854"/>
      <c r="BF422" s="854"/>
      <c r="BG422" s="854"/>
      <c r="BH422" s="854"/>
      <c r="BI422" s="854"/>
      <c r="BJ422" s="854"/>
      <c r="BK422" s="854"/>
      <c r="BL422" s="854"/>
      <c r="BM422" s="854"/>
      <c r="BN422" s="854"/>
      <c r="BO422" s="854"/>
      <c r="BP422" s="854"/>
      <c r="BQ422" s="854"/>
      <c r="BR422" s="854"/>
      <c r="BS422" s="854"/>
      <c r="BT422" s="854"/>
      <c r="BU422" s="854"/>
      <c r="BV422" s="854"/>
      <c r="BW422" s="854"/>
      <c r="BX422" s="854"/>
      <c r="BY422" s="854"/>
      <c r="BZ422" s="854"/>
      <c r="CA422" s="571">
        <f>IF(OR(I422="",I422&lt;'Configs &amp; Procedures'!$L$29),0,IF(I422&gt;'Configs &amp; Procedures'!$L$30,1,IF(F422&gt;'Configs &amp; Procedures'!$L$31,0,1)))</f>
        <v>0</v>
      </c>
    </row>
    <row r="423" spans="2:79">
      <c r="B423" s="854"/>
      <c r="C423" s="854"/>
      <c r="D423" s="854"/>
      <c r="E423" s="854"/>
      <c r="F423" s="854"/>
      <c r="G423" s="854"/>
      <c r="H423" s="854"/>
      <c r="I423" s="854"/>
      <c r="J423" s="854"/>
      <c r="K423" s="854"/>
      <c r="L423" s="854"/>
      <c r="M423" s="854"/>
      <c r="N423" s="854"/>
      <c r="O423" s="854"/>
      <c r="P423" s="854"/>
      <c r="Q423" s="854"/>
      <c r="R423" s="854"/>
      <c r="S423" s="854"/>
      <c r="T423" s="854"/>
      <c r="U423" s="854"/>
      <c r="V423" s="854"/>
      <c r="W423" s="854"/>
      <c r="X423" s="854"/>
      <c r="Y423" s="854"/>
      <c r="Z423" s="854"/>
      <c r="AA423" s="854"/>
      <c r="AB423" s="854"/>
      <c r="AC423" s="854"/>
      <c r="AD423" s="854"/>
      <c r="AE423" s="854"/>
      <c r="AF423" s="854"/>
      <c r="AG423" s="854"/>
      <c r="AH423" s="854"/>
      <c r="AI423" s="854"/>
      <c r="AJ423" s="854"/>
      <c r="AK423" s="854"/>
      <c r="AL423" s="854"/>
      <c r="AM423" s="854"/>
      <c r="AN423" s="854"/>
      <c r="AO423" s="854"/>
      <c r="AP423" s="854"/>
      <c r="AQ423" s="854"/>
      <c r="AR423" s="854"/>
      <c r="AS423" s="854"/>
      <c r="AT423" s="854"/>
      <c r="AU423" s="854"/>
      <c r="AV423" s="854"/>
      <c r="AW423" s="854"/>
      <c r="AX423" s="854"/>
      <c r="AY423" s="854"/>
      <c r="AZ423" s="854"/>
      <c r="BA423" s="854"/>
      <c r="BB423" s="854"/>
      <c r="BC423" s="854"/>
      <c r="BD423" s="854"/>
      <c r="BE423" s="854"/>
      <c r="BF423" s="854"/>
      <c r="BG423" s="854"/>
      <c r="BH423" s="854"/>
      <c r="BI423" s="854"/>
      <c r="BJ423" s="854"/>
      <c r="BK423" s="854"/>
      <c r="BL423" s="854"/>
      <c r="BM423" s="854"/>
      <c r="BN423" s="854"/>
      <c r="BO423" s="854"/>
      <c r="BP423" s="854"/>
      <c r="BQ423" s="854"/>
      <c r="BR423" s="854"/>
      <c r="BS423" s="854"/>
      <c r="BT423" s="854"/>
      <c r="BU423" s="854"/>
      <c r="BV423" s="854"/>
      <c r="BW423" s="854"/>
      <c r="BX423" s="854"/>
      <c r="BY423" s="854"/>
      <c r="BZ423" s="854"/>
      <c r="CA423" s="571">
        <f>IF(OR(I423="",I423&lt;'Configs &amp; Procedures'!$L$29),0,IF(I423&gt;'Configs &amp; Procedures'!$L$30,1,IF(F423&gt;'Configs &amp; Procedures'!$L$31,0,1)))</f>
        <v>0</v>
      </c>
    </row>
    <row r="424" spans="2:79">
      <c r="B424" s="854"/>
      <c r="C424" s="854"/>
      <c r="D424" s="854"/>
      <c r="E424" s="854"/>
      <c r="F424" s="854"/>
      <c r="G424" s="854"/>
      <c r="H424" s="854"/>
      <c r="I424" s="854"/>
      <c r="J424" s="854"/>
      <c r="K424" s="854"/>
      <c r="L424" s="854"/>
      <c r="M424" s="854"/>
      <c r="N424" s="854"/>
      <c r="O424" s="854"/>
      <c r="P424" s="854"/>
      <c r="Q424" s="854"/>
      <c r="R424" s="854"/>
      <c r="S424" s="854"/>
      <c r="T424" s="854"/>
      <c r="U424" s="854"/>
      <c r="V424" s="854"/>
      <c r="W424" s="854"/>
      <c r="X424" s="854"/>
      <c r="Y424" s="854"/>
      <c r="Z424" s="854"/>
      <c r="AA424" s="854"/>
      <c r="AB424" s="854"/>
      <c r="AC424" s="854"/>
      <c r="AD424" s="854"/>
      <c r="AE424" s="854"/>
      <c r="AF424" s="854"/>
      <c r="AG424" s="854"/>
      <c r="AH424" s="854"/>
      <c r="AI424" s="854"/>
      <c r="AJ424" s="854"/>
      <c r="AK424" s="854"/>
      <c r="AL424" s="854"/>
      <c r="AM424" s="854"/>
      <c r="AN424" s="854"/>
      <c r="AO424" s="854"/>
      <c r="AP424" s="854"/>
      <c r="AQ424" s="854"/>
      <c r="AR424" s="854"/>
      <c r="AS424" s="854"/>
      <c r="AT424" s="854"/>
      <c r="AU424" s="854"/>
      <c r="AV424" s="854"/>
      <c r="AW424" s="854"/>
      <c r="AX424" s="854"/>
      <c r="AY424" s="854"/>
      <c r="AZ424" s="854"/>
      <c r="BA424" s="854"/>
      <c r="BB424" s="854"/>
      <c r="BC424" s="854"/>
      <c r="BD424" s="854"/>
      <c r="BE424" s="854"/>
      <c r="BF424" s="854"/>
      <c r="BG424" s="854"/>
      <c r="BH424" s="854"/>
      <c r="BI424" s="854"/>
      <c r="BJ424" s="854"/>
      <c r="BK424" s="854"/>
      <c r="BL424" s="854"/>
      <c r="BM424" s="854"/>
      <c r="BN424" s="854"/>
      <c r="BO424" s="854"/>
      <c r="BP424" s="854"/>
      <c r="BQ424" s="854"/>
      <c r="BR424" s="854"/>
      <c r="BS424" s="854"/>
      <c r="BT424" s="854"/>
      <c r="BU424" s="854"/>
      <c r="BV424" s="854"/>
      <c r="BW424" s="854"/>
      <c r="BX424" s="854"/>
      <c r="BY424" s="854"/>
      <c r="BZ424" s="854"/>
      <c r="CA424" s="571">
        <f>IF(OR(I424="",I424&lt;'Configs &amp; Procedures'!$L$29),0,IF(I424&gt;'Configs &amp; Procedures'!$L$30,1,IF(F424&gt;'Configs &amp; Procedures'!$L$31,0,1)))</f>
        <v>0</v>
      </c>
    </row>
    <row r="425" spans="2:79">
      <c r="B425" s="854"/>
      <c r="C425" s="854"/>
      <c r="D425" s="854"/>
      <c r="E425" s="854"/>
      <c r="F425" s="854"/>
      <c r="G425" s="854"/>
      <c r="H425" s="854"/>
      <c r="I425" s="854"/>
      <c r="J425" s="854"/>
      <c r="K425" s="854"/>
      <c r="L425" s="854"/>
      <c r="M425" s="854"/>
      <c r="N425" s="854"/>
      <c r="O425" s="854"/>
      <c r="P425" s="854"/>
      <c r="Q425" s="854"/>
      <c r="R425" s="854"/>
      <c r="S425" s="854"/>
      <c r="T425" s="854"/>
      <c r="U425" s="854"/>
      <c r="V425" s="854"/>
      <c r="W425" s="854"/>
      <c r="X425" s="854"/>
      <c r="Y425" s="854"/>
      <c r="Z425" s="854"/>
      <c r="AA425" s="854"/>
      <c r="AB425" s="854"/>
      <c r="AC425" s="854"/>
      <c r="AD425" s="854"/>
      <c r="AE425" s="854"/>
      <c r="AF425" s="854"/>
      <c r="AG425" s="854"/>
      <c r="AH425" s="854"/>
      <c r="AI425" s="854"/>
      <c r="AJ425" s="854"/>
      <c r="AK425" s="854"/>
      <c r="AL425" s="854"/>
      <c r="AM425" s="854"/>
      <c r="AN425" s="854"/>
      <c r="AO425" s="854"/>
      <c r="AP425" s="854"/>
      <c r="AQ425" s="854"/>
      <c r="AR425" s="854"/>
      <c r="AS425" s="854"/>
      <c r="AT425" s="854"/>
      <c r="AU425" s="854"/>
      <c r="AV425" s="854"/>
      <c r="AW425" s="854"/>
      <c r="AX425" s="854"/>
      <c r="AY425" s="854"/>
      <c r="AZ425" s="854"/>
      <c r="BA425" s="854"/>
      <c r="BB425" s="854"/>
      <c r="BC425" s="854"/>
      <c r="BD425" s="854"/>
      <c r="BE425" s="854"/>
      <c r="BF425" s="854"/>
      <c r="BG425" s="854"/>
      <c r="BH425" s="854"/>
      <c r="BI425" s="854"/>
      <c r="BJ425" s="854"/>
      <c r="BK425" s="854"/>
      <c r="BL425" s="854"/>
      <c r="BM425" s="854"/>
      <c r="BN425" s="854"/>
      <c r="BO425" s="854"/>
      <c r="BP425" s="854"/>
      <c r="BQ425" s="854"/>
      <c r="BR425" s="854"/>
      <c r="BS425" s="854"/>
      <c r="BT425" s="854"/>
      <c r="BU425" s="854"/>
      <c r="BV425" s="854"/>
      <c r="BW425" s="854"/>
      <c r="BX425" s="854"/>
      <c r="BY425" s="854"/>
      <c r="BZ425" s="854"/>
      <c r="CA425" s="571">
        <f>IF(OR(I425="",I425&lt;'Configs &amp; Procedures'!$L$29),0,IF(I425&gt;'Configs &amp; Procedures'!$L$30,1,IF(F425&gt;'Configs &amp; Procedures'!$L$31,0,1)))</f>
        <v>0</v>
      </c>
    </row>
    <row r="426" spans="2:79">
      <c r="B426" s="854"/>
      <c r="C426" s="854"/>
      <c r="D426" s="854"/>
      <c r="E426" s="854"/>
      <c r="F426" s="854"/>
      <c r="G426" s="854"/>
      <c r="H426" s="854"/>
      <c r="I426" s="854"/>
      <c r="J426" s="854"/>
      <c r="K426" s="854"/>
      <c r="L426" s="854"/>
      <c r="M426" s="854"/>
      <c r="N426" s="854"/>
      <c r="O426" s="854"/>
      <c r="P426" s="854"/>
      <c r="Q426" s="854"/>
      <c r="R426" s="854"/>
      <c r="S426" s="854"/>
      <c r="T426" s="854"/>
      <c r="U426" s="854"/>
      <c r="V426" s="854"/>
      <c r="W426" s="854"/>
      <c r="X426" s="854"/>
      <c r="Y426" s="854"/>
      <c r="Z426" s="854"/>
      <c r="AA426" s="854"/>
      <c r="AB426" s="854"/>
      <c r="AC426" s="854"/>
      <c r="AD426" s="854"/>
      <c r="AE426" s="854"/>
      <c r="AF426" s="854"/>
      <c r="AG426" s="854"/>
      <c r="AH426" s="854"/>
      <c r="AI426" s="854"/>
      <c r="AJ426" s="854"/>
      <c r="AK426" s="854"/>
      <c r="AL426" s="854"/>
      <c r="AM426" s="854"/>
      <c r="AN426" s="854"/>
      <c r="AO426" s="854"/>
      <c r="AP426" s="854"/>
      <c r="AQ426" s="854"/>
      <c r="AR426" s="854"/>
      <c r="AS426" s="854"/>
      <c r="AT426" s="854"/>
      <c r="AU426" s="854"/>
      <c r="AV426" s="854"/>
      <c r="AW426" s="854"/>
      <c r="AX426" s="854"/>
      <c r="AY426" s="854"/>
      <c r="AZ426" s="854"/>
      <c r="BA426" s="854"/>
      <c r="BB426" s="854"/>
      <c r="BC426" s="854"/>
      <c r="BD426" s="854"/>
      <c r="BE426" s="854"/>
      <c r="BF426" s="854"/>
      <c r="BG426" s="854"/>
      <c r="BH426" s="854"/>
      <c r="BI426" s="854"/>
      <c r="BJ426" s="854"/>
      <c r="BK426" s="854"/>
      <c r="BL426" s="854"/>
      <c r="BM426" s="854"/>
      <c r="BN426" s="854"/>
      <c r="BO426" s="854"/>
      <c r="BP426" s="854"/>
      <c r="BQ426" s="854"/>
      <c r="BR426" s="854"/>
      <c r="BS426" s="854"/>
      <c r="BT426" s="854"/>
      <c r="BU426" s="854"/>
      <c r="BV426" s="854"/>
      <c r="BW426" s="854"/>
      <c r="BX426" s="854"/>
      <c r="BY426" s="854"/>
      <c r="BZ426" s="854"/>
      <c r="CA426" s="571">
        <f>IF(OR(I426="",I426&lt;'Configs &amp; Procedures'!$L$29),0,IF(I426&gt;'Configs &amp; Procedures'!$L$30,1,IF(F426&gt;'Configs &amp; Procedures'!$L$31,0,1)))</f>
        <v>0</v>
      </c>
    </row>
    <row r="427" spans="2:79">
      <c r="B427" s="854"/>
      <c r="C427" s="854"/>
      <c r="D427" s="854"/>
      <c r="E427" s="854"/>
      <c r="F427" s="854"/>
      <c r="G427" s="854"/>
      <c r="H427" s="854"/>
      <c r="I427" s="854"/>
      <c r="J427" s="854"/>
      <c r="K427" s="854"/>
      <c r="L427" s="854"/>
      <c r="M427" s="854"/>
      <c r="N427" s="854"/>
      <c r="O427" s="854"/>
      <c r="P427" s="854"/>
      <c r="Q427" s="854"/>
      <c r="R427" s="854"/>
      <c r="S427" s="854"/>
      <c r="T427" s="854"/>
      <c r="U427" s="854"/>
      <c r="V427" s="854"/>
      <c r="W427" s="854"/>
      <c r="X427" s="854"/>
      <c r="Y427" s="854"/>
      <c r="Z427" s="854"/>
      <c r="AA427" s="854"/>
      <c r="AB427" s="854"/>
      <c r="AC427" s="854"/>
      <c r="AD427" s="854"/>
      <c r="AE427" s="854"/>
      <c r="AF427" s="854"/>
      <c r="AG427" s="854"/>
      <c r="AH427" s="854"/>
      <c r="AI427" s="854"/>
      <c r="AJ427" s="854"/>
      <c r="AK427" s="854"/>
      <c r="AL427" s="854"/>
      <c r="AM427" s="854"/>
      <c r="AN427" s="854"/>
      <c r="AO427" s="854"/>
      <c r="AP427" s="854"/>
      <c r="AQ427" s="854"/>
      <c r="AR427" s="854"/>
      <c r="AS427" s="854"/>
      <c r="AT427" s="854"/>
      <c r="AU427" s="854"/>
      <c r="AV427" s="854"/>
      <c r="AW427" s="854"/>
      <c r="AX427" s="854"/>
      <c r="AY427" s="854"/>
      <c r="AZ427" s="854"/>
      <c r="BA427" s="854"/>
      <c r="BB427" s="854"/>
      <c r="BC427" s="854"/>
      <c r="BD427" s="854"/>
      <c r="BE427" s="854"/>
      <c r="BF427" s="854"/>
      <c r="BG427" s="854"/>
      <c r="BH427" s="854"/>
      <c r="BI427" s="854"/>
      <c r="BJ427" s="854"/>
      <c r="BK427" s="854"/>
      <c r="BL427" s="854"/>
      <c r="BM427" s="854"/>
      <c r="BN427" s="854"/>
      <c r="BO427" s="854"/>
      <c r="BP427" s="854"/>
      <c r="BQ427" s="854"/>
      <c r="BR427" s="854"/>
      <c r="BS427" s="854"/>
      <c r="BT427" s="854"/>
      <c r="BU427" s="854"/>
      <c r="BV427" s="854"/>
      <c r="BW427" s="854"/>
      <c r="BX427" s="854"/>
      <c r="BY427" s="854"/>
      <c r="BZ427" s="854"/>
      <c r="CA427" s="571">
        <f>IF(OR(I427="",I427&lt;'Configs &amp; Procedures'!$L$29),0,IF(I427&gt;'Configs &amp; Procedures'!$L$30,1,IF(F427&gt;'Configs &amp; Procedures'!$L$31,0,1)))</f>
        <v>0</v>
      </c>
    </row>
    <row r="428" spans="2:79">
      <c r="B428" s="854"/>
      <c r="C428" s="854"/>
      <c r="D428" s="854"/>
      <c r="E428" s="854"/>
      <c r="F428" s="854"/>
      <c r="G428" s="854"/>
      <c r="H428" s="854"/>
      <c r="I428" s="854"/>
      <c r="J428" s="854"/>
      <c r="K428" s="854"/>
      <c r="L428" s="854"/>
      <c r="M428" s="854"/>
      <c r="N428" s="854"/>
      <c r="O428" s="854"/>
      <c r="P428" s="854"/>
      <c r="Q428" s="854"/>
      <c r="R428" s="854"/>
      <c r="S428" s="854"/>
      <c r="T428" s="854"/>
      <c r="U428" s="854"/>
      <c r="V428" s="854"/>
      <c r="W428" s="854"/>
      <c r="X428" s="854"/>
      <c r="Y428" s="854"/>
      <c r="Z428" s="854"/>
      <c r="AA428" s="854"/>
      <c r="AB428" s="854"/>
      <c r="AC428" s="854"/>
      <c r="AD428" s="854"/>
      <c r="AE428" s="854"/>
      <c r="AF428" s="854"/>
      <c r="AG428" s="854"/>
      <c r="AH428" s="854"/>
      <c r="AI428" s="854"/>
      <c r="AJ428" s="854"/>
      <c r="AK428" s="854"/>
      <c r="AL428" s="854"/>
      <c r="AM428" s="854"/>
      <c r="AN428" s="854"/>
      <c r="AO428" s="854"/>
      <c r="AP428" s="854"/>
      <c r="AQ428" s="854"/>
      <c r="AR428" s="854"/>
      <c r="AS428" s="854"/>
      <c r="AT428" s="854"/>
      <c r="AU428" s="854"/>
      <c r="AV428" s="854"/>
      <c r="AW428" s="854"/>
      <c r="AX428" s="854"/>
      <c r="AY428" s="854"/>
      <c r="AZ428" s="854"/>
      <c r="BA428" s="854"/>
      <c r="BB428" s="854"/>
      <c r="BC428" s="854"/>
      <c r="BD428" s="854"/>
      <c r="BE428" s="854"/>
      <c r="BF428" s="854"/>
      <c r="BG428" s="854"/>
      <c r="BH428" s="854"/>
      <c r="BI428" s="854"/>
      <c r="BJ428" s="854"/>
      <c r="BK428" s="854"/>
      <c r="BL428" s="854"/>
      <c r="BM428" s="854"/>
      <c r="BN428" s="854"/>
      <c r="BO428" s="854"/>
      <c r="BP428" s="854"/>
      <c r="BQ428" s="854"/>
      <c r="BR428" s="854"/>
      <c r="BS428" s="854"/>
      <c r="BT428" s="854"/>
      <c r="BU428" s="854"/>
      <c r="BV428" s="854"/>
      <c r="BW428" s="854"/>
      <c r="BX428" s="854"/>
      <c r="BY428" s="854"/>
      <c r="BZ428" s="854"/>
      <c r="CA428" s="571">
        <f>IF(OR(I428="",I428&lt;'Configs &amp; Procedures'!$L$29),0,IF(I428&gt;'Configs &amp; Procedures'!$L$30,1,IF(F428&gt;'Configs &amp; Procedures'!$L$31,0,1)))</f>
        <v>0</v>
      </c>
    </row>
    <row r="429" spans="2:79">
      <c r="B429" s="854"/>
      <c r="C429" s="854"/>
      <c r="D429" s="854"/>
      <c r="E429" s="854"/>
      <c r="F429" s="854"/>
      <c r="G429" s="854"/>
      <c r="H429" s="854"/>
      <c r="I429" s="854"/>
      <c r="J429" s="854"/>
      <c r="K429" s="854"/>
      <c r="L429" s="854"/>
      <c r="M429" s="854"/>
      <c r="N429" s="854"/>
      <c r="O429" s="854"/>
      <c r="P429" s="854"/>
      <c r="Q429" s="854"/>
      <c r="R429" s="854"/>
      <c r="S429" s="854"/>
      <c r="T429" s="854"/>
      <c r="U429" s="854"/>
      <c r="V429" s="854"/>
      <c r="W429" s="854"/>
      <c r="X429" s="854"/>
      <c r="Y429" s="854"/>
      <c r="Z429" s="854"/>
      <c r="AA429" s="854"/>
      <c r="AB429" s="854"/>
      <c r="AC429" s="854"/>
      <c r="AD429" s="854"/>
      <c r="AE429" s="854"/>
      <c r="AF429" s="854"/>
      <c r="AG429" s="854"/>
      <c r="AH429" s="854"/>
      <c r="AI429" s="854"/>
      <c r="AJ429" s="854"/>
      <c r="AK429" s="854"/>
      <c r="AL429" s="854"/>
      <c r="AM429" s="854"/>
      <c r="AN429" s="854"/>
      <c r="AO429" s="854"/>
      <c r="AP429" s="854"/>
      <c r="AQ429" s="854"/>
      <c r="AR429" s="854"/>
      <c r="AS429" s="854"/>
      <c r="AT429" s="854"/>
      <c r="AU429" s="854"/>
      <c r="AV429" s="854"/>
      <c r="AW429" s="854"/>
      <c r="AX429" s="854"/>
      <c r="AY429" s="854"/>
      <c r="AZ429" s="854"/>
      <c r="BA429" s="854"/>
      <c r="BB429" s="854"/>
      <c r="BC429" s="854"/>
      <c r="BD429" s="854"/>
      <c r="BE429" s="854"/>
      <c r="BF429" s="854"/>
      <c r="BG429" s="854"/>
      <c r="BH429" s="854"/>
      <c r="BI429" s="854"/>
      <c r="BJ429" s="854"/>
      <c r="BK429" s="854"/>
      <c r="BL429" s="854"/>
      <c r="BM429" s="854"/>
      <c r="BN429" s="854"/>
      <c r="BO429" s="854"/>
      <c r="BP429" s="854"/>
      <c r="BQ429" s="854"/>
      <c r="BR429" s="854"/>
      <c r="BS429" s="854"/>
      <c r="BT429" s="854"/>
      <c r="BU429" s="854"/>
      <c r="BV429" s="854"/>
      <c r="BW429" s="854"/>
      <c r="BX429" s="854"/>
      <c r="BY429" s="854"/>
      <c r="BZ429" s="854"/>
      <c r="CA429" s="571">
        <f>IF(OR(I429="",I429&lt;'Configs &amp; Procedures'!$L$29),0,IF(I429&gt;'Configs &amp; Procedures'!$L$30,1,IF(F429&gt;'Configs &amp; Procedures'!$L$31,0,1)))</f>
        <v>0</v>
      </c>
    </row>
    <row r="430" spans="2:79">
      <c r="B430" s="854"/>
      <c r="C430" s="854"/>
      <c r="D430" s="854"/>
      <c r="E430" s="854"/>
      <c r="F430" s="854"/>
      <c r="G430" s="854"/>
      <c r="H430" s="854"/>
      <c r="I430" s="854"/>
      <c r="J430" s="854"/>
      <c r="K430" s="854"/>
      <c r="L430" s="854"/>
      <c r="M430" s="854"/>
      <c r="N430" s="854"/>
      <c r="O430" s="854"/>
      <c r="P430" s="854"/>
      <c r="Q430" s="854"/>
      <c r="R430" s="854"/>
      <c r="S430" s="854"/>
      <c r="T430" s="854"/>
      <c r="U430" s="854"/>
      <c r="V430" s="854"/>
      <c r="W430" s="854"/>
      <c r="X430" s="854"/>
      <c r="Y430" s="854"/>
      <c r="Z430" s="854"/>
      <c r="AA430" s="854"/>
      <c r="AB430" s="854"/>
      <c r="AC430" s="854"/>
      <c r="AD430" s="854"/>
      <c r="AE430" s="854"/>
      <c r="AF430" s="854"/>
      <c r="AG430" s="854"/>
      <c r="AH430" s="854"/>
      <c r="AI430" s="854"/>
      <c r="AJ430" s="854"/>
      <c r="AK430" s="854"/>
      <c r="AL430" s="854"/>
      <c r="AM430" s="854"/>
      <c r="AN430" s="854"/>
      <c r="AO430" s="854"/>
      <c r="AP430" s="854"/>
      <c r="AQ430" s="854"/>
      <c r="AR430" s="854"/>
      <c r="AS430" s="854"/>
      <c r="AT430" s="854"/>
      <c r="AU430" s="854"/>
      <c r="AV430" s="854"/>
      <c r="AW430" s="854"/>
      <c r="AX430" s="854"/>
      <c r="AY430" s="854"/>
      <c r="AZ430" s="854"/>
      <c r="BA430" s="854"/>
      <c r="BB430" s="854"/>
      <c r="BC430" s="854"/>
      <c r="BD430" s="854"/>
      <c r="BE430" s="854"/>
      <c r="BF430" s="854"/>
      <c r="BG430" s="854"/>
      <c r="BH430" s="854"/>
      <c r="BI430" s="854"/>
      <c r="BJ430" s="854"/>
      <c r="BK430" s="854"/>
      <c r="BL430" s="854"/>
      <c r="BM430" s="854"/>
      <c r="BN430" s="854"/>
      <c r="BO430" s="854"/>
      <c r="BP430" s="854"/>
      <c r="BQ430" s="854"/>
      <c r="BR430" s="854"/>
      <c r="BS430" s="854"/>
      <c r="BT430" s="854"/>
      <c r="BU430" s="854"/>
      <c r="BV430" s="854"/>
      <c r="BW430" s="854"/>
      <c r="BX430" s="854"/>
      <c r="BY430" s="854"/>
      <c r="BZ430" s="854"/>
      <c r="CA430" s="571">
        <f>IF(OR(I430="",I430&lt;'Configs &amp; Procedures'!$L$29),0,IF(I430&gt;'Configs &amp; Procedures'!$L$30,1,IF(F430&gt;'Configs &amp; Procedures'!$L$31,0,1)))</f>
        <v>0</v>
      </c>
    </row>
    <row r="431" spans="2:79">
      <c r="B431" s="854"/>
      <c r="C431" s="854"/>
      <c r="D431" s="854"/>
      <c r="E431" s="854"/>
      <c r="F431" s="854"/>
      <c r="G431" s="854"/>
      <c r="H431" s="854"/>
      <c r="I431" s="854"/>
      <c r="J431" s="854"/>
      <c r="K431" s="854"/>
      <c r="L431" s="854"/>
      <c r="M431" s="854"/>
      <c r="N431" s="854"/>
      <c r="O431" s="854"/>
      <c r="P431" s="854"/>
      <c r="Q431" s="854"/>
      <c r="R431" s="854"/>
      <c r="S431" s="854"/>
      <c r="T431" s="854"/>
      <c r="U431" s="854"/>
      <c r="V431" s="854"/>
      <c r="W431" s="854"/>
      <c r="X431" s="854"/>
      <c r="Y431" s="854"/>
      <c r="Z431" s="854"/>
      <c r="AA431" s="854"/>
      <c r="AB431" s="854"/>
      <c r="AC431" s="854"/>
      <c r="AD431" s="854"/>
      <c r="AE431" s="854"/>
      <c r="AF431" s="854"/>
      <c r="AG431" s="854"/>
      <c r="AH431" s="854"/>
      <c r="AI431" s="854"/>
      <c r="AJ431" s="854"/>
      <c r="AK431" s="854"/>
      <c r="AL431" s="854"/>
      <c r="AM431" s="854"/>
      <c r="AN431" s="854"/>
      <c r="AO431" s="854"/>
      <c r="AP431" s="854"/>
      <c r="AQ431" s="854"/>
      <c r="AR431" s="854"/>
      <c r="AS431" s="854"/>
      <c r="AT431" s="854"/>
      <c r="AU431" s="854"/>
      <c r="AV431" s="854"/>
      <c r="AW431" s="854"/>
      <c r="AX431" s="854"/>
      <c r="AY431" s="854"/>
      <c r="AZ431" s="854"/>
      <c r="BA431" s="854"/>
      <c r="BB431" s="854"/>
      <c r="BC431" s="854"/>
      <c r="BD431" s="854"/>
      <c r="BE431" s="854"/>
      <c r="BF431" s="854"/>
      <c r="BG431" s="854"/>
      <c r="BH431" s="854"/>
      <c r="BI431" s="854"/>
      <c r="BJ431" s="854"/>
      <c r="BK431" s="854"/>
      <c r="BL431" s="854"/>
      <c r="BM431" s="854"/>
      <c r="BN431" s="854"/>
      <c r="BO431" s="854"/>
      <c r="BP431" s="854"/>
      <c r="BQ431" s="854"/>
      <c r="BR431" s="854"/>
      <c r="BS431" s="854"/>
      <c r="BT431" s="854"/>
      <c r="BU431" s="854"/>
      <c r="BV431" s="854"/>
      <c r="BW431" s="854"/>
      <c r="BX431" s="854"/>
      <c r="BY431" s="854"/>
      <c r="BZ431" s="854"/>
      <c r="CA431" s="571">
        <f>IF(OR(I431="",I431&lt;'Configs &amp; Procedures'!$L$29),0,IF(I431&gt;'Configs &amp; Procedures'!$L$30,1,IF(F431&gt;'Configs &amp; Procedures'!$L$31,0,1)))</f>
        <v>0</v>
      </c>
    </row>
    <row r="432" spans="2:79">
      <c r="B432" s="854"/>
      <c r="C432" s="854"/>
      <c r="D432" s="854"/>
      <c r="E432" s="854"/>
      <c r="F432" s="854"/>
      <c r="G432" s="854"/>
      <c r="H432" s="854"/>
      <c r="I432" s="854"/>
      <c r="J432" s="854"/>
      <c r="K432" s="854"/>
      <c r="L432" s="854"/>
      <c r="M432" s="854"/>
      <c r="N432" s="854"/>
      <c r="O432" s="854"/>
      <c r="P432" s="854"/>
      <c r="Q432" s="854"/>
      <c r="R432" s="854"/>
      <c r="S432" s="854"/>
      <c r="T432" s="854"/>
      <c r="U432" s="854"/>
      <c r="V432" s="854"/>
      <c r="W432" s="854"/>
      <c r="X432" s="854"/>
      <c r="Y432" s="854"/>
      <c r="Z432" s="854"/>
      <c r="AA432" s="854"/>
      <c r="AB432" s="854"/>
      <c r="AC432" s="854"/>
      <c r="AD432" s="854"/>
      <c r="AE432" s="854"/>
      <c r="AF432" s="854"/>
      <c r="AG432" s="854"/>
      <c r="AH432" s="854"/>
      <c r="AI432" s="854"/>
      <c r="AJ432" s="854"/>
      <c r="AK432" s="854"/>
      <c r="AL432" s="854"/>
      <c r="AM432" s="854"/>
      <c r="AN432" s="854"/>
      <c r="AO432" s="854"/>
      <c r="AP432" s="854"/>
      <c r="AQ432" s="854"/>
      <c r="AR432" s="854"/>
      <c r="AS432" s="854"/>
      <c r="AT432" s="854"/>
      <c r="AU432" s="854"/>
      <c r="AV432" s="854"/>
      <c r="AW432" s="854"/>
      <c r="AX432" s="854"/>
      <c r="AY432" s="854"/>
      <c r="AZ432" s="854"/>
      <c r="BA432" s="854"/>
      <c r="BB432" s="854"/>
      <c r="BC432" s="854"/>
      <c r="BD432" s="854"/>
      <c r="BE432" s="854"/>
      <c r="BF432" s="854"/>
      <c r="BG432" s="854"/>
      <c r="BH432" s="854"/>
      <c r="BI432" s="854"/>
      <c r="BJ432" s="854"/>
      <c r="BK432" s="854"/>
      <c r="BL432" s="854"/>
      <c r="BM432" s="854"/>
      <c r="BN432" s="854"/>
      <c r="BO432" s="854"/>
      <c r="BP432" s="854"/>
      <c r="BQ432" s="854"/>
      <c r="BR432" s="854"/>
      <c r="BS432" s="854"/>
      <c r="BT432" s="854"/>
      <c r="BU432" s="854"/>
      <c r="BV432" s="854"/>
      <c r="BW432" s="854"/>
      <c r="BX432" s="854"/>
      <c r="BY432" s="854"/>
      <c r="BZ432" s="854"/>
      <c r="CA432" s="571">
        <f>IF(OR(I432="",I432&lt;'Configs &amp; Procedures'!$L$29),0,IF(I432&gt;'Configs &amp; Procedures'!$L$30,1,IF(F432&gt;'Configs &amp; Procedures'!$L$31,0,1)))</f>
        <v>0</v>
      </c>
    </row>
    <row r="433" spans="2:79">
      <c r="B433" s="854"/>
      <c r="C433" s="854"/>
      <c r="D433" s="854"/>
      <c r="E433" s="854"/>
      <c r="F433" s="854"/>
      <c r="G433" s="854"/>
      <c r="H433" s="854"/>
      <c r="I433" s="854"/>
      <c r="J433" s="854"/>
      <c r="K433" s="854"/>
      <c r="L433" s="854"/>
      <c r="M433" s="854"/>
      <c r="N433" s="854"/>
      <c r="O433" s="854"/>
      <c r="P433" s="854"/>
      <c r="Q433" s="854"/>
      <c r="R433" s="854"/>
      <c r="S433" s="854"/>
      <c r="T433" s="854"/>
      <c r="U433" s="854"/>
      <c r="V433" s="854"/>
      <c r="W433" s="854"/>
      <c r="X433" s="854"/>
      <c r="Y433" s="854"/>
      <c r="Z433" s="854"/>
      <c r="AA433" s="854"/>
      <c r="AB433" s="854"/>
      <c r="AC433" s="854"/>
      <c r="AD433" s="854"/>
      <c r="AE433" s="854"/>
      <c r="AF433" s="854"/>
      <c r="AG433" s="854"/>
      <c r="AH433" s="854"/>
      <c r="AI433" s="854"/>
      <c r="AJ433" s="854"/>
      <c r="AK433" s="854"/>
      <c r="AL433" s="854"/>
      <c r="AM433" s="854"/>
      <c r="AN433" s="854"/>
      <c r="AO433" s="854"/>
      <c r="AP433" s="854"/>
      <c r="AQ433" s="854"/>
      <c r="AR433" s="854"/>
      <c r="AS433" s="854"/>
      <c r="AT433" s="854"/>
      <c r="AU433" s="854"/>
      <c r="AV433" s="854"/>
      <c r="AW433" s="854"/>
      <c r="AX433" s="854"/>
      <c r="AY433" s="854"/>
      <c r="AZ433" s="854"/>
      <c r="BA433" s="854"/>
      <c r="BB433" s="854"/>
      <c r="BC433" s="854"/>
      <c r="BD433" s="854"/>
      <c r="BE433" s="854"/>
      <c r="BF433" s="854"/>
      <c r="BG433" s="854"/>
      <c r="BH433" s="854"/>
      <c r="BI433" s="854"/>
      <c r="BJ433" s="854"/>
      <c r="BK433" s="854"/>
      <c r="BL433" s="854"/>
      <c r="BM433" s="854"/>
      <c r="BN433" s="854"/>
      <c r="BO433" s="854"/>
      <c r="BP433" s="854"/>
      <c r="BQ433" s="854"/>
      <c r="BR433" s="854"/>
      <c r="BS433" s="854"/>
      <c r="BT433" s="854"/>
      <c r="BU433" s="854"/>
      <c r="BV433" s="854"/>
      <c r="BW433" s="854"/>
      <c r="BX433" s="854"/>
      <c r="BY433" s="854"/>
      <c r="BZ433" s="854"/>
      <c r="CA433" s="571">
        <f>IF(OR(I433="",I433&lt;'Configs &amp; Procedures'!$L$29),0,IF(I433&gt;'Configs &amp; Procedures'!$L$30,1,IF(F433&gt;'Configs &amp; Procedures'!$L$31,0,1)))</f>
        <v>0</v>
      </c>
    </row>
    <row r="434" spans="2:79">
      <c r="B434" s="854"/>
      <c r="C434" s="854"/>
      <c r="D434" s="854"/>
      <c r="E434" s="854"/>
      <c r="F434" s="854"/>
      <c r="G434" s="854"/>
      <c r="H434" s="854"/>
      <c r="I434" s="854"/>
      <c r="J434" s="854"/>
      <c r="K434" s="854"/>
      <c r="L434" s="854"/>
      <c r="M434" s="854"/>
      <c r="N434" s="854"/>
      <c r="O434" s="854"/>
      <c r="P434" s="854"/>
      <c r="Q434" s="854"/>
      <c r="R434" s="854"/>
      <c r="S434" s="854"/>
      <c r="T434" s="854"/>
      <c r="U434" s="854"/>
      <c r="V434" s="854"/>
      <c r="W434" s="854"/>
      <c r="X434" s="854"/>
      <c r="Y434" s="854"/>
      <c r="Z434" s="854"/>
      <c r="AA434" s="854"/>
      <c r="AB434" s="854"/>
      <c r="AC434" s="854"/>
      <c r="AD434" s="854"/>
      <c r="AE434" s="854"/>
      <c r="AF434" s="854"/>
      <c r="AG434" s="854"/>
      <c r="AH434" s="854"/>
      <c r="AI434" s="854"/>
      <c r="AJ434" s="854"/>
      <c r="AK434" s="854"/>
      <c r="AL434" s="854"/>
      <c r="AM434" s="854"/>
      <c r="AN434" s="854"/>
      <c r="AO434" s="854"/>
      <c r="AP434" s="854"/>
      <c r="AQ434" s="854"/>
      <c r="AR434" s="854"/>
      <c r="AS434" s="854"/>
      <c r="AT434" s="854"/>
      <c r="AU434" s="854"/>
      <c r="AV434" s="854"/>
      <c r="AW434" s="854"/>
      <c r="AX434" s="854"/>
      <c r="AY434" s="854"/>
      <c r="AZ434" s="854"/>
      <c r="BA434" s="854"/>
      <c r="BB434" s="854"/>
      <c r="BC434" s="854"/>
      <c r="BD434" s="854"/>
      <c r="BE434" s="854"/>
      <c r="BF434" s="854"/>
      <c r="BG434" s="854"/>
      <c r="BH434" s="854"/>
      <c r="BI434" s="854"/>
      <c r="BJ434" s="854"/>
      <c r="BK434" s="854"/>
      <c r="BL434" s="854"/>
      <c r="BM434" s="854"/>
      <c r="BN434" s="854"/>
      <c r="BO434" s="854"/>
      <c r="BP434" s="854"/>
      <c r="BQ434" s="854"/>
      <c r="BR434" s="854"/>
      <c r="BS434" s="854"/>
      <c r="BT434" s="854"/>
      <c r="BU434" s="854"/>
      <c r="BV434" s="854"/>
      <c r="BW434" s="854"/>
      <c r="BX434" s="854"/>
      <c r="BY434" s="854"/>
      <c r="BZ434" s="854"/>
      <c r="CA434" s="571">
        <f>IF(OR(I434="",I434&lt;'Configs &amp; Procedures'!$L$29),0,IF(I434&gt;'Configs &amp; Procedures'!$L$30,1,IF(F434&gt;'Configs &amp; Procedures'!$L$31,0,1)))</f>
        <v>0</v>
      </c>
    </row>
    <row r="435" spans="2:79">
      <c r="B435" s="854"/>
      <c r="C435" s="854"/>
      <c r="D435" s="854"/>
      <c r="E435" s="854"/>
      <c r="F435" s="854"/>
      <c r="G435" s="854"/>
      <c r="H435" s="854"/>
      <c r="I435" s="854"/>
      <c r="J435" s="854"/>
      <c r="K435" s="854"/>
      <c r="L435" s="854"/>
      <c r="M435" s="854"/>
      <c r="N435" s="854"/>
      <c r="O435" s="854"/>
      <c r="P435" s="854"/>
      <c r="Q435" s="854"/>
      <c r="R435" s="854"/>
      <c r="S435" s="854"/>
      <c r="T435" s="854"/>
      <c r="U435" s="854"/>
      <c r="V435" s="854"/>
      <c r="W435" s="854"/>
      <c r="X435" s="854"/>
      <c r="Y435" s="854"/>
      <c r="Z435" s="854"/>
      <c r="AA435" s="854"/>
      <c r="AB435" s="854"/>
      <c r="AC435" s="854"/>
      <c r="AD435" s="854"/>
      <c r="AE435" s="854"/>
      <c r="AF435" s="854"/>
      <c r="AG435" s="854"/>
      <c r="AH435" s="854"/>
      <c r="AI435" s="854"/>
      <c r="AJ435" s="854"/>
      <c r="AK435" s="854"/>
      <c r="AL435" s="854"/>
      <c r="AM435" s="854"/>
      <c r="AN435" s="854"/>
      <c r="AO435" s="854"/>
      <c r="AP435" s="854"/>
      <c r="AQ435" s="854"/>
      <c r="AR435" s="854"/>
      <c r="AS435" s="854"/>
      <c r="AT435" s="854"/>
      <c r="AU435" s="854"/>
      <c r="AV435" s="854"/>
      <c r="AW435" s="854"/>
      <c r="AX435" s="854"/>
      <c r="AY435" s="854"/>
      <c r="AZ435" s="854"/>
      <c r="BA435" s="854"/>
      <c r="BB435" s="854"/>
      <c r="BC435" s="854"/>
      <c r="BD435" s="854"/>
      <c r="BE435" s="854"/>
      <c r="BF435" s="854"/>
      <c r="BG435" s="854"/>
      <c r="BH435" s="854"/>
      <c r="BI435" s="854"/>
      <c r="BJ435" s="854"/>
      <c r="BK435" s="854"/>
      <c r="BL435" s="854"/>
      <c r="BM435" s="854"/>
      <c r="BN435" s="854"/>
      <c r="BO435" s="854"/>
      <c r="BP435" s="854"/>
      <c r="BQ435" s="854"/>
      <c r="BR435" s="854"/>
      <c r="BS435" s="854"/>
      <c r="BT435" s="854"/>
      <c r="BU435" s="854"/>
      <c r="BV435" s="854"/>
      <c r="BW435" s="854"/>
      <c r="BX435" s="854"/>
      <c r="BY435" s="854"/>
      <c r="BZ435" s="854"/>
      <c r="CA435" s="571">
        <f>IF(OR(I435="",I435&lt;'Configs &amp; Procedures'!$L$29),0,IF(I435&gt;'Configs &amp; Procedures'!$L$30,1,IF(F435&gt;'Configs &amp; Procedures'!$L$31,0,1)))</f>
        <v>0</v>
      </c>
    </row>
    <row r="436" spans="2:79">
      <c r="B436" s="854"/>
      <c r="C436" s="854"/>
      <c r="D436" s="854"/>
      <c r="E436" s="854"/>
      <c r="F436" s="854"/>
      <c r="G436" s="854"/>
      <c r="H436" s="854"/>
      <c r="I436" s="854"/>
      <c r="J436" s="854"/>
      <c r="K436" s="854"/>
      <c r="L436" s="854"/>
      <c r="M436" s="854"/>
      <c r="N436" s="854"/>
      <c r="O436" s="854"/>
      <c r="P436" s="854"/>
      <c r="Q436" s="854"/>
      <c r="R436" s="854"/>
      <c r="S436" s="854"/>
      <c r="T436" s="854"/>
      <c r="U436" s="854"/>
      <c r="V436" s="854"/>
      <c r="W436" s="854"/>
      <c r="X436" s="854"/>
      <c r="Y436" s="854"/>
      <c r="Z436" s="854"/>
      <c r="AA436" s="854"/>
      <c r="AB436" s="854"/>
      <c r="AC436" s="854"/>
      <c r="AD436" s="854"/>
      <c r="AE436" s="854"/>
      <c r="AF436" s="854"/>
      <c r="AG436" s="854"/>
      <c r="AH436" s="854"/>
      <c r="AI436" s="854"/>
      <c r="AJ436" s="854"/>
      <c r="AK436" s="854"/>
      <c r="AL436" s="854"/>
      <c r="AM436" s="854"/>
      <c r="AN436" s="854"/>
      <c r="AO436" s="854"/>
      <c r="AP436" s="854"/>
      <c r="AQ436" s="854"/>
      <c r="AR436" s="854"/>
      <c r="AS436" s="854"/>
      <c r="AT436" s="854"/>
      <c r="AU436" s="854"/>
      <c r="AV436" s="854"/>
      <c r="AW436" s="854"/>
      <c r="AX436" s="854"/>
      <c r="AY436" s="854"/>
      <c r="AZ436" s="854"/>
      <c r="BA436" s="854"/>
      <c r="BB436" s="854"/>
      <c r="BC436" s="854"/>
      <c r="BD436" s="854"/>
      <c r="BE436" s="854"/>
      <c r="BF436" s="854"/>
      <c r="BG436" s="854"/>
      <c r="BH436" s="854"/>
      <c r="BI436" s="854"/>
      <c r="BJ436" s="854"/>
      <c r="BK436" s="854"/>
      <c r="BL436" s="854"/>
      <c r="BM436" s="854"/>
      <c r="BN436" s="854"/>
      <c r="BO436" s="854"/>
      <c r="BP436" s="854"/>
      <c r="BQ436" s="854"/>
      <c r="BR436" s="854"/>
      <c r="BS436" s="854"/>
      <c r="BT436" s="854"/>
      <c r="BU436" s="854"/>
      <c r="BV436" s="854"/>
      <c r="BW436" s="854"/>
      <c r="BX436" s="854"/>
      <c r="BY436" s="854"/>
      <c r="BZ436" s="854"/>
      <c r="CA436" s="571">
        <f>IF(OR(I436="",I436&lt;'Configs &amp; Procedures'!$L$29),0,IF(I436&gt;'Configs &amp; Procedures'!$L$30,1,IF(F436&gt;'Configs &amp; Procedures'!$L$31,0,1)))</f>
        <v>0</v>
      </c>
    </row>
    <row r="437" spans="2:79">
      <c r="B437" s="854"/>
      <c r="C437" s="854"/>
      <c r="D437" s="854"/>
      <c r="E437" s="854"/>
      <c r="F437" s="854"/>
      <c r="G437" s="854"/>
      <c r="H437" s="854"/>
      <c r="I437" s="854"/>
      <c r="J437" s="854"/>
      <c r="K437" s="854"/>
      <c r="L437" s="854"/>
      <c r="M437" s="854"/>
      <c r="N437" s="854"/>
      <c r="O437" s="854"/>
      <c r="P437" s="854"/>
      <c r="Q437" s="854"/>
      <c r="R437" s="854"/>
      <c r="S437" s="854"/>
      <c r="T437" s="854"/>
      <c r="U437" s="854"/>
      <c r="V437" s="854"/>
      <c r="W437" s="854"/>
      <c r="X437" s="854"/>
      <c r="Y437" s="854"/>
      <c r="Z437" s="854"/>
      <c r="AA437" s="854"/>
      <c r="AB437" s="854"/>
      <c r="AC437" s="854"/>
      <c r="AD437" s="854"/>
      <c r="AE437" s="854"/>
      <c r="AF437" s="854"/>
      <c r="AG437" s="854"/>
      <c r="AH437" s="854"/>
      <c r="AI437" s="854"/>
      <c r="AJ437" s="854"/>
      <c r="AK437" s="854"/>
      <c r="AL437" s="854"/>
      <c r="AM437" s="854"/>
      <c r="AN437" s="854"/>
      <c r="AO437" s="854"/>
      <c r="AP437" s="854"/>
      <c r="AQ437" s="854"/>
      <c r="AR437" s="854"/>
      <c r="AS437" s="854"/>
      <c r="AT437" s="854"/>
      <c r="AU437" s="854"/>
      <c r="AV437" s="854"/>
      <c r="AW437" s="854"/>
      <c r="AX437" s="854"/>
      <c r="AY437" s="854"/>
      <c r="AZ437" s="854"/>
      <c r="BA437" s="854"/>
      <c r="BB437" s="854"/>
      <c r="BC437" s="854"/>
      <c r="BD437" s="854"/>
      <c r="BE437" s="854"/>
      <c r="BF437" s="854"/>
      <c r="BG437" s="854"/>
      <c r="BH437" s="854"/>
      <c r="BI437" s="854"/>
      <c r="BJ437" s="854"/>
      <c r="BK437" s="854"/>
      <c r="BL437" s="854"/>
      <c r="BM437" s="854"/>
      <c r="BN437" s="854"/>
      <c r="BO437" s="854"/>
      <c r="BP437" s="854"/>
      <c r="BQ437" s="854"/>
      <c r="BR437" s="854"/>
      <c r="BS437" s="854"/>
      <c r="BT437" s="854"/>
      <c r="BU437" s="854"/>
      <c r="BV437" s="854"/>
      <c r="BW437" s="854"/>
      <c r="BX437" s="854"/>
      <c r="BY437" s="854"/>
      <c r="BZ437" s="854"/>
      <c r="CA437" s="571">
        <f>IF(OR(I437="",I437&lt;'Configs &amp; Procedures'!$L$29),0,IF(I437&gt;'Configs &amp; Procedures'!$L$30,1,IF(F437&gt;'Configs &amp; Procedures'!$L$31,0,1)))</f>
        <v>0</v>
      </c>
    </row>
    <row r="438" spans="2:79">
      <c r="B438" s="854"/>
      <c r="C438" s="854"/>
      <c r="D438" s="854"/>
      <c r="E438" s="854"/>
      <c r="F438" s="854"/>
      <c r="G438" s="854"/>
      <c r="H438" s="854"/>
      <c r="I438" s="854"/>
      <c r="J438" s="854"/>
      <c r="K438" s="854"/>
      <c r="L438" s="854"/>
      <c r="M438" s="854"/>
      <c r="N438" s="854"/>
      <c r="O438" s="854"/>
      <c r="P438" s="854"/>
      <c r="Q438" s="854"/>
      <c r="R438" s="854"/>
      <c r="S438" s="854"/>
      <c r="T438" s="854"/>
      <c r="U438" s="854"/>
      <c r="V438" s="854"/>
      <c r="W438" s="854"/>
      <c r="X438" s="854"/>
      <c r="Y438" s="854"/>
      <c r="Z438" s="854"/>
      <c r="AA438" s="854"/>
      <c r="AB438" s="854"/>
      <c r="AC438" s="854"/>
      <c r="AD438" s="854"/>
      <c r="AE438" s="854"/>
      <c r="AF438" s="854"/>
      <c r="AG438" s="854"/>
      <c r="AH438" s="854"/>
      <c r="AI438" s="854"/>
      <c r="AJ438" s="854"/>
      <c r="AK438" s="854"/>
      <c r="AL438" s="854"/>
      <c r="AM438" s="854"/>
      <c r="AN438" s="854"/>
      <c r="AO438" s="854"/>
      <c r="AP438" s="854"/>
      <c r="AQ438" s="854"/>
      <c r="AR438" s="854"/>
      <c r="AS438" s="854"/>
      <c r="AT438" s="854"/>
      <c r="AU438" s="854"/>
      <c r="AV438" s="854"/>
      <c r="AW438" s="854"/>
      <c r="AX438" s="854"/>
      <c r="AY438" s="854"/>
      <c r="AZ438" s="854"/>
      <c r="BA438" s="854"/>
      <c r="BB438" s="854"/>
      <c r="BC438" s="854"/>
      <c r="BD438" s="854"/>
      <c r="BE438" s="854"/>
      <c r="BF438" s="854"/>
      <c r="BG438" s="854"/>
      <c r="BH438" s="854"/>
      <c r="BI438" s="854"/>
      <c r="BJ438" s="854"/>
      <c r="BK438" s="854"/>
      <c r="BL438" s="854"/>
      <c r="BM438" s="854"/>
      <c r="BN438" s="854"/>
      <c r="BO438" s="854"/>
      <c r="BP438" s="854"/>
      <c r="BQ438" s="854"/>
      <c r="BR438" s="854"/>
      <c r="BS438" s="854"/>
      <c r="BT438" s="854"/>
      <c r="BU438" s="854"/>
      <c r="BV438" s="854"/>
      <c r="BW438" s="854"/>
      <c r="BX438" s="854"/>
      <c r="BY438" s="854"/>
      <c r="BZ438" s="854"/>
      <c r="CA438" s="571">
        <f>IF(OR(I438="",I438&lt;'Configs &amp; Procedures'!$L$29),0,IF(I438&gt;'Configs &amp; Procedures'!$L$30,1,IF(F438&gt;'Configs &amp; Procedures'!$L$31,0,1)))</f>
        <v>0</v>
      </c>
    </row>
    <row r="439" spans="2:79">
      <c r="B439" s="854"/>
      <c r="C439" s="854"/>
      <c r="D439" s="854"/>
      <c r="E439" s="854"/>
      <c r="F439" s="854"/>
      <c r="G439" s="854"/>
      <c r="H439" s="854"/>
      <c r="I439" s="854"/>
      <c r="J439" s="854"/>
      <c r="K439" s="854"/>
      <c r="L439" s="854"/>
      <c r="M439" s="854"/>
      <c r="N439" s="854"/>
      <c r="O439" s="854"/>
      <c r="P439" s="854"/>
      <c r="Q439" s="854"/>
      <c r="R439" s="854"/>
      <c r="S439" s="854"/>
      <c r="T439" s="854"/>
      <c r="U439" s="854"/>
      <c r="V439" s="854"/>
      <c r="W439" s="854"/>
      <c r="X439" s="854"/>
      <c r="Y439" s="854"/>
      <c r="Z439" s="854"/>
      <c r="AA439" s="854"/>
      <c r="AB439" s="854"/>
      <c r="AC439" s="854"/>
      <c r="AD439" s="854"/>
      <c r="AE439" s="854"/>
      <c r="AF439" s="854"/>
      <c r="AG439" s="854"/>
      <c r="AH439" s="854"/>
      <c r="AI439" s="854"/>
      <c r="AJ439" s="854"/>
      <c r="AK439" s="854"/>
      <c r="AL439" s="854"/>
      <c r="AM439" s="854"/>
      <c r="AN439" s="854"/>
      <c r="AO439" s="854"/>
      <c r="AP439" s="854"/>
      <c r="AQ439" s="854"/>
      <c r="AR439" s="854"/>
      <c r="AS439" s="854"/>
      <c r="AT439" s="854"/>
      <c r="AU439" s="854"/>
      <c r="AV439" s="854"/>
      <c r="AW439" s="854"/>
      <c r="AX439" s="854"/>
      <c r="AY439" s="854"/>
      <c r="AZ439" s="854"/>
      <c r="BA439" s="854"/>
      <c r="BB439" s="854"/>
      <c r="BC439" s="854"/>
      <c r="BD439" s="854"/>
      <c r="BE439" s="854"/>
      <c r="BF439" s="854"/>
      <c r="BG439" s="854"/>
      <c r="BH439" s="854"/>
      <c r="BI439" s="854"/>
      <c r="BJ439" s="854"/>
      <c r="BK439" s="854"/>
      <c r="BL439" s="854"/>
      <c r="BM439" s="854"/>
      <c r="BN439" s="854"/>
      <c r="BO439" s="854"/>
      <c r="BP439" s="854"/>
      <c r="BQ439" s="854"/>
      <c r="BR439" s="854"/>
      <c r="BS439" s="854"/>
      <c r="BT439" s="854"/>
      <c r="BU439" s="854"/>
      <c r="BV439" s="854"/>
      <c r="BW439" s="854"/>
      <c r="BX439" s="854"/>
      <c r="BY439" s="854"/>
      <c r="BZ439" s="854"/>
      <c r="CA439" s="571">
        <f>IF(OR(I439="",I439&lt;'Configs &amp; Procedures'!$L$29),0,IF(I439&gt;'Configs &amp; Procedures'!$L$30,1,IF(F439&gt;'Configs &amp; Procedures'!$L$31,0,1)))</f>
        <v>0</v>
      </c>
    </row>
    <row r="440" spans="2:79">
      <c r="B440" s="854"/>
      <c r="C440" s="854"/>
      <c r="D440" s="854"/>
      <c r="E440" s="854"/>
      <c r="F440" s="854"/>
      <c r="G440" s="854"/>
      <c r="H440" s="854"/>
      <c r="I440" s="854"/>
      <c r="J440" s="854"/>
      <c r="K440" s="854"/>
      <c r="L440" s="854"/>
      <c r="M440" s="854"/>
      <c r="N440" s="854"/>
      <c r="O440" s="854"/>
      <c r="P440" s="854"/>
      <c r="Q440" s="854"/>
      <c r="R440" s="854"/>
      <c r="S440" s="854"/>
      <c r="T440" s="854"/>
      <c r="U440" s="854"/>
      <c r="V440" s="854"/>
      <c r="W440" s="854"/>
      <c r="X440" s="854"/>
      <c r="Y440" s="854"/>
      <c r="Z440" s="854"/>
      <c r="AA440" s="854"/>
      <c r="AB440" s="854"/>
      <c r="AC440" s="854"/>
      <c r="AD440" s="854"/>
      <c r="AE440" s="854"/>
      <c r="AF440" s="854"/>
      <c r="AG440" s="854"/>
      <c r="AH440" s="854"/>
      <c r="AI440" s="854"/>
      <c r="AJ440" s="854"/>
      <c r="AK440" s="854"/>
      <c r="AL440" s="854"/>
      <c r="AM440" s="854"/>
      <c r="AN440" s="854"/>
      <c r="AO440" s="854"/>
      <c r="AP440" s="854"/>
      <c r="AQ440" s="854"/>
      <c r="AR440" s="854"/>
      <c r="AS440" s="854"/>
      <c r="AT440" s="854"/>
      <c r="AU440" s="854"/>
      <c r="AV440" s="854"/>
      <c r="AW440" s="854"/>
      <c r="AX440" s="854"/>
      <c r="AY440" s="854"/>
      <c r="AZ440" s="854"/>
      <c r="BA440" s="854"/>
      <c r="BB440" s="854"/>
      <c r="BC440" s="854"/>
      <c r="BD440" s="854"/>
      <c r="BE440" s="854"/>
      <c r="BF440" s="854"/>
      <c r="BG440" s="854"/>
      <c r="BH440" s="854"/>
      <c r="BI440" s="854"/>
      <c r="BJ440" s="854"/>
      <c r="BK440" s="854"/>
      <c r="BL440" s="854"/>
      <c r="BM440" s="854"/>
      <c r="BN440" s="854"/>
      <c r="BO440" s="854"/>
      <c r="BP440" s="854"/>
      <c r="BQ440" s="854"/>
      <c r="BR440" s="854"/>
      <c r="BS440" s="854"/>
      <c r="BT440" s="854"/>
      <c r="BU440" s="854"/>
      <c r="BV440" s="854"/>
      <c r="BW440" s="854"/>
      <c r="BX440" s="854"/>
      <c r="BY440" s="854"/>
      <c r="BZ440" s="854"/>
      <c r="CA440" s="571">
        <f>IF(OR(I440="",I440&lt;'Configs &amp; Procedures'!$L$29),0,IF(I440&gt;'Configs &amp; Procedures'!$L$30,1,IF(F440&gt;'Configs &amp; Procedures'!$L$31,0,1)))</f>
        <v>0</v>
      </c>
    </row>
    <row r="441" spans="2:79">
      <c r="B441" s="854"/>
      <c r="C441" s="854"/>
      <c r="D441" s="854"/>
      <c r="E441" s="854"/>
      <c r="F441" s="854"/>
      <c r="G441" s="854"/>
      <c r="H441" s="854"/>
      <c r="I441" s="854"/>
      <c r="J441" s="854"/>
      <c r="K441" s="854"/>
      <c r="L441" s="854"/>
      <c r="M441" s="854"/>
      <c r="N441" s="854"/>
      <c r="O441" s="854"/>
      <c r="P441" s="854"/>
      <c r="Q441" s="854"/>
      <c r="R441" s="854"/>
      <c r="S441" s="854"/>
      <c r="T441" s="854"/>
      <c r="U441" s="854"/>
      <c r="V441" s="854"/>
      <c r="W441" s="854"/>
      <c r="X441" s="854"/>
      <c r="Y441" s="854"/>
      <c r="Z441" s="854"/>
      <c r="AA441" s="854"/>
      <c r="AB441" s="854"/>
      <c r="AC441" s="854"/>
      <c r="AD441" s="854"/>
      <c r="AE441" s="854"/>
      <c r="AF441" s="854"/>
      <c r="AG441" s="854"/>
      <c r="AH441" s="854"/>
      <c r="AI441" s="854"/>
      <c r="AJ441" s="854"/>
      <c r="AK441" s="854"/>
      <c r="AL441" s="854"/>
      <c r="AM441" s="854"/>
      <c r="AN441" s="854"/>
      <c r="AO441" s="854"/>
      <c r="AP441" s="854"/>
      <c r="AQ441" s="854"/>
      <c r="AR441" s="854"/>
      <c r="AS441" s="854"/>
      <c r="AT441" s="854"/>
      <c r="AU441" s="854"/>
      <c r="AV441" s="854"/>
      <c r="AW441" s="854"/>
      <c r="AX441" s="854"/>
      <c r="AY441" s="854"/>
      <c r="AZ441" s="854"/>
      <c r="BA441" s="854"/>
      <c r="BB441" s="854"/>
      <c r="BC441" s="854"/>
      <c r="BD441" s="854"/>
      <c r="BE441" s="854"/>
      <c r="BF441" s="854"/>
      <c r="BG441" s="854"/>
      <c r="BH441" s="854"/>
      <c r="BI441" s="854"/>
      <c r="BJ441" s="854"/>
      <c r="BK441" s="854"/>
      <c r="BL441" s="854"/>
      <c r="BM441" s="854"/>
      <c r="BN441" s="854"/>
      <c r="BO441" s="854"/>
      <c r="BP441" s="854"/>
      <c r="BQ441" s="854"/>
      <c r="BR441" s="854"/>
      <c r="BS441" s="854"/>
      <c r="BT441" s="854"/>
      <c r="BU441" s="854"/>
      <c r="BV441" s="854"/>
      <c r="BW441" s="854"/>
      <c r="BX441" s="854"/>
      <c r="BY441" s="854"/>
      <c r="BZ441" s="854"/>
      <c r="CA441" s="571">
        <f>IF(OR(I441="",I441&lt;'Configs &amp; Procedures'!$L$29),0,IF(I441&gt;'Configs &amp; Procedures'!$L$30,1,IF(F441&gt;'Configs &amp; Procedures'!$L$31,0,1)))</f>
        <v>0</v>
      </c>
    </row>
    <row r="442" spans="2:79">
      <c r="B442" s="854"/>
      <c r="C442" s="854"/>
      <c r="D442" s="854"/>
      <c r="E442" s="854"/>
      <c r="F442" s="854"/>
      <c r="G442" s="854"/>
      <c r="H442" s="854"/>
      <c r="I442" s="854"/>
      <c r="J442" s="854"/>
      <c r="K442" s="854"/>
      <c r="L442" s="854"/>
      <c r="M442" s="854"/>
      <c r="N442" s="854"/>
      <c r="O442" s="854"/>
      <c r="P442" s="854"/>
      <c r="Q442" s="854"/>
      <c r="R442" s="854"/>
      <c r="S442" s="854"/>
      <c r="T442" s="854"/>
      <c r="U442" s="854"/>
      <c r="V442" s="854"/>
      <c r="W442" s="854"/>
      <c r="X442" s="854"/>
      <c r="Y442" s="854"/>
      <c r="Z442" s="854"/>
      <c r="AA442" s="854"/>
      <c r="AB442" s="854"/>
      <c r="AC442" s="854"/>
      <c r="AD442" s="854"/>
      <c r="AE442" s="854"/>
      <c r="AF442" s="854"/>
      <c r="AG442" s="854"/>
      <c r="AH442" s="854"/>
      <c r="AI442" s="854"/>
      <c r="AJ442" s="854"/>
      <c r="AK442" s="854"/>
      <c r="AL442" s="854"/>
      <c r="AM442" s="854"/>
      <c r="AN442" s="854"/>
      <c r="AO442" s="854"/>
      <c r="AP442" s="854"/>
      <c r="AQ442" s="854"/>
      <c r="AR442" s="854"/>
      <c r="AS442" s="854"/>
      <c r="AT442" s="854"/>
      <c r="AU442" s="854"/>
      <c r="AV442" s="854"/>
      <c r="AW442" s="854"/>
      <c r="AX442" s="854"/>
      <c r="AY442" s="854"/>
      <c r="AZ442" s="854"/>
      <c r="BA442" s="854"/>
      <c r="BB442" s="854"/>
      <c r="BC442" s="854"/>
      <c r="BD442" s="854"/>
      <c r="BE442" s="854"/>
      <c r="BF442" s="854"/>
      <c r="BG442" s="854"/>
      <c r="BH442" s="854"/>
      <c r="BI442" s="854"/>
      <c r="BJ442" s="854"/>
      <c r="BK442" s="854"/>
      <c r="BL442" s="854"/>
      <c r="BM442" s="854"/>
      <c r="BN442" s="854"/>
      <c r="BO442" s="854"/>
      <c r="BP442" s="854"/>
      <c r="BQ442" s="854"/>
      <c r="BR442" s="854"/>
      <c r="BS442" s="854"/>
      <c r="BT442" s="854"/>
      <c r="BU442" s="854"/>
      <c r="BV442" s="854"/>
      <c r="BW442" s="854"/>
      <c r="BX442" s="854"/>
      <c r="BY442" s="854"/>
      <c r="BZ442" s="854"/>
      <c r="CA442" s="571">
        <f>IF(OR(I442="",I442&lt;'Configs &amp; Procedures'!$L$29),0,IF(I442&gt;'Configs &amp; Procedures'!$L$30,1,IF(F442&gt;'Configs &amp; Procedures'!$L$31,0,1)))</f>
        <v>0</v>
      </c>
    </row>
    <row r="443" spans="2:79">
      <c r="B443" s="854"/>
      <c r="C443" s="854"/>
      <c r="D443" s="854"/>
      <c r="E443" s="854"/>
      <c r="F443" s="854"/>
      <c r="G443" s="854"/>
      <c r="H443" s="854"/>
      <c r="I443" s="854"/>
      <c r="J443" s="854"/>
      <c r="K443" s="854"/>
      <c r="L443" s="854"/>
      <c r="M443" s="854"/>
      <c r="N443" s="854"/>
      <c r="O443" s="854"/>
      <c r="P443" s="854"/>
      <c r="Q443" s="854"/>
      <c r="R443" s="854"/>
      <c r="S443" s="854"/>
      <c r="T443" s="854"/>
      <c r="U443" s="854"/>
      <c r="V443" s="854"/>
      <c r="W443" s="854"/>
      <c r="X443" s="854"/>
      <c r="Y443" s="854"/>
      <c r="Z443" s="854"/>
      <c r="AA443" s="854"/>
      <c r="AB443" s="854"/>
      <c r="AC443" s="854"/>
      <c r="AD443" s="854"/>
      <c r="AE443" s="854"/>
      <c r="AF443" s="854"/>
      <c r="AG443" s="854"/>
      <c r="AH443" s="854"/>
      <c r="AI443" s="854"/>
      <c r="AJ443" s="854"/>
      <c r="AK443" s="854"/>
      <c r="AL443" s="854"/>
      <c r="AM443" s="854"/>
      <c r="AN443" s="854"/>
      <c r="AO443" s="854"/>
      <c r="AP443" s="854"/>
      <c r="AQ443" s="854"/>
      <c r="AR443" s="854"/>
      <c r="AS443" s="854"/>
      <c r="AT443" s="854"/>
      <c r="AU443" s="854"/>
      <c r="AV443" s="854"/>
      <c r="AW443" s="854"/>
      <c r="AX443" s="854"/>
      <c r="AY443" s="854"/>
      <c r="AZ443" s="854"/>
      <c r="BA443" s="854"/>
      <c r="BB443" s="854"/>
      <c r="BC443" s="854"/>
      <c r="BD443" s="854"/>
      <c r="BE443" s="854"/>
      <c r="BF443" s="854"/>
      <c r="BG443" s="854"/>
      <c r="BH443" s="854"/>
      <c r="BI443" s="854"/>
      <c r="BJ443" s="854"/>
      <c r="BK443" s="854"/>
      <c r="BL443" s="854"/>
      <c r="BM443" s="854"/>
      <c r="BN443" s="854"/>
      <c r="BO443" s="854"/>
      <c r="BP443" s="854"/>
      <c r="BQ443" s="854"/>
      <c r="BR443" s="854"/>
      <c r="BS443" s="854"/>
      <c r="BT443" s="854"/>
      <c r="BU443" s="854"/>
      <c r="BV443" s="854"/>
      <c r="BW443" s="854"/>
      <c r="BX443" s="854"/>
      <c r="BY443" s="854"/>
      <c r="BZ443" s="854"/>
      <c r="CA443" s="571">
        <f>IF(OR(I443="",I443&lt;'Configs &amp; Procedures'!$L$29),0,IF(I443&gt;'Configs &amp; Procedures'!$L$30,1,IF(F443&gt;'Configs &amp; Procedures'!$L$31,0,1)))</f>
        <v>0</v>
      </c>
    </row>
    <row r="444" spans="2:79">
      <c r="B444" s="854"/>
      <c r="C444" s="854"/>
      <c r="D444" s="854"/>
      <c r="E444" s="854"/>
      <c r="F444" s="854"/>
      <c r="G444" s="854"/>
      <c r="H444" s="854"/>
      <c r="I444" s="854"/>
      <c r="J444" s="854"/>
      <c r="K444" s="854"/>
      <c r="L444" s="854"/>
      <c r="M444" s="854"/>
      <c r="N444" s="854"/>
      <c r="O444" s="854"/>
      <c r="P444" s="854"/>
      <c r="Q444" s="854"/>
      <c r="R444" s="854"/>
      <c r="S444" s="854"/>
      <c r="T444" s="854"/>
      <c r="U444" s="854"/>
      <c r="V444" s="854"/>
      <c r="W444" s="854"/>
      <c r="X444" s="854"/>
      <c r="Y444" s="854"/>
      <c r="Z444" s="854"/>
      <c r="AA444" s="854"/>
      <c r="AB444" s="854"/>
      <c r="AC444" s="854"/>
      <c r="AD444" s="854"/>
      <c r="AE444" s="854"/>
      <c r="AF444" s="854"/>
      <c r="AG444" s="854"/>
      <c r="AH444" s="854"/>
      <c r="AI444" s="854"/>
      <c r="AJ444" s="854"/>
      <c r="AK444" s="854"/>
      <c r="AL444" s="854"/>
      <c r="AM444" s="854"/>
      <c r="AN444" s="854"/>
      <c r="AO444" s="854"/>
      <c r="AP444" s="854"/>
      <c r="AQ444" s="854"/>
      <c r="AR444" s="854"/>
      <c r="AS444" s="854"/>
      <c r="AT444" s="854"/>
      <c r="AU444" s="854"/>
      <c r="AV444" s="854"/>
      <c r="AW444" s="854"/>
      <c r="AX444" s="854"/>
      <c r="AY444" s="854"/>
      <c r="AZ444" s="854"/>
      <c r="BA444" s="854"/>
      <c r="BB444" s="854"/>
      <c r="BC444" s="854"/>
      <c r="BD444" s="854"/>
      <c r="BE444" s="854"/>
      <c r="BF444" s="854"/>
      <c r="BG444" s="854"/>
      <c r="BH444" s="854"/>
      <c r="BI444" s="854"/>
      <c r="BJ444" s="854"/>
      <c r="BK444" s="854"/>
      <c r="BL444" s="854"/>
      <c r="BM444" s="854"/>
      <c r="BN444" s="854"/>
      <c r="BO444" s="854"/>
      <c r="BP444" s="854"/>
      <c r="BQ444" s="854"/>
      <c r="BR444" s="854"/>
      <c r="BS444" s="854"/>
      <c r="BT444" s="854"/>
      <c r="BU444" s="854"/>
      <c r="BV444" s="854"/>
      <c r="BW444" s="854"/>
      <c r="BX444" s="854"/>
      <c r="BY444" s="854"/>
      <c r="BZ444" s="854"/>
      <c r="CA444" s="571">
        <f>IF(OR(I444="",I444&lt;'Configs &amp; Procedures'!$L$29),0,IF(I444&gt;'Configs &amp; Procedures'!$L$30,1,IF(F444&gt;'Configs &amp; Procedures'!$L$31,0,1)))</f>
        <v>0</v>
      </c>
    </row>
    <row r="445" spans="2:79">
      <c r="B445" s="854"/>
      <c r="C445" s="854"/>
      <c r="D445" s="854"/>
      <c r="E445" s="854"/>
      <c r="F445" s="854"/>
      <c r="G445" s="854"/>
      <c r="H445" s="854"/>
      <c r="I445" s="854"/>
      <c r="J445" s="854"/>
      <c r="K445" s="854"/>
      <c r="L445" s="854"/>
      <c r="M445" s="854"/>
      <c r="N445" s="854"/>
      <c r="O445" s="854"/>
      <c r="P445" s="854"/>
      <c r="Q445" s="854"/>
      <c r="R445" s="854"/>
      <c r="S445" s="854"/>
      <c r="T445" s="854"/>
      <c r="U445" s="854"/>
      <c r="V445" s="854"/>
      <c r="W445" s="854"/>
      <c r="X445" s="854"/>
      <c r="Y445" s="854"/>
      <c r="Z445" s="854"/>
      <c r="AA445" s="854"/>
      <c r="AB445" s="854"/>
      <c r="AC445" s="854"/>
      <c r="AD445" s="854"/>
      <c r="AE445" s="854"/>
      <c r="AF445" s="854"/>
      <c r="AG445" s="854"/>
      <c r="AH445" s="854"/>
      <c r="AI445" s="854"/>
      <c r="AJ445" s="854"/>
      <c r="AK445" s="854"/>
      <c r="AL445" s="854"/>
      <c r="AM445" s="854"/>
      <c r="AN445" s="854"/>
      <c r="AO445" s="854"/>
      <c r="AP445" s="854"/>
      <c r="AQ445" s="854"/>
      <c r="AR445" s="854"/>
      <c r="AS445" s="854"/>
      <c r="AT445" s="854"/>
      <c r="AU445" s="854"/>
      <c r="AV445" s="854"/>
      <c r="AW445" s="854"/>
      <c r="AX445" s="854"/>
      <c r="AY445" s="854"/>
      <c r="AZ445" s="854"/>
      <c r="BA445" s="854"/>
      <c r="BB445" s="854"/>
      <c r="BC445" s="854"/>
      <c r="BD445" s="854"/>
      <c r="BE445" s="854"/>
      <c r="BF445" s="854"/>
      <c r="BG445" s="854"/>
      <c r="BH445" s="854"/>
      <c r="BI445" s="854"/>
      <c r="BJ445" s="854"/>
      <c r="BK445" s="854"/>
      <c r="BL445" s="854"/>
      <c r="BM445" s="854"/>
      <c r="BN445" s="854"/>
      <c r="BO445" s="854"/>
      <c r="BP445" s="854"/>
      <c r="BQ445" s="854"/>
      <c r="BR445" s="854"/>
      <c r="BS445" s="854"/>
      <c r="BT445" s="854"/>
      <c r="BU445" s="854"/>
      <c r="BV445" s="854"/>
      <c r="BW445" s="854"/>
      <c r="BX445" s="854"/>
      <c r="BY445" s="854"/>
      <c r="BZ445" s="854"/>
      <c r="CA445" s="571">
        <f>IF(OR(I445="",I445&lt;'Configs &amp; Procedures'!$L$29),0,IF(I445&gt;'Configs &amp; Procedures'!$L$30,1,IF(F445&gt;'Configs &amp; Procedures'!$L$31,0,1)))</f>
        <v>0</v>
      </c>
    </row>
    <row r="446" spans="2:79">
      <c r="B446" s="854"/>
      <c r="C446" s="854"/>
      <c r="D446" s="854"/>
      <c r="E446" s="854"/>
      <c r="F446" s="854"/>
      <c r="G446" s="854"/>
      <c r="H446" s="854"/>
      <c r="I446" s="854"/>
      <c r="J446" s="854"/>
      <c r="K446" s="854"/>
      <c r="L446" s="854"/>
      <c r="M446" s="854"/>
      <c r="N446" s="854"/>
      <c r="O446" s="854"/>
      <c r="P446" s="854"/>
      <c r="Q446" s="854"/>
      <c r="R446" s="854"/>
      <c r="S446" s="854"/>
      <c r="T446" s="854"/>
      <c r="U446" s="854"/>
      <c r="V446" s="854"/>
      <c r="W446" s="854"/>
      <c r="X446" s="854"/>
      <c r="Y446" s="854"/>
      <c r="Z446" s="854"/>
      <c r="AA446" s="854"/>
      <c r="AB446" s="854"/>
      <c r="AC446" s="854"/>
      <c r="AD446" s="854"/>
      <c r="AE446" s="854"/>
      <c r="AF446" s="854"/>
      <c r="AG446" s="854"/>
      <c r="AH446" s="854"/>
      <c r="AI446" s="854"/>
      <c r="AJ446" s="854"/>
      <c r="AK446" s="854"/>
      <c r="AL446" s="854"/>
      <c r="AM446" s="854"/>
      <c r="AN446" s="854"/>
      <c r="AO446" s="854"/>
      <c r="AP446" s="854"/>
      <c r="AQ446" s="854"/>
      <c r="AR446" s="854"/>
      <c r="AS446" s="854"/>
      <c r="AT446" s="854"/>
      <c r="AU446" s="854"/>
      <c r="AV446" s="854"/>
      <c r="AW446" s="854"/>
      <c r="AX446" s="854"/>
      <c r="AY446" s="854"/>
      <c r="AZ446" s="854"/>
      <c r="BA446" s="854"/>
      <c r="BB446" s="854"/>
      <c r="BC446" s="854"/>
      <c r="BD446" s="854"/>
      <c r="BE446" s="854"/>
      <c r="BF446" s="854"/>
      <c r="BG446" s="854"/>
      <c r="BH446" s="854"/>
      <c r="BI446" s="854"/>
      <c r="BJ446" s="854"/>
      <c r="BK446" s="854"/>
      <c r="BL446" s="854"/>
      <c r="BM446" s="854"/>
      <c r="BN446" s="854"/>
      <c r="BO446" s="854"/>
      <c r="BP446" s="854"/>
      <c r="BQ446" s="854"/>
      <c r="BR446" s="854"/>
      <c r="BS446" s="854"/>
      <c r="BT446" s="854"/>
      <c r="BU446" s="854"/>
      <c r="BV446" s="854"/>
      <c r="BW446" s="854"/>
      <c r="BX446" s="854"/>
      <c r="BY446" s="854"/>
      <c r="BZ446" s="854"/>
      <c r="CA446" s="571">
        <f>IF(OR(I446="",I446&lt;'Configs &amp; Procedures'!$L$29),0,IF(I446&gt;'Configs &amp; Procedures'!$L$30,1,IF(F446&gt;'Configs &amp; Procedures'!$L$31,0,1)))</f>
        <v>0</v>
      </c>
    </row>
    <row r="447" spans="2:79">
      <c r="B447" s="854"/>
      <c r="C447" s="854"/>
      <c r="D447" s="854"/>
      <c r="E447" s="854"/>
      <c r="F447" s="854"/>
      <c r="G447" s="854"/>
      <c r="H447" s="854"/>
      <c r="I447" s="854"/>
      <c r="J447" s="854"/>
      <c r="K447" s="854"/>
      <c r="L447" s="854"/>
      <c r="M447" s="854"/>
      <c r="N447" s="854"/>
      <c r="O447" s="854"/>
      <c r="P447" s="854"/>
      <c r="Q447" s="854"/>
      <c r="R447" s="854"/>
      <c r="S447" s="854"/>
      <c r="T447" s="854"/>
      <c r="U447" s="854"/>
      <c r="V447" s="854"/>
      <c r="W447" s="854"/>
      <c r="X447" s="854"/>
      <c r="Y447" s="854"/>
      <c r="Z447" s="854"/>
      <c r="AA447" s="854"/>
      <c r="AB447" s="854"/>
      <c r="AC447" s="854"/>
      <c r="AD447" s="854"/>
      <c r="AE447" s="854"/>
      <c r="AF447" s="854"/>
      <c r="AG447" s="854"/>
      <c r="AH447" s="854"/>
      <c r="AI447" s="854"/>
      <c r="AJ447" s="854"/>
      <c r="AK447" s="854"/>
      <c r="AL447" s="854"/>
      <c r="AM447" s="854"/>
      <c r="AN447" s="854"/>
      <c r="AO447" s="854"/>
      <c r="AP447" s="854"/>
      <c r="AQ447" s="854"/>
      <c r="AR447" s="854"/>
      <c r="AS447" s="854"/>
      <c r="AT447" s="854"/>
      <c r="AU447" s="854"/>
      <c r="AV447" s="854"/>
      <c r="AW447" s="854"/>
      <c r="AX447" s="854"/>
      <c r="AY447" s="854"/>
      <c r="AZ447" s="854"/>
      <c r="BA447" s="854"/>
      <c r="BB447" s="854"/>
      <c r="BC447" s="854"/>
      <c r="BD447" s="854"/>
      <c r="BE447" s="854"/>
      <c r="BF447" s="854"/>
      <c r="BG447" s="854"/>
      <c r="BH447" s="854"/>
      <c r="BI447" s="854"/>
      <c r="BJ447" s="854"/>
      <c r="BK447" s="854"/>
      <c r="BL447" s="854"/>
      <c r="BM447" s="854"/>
      <c r="BN447" s="854"/>
      <c r="BO447" s="854"/>
      <c r="BP447" s="854"/>
      <c r="BQ447" s="854"/>
      <c r="BR447" s="854"/>
      <c r="BS447" s="854"/>
      <c r="BT447" s="854"/>
      <c r="BU447" s="854"/>
      <c r="BV447" s="854"/>
      <c r="BW447" s="854"/>
      <c r="BX447" s="854"/>
      <c r="BY447" s="854"/>
      <c r="BZ447" s="854"/>
      <c r="CA447" s="571">
        <f>IF(OR(I447="",I447&lt;'Configs &amp; Procedures'!$L$29),0,IF(I447&gt;'Configs &amp; Procedures'!$L$30,1,IF(F447&gt;'Configs &amp; Procedures'!$L$31,0,1)))</f>
        <v>0</v>
      </c>
    </row>
    <row r="448" spans="2:79">
      <c r="B448" s="854"/>
      <c r="C448" s="854"/>
      <c r="D448" s="854"/>
      <c r="E448" s="854"/>
      <c r="F448" s="854"/>
      <c r="G448" s="854"/>
      <c r="H448" s="854"/>
      <c r="I448" s="854"/>
      <c r="J448" s="854"/>
      <c r="K448" s="854"/>
      <c r="L448" s="854"/>
      <c r="M448" s="854"/>
      <c r="N448" s="854"/>
      <c r="O448" s="854"/>
      <c r="P448" s="854"/>
      <c r="Q448" s="854"/>
      <c r="R448" s="854"/>
      <c r="S448" s="854"/>
      <c r="T448" s="854"/>
      <c r="U448" s="854"/>
      <c r="V448" s="854"/>
      <c r="W448" s="854"/>
      <c r="X448" s="854"/>
      <c r="Y448" s="854"/>
      <c r="Z448" s="854"/>
      <c r="AA448" s="854"/>
      <c r="AB448" s="854"/>
      <c r="AC448" s="854"/>
      <c r="AD448" s="854"/>
      <c r="AE448" s="854"/>
      <c r="AF448" s="854"/>
      <c r="AG448" s="854"/>
      <c r="AH448" s="854"/>
      <c r="AI448" s="854"/>
      <c r="AJ448" s="854"/>
      <c r="AK448" s="854"/>
      <c r="AL448" s="854"/>
      <c r="AM448" s="854"/>
      <c r="AN448" s="854"/>
      <c r="AO448" s="854"/>
      <c r="AP448" s="854"/>
      <c r="AQ448" s="854"/>
      <c r="AR448" s="854"/>
      <c r="AS448" s="854"/>
      <c r="AT448" s="854"/>
      <c r="AU448" s="854"/>
      <c r="AV448" s="854"/>
      <c r="AW448" s="854"/>
      <c r="AX448" s="854"/>
      <c r="AY448" s="854"/>
      <c r="AZ448" s="854"/>
      <c r="BA448" s="854"/>
      <c r="BB448" s="854"/>
      <c r="BC448" s="854"/>
      <c r="BD448" s="854"/>
      <c r="BE448" s="854"/>
      <c r="BF448" s="854"/>
      <c r="BG448" s="854"/>
      <c r="BH448" s="854"/>
      <c r="BI448" s="854"/>
      <c r="BJ448" s="854"/>
      <c r="BK448" s="854"/>
      <c r="BL448" s="854"/>
      <c r="BM448" s="854"/>
      <c r="BN448" s="854"/>
      <c r="BO448" s="854"/>
      <c r="BP448" s="854"/>
      <c r="BQ448" s="854"/>
      <c r="BR448" s="854"/>
      <c r="BS448" s="854"/>
      <c r="BT448" s="854"/>
      <c r="BU448" s="854"/>
      <c r="BV448" s="854"/>
      <c r="BW448" s="854"/>
      <c r="BX448" s="854"/>
      <c r="BY448" s="854"/>
      <c r="BZ448" s="854"/>
      <c r="CA448" s="571">
        <f>IF(OR(I448="",I448&lt;'Configs &amp; Procedures'!$L$29),0,IF(I448&gt;'Configs &amp; Procedures'!$L$30,1,IF(F448&gt;'Configs &amp; Procedures'!$L$31,0,1)))</f>
        <v>0</v>
      </c>
    </row>
    <row r="449" spans="2:79">
      <c r="B449" s="854"/>
      <c r="C449" s="854"/>
      <c r="D449" s="854"/>
      <c r="E449" s="854"/>
      <c r="F449" s="854"/>
      <c r="G449" s="854"/>
      <c r="H449" s="854"/>
      <c r="I449" s="854"/>
      <c r="J449" s="854"/>
      <c r="K449" s="854"/>
      <c r="L449" s="854"/>
      <c r="M449" s="854"/>
      <c r="N449" s="854"/>
      <c r="O449" s="854"/>
      <c r="P449" s="854"/>
      <c r="Q449" s="854"/>
      <c r="R449" s="854"/>
      <c r="S449" s="854"/>
      <c r="T449" s="854"/>
      <c r="U449" s="854"/>
      <c r="V449" s="854"/>
      <c r="W449" s="854"/>
      <c r="X449" s="854"/>
      <c r="Y449" s="854"/>
      <c r="Z449" s="854"/>
      <c r="AA449" s="854"/>
      <c r="AB449" s="854"/>
      <c r="AC449" s="854"/>
      <c r="AD449" s="854"/>
      <c r="AE449" s="854"/>
      <c r="AF449" s="854"/>
      <c r="AG449" s="854"/>
      <c r="AH449" s="854"/>
      <c r="AI449" s="854"/>
      <c r="AJ449" s="854"/>
      <c r="AK449" s="854"/>
      <c r="AL449" s="854"/>
      <c r="AM449" s="854"/>
      <c r="AN449" s="854"/>
      <c r="AO449" s="854"/>
      <c r="AP449" s="854"/>
      <c r="AQ449" s="854"/>
      <c r="AR449" s="854"/>
      <c r="AS449" s="854"/>
      <c r="AT449" s="854"/>
      <c r="AU449" s="854"/>
      <c r="AV449" s="854"/>
      <c r="AW449" s="854"/>
      <c r="AX449" s="854"/>
      <c r="AY449" s="854"/>
      <c r="AZ449" s="854"/>
      <c r="BA449" s="854"/>
      <c r="BB449" s="854"/>
      <c r="BC449" s="854"/>
      <c r="BD449" s="854"/>
      <c r="BE449" s="854"/>
      <c r="BF449" s="854"/>
      <c r="BG449" s="854"/>
      <c r="BH449" s="854"/>
      <c r="BI449" s="854"/>
      <c r="BJ449" s="854"/>
      <c r="BK449" s="854"/>
      <c r="BL449" s="854"/>
      <c r="BM449" s="854"/>
      <c r="BN449" s="854"/>
      <c r="BO449" s="854"/>
      <c r="BP449" s="854"/>
      <c r="BQ449" s="854"/>
      <c r="BR449" s="854"/>
      <c r="BS449" s="854"/>
      <c r="BT449" s="854"/>
      <c r="BU449" s="854"/>
      <c r="BV449" s="854"/>
      <c r="BW449" s="854"/>
      <c r="BX449" s="854"/>
      <c r="BY449" s="854"/>
      <c r="BZ449" s="854"/>
      <c r="CA449" s="571">
        <f>IF(OR(I449="",I449&lt;'Configs &amp; Procedures'!$L$29),0,IF(I449&gt;'Configs &amp; Procedures'!$L$30,1,IF(F449&gt;'Configs &amp; Procedures'!$L$31,0,1)))</f>
        <v>0</v>
      </c>
    </row>
    <row r="450" spans="2:79">
      <c r="B450" s="854"/>
      <c r="C450" s="854"/>
      <c r="D450" s="854"/>
      <c r="E450" s="854"/>
      <c r="F450" s="854"/>
      <c r="G450" s="854"/>
      <c r="H450" s="854"/>
      <c r="I450" s="854"/>
      <c r="J450" s="854"/>
      <c r="K450" s="854"/>
      <c r="L450" s="854"/>
      <c r="M450" s="854"/>
      <c r="N450" s="854"/>
      <c r="O450" s="854"/>
      <c r="P450" s="854"/>
      <c r="Q450" s="854"/>
      <c r="R450" s="854"/>
      <c r="S450" s="854"/>
      <c r="T450" s="854"/>
      <c r="U450" s="854"/>
      <c r="V450" s="854"/>
      <c r="W450" s="854"/>
      <c r="X450" s="854"/>
      <c r="Y450" s="854"/>
      <c r="Z450" s="854"/>
      <c r="AA450" s="854"/>
      <c r="AB450" s="854"/>
      <c r="AC450" s="854"/>
      <c r="AD450" s="854"/>
      <c r="AE450" s="854"/>
      <c r="AF450" s="854"/>
      <c r="AG450" s="854"/>
      <c r="AH450" s="854"/>
      <c r="AI450" s="854"/>
      <c r="AJ450" s="854"/>
      <c r="AK450" s="854"/>
      <c r="AL450" s="854"/>
      <c r="AM450" s="854"/>
      <c r="AN450" s="854"/>
      <c r="AO450" s="854"/>
      <c r="AP450" s="854"/>
      <c r="AQ450" s="854"/>
      <c r="AR450" s="854"/>
      <c r="AS450" s="854"/>
      <c r="AT450" s="854"/>
      <c r="AU450" s="854"/>
      <c r="AV450" s="854"/>
      <c r="AW450" s="854"/>
      <c r="AX450" s="854"/>
      <c r="AY450" s="854"/>
      <c r="AZ450" s="854"/>
      <c r="BA450" s="854"/>
      <c r="BB450" s="854"/>
      <c r="BC450" s="854"/>
      <c r="BD450" s="854"/>
      <c r="BE450" s="854"/>
      <c r="BF450" s="854"/>
      <c r="BG450" s="854"/>
      <c r="BH450" s="854"/>
      <c r="BI450" s="854"/>
      <c r="BJ450" s="854"/>
      <c r="BK450" s="854"/>
      <c r="BL450" s="854"/>
      <c r="BM450" s="854"/>
      <c r="BN450" s="854"/>
      <c r="BO450" s="854"/>
      <c r="BP450" s="854"/>
      <c r="BQ450" s="854"/>
      <c r="BR450" s="854"/>
      <c r="BS450" s="854"/>
      <c r="BT450" s="854"/>
      <c r="BU450" s="854"/>
      <c r="BV450" s="854"/>
      <c r="BW450" s="854"/>
      <c r="BX450" s="854"/>
      <c r="BY450" s="854"/>
      <c r="BZ450" s="854"/>
      <c r="CA450" s="571">
        <f>IF(OR(I450="",I450&lt;'Configs &amp; Procedures'!$L$29),0,IF(I450&gt;'Configs &amp; Procedures'!$L$30,1,IF(F450&gt;'Configs &amp; Procedures'!$L$31,0,1)))</f>
        <v>0</v>
      </c>
    </row>
    <row r="451" spans="2:79">
      <c r="B451" s="854"/>
      <c r="C451" s="854"/>
      <c r="D451" s="854"/>
      <c r="E451" s="854"/>
      <c r="F451" s="854"/>
      <c r="G451" s="854"/>
      <c r="H451" s="854"/>
      <c r="I451" s="854"/>
      <c r="J451" s="854"/>
      <c r="K451" s="854"/>
      <c r="L451" s="854"/>
      <c r="M451" s="854"/>
      <c r="N451" s="854"/>
      <c r="O451" s="854"/>
      <c r="P451" s="854"/>
      <c r="Q451" s="854"/>
      <c r="R451" s="854"/>
      <c r="S451" s="854"/>
      <c r="T451" s="854"/>
      <c r="U451" s="854"/>
      <c r="V451" s="854"/>
      <c r="W451" s="854"/>
      <c r="X451" s="854"/>
      <c r="Y451" s="854"/>
      <c r="Z451" s="854"/>
      <c r="AA451" s="854"/>
      <c r="AB451" s="854"/>
      <c r="AC451" s="854"/>
      <c r="AD451" s="854"/>
      <c r="AE451" s="854"/>
      <c r="AF451" s="854"/>
      <c r="AG451" s="854"/>
      <c r="AH451" s="854"/>
      <c r="AI451" s="854"/>
      <c r="AJ451" s="854"/>
      <c r="AK451" s="854"/>
      <c r="AL451" s="854"/>
      <c r="AM451" s="854"/>
      <c r="AN451" s="854"/>
      <c r="AO451" s="854"/>
      <c r="AP451" s="854"/>
      <c r="AQ451" s="854"/>
      <c r="AR451" s="854"/>
      <c r="AS451" s="854"/>
      <c r="AT451" s="854"/>
      <c r="AU451" s="854"/>
      <c r="AV451" s="854"/>
      <c r="AW451" s="854"/>
      <c r="AX451" s="854"/>
      <c r="AY451" s="854"/>
      <c r="AZ451" s="854"/>
      <c r="BA451" s="854"/>
      <c r="BB451" s="854"/>
      <c r="BC451" s="854"/>
      <c r="BD451" s="854"/>
      <c r="BE451" s="854"/>
      <c r="BF451" s="854"/>
      <c r="BG451" s="854"/>
      <c r="BH451" s="854"/>
      <c r="BI451" s="854"/>
      <c r="BJ451" s="854"/>
      <c r="BK451" s="854"/>
      <c r="BL451" s="854"/>
      <c r="BM451" s="854"/>
      <c r="BN451" s="854"/>
      <c r="BO451" s="854"/>
      <c r="BP451" s="854"/>
      <c r="BQ451" s="854"/>
      <c r="BR451" s="854"/>
      <c r="BS451" s="854"/>
      <c r="BT451" s="854"/>
      <c r="BU451" s="854"/>
      <c r="BV451" s="854"/>
      <c r="BW451" s="854"/>
      <c r="BX451" s="854"/>
      <c r="BY451" s="854"/>
      <c r="BZ451" s="854"/>
      <c r="CA451" s="571">
        <f>IF(OR(I451="",I451&lt;'Configs &amp; Procedures'!$L$29),0,IF(I451&gt;'Configs &amp; Procedures'!$L$30,1,IF(F451&gt;'Configs &amp; Procedures'!$L$31,0,1)))</f>
        <v>0</v>
      </c>
    </row>
    <row r="452" spans="2:79">
      <c r="B452" s="854"/>
      <c r="C452" s="854"/>
      <c r="D452" s="854"/>
      <c r="E452" s="854"/>
      <c r="F452" s="854"/>
      <c r="G452" s="854"/>
      <c r="H452" s="854"/>
      <c r="I452" s="854"/>
      <c r="J452" s="854"/>
      <c r="K452" s="854"/>
      <c r="L452" s="854"/>
      <c r="M452" s="854"/>
      <c r="N452" s="854"/>
      <c r="O452" s="854"/>
      <c r="P452" s="854"/>
      <c r="Q452" s="854"/>
      <c r="R452" s="854"/>
      <c r="S452" s="854"/>
      <c r="T452" s="854"/>
      <c r="U452" s="854"/>
      <c r="V452" s="854"/>
      <c r="W452" s="854"/>
      <c r="X452" s="854"/>
      <c r="Y452" s="854"/>
      <c r="Z452" s="854"/>
      <c r="AA452" s="854"/>
      <c r="AB452" s="854"/>
      <c r="AC452" s="854"/>
      <c r="AD452" s="854"/>
      <c r="AE452" s="854"/>
      <c r="AF452" s="854"/>
      <c r="AG452" s="854"/>
      <c r="AH452" s="854"/>
      <c r="AI452" s="854"/>
      <c r="AJ452" s="854"/>
      <c r="AK452" s="854"/>
      <c r="AL452" s="854"/>
      <c r="AM452" s="854"/>
      <c r="AN452" s="854"/>
      <c r="AO452" s="854"/>
      <c r="AP452" s="854"/>
      <c r="AQ452" s="854"/>
      <c r="AR452" s="854"/>
      <c r="AS452" s="854"/>
      <c r="AT452" s="854"/>
      <c r="AU452" s="854"/>
      <c r="AV452" s="854"/>
      <c r="AW452" s="854"/>
      <c r="AX452" s="854"/>
      <c r="AY452" s="854"/>
      <c r="AZ452" s="854"/>
      <c r="BA452" s="854"/>
      <c r="BB452" s="854"/>
      <c r="BC452" s="854"/>
      <c r="BD452" s="854"/>
      <c r="BE452" s="854"/>
      <c r="BF452" s="854"/>
      <c r="BG452" s="854"/>
      <c r="BH452" s="854"/>
      <c r="BI452" s="854"/>
      <c r="BJ452" s="854"/>
      <c r="BK452" s="854"/>
      <c r="BL452" s="854"/>
      <c r="BM452" s="854"/>
      <c r="BN452" s="854"/>
      <c r="BO452" s="854"/>
      <c r="BP452" s="854"/>
      <c r="BQ452" s="854"/>
      <c r="BR452" s="854"/>
      <c r="BS452" s="854"/>
      <c r="BT452" s="854"/>
      <c r="BU452" s="854"/>
      <c r="BV452" s="854"/>
      <c r="BW452" s="854"/>
      <c r="BX452" s="854"/>
      <c r="BY452" s="854"/>
      <c r="BZ452" s="854"/>
      <c r="CA452" s="571">
        <f>IF(OR(I452="",I452&lt;'Configs &amp; Procedures'!$L$29),0,IF(I452&gt;'Configs &amp; Procedures'!$L$30,1,IF(F452&gt;'Configs &amp; Procedures'!$L$31,0,1)))</f>
        <v>0</v>
      </c>
    </row>
    <row r="453" spans="2:79">
      <c r="B453" s="854"/>
      <c r="C453" s="854"/>
      <c r="D453" s="854"/>
      <c r="E453" s="854"/>
      <c r="F453" s="854"/>
      <c r="G453" s="854"/>
      <c r="H453" s="854"/>
      <c r="I453" s="854"/>
      <c r="J453" s="854"/>
      <c r="K453" s="854"/>
      <c r="L453" s="854"/>
      <c r="M453" s="854"/>
      <c r="N453" s="854"/>
      <c r="O453" s="854"/>
      <c r="P453" s="854"/>
      <c r="Q453" s="854"/>
      <c r="R453" s="854"/>
      <c r="S453" s="854"/>
      <c r="T453" s="854"/>
      <c r="U453" s="854"/>
      <c r="V453" s="854"/>
      <c r="W453" s="854"/>
      <c r="X453" s="854"/>
      <c r="Y453" s="854"/>
      <c r="Z453" s="854"/>
      <c r="AA453" s="854"/>
      <c r="AB453" s="854"/>
      <c r="AC453" s="854"/>
      <c r="AD453" s="854"/>
      <c r="AE453" s="854"/>
      <c r="AF453" s="854"/>
      <c r="AG453" s="854"/>
      <c r="AH453" s="854"/>
      <c r="AI453" s="854"/>
      <c r="AJ453" s="854"/>
      <c r="AK453" s="854"/>
      <c r="AL453" s="854"/>
      <c r="AM453" s="854"/>
      <c r="AN453" s="854"/>
      <c r="AO453" s="854"/>
      <c r="AP453" s="854"/>
      <c r="AQ453" s="854"/>
      <c r="AR453" s="854"/>
      <c r="AS453" s="854"/>
      <c r="AT453" s="854"/>
      <c r="AU453" s="854"/>
      <c r="AV453" s="854"/>
      <c r="AW453" s="854"/>
      <c r="AX453" s="854"/>
      <c r="AY453" s="854"/>
      <c r="AZ453" s="854"/>
      <c r="BA453" s="854"/>
      <c r="BB453" s="854"/>
      <c r="BC453" s="854"/>
      <c r="BD453" s="854"/>
      <c r="BE453" s="854"/>
      <c r="BF453" s="854"/>
      <c r="BG453" s="854"/>
      <c r="BH453" s="854"/>
      <c r="BI453" s="854"/>
      <c r="BJ453" s="854"/>
      <c r="BK453" s="854"/>
      <c r="BL453" s="854"/>
      <c r="BM453" s="854"/>
      <c r="BN453" s="854"/>
      <c r="BO453" s="854"/>
      <c r="BP453" s="854"/>
      <c r="BQ453" s="854"/>
      <c r="BR453" s="854"/>
      <c r="BS453" s="854"/>
      <c r="BT453" s="854"/>
      <c r="BU453" s="854"/>
      <c r="BV453" s="854"/>
      <c r="BW453" s="854"/>
      <c r="BX453" s="854"/>
      <c r="BY453" s="854"/>
      <c r="BZ453" s="854"/>
      <c r="CA453" s="571">
        <f>IF(OR(I453="",I453&lt;'Configs &amp; Procedures'!$L$29),0,IF(I453&gt;'Configs &amp; Procedures'!$L$30,1,IF(F453&gt;'Configs &amp; Procedures'!$L$31,0,1)))</f>
        <v>0</v>
      </c>
    </row>
    <row r="454" spans="2:79">
      <c r="B454" s="854"/>
      <c r="C454" s="854"/>
      <c r="D454" s="854"/>
      <c r="E454" s="854"/>
      <c r="F454" s="854"/>
      <c r="G454" s="854"/>
      <c r="H454" s="854"/>
      <c r="I454" s="854"/>
      <c r="J454" s="854"/>
      <c r="K454" s="854"/>
      <c r="L454" s="854"/>
      <c r="M454" s="854"/>
      <c r="N454" s="854"/>
      <c r="O454" s="854"/>
      <c r="P454" s="854"/>
      <c r="Q454" s="854"/>
      <c r="R454" s="854"/>
      <c r="S454" s="854"/>
      <c r="T454" s="854"/>
      <c r="U454" s="854"/>
      <c r="V454" s="854"/>
      <c r="W454" s="854"/>
      <c r="X454" s="854"/>
      <c r="Y454" s="854"/>
      <c r="Z454" s="854"/>
      <c r="AA454" s="854"/>
      <c r="AB454" s="854"/>
      <c r="AC454" s="854"/>
      <c r="AD454" s="854"/>
      <c r="AE454" s="854"/>
      <c r="AF454" s="854"/>
      <c r="AG454" s="854"/>
      <c r="AH454" s="854"/>
      <c r="AI454" s="854"/>
      <c r="AJ454" s="854"/>
      <c r="AK454" s="854"/>
      <c r="AL454" s="854"/>
      <c r="AM454" s="854"/>
      <c r="AN454" s="854"/>
      <c r="AO454" s="854"/>
      <c r="AP454" s="854"/>
      <c r="AQ454" s="854"/>
      <c r="AR454" s="854"/>
      <c r="AS454" s="854"/>
      <c r="AT454" s="854"/>
      <c r="AU454" s="854"/>
      <c r="AV454" s="854"/>
      <c r="AW454" s="854"/>
      <c r="AX454" s="854"/>
      <c r="AY454" s="854"/>
      <c r="AZ454" s="854"/>
      <c r="BA454" s="854"/>
      <c r="BB454" s="854"/>
      <c r="BC454" s="854"/>
      <c r="BD454" s="854"/>
      <c r="BE454" s="854"/>
      <c r="BF454" s="854"/>
      <c r="BG454" s="854"/>
      <c r="BH454" s="854"/>
      <c r="BI454" s="854"/>
      <c r="BJ454" s="854"/>
      <c r="BK454" s="854"/>
      <c r="BL454" s="854"/>
      <c r="BM454" s="854"/>
      <c r="BN454" s="854"/>
      <c r="BO454" s="854"/>
      <c r="BP454" s="854"/>
      <c r="BQ454" s="854"/>
      <c r="BR454" s="854"/>
      <c r="BS454" s="854"/>
      <c r="BT454" s="854"/>
      <c r="BU454" s="854"/>
      <c r="BV454" s="854"/>
      <c r="BW454" s="854"/>
      <c r="BX454" s="854"/>
      <c r="BY454" s="854"/>
      <c r="BZ454" s="854"/>
      <c r="CA454" s="571">
        <f>IF(OR(I454="",I454&lt;'Configs &amp; Procedures'!$L$29),0,IF(I454&gt;'Configs &amp; Procedures'!$L$30,1,IF(F454&gt;'Configs &amp; Procedures'!$L$31,0,1)))</f>
        <v>0</v>
      </c>
    </row>
    <row r="455" spans="2:79">
      <c r="B455" s="854"/>
      <c r="C455" s="854"/>
      <c r="D455" s="854"/>
      <c r="E455" s="854"/>
      <c r="F455" s="854"/>
      <c r="G455" s="854"/>
      <c r="H455" s="854"/>
      <c r="I455" s="854"/>
      <c r="J455" s="854"/>
      <c r="K455" s="854"/>
      <c r="L455" s="854"/>
      <c r="M455" s="854"/>
      <c r="N455" s="854"/>
      <c r="O455" s="854"/>
      <c r="P455" s="854"/>
      <c r="Q455" s="854"/>
      <c r="R455" s="854"/>
      <c r="S455" s="854"/>
      <c r="T455" s="854"/>
      <c r="U455" s="854"/>
      <c r="V455" s="854"/>
      <c r="W455" s="854"/>
      <c r="X455" s="854"/>
      <c r="Y455" s="854"/>
      <c r="Z455" s="854"/>
      <c r="AA455" s="854"/>
      <c r="AB455" s="854"/>
      <c r="AC455" s="854"/>
      <c r="AD455" s="854"/>
      <c r="AE455" s="854"/>
      <c r="AF455" s="854"/>
      <c r="AG455" s="854"/>
      <c r="AH455" s="854"/>
      <c r="AI455" s="854"/>
      <c r="AJ455" s="854"/>
      <c r="AK455" s="854"/>
      <c r="AL455" s="854"/>
      <c r="AM455" s="854"/>
      <c r="AN455" s="854"/>
      <c r="AO455" s="854"/>
      <c r="AP455" s="854"/>
      <c r="AQ455" s="854"/>
      <c r="AR455" s="854"/>
      <c r="AS455" s="854"/>
      <c r="AT455" s="854"/>
      <c r="AU455" s="854"/>
      <c r="AV455" s="854"/>
      <c r="AW455" s="854"/>
      <c r="AX455" s="854"/>
      <c r="AY455" s="854"/>
      <c r="AZ455" s="854"/>
      <c r="BA455" s="854"/>
      <c r="BB455" s="854"/>
      <c r="BC455" s="854"/>
      <c r="BD455" s="854"/>
      <c r="BE455" s="854"/>
      <c r="BF455" s="854"/>
      <c r="BG455" s="854"/>
      <c r="BH455" s="854"/>
      <c r="BI455" s="854"/>
      <c r="BJ455" s="854"/>
      <c r="BK455" s="854"/>
      <c r="BL455" s="854"/>
      <c r="BM455" s="854"/>
      <c r="BN455" s="854"/>
      <c r="BO455" s="854"/>
      <c r="BP455" s="854"/>
      <c r="BQ455" s="854"/>
      <c r="BR455" s="854"/>
      <c r="BS455" s="854"/>
      <c r="BT455" s="854"/>
      <c r="BU455" s="854"/>
      <c r="BV455" s="854"/>
      <c r="BW455" s="854"/>
      <c r="BX455" s="854"/>
      <c r="BY455" s="854"/>
      <c r="BZ455" s="854"/>
      <c r="CA455" s="571">
        <f>IF(OR(I455="",I455&lt;'Configs &amp; Procedures'!$L$29),0,IF(I455&gt;'Configs &amp; Procedures'!$L$30,1,IF(F455&gt;'Configs &amp; Procedures'!$L$31,0,1)))</f>
        <v>0</v>
      </c>
    </row>
    <row r="456" spans="2:79">
      <c r="B456" s="854"/>
      <c r="C456" s="854"/>
      <c r="D456" s="854"/>
      <c r="E456" s="854"/>
      <c r="F456" s="854"/>
      <c r="G456" s="854"/>
      <c r="H456" s="854"/>
      <c r="I456" s="854"/>
      <c r="J456" s="854"/>
      <c r="K456" s="854"/>
      <c r="L456" s="854"/>
      <c r="M456" s="854"/>
      <c r="N456" s="854"/>
      <c r="O456" s="854"/>
      <c r="P456" s="854"/>
      <c r="Q456" s="854"/>
      <c r="R456" s="854"/>
      <c r="S456" s="854"/>
      <c r="T456" s="854"/>
      <c r="U456" s="854"/>
      <c r="V456" s="854"/>
      <c r="W456" s="854"/>
      <c r="X456" s="854"/>
      <c r="Y456" s="854"/>
      <c r="Z456" s="854"/>
      <c r="AA456" s="854"/>
      <c r="AB456" s="854"/>
      <c r="AC456" s="854"/>
      <c r="AD456" s="854"/>
      <c r="AE456" s="854"/>
      <c r="AF456" s="854"/>
      <c r="AG456" s="854"/>
      <c r="AH456" s="854"/>
      <c r="AI456" s="854"/>
      <c r="AJ456" s="854"/>
      <c r="AK456" s="854"/>
      <c r="AL456" s="854"/>
      <c r="AM456" s="854"/>
      <c r="AN456" s="854"/>
      <c r="AO456" s="854"/>
      <c r="AP456" s="854"/>
      <c r="AQ456" s="854"/>
      <c r="AR456" s="854"/>
      <c r="AS456" s="854"/>
      <c r="AT456" s="854"/>
      <c r="AU456" s="854"/>
      <c r="AV456" s="854"/>
      <c r="AW456" s="854"/>
      <c r="AX456" s="854"/>
      <c r="AY456" s="854"/>
      <c r="AZ456" s="854"/>
      <c r="BA456" s="854"/>
      <c r="BB456" s="854"/>
      <c r="BC456" s="854"/>
      <c r="BD456" s="854"/>
      <c r="BE456" s="854"/>
      <c r="BF456" s="854"/>
      <c r="BG456" s="854"/>
      <c r="BH456" s="854"/>
      <c r="BI456" s="854"/>
      <c r="BJ456" s="854"/>
      <c r="BK456" s="854"/>
      <c r="BL456" s="854"/>
      <c r="BM456" s="854"/>
      <c r="BN456" s="854"/>
      <c r="BO456" s="854"/>
      <c r="BP456" s="854"/>
      <c r="BQ456" s="854"/>
      <c r="BR456" s="854"/>
      <c r="BS456" s="854"/>
      <c r="BT456" s="854"/>
      <c r="BU456" s="854"/>
      <c r="BV456" s="854"/>
      <c r="BW456" s="854"/>
      <c r="BX456" s="854"/>
      <c r="BY456" s="854"/>
      <c r="BZ456" s="854"/>
      <c r="CA456" s="571">
        <f>IF(OR(I456="",I456&lt;'Configs &amp; Procedures'!$L$29),0,IF(I456&gt;'Configs &amp; Procedures'!$L$30,1,IF(F456&gt;'Configs &amp; Procedures'!$L$31,0,1)))</f>
        <v>0</v>
      </c>
    </row>
    <row r="457" spans="2:79">
      <c r="B457" s="854"/>
      <c r="C457" s="854"/>
      <c r="D457" s="854"/>
      <c r="E457" s="854"/>
      <c r="F457" s="854"/>
      <c r="G457" s="854"/>
      <c r="H457" s="854"/>
      <c r="I457" s="854"/>
      <c r="J457" s="854"/>
      <c r="K457" s="854"/>
      <c r="L457" s="854"/>
      <c r="M457" s="854"/>
      <c r="N457" s="854"/>
      <c r="O457" s="854"/>
      <c r="P457" s="854"/>
      <c r="Q457" s="854"/>
      <c r="R457" s="854"/>
      <c r="S457" s="854"/>
      <c r="T457" s="854"/>
      <c r="U457" s="854"/>
      <c r="V457" s="854"/>
      <c r="W457" s="854"/>
      <c r="X457" s="854"/>
      <c r="Y457" s="854"/>
      <c r="Z457" s="854"/>
      <c r="AA457" s="854"/>
      <c r="AB457" s="854"/>
      <c r="AC457" s="854"/>
      <c r="AD457" s="854"/>
      <c r="AE457" s="854"/>
      <c r="AF457" s="854"/>
      <c r="AG457" s="854"/>
      <c r="AH457" s="854"/>
      <c r="AI457" s="854"/>
      <c r="AJ457" s="854"/>
      <c r="AK457" s="854"/>
      <c r="AL457" s="854"/>
      <c r="AM457" s="854"/>
      <c r="AN457" s="854"/>
      <c r="AO457" s="854"/>
      <c r="AP457" s="854"/>
      <c r="AQ457" s="854"/>
      <c r="AR457" s="854"/>
      <c r="AS457" s="854"/>
      <c r="AT457" s="854"/>
      <c r="AU457" s="854"/>
      <c r="AV457" s="854"/>
      <c r="AW457" s="854"/>
      <c r="AX457" s="854"/>
      <c r="AY457" s="854"/>
      <c r="AZ457" s="854"/>
      <c r="BA457" s="854"/>
      <c r="BB457" s="854"/>
      <c r="BC457" s="854"/>
      <c r="BD457" s="854"/>
      <c r="BE457" s="854"/>
      <c r="BF457" s="854"/>
      <c r="BG457" s="854"/>
      <c r="BH457" s="854"/>
      <c r="BI457" s="854"/>
      <c r="BJ457" s="854"/>
      <c r="BK457" s="854"/>
      <c r="BL457" s="854"/>
      <c r="BM457" s="854"/>
      <c r="BN457" s="854"/>
      <c r="BO457" s="854"/>
      <c r="BP457" s="854"/>
      <c r="BQ457" s="854"/>
      <c r="BR457" s="854"/>
      <c r="BS457" s="854"/>
      <c r="BT457" s="854"/>
      <c r="BU457" s="854"/>
      <c r="BV457" s="854"/>
      <c r="BW457" s="854"/>
      <c r="BX457" s="854"/>
      <c r="BY457" s="854"/>
      <c r="BZ457" s="854"/>
      <c r="CA457" s="571">
        <f>IF(OR(I457="",I457&lt;'Configs &amp; Procedures'!$L$29),0,IF(I457&gt;'Configs &amp; Procedures'!$L$30,1,IF(F457&gt;'Configs &amp; Procedures'!$L$31,0,1)))</f>
        <v>0</v>
      </c>
    </row>
    <row r="458" spans="2:79">
      <c r="B458" s="854"/>
      <c r="C458" s="854"/>
      <c r="D458" s="854"/>
      <c r="E458" s="854"/>
      <c r="F458" s="854"/>
      <c r="G458" s="854"/>
      <c r="H458" s="854"/>
      <c r="I458" s="854"/>
      <c r="J458" s="854"/>
      <c r="K458" s="854"/>
      <c r="L458" s="854"/>
      <c r="M458" s="854"/>
      <c r="N458" s="854"/>
      <c r="O458" s="854"/>
      <c r="P458" s="854"/>
      <c r="Q458" s="854"/>
      <c r="R458" s="854"/>
      <c r="S458" s="854"/>
      <c r="T458" s="854"/>
      <c r="U458" s="854"/>
      <c r="V458" s="854"/>
      <c r="W458" s="854"/>
      <c r="X458" s="854"/>
      <c r="Y458" s="854"/>
      <c r="Z458" s="854"/>
      <c r="AA458" s="854"/>
      <c r="AB458" s="854"/>
      <c r="AC458" s="854"/>
      <c r="AD458" s="854"/>
      <c r="AE458" s="854"/>
      <c r="AF458" s="854"/>
      <c r="AG458" s="854"/>
      <c r="AH458" s="854"/>
      <c r="AI458" s="854"/>
      <c r="AJ458" s="854"/>
      <c r="AK458" s="854"/>
      <c r="AL458" s="854"/>
      <c r="AM458" s="854"/>
      <c r="AN458" s="854"/>
      <c r="AO458" s="854"/>
      <c r="AP458" s="854"/>
      <c r="AQ458" s="854"/>
      <c r="AR458" s="854"/>
      <c r="AS458" s="854"/>
      <c r="AT458" s="854"/>
      <c r="AU458" s="854"/>
      <c r="AV458" s="854"/>
      <c r="AW458" s="854"/>
      <c r="AX458" s="854"/>
      <c r="AY458" s="854"/>
      <c r="AZ458" s="854"/>
      <c r="BA458" s="854"/>
      <c r="BB458" s="854"/>
      <c r="BC458" s="854"/>
      <c r="BD458" s="854"/>
      <c r="BE458" s="854"/>
      <c r="BF458" s="854"/>
      <c r="BG458" s="854"/>
      <c r="BH458" s="854"/>
      <c r="BI458" s="854"/>
      <c r="BJ458" s="854"/>
      <c r="BK458" s="854"/>
      <c r="BL458" s="854"/>
      <c r="BM458" s="854"/>
      <c r="BN458" s="854"/>
      <c r="BO458" s="854"/>
      <c r="BP458" s="854"/>
      <c r="BQ458" s="854"/>
      <c r="BR458" s="854"/>
      <c r="BS458" s="854"/>
      <c r="BT458" s="854"/>
      <c r="BU458" s="854"/>
      <c r="BV458" s="854"/>
      <c r="BW458" s="854"/>
      <c r="BX458" s="854"/>
      <c r="BY458" s="854"/>
      <c r="BZ458" s="854"/>
      <c r="CA458" s="571">
        <f>IF(OR(I458="",I458&lt;'Configs &amp; Procedures'!$L$29),0,IF(I458&gt;'Configs &amp; Procedures'!$L$30,1,IF(F458&gt;'Configs &amp; Procedures'!$L$31,0,1)))</f>
        <v>0</v>
      </c>
    </row>
    <row r="459" spans="2:79">
      <c r="B459" s="854"/>
      <c r="C459" s="854"/>
      <c r="D459" s="854"/>
      <c r="E459" s="854"/>
      <c r="F459" s="854"/>
      <c r="G459" s="854"/>
      <c r="H459" s="854"/>
      <c r="I459" s="854"/>
      <c r="J459" s="854"/>
      <c r="K459" s="854"/>
      <c r="L459" s="854"/>
      <c r="M459" s="854"/>
      <c r="N459" s="854"/>
      <c r="O459" s="854"/>
      <c r="P459" s="854"/>
      <c r="Q459" s="854"/>
      <c r="R459" s="854"/>
      <c r="S459" s="854"/>
      <c r="T459" s="854"/>
      <c r="U459" s="854"/>
      <c r="V459" s="854"/>
      <c r="W459" s="854"/>
      <c r="X459" s="854"/>
      <c r="Y459" s="854"/>
      <c r="Z459" s="854"/>
      <c r="AA459" s="854"/>
      <c r="AB459" s="854"/>
      <c r="AC459" s="854"/>
      <c r="AD459" s="854"/>
      <c r="AE459" s="854"/>
      <c r="AF459" s="854"/>
      <c r="AG459" s="854"/>
      <c r="AH459" s="854"/>
      <c r="AI459" s="854"/>
      <c r="AJ459" s="854"/>
      <c r="AK459" s="854"/>
      <c r="AL459" s="854"/>
      <c r="AM459" s="854"/>
      <c r="AN459" s="854"/>
      <c r="AO459" s="854"/>
      <c r="AP459" s="854"/>
      <c r="AQ459" s="854"/>
      <c r="AR459" s="854"/>
      <c r="AS459" s="854"/>
      <c r="AT459" s="854"/>
      <c r="AU459" s="854"/>
      <c r="AV459" s="854"/>
      <c r="AW459" s="854"/>
      <c r="AX459" s="854"/>
      <c r="AY459" s="854"/>
      <c r="AZ459" s="854"/>
      <c r="BA459" s="854"/>
      <c r="BB459" s="854"/>
      <c r="BC459" s="854"/>
      <c r="BD459" s="854"/>
      <c r="BE459" s="854"/>
      <c r="BF459" s="854"/>
      <c r="BG459" s="854"/>
      <c r="BH459" s="854"/>
      <c r="BI459" s="854"/>
      <c r="BJ459" s="854"/>
      <c r="BK459" s="854"/>
      <c r="BL459" s="854"/>
      <c r="BM459" s="854"/>
      <c r="BN459" s="854"/>
      <c r="BO459" s="854"/>
      <c r="BP459" s="854"/>
      <c r="BQ459" s="854"/>
      <c r="BR459" s="854"/>
      <c r="BS459" s="854"/>
      <c r="BT459" s="854"/>
      <c r="BU459" s="854"/>
      <c r="BV459" s="854"/>
      <c r="BW459" s="854"/>
      <c r="BX459" s="854"/>
      <c r="BY459" s="854"/>
      <c r="BZ459" s="854"/>
      <c r="CA459" s="571">
        <f>IF(OR(I459="",I459&lt;'Configs &amp; Procedures'!$L$29),0,IF(I459&gt;'Configs &amp; Procedures'!$L$30,1,IF(F459&gt;'Configs &amp; Procedures'!$L$31,0,1)))</f>
        <v>0</v>
      </c>
    </row>
    <row r="460" spans="2:79">
      <c r="B460" s="854"/>
      <c r="C460" s="854"/>
      <c r="D460" s="854"/>
      <c r="E460" s="854"/>
      <c r="F460" s="854"/>
      <c r="G460" s="854"/>
      <c r="H460" s="854"/>
      <c r="I460" s="854"/>
      <c r="J460" s="854"/>
      <c r="K460" s="854"/>
      <c r="L460" s="854"/>
      <c r="M460" s="854"/>
      <c r="N460" s="854"/>
      <c r="O460" s="854"/>
      <c r="P460" s="854"/>
      <c r="Q460" s="854"/>
      <c r="R460" s="854"/>
      <c r="S460" s="854"/>
      <c r="T460" s="854"/>
      <c r="U460" s="854"/>
      <c r="V460" s="854"/>
      <c r="W460" s="854"/>
      <c r="X460" s="854"/>
      <c r="Y460" s="854"/>
      <c r="Z460" s="854"/>
      <c r="AA460" s="854"/>
      <c r="AB460" s="854"/>
      <c r="AC460" s="854"/>
      <c r="AD460" s="854"/>
      <c r="AE460" s="854"/>
      <c r="AF460" s="854"/>
      <c r="AG460" s="854"/>
      <c r="AH460" s="854"/>
      <c r="AI460" s="854"/>
      <c r="AJ460" s="854"/>
      <c r="AK460" s="854"/>
      <c r="AL460" s="854"/>
      <c r="AM460" s="854"/>
      <c r="AN460" s="854"/>
      <c r="AO460" s="854"/>
      <c r="AP460" s="854"/>
      <c r="AQ460" s="854"/>
      <c r="AR460" s="854"/>
      <c r="AS460" s="854"/>
      <c r="AT460" s="854"/>
      <c r="AU460" s="854"/>
      <c r="AV460" s="854"/>
      <c r="AW460" s="854"/>
      <c r="AX460" s="854"/>
      <c r="AY460" s="854"/>
      <c r="AZ460" s="854"/>
      <c r="BA460" s="854"/>
      <c r="BB460" s="854"/>
      <c r="BC460" s="854"/>
      <c r="BD460" s="854"/>
      <c r="BE460" s="854"/>
      <c r="BF460" s="854"/>
      <c r="BG460" s="854"/>
      <c r="BH460" s="854"/>
      <c r="BI460" s="854"/>
      <c r="BJ460" s="854"/>
      <c r="BK460" s="854"/>
      <c r="BL460" s="854"/>
      <c r="BM460" s="854"/>
      <c r="BN460" s="854"/>
      <c r="BO460" s="854"/>
      <c r="BP460" s="854"/>
      <c r="BQ460" s="854"/>
      <c r="BR460" s="854"/>
      <c r="BS460" s="854"/>
      <c r="BT460" s="854"/>
      <c r="BU460" s="854"/>
      <c r="BV460" s="854"/>
      <c r="BW460" s="854"/>
      <c r="BX460" s="854"/>
      <c r="BY460" s="854"/>
      <c r="BZ460" s="854"/>
      <c r="CA460" s="571">
        <f>IF(OR(I460="",I460&lt;'Configs &amp; Procedures'!$L$29),0,IF(I460&gt;'Configs &amp; Procedures'!$L$30,1,IF(F460&gt;'Configs &amp; Procedures'!$L$31,0,1)))</f>
        <v>0</v>
      </c>
    </row>
    <row r="461" spans="2:79">
      <c r="B461" s="854"/>
      <c r="C461" s="854"/>
      <c r="D461" s="854"/>
      <c r="E461" s="854"/>
      <c r="F461" s="854"/>
      <c r="G461" s="854"/>
      <c r="H461" s="854"/>
      <c r="I461" s="854"/>
      <c r="J461" s="854"/>
      <c r="K461" s="854"/>
      <c r="L461" s="854"/>
      <c r="M461" s="854"/>
      <c r="N461" s="854"/>
      <c r="O461" s="854"/>
      <c r="P461" s="854"/>
      <c r="Q461" s="854"/>
      <c r="R461" s="854"/>
      <c r="S461" s="854"/>
      <c r="T461" s="854"/>
      <c r="U461" s="854"/>
      <c r="V461" s="854"/>
      <c r="W461" s="854"/>
      <c r="X461" s="854"/>
      <c r="Y461" s="854"/>
      <c r="Z461" s="854"/>
      <c r="AA461" s="854"/>
      <c r="AB461" s="854"/>
      <c r="AC461" s="854"/>
      <c r="AD461" s="854"/>
      <c r="AE461" s="854"/>
      <c r="AF461" s="854"/>
      <c r="AG461" s="854"/>
      <c r="AH461" s="854"/>
      <c r="AI461" s="854"/>
      <c r="AJ461" s="854"/>
      <c r="AK461" s="854"/>
      <c r="AL461" s="854"/>
      <c r="AM461" s="854"/>
      <c r="AN461" s="854"/>
      <c r="AO461" s="854"/>
      <c r="AP461" s="854"/>
      <c r="AQ461" s="854"/>
      <c r="AR461" s="854"/>
      <c r="AS461" s="854"/>
      <c r="AT461" s="854"/>
      <c r="AU461" s="854"/>
      <c r="AV461" s="854"/>
      <c r="AW461" s="854"/>
      <c r="AX461" s="854"/>
      <c r="AY461" s="854"/>
      <c r="AZ461" s="854"/>
      <c r="BA461" s="854"/>
      <c r="BB461" s="854"/>
      <c r="BC461" s="854"/>
      <c r="BD461" s="854"/>
      <c r="BE461" s="854"/>
      <c r="BF461" s="854"/>
      <c r="BG461" s="854"/>
      <c r="BH461" s="854"/>
      <c r="BI461" s="854"/>
      <c r="BJ461" s="854"/>
      <c r="BK461" s="854"/>
      <c r="BL461" s="854"/>
      <c r="BM461" s="854"/>
      <c r="BN461" s="854"/>
      <c r="BO461" s="854"/>
      <c r="BP461" s="854"/>
      <c r="BQ461" s="854"/>
      <c r="BR461" s="854"/>
      <c r="BS461" s="854"/>
      <c r="BT461" s="854"/>
      <c r="BU461" s="854"/>
      <c r="BV461" s="854"/>
      <c r="BW461" s="854"/>
      <c r="BX461" s="854"/>
      <c r="BY461" s="854"/>
      <c r="BZ461" s="854"/>
      <c r="CA461" s="571">
        <f>IF(OR(I461="",I461&lt;'Configs &amp; Procedures'!$L$29),0,IF(I461&gt;'Configs &amp; Procedures'!$L$30,1,IF(F461&gt;'Configs &amp; Procedures'!$L$31,0,1)))</f>
        <v>0</v>
      </c>
    </row>
    <row r="462" spans="2:79">
      <c r="B462" s="854"/>
      <c r="C462" s="854"/>
      <c r="D462" s="854"/>
      <c r="E462" s="854"/>
      <c r="F462" s="854"/>
      <c r="G462" s="854"/>
      <c r="H462" s="854"/>
      <c r="I462" s="854"/>
      <c r="J462" s="854"/>
      <c r="K462" s="854"/>
      <c r="L462" s="854"/>
      <c r="M462" s="854"/>
      <c r="N462" s="854"/>
      <c r="O462" s="854"/>
      <c r="P462" s="854"/>
      <c r="Q462" s="854"/>
      <c r="R462" s="854"/>
      <c r="S462" s="854"/>
      <c r="T462" s="854"/>
      <c r="U462" s="854"/>
      <c r="V462" s="854"/>
      <c r="W462" s="854"/>
      <c r="X462" s="854"/>
      <c r="Y462" s="854"/>
      <c r="Z462" s="854"/>
      <c r="AA462" s="854"/>
      <c r="AB462" s="854"/>
      <c r="AC462" s="854"/>
      <c r="AD462" s="854"/>
      <c r="AE462" s="854"/>
      <c r="AF462" s="854"/>
      <c r="AG462" s="854"/>
      <c r="AH462" s="854"/>
      <c r="AI462" s="854"/>
      <c r="AJ462" s="854"/>
      <c r="AK462" s="854"/>
      <c r="AL462" s="854"/>
      <c r="AM462" s="854"/>
      <c r="AN462" s="854"/>
      <c r="AO462" s="854"/>
      <c r="AP462" s="854"/>
      <c r="AQ462" s="854"/>
      <c r="AR462" s="854"/>
      <c r="AS462" s="854"/>
      <c r="AT462" s="854"/>
      <c r="AU462" s="854"/>
      <c r="AV462" s="854"/>
      <c r="AW462" s="854"/>
      <c r="AX462" s="854"/>
      <c r="AY462" s="854"/>
      <c r="AZ462" s="854"/>
      <c r="BA462" s="854"/>
      <c r="BB462" s="854"/>
      <c r="BC462" s="854"/>
      <c r="BD462" s="854"/>
      <c r="BE462" s="854"/>
      <c r="BF462" s="854"/>
      <c r="BG462" s="854"/>
      <c r="BH462" s="854"/>
      <c r="BI462" s="854"/>
      <c r="BJ462" s="854"/>
      <c r="BK462" s="854"/>
      <c r="BL462" s="854"/>
      <c r="BM462" s="854"/>
      <c r="BN462" s="854"/>
      <c r="BO462" s="854"/>
      <c r="BP462" s="854"/>
      <c r="BQ462" s="854"/>
      <c r="BR462" s="854"/>
      <c r="BS462" s="854"/>
      <c r="BT462" s="854"/>
      <c r="BU462" s="854"/>
      <c r="BV462" s="854"/>
      <c r="BW462" s="854"/>
      <c r="BX462" s="854"/>
      <c r="BY462" s="854"/>
      <c r="BZ462" s="854"/>
      <c r="CA462" s="571">
        <f>IF(OR(I462="",I462&lt;'Configs &amp; Procedures'!$L$29),0,IF(I462&gt;'Configs &amp; Procedures'!$L$30,1,IF(F462&gt;'Configs &amp; Procedures'!$L$31,0,1)))</f>
        <v>0</v>
      </c>
    </row>
    <row r="463" spans="2:79">
      <c r="B463" s="854"/>
      <c r="C463" s="854"/>
      <c r="D463" s="854"/>
      <c r="E463" s="854"/>
      <c r="F463" s="854"/>
      <c r="G463" s="854"/>
      <c r="H463" s="854"/>
      <c r="I463" s="854"/>
      <c r="J463" s="854"/>
      <c r="K463" s="854"/>
      <c r="L463" s="854"/>
      <c r="M463" s="854"/>
      <c r="N463" s="854"/>
      <c r="O463" s="854"/>
      <c r="P463" s="854"/>
      <c r="Q463" s="854"/>
      <c r="R463" s="854"/>
      <c r="S463" s="854"/>
      <c r="T463" s="854"/>
      <c r="U463" s="854"/>
      <c r="V463" s="854"/>
      <c r="W463" s="854"/>
      <c r="X463" s="854"/>
      <c r="Y463" s="854"/>
      <c r="Z463" s="854"/>
      <c r="AA463" s="854"/>
      <c r="AB463" s="854"/>
      <c r="AC463" s="854"/>
      <c r="AD463" s="854"/>
      <c r="AE463" s="854"/>
      <c r="AF463" s="854"/>
      <c r="AG463" s="854"/>
      <c r="AH463" s="854"/>
      <c r="AI463" s="854"/>
      <c r="AJ463" s="854"/>
      <c r="AK463" s="854"/>
      <c r="AL463" s="854"/>
      <c r="AM463" s="854"/>
      <c r="AN463" s="854"/>
      <c r="AO463" s="854"/>
      <c r="AP463" s="854"/>
      <c r="AQ463" s="854"/>
      <c r="AR463" s="854"/>
      <c r="AS463" s="854"/>
      <c r="AT463" s="854"/>
      <c r="AU463" s="854"/>
      <c r="AV463" s="854"/>
      <c r="AW463" s="854"/>
      <c r="AX463" s="854"/>
      <c r="AY463" s="854"/>
      <c r="AZ463" s="854"/>
      <c r="BA463" s="854"/>
      <c r="BB463" s="854"/>
      <c r="BC463" s="854"/>
      <c r="BD463" s="854"/>
      <c r="BE463" s="854"/>
      <c r="BF463" s="854"/>
      <c r="BG463" s="854"/>
      <c r="BH463" s="854"/>
      <c r="BI463" s="854"/>
      <c r="BJ463" s="854"/>
      <c r="BK463" s="854"/>
      <c r="BL463" s="854"/>
      <c r="BM463" s="854"/>
      <c r="BN463" s="854"/>
      <c r="BO463" s="854"/>
      <c r="BP463" s="854"/>
      <c r="BQ463" s="854"/>
      <c r="BR463" s="854"/>
      <c r="BS463" s="854"/>
      <c r="BT463" s="854"/>
      <c r="BU463" s="854"/>
      <c r="BV463" s="854"/>
      <c r="BW463" s="854"/>
      <c r="BX463" s="854"/>
      <c r="BY463" s="854"/>
      <c r="BZ463" s="854"/>
      <c r="CA463" s="571">
        <f>IF(OR(I463="",I463&lt;'Configs &amp; Procedures'!$L$29),0,IF(I463&gt;'Configs &amp; Procedures'!$L$30,1,IF(F463&gt;'Configs &amp; Procedures'!$L$31,0,1)))</f>
        <v>0</v>
      </c>
    </row>
    <row r="464" spans="2:79">
      <c r="B464" s="854"/>
      <c r="C464" s="854"/>
      <c r="D464" s="854"/>
      <c r="E464" s="854"/>
      <c r="F464" s="854"/>
      <c r="G464" s="854"/>
      <c r="H464" s="854"/>
      <c r="I464" s="854"/>
      <c r="J464" s="854"/>
      <c r="K464" s="854"/>
      <c r="L464" s="854"/>
      <c r="M464" s="854"/>
      <c r="N464" s="854"/>
      <c r="O464" s="854"/>
      <c r="P464" s="854"/>
      <c r="Q464" s="854"/>
      <c r="R464" s="854"/>
      <c r="S464" s="854"/>
      <c r="T464" s="854"/>
      <c r="U464" s="854"/>
      <c r="V464" s="854"/>
      <c r="W464" s="854"/>
      <c r="X464" s="854"/>
      <c r="Y464" s="854"/>
      <c r="Z464" s="854"/>
      <c r="AA464" s="854"/>
      <c r="AB464" s="854"/>
      <c r="AC464" s="854"/>
      <c r="AD464" s="854"/>
      <c r="AE464" s="854"/>
      <c r="AF464" s="854"/>
      <c r="AG464" s="854"/>
      <c r="AH464" s="854"/>
      <c r="AI464" s="854"/>
      <c r="AJ464" s="854"/>
      <c r="AK464" s="854"/>
      <c r="AL464" s="854"/>
      <c r="AM464" s="854"/>
      <c r="AN464" s="854"/>
      <c r="AO464" s="854"/>
      <c r="AP464" s="854"/>
      <c r="AQ464" s="854"/>
      <c r="AR464" s="854"/>
      <c r="AS464" s="854"/>
      <c r="AT464" s="854"/>
      <c r="AU464" s="854"/>
      <c r="AV464" s="854"/>
      <c r="AW464" s="854"/>
      <c r="AX464" s="854"/>
      <c r="AY464" s="854"/>
      <c r="AZ464" s="854"/>
      <c r="BA464" s="854"/>
      <c r="BB464" s="854"/>
      <c r="BC464" s="854"/>
      <c r="BD464" s="854"/>
      <c r="BE464" s="854"/>
      <c r="BF464" s="854"/>
      <c r="BG464" s="854"/>
      <c r="BH464" s="854"/>
      <c r="BI464" s="854"/>
      <c r="BJ464" s="854"/>
      <c r="BK464" s="854"/>
      <c r="BL464" s="854"/>
      <c r="BM464" s="854"/>
      <c r="BN464" s="854"/>
      <c r="BO464" s="854"/>
      <c r="BP464" s="854"/>
      <c r="BQ464" s="854"/>
      <c r="BR464" s="854"/>
      <c r="BS464" s="854"/>
      <c r="BT464" s="854"/>
      <c r="BU464" s="854"/>
      <c r="BV464" s="854"/>
      <c r="BW464" s="854"/>
      <c r="BX464" s="854"/>
      <c r="BY464" s="854"/>
      <c r="BZ464" s="854"/>
      <c r="CA464" s="571">
        <f>IF(OR(I464="",I464&lt;'Configs &amp; Procedures'!$L$29),0,IF(I464&gt;'Configs &amp; Procedures'!$L$30,1,IF(F464&gt;'Configs &amp; Procedures'!$L$31,0,1)))</f>
        <v>0</v>
      </c>
    </row>
    <row r="465" spans="2:79">
      <c r="B465" s="854"/>
      <c r="C465" s="854"/>
      <c r="D465" s="854"/>
      <c r="E465" s="854"/>
      <c r="F465" s="854"/>
      <c r="G465" s="854"/>
      <c r="H465" s="854"/>
      <c r="I465" s="854"/>
      <c r="J465" s="854"/>
      <c r="K465" s="854"/>
      <c r="L465" s="854"/>
      <c r="M465" s="854"/>
      <c r="N465" s="854"/>
      <c r="O465" s="854"/>
      <c r="P465" s="854"/>
      <c r="Q465" s="854"/>
      <c r="R465" s="854"/>
      <c r="S465" s="854"/>
      <c r="T465" s="854"/>
      <c r="U465" s="854"/>
      <c r="V465" s="854"/>
      <c r="W465" s="854"/>
      <c r="X465" s="854"/>
      <c r="Y465" s="854"/>
      <c r="Z465" s="854"/>
      <c r="AA465" s="854"/>
      <c r="AB465" s="854"/>
      <c r="AC465" s="854"/>
      <c r="AD465" s="854"/>
      <c r="AE465" s="854"/>
      <c r="AF465" s="854"/>
      <c r="AG465" s="854"/>
      <c r="AH465" s="854"/>
      <c r="AI465" s="854"/>
      <c r="AJ465" s="854"/>
      <c r="AK465" s="854"/>
      <c r="AL465" s="854"/>
      <c r="AM465" s="854"/>
      <c r="AN465" s="854"/>
      <c r="AO465" s="854"/>
      <c r="AP465" s="854"/>
      <c r="AQ465" s="854"/>
      <c r="AR465" s="854"/>
      <c r="AS465" s="854"/>
      <c r="AT465" s="854"/>
      <c r="AU465" s="854"/>
      <c r="AV465" s="854"/>
      <c r="AW465" s="854"/>
      <c r="AX465" s="854"/>
      <c r="AY465" s="854"/>
      <c r="AZ465" s="854"/>
      <c r="BA465" s="854"/>
      <c r="BB465" s="854"/>
      <c r="BC465" s="854"/>
      <c r="BD465" s="854"/>
      <c r="BE465" s="854"/>
      <c r="BF465" s="854"/>
      <c r="BG465" s="854"/>
      <c r="BH465" s="854"/>
      <c r="BI465" s="854"/>
      <c r="BJ465" s="854"/>
      <c r="BK465" s="854"/>
      <c r="BL465" s="854"/>
      <c r="BM465" s="854"/>
      <c r="BN465" s="854"/>
      <c r="BO465" s="854"/>
      <c r="BP465" s="854"/>
      <c r="BQ465" s="854"/>
      <c r="BR465" s="854"/>
      <c r="BS465" s="854"/>
      <c r="BT465" s="854"/>
      <c r="BU465" s="854"/>
      <c r="BV465" s="854"/>
      <c r="BW465" s="854"/>
      <c r="BX465" s="854"/>
      <c r="BY465" s="854"/>
      <c r="BZ465" s="854"/>
      <c r="CA465" s="571">
        <f>IF(OR(I465="",I465&lt;'Configs &amp; Procedures'!$L$29),0,IF(I465&gt;'Configs &amp; Procedures'!$L$30,1,IF(F465&gt;'Configs &amp; Procedures'!$L$31,0,1)))</f>
        <v>0</v>
      </c>
    </row>
    <row r="466" spans="2:79">
      <c r="B466" s="854"/>
      <c r="C466" s="854"/>
      <c r="D466" s="854"/>
      <c r="E466" s="854"/>
      <c r="F466" s="854"/>
      <c r="G466" s="854"/>
      <c r="H466" s="854"/>
      <c r="I466" s="854"/>
      <c r="J466" s="854"/>
      <c r="K466" s="854"/>
      <c r="L466" s="854"/>
      <c r="M466" s="854"/>
      <c r="N466" s="854"/>
      <c r="O466" s="854"/>
      <c r="P466" s="854"/>
      <c r="Q466" s="854"/>
      <c r="R466" s="854"/>
      <c r="S466" s="854"/>
      <c r="T466" s="854"/>
      <c r="U466" s="854"/>
      <c r="V466" s="854"/>
      <c r="W466" s="854"/>
      <c r="X466" s="854"/>
      <c r="Y466" s="854"/>
      <c r="Z466" s="854"/>
      <c r="AA466" s="854"/>
      <c r="AB466" s="854"/>
      <c r="AC466" s="854"/>
      <c r="AD466" s="854"/>
      <c r="AE466" s="854"/>
      <c r="AF466" s="854"/>
      <c r="AG466" s="854"/>
      <c r="AH466" s="854"/>
      <c r="AI466" s="854"/>
      <c r="AJ466" s="854"/>
      <c r="AK466" s="854"/>
      <c r="AL466" s="854"/>
      <c r="AM466" s="854"/>
      <c r="AN466" s="854"/>
      <c r="AO466" s="854"/>
      <c r="AP466" s="854"/>
      <c r="AQ466" s="854"/>
      <c r="AR466" s="854"/>
      <c r="AS466" s="854"/>
      <c r="AT466" s="854"/>
      <c r="AU466" s="854"/>
      <c r="AV466" s="854"/>
      <c r="AW466" s="854"/>
      <c r="AX466" s="854"/>
      <c r="AY466" s="854"/>
      <c r="AZ466" s="854"/>
      <c r="BA466" s="854"/>
      <c r="BB466" s="854"/>
      <c r="BC466" s="854"/>
      <c r="BD466" s="854"/>
      <c r="BE466" s="854"/>
      <c r="BF466" s="854"/>
      <c r="BG466" s="854"/>
      <c r="BH466" s="854"/>
      <c r="BI466" s="854"/>
      <c r="BJ466" s="854"/>
      <c r="BK466" s="854"/>
      <c r="BL466" s="854"/>
      <c r="BM466" s="854"/>
      <c r="BN466" s="854"/>
      <c r="BO466" s="854"/>
      <c r="BP466" s="854"/>
      <c r="BQ466" s="854"/>
      <c r="BR466" s="854"/>
      <c r="BS466" s="854"/>
      <c r="BT466" s="854"/>
      <c r="BU466" s="854"/>
      <c r="BV466" s="854"/>
      <c r="BW466" s="854"/>
      <c r="BX466" s="854"/>
      <c r="BY466" s="854"/>
      <c r="BZ466" s="854"/>
      <c r="CA466" s="571">
        <f>IF(OR(I466="",I466&lt;'Configs &amp; Procedures'!$L$29),0,IF(I466&gt;'Configs &amp; Procedures'!$L$30,1,IF(F466&gt;'Configs &amp; Procedures'!$L$31,0,1)))</f>
        <v>0</v>
      </c>
    </row>
    <row r="467" spans="2:79">
      <c r="B467" s="854"/>
      <c r="C467" s="854"/>
      <c r="D467" s="854"/>
      <c r="E467" s="854"/>
      <c r="F467" s="854"/>
      <c r="G467" s="854"/>
      <c r="H467" s="854"/>
      <c r="I467" s="854"/>
      <c r="J467" s="854"/>
      <c r="K467" s="854"/>
      <c r="L467" s="854"/>
      <c r="M467" s="854"/>
      <c r="N467" s="854"/>
      <c r="O467" s="854"/>
      <c r="P467" s="854"/>
      <c r="Q467" s="854"/>
      <c r="R467" s="854"/>
      <c r="S467" s="854"/>
      <c r="T467" s="854"/>
      <c r="U467" s="854"/>
      <c r="V467" s="854"/>
      <c r="W467" s="854"/>
      <c r="X467" s="854"/>
      <c r="Y467" s="854"/>
      <c r="Z467" s="854"/>
      <c r="AA467" s="854"/>
      <c r="AB467" s="854"/>
      <c r="AC467" s="854"/>
      <c r="AD467" s="854"/>
      <c r="AE467" s="854"/>
      <c r="AF467" s="854"/>
      <c r="AG467" s="854"/>
      <c r="AH467" s="854"/>
      <c r="AI467" s="854"/>
      <c r="AJ467" s="854"/>
      <c r="AK467" s="854"/>
      <c r="AL467" s="854"/>
      <c r="AM467" s="854"/>
      <c r="AN467" s="854"/>
      <c r="AO467" s="854"/>
      <c r="AP467" s="854"/>
      <c r="AQ467" s="854"/>
      <c r="AR467" s="854"/>
      <c r="AS467" s="854"/>
      <c r="AT467" s="854"/>
      <c r="AU467" s="854"/>
      <c r="AV467" s="854"/>
      <c r="AW467" s="854"/>
      <c r="AX467" s="854"/>
      <c r="AY467" s="854"/>
      <c r="AZ467" s="854"/>
      <c r="BA467" s="854"/>
      <c r="BB467" s="854"/>
      <c r="BC467" s="854"/>
      <c r="BD467" s="854"/>
      <c r="BE467" s="854"/>
      <c r="BF467" s="854"/>
      <c r="BG467" s="854"/>
      <c r="BH467" s="854"/>
      <c r="BI467" s="854"/>
      <c r="BJ467" s="854"/>
      <c r="BK467" s="854"/>
      <c r="BL467" s="854"/>
      <c r="BM467" s="854"/>
      <c r="BN467" s="854"/>
      <c r="BO467" s="854"/>
      <c r="BP467" s="854"/>
      <c r="BQ467" s="854"/>
      <c r="BR467" s="854"/>
      <c r="BS467" s="854"/>
      <c r="BT467" s="854"/>
      <c r="BU467" s="854"/>
      <c r="BV467" s="854"/>
      <c r="BW467" s="854"/>
      <c r="BX467" s="854"/>
      <c r="BY467" s="854"/>
      <c r="BZ467" s="854"/>
      <c r="CA467" s="571">
        <f>IF(OR(I467="",I467&lt;'Configs &amp; Procedures'!$L$29),0,IF(I467&gt;'Configs &amp; Procedures'!$L$30,1,IF(F467&gt;'Configs &amp; Procedures'!$L$31,0,1)))</f>
        <v>0</v>
      </c>
    </row>
    <row r="468" spans="2:79">
      <c r="B468" s="854"/>
      <c r="C468" s="854"/>
      <c r="D468" s="854"/>
      <c r="E468" s="854"/>
      <c r="F468" s="854"/>
      <c r="G468" s="854"/>
      <c r="H468" s="854"/>
      <c r="I468" s="854"/>
      <c r="J468" s="854"/>
      <c r="K468" s="854"/>
      <c r="L468" s="854"/>
      <c r="M468" s="854"/>
      <c r="N468" s="854"/>
      <c r="O468" s="854"/>
      <c r="P468" s="854"/>
      <c r="Q468" s="854"/>
      <c r="R468" s="854"/>
      <c r="S468" s="854"/>
      <c r="T468" s="854"/>
      <c r="U468" s="854"/>
      <c r="V468" s="854"/>
      <c r="W468" s="854"/>
      <c r="X468" s="854"/>
      <c r="Y468" s="854"/>
      <c r="Z468" s="854"/>
      <c r="AA468" s="854"/>
      <c r="AB468" s="854"/>
      <c r="AC468" s="854"/>
      <c r="AD468" s="854"/>
      <c r="AE468" s="854"/>
      <c r="AF468" s="854"/>
      <c r="AG468" s="854"/>
      <c r="AH468" s="854"/>
      <c r="AI468" s="854"/>
      <c r="AJ468" s="854"/>
      <c r="AK468" s="854"/>
      <c r="AL468" s="854"/>
      <c r="AM468" s="854"/>
      <c r="AN468" s="854"/>
      <c r="AO468" s="854"/>
      <c r="AP468" s="854"/>
      <c r="AQ468" s="854"/>
      <c r="AR468" s="854"/>
      <c r="AS468" s="854"/>
      <c r="AT468" s="854"/>
      <c r="AU468" s="854"/>
      <c r="AV468" s="854"/>
      <c r="AW468" s="854"/>
      <c r="AX468" s="854"/>
      <c r="AY468" s="854"/>
      <c r="AZ468" s="854"/>
      <c r="BA468" s="854"/>
      <c r="BB468" s="854"/>
      <c r="BC468" s="854"/>
      <c r="BD468" s="854"/>
      <c r="BE468" s="854"/>
      <c r="BF468" s="854"/>
      <c r="BG468" s="854"/>
      <c r="BH468" s="854"/>
      <c r="BI468" s="854"/>
      <c r="BJ468" s="854"/>
      <c r="BK468" s="854"/>
      <c r="BL468" s="854"/>
      <c r="BM468" s="854"/>
      <c r="BN468" s="854"/>
      <c r="BO468" s="854"/>
      <c r="BP468" s="854"/>
      <c r="BQ468" s="854"/>
      <c r="BR468" s="854"/>
      <c r="BS468" s="854"/>
      <c r="BT468" s="854"/>
      <c r="BU468" s="854"/>
      <c r="BV468" s="854"/>
      <c r="BW468" s="854"/>
      <c r="BX468" s="854"/>
      <c r="BY468" s="854"/>
      <c r="BZ468" s="854"/>
      <c r="CA468" s="571">
        <f>IF(OR(I468="",I468&lt;'Configs &amp; Procedures'!$L$29),0,IF(I468&gt;'Configs &amp; Procedures'!$L$30,1,IF(F468&gt;'Configs &amp; Procedures'!$L$31,0,1)))</f>
        <v>0</v>
      </c>
    </row>
    <row r="469" spans="2:79">
      <c r="B469" s="854"/>
      <c r="C469" s="854"/>
      <c r="D469" s="854"/>
      <c r="E469" s="854"/>
      <c r="F469" s="854"/>
      <c r="G469" s="854"/>
      <c r="H469" s="854"/>
      <c r="I469" s="854"/>
      <c r="J469" s="854"/>
      <c r="K469" s="854"/>
      <c r="L469" s="854"/>
      <c r="M469" s="854"/>
      <c r="N469" s="854"/>
      <c r="O469" s="854"/>
      <c r="P469" s="854"/>
      <c r="Q469" s="854"/>
      <c r="R469" s="854"/>
      <c r="S469" s="854"/>
      <c r="T469" s="854"/>
      <c r="U469" s="854"/>
      <c r="V469" s="854"/>
      <c r="W469" s="854"/>
      <c r="X469" s="854"/>
      <c r="Y469" s="854"/>
      <c r="Z469" s="854"/>
      <c r="AA469" s="854"/>
      <c r="AB469" s="854"/>
      <c r="AC469" s="854"/>
      <c r="AD469" s="854"/>
      <c r="AE469" s="854"/>
      <c r="AF469" s="854"/>
      <c r="AG469" s="854"/>
      <c r="AH469" s="854"/>
      <c r="AI469" s="854"/>
      <c r="AJ469" s="854"/>
      <c r="AK469" s="854"/>
      <c r="AL469" s="854"/>
      <c r="AM469" s="854"/>
      <c r="AN469" s="854"/>
      <c r="AO469" s="854"/>
      <c r="AP469" s="854"/>
      <c r="AQ469" s="854"/>
      <c r="AR469" s="854"/>
      <c r="AS469" s="854"/>
      <c r="AT469" s="854"/>
      <c r="AU469" s="854"/>
      <c r="AV469" s="854"/>
      <c r="AW469" s="854"/>
      <c r="AX469" s="854"/>
      <c r="AY469" s="854"/>
      <c r="AZ469" s="854"/>
      <c r="BA469" s="854"/>
      <c r="BB469" s="854"/>
      <c r="BC469" s="854"/>
      <c r="BD469" s="854"/>
      <c r="BE469" s="854"/>
      <c r="BF469" s="854"/>
      <c r="BG469" s="854"/>
      <c r="BH469" s="854"/>
      <c r="BI469" s="854"/>
      <c r="BJ469" s="854"/>
      <c r="BK469" s="854"/>
      <c r="BL469" s="854"/>
      <c r="BM469" s="854"/>
      <c r="BN469" s="854"/>
      <c r="BO469" s="854"/>
      <c r="BP469" s="854"/>
      <c r="BQ469" s="854"/>
      <c r="BR469" s="854"/>
      <c r="BS469" s="854"/>
      <c r="BT469" s="854"/>
      <c r="BU469" s="854"/>
      <c r="BV469" s="854"/>
      <c r="BW469" s="854"/>
      <c r="BX469" s="854"/>
      <c r="BY469" s="854"/>
      <c r="BZ469" s="854"/>
      <c r="CA469" s="571">
        <f>IF(OR(I469="",I469&lt;'Configs &amp; Procedures'!$L$29),0,IF(I469&gt;'Configs &amp; Procedures'!$L$30,1,IF(F469&gt;'Configs &amp; Procedures'!$L$31,0,1)))</f>
        <v>0</v>
      </c>
    </row>
    <row r="470" spans="2:79">
      <c r="B470" s="854"/>
      <c r="C470" s="854"/>
      <c r="D470" s="854"/>
      <c r="E470" s="854"/>
      <c r="F470" s="854"/>
      <c r="G470" s="854"/>
      <c r="H470" s="854"/>
      <c r="I470" s="854"/>
      <c r="J470" s="854"/>
      <c r="K470" s="854"/>
      <c r="L470" s="854"/>
      <c r="M470" s="854"/>
      <c r="N470" s="854"/>
      <c r="O470" s="854"/>
      <c r="P470" s="854"/>
      <c r="Q470" s="854"/>
      <c r="R470" s="854"/>
      <c r="S470" s="854"/>
      <c r="T470" s="854"/>
      <c r="U470" s="854"/>
      <c r="V470" s="854"/>
      <c r="W470" s="854"/>
      <c r="X470" s="854"/>
      <c r="Y470" s="854"/>
      <c r="Z470" s="854"/>
      <c r="AA470" s="854"/>
      <c r="AB470" s="854"/>
      <c r="AC470" s="854"/>
      <c r="AD470" s="854"/>
      <c r="AE470" s="854"/>
      <c r="AF470" s="854"/>
      <c r="AG470" s="854"/>
      <c r="AH470" s="854"/>
      <c r="AI470" s="854"/>
      <c r="AJ470" s="854"/>
      <c r="AK470" s="854"/>
      <c r="AL470" s="854"/>
      <c r="AM470" s="854"/>
      <c r="AN470" s="854"/>
      <c r="AO470" s="854"/>
      <c r="AP470" s="854"/>
      <c r="AQ470" s="854"/>
      <c r="AR470" s="854"/>
      <c r="AS470" s="854"/>
      <c r="AT470" s="854"/>
      <c r="AU470" s="854"/>
      <c r="AV470" s="854"/>
      <c r="AW470" s="854"/>
      <c r="AX470" s="854"/>
      <c r="AY470" s="854"/>
      <c r="AZ470" s="854"/>
      <c r="BA470" s="854"/>
      <c r="BB470" s="854"/>
      <c r="BC470" s="854"/>
      <c r="BD470" s="854"/>
      <c r="BE470" s="854"/>
      <c r="BF470" s="854"/>
      <c r="BG470" s="854"/>
      <c r="BH470" s="854"/>
      <c r="BI470" s="854"/>
      <c r="BJ470" s="854"/>
      <c r="BK470" s="854"/>
      <c r="BL470" s="854"/>
      <c r="BM470" s="854"/>
      <c r="BN470" s="854"/>
      <c r="BO470" s="854"/>
      <c r="BP470" s="854"/>
      <c r="BQ470" s="854"/>
      <c r="BR470" s="854"/>
      <c r="BS470" s="854"/>
      <c r="BT470" s="854"/>
      <c r="BU470" s="854"/>
      <c r="BV470" s="854"/>
      <c r="BW470" s="854"/>
      <c r="BX470" s="854"/>
      <c r="BY470" s="854"/>
      <c r="BZ470" s="854"/>
      <c r="CA470" s="571">
        <f>IF(OR(I470="",I470&lt;'Configs &amp; Procedures'!$L$29),0,IF(I470&gt;'Configs &amp; Procedures'!$L$30,1,IF(F470&gt;'Configs &amp; Procedures'!$L$31,0,1)))</f>
        <v>0</v>
      </c>
    </row>
    <row r="471" spans="2:79">
      <c r="B471" s="854"/>
      <c r="C471" s="854"/>
      <c r="D471" s="854"/>
      <c r="E471" s="854"/>
      <c r="F471" s="854"/>
      <c r="G471" s="854"/>
      <c r="H471" s="854"/>
      <c r="I471" s="854"/>
      <c r="J471" s="854"/>
      <c r="K471" s="854"/>
      <c r="L471" s="854"/>
      <c r="M471" s="854"/>
      <c r="N471" s="854"/>
      <c r="O471" s="854"/>
      <c r="P471" s="854"/>
      <c r="Q471" s="854"/>
      <c r="R471" s="854"/>
      <c r="S471" s="854"/>
      <c r="T471" s="854"/>
      <c r="U471" s="854"/>
      <c r="V471" s="854"/>
      <c r="W471" s="854"/>
      <c r="X471" s="854"/>
      <c r="Y471" s="854"/>
      <c r="Z471" s="854"/>
      <c r="AA471" s="854"/>
      <c r="AB471" s="854"/>
      <c r="AC471" s="854"/>
      <c r="AD471" s="854"/>
      <c r="AE471" s="854"/>
      <c r="AF471" s="854"/>
      <c r="AG471" s="854"/>
      <c r="AH471" s="854"/>
      <c r="AI471" s="854"/>
      <c r="AJ471" s="854"/>
      <c r="AK471" s="854"/>
      <c r="AL471" s="854"/>
      <c r="AM471" s="854"/>
      <c r="AN471" s="854"/>
      <c r="AO471" s="854"/>
      <c r="AP471" s="854"/>
      <c r="AQ471" s="854"/>
      <c r="AR471" s="854"/>
      <c r="AS471" s="854"/>
      <c r="AT471" s="854"/>
      <c r="AU471" s="854"/>
      <c r="AV471" s="854"/>
      <c r="AW471" s="854"/>
      <c r="AX471" s="854"/>
      <c r="AY471" s="854"/>
      <c r="AZ471" s="854"/>
      <c r="BA471" s="854"/>
      <c r="BB471" s="854"/>
      <c r="BC471" s="854"/>
      <c r="BD471" s="854"/>
      <c r="BE471" s="854"/>
      <c r="BF471" s="854"/>
      <c r="BG471" s="854"/>
      <c r="BH471" s="854"/>
      <c r="BI471" s="854"/>
      <c r="BJ471" s="854"/>
      <c r="BK471" s="854"/>
      <c r="BL471" s="854"/>
      <c r="BM471" s="854"/>
      <c r="BN471" s="854"/>
      <c r="BO471" s="854"/>
      <c r="BP471" s="854"/>
      <c r="BQ471" s="854"/>
      <c r="BR471" s="854"/>
      <c r="BS471" s="854"/>
      <c r="BT471" s="854"/>
      <c r="BU471" s="854"/>
      <c r="BV471" s="854"/>
      <c r="BW471" s="854"/>
      <c r="BX471" s="854"/>
      <c r="BY471" s="854"/>
      <c r="BZ471" s="854"/>
      <c r="CA471" s="571">
        <f>IF(OR(I471="",I471&lt;'Configs &amp; Procedures'!$L$29),0,IF(I471&gt;'Configs &amp; Procedures'!$L$30,1,IF(F471&gt;'Configs &amp; Procedures'!$L$31,0,1)))</f>
        <v>0</v>
      </c>
    </row>
    <row r="472" spans="2:79">
      <c r="B472" s="854"/>
      <c r="C472" s="854"/>
      <c r="D472" s="854"/>
      <c r="E472" s="854"/>
      <c r="F472" s="854"/>
      <c r="G472" s="854"/>
      <c r="H472" s="854"/>
      <c r="I472" s="854"/>
      <c r="J472" s="854"/>
      <c r="K472" s="854"/>
      <c r="L472" s="854"/>
      <c r="M472" s="854"/>
      <c r="N472" s="854"/>
      <c r="O472" s="854"/>
      <c r="P472" s="854"/>
      <c r="Q472" s="854"/>
      <c r="R472" s="854"/>
      <c r="S472" s="854"/>
      <c r="T472" s="854"/>
      <c r="U472" s="854"/>
      <c r="V472" s="854"/>
      <c r="W472" s="854"/>
      <c r="X472" s="854"/>
      <c r="Y472" s="854"/>
      <c r="Z472" s="854"/>
      <c r="AA472" s="854"/>
      <c r="AB472" s="854"/>
      <c r="AC472" s="854"/>
      <c r="AD472" s="854"/>
      <c r="AE472" s="854"/>
      <c r="AF472" s="854"/>
      <c r="AG472" s="854"/>
      <c r="AH472" s="854"/>
      <c r="AI472" s="854"/>
      <c r="AJ472" s="854"/>
      <c r="AK472" s="854"/>
      <c r="AL472" s="854"/>
      <c r="AM472" s="854"/>
      <c r="AN472" s="854"/>
      <c r="AO472" s="854"/>
      <c r="AP472" s="854"/>
      <c r="AQ472" s="854"/>
      <c r="AR472" s="854"/>
      <c r="AS472" s="854"/>
      <c r="AT472" s="854"/>
      <c r="AU472" s="854"/>
      <c r="AV472" s="854"/>
      <c r="AW472" s="854"/>
      <c r="AX472" s="854"/>
      <c r="AY472" s="854"/>
      <c r="AZ472" s="854"/>
      <c r="BA472" s="854"/>
      <c r="BB472" s="854"/>
      <c r="BC472" s="854"/>
      <c r="BD472" s="854"/>
      <c r="BE472" s="854"/>
      <c r="BF472" s="854"/>
      <c r="BG472" s="854"/>
      <c r="BH472" s="854"/>
      <c r="BI472" s="854"/>
      <c r="BJ472" s="854"/>
      <c r="BK472" s="854"/>
      <c r="BL472" s="854"/>
      <c r="BM472" s="854"/>
      <c r="BN472" s="854"/>
      <c r="BO472" s="854"/>
      <c r="BP472" s="854"/>
      <c r="BQ472" s="854"/>
      <c r="BR472" s="854"/>
      <c r="BS472" s="854"/>
      <c r="BT472" s="854"/>
      <c r="BU472" s="854"/>
      <c r="BV472" s="854"/>
      <c r="BW472" s="854"/>
      <c r="BX472" s="854"/>
      <c r="BY472" s="854"/>
      <c r="BZ472" s="854"/>
      <c r="CA472" s="571">
        <f>IF(OR(I472="",I472&lt;'Configs &amp; Procedures'!$L$29),0,IF(I472&gt;'Configs &amp; Procedures'!$L$30,1,IF(F472&gt;'Configs &amp; Procedures'!$L$31,0,1)))</f>
        <v>0</v>
      </c>
    </row>
    <row r="473" spans="2:79">
      <c r="B473" s="854"/>
      <c r="C473" s="854"/>
      <c r="D473" s="854"/>
      <c r="E473" s="854"/>
      <c r="F473" s="854"/>
      <c r="G473" s="854"/>
      <c r="H473" s="854"/>
      <c r="I473" s="854"/>
      <c r="J473" s="854"/>
      <c r="K473" s="854"/>
      <c r="L473" s="854"/>
      <c r="M473" s="854"/>
      <c r="N473" s="854"/>
      <c r="O473" s="854"/>
      <c r="P473" s="854"/>
      <c r="Q473" s="854"/>
      <c r="R473" s="854"/>
      <c r="S473" s="854"/>
      <c r="T473" s="854"/>
      <c r="U473" s="854"/>
      <c r="V473" s="854"/>
      <c r="W473" s="854"/>
      <c r="X473" s="854"/>
      <c r="Y473" s="854"/>
      <c r="Z473" s="854"/>
      <c r="AA473" s="854"/>
      <c r="AB473" s="854"/>
      <c r="AC473" s="854"/>
      <c r="AD473" s="854"/>
      <c r="AE473" s="854"/>
      <c r="AF473" s="854"/>
      <c r="AG473" s="854"/>
      <c r="AH473" s="854"/>
      <c r="AI473" s="854"/>
      <c r="AJ473" s="854"/>
      <c r="AK473" s="854"/>
      <c r="AL473" s="854"/>
      <c r="AM473" s="854"/>
      <c r="AN473" s="854"/>
      <c r="AO473" s="854"/>
      <c r="AP473" s="854"/>
      <c r="AQ473" s="854"/>
      <c r="AR473" s="854"/>
      <c r="AS473" s="854"/>
      <c r="AT473" s="854"/>
      <c r="AU473" s="854"/>
      <c r="AV473" s="854"/>
      <c r="AW473" s="854"/>
      <c r="AX473" s="854"/>
      <c r="AY473" s="854"/>
      <c r="AZ473" s="854"/>
      <c r="BA473" s="854"/>
      <c r="BB473" s="854"/>
      <c r="BC473" s="854"/>
      <c r="BD473" s="854"/>
      <c r="BE473" s="854"/>
      <c r="BF473" s="854"/>
      <c r="BG473" s="854"/>
      <c r="BH473" s="854"/>
      <c r="BI473" s="854"/>
      <c r="BJ473" s="854"/>
      <c r="BK473" s="854"/>
      <c r="BL473" s="854"/>
      <c r="BM473" s="854"/>
      <c r="BN473" s="854"/>
      <c r="BO473" s="854"/>
      <c r="BP473" s="854"/>
      <c r="BQ473" s="854"/>
      <c r="BR473" s="854"/>
      <c r="BS473" s="854"/>
      <c r="BT473" s="854"/>
      <c r="BU473" s="854"/>
      <c r="BV473" s="854"/>
      <c r="BW473" s="854"/>
      <c r="BX473" s="854"/>
      <c r="BY473" s="854"/>
      <c r="BZ473" s="854"/>
      <c r="CA473" s="571">
        <f>IF(OR(I473="",I473&lt;'Configs &amp; Procedures'!$L$29),0,IF(I473&gt;'Configs &amp; Procedures'!$L$30,1,IF(F473&gt;'Configs &amp; Procedures'!$L$31,0,1)))</f>
        <v>0</v>
      </c>
    </row>
    <row r="474" spans="2:79">
      <c r="B474" s="854"/>
      <c r="C474" s="854"/>
      <c r="D474" s="854"/>
      <c r="E474" s="854"/>
      <c r="F474" s="854"/>
      <c r="G474" s="854"/>
      <c r="H474" s="854"/>
      <c r="I474" s="854"/>
      <c r="J474" s="854"/>
      <c r="K474" s="854"/>
      <c r="L474" s="854"/>
      <c r="M474" s="854"/>
      <c r="N474" s="854"/>
      <c r="O474" s="854"/>
      <c r="P474" s="854"/>
      <c r="Q474" s="854"/>
      <c r="R474" s="854"/>
      <c r="S474" s="854"/>
      <c r="T474" s="854"/>
      <c r="U474" s="854"/>
      <c r="V474" s="854"/>
      <c r="W474" s="854"/>
      <c r="X474" s="854"/>
      <c r="Y474" s="854"/>
      <c r="Z474" s="854"/>
      <c r="AA474" s="854"/>
      <c r="AB474" s="854"/>
      <c r="AC474" s="854"/>
      <c r="AD474" s="854"/>
      <c r="AE474" s="854"/>
      <c r="AF474" s="854"/>
      <c r="AG474" s="854"/>
      <c r="AH474" s="854"/>
      <c r="AI474" s="854"/>
      <c r="AJ474" s="854"/>
      <c r="AK474" s="854"/>
      <c r="AL474" s="854"/>
      <c r="AM474" s="854"/>
      <c r="AN474" s="854"/>
      <c r="AO474" s="854"/>
      <c r="AP474" s="854"/>
      <c r="AQ474" s="854"/>
      <c r="AR474" s="854"/>
      <c r="AS474" s="854"/>
      <c r="AT474" s="854"/>
      <c r="AU474" s="854"/>
      <c r="AV474" s="854"/>
      <c r="AW474" s="854"/>
      <c r="AX474" s="854"/>
      <c r="AY474" s="854"/>
      <c r="AZ474" s="854"/>
      <c r="BA474" s="854"/>
      <c r="BB474" s="854"/>
      <c r="BC474" s="854"/>
      <c r="BD474" s="854"/>
      <c r="BE474" s="854"/>
      <c r="BF474" s="854"/>
      <c r="BG474" s="854"/>
      <c r="BH474" s="854"/>
      <c r="BI474" s="854"/>
      <c r="BJ474" s="854"/>
      <c r="BK474" s="854"/>
      <c r="BL474" s="854"/>
      <c r="BM474" s="854"/>
      <c r="BN474" s="854"/>
      <c r="BO474" s="854"/>
      <c r="BP474" s="854"/>
      <c r="BQ474" s="854"/>
      <c r="BR474" s="854"/>
      <c r="BS474" s="854"/>
      <c r="BT474" s="854"/>
      <c r="BU474" s="854"/>
      <c r="BV474" s="854"/>
      <c r="BW474" s="854"/>
      <c r="BX474" s="854"/>
      <c r="BY474" s="854"/>
      <c r="BZ474" s="854"/>
      <c r="CA474" s="571">
        <f>IF(OR(I474="",I474&lt;'Configs &amp; Procedures'!$L$29),0,IF(I474&gt;'Configs &amp; Procedures'!$L$30,1,IF(F474&gt;'Configs &amp; Procedures'!$L$31,0,1)))</f>
        <v>0</v>
      </c>
    </row>
    <row r="475" spans="2:79">
      <c r="B475" s="854"/>
      <c r="C475" s="854"/>
      <c r="D475" s="854"/>
      <c r="E475" s="854"/>
      <c r="F475" s="854"/>
      <c r="G475" s="854"/>
      <c r="H475" s="854"/>
      <c r="I475" s="854"/>
      <c r="J475" s="854"/>
      <c r="K475" s="854"/>
      <c r="L475" s="854"/>
      <c r="M475" s="854"/>
      <c r="N475" s="854"/>
      <c r="O475" s="854"/>
      <c r="P475" s="854"/>
      <c r="Q475" s="854"/>
      <c r="R475" s="854"/>
      <c r="S475" s="854"/>
      <c r="T475" s="854"/>
      <c r="U475" s="854"/>
      <c r="V475" s="854"/>
      <c r="W475" s="854"/>
      <c r="X475" s="854"/>
      <c r="Y475" s="854"/>
      <c r="Z475" s="854"/>
      <c r="AA475" s="854"/>
      <c r="AB475" s="854"/>
      <c r="AC475" s="854"/>
      <c r="AD475" s="854"/>
      <c r="AE475" s="854"/>
      <c r="AF475" s="854"/>
      <c r="AG475" s="854"/>
      <c r="AH475" s="854"/>
      <c r="AI475" s="854"/>
      <c r="AJ475" s="854"/>
      <c r="AK475" s="854"/>
      <c r="AL475" s="854"/>
      <c r="AM475" s="854"/>
      <c r="AN475" s="854"/>
      <c r="AO475" s="854"/>
      <c r="AP475" s="854"/>
      <c r="AQ475" s="854"/>
      <c r="AR475" s="854"/>
      <c r="AS475" s="854"/>
      <c r="AT475" s="854"/>
      <c r="AU475" s="854"/>
      <c r="AV475" s="854"/>
      <c r="AW475" s="854"/>
      <c r="AX475" s="854"/>
      <c r="AY475" s="854"/>
      <c r="AZ475" s="854"/>
      <c r="BA475" s="854"/>
      <c r="BB475" s="854"/>
      <c r="BC475" s="854"/>
      <c r="BD475" s="854"/>
      <c r="BE475" s="854"/>
      <c r="BF475" s="854"/>
      <c r="BG475" s="854"/>
      <c r="BH475" s="854"/>
      <c r="BI475" s="854"/>
      <c r="BJ475" s="854"/>
      <c r="BK475" s="854"/>
      <c r="BL475" s="854"/>
      <c r="BM475" s="854"/>
      <c r="BN475" s="854"/>
      <c r="BO475" s="854"/>
      <c r="BP475" s="854"/>
      <c r="BQ475" s="854"/>
      <c r="BR475" s="854"/>
      <c r="BS475" s="854"/>
      <c r="BT475" s="854"/>
      <c r="BU475" s="854"/>
      <c r="BV475" s="854"/>
      <c r="BW475" s="854"/>
      <c r="BX475" s="854"/>
      <c r="BY475" s="854"/>
      <c r="BZ475" s="854"/>
      <c r="CA475" s="571">
        <f>IF(OR(I475="",I475&lt;'Configs &amp; Procedures'!$L$29),0,IF(I475&gt;'Configs &amp; Procedures'!$L$30,1,IF(F475&gt;'Configs &amp; Procedures'!$L$31,0,1)))</f>
        <v>0</v>
      </c>
    </row>
    <row r="476" spans="2:79">
      <c r="B476" s="854"/>
      <c r="C476" s="854"/>
      <c r="D476" s="854"/>
      <c r="E476" s="854"/>
      <c r="F476" s="854"/>
      <c r="G476" s="854"/>
      <c r="H476" s="854"/>
      <c r="I476" s="854"/>
      <c r="J476" s="854"/>
      <c r="K476" s="854"/>
      <c r="L476" s="854"/>
      <c r="M476" s="854"/>
      <c r="N476" s="854"/>
      <c r="O476" s="854"/>
      <c r="P476" s="854"/>
      <c r="Q476" s="854"/>
      <c r="R476" s="854"/>
      <c r="S476" s="854"/>
      <c r="T476" s="854"/>
      <c r="U476" s="854"/>
      <c r="V476" s="854"/>
      <c r="W476" s="854"/>
      <c r="X476" s="854"/>
      <c r="Y476" s="854"/>
      <c r="Z476" s="854"/>
      <c r="AA476" s="854"/>
      <c r="AB476" s="854"/>
      <c r="AC476" s="854"/>
      <c r="AD476" s="854"/>
      <c r="AE476" s="854"/>
      <c r="AF476" s="854"/>
      <c r="AG476" s="854"/>
      <c r="AH476" s="854"/>
      <c r="AI476" s="854"/>
      <c r="AJ476" s="854"/>
      <c r="AK476" s="854"/>
      <c r="AL476" s="854"/>
      <c r="AM476" s="854"/>
      <c r="AN476" s="854"/>
      <c r="AO476" s="854"/>
      <c r="AP476" s="854"/>
      <c r="AQ476" s="854"/>
      <c r="AR476" s="854"/>
      <c r="AS476" s="854"/>
      <c r="AT476" s="854"/>
      <c r="AU476" s="854"/>
      <c r="AV476" s="854"/>
      <c r="AW476" s="854"/>
      <c r="AX476" s="854"/>
      <c r="AY476" s="854"/>
      <c r="AZ476" s="854"/>
      <c r="BA476" s="854"/>
      <c r="BB476" s="854"/>
      <c r="BC476" s="854"/>
      <c r="BD476" s="854"/>
      <c r="BE476" s="854"/>
      <c r="BF476" s="854"/>
      <c r="BG476" s="854"/>
      <c r="BH476" s="854"/>
      <c r="BI476" s="854"/>
      <c r="BJ476" s="854"/>
      <c r="BK476" s="854"/>
      <c r="BL476" s="854"/>
      <c r="BM476" s="854"/>
      <c r="BN476" s="854"/>
      <c r="BO476" s="854"/>
      <c r="BP476" s="854"/>
      <c r="BQ476" s="854"/>
      <c r="BR476" s="854"/>
      <c r="BS476" s="854"/>
      <c r="BT476" s="854"/>
      <c r="BU476" s="854"/>
      <c r="BV476" s="854"/>
      <c r="BW476" s="854"/>
      <c r="BX476" s="854"/>
      <c r="BY476" s="854"/>
      <c r="BZ476" s="854"/>
      <c r="CA476" s="571">
        <f>IF(OR(I476="",I476&lt;'Configs &amp; Procedures'!$L$29),0,IF(I476&gt;'Configs &amp; Procedures'!$L$30,1,IF(F476&gt;'Configs &amp; Procedures'!$L$31,0,1)))</f>
        <v>0</v>
      </c>
    </row>
    <row r="477" spans="2:79">
      <c r="B477" s="854"/>
      <c r="C477" s="854"/>
      <c r="D477" s="854"/>
      <c r="E477" s="854"/>
      <c r="F477" s="854"/>
      <c r="G477" s="854"/>
      <c r="H477" s="854"/>
      <c r="I477" s="854"/>
      <c r="J477" s="854"/>
      <c r="K477" s="854"/>
      <c r="L477" s="854"/>
      <c r="M477" s="854"/>
      <c r="N477" s="854"/>
      <c r="O477" s="854"/>
      <c r="P477" s="854"/>
      <c r="Q477" s="854"/>
      <c r="R477" s="854"/>
      <c r="S477" s="854"/>
      <c r="T477" s="854"/>
      <c r="U477" s="854"/>
      <c r="V477" s="854"/>
      <c r="W477" s="854"/>
      <c r="X477" s="854"/>
      <c r="Y477" s="854"/>
      <c r="Z477" s="854"/>
      <c r="AA477" s="854"/>
      <c r="AB477" s="854"/>
      <c r="AC477" s="854"/>
      <c r="AD477" s="854"/>
      <c r="AE477" s="854"/>
      <c r="AF477" s="854"/>
      <c r="AG477" s="854"/>
      <c r="AH477" s="854"/>
      <c r="AI477" s="854"/>
      <c r="AJ477" s="854"/>
      <c r="AK477" s="854"/>
      <c r="AL477" s="854"/>
      <c r="AM477" s="854"/>
      <c r="AN477" s="854"/>
      <c r="AO477" s="854"/>
      <c r="AP477" s="854"/>
      <c r="AQ477" s="854"/>
      <c r="AR477" s="854"/>
      <c r="AS477" s="854"/>
      <c r="AT477" s="854"/>
      <c r="AU477" s="854"/>
      <c r="AV477" s="854"/>
      <c r="AW477" s="854"/>
      <c r="AX477" s="854"/>
      <c r="AY477" s="854"/>
      <c r="AZ477" s="854"/>
      <c r="BA477" s="854"/>
      <c r="BB477" s="854"/>
      <c r="BC477" s="854"/>
      <c r="BD477" s="854"/>
      <c r="BE477" s="854"/>
      <c r="BF477" s="854"/>
      <c r="BG477" s="854"/>
      <c r="BH477" s="854"/>
      <c r="BI477" s="854"/>
      <c r="BJ477" s="854"/>
      <c r="BK477" s="854"/>
      <c r="BL477" s="854"/>
      <c r="BM477" s="854"/>
      <c r="BN477" s="854"/>
      <c r="BO477" s="854"/>
      <c r="BP477" s="854"/>
      <c r="BQ477" s="854"/>
      <c r="BR477" s="854"/>
      <c r="BS477" s="854"/>
      <c r="BT477" s="854"/>
      <c r="BU477" s="854"/>
      <c r="BV477" s="854"/>
      <c r="BW477" s="854"/>
      <c r="BX477" s="854"/>
      <c r="BY477" s="854"/>
      <c r="BZ477" s="854"/>
      <c r="CA477" s="571">
        <f>IF(OR(I477="",I477&lt;'Configs &amp; Procedures'!$L$29),0,IF(I477&gt;'Configs &amp; Procedures'!$L$30,1,IF(F477&gt;'Configs &amp; Procedures'!$L$31,0,1)))</f>
        <v>0</v>
      </c>
    </row>
    <row r="478" spans="2:79">
      <c r="B478" s="854"/>
      <c r="C478" s="854"/>
      <c r="D478" s="854"/>
      <c r="E478" s="854"/>
      <c r="F478" s="854"/>
      <c r="G478" s="854"/>
      <c r="H478" s="854"/>
      <c r="I478" s="854"/>
      <c r="J478" s="854"/>
      <c r="K478" s="854"/>
      <c r="L478" s="854"/>
      <c r="M478" s="854"/>
      <c r="N478" s="854"/>
      <c r="O478" s="854"/>
      <c r="P478" s="854"/>
      <c r="Q478" s="854"/>
      <c r="R478" s="854"/>
      <c r="S478" s="854"/>
      <c r="T478" s="854"/>
      <c r="U478" s="854"/>
      <c r="V478" s="854"/>
      <c r="W478" s="854"/>
      <c r="X478" s="854"/>
      <c r="Y478" s="854"/>
      <c r="Z478" s="854"/>
      <c r="AA478" s="854"/>
      <c r="AB478" s="854"/>
      <c r="AC478" s="854"/>
      <c r="AD478" s="854"/>
      <c r="AE478" s="854"/>
      <c r="AF478" s="854"/>
      <c r="AG478" s="854"/>
      <c r="AH478" s="854"/>
      <c r="AI478" s="854"/>
      <c r="AJ478" s="854"/>
      <c r="AK478" s="854"/>
      <c r="AL478" s="854"/>
      <c r="AM478" s="854"/>
      <c r="AN478" s="854"/>
      <c r="AO478" s="854"/>
      <c r="AP478" s="854"/>
      <c r="AQ478" s="854"/>
      <c r="AR478" s="854"/>
      <c r="AS478" s="854"/>
      <c r="AT478" s="854"/>
      <c r="AU478" s="854"/>
      <c r="AV478" s="854"/>
      <c r="AW478" s="854"/>
      <c r="AX478" s="854"/>
      <c r="AY478" s="854"/>
      <c r="AZ478" s="854"/>
      <c r="BA478" s="854"/>
      <c r="BB478" s="854"/>
      <c r="BC478" s="854"/>
      <c r="BD478" s="854"/>
      <c r="BE478" s="854"/>
      <c r="BF478" s="854"/>
      <c r="BG478" s="854"/>
      <c r="BH478" s="854"/>
      <c r="BI478" s="854"/>
      <c r="BJ478" s="854"/>
      <c r="BK478" s="854"/>
      <c r="BL478" s="854"/>
      <c r="BM478" s="854"/>
      <c r="BN478" s="854"/>
      <c r="BO478" s="854"/>
      <c r="BP478" s="854"/>
      <c r="BQ478" s="854"/>
      <c r="BR478" s="854"/>
      <c r="BS478" s="854"/>
      <c r="BT478" s="854"/>
      <c r="BU478" s="854"/>
      <c r="BV478" s="854"/>
      <c r="BW478" s="854"/>
      <c r="BX478" s="854"/>
      <c r="BY478" s="854"/>
      <c r="BZ478" s="854"/>
      <c r="CA478" s="571">
        <f>IF(OR(I478="",I478&lt;'Configs &amp; Procedures'!$L$29),0,IF(I478&gt;'Configs &amp; Procedures'!$L$30,1,IF(F478&gt;'Configs &amp; Procedures'!$L$31,0,1)))</f>
        <v>0</v>
      </c>
    </row>
    <row r="479" spans="2:79">
      <c r="B479" s="854"/>
      <c r="C479" s="854"/>
      <c r="D479" s="854"/>
      <c r="E479" s="854"/>
      <c r="F479" s="854"/>
      <c r="G479" s="854"/>
      <c r="H479" s="854"/>
      <c r="I479" s="854"/>
      <c r="J479" s="854"/>
      <c r="K479" s="854"/>
      <c r="L479" s="854"/>
      <c r="M479" s="854"/>
      <c r="N479" s="854"/>
      <c r="O479" s="854"/>
      <c r="P479" s="854"/>
      <c r="Q479" s="854"/>
      <c r="R479" s="854"/>
      <c r="S479" s="854"/>
      <c r="T479" s="854"/>
      <c r="U479" s="854"/>
      <c r="V479" s="854"/>
      <c r="W479" s="854"/>
      <c r="X479" s="854"/>
      <c r="Y479" s="854"/>
      <c r="Z479" s="854"/>
      <c r="AA479" s="854"/>
      <c r="AB479" s="854"/>
      <c r="AC479" s="854"/>
      <c r="AD479" s="854"/>
      <c r="AE479" s="854"/>
      <c r="AF479" s="854"/>
      <c r="AG479" s="854"/>
      <c r="AH479" s="854"/>
      <c r="AI479" s="854"/>
      <c r="AJ479" s="854"/>
      <c r="AK479" s="854"/>
      <c r="AL479" s="854"/>
      <c r="AM479" s="854"/>
      <c r="AN479" s="854"/>
      <c r="AO479" s="854"/>
      <c r="AP479" s="854"/>
      <c r="AQ479" s="854"/>
      <c r="AR479" s="854"/>
      <c r="AS479" s="854"/>
      <c r="AT479" s="854"/>
      <c r="AU479" s="854"/>
      <c r="AV479" s="854"/>
      <c r="AW479" s="854"/>
      <c r="AX479" s="854"/>
      <c r="AY479" s="854"/>
      <c r="AZ479" s="854"/>
      <c r="BA479" s="854"/>
      <c r="BB479" s="854"/>
      <c r="BC479" s="854"/>
      <c r="BD479" s="854"/>
      <c r="BE479" s="854"/>
      <c r="BF479" s="854"/>
      <c r="BG479" s="854"/>
      <c r="BH479" s="854"/>
      <c r="BI479" s="854"/>
      <c r="BJ479" s="854"/>
      <c r="BK479" s="854"/>
      <c r="BL479" s="854"/>
      <c r="BM479" s="854"/>
      <c r="BN479" s="854"/>
      <c r="BO479" s="854"/>
      <c r="BP479" s="854"/>
      <c r="BQ479" s="854"/>
      <c r="BR479" s="854"/>
      <c r="BS479" s="854"/>
      <c r="BT479" s="854"/>
      <c r="BU479" s="854"/>
      <c r="BV479" s="854"/>
      <c r="BW479" s="854"/>
      <c r="BX479" s="854"/>
      <c r="BY479" s="854"/>
      <c r="BZ479" s="854"/>
      <c r="CA479" s="571">
        <f>IF(OR(I479="",I479&lt;'Configs &amp; Procedures'!$L$29),0,IF(I479&gt;'Configs &amp; Procedures'!$L$30,1,IF(F479&gt;'Configs &amp; Procedures'!$L$31,0,1)))</f>
        <v>0</v>
      </c>
    </row>
    <row r="480" spans="2:79">
      <c r="B480" s="854"/>
      <c r="C480" s="854"/>
      <c r="D480" s="854"/>
      <c r="E480" s="854"/>
      <c r="F480" s="854"/>
      <c r="G480" s="854"/>
      <c r="H480" s="854"/>
      <c r="I480" s="854"/>
      <c r="J480" s="854"/>
      <c r="K480" s="854"/>
      <c r="L480" s="854"/>
      <c r="M480" s="854"/>
      <c r="N480" s="854"/>
      <c r="O480" s="854"/>
      <c r="P480" s="854"/>
      <c r="Q480" s="854"/>
      <c r="R480" s="854"/>
      <c r="S480" s="854"/>
      <c r="T480" s="854"/>
      <c r="U480" s="854"/>
      <c r="V480" s="854"/>
      <c r="W480" s="854"/>
      <c r="X480" s="854"/>
      <c r="Y480" s="854"/>
      <c r="Z480" s="854"/>
      <c r="AA480" s="854"/>
      <c r="AB480" s="854"/>
      <c r="AC480" s="854"/>
      <c r="AD480" s="854"/>
      <c r="AE480" s="854"/>
      <c r="AF480" s="854"/>
      <c r="AG480" s="854"/>
      <c r="AH480" s="854"/>
      <c r="AI480" s="854"/>
      <c r="AJ480" s="854"/>
      <c r="AK480" s="854"/>
      <c r="AL480" s="854"/>
      <c r="AM480" s="854"/>
      <c r="AN480" s="854"/>
      <c r="AO480" s="854"/>
      <c r="AP480" s="854"/>
      <c r="AQ480" s="854"/>
      <c r="AR480" s="854"/>
      <c r="AS480" s="854"/>
      <c r="AT480" s="854"/>
      <c r="AU480" s="854"/>
      <c r="AV480" s="854"/>
      <c r="AW480" s="854"/>
      <c r="AX480" s="854"/>
      <c r="AY480" s="854"/>
      <c r="AZ480" s="854"/>
      <c r="BA480" s="854"/>
      <c r="BB480" s="854"/>
      <c r="BC480" s="854"/>
      <c r="BD480" s="854"/>
      <c r="BE480" s="854"/>
      <c r="BF480" s="854"/>
      <c r="BG480" s="854"/>
      <c r="BH480" s="854"/>
      <c r="BI480" s="854"/>
      <c r="BJ480" s="854"/>
      <c r="BK480" s="854"/>
      <c r="BL480" s="854"/>
      <c r="BM480" s="854"/>
      <c r="BN480" s="854"/>
      <c r="BO480" s="854"/>
      <c r="BP480" s="854"/>
      <c r="BQ480" s="854"/>
      <c r="BR480" s="854"/>
      <c r="BS480" s="854"/>
      <c r="BT480" s="854"/>
      <c r="BU480" s="854"/>
      <c r="BV480" s="854"/>
      <c r="BW480" s="854"/>
      <c r="BX480" s="854"/>
      <c r="BY480" s="854"/>
      <c r="BZ480" s="854"/>
      <c r="CA480" s="571">
        <f>IF(OR(I480="",I480&lt;'Configs &amp; Procedures'!$L$29),0,IF(I480&gt;'Configs &amp; Procedures'!$L$30,1,IF(F480&gt;'Configs &amp; Procedures'!$L$31,0,1)))</f>
        <v>0</v>
      </c>
    </row>
    <row r="481" spans="2:79">
      <c r="B481" s="854"/>
      <c r="C481" s="854"/>
      <c r="D481" s="854"/>
      <c r="E481" s="854"/>
      <c r="F481" s="854"/>
      <c r="G481" s="854"/>
      <c r="H481" s="854"/>
      <c r="I481" s="854"/>
      <c r="J481" s="854"/>
      <c r="K481" s="854"/>
      <c r="L481" s="854"/>
      <c r="M481" s="854"/>
      <c r="N481" s="854"/>
      <c r="O481" s="854"/>
      <c r="P481" s="854"/>
      <c r="Q481" s="854"/>
      <c r="R481" s="854"/>
      <c r="S481" s="854"/>
      <c r="T481" s="854"/>
      <c r="U481" s="854"/>
      <c r="V481" s="854"/>
      <c r="W481" s="854"/>
      <c r="X481" s="854"/>
      <c r="Y481" s="854"/>
      <c r="Z481" s="854"/>
      <c r="AA481" s="854"/>
      <c r="AB481" s="854"/>
      <c r="AC481" s="854"/>
      <c r="AD481" s="854"/>
      <c r="AE481" s="854"/>
      <c r="AF481" s="854"/>
      <c r="AG481" s="854"/>
      <c r="AH481" s="854"/>
      <c r="AI481" s="854"/>
      <c r="AJ481" s="854"/>
      <c r="AK481" s="854"/>
      <c r="AL481" s="854"/>
      <c r="AM481" s="854"/>
      <c r="AN481" s="854"/>
      <c r="AO481" s="854"/>
      <c r="AP481" s="854"/>
      <c r="AQ481" s="854"/>
      <c r="AR481" s="854"/>
      <c r="AS481" s="854"/>
      <c r="AT481" s="854"/>
      <c r="AU481" s="854"/>
      <c r="AV481" s="854"/>
      <c r="AW481" s="854"/>
      <c r="AX481" s="854"/>
      <c r="AY481" s="854"/>
      <c r="AZ481" s="854"/>
      <c r="BA481" s="854"/>
      <c r="BB481" s="854"/>
      <c r="BC481" s="854"/>
      <c r="BD481" s="854"/>
      <c r="BE481" s="854"/>
      <c r="BF481" s="854"/>
      <c r="BG481" s="854"/>
      <c r="BH481" s="854"/>
      <c r="BI481" s="854"/>
      <c r="BJ481" s="854"/>
      <c r="BK481" s="854"/>
      <c r="BL481" s="854"/>
      <c r="BM481" s="854"/>
      <c r="BN481" s="854"/>
      <c r="BO481" s="854"/>
      <c r="BP481" s="854"/>
      <c r="BQ481" s="854"/>
      <c r="BR481" s="854"/>
      <c r="BS481" s="854"/>
      <c r="BT481" s="854"/>
      <c r="BU481" s="854"/>
      <c r="BV481" s="854"/>
      <c r="BW481" s="854"/>
      <c r="BX481" s="854"/>
      <c r="BY481" s="854"/>
      <c r="BZ481" s="854"/>
      <c r="CA481" s="571">
        <f>IF(OR(I481="",I481&lt;'Configs &amp; Procedures'!$L$29),0,IF(I481&gt;'Configs &amp; Procedures'!$L$30,1,IF(F481&gt;'Configs &amp; Procedures'!$L$31,0,1)))</f>
        <v>0</v>
      </c>
    </row>
    <row r="482" spans="2:79">
      <c r="B482" s="854"/>
      <c r="C482" s="854"/>
      <c r="D482" s="854"/>
      <c r="E482" s="854"/>
      <c r="F482" s="854"/>
      <c r="G482" s="854"/>
      <c r="H482" s="854"/>
      <c r="I482" s="854"/>
      <c r="J482" s="854"/>
      <c r="K482" s="854"/>
      <c r="L482" s="854"/>
      <c r="M482" s="854"/>
      <c r="N482" s="854"/>
      <c r="O482" s="854"/>
      <c r="P482" s="854"/>
      <c r="Q482" s="854"/>
      <c r="R482" s="854"/>
      <c r="S482" s="854"/>
      <c r="T482" s="854"/>
      <c r="U482" s="854"/>
      <c r="V482" s="854"/>
      <c r="W482" s="854"/>
      <c r="X482" s="854"/>
      <c r="Y482" s="854"/>
      <c r="Z482" s="854"/>
      <c r="AA482" s="854"/>
      <c r="AB482" s="854"/>
      <c r="AC482" s="854"/>
      <c r="AD482" s="854"/>
      <c r="AE482" s="854"/>
      <c r="AF482" s="854"/>
      <c r="AG482" s="854"/>
      <c r="AH482" s="854"/>
      <c r="AI482" s="854"/>
      <c r="AJ482" s="854"/>
      <c r="AK482" s="854"/>
      <c r="AL482" s="854"/>
      <c r="AM482" s="854"/>
      <c r="AN482" s="854"/>
      <c r="AO482" s="854"/>
      <c r="AP482" s="854"/>
      <c r="AQ482" s="854"/>
      <c r="AR482" s="854"/>
      <c r="AS482" s="854"/>
      <c r="AT482" s="854"/>
      <c r="AU482" s="854"/>
      <c r="AV482" s="854"/>
      <c r="AW482" s="854"/>
      <c r="AX482" s="854"/>
      <c r="AY482" s="854"/>
      <c r="AZ482" s="854"/>
      <c r="BA482" s="854"/>
      <c r="BB482" s="854"/>
      <c r="BC482" s="854"/>
      <c r="BD482" s="854"/>
      <c r="BE482" s="854"/>
      <c r="BF482" s="854"/>
      <c r="BG482" s="854"/>
      <c r="BH482" s="854"/>
      <c r="BI482" s="854"/>
      <c r="BJ482" s="854"/>
      <c r="BK482" s="854"/>
      <c r="BL482" s="854"/>
      <c r="BM482" s="854"/>
      <c r="BN482" s="854"/>
      <c r="BO482" s="854"/>
      <c r="BP482" s="854"/>
      <c r="BQ482" s="854"/>
      <c r="BR482" s="854"/>
      <c r="BS482" s="854"/>
      <c r="BT482" s="854"/>
      <c r="BU482" s="854"/>
      <c r="BV482" s="854"/>
      <c r="BW482" s="854"/>
      <c r="BX482" s="854"/>
      <c r="BY482" s="854"/>
      <c r="BZ482" s="854"/>
      <c r="CA482" s="571">
        <f>IF(OR(I482="",I482&lt;'Configs &amp; Procedures'!$L$29),0,IF(I482&gt;'Configs &amp; Procedures'!$L$30,1,IF(F482&gt;'Configs &amp; Procedures'!$L$31,0,1)))</f>
        <v>0</v>
      </c>
    </row>
    <row r="483" spans="2:79">
      <c r="B483" s="854"/>
      <c r="C483" s="854"/>
      <c r="D483" s="854"/>
      <c r="E483" s="854"/>
      <c r="F483" s="854"/>
      <c r="G483" s="854"/>
      <c r="H483" s="854"/>
      <c r="I483" s="854"/>
      <c r="J483" s="854"/>
      <c r="K483" s="854"/>
      <c r="L483" s="854"/>
      <c r="M483" s="854"/>
      <c r="N483" s="854"/>
      <c r="O483" s="854"/>
      <c r="P483" s="854"/>
      <c r="Q483" s="854"/>
      <c r="R483" s="854"/>
      <c r="S483" s="854"/>
      <c r="T483" s="854"/>
      <c r="U483" s="854"/>
      <c r="V483" s="854"/>
      <c r="W483" s="854"/>
      <c r="X483" s="854"/>
      <c r="Y483" s="854"/>
      <c r="Z483" s="854"/>
      <c r="AA483" s="854"/>
      <c r="AB483" s="854"/>
      <c r="AC483" s="854"/>
      <c r="AD483" s="854"/>
      <c r="AE483" s="854"/>
      <c r="AF483" s="854"/>
      <c r="AG483" s="854"/>
      <c r="AH483" s="854"/>
      <c r="AI483" s="854"/>
      <c r="AJ483" s="854"/>
      <c r="AK483" s="854"/>
      <c r="AL483" s="854"/>
      <c r="AM483" s="854"/>
      <c r="AN483" s="854"/>
      <c r="AO483" s="854"/>
      <c r="AP483" s="854"/>
      <c r="AQ483" s="854"/>
      <c r="AR483" s="854"/>
      <c r="AS483" s="854"/>
      <c r="AT483" s="854"/>
      <c r="AU483" s="854"/>
      <c r="AV483" s="854"/>
      <c r="AW483" s="854"/>
      <c r="AX483" s="854"/>
      <c r="AY483" s="854"/>
      <c r="AZ483" s="854"/>
      <c r="BA483" s="854"/>
      <c r="BB483" s="854"/>
      <c r="BC483" s="854"/>
      <c r="BD483" s="854"/>
      <c r="BE483" s="854"/>
      <c r="BF483" s="854"/>
      <c r="BG483" s="854"/>
      <c r="BH483" s="854"/>
      <c r="BI483" s="854"/>
      <c r="BJ483" s="854"/>
      <c r="BK483" s="854"/>
      <c r="BL483" s="854"/>
      <c r="BM483" s="854"/>
      <c r="BN483" s="854"/>
      <c r="BO483" s="854"/>
      <c r="BP483" s="854"/>
      <c r="BQ483" s="854"/>
      <c r="BR483" s="854"/>
      <c r="BS483" s="854"/>
      <c r="BT483" s="854"/>
      <c r="BU483" s="854"/>
      <c r="BV483" s="854"/>
      <c r="BW483" s="854"/>
      <c r="BX483" s="854"/>
      <c r="BY483" s="854"/>
      <c r="BZ483" s="854"/>
      <c r="CA483" s="571">
        <f>IF(OR(I483="",I483&lt;'Configs &amp; Procedures'!$L$29),0,IF(I483&gt;'Configs &amp; Procedures'!$L$30,1,IF(F483&gt;'Configs &amp; Procedures'!$L$31,0,1)))</f>
        <v>0</v>
      </c>
    </row>
    <row r="484" spans="2:79">
      <c r="B484" s="854"/>
      <c r="C484" s="854"/>
      <c r="D484" s="854"/>
      <c r="E484" s="854"/>
      <c r="F484" s="854"/>
      <c r="G484" s="854"/>
      <c r="H484" s="854"/>
      <c r="I484" s="854"/>
      <c r="J484" s="854"/>
      <c r="K484" s="854"/>
      <c r="L484" s="854"/>
      <c r="M484" s="854"/>
      <c r="N484" s="854"/>
      <c r="O484" s="854"/>
      <c r="P484" s="854"/>
      <c r="Q484" s="854"/>
      <c r="R484" s="854"/>
      <c r="S484" s="854"/>
      <c r="T484" s="854"/>
      <c r="U484" s="854"/>
      <c r="V484" s="854"/>
      <c r="W484" s="854"/>
      <c r="X484" s="854"/>
      <c r="Y484" s="854"/>
      <c r="Z484" s="854"/>
      <c r="AA484" s="854"/>
      <c r="AB484" s="854"/>
      <c r="AC484" s="854"/>
      <c r="AD484" s="854"/>
      <c r="AE484" s="854"/>
      <c r="AF484" s="854"/>
      <c r="AG484" s="854"/>
      <c r="AH484" s="854"/>
      <c r="AI484" s="854"/>
      <c r="AJ484" s="854"/>
      <c r="AK484" s="854"/>
      <c r="AL484" s="854"/>
      <c r="AM484" s="854"/>
      <c r="AN484" s="854"/>
      <c r="AO484" s="854"/>
      <c r="AP484" s="854"/>
      <c r="AQ484" s="854"/>
      <c r="AR484" s="854"/>
      <c r="AS484" s="854"/>
      <c r="AT484" s="854"/>
      <c r="AU484" s="854"/>
      <c r="AV484" s="854"/>
      <c r="AW484" s="854"/>
      <c r="AX484" s="854"/>
      <c r="AY484" s="854"/>
      <c r="AZ484" s="854"/>
      <c r="BA484" s="854"/>
      <c r="BB484" s="854"/>
      <c r="BC484" s="854"/>
      <c r="BD484" s="854"/>
      <c r="BE484" s="854"/>
      <c r="BF484" s="854"/>
      <c r="BG484" s="854"/>
      <c r="BH484" s="854"/>
      <c r="BI484" s="854"/>
      <c r="BJ484" s="854"/>
      <c r="BK484" s="854"/>
      <c r="BL484" s="854"/>
      <c r="BM484" s="854"/>
      <c r="BN484" s="854"/>
      <c r="BO484" s="854"/>
      <c r="BP484" s="854"/>
      <c r="BQ484" s="854"/>
      <c r="BR484" s="854"/>
      <c r="BS484" s="854"/>
      <c r="BT484" s="854"/>
      <c r="BU484" s="854"/>
      <c r="BV484" s="854"/>
      <c r="BW484" s="854"/>
      <c r="BX484" s="854"/>
      <c r="BY484" s="854"/>
      <c r="BZ484" s="854"/>
      <c r="CA484" s="571">
        <f>IF(OR(I484="",I484&lt;'Configs &amp; Procedures'!$L$29),0,IF(I484&gt;'Configs &amp; Procedures'!$L$30,1,IF(F484&gt;'Configs &amp; Procedures'!$L$31,0,1)))</f>
        <v>0</v>
      </c>
    </row>
    <row r="485" spans="2:79">
      <c r="B485" s="854"/>
      <c r="C485" s="854"/>
      <c r="D485" s="854"/>
      <c r="E485" s="854"/>
      <c r="F485" s="854"/>
      <c r="G485" s="854"/>
      <c r="H485" s="854"/>
      <c r="I485" s="854"/>
      <c r="J485" s="854"/>
      <c r="K485" s="854"/>
      <c r="L485" s="854"/>
      <c r="M485" s="854"/>
      <c r="N485" s="854"/>
      <c r="O485" s="854"/>
      <c r="P485" s="854"/>
      <c r="Q485" s="854"/>
      <c r="R485" s="854"/>
      <c r="S485" s="854"/>
      <c r="T485" s="854"/>
      <c r="U485" s="854"/>
      <c r="V485" s="854"/>
      <c r="W485" s="854"/>
      <c r="X485" s="854"/>
      <c r="Y485" s="854"/>
      <c r="Z485" s="854"/>
      <c r="AA485" s="854"/>
      <c r="AB485" s="854"/>
      <c r="AC485" s="854"/>
      <c r="AD485" s="854"/>
      <c r="AE485" s="854"/>
      <c r="AF485" s="854"/>
      <c r="AG485" s="854"/>
      <c r="AH485" s="854"/>
      <c r="AI485" s="854"/>
      <c r="AJ485" s="854"/>
      <c r="AK485" s="854"/>
      <c r="AL485" s="854"/>
      <c r="AM485" s="854"/>
      <c r="AN485" s="854"/>
      <c r="AO485" s="854"/>
      <c r="AP485" s="854"/>
      <c r="AQ485" s="854"/>
      <c r="AR485" s="854"/>
      <c r="AS485" s="854"/>
      <c r="AT485" s="854"/>
      <c r="AU485" s="854"/>
      <c r="AV485" s="854"/>
      <c r="AW485" s="854"/>
      <c r="AX485" s="854"/>
      <c r="AY485" s="854"/>
      <c r="AZ485" s="854"/>
      <c r="BA485" s="854"/>
      <c r="BB485" s="854"/>
      <c r="BC485" s="854"/>
      <c r="BD485" s="854"/>
      <c r="BE485" s="854"/>
      <c r="BF485" s="854"/>
      <c r="BG485" s="854"/>
      <c r="BH485" s="854"/>
      <c r="BI485" s="854"/>
      <c r="BJ485" s="854"/>
      <c r="BK485" s="854"/>
      <c r="BL485" s="854"/>
      <c r="BM485" s="854"/>
      <c r="BN485" s="854"/>
      <c r="BO485" s="854"/>
      <c r="BP485" s="854"/>
      <c r="BQ485" s="854"/>
      <c r="BR485" s="854"/>
      <c r="BS485" s="854"/>
      <c r="BT485" s="854"/>
      <c r="BU485" s="854"/>
      <c r="BV485" s="854"/>
      <c r="BW485" s="854"/>
      <c r="BX485" s="854"/>
      <c r="BY485" s="854"/>
      <c r="BZ485" s="854"/>
      <c r="CA485" s="571">
        <f>IF(OR(I485="",I485&lt;'Configs &amp; Procedures'!$L$29),0,IF(I485&gt;'Configs &amp; Procedures'!$L$30,1,IF(F485&gt;'Configs &amp; Procedures'!$L$31,0,1)))</f>
        <v>0</v>
      </c>
    </row>
    <row r="486" spans="2:79">
      <c r="B486" s="854"/>
      <c r="C486" s="854"/>
      <c r="D486" s="854"/>
      <c r="E486" s="854"/>
      <c r="F486" s="854"/>
      <c r="G486" s="854"/>
      <c r="H486" s="854"/>
      <c r="I486" s="854"/>
      <c r="J486" s="854"/>
      <c r="K486" s="854"/>
      <c r="L486" s="854"/>
      <c r="M486" s="854"/>
      <c r="N486" s="854"/>
      <c r="O486" s="854"/>
      <c r="P486" s="854"/>
      <c r="Q486" s="854"/>
      <c r="R486" s="854"/>
      <c r="S486" s="854"/>
      <c r="T486" s="854"/>
      <c r="U486" s="854"/>
      <c r="V486" s="854"/>
      <c r="W486" s="854"/>
      <c r="X486" s="854"/>
      <c r="Y486" s="854"/>
      <c r="Z486" s="854"/>
      <c r="AA486" s="854"/>
      <c r="AB486" s="854"/>
      <c r="AC486" s="854"/>
      <c r="AD486" s="854"/>
      <c r="AE486" s="854"/>
      <c r="AF486" s="854"/>
      <c r="AG486" s="854"/>
      <c r="AH486" s="854"/>
      <c r="AI486" s="854"/>
      <c r="AJ486" s="854"/>
      <c r="AK486" s="854"/>
      <c r="AL486" s="854"/>
      <c r="AM486" s="854"/>
      <c r="AN486" s="854"/>
      <c r="AO486" s="854"/>
      <c r="AP486" s="854"/>
      <c r="AQ486" s="854"/>
      <c r="AR486" s="854"/>
      <c r="AS486" s="854"/>
      <c r="AT486" s="854"/>
      <c r="AU486" s="854"/>
      <c r="AV486" s="854"/>
      <c r="AW486" s="854"/>
      <c r="AX486" s="854"/>
      <c r="AY486" s="854"/>
      <c r="AZ486" s="854"/>
      <c r="BA486" s="854"/>
      <c r="BB486" s="854"/>
      <c r="BC486" s="854"/>
      <c r="BD486" s="854"/>
      <c r="BE486" s="854"/>
      <c r="BF486" s="854"/>
      <c r="BG486" s="854"/>
      <c r="BH486" s="854"/>
      <c r="BI486" s="854"/>
      <c r="BJ486" s="854"/>
      <c r="BK486" s="854"/>
      <c r="BL486" s="854"/>
      <c r="BM486" s="854"/>
      <c r="BN486" s="854"/>
      <c r="BO486" s="854"/>
      <c r="BP486" s="854"/>
      <c r="BQ486" s="854"/>
      <c r="BR486" s="854"/>
      <c r="BS486" s="854"/>
      <c r="BT486" s="854"/>
      <c r="BU486" s="854"/>
      <c r="BV486" s="854"/>
      <c r="BW486" s="854"/>
      <c r="BX486" s="854"/>
      <c r="BY486" s="854"/>
      <c r="BZ486" s="854"/>
      <c r="CA486" s="571">
        <f>IF(OR(I486="",I486&lt;'Configs &amp; Procedures'!$L$29),0,IF(I486&gt;'Configs &amp; Procedures'!$L$30,1,IF(F486&gt;'Configs &amp; Procedures'!$L$31,0,1)))</f>
        <v>0</v>
      </c>
    </row>
    <row r="487" spans="2:79">
      <c r="B487" s="854"/>
      <c r="C487" s="854"/>
      <c r="D487" s="854"/>
      <c r="E487" s="854"/>
      <c r="F487" s="854"/>
      <c r="G487" s="854"/>
      <c r="H487" s="854"/>
      <c r="I487" s="854"/>
      <c r="J487" s="854"/>
      <c r="K487" s="854"/>
      <c r="L487" s="854"/>
      <c r="M487" s="854"/>
      <c r="N487" s="854"/>
      <c r="O487" s="854"/>
      <c r="P487" s="854"/>
      <c r="Q487" s="854"/>
      <c r="R487" s="854"/>
      <c r="S487" s="854"/>
      <c r="T487" s="854"/>
      <c r="U487" s="854"/>
      <c r="V487" s="854"/>
      <c r="W487" s="854"/>
      <c r="X487" s="854"/>
      <c r="Y487" s="854"/>
      <c r="Z487" s="854"/>
      <c r="AA487" s="854"/>
      <c r="AB487" s="854"/>
      <c r="AC487" s="854"/>
      <c r="AD487" s="854"/>
      <c r="AE487" s="854"/>
      <c r="AF487" s="854"/>
      <c r="AG487" s="854"/>
      <c r="AH487" s="854"/>
      <c r="AI487" s="854"/>
      <c r="AJ487" s="854"/>
      <c r="AK487" s="854"/>
      <c r="AL487" s="854"/>
      <c r="AM487" s="854"/>
      <c r="AN487" s="854"/>
      <c r="AO487" s="854"/>
      <c r="AP487" s="854"/>
      <c r="AQ487" s="854"/>
      <c r="AR487" s="854"/>
      <c r="AS487" s="854"/>
      <c r="AT487" s="854"/>
      <c r="AU487" s="854"/>
      <c r="AV487" s="854"/>
      <c r="AW487" s="854"/>
      <c r="AX487" s="854"/>
      <c r="AY487" s="854"/>
      <c r="AZ487" s="854"/>
      <c r="BA487" s="854"/>
      <c r="BB487" s="854"/>
      <c r="BC487" s="854"/>
      <c r="BD487" s="854"/>
      <c r="BE487" s="854"/>
      <c r="BF487" s="854"/>
      <c r="BG487" s="854"/>
      <c r="BH487" s="854"/>
      <c r="BI487" s="854"/>
      <c r="BJ487" s="854"/>
      <c r="BK487" s="854"/>
      <c r="BL487" s="854"/>
      <c r="BM487" s="854"/>
      <c r="BN487" s="854"/>
      <c r="BO487" s="854"/>
      <c r="BP487" s="854"/>
      <c r="BQ487" s="854"/>
      <c r="BR487" s="854"/>
      <c r="BS487" s="854"/>
      <c r="BT487" s="854"/>
      <c r="BU487" s="854"/>
      <c r="BV487" s="854"/>
      <c r="BW487" s="854"/>
      <c r="BX487" s="854"/>
      <c r="BY487" s="854"/>
      <c r="BZ487" s="854"/>
      <c r="CA487" s="571">
        <f>IF(OR(I487="",I487&lt;'Configs &amp; Procedures'!$L$29),0,IF(I487&gt;'Configs &amp; Procedures'!$L$30,1,IF(F487&gt;'Configs &amp; Procedures'!$L$31,0,1)))</f>
        <v>0</v>
      </c>
    </row>
    <row r="488" spans="2:79">
      <c r="B488" s="854"/>
      <c r="C488" s="854"/>
      <c r="D488" s="854"/>
      <c r="E488" s="854"/>
      <c r="F488" s="854"/>
      <c r="G488" s="854"/>
      <c r="H488" s="854"/>
      <c r="I488" s="854"/>
      <c r="J488" s="854"/>
      <c r="K488" s="854"/>
      <c r="L488" s="854"/>
      <c r="M488" s="854"/>
      <c r="N488" s="854"/>
      <c r="O488" s="854"/>
      <c r="P488" s="854"/>
      <c r="Q488" s="854"/>
      <c r="R488" s="854"/>
      <c r="S488" s="854"/>
      <c r="T488" s="854"/>
      <c r="U488" s="854"/>
      <c r="V488" s="854"/>
      <c r="W488" s="854"/>
      <c r="X488" s="854"/>
      <c r="Y488" s="854"/>
      <c r="Z488" s="854"/>
      <c r="AA488" s="854"/>
      <c r="AB488" s="854"/>
      <c r="AC488" s="854"/>
      <c r="AD488" s="854"/>
      <c r="AE488" s="854"/>
      <c r="AF488" s="854"/>
      <c r="AG488" s="854"/>
      <c r="AH488" s="854"/>
      <c r="AI488" s="854"/>
      <c r="AJ488" s="854"/>
      <c r="AK488" s="854"/>
      <c r="AL488" s="854"/>
      <c r="AM488" s="854"/>
      <c r="AN488" s="854"/>
      <c r="AO488" s="854"/>
      <c r="AP488" s="854"/>
      <c r="AQ488" s="854"/>
      <c r="AR488" s="854"/>
      <c r="AS488" s="854"/>
      <c r="AT488" s="854"/>
      <c r="AU488" s="854"/>
      <c r="AV488" s="854"/>
      <c r="AW488" s="854"/>
      <c r="AX488" s="854"/>
      <c r="AY488" s="854"/>
      <c r="AZ488" s="854"/>
      <c r="BA488" s="854"/>
      <c r="BB488" s="854"/>
      <c r="BC488" s="854"/>
      <c r="BD488" s="854"/>
      <c r="BE488" s="854"/>
      <c r="BF488" s="854"/>
      <c r="BG488" s="854"/>
      <c r="BH488" s="854"/>
      <c r="BI488" s="854"/>
      <c r="BJ488" s="854"/>
      <c r="BK488" s="854"/>
      <c r="BL488" s="854"/>
      <c r="BM488" s="854"/>
      <c r="BN488" s="854"/>
      <c r="BO488" s="854"/>
      <c r="BP488" s="854"/>
      <c r="BQ488" s="854"/>
      <c r="BR488" s="854"/>
      <c r="BS488" s="854"/>
      <c r="BT488" s="854"/>
      <c r="BU488" s="854"/>
      <c r="BV488" s="854"/>
      <c r="BW488" s="854"/>
      <c r="BX488" s="854"/>
      <c r="BY488" s="854"/>
      <c r="BZ488" s="854"/>
      <c r="CA488" s="571">
        <f>IF(OR(I488="",I488&lt;'Configs &amp; Procedures'!$L$29),0,IF(I488&gt;'Configs &amp; Procedures'!$L$30,1,IF(F488&gt;'Configs &amp; Procedures'!$L$31,0,1)))</f>
        <v>0</v>
      </c>
    </row>
    <row r="489" spans="2:79">
      <c r="B489" s="854"/>
      <c r="C489" s="854"/>
      <c r="D489" s="854"/>
      <c r="E489" s="854"/>
      <c r="F489" s="854"/>
      <c r="G489" s="854"/>
      <c r="H489" s="854"/>
      <c r="I489" s="854"/>
      <c r="J489" s="854"/>
      <c r="K489" s="854"/>
      <c r="L489" s="854"/>
      <c r="M489" s="854"/>
      <c r="N489" s="854"/>
      <c r="O489" s="854"/>
      <c r="P489" s="854"/>
      <c r="Q489" s="854"/>
      <c r="R489" s="854"/>
      <c r="S489" s="854"/>
      <c r="T489" s="854"/>
      <c r="U489" s="854"/>
      <c r="V489" s="854"/>
      <c r="W489" s="854"/>
      <c r="X489" s="854"/>
      <c r="Y489" s="854"/>
      <c r="Z489" s="854"/>
      <c r="AA489" s="854"/>
      <c r="AB489" s="854"/>
      <c r="AC489" s="854"/>
      <c r="AD489" s="854"/>
      <c r="AE489" s="854"/>
      <c r="AF489" s="854"/>
      <c r="AG489" s="854"/>
      <c r="AH489" s="854"/>
      <c r="AI489" s="854"/>
      <c r="AJ489" s="854"/>
      <c r="AK489" s="854"/>
      <c r="AL489" s="854"/>
      <c r="AM489" s="854"/>
      <c r="AN489" s="854"/>
      <c r="AO489" s="854"/>
      <c r="AP489" s="854"/>
      <c r="AQ489" s="854"/>
      <c r="AR489" s="854"/>
      <c r="AS489" s="854"/>
      <c r="AT489" s="854"/>
      <c r="AU489" s="854"/>
      <c r="AV489" s="854"/>
      <c r="AW489" s="854"/>
      <c r="AX489" s="854"/>
      <c r="AY489" s="854"/>
      <c r="AZ489" s="854"/>
      <c r="BA489" s="854"/>
      <c r="BB489" s="854"/>
      <c r="BC489" s="854"/>
      <c r="BD489" s="854"/>
      <c r="BE489" s="854"/>
      <c r="BF489" s="854"/>
      <c r="BG489" s="854"/>
      <c r="BH489" s="854"/>
      <c r="BI489" s="854"/>
      <c r="BJ489" s="854"/>
      <c r="BK489" s="854"/>
      <c r="BL489" s="854"/>
      <c r="BM489" s="854"/>
      <c r="BN489" s="854"/>
      <c r="BO489" s="854"/>
      <c r="BP489" s="854"/>
      <c r="BQ489" s="854"/>
      <c r="BR489" s="854"/>
      <c r="BS489" s="854"/>
      <c r="BT489" s="854"/>
      <c r="BU489" s="854"/>
      <c r="BV489" s="854"/>
      <c r="BW489" s="854"/>
      <c r="BX489" s="854"/>
      <c r="BY489" s="854"/>
      <c r="BZ489" s="854"/>
      <c r="CA489" s="571">
        <f>IF(OR(I489="",I489&lt;'Configs &amp; Procedures'!$L$29),0,IF(I489&gt;'Configs &amp; Procedures'!$L$30,1,IF(F489&gt;'Configs &amp; Procedures'!$L$31,0,1)))</f>
        <v>0</v>
      </c>
    </row>
    <row r="490" spans="2:79">
      <c r="B490" s="854"/>
      <c r="C490" s="854"/>
      <c r="D490" s="854"/>
      <c r="E490" s="854"/>
      <c r="F490" s="854"/>
      <c r="G490" s="854"/>
      <c r="H490" s="854"/>
      <c r="I490" s="854"/>
      <c r="J490" s="854"/>
      <c r="K490" s="854"/>
      <c r="L490" s="854"/>
      <c r="M490" s="854"/>
      <c r="N490" s="854"/>
      <c r="O490" s="854"/>
      <c r="P490" s="854"/>
      <c r="Q490" s="854"/>
      <c r="R490" s="854"/>
      <c r="S490" s="854"/>
      <c r="T490" s="854"/>
      <c r="U490" s="854"/>
      <c r="V490" s="854"/>
      <c r="W490" s="854"/>
      <c r="X490" s="854"/>
      <c r="Y490" s="854"/>
      <c r="Z490" s="854"/>
      <c r="AA490" s="854"/>
      <c r="AB490" s="854"/>
      <c r="AC490" s="854"/>
      <c r="AD490" s="854"/>
      <c r="AE490" s="854"/>
      <c r="AF490" s="854"/>
      <c r="AG490" s="854"/>
      <c r="AH490" s="854"/>
      <c r="AI490" s="854"/>
      <c r="AJ490" s="854"/>
      <c r="AK490" s="854"/>
      <c r="AL490" s="854"/>
      <c r="AM490" s="854"/>
      <c r="AN490" s="854"/>
      <c r="AO490" s="854"/>
      <c r="AP490" s="854"/>
      <c r="AQ490" s="854"/>
      <c r="AR490" s="854"/>
      <c r="AS490" s="854"/>
      <c r="AT490" s="854"/>
      <c r="AU490" s="854"/>
      <c r="AV490" s="854"/>
      <c r="AW490" s="854"/>
      <c r="AX490" s="854"/>
      <c r="AY490" s="854"/>
      <c r="AZ490" s="854"/>
      <c r="BA490" s="854"/>
      <c r="BB490" s="854"/>
      <c r="BC490" s="854"/>
      <c r="BD490" s="854"/>
      <c r="BE490" s="854"/>
      <c r="BF490" s="854"/>
      <c r="BG490" s="854"/>
      <c r="BH490" s="854"/>
      <c r="BI490" s="854"/>
      <c r="BJ490" s="854"/>
      <c r="BK490" s="854"/>
      <c r="BL490" s="854"/>
      <c r="BM490" s="854"/>
      <c r="BN490" s="854"/>
      <c r="BO490" s="854"/>
      <c r="BP490" s="854"/>
      <c r="BQ490" s="854"/>
      <c r="BR490" s="854"/>
      <c r="BS490" s="854"/>
      <c r="BT490" s="854"/>
      <c r="BU490" s="854"/>
      <c r="BV490" s="854"/>
      <c r="BW490" s="854"/>
      <c r="BX490" s="854"/>
      <c r="BY490" s="854"/>
      <c r="BZ490" s="854"/>
      <c r="CA490" s="571">
        <f>IF(OR(I490="",I490&lt;'Configs &amp; Procedures'!$L$29),0,IF(I490&gt;'Configs &amp; Procedures'!$L$30,1,IF(F490&gt;'Configs &amp; Procedures'!$L$31,0,1)))</f>
        <v>0</v>
      </c>
    </row>
    <row r="491" spans="2:79">
      <c r="B491" s="854"/>
      <c r="C491" s="854"/>
      <c r="D491" s="854"/>
      <c r="E491" s="854"/>
      <c r="F491" s="854"/>
      <c r="G491" s="854"/>
      <c r="H491" s="854"/>
      <c r="I491" s="854"/>
      <c r="J491" s="854"/>
      <c r="K491" s="854"/>
      <c r="L491" s="854"/>
      <c r="M491" s="854"/>
      <c r="N491" s="854"/>
      <c r="O491" s="854"/>
      <c r="P491" s="854"/>
      <c r="Q491" s="854"/>
      <c r="R491" s="854"/>
      <c r="S491" s="854"/>
      <c r="T491" s="854"/>
      <c r="U491" s="854"/>
      <c r="V491" s="854"/>
      <c r="W491" s="854"/>
      <c r="X491" s="854"/>
      <c r="Y491" s="854"/>
      <c r="Z491" s="854"/>
      <c r="AA491" s="854"/>
      <c r="AB491" s="854"/>
      <c r="AC491" s="854"/>
      <c r="AD491" s="854"/>
      <c r="AE491" s="854"/>
      <c r="AF491" s="854"/>
      <c r="AG491" s="854"/>
      <c r="AH491" s="854"/>
      <c r="AI491" s="854"/>
      <c r="AJ491" s="854"/>
      <c r="AK491" s="854"/>
      <c r="AL491" s="854"/>
      <c r="AM491" s="854"/>
      <c r="AN491" s="854"/>
      <c r="AO491" s="854"/>
      <c r="AP491" s="854"/>
      <c r="AQ491" s="854"/>
      <c r="AR491" s="854"/>
      <c r="AS491" s="854"/>
      <c r="AT491" s="854"/>
      <c r="AU491" s="854"/>
      <c r="AV491" s="854"/>
      <c r="AW491" s="854"/>
      <c r="AX491" s="854"/>
      <c r="AY491" s="854"/>
      <c r="AZ491" s="854"/>
      <c r="BA491" s="854"/>
      <c r="BB491" s="854"/>
      <c r="BC491" s="854"/>
      <c r="BD491" s="854"/>
      <c r="BE491" s="854"/>
      <c r="BF491" s="854"/>
      <c r="BG491" s="854"/>
      <c r="BH491" s="854"/>
      <c r="BI491" s="854"/>
      <c r="BJ491" s="854"/>
      <c r="BK491" s="854"/>
      <c r="BL491" s="854"/>
      <c r="BM491" s="854"/>
      <c r="BN491" s="854"/>
      <c r="BO491" s="854"/>
      <c r="BP491" s="854"/>
      <c r="BQ491" s="854"/>
      <c r="BR491" s="854"/>
      <c r="BS491" s="854"/>
      <c r="BT491" s="854"/>
      <c r="BU491" s="854"/>
      <c r="BV491" s="854"/>
      <c r="BW491" s="854"/>
      <c r="BX491" s="854"/>
      <c r="BY491" s="854"/>
      <c r="BZ491" s="854"/>
      <c r="CA491" s="571">
        <f>IF(OR(I491="",I491&lt;'Configs &amp; Procedures'!$L$29),0,IF(I491&gt;'Configs &amp; Procedures'!$L$30,1,IF(F491&gt;'Configs &amp; Procedures'!$L$31,0,1)))</f>
        <v>0</v>
      </c>
    </row>
    <row r="492" spans="2:79">
      <c r="B492" s="854"/>
      <c r="C492" s="854"/>
      <c r="D492" s="854"/>
      <c r="E492" s="854"/>
      <c r="F492" s="854"/>
      <c r="G492" s="854"/>
      <c r="H492" s="854"/>
      <c r="I492" s="854"/>
      <c r="J492" s="854"/>
      <c r="K492" s="854"/>
      <c r="L492" s="854"/>
      <c r="M492" s="854"/>
      <c r="N492" s="854"/>
      <c r="O492" s="854"/>
      <c r="P492" s="854"/>
      <c r="Q492" s="854"/>
      <c r="R492" s="854"/>
      <c r="S492" s="854"/>
      <c r="T492" s="854"/>
      <c r="U492" s="854"/>
      <c r="V492" s="854"/>
      <c r="W492" s="854"/>
      <c r="X492" s="854"/>
      <c r="Y492" s="854"/>
      <c r="Z492" s="854"/>
      <c r="AA492" s="854"/>
      <c r="AB492" s="854"/>
      <c r="AC492" s="854"/>
      <c r="AD492" s="854"/>
      <c r="AE492" s="854"/>
      <c r="AF492" s="854"/>
      <c r="AG492" s="854"/>
      <c r="AH492" s="854"/>
      <c r="AI492" s="854"/>
      <c r="AJ492" s="854"/>
      <c r="AK492" s="854"/>
      <c r="AL492" s="854"/>
      <c r="AM492" s="854"/>
      <c r="AN492" s="854"/>
      <c r="AO492" s="854"/>
      <c r="AP492" s="854"/>
      <c r="AQ492" s="854"/>
      <c r="AR492" s="854"/>
      <c r="AS492" s="854"/>
      <c r="AT492" s="854"/>
      <c r="AU492" s="854"/>
      <c r="AV492" s="854"/>
      <c r="AW492" s="854"/>
      <c r="AX492" s="854"/>
      <c r="AY492" s="854"/>
      <c r="AZ492" s="854"/>
      <c r="BA492" s="854"/>
      <c r="BB492" s="854"/>
      <c r="BC492" s="854"/>
      <c r="BD492" s="854"/>
      <c r="BE492" s="854"/>
      <c r="BF492" s="854"/>
      <c r="BG492" s="854"/>
      <c r="BH492" s="854"/>
      <c r="BI492" s="854"/>
      <c r="BJ492" s="854"/>
      <c r="BK492" s="854"/>
      <c r="BL492" s="854"/>
      <c r="BM492" s="854"/>
      <c r="BN492" s="854"/>
      <c r="BO492" s="854"/>
      <c r="BP492" s="854"/>
      <c r="BQ492" s="854"/>
      <c r="BR492" s="854"/>
      <c r="BS492" s="854"/>
      <c r="BT492" s="854"/>
      <c r="BU492" s="854"/>
      <c r="BV492" s="854"/>
      <c r="BW492" s="854"/>
      <c r="BX492" s="854"/>
      <c r="BY492" s="854"/>
      <c r="BZ492" s="854"/>
      <c r="CA492" s="571">
        <f>IF(OR(I492="",I492&lt;'Configs &amp; Procedures'!$L$29),0,IF(I492&gt;'Configs &amp; Procedures'!$L$30,1,IF(F492&gt;'Configs &amp; Procedures'!$L$31,0,1)))</f>
        <v>0</v>
      </c>
    </row>
    <row r="493" spans="2:79">
      <c r="B493" s="854"/>
      <c r="C493" s="854"/>
      <c r="D493" s="854"/>
      <c r="E493" s="854"/>
      <c r="F493" s="854"/>
      <c r="G493" s="854"/>
      <c r="H493" s="854"/>
      <c r="I493" s="854"/>
      <c r="J493" s="854"/>
      <c r="K493" s="854"/>
      <c r="L493" s="854"/>
      <c r="M493" s="854"/>
      <c r="N493" s="854"/>
      <c r="O493" s="854"/>
      <c r="P493" s="854"/>
      <c r="Q493" s="854"/>
      <c r="R493" s="854"/>
      <c r="S493" s="854"/>
      <c r="T493" s="854"/>
      <c r="U493" s="854"/>
      <c r="V493" s="854"/>
      <c r="W493" s="854"/>
      <c r="X493" s="854"/>
      <c r="Y493" s="854"/>
      <c r="Z493" s="854"/>
      <c r="AA493" s="854"/>
      <c r="AB493" s="854"/>
      <c r="AC493" s="854"/>
      <c r="AD493" s="854"/>
      <c r="AE493" s="854"/>
      <c r="AF493" s="854"/>
      <c r="AG493" s="854"/>
      <c r="AH493" s="854"/>
      <c r="AI493" s="854"/>
      <c r="AJ493" s="854"/>
      <c r="AK493" s="854"/>
      <c r="AL493" s="854"/>
      <c r="AM493" s="854"/>
      <c r="AN493" s="854"/>
      <c r="AO493" s="854"/>
      <c r="AP493" s="854"/>
      <c r="AQ493" s="854"/>
      <c r="AR493" s="854"/>
      <c r="AS493" s="854"/>
      <c r="AT493" s="854"/>
      <c r="AU493" s="854"/>
      <c r="AV493" s="854"/>
      <c r="AW493" s="854"/>
      <c r="AX493" s="854"/>
      <c r="AY493" s="854"/>
      <c r="AZ493" s="854"/>
      <c r="BA493" s="854"/>
      <c r="BB493" s="854"/>
      <c r="BC493" s="854"/>
      <c r="BD493" s="854"/>
      <c r="BE493" s="854"/>
      <c r="BF493" s="854"/>
      <c r="BG493" s="854"/>
      <c r="BH493" s="854"/>
      <c r="BI493" s="854"/>
      <c r="BJ493" s="854"/>
      <c r="BK493" s="854"/>
      <c r="BL493" s="854"/>
      <c r="BM493" s="854"/>
      <c r="BN493" s="854"/>
      <c r="BO493" s="854"/>
      <c r="BP493" s="854"/>
      <c r="BQ493" s="854"/>
      <c r="BR493" s="854"/>
      <c r="BS493" s="854"/>
      <c r="BT493" s="854"/>
      <c r="BU493" s="854"/>
      <c r="BV493" s="854"/>
      <c r="BW493" s="854"/>
      <c r="BX493" s="854"/>
      <c r="BY493" s="854"/>
      <c r="BZ493" s="854"/>
      <c r="CA493" s="571">
        <f>IF(OR(I493="",I493&lt;'Configs &amp; Procedures'!$L$29),0,IF(I493&gt;'Configs &amp; Procedures'!$L$30,1,IF(F493&gt;'Configs &amp; Procedures'!$L$31,0,1)))</f>
        <v>0</v>
      </c>
    </row>
    <row r="494" spans="2:79">
      <c r="B494" s="854"/>
      <c r="C494" s="854"/>
      <c r="D494" s="854"/>
      <c r="E494" s="854"/>
      <c r="F494" s="854"/>
      <c r="G494" s="854"/>
      <c r="H494" s="854"/>
      <c r="I494" s="854"/>
      <c r="J494" s="854"/>
      <c r="K494" s="854"/>
      <c r="L494" s="854"/>
      <c r="M494" s="854"/>
      <c r="N494" s="854"/>
      <c r="O494" s="854"/>
      <c r="P494" s="854"/>
      <c r="Q494" s="854"/>
      <c r="R494" s="854"/>
      <c r="S494" s="854"/>
      <c r="T494" s="854"/>
      <c r="U494" s="854"/>
      <c r="V494" s="854"/>
      <c r="W494" s="854"/>
      <c r="X494" s="854"/>
      <c r="Y494" s="854"/>
      <c r="Z494" s="854"/>
      <c r="AA494" s="854"/>
      <c r="AB494" s="854"/>
      <c r="AC494" s="854"/>
      <c r="AD494" s="854"/>
      <c r="AE494" s="854"/>
      <c r="AF494" s="854"/>
      <c r="AG494" s="854"/>
      <c r="AH494" s="854"/>
      <c r="AI494" s="854"/>
      <c r="AJ494" s="854"/>
      <c r="AK494" s="854"/>
      <c r="AL494" s="854"/>
      <c r="AM494" s="854"/>
      <c r="AN494" s="854"/>
      <c r="AO494" s="854"/>
      <c r="AP494" s="854"/>
      <c r="AQ494" s="854"/>
      <c r="AR494" s="854"/>
      <c r="AS494" s="854"/>
      <c r="AT494" s="854"/>
      <c r="AU494" s="854"/>
      <c r="AV494" s="854"/>
      <c r="AW494" s="854"/>
      <c r="AX494" s="854"/>
      <c r="AY494" s="854"/>
      <c r="AZ494" s="854"/>
      <c r="BA494" s="854"/>
      <c r="BB494" s="854"/>
      <c r="BC494" s="854"/>
      <c r="BD494" s="854"/>
      <c r="BE494" s="854"/>
      <c r="BF494" s="854"/>
      <c r="BG494" s="854"/>
      <c r="BH494" s="854"/>
      <c r="BI494" s="854"/>
      <c r="BJ494" s="854"/>
      <c r="BK494" s="854"/>
      <c r="BL494" s="854"/>
      <c r="BM494" s="854"/>
      <c r="BN494" s="854"/>
      <c r="BO494" s="854"/>
      <c r="BP494" s="854"/>
      <c r="BQ494" s="854"/>
      <c r="BR494" s="854"/>
      <c r="BS494" s="854"/>
      <c r="BT494" s="854"/>
      <c r="BU494" s="854"/>
      <c r="BV494" s="854"/>
      <c r="BW494" s="854"/>
      <c r="BX494" s="854"/>
      <c r="BY494" s="854"/>
      <c r="BZ494" s="854"/>
      <c r="CA494" s="571">
        <f>IF(OR(I494="",I494&lt;'Configs &amp; Procedures'!$L$29),0,IF(I494&gt;'Configs &amp; Procedures'!$L$30,1,IF(F494&gt;'Configs &amp; Procedures'!$L$31,0,1)))</f>
        <v>0</v>
      </c>
    </row>
    <row r="495" spans="2:79">
      <c r="B495" s="854"/>
      <c r="C495" s="854"/>
      <c r="D495" s="854"/>
      <c r="E495" s="854"/>
      <c r="F495" s="854"/>
      <c r="G495" s="854"/>
      <c r="H495" s="854"/>
      <c r="I495" s="854"/>
      <c r="J495" s="854"/>
      <c r="K495" s="854"/>
      <c r="L495" s="854"/>
      <c r="M495" s="854"/>
      <c r="N495" s="854"/>
      <c r="O495" s="854"/>
      <c r="P495" s="854"/>
      <c r="Q495" s="854"/>
      <c r="R495" s="854"/>
      <c r="S495" s="854"/>
      <c r="T495" s="854"/>
      <c r="U495" s="854"/>
      <c r="V495" s="854"/>
      <c r="W495" s="854"/>
      <c r="X495" s="854"/>
      <c r="Y495" s="854"/>
      <c r="Z495" s="854"/>
      <c r="AA495" s="854"/>
      <c r="AB495" s="854"/>
      <c r="AC495" s="854"/>
      <c r="AD495" s="854"/>
      <c r="AE495" s="854"/>
      <c r="AF495" s="854"/>
      <c r="AG495" s="854"/>
      <c r="AH495" s="854"/>
      <c r="AI495" s="854"/>
      <c r="AJ495" s="854"/>
      <c r="AK495" s="854"/>
      <c r="AL495" s="854"/>
      <c r="AM495" s="854"/>
      <c r="AN495" s="854"/>
      <c r="AO495" s="854"/>
      <c r="AP495" s="854"/>
      <c r="AQ495" s="854"/>
      <c r="AR495" s="854"/>
      <c r="AS495" s="854"/>
      <c r="AT495" s="854"/>
      <c r="AU495" s="854"/>
      <c r="AV495" s="854"/>
      <c r="AW495" s="854"/>
      <c r="AX495" s="854"/>
      <c r="AY495" s="854"/>
      <c r="AZ495" s="854"/>
      <c r="BA495" s="854"/>
      <c r="BB495" s="854"/>
      <c r="BC495" s="854"/>
      <c r="BD495" s="854"/>
      <c r="BE495" s="854"/>
      <c r="BF495" s="854"/>
      <c r="BG495" s="854"/>
      <c r="BH495" s="854"/>
      <c r="BI495" s="854"/>
      <c r="BJ495" s="854"/>
      <c r="BK495" s="854"/>
      <c r="BL495" s="854"/>
      <c r="BM495" s="854"/>
      <c r="BN495" s="854"/>
      <c r="BO495" s="854"/>
      <c r="BP495" s="854"/>
      <c r="BQ495" s="854"/>
      <c r="BR495" s="854"/>
      <c r="BS495" s="854"/>
      <c r="BT495" s="854"/>
      <c r="BU495" s="854"/>
      <c r="BV495" s="854"/>
      <c r="BW495" s="854"/>
      <c r="BX495" s="854"/>
      <c r="BY495" s="854"/>
      <c r="BZ495" s="854"/>
      <c r="CA495" s="571">
        <f>IF(OR(I495="",I495&lt;'Configs &amp; Procedures'!$L$29),0,IF(I495&gt;'Configs &amp; Procedures'!$L$30,1,IF(F495&gt;'Configs &amp; Procedures'!$L$31,0,1)))</f>
        <v>0</v>
      </c>
    </row>
    <row r="496" spans="2:79">
      <c r="B496" s="854"/>
      <c r="C496" s="854"/>
      <c r="D496" s="854"/>
      <c r="E496" s="854"/>
      <c r="F496" s="854"/>
      <c r="G496" s="854"/>
      <c r="H496" s="854"/>
      <c r="I496" s="854"/>
      <c r="J496" s="854"/>
      <c r="K496" s="854"/>
      <c r="L496" s="854"/>
      <c r="M496" s="854"/>
      <c r="N496" s="854"/>
      <c r="O496" s="854"/>
      <c r="P496" s="854"/>
      <c r="Q496" s="854"/>
      <c r="R496" s="854"/>
      <c r="S496" s="854"/>
      <c r="T496" s="854"/>
      <c r="U496" s="854"/>
      <c r="V496" s="854"/>
      <c r="W496" s="854"/>
      <c r="X496" s="854"/>
      <c r="Y496" s="854"/>
      <c r="Z496" s="854"/>
      <c r="AA496" s="854"/>
      <c r="AB496" s="854"/>
      <c r="AC496" s="854"/>
      <c r="AD496" s="854"/>
      <c r="AE496" s="854"/>
      <c r="AF496" s="854"/>
      <c r="AG496" s="854"/>
      <c r="AH496" s="854"/>
      <c r="AI496" s="854"/>
      <c r="AJ496" s="854"/>
      <c r="AK496" s="854"/>
      <c r="AL496" s="854"/>
      <c r="AM496" s="854"/>
      <c r="AN496" s="854"/>
      <c r="AO496" s="854"/>
      <c r="AP496" s="854"/>
      <c r="AQ496" s="854"/>
      <c r="AR496" s="854"/>
      <c r="AS496" s="854"/>
      <c r="AT496" s="854"/>
      <c r="AU496" s="854"/>
      <c r="AV496" s="854"/>
      <c r="AW496" s="854"/>
      <c r="AX496" s="854"/>
      <c r="AY496" s="854"/>
      <c r="AZ496" s="854"/>
      <c r="BA496" s="854"/>
      <c r="BB496" s="854"/>
      <c r="BC496" s="854"/>
      <c r="BD496" s="854"/>
      <c r="BE496" s="854"/>
      <c r="BF496" s="854"/>
      <c r="BG496" s="854"/>
      <c r="BH496" s="854"/>
      <c r="BI496" s="854"/>
      <c r="BJ496" s="854"/>
      <c r="BK496" s="854"/>
      <c r="BL496" s="854"/>
      <c r="BM496" s="854"/>
      <c r="BN496" s="854"/>
      <c r="BO496" s="854"/>
      <c r="BP496" s="854"/>
      <c r="BQ496" s="854"/>
      <c r="BR496" s="854"/>
      <c r="BS496" s="854"/>
      <c r="BT496" s="854"/>
      <c r="BU496" s="854"/>
      <c r="BV496" s="854"/>
      <c r="BW496" s="854"/>
      <c r="BX496" s="854"/>
      <c r="BY496" s="854"/>
      <c r="BZ496" s="854"/>
      <c r="CA496" s="571">
        <f>IF(OR(I496="",I496&lt;'Configs &amp; Procedures'!$L$29),0,IF(I496&gt;'Configs &amp; Procedures'!$L$30,1,IF(F496&gt;'Configs &amp; Procedures'!$L$31,0,1)))</f>
        <v>0</v>
      </c>
    </row>
    <row r="497" spans="2:79">
      <c r="B497" s="854"/>
      <c r="C497" s="854"/>
      <c r="D497" s="854"/>
      <c r="E497" s="854"/>
      <c r="F497" s="854"/>
      <c r="G497" s="854"/>
      <c r="H497" s="854"/>
      <c r="I497" s="854"/>
      <c r="J497" s="854"/>
      <c r="K497" s="854"/>
      <c r="L497" s="854"/>
      <c r="M497" s="854"/>
      <c r="N497" s="854"/>
      <c r="O497" s="854"/>
      <c r="P497" s="854"/>
      <c r="Q497" s="854"/>
      <c r="R497" s="854"/>
      <c r="S497" s="854"/>
      <c r="T497" s="854"/>
      <c r="U497" s="854"/>
      <c r="V497" s="854"/>
      <c r="W497" s="854"/>
      <c r="X497" s="854"/>
      <c r="Y497" s="854"/>
      <c r="Z497" s="854"/>
      <c r="AA497" s="854"/>
      <c r="AB497" s="854"/>
      <c r="AC497" s="854"/>
      <c r="AD497" s="854"/>
      <c r="AE497" s="854"/>
      <c r="AF497" s="854"/>
      <c r="AG497" s="854"/>
      <c r="AH497" s="854"/>
      <c r="AI497" s="854"/>
      <c r="AJ497" s="854"/>
      <c r="AK497" s="854"/>
      <c r="AL497" s="854"/>
      <c r="AM497" s="854"/>
      <c r="AN497" s="854"/>
      <c r="AO497" s="854"/>
      <c r="AP497" s="854"/>
      <c r="AQ497" s="854"/>
      <c r="AR497" s="854"/>
      <c r="AS497" s="854"/>
      <c r="AT497" s="854"/>
      <c r="AU497" s="854"/>
      <c r="AV497" s="854"/>
      <c r="AW497" s="854"/>
      <c r="AX497" s="854"/>
      <c r="AY497" s="854"/>
      <c r="AZ497" s="854"/>
      <c r="BA497" s="854"/>
      <c r="BB497" s="854"/>
      <c r="BC497" s="854"/>
      <c r="BD497" s="854"/>
      <c r="BE497" s="854"/>
      <c r="BF497" s="854"/>
      <c r="BG497" s="854"/>
      <c r="BH497" s="854"/>
      <c r="BI497" s="854"/>
      <c r="BJ497" s="854"/>
      <c r="BK497" s="854"/>
      <c r="BL497" s="854"/>
      <c r="BM497" s="854"/>
      <c r="BN497" s="854"/>
      <c r="BO497" s="854"/>
      <c r="BP497" s="854"/>
      <c r="BQ497" s="854"/>
      <c r="BR497" s="854"/>
      <c r="BS497" s="854"/>
      <c r="BT497" s="854"/>
      <c r="BU497" s="854"/>
      <c r="BV497" s="854"/>
      <c r="BW497" s="854"/>
      <c r="BX497" s="854"/>
      <c r="BY497" s="854"/>
      <c r="BZ497" s="854"/>
      <c r="CA497" s="571">
        <f>IF(OR(I497="",I497&lt;'Configs &amp; Procedures'!$L$29),0,IF(I497&gt;'Configs &amp; Procedures'!$L$30,1,IF(F497&gt;'Configs &amp; Procedures'!$L$31,0,1)))</f>
        <v>0</v>
      </c>
    </row>
    <row r="498" spans="2:79">
      <c r="B498" s="854"/>
      <c r="C498" s="854"/>
      <c r="D498" s="854"/>
      <c r="E498" s="854"/>
      <c r="F498" s="854"/>
      <c r="G498" s="854"/>
      <c r="H498" s="854"/>
      <c r="I498" s="854"/>
      <c r="J498" s="854"/>
      <c r="K498" s="854"/>
      <c r="L498" s="854"/>
      <c r="M498" s="854"/>
      <c r="N498" s="854"/>
      <c r="O498" s="854"/>
      <c r="P498" s="854"/>
      <c r="Q498" s="854"/>
      <c r="R498" s="854"/>
      <c r="S498" s="854"/>
      <c r="T498" s="854"/>
      <c r="U498" s="854"/>
      <c r="V498" s="854"/>
      <c r="W498" s="854"/>
      <c r="X498" s="854"/>
      <c r="Y498" s="854"/>
      <c r="Z498" s="854"/>
      <c r="AA498" s="854"/>
      <c r="AB498" s="854"/>
      <c r="AC498" s="854"/>
      <c r="AD498" s="854"/>
      <c r="AE498" s="854"/>
      <c r="AF498" s="854"/>
      <c r="AG498" s="854"/>
      <c r="AH498" s="854"/>
      <c r="AI498" s="854"/>
      <c r="AJ498" s="854"/>
      <c r="AK498" s="854"/>
      <c r="AL498" s="854"/>
      <c r="AM498" s="854"/>
      <c r="AN498" s="854"/>
      <c r="AO498" s="854"/>
      <c r="AP498" s="854"/>
      <c r="AQ498" s="854"/>
      <c r="AR498" s="854"/>
      <c r="AS498" s="854"/>
      <c r="AT498" s="854"/>
      <c r="AU498" s="854"/>
      <c r="AV498" s="854"/>
      <c r="AW498" s="854"/>
      <c r="AX498" s="854"/>
      <c r="AY498" s="854"/>
      <c r="AZ498" s="854"/>
      <c r="BA498" s="854"/>
      <c r="BB498" s="854"/>
      <c r="BC498" s="854"/>
      <c r="BD498" s="854"/>
      <c r="BE498" s="854"/>
      <c r="BF498" s="854"/>
      <c r="BG498" s="854"/>
      <c r="BH498" s="854"/>
      <c r="BI498" s="854"/>
      <c r="BJ498" s="854"/>
      <c r="BK498" s="854"/>
      <c r="BL498" s="854"/>
      <c r="BM498" s="854"/>
      <c r="BN498" s="854"/>
      <c r="BO498" s="854"/>
      <c r="BP498" s="854"/>
      <c r="BQ498" s="854"/>
      <c r="BR498" s="854"/>
      <c r="BS498" s="854"/>
      <c r="BT498" s="854"/>
      <c r="BU498" s="854"/>
      <c r="BV498" s="854"/>
      <c r="BW498" s="854"/>
      <c r="BX498" s="854"/>
      <c r="BY498" s="854"/>
      <c r="BZ498" s="854"/>
      <c r="CA498" s="571">
        <f>IF(OR(I498="",I498&lt;'Configs &amp; Procedures'!$L$29),0,IF(I498&gt;'Configs &amp; Procedures'!$L$30,1,IF(F498&gt;'Configs &amp; Procedures'!$L$31,0,1)))</f>
        <v>0</v>
      </c>
    </row>
    <row r="499" spans="2:79">
      <c r="B499" s="854"/>
      <c r="C499" s="854"/>
      <c r="D499" s="854"/>
      <c r="E499" s="854"/>
      <c r="F499" s="854"/>
      <c r="G499" s="854"/>
      <c r="H499" s="854"/>
      <c r="I499" s="854"/>
      <c r="J499" s="854"/>
      <c r="K499" s="854"/>
      <c r="L499" s="854"/>
      <c r="M499" s="854"/>
      <c r="N499" s="854"/>
      <c r="O499" s="854"/>
      <c r="P499" s="854"/>
      <c r="Q499" s="854"/>
      <c r="R499" s="854"/>
      <c r="S499" s="854"/>
      <c r="T499" s="854"/>
      <c r="U499" s="854"/>
      <c r="V499" s="854"/>
      <c r="W499" s="854"/>
      <c r="X499" s="854"/>
      <c r="Y499" s="854"/>
      <c r="Z499" s="854"/>
      <c r="AA499" s="854"/>
      <c r="AB499" s="854"/>
      <c r="AC499" s="854"/>
      <c r="AD499" s="854"/>
      <c r="AE499" s="854"/>
      <c r="AF499" s="854"/>
      <c r="AG499" s="854"/>
      <c r="AH499" s="854"/>
      <c r="AI499" s="854"/>
      <c r="AJ499" s="854"/>
      <c r="AK499" s="854"/>
      <c r="AL499" s="854"/>
      <c r="AM499" s="854"/>
      <c r="AN499" s="854"/>
      <c r="AO499" s="854"/>
      <c r="AP499" s="854"/>
      <c r="AQ499" s="854"/>
      <c r="AR499" s="854"/>
      <c r="AS499" s="854"/>
      <c r="AT499" s="854"/>
      <c r="AU499" s="854"/>
      <c r="AV499" s="854"/>
      <c r="AW499" s="854"/>
      <c r="AX499" s="854"/>
      <c r="AY499" s="854"/>
      <c r="AZ499" s="854"/>
      <c r="BA499" s="854"/>
      <c r="BB499" s="854"/>
      <c r="BC499" s="854"/>
      <c r="BD499" s="854"/>
      <c r="BE499" s="854"/>
      <c r="BF499" s="854"/>
      <c r="BG499" s="854"/>
      <c r="BH499" s="854"/>
      <c r="BI499" s="854"/>
      <c r="BJ499" s="854"/>
      <c r="BK499" s="854"/>
      <c r="BL499" s="854"/>
      <c r="BM499" s="854"/>
      <c r="BN499" s="854"/>
      <c r="BO499" s="854"/>
      <c r="BP499" s="854"/>
      <c r="BQ499" s="854"/>
      <c r="BR499" s="854"/>
      <c r="BS499" s="854"/>
      <c r="BT499" s="854"/>
      <c r="BU499" s="854"/>
      <c r="BV499" s="854"/>
      <c r="BW499" s="854"/>
      <c r="BX499" s="854"/>
      <c r="BY499" s="854"/>
      <c r="BZ499" s="854"/>
      <c r="CA499" s="571">
        <f>IF(OR(I499="",I499&lt;'Configs &amp; Procedures'!$L$29),0,IF(I499&gt;'Configs &amp; Procedures'!$L$30,1,IF(F499&gt;'Configs &amp; Procedures'!$L$31,0,1)))</f>
        <v>0</v>
      </c>
    </row>
    <row r="500" spans="2:79">
      <c r="B500" s="854"/>
      <c r="C500" s="854"/>
      <c r="D500" s="854"/>
      <c r="E500" s="854"/>
      <c r="F500" s="854"/>
      <c r="G500" s="854"/>
      <c r="H500" s="854"/>
      <c r="I500" s="854"/>
      <c r="J500" s="854"/>
      <c r="K500" s="854"/>
      <c r="L500" s="854"/>
      <c r="M500" s="854"/>
      <c r="N500" s="854"/>
      <c r="O500" s="854"/>
      <c r="P500" s="854"/>
      <c r="Q500" s="854"/>
      <c r="R500" s="854"/>
      <c r="S500" s="854"/>
      <c r="T500" s="854"/>
      <c r="U500" s="854"/>
      <c r="V500" s="854"/>
      <c r="W500" s="854"/>
      <c r="X500" s="854"/>
      <c r="Y500" s="854"/>
      <c r="Z500" s="854"/>
      <c r="AA500" s="854"/>
      <c r="AB500" s="854"/>
      <c r="AC500" s="854"/>
      <c r="AD500" s="854"/>
      <c r="AE500" s="854"/>
      <c r="AF500" s="854"/>
      <c r="AG500" s="854"/>
      <c r="AH500" s="854"/>
      <c r="AI500" s="854"/>
      <c r="AJ500" s="854"/>
      <c r="AK500" s="854"/>
      <c r="AL500" s="854"/>
      <c r="AM500" s="854"/>
      <c r="AN500" s="854"/>
      <c r="AO500" s="854"/>
      <c r="AP500" s="854"/>
      <c r="AQ500" s="854"/>
      <c r="AR500" s="854"/>
      <c r="AS500" s="854"/>
      <c r="AT500" s="854"/>
      <c r="AU500" s="854"/>
      <c r="AV500" s="854"/>
      <c r="AW500" s="854"/>
      <c r="AX500" s="854"/>
      <c r="AY500" s="854"/>
      <c r="AZ500" s="854"/>
      <c r="BA500" s="854"/>
      <c r="BB500" s="854"/>
      <c r="BC500" s="854"/>
      <c r="BD500" s="854"/>
      <c r="BE500" s="854"/>
      <c r="BF500" s="854"/>
      <c r="BG500" s="854"/>
      <c r="BH500" s="854"/>
      <c r="BI500" s="854"/>
      <c r="BJ500" s="854"/>
      <c r="BK500" s="854"/>
      <c r="BL500" s="854"/>
      <c r="BM500" s="854"/>
      <c r="BN500" s="854"/>
      <c r="BO500" s="854"/>
      <c r="BP500" s="854"/>
      <c r="BQ500" s="854"/>
      <c r="BR500" s="854"/>
      <c r="BS500" s="854"/>
      <c r="BT500" s="854"/>
      <c r="BU500" s="854"/>
      <c r="BV500" s="854"/>
      <c r="BW500" s="854"/>
      <c r="BX500" s="854"/>
      <c r="BY500" s="854"/>
      <c r="BZ500" s="854"/>
      <c r="CA500" s="571">
        <f>IF(OR(I500="",I500&lt;'Configs &amp; Procedures'!$L$29),0,IF(I500&gt;'Configs &amp; Procedures'!$L$30,1,IF(F500&gt;'Configs &amp; Procedures'!$L$31,0,1)))</f>
        <v>0</v>
      </c>
    </row>
    <row r="501" spans="2:79">
      <c r="B501" s="854"/>
      <c r="C501" s="854"/>
      <c r="D501" s="854"/>
      <c r="E501" s="854"/>
      <c r="F501" s="854"/>
      <c r="G501" s="854"/>
      <c r="H501" s="854"/>
      <c r="I501" s="854"/>
      <c r="J501" s="854"/>
      <c r="K501" s="854"/>
      <c r="L501" s="854"/>
      <c r="M501" s="854"/>
      <c r="N501" s="854"/>
      <c r="O501" s="854"/>
      <c r="P501" s="854"/>
      <c r="Q501" s="854"/>
      <c r="R501" s="854"/>
      <c r="S501" s="854"/>
      <c r="T501" s="854"/>
      <c r="U501" s="854"/>
      <c r="V501" s="854"/>
      <c r="W501" s="854"/>
      <c r="X501" s="854"/>
      <c r="Y501" s="854"/>
      <c r="Z501" s="854"/>
      <c r="AA501" s="854"/>
      <c r="AB501" s="854"/>
      <c r="AC501" s="854"/>
      <c r="AD501" s="854"/>
      <c r="AE501" s="854"/>
      <c r="AF501" s="854"/>
      <c r="AG501" s="854"/>
      <c r="AH501" s="854"/>
      <c r="AI501" s="854"/>
      <c r="AJ501" s="854"/>
      <c r="AK501" s="854"/>
      <c r="AL501" s="854"/>
      <c r="AM501" s="854"/>
      <c r="AN501" s="854"/>
      <c r="AO501" s="854"/>
      <c r="AP501" s="854"/>
      <c r="AQ501" s="854"/>
      <c r="AR501" s="854"/>
      <c r="AS501" s="854"/>
      <c r="AT501" s="854"/>
      <c r="AU501" s="854"/>
      <c r="AV501" s="854"/>
      <c r="AW501" s="854"/>
      <c r="AX501" s="854"/>
      <c r="AY501" s="854"/>
      <c r="AZ501" s="854"/>
      <c r="BA501" s="854"/>
      <c r="BB501" s="854"/>
      <c r="BC501" s="854"/>
      <c r="BD501" s="854"/>
      <c r="BE501" s="854"/>
      <c r="BF501" s="854"/>
      <c r="BG501" s="854"/>
      <c r="BH501" s="854"/>
      <c r="BI501" s="854"/>
      <c r="BJ501" s="854"/>
      <c r="BK501" s="854"/>
      <c r="BL501" s="854"/>
      <c r="BM501" s="854"/>
      <c r="BN501" s="854"/>
      <c r="BO501" s="854"/>
      <c r="BP501" s="854"/>
      <c r="BQ501" s="854"/>
      <c r="BR501" s="854"/>
      <c r="BS501" s="854"/>
      <c r="BT501" s="854"/>
      <c r="BU501" s="854"/>
      <c r="BV501" s="854"/>
      <c r="BW501" s="854"/>
      <c r="BX501" s="854"/>
      <c r="BY501" s="854"/>
      <c r="BZ501" s="854"/>
      <c r="CA501" s="571">
        <f>IF(OR(I501="",I501&lt;'Configs &amp; Procedures'!$L$29),0,IF(I501&gt;'Configs &amp; Procedures'!$L$30,1,IF(F501&gt;'Configs &amp; Procedures'!$L$31,0,1)))</f>
        <v>0</v>
      </c>
    </row>
    <row r="502" spans="2:79">
      <c r="B502" s="854"/>
      <c r="C502" s="854"/>
      <c r="D502" s="854"/>
      <c r="E502" s="854"/>
      <c r="F502" s="854"/>
      <c r="G502" s="854"/>
      <c r="H502" s="854"/>
      <c r="I502" s="854"/>
      <c r="J502" s="854"/>
      <c r="K502" s="854"/>
      <c r="L502" s="854"/>
      <c r="M502" s="854"/>
      <c r="N502" s="854"/>
      <c r="O502" s="854"/>
      <c r="P502" s="854"/>
      <c r="Q502" s="854"/>
      <c r="R502" s="854"/>
      <c r="S502" s="854"/>
      <c r="T502" s="854"/>
      <c r="U502" s="854"/>
      <c r="V502" s="854"/>
      <c r="W502" s="854"/>
      <c r="X502" s="854"/>
      <c r="Y502" s="854"/>
      <c r="Z502" s="854"/>
      <c r="AA502" s="854"/>
      <c r="AB502" s="854"/>
      <c r="AC502" s="854"/>
      <c r="AD502" s="854"/>
      <c r="AE502" s="854"/>
      <c r="AF502" s="854"/>
      <c r="AG502" s="854"/>
      <c r="AH502" s="854"/>
      <c r="AI502" s="854"/>
      <c r="AJ502" s="854"/>
      <c r="AK502" s="854"/>
      <c r="AL502" s="854"/>
      <c r="AM502" s="854"/>
      <c r="AN502" s="854"/>
      <c r="AO502" s="854"/>
      <c r="AP502" s="854"/>
      <c r="AQ502" s="854"/>
      <c r="AR502" s="854"/>
      <c r="AS502" s="854"/>
      <c r="AT502" s="854"/>
      <c r="AU502" s="854"/>
      <c r="AV502" s="854"/>
      <c r="AW502" s="854"/>
      <c r="AX502" s="854"/>
      <c r="AY502" s="854"/>
      <c r="AZ502" s="854"/>
      <c r="BA502" s="854"/>
      <c r="BB502" s="854"/>
      <c r="BC502" s="854"/>
      <c r="BD502" s="854"/>
      <c r="BE502" s="854"/>
      <c r="BF502" s="854"/>
      <c r="BG502" s="854"/>
      <c r="BH502" s="854"/>
      <c r="BI502" s="854"/>
      <c r="BJ502" s="854"/>
      <c r="BK502" s="854"/>
      <c r="BL502" s="854"/>
      <c r="BM502" s="854"/>
      <c r="BN502" s="854"/>
      <c r="BO502" s="854"/>
      <c r="BP502" s="854"/>
      <c r="BQ502" s="854"/>
      <c r="BR502" s="854"/>
      <c r="BS502" s="854"/>
      <c r="BT502" s="854"/>
      <c r="BU502" s="854"/>
      <c r="BV502" s="854"/>
      <c r="BW502" s="854"/>
      <c r="BX502" s="854"/>
      <c r="BY502" s="854"/>
      <c r="BZ502" s="854"/>
      <c r="CA502" s="571">
        <f>IF(OR(I502="",I502&lt;'Configs &amp; Procedures'!$L$29),0,IF(I502&gt;'Configs &amp; Procedures'!$L$30,1,IF(F502&gt;'Configs &amp; Procedures'!$L$31,0,1)))</f>
        <v>0</v>
      </c>
    </row>
    <row r="503" spans="2:79">
      <c r="B503" s="854"/>
      <c r="C503" s="854"/>
      <c r="D503" s="854"/>
      <c r="E503" s="854"/>
      <c r="F503" s="854"/>
      <c r="G503" s="854"/>
      <c r="H503" s="854"/>
      <c r="I503" s="854"/>
      <c r="J503" s="854"/>
      <c r="K503" s="854"/>
      <c r="L503" s="854"/>
      <c r="M503" s="854"/>
      <c r="N503" s="854"/>
      <c r="O503" s="854"/>
      <c r="P503" s="854"/>
      <c r="Q503" s="854"/>
      <c r="R503" s="854"/>
      <c r="S503" s="854"/>
      <c r="T503" s="854"/>
      <c r="U503" s="854"/>
      <c r="V503" s="854"/>
      <c r="W503" s="854"/>
      <c r="X503" s="854"/>
      <c r="Y503" s="854"/>
      <c r="Z503" s="854"/>
      <c r="AA503" s="854"/>
      <c r="AB503" s="854"/>
      <c r="AC503" s="854"/>
      <c r="AD503" s="854"/>
      <c r="AE503" s="854"/>
      <c r="AF503" s="854"/>
      <c r="AG503" s="854"/>
      <c r="AH503" s="854"/>
      <c r="AI503" s="854"/>
      <c r="AJ503" s="854"/>
      <c r="AK503" s="854"/>
      <c r="AL503" s="854"/>
      <c r="AM503" s="854"/>
      <c r="AN503" s="854"/>
      <c r="AO503" s="854"/>
      <c r="AP503" s="854"/>
      <c r="AQ503" s="854"/>
      <c r="AR503" s="854"/>
      <c r="AS503" s="854"/>
      <c r="AT503" s="854"/>
      <c r="AU503" s="854"/>
      <c r="AV503" s="854"/>
      <c r="AW503" s="854"/>
      <c r="AX503" s="854"/>
      <c r="AY503" s="854"/>
      <c r="AZ503" s="854"/>
      <c r="BA503" s="854"/>
      <c r="BB503" s="854"/>
      <c r="BC503" s="854"/>
      <c r="BD503" s="854"/>
      <c r="BE503" s="854"/>
      <c r="BF503" s="854"/>
      <c r="BG503" s="854"/>
      <c r="BH503" s="854"/>
      <c r="BI503" s="854"/>
      <c r="BJ503" s="854"/>
      <c r="BK503" s="854"/>
      <c r="BL503" s="854"/>
      <c r="BM503" s="854"/>
      <c r="BN503" s="854"/>
      <c r="BO503" s="854"/>
      <c r="BP503" s="854"/>
      <c r="BQ503" s="854"/>
      <c r="BR503" s="854"/>
      <c r="BS503" s="854"/>
      <c r="BT503" s="854"/>
      <c r="BU503" s="854"/>
      <c r="BV503" s="854"/>
      <c r="BW503" s="854"/>
      <c r="BX503" s="854"/>
      <c r="BY503" s="854"/>
      <c r="BZ503" s="854"/>
      <c r="CA503" s="571">
        <f>IF(OR(I503="",I503&lt;'Configs &amp; Procedures'!$L$29),0,IF(I503&gt;'Configs &amp; Procedures'!$L$30,1,IF(F503&gt;'Configs &amp; Procedures'!$L$31,0,1)))</f>
        <v>0</v>
      </c>
    </row>
    <row r="504" spans="2:79">
      <c r="B504" s="854"/>
      <c r="C504" s="854"/>
      <c r="D504" s="854"/>
      <c r="E504" s="854"/>
      <c r="F504" s="854"/>
      <c r="G504" s="854"/>
      <c r="H504" s="854"/>
      <c r="I504" s="854"/>
      <c r="J504" s="854"/>
      <c r="K504" s="854"/>
      <c r="L504" s="854"/>
      <c r="M504" s="854"/>
      <c r="N504" s="854"/>
      <c r="O504" s="854"/>
      <c r="P504" s="854"/>
      <c r="Q504" s="854"/>
      <c r="R504" s="854"/>
      <c r="S504" s="854"/>
      <c r="T504" s="854"/>
      <c r="U504" s="854"/>
      <c r="V504" s="854"/>
      <c r="W504" s="854"/>
      <c r="X504" s="854"/>
      <c r="Y504" s="854"/>
      <c r="Z504" s="854"/>
      <c r="AA504" s="854"/>
      <c r="AB504" s="854"/>
      <c r="AC504" s="854"/>
      <c r="AD504" s="854"/>
      <c r="AE504" s="854"/>
      <c r="AF504" s="854"/>
      <c r="AG504" s="854"/>
      <c r="AH504" s="854"/>
      <c r="AI504" s="854"/>
      <c r="AJ504" s="854"/>
      <c r="AK504" s="854"/>
      <c r="AL504" s="854"/>
      <c r="AM504" s="854"/>
      <c r="AN504" s="854"/>
      <c r="AO504" s="854"/>
      <c r="AP504" s="854"/>
      <c r="AQ504" s="854"/>
      <c r="AR504" s="854"/>
      <c r="AS504" s="854"/>
      <c r="AT504" s="854"/>
      <c r="AU504" s="854"/>
      <c r="AV504" s="854"/>
      <c r="AW504" s="854"/>
      <c r="AX504" s="854"/>
      <c r="AY504" s="854"/>
      <c r="AZ504" s="854"/>
      <c r="BA504" s="854"/>
      <c r="BB504" s="854"/>
      <c r="BC504" s="854"/>
      <c r="BD504" s="854"/>
      <c r="BE504" s="854"/>
      <c r="BF504" s="854"/>
      <c r="BG504" s="854"/>
      <c r="BH504" s="854"/>
      <c r="BI504" s="854"/>
      <c r="BJ504" s="854"/>
      <c r="BK504" s="854"/>
      <c r="BL504" s="854"/>
      <c r="BM504" s="854"/>
      <c r="BN504" s="854"/>
      <c r="BO504" s="854"/>
      <c r="BP504" s="854"/>
      <c r="BQ504" s="854"/>
      <c r="BR504" s="854"/>
      <c r="BS504" s="854"/>
      <c r="BT504" s="854"/>
      <c r="BU504" s="854"/>
      <c r="BV504" s="854"/>
      <c r="BW504" s="854"/>
      <c r="BX504" s="854"/>
      <c r="BY504" s="854"/>
      <c r="BZ504" s="854"/>
      <c r="CA504" s="571">
        <f>IF(OR(I504="",I504&lt;'Configs &amp; Procedures'!$L$29),0,IF(I504&gt;'Configs &amp; Procedures'!$L$30,1,IF(F504&gt;'Configs &amp; Procedures'!$L$31,0,1)))</f>
        <v>0</v>
      </c>
    </row>
    <row r="505" spans="2:79">
      <c r="B505" s="854"/>
      <c r="C505" s="854"/>
      <c r="D505" s="854"/>
      <c r="E505" s="854"/>
      <c r="F505" s="854"/>
      <c r="G505" s="854"/>
      <c r="H505" s="854"/>
      <c r="I505" s="854"/>
      <c r="J505" s="854"/>
      <c r="K505" s="854"/>
      <c r="L505" s="854"/>
      <c r="M505" s="854"/>
      <c r="N505" s="854"/>
      <c r="O505" s="854"/>
      <c r="P505" s="854"/>
      <c r="Q505" s="854"/>
      <c r="R505" s="854"/>
      <c r="S505" s="854"/>
      <c r="T505" s="854"/>
      <c r="U505" s="854"/>
      <c r="V505" s="854"/>
      <c r="W505" s="854"/>
      <c r="X505" s="854"/>
      <c r="Y505" s="854"/>
      <c r="Z505" s="854"/>
      <c r="AA505" s="854"/>
      <c r="AB505" s="854"/>
      <c r="AC505" s="854"/>
      <c r="AD505" s="854"/>
      <c r="AE505" s="854"/>
      <c r="AF505" s="854"/>
      <c r="AG505" s="854"/>
      <c r="AH505" s="854"/>
      <c r="AI505" s="854"/>
      <c r="AJ505" s="854"/>
      <c r="AK505" s="854"/>
      <c r="AL505" s="854"/>
      <c r="AM505" s="854"/>
      <c r="AN505" s="854"/>
      <c r="AO505" s="854"/>
      <c r="AP505" s="854"/>
      <c r="AQ505" s="854"/>
      <c r="AR505" s="854"/>
      <c r="AS505" s="854"/>
      <c r="AT505" s="854"/>
      <c r="AU505" s="854"/>
      <c r="AV505" s="854"/>
      <c r="AW505" s="854"/>
      <c r="AX505" s="854"/>
      <c r="AY505" s="854"/>
      <c r="AZ505" s="854"/>
      <c r="BA505" s="854"/>
      <c r="BB505" s="854"/>
      <c r="BC505" s="854"/>
      <c r="BD505" s="854"/>
      <c r="BE505" s="854"/>
      <c r="BF505" s="854"/>
      <c r="BG505" s="854"/>
      <c r="BH505" s="854"/>
      <c r="BI505" s="854"/>
      <c r="BJ505" s="854"/>
      <c r="BK505" s="854"/>
      <c r="BL505" s="854"/>
      <c r="BM505" s="854"/>
      <c r="BN505" s="854"/>
      <c r="BO505" s="854"/>
      <c r="BP505" s="854"/>
      <c r="BQ505" s="854"/>
      <c r="BR505" s="854"/>
      <c r="BS505" s="854"/>
      <c r="BT505" s="854"/>
      <c r="BU505" s="854"/>
      <c r="BV505" s="854"/>
      <c r="BW505" s="854"/>
      <c r="BX505" s="854"/>
      <c r="BY505" s="854"/>
      <c r="BZ505" s="854"/>
      <c r="CA505" s="571">
        <f>IF(OR(I505="",I505&lt;'Configs &amp; Procedures'!$L$29),0,IF(I505&gt;'Configs &amp; Procedures'!$L$30,1,IF(F505&gt;'Configs &amp; Procedures'!$L$31,0,1)))</f>
        <v>0</v>
      </c>
    </row>
    <row r="506" spans="2:79">
      <c r="B506" s="854"/>
      <c r="C506" s="854"/>
      <c r="D506" s="854"/>
      <c r="E506" s="854"/>
      <c r="F506" s="854"/>
      <c r="G506" s="854"/>
      <c r="H506" s="854"/>
      <c r="I506" s="854"/>
      <c r="J506" s="854"/>
      <c r="K506" s="854"/>
      <c r="L506" s="854"/>
      <c r="M506" s="854"/>
      <c r="N506" s="854"/>
      <c r="O506" s="854"/>
      <c r="P506" s="854"/>
      <c r="Q506" s="854"/>
      <c r="R506" s="854"/>
      <c r="S506" s="854"/>
      <c r="T506" s="854"/>
      <c r="U506" s="854"/>
      <c r="V506" s="854"/>
      <c r="W506" s="854"/>
      <c r="X506" s="854"/>
      <c r="Y506" s="854"/>
      <c r="Z506" s="854"/>
      <c r="AA506" s="854"/>
      <c r="AB506" s="854"/>
      <c r="AC506" s="854"/>
      <c r="AD506" s="854"/>
      <c r="AE506" s="854"/>
      <c r="AF506" s="854"/>
      <c r="AG506" s="854"/>
      <c r="AH506" s="854"/>
      <c r="AI506" s="854"/>
      <c r="AJ506" s="854"/>
      <c r="AK506" s="854"/>
      <c r="AL506" s="854"/>
      <c r="AM506" s="854"/>
      <c r="AN506" s="854"/>
      <c r="AO506" s="854"/>
      <c r="AP506" s="854"/>
      <c r="AQ506" s="854"/>
      <c r="AR506" s="854"/>
      <c r="AS506" s="854"/>
      <c r="AT506" s="854"/>
      <c r="AU506" s="854"/>
      <c r="AV506" s="854"/>
      <c r="AW506" s="854"/>
      <c r="AX506" s="854"/>
      <c r="AY506" s="854"/>
      <c r="AZ506" s="854"/>
      <c r="BA506" s="854"/>
      <c r="BB506" s="854"/>
      <c r="BC506" s="854"/>
      <c r="BD506" s="854"/>
      <c r="BE506" s="854"/>
      <c r="BF506" s="854"/>
      <c r="BG506" s="854"/>
      <c r="BH506" s="854"/>
      <c r="BI506" s="854"/>
      <c r="BJ506" s="854"/>
      <c r="BK506" s="854"/>
      <c r="BL506" s="854"/>
      <c r="BM506" s="854"/>
      <c r="BN506" s="854"/>
      <c r="BO506" s="854"/>
      <c r="BP506" s="854"/>
      <c r="BQ506" s="854"/>
      <c r="BR506" s="854"/>
      <c r="BS506" s="854"/>
      <c r="BT506" s="854"/>
      <c r="BU506" s="854"/>
      <c r="BV506" s="854"/>
      <c r="BW506" s="854"/>
      <c r="BX506" s="854"/>
      <c r="BY506" s="854"/>
      <c r="BZ506" s="854"/>
      <c r="CA506" s="571">
        <f>IF(OR(I506="",I506&lt;'Configs &amp; Procedures'!$L$29),0,IF(I506&gt;'Configs &amp; Procedures'!$L$30,1,IF(F506&gt;'Configs &amp; Procedures'!$L$31,0,1)))</f>
        <v>0</v>
      </c>
    </row>
    <row r="507" spans="2:79">
      <c r="B507" s="854"/>
      <c r="C507" s="854"/>
      <c r="D507" s="854"/>
      <c r="E507" s="854"/>
      <c r="F507" s="854"/>
      <c r="G507" s="854"/>
      <c r="H507" s="854"/>
      <c r="I507" s="854"/>
      <c r="J507" s="854"/>
      <c r="K507" s="854"/>
      <c r="L507" s="854"/>
      <c r="M507" s="854"/>
      <c r="N507" s="854"/>
      <c r="O507" s="854"/>
      <c r="P507" s="854"/>
      <c r="Q507" s="854"/>
      <c r="R507" s="854"/>
      <c r="S507" s="854"/>
      <c r="T507" s="854"/>
      <c r="U507" s="854"/>
      <c r="V507" s="854"/>
      <c r="W507" s="854"/>
      <c r="X507" s="854"/>
      <c r="Y507" s="854"/>
      <c r="Z507" s="854"/>
      <c r="AA507" s="854"/>
      <c r="AB507" s="854"/>
      <c r="AC507" s="854"/>
      <c r="AD507" s="854"/>
      <c r="AE507" s="854"/>
      <c r="AF507" s="854"/>
      <c r="AG507" s="854"/>
      <c r="AH507" s="854"/>
      <c r="AI507" s="854"/>
      <c r="AJ507" s="854"/>
      <c r="AK507" s="854"/>
      <c r="AL507" s="854"/>
      <c r="AM507" s="854"/>
      <c r="AN507" s="854"/>
      <c r="AO507" s="854"/>
      <c r="AP507" s="854"/>
      <c r="AQ507" s="854"/>
      <c r="AR507" s="854"/>
      <c r="AS507" s="854"/>
      <c r="AT507" s="854"/>
      <c r="AU507" s="854"/>
      <c r="AV507" s="854"/>
      <c r="AW507" s="854"/>
      <c r="AX507" s="854"/>
      <c r="AY507" s="854"/>
      <c r="AZ507" s="854"/>
      <c r="BA507" s="854"/>
      <c r="BB507" s="854"/>
      <c r="BC507" s="854"/>
      <c r="BD507" s="854"/>
      <c r="BE507" s="854"/>
      <c r="BF507" s="854"/>
      <c r="BG507" s="854"/>
      <c r="BH507" s="854"/>
      <c r="BI507" s="854"/>
      <c r="BJ507" s="854"/>
      <c r="BK507" s="854"/>
      <c r="BL507" s="854"/>
      <c r="BM507" s="854"/>
      <c r="BN507" s="854"/>
      <c r="BO507" s="854"/>
      <c r="BP507" s="854"/>
      <c r="BQ507" s="854"/>
      <c r="BR507" s="854"/>
      <c r="BS507" s="854"/>
      <c r="BT507" s="854"/>
      <c r="BU507" s="854"/>
      <c r="BV507" s="854"/>
      <c r="BW507" s="854"/>
      <c r="BX507" s="854"/>
      <c r="BY507" s="854"/>
      <c r="BZ507" s="854"/>
      <c r="CA507" s="571">
        <f>IF(OR(I507="",I507&lt;'Configs &amp; Procedures'!$L$29),0,IF(I507&gt;'Configs &amp; Procedures'!$L$30,1,IF(F507&gt;'Configs &amp; Procedures'!$L$31,0,1)))</f>
        <v>0</v>
      </c>
    </row>
    <row r="508" spans="2:79">
      <c r="B508" s="854"/>
      <c r="C508" s="854"/>
      <c r="D508" s="854"/>
      <c r="E508" s="854"/>
      <c r="F508" s="854"/>
      <c r="G508" s="854"/>
      <c r="H508" s="854"/>
      <c r="I508" s="854"/>
      <c r="J508" s="854"/>
      <c r="K508" s="854"/>
      <c r="L508" s="854"/>
      <c r="M508" s="854"/>
      <c r="N508" s="854"/>
      <c r="O508" s="854"/>
      <c r="P508" s="854"/>
      <c r="Q508" s="854"/>
      <c r="R508" s="854"/>
      <c r="S508" s="854"/>
      <c r="T508" s="854"/>
      <c r="U508" s="854"/>
      <c r="V508" s="854"/>
      <c r="W508" s="854"/>
      <c r="X508" s="854"/>
      <c r="Y508" s="854"/>
      <c r="Z508" s="854"/>
      <c r="AA508" s="854"/>
      <c r="AB508" s="854"/>
      <c r="AC508" s="854"/>
      <c r="AD508" s="854"/>
      <c r="AE508" s="854"/>
      <c r="AF508" s="854"/>
      <c r="AG508" s="854"/>
      <c r="AH508" s="854"/>
      <c r="AI508" s="854"/>
      <c r="AJ508" s="854"/>
      <c r="AK508" s="854"/>
      <c r="AL508" s="854"/>
      <c r="AM508" s="854"/>
      <c r="AN508" s="854"/>
      <c r="AO508" s="854"/>
      <c r="AP508" s="854"/>
      <c r="AQ508" s="854"/>
      <c r="AR508" s="854"/>
      <c r="AS508" s="854"/>
      <c r="AT508" s="854"/>
      <c r="AU508" s="854"/>
      <c r="AV508" s="854"/>
      <c r="AW508" s="854"/>
      <c r="AX508" s="854"/>
      <c r="AY508" s="854"/>
      <c r="AZ508" s="854"/>
      <c r="BA508" s="854"/>
      <c r="BB508" s="854"/>
      <c r="BC508" s="854"/>
      <c r="BD508" s="854"/>
      <c r="BE508" s="854"/>
      <c r="BF508" s="854"/>
      <c r="BG508" s="854"/>
      <c r="BH508" s="854"/>
      <c r="BI508" s="854"/>
      <c r="BJ508" s="854"/>
      <c r="BK508" s="854"/>
      <c r="BL508" s="854"/>
      <c r="BM508" s="854"/>
      <c r="BN508" s="854"/>
      <c r="BO508" s="854"/>
      <c r="BP508" s="854"/>
      <c r="BQ508" s="854"/>
      <c r="BR508" s="854"/>
      <c r="BS508" s="854"/>
      <c r="BT508" s="854"/>
      <c r="BU508" s="854"/>
      <c r="BV508" s="854"/>
      <c r="BW508" s="854"/>
      <c r="BX508" s="854"/>
      <c r="BY508" s="854"/>
      <c r="BZ508" s="854"/>
      <c r="CA508" s="571">
        <f>IF(OR(I508="",I508&lt;'Configs &amp; Procedures'!$L$29),0,IF(I508&gt;'Configs &amp; Procedures'!$L$30,1,IF(F508&gt;'Configs &amp; Procedures'!$L$31,0,1)))</f>
        <v>0</v>
      </c>
    </row>
    <row r="509" spans="2:79">
      <c r="B509" s="854"/>
      <c r="C509" s="854"/>
      <c r="D509" s="854"/>
      <c r="E509" s="854"/>
      <c r="F509" s="854"/>
      <c r="G509" s="854"/>
      <c r="H509" s="854"/>
      <c r="I509" s="854"/>
      <c r="J509" s="854"/>
      <c r="K509" s="854"/>
      <c r="L509" s="854"/>
      <c r="M509" s="854"/>
      <c r="N509" s="854"/>
      <c r="O509" s="854"/>
      <c r="P509" s="854"/>
      <c r="Q509" s="854"/>
      <c r="R509" s="854"/>
      <c r="S509" s="854"/>
      <c r="T509" s="854"/>
      <c r="U509" s="854"/>
      <c r="V509" s="854"/>
      <c r="W509" s="854"/>
      <c r="X509" s="854"/>
      <c r="Y509" s="854"/>
      <c r="Z509" s="854"/>
      <c r="AA509" s="854"/>
      <c r="AB509" s="854"/>
      <c r="AC509" s="854"/>
      <c r="AD509" s="854"/>
      <c r="AE509" s="854"/>
      <c r="AF509" s="854"/>
      <c r="AG509" s="854"/>
      <c r="AH509" s="854"/>
      <c r="AI509" s="854"/>
      <c r="AJ509" s="854"/>
      <c r="AK509" s="854"/>
      <c r="AL509" s="854"/>
      <c r="AM509" s="854"/>
      <c r="AN509" s="854"/>
      <c r="AO509" s="854"/>
      <c r="AP509" s="854"/>
      <c r="AQ509" s="854"/>
      <c r="AR509" s="854"/>
      <c r="AS509" s="854"/>
      <c r="AT509" s="854"/>
      <c r="AU509" s="854"/>
      <c r="AV509" s="854"/>
      <c r="AW509" s="854"/>
      <c r="AX509" s="854"/>
      <c r="AY509" s="854"/>
      <c r="AZ509" s="854"/>
      <c r="BA509" s="854"/>
      <c r="BB509" s="854"/>
      <c r="BC509" s="854"/>
      <c r="BD509" s="854"/>
      <c r="BE509" s="854"/>
      <c r="BF509" s="854"/>
      <c r="BG509" s="854"/>
      <c r="BH509" s="854"/>
      <c r="BI509" s="854"/>
      <c r="BJ509" s="854"/>
      <c r="BK509" s="854"/>
      <c r="BL509" s="854"/>
      <c r="BM509" s="854"/>
      <c r="BN509" s="854"/>
      <c r="BO509" s="854"/>
      <c r="BP509" s="854"/>
      <c r="BQ509" s="854"/>
      <c r="BR509" s="854"/>
      <c r="BS509" s="854"/>
      <c r="BT509" s="854"/>
      <c r="BU509" s="854"/>
      <c r="BV509" s="854"/>
      <c r="BW509" s="854"/>
      <c r="BX509" s="854"/>
      <c r="BY509" s="854"/>
      <c r="BZ509" s="854"/>
      <c r="CA509" s="571">
        <f>IF(OR(I509="",I509&lt;'Configs &amp; Procedures'!$L$29),0,IF(I509&gt;'Configs &amp; Procedures'!$L$30,1,IF(F509&gt;'Configs &amp; Procedures'!$L$31,0,1)))</f>
        <v>0</v>
      </c>
    </row>
    <row r="510" spans="2:79">
      <c r="B510" s="854"/>
      <c r="C510" s="854"/>
      <c r="D510" s="854"/>
      <c r="E510" s="854"/>
      <c r="F510" s="854"/>
      <c r="G510" s="854"/>
      <c r="H510" s="854"/>
      <c r="I510" s="854"/>
      <c r="J510" s="854"/>
      <c r="K510" s="854"/>
      <c r="L510" s="854"/>
      <c r="M510" s="854"/>
      <c r="N510" s="854"/>
      <c r="O510" s="854"/>
      <c r="P510" s="854"/>
      <c r="Q510" s="854"/>
      <c r="R510" s="854"/>
      <c r="S510" s="854"/>
      <c r="T510" s="854"/>
      <c r="U510" s="854"/>
      <c r="V510" s="854"/>
      <c r="W510" s="854"/>
      <c r="X510" s="854"/>
      <c r="Y510" s="854"/>
      <c r="Z510" s="854"/>
      <c r="AA510" s="854"/>
      <c r="AB510" s="854"/>
      <c r="AC510" s="854"/>
      <c r="AD510" s="854"/>
      <c r="AE510" s="854"/>
      <c r="AF510" s="854"/>
      <c r="AG510" s="854"/>
      <c r="AH510" s="854"/>
      <c r="AI510" s="854"/>
      <c r="AJ510" s="854"/>
      <c r="AK510" s="854"/>
      <c r="AL510" s="854"/>
      <c r="AM510" s="854"/>
      <c r="AN510" s="854"/>
      <c r="AO510" s="854"/>
      <c r="AP510" s="854"/>
      <c r="AQ510" s="854"/>
      <c r="AR510" s="854"/>
      <c r="AS510" s="854"/>
      <c r="AT510" s="854"/>
      <c r="AU510" s="854"/>
      <c r="AV510" s="854"/>
      <c r="AW510" s="854"/>
      <c r="AX510" s="854"/>
      <c r="AY510" s="854"/>
      <c r="AZ510" s="854"/>
      <c r="BA510" s="854"/>
      <c r="BB510" s="854"/>
      <c r="BC510" s="854"/>
      <c r="BD510" s="854"/>
      <c r="BE510" s="854"/>
      <c r="BF510" s="854"/>
      <c r="BG510" s="854"/>
      <c r="BH510" s="854"/>
      <c r="BI510" s="854"/>
      <c r="BJ510" s="854"/>
      <c r="BK510" s="854"/>
      <c r="BL510" s="854"/>
      <c r="BM510" s="854"/>
      <c r="BN510" s="854"/>
      <c r="BO510" s="854"/>
      <c r="BP510" s="854"/>
      <c r="BQ510" s="854"/>
      <c r="BR510" s="854"/>
      <c r="BS510" s="854"/>
      <c r="BT510" s="854"/>
      <c r="BU510" s="854"/>
      <c r="BV510" s="854"/>
      <c r="BW510" s="854"/>
      <c r="BX510" s="854"/>
      <c r="BY510" s="854"/>
      <c r="BZ510" s="854"/>
      <c r="CA510" s="571">
        <f>IF(OR(I510="",I510&lt;'Configs &amp; Procedures'!$L$29),0,IF(I510&gt;'Configs &amp; Procedures'!$L$30,1,IF(F510&gt;'Configs &amp; Procedures'!$L$31,0,1)))</f>
        <v>0</v>
      </c>
    </row>
    <row r="511" spans="2:79">
      <c r="B511" s="854"/>
      <c r="C511" s="854"/>
      <c r="D511" s="854"/>
      <c r="E511" s="854"/>
      <c r="F511" s="854"/>
      <c r="G511" s="854"/>
      <c r="H511" s="854"/>
      <c r="I511" s="854"/>
      <c r="J511" s="854"/>
      <c r="K511" s="854"/>
      <c r="L511" s="854"/>
      <c r="M511" s="854"/>
      <c r="N511" s="854"/>
      <c r="O511" s="854"/>
      <c r="P511" s="854"/>
      <c r="Q511" s="854"/>
      <c r="R511" s="854"/>
      <c r="S511" s="854"/>
      <c r="T511" s="854"/>
      <c r="U511" s="854"/>
      <c r="V511" s="854"/>
      <c r="W511" s="854"/>
      <c r="X511" s="854"/>
      <c r="Y511" s="854"/>
      <c r="Z511" s="854"/>
      <c r="AA511" s="854"/>
      <c r="AB511" s="854"/>
      <c r="AC511" s="854"/>
      <c r="AD511" s="854"/>
      <c r="AE511" s="854"/>
      <c r="AF511" s="854"/>
      <c r="AG511" s="854"/>
      <c r="AH511" s="854"/>
      <c r="AI511" s="854"/>
      <c r="AJ511" s="854"/>
      <c r="AK511" s="854"/>
      <c r="AL511" s="854"/>
      <c r="AM511" s="854"/>
      <c r="AN511" s="854"/>
      <c r="AO511" s="854"/>
      <c r="AP511" s="854"/>
      <c r="AQ511" s="854"/>
      <c r="AR511" s="854"/>
      <c r="AS511" s="854"/>
      <c r="AT511" s="854"/>
      <c r="AU511" s="854"/>
      <c r="AV511" s="854"/>
      <c r="AW511" s="854"/>
      <c r="AX511" s="854"/>
      <c r="AY511" s="854"/>
      <c r="AZ511" s="854"/>
      <c r="BA511" s="854"/>
      <c r="BB511" s="854"/>
      <c r="BC511" s="854"/>
      <c r="BD511" s="854"/>
      <c r="BE511" s="854"/>
      <c r="BF511" s="854"/>
      <c r="BG511" s="854"/>
      <c r="BH511" s="854"/>
      <c r="BI511" s="854"/>
      <c r="BJ511" s="854"/>
      <c r="BK511" s="854"/>
      <c r="BL511" s="854"/>
      <c r="BM511" s="854"/>
      <c r="BN511" s="854"/>
      <c r="BO511" s="854"/>
      <c r="BP511" s="854"/>
      <c r="BQ511" s="854"/>
      <c r="BR511" s="854"/>
      <c r="BS511" s="854"/>
      <c r="BT511" s="854"/>
      <c r="BU511" s="854"/>
      <c r="BV511" s="854"/>
      <c r="BW511" s="854"/>
      <c r="BX511" s="854"/>
      <c r="BY511" s="854"/>
      <c r="BZ511" s="854"/>
      <c r="CA511" s="571">
        <f>IF(OR(I511="",I511&lt;'Configs &amp; Procedures'!$L$29),0,IF(I511&gt;'Configs &amp; Procedures'!$L$30,1,IF(F511&gt;'Configs &amp; Procedures'!$L$31,0,1)))</f>
        <v>0</v>
      </c>
    </row>
    <row r="512" spans="2:79">
      <c r="B512" s="854"/>
      <c r="C512" s="854"/>
      <c r="D512" s="854"/>
      <c r="E512" s="854"/>
      <c r="F512" s="854"/>
      <c r="G512" s="854"/>
      <c r="H512" s="854"/>
      <c r="I512" s="854"/>
      <c r="J512" s="854"/>
      <c r="K512" s="854"/>
      <c r="L512" s="854"/>
      <c r="M512" s="854"/>
      <c r="N512" s="854"/>
      <c r="O512" s="854"/>
      <c r="P512" s="854"/>
      <c r="Q512" s="854"/>
      <c r="R512" s="854"/>
      <c r="S512" s="854"/>
      <c r="T512" s="854"/>
      <c r="U512" s="854"/>
      <c r="V512" s="854"/>
      <c r="W512" s="854"/>
      <c r="X512" s="854"/>
      <c r="Y512" s="854"/>
      <c r="Z512" s="854"/>
      <c r="AA512" s="854"/>
      <c r="AB512" s="854"/>
      <c r="AC512" s="854"/>
      <c r="AD512" s="854"/>
      <c r="AE512" s="854"/>
      <c r="AF512" s="854"/>
      <c r="AG512" s="854"/>
      <c r="AH512" s="854"/>
      <c r="AI512" s="854"/>
      <c r="AJ512" s="854"/>
      <c r="AK512" s="854"/>
      <c r="AL512" s="854"/>
      <c r="AM512" s="854"/>
      <c r="AN512" s="854"/>
      <c r="AO512" s="854"/>
      <c r="AP512" s="854"/>
      <c r="AQ512" s="854"/>
      <c r="AR512" s="854"/>
      <c r="AS512" s="854"/>
      <c r="AT512" s="854"/>
      <c r="AU512" s="854"/>
      <c r="AV512" s="854"/>
      <c r="AW512" s="854"/>
      <c r="AX512" s="854"/>
      <c r="AY512" s="854"/>
      <c r="AZ512" s="854"/>
      <c r="BA512" s="854"/>
      <c r="BB512" s="854"/>
      <c r="BC512" s="854"/>
      <c r="BD512" s="854"/>
      <c r="BE512" s="854"/>
      <c r="BF512" s="854"/>
      <c r="BG512" s="854"/>
      <c r="BH512" s="854"/>
      <c r="BI512" s="854"/>
      <c r="BJ512" s="854"/>
      <c r="BK512" s="854"/>
      <c r="BL512" s="854"/>
      <c r="BM512" s="854"/>
      <c r="BN512" s="854"/>
      <c r="BO512" s="854"/>
      <c r="BP512" s="854"/>
      <c r="BQ512" s="854"/>
      <c r="BR512" s="854"/>
      <c r="BS512" s="854"/>
      <c r="BT512" s="854"/>
      <c r="BU512" s="854"/>
      <c r="BV512" s="854"/>
      <c r="BW512" s="854"/>
      <c r="BX512" s="854"/>
      <c r="BY512" s="854"/>
      <c r="BZ512" s="854"/>
      <c r="CA512" s="571">
        <f>IF(OR(I512="",I512&lt;'Configs &amp; Procedures'!$L$29),0,IF(I512&gt;'Configs &amp; Procedures'!$L$30,1,IF(F512&gt;'Configs &amp; Procedures'!$L$31,0,1)))</f>
        <v>0</v>
      </c>
    </row>
    <row r="513" spans="2:79">
      <c r="B513" s="854"/>
      <c r="C513" s="854"/>
      <c r="D513" s="854"/>
      <c r="E513" s="854"/>
      <c r="F513" s="854"/>
      <c r="G513" s="854"/>
      <c r="H513" s="854"/>
      <c r="I513" s="854"/>
      <c r="J513" s="854"/>
      <c r="K513" s="854"/>
      <c r="L513" s="854"/>
      <c r="M513" s="854"/>
      <c r="N513" s="854"/>
      <c r="O513" s="854"/>
      <c r="P513" s="854"/>
      <c r="Q513" s="854"/>
      <c r="R513" s="854"/>
      <c r="S513" s="854"/>
      <c r="T513" s="854"/>
      <c r="U513" s="854"/>
      <c r="V513" s="854"/>
      <c r="W513" s="854"/>
      <c r="X513" s="854"/>
      <c r="Y513" s="854"/>
      <c r="Z513" s="854"/>
      <c r="AA513" s="854"/>
      <c r="AB513" s="854"/>
      <c r="AC513" s="854"/>
      <c r="AD513" s="854"/>
      <c r="AE513" s="854"/>
      <c r="AF513" s="854"/>
      <c r="AG513" s="854"/>
      <c r="AH513" s="854"/>
      <c r="AI513" s="854"/>
      <c r="AJ513" s="854"/>
      <c r="AK513" s="854"/>
      <c r="AL513" s="854"/>
      <c r="AM513" s="854"/>
      <c r="AN513" s="854"/>
      <c r="AO513" s="854"/>
      <c r="AP513" s="854"/>
      <c r="AQ513" s="854"/>
      <c r="AR513" s="854"/>
      <c r="AS513" s="854"/>
      <c r="AT513" s="854"/>
      <c r="AU513" s="854"/>
      <c r="AV513" s="854"/>
      <c r="AW513" s="854"/>
      <c r="AX513" s="854"/>
      <c r="AY513" s="854"/>
      <c r="AZ513" s="854"/>
      <c r="BA513" s="854"/>
      <c r="BB513" s="854"/>
      <c r="BC513" s="854"/>
      <c r="BD513" s="854"/>
      <c r="BE513" s="854"/>
      <c r="BF513" s="854"/>
      <c r="BG513" s="854"/>
      <c r="BH513" s="854"/>
      <c r="BI513" s="854"/>
      <c r="BJ513" s="854"/>
      <c r="BK513" s="854"/>
      <c r="BL513" s="854"/>
      <c r="BM513" s="854"/>
      <c r="BN513" s="854"/>
      <c r="BO513" s="854"/>
      <c r="BP513" s="854"/>
      <c r="BQ513" s="854"/>
      <c r="BR513" s="854"/>
      <c r="BS513" s="854"/>
      <c r="BT513" s="854"/>
      <c r="BU513" s="854"/>
      <c r="BV513" s="854"/>
      <c r="BW513" s="854"/>
      <c r="BX513" s="854"/>
      <c r="BY513" s="854"/>
      <c r="BZ513" s="854"/>
      <c r="CA513" s="571">
        <f>IF(OR(I513="",I513&lt;'Configs &amp; Procedures'!$L$29),0,IF(I513&gt;'Configs &amp; Procedures'!$L$30,1,IF(F513&gt;'Configs &amp; Procedures'!$L$31,0,1)))</f>
        <v>0</v>
      </c>
    </row>
    <row r="514" spans="2:79">
      <c r="B514" s="854"/>
      <c r="C514" s="854"/>
      <c r="D514" s="854"/>
      <c r="E514" s="854"/>
      <c r="F514" s="854"/>
      <c r="G514" s="854"/>
      <c r="H514" s="854"/>
      <c r="I514" s="854"/>
      <c r="J514" s="854"/>
      <c r="K514" s="854"/>
      <c r="L514" s="854"/>
      <c r="M514" s="854"/>
      <c r="N514" s="854"/>
      <c r="O514" s="854"/>
      <c r="P514" s="854"/>
      <c r="Q514" s="854"/>
      <c r="R514" s="854"/>
      <c r="S514" s="854"/>
      <c r="T514" s="854"/>
      <c r="U514" s="854"/>
      <c r="V514" s="854"/>
      <c r="W514" s="854"/>
      <c r="X514" s="854"/>
      <c r="Y514" s="854"/>
      <c r="Z514" s="854"/>
      <c r="AA514" s="854"/>
      <c r="AB514" s="854"/>
      <c r="AC514" s="854"/>
      <c r="AD514" s="854"/>
      <c r="AE514" s="854"/>
      <c r="AF514" s="854"/>
      <c r="AG514" s="854"/>
      <c r="AH514" s="854"/>
      <c r="AI514" s="854"/>
      <c r="AJ514" s="854"/>
      <c r="AK514" s="854"/>
      <c r="AL514" s="854"/>
      <c r="AM514" s="854"/>
      <c r="AN514" s="854"/>
      <c r="AO514" s="854"/>
      <c r="AP514" s="854"/>
      <c r="AQ514" s="854"/>
      <c r="AR514" s="854"/>
      <c r="AS514" s="854"/>
      <c r="AT514" s="854"/>
      <c r="AU514" s="854"/>
      <c r="AV514" s="854"/>
      <c r="AW514" s="854"/>
      <c r="AX514" s="854"/>
      <c r="AY514" s="854"/>
      <c r="AZ514" s="854"/>
      <c r="BA514" s="854"/>
      <c r="BB514" s="854"/>
      <c r="BC514" s="854"/>
      <c r="BD514" s="854"/>
      <c r="BE514" s="854"/>
      <c r="BF514" s="854"/>
      <c r="BG514" s="854"/>
      <c r="BH514" s="854"/>
      <c r="BI514" s="854"/>
      <c r="BJ514" s="854"/>
      <c r="BK514" s="854"/>
      <c r="BL514" s="854"/>
      <c r="BM514" s="854"/>
      <c r="BN514" s="854"/>
      <c r="BO514" s="854"/>
      <c r="BP514" s="854"/>
      <c r="BQ514" s="854"/>
      <c r="BR514" s="854"/>
      <c r="BS514" s="854"/>
      <c r="BT514" s="854"/>
      <c r="BU514" s="854"/>
      <c r="BV514" s="854"/>
      <c r="BW514" s="854"/>
      <c r="BX514" s="854"/>
      <c r="BY514" s="854"/>
      <c r="BZ514" s="854"/>
      <c r="CA514" s="571">
        <f>IF(OR(I514="",I514&lt;'Configs &amp; Procedures'!$L$29),0,IF(I514&gt;'Configs &amp; Procedures'!$L$30,1,IF(F514&gt;'Configs &amp; Procedures'!$L$31,0,1)))</f>
        <v>0</v>
      </c>
    </row>
    <row r="515" spans="2:79">
      <c r="B515" s="854"/>
      <c r="C515" s="854"/>
      <c r="D515" s="854"/>
      <c r="E515" s="854"/>
      <c r="F515" s="854"/>
      <c r="G515" s="854"/>
      <c r="H515" s="854"/>
      <c r="I515" s="854"/>
      <c r="J515" s="854"/>
      <c r="K515" s="854"/>
      <c r="L515" s="854"/>
      <c r="M515" s="854"/>
      <c r="N515" s="854"/>
      <c r="O515" s="854"/>
      <c r="P515" s="854"/>
      <c r="Q515" s="854"/>
      <c r="R515" s="854"/>
      <c r="S515" s="854"/>
      <c r="T515" s="854"/>
      <c r="U515" s="854"/>
      <c r="V515" s="854"/>
      <c r="W515" s="854"/>
      <c r="X515" s="854"/>
      <c r="Y515" s="854"/>
      <c r="Z515" s="854"/>
      <c r="AA515" s="854"/>
      <c r="AB515" s="854"/>
      <c r="AC515" s="854"/>
      <c r="AD515" s="854"/>
      <c r="AE515" s="854"/>
      <c r="AF515" s="854"/>
      <c r="AG515" s="854"/>
      <c r="AH515" s="854"/>
      <c r="AI515" s="854"/>
      <c r="AJ515" s="854"/>
      <c r="AK515" s="854"/>
      <c r="AL515" s="854"/>
      <c r="AM515" s="854"/>
      <c r="AN515" s="854"/>
      <c r="AO515" s="854"/>
      <c r="AP515" s="854"/>
      <c r="AQ515" s="854"/>
      <c r="AR515" s="854"/>
      <c r="AS515" s="854"/>
      <c r="AT515" s="854"/>
      <c r="AU515" s="854"/>
      <c r="AV515" s="854"/>
      <c r="AW515" s="854"/>
      <c r="AX515" s="854"/>
      <c r="AY515" s="854"/>
      <c r="AZ515" s="854"/>
      <c r="BA515" s="854"/>
      <c r="BB515" s="854"/>
      <c r="BC515" s="854"/>
      <c r="BD515" s="854"/>
      <c r="BE515" s="854"/>
      <c r="BF515" s="854"/>
      <c r="BG515" s="854"/>
      <c r="BH515" s="854"/>
      <c r="BI515" s="854"/>
      <c r="BJ515" s="854"/>
      <c r="BK515" s="854"/>
      <c r="BL515" s="854"/>
      <c r="BM515" s="854"/>
      <c r="BN515" s="854"/>
      <c r="BO515" s="854"/>
      <c r="BP515" s="854"/>
      <c r="BQ515" s="854"/>
      <c r="BR515" s="854"/>
      <c r="BS515" s="854"/>
      <c r="BT515" s="854"/>
      <c r="BU515" s="854"/>
      <c r="BV515" s="854"/>
      <c r="BW515" s="854"/>
      <c r="BX515" s="854"/>
      <c r="BY515" s="854"/>
      <c r="BZ515" s="854"/>
      <c r="CA515" s="571">
        <f>IF(OR(I515="",I515&lt;'Configs &amp; Procedures'!$L$29),0,IF(I515&gt;'Configs &amp; Procedures'!$L$30,1,IF(F515&gt;'Configs &amp; Procedures'!$L$31,0,1)))</f>
        <v>0</v>
      </c>
    </row>
    <row r="516" spans="2:79">
      <c r="B516" s="854"/>
      <c r="C516" s="854"/>
      <c r="D516" s="854"/>
      <c r="E516" s="854"/>
      <c r="F516" s="854"/>
      <c r="G516" s="854"/>
      <c r="H516" s="854"/>
      <c r="I516" s="854"/>
      <c r="J516" s="854"/>
      <c r="K516" s="854"/>
      <c r="L516" s="854"/>
      <c r="M516" s="854"/>
      <c r="N516" s="854"/>
      <c r="O516" s="854"/>
      <c r="P516" s="854"/>
      <c r="Q516" s="854"/>
      <c r="R516" s="854"/>
      <c r="S516" s="854"/>
      <c r="T516" s="854"/>
      <c r="U516" s="854"/>
      <c r="V516" s="854"/>
      <c r="W516" s="854"/>
      <c r="X516" s="854"/>
      <c r="Y516" s="854"/>
      <c r="Z516" s="854"/>
      <c r="AA516" s="854"/>
      <c r="AB516" s="854"/>
      <c r="AC516" s="854"/>
      <c r="AD516" s="854"/>
      <c r="AE516" s="854"/>
      <c r="AF516" s="854"/>
      <c r="AG516" s="854"/>
      <c r="AH516" s="854"/>
      <c r="AI516" s="854"/>
      <c r="AJ516" s="854"/>
      <c r="AK516" s="854"/>
      <c r="AL516" s="854"/>
      <c r="AM516" s="854"/>
      <c r="AN516" s="854"/>
      <c r="AO516" s="854"/>
      <c r="AP516" s="854"/>
      <c r="AQ516" s="854"/>
      <c r="AR516" s="854"/>
      <c r="AS516" s="854"/>
      <c r="AT516" s="854"/>
      <c r="AU516" s="854"/>
      <c r="AV516" s="854"/>
      <c r="AW516" s="854"/>
      <c r="AX516" s="854"/>
      <c r="AY516" s="854"/>
      <c r="AZ516" s="854"/>
      <c r="BA516" s="854"/>
      <c r="BB516" s="854"/>
      <c r="BC516" s="854"/>
      <c r="BD516" s="854"/>
      <c r="BE516" s="854"/>
      <c r="BF516" s="854"/>
      <c r="BG516" s="854"/>
      <c r="BH516" s="854"/>
      <c r="BI516" s="854"/>
      <c r="BJ516" s="854"/>
      <c r="BK516" s="854"/>
      <c r="BL516" s="854"/>
      <c r="BM516" s="854"/>
      <c r="BN516" s="854"/>
      <c r="BO516" s="854"/>
      <c r="BP516" s="854"/>
      <c r="BQ516" s="854"/>
      <c r="BR516" s="854"/>
      <c r="BS516" s="854"/>
      <c r="BT516" s="854"/>
      <c r="BU516" s="854"/>
      <c r="BV516" s="854"/>
      <c r="BW516" s="854"/>
      <c r="BX516" s="854"/>
      <c r="BY516" s="854"/>
      <c r="BZ516" s="854"/>
      <c r="CA516" s="571">
        <f>IF(OR(I516="",I516&lt;'Configs &amp; Procedures'!$L$29),0,IF(I516&gt;'Configs &amp; Procedures'!$L$30,1,IF(F516&gt;'Configs &amp; Procedures'!$L$31,0,1)))</f>
        <v>0</v>
      </c>
    </row>
    <row r="517" spans="2:79">
      <c r="B517" s="854"/>
      <c r="C517" s="854"/>
      <c r="D517" s="854"/>
      <c r="E517" s="854"/>
      <c r="F517" s="854"/>
      <c r="G517" s="854"/>
      <c r="H517" s="854"/>
      <c r="I517" s="854"/>
      <c r="J517" s="854"/>
      <c r="K517" s="854"/>
      <c r="L517" s="854"/>
      <c r="M517" s="854"/>
      <c r="N517" s="854"/>
      <c r="O517" s="854"/>
      <c r="P517" s="854"/>
      <c r="Q517" s="854"/>
      <c r="R517" s="854"/>
      <c r="S517" s="854"/>
      <c r="T517" s="854"/>
      <c r="U517" s="854"/>
      <c r="V517" s="854"/>
      <c r="W517" s="854"/>
      <c r="X517" s="854"/>
      <c r="Y517" s="854"/>
      <c r="Z517" s="854"/>
      <c r="AA517" s="854"/>
      <c r="AB517" s="854"/>
      <c r="AC517" s="854"/>
      <c r="AD517" s="854"/>
      <c r="AE517" s="854"/>
      <c r="AF517" s="854"/>
      <c r="AG517" s="854"/>
      <c r="AH517" s="854"/>
      <c r="AI517" s="854"/>
      <c r="AJ517" s="854"/>
      <c r="AK517" s="854"/>
      <c r="AL517" s="854"/>
      <c r="AM517" s="854"/>
      <c r="AN517" s="854"/>
      <c r="AO517" s="854"/>
      <c r="AP517" s="854"/>
      <c r="AQ517" s="854"/>
      <c r="AR517" s="854"/>
      <c r="AS517" s="854"/>
      <c r="AT517" s="854"/>
      <c r="AU517" s="854"/>
      <c r="AV517" s="854"/>
      <c r="AW517" s="854"/>
      <c r="AX517" s="854"/>
      <c r="AY517" s="854"/>
      <c r="AZ517" s="854"/>
      <c r="BA517" s="854"/>
      <c r="BB517" s="854"/>
      <c r="BC517" s="854"/>
      <c r="BD517" s="854"/>
      <c r="BE517" s="854"/>
      <c r="BF517" s="854"/>
      <c r="BG517" s="854"/>
      <c r="BH517" s="854"/>
      <c r="BI517" s="854"/>
      <c r="BJ517" s="854"/>
      <c r="BK517" s="854"/>
      <c r="BL517" s="854"/>
      <c r="BM517" s="854"/>
      <c r="BN517" s="854"/>
      <c r="BO517" s="854"/>
      <c r="BP517" s="854"/>
      <c r="BQ517" s="854"/>
      <c r="BR517" s="854"/>
      <c r="BS517" s="854"/>
      <c r="BT517" s="854"/>
      <c r="BU517" s="854"/>
      <c r="BV517" s="854"/>
      <c r="BW517" s="854"/>
      <c r="BX517" s="854"/>
      <c r="BY517" s="854"/>
      <c r="BZ517" s="854"/>
      <c r="CA517" s="571">
        <f>IF(OR(I517="",I517&lt;'Configs &amp; Procedures'!$L$29),0,IF(I517&gt;'Configs &amp; Procedures'!$L$30,1,IF(F517&gt;'Configs &amp; Procedures'!$L$31,0,1)))</f>
        <v>0</v>
      </c>
    </row>
    <row r="518" spans="2:79">
      <c r="B518" s="854"/>
      <c r="C518" s="854"/>
      <c r="D518" s="854"/>
      <c r="E518" s="854"/>
      <c r="F518" s="854"/>
      <c r="G518" s="854"/>
      <c r="H518" s="854"/>
      <c r="I518" s="854"/>
      <c r="J518" s="854"/>
      <c r="K518" s="854"/>
      <c r="L518" s="854"/>
      <c r="M518" s="854"/>
      <c r="N518" s="854"/>
      <c r="O518" s="854"/>
      <c r="P518" s="854"/>
      <c r="Q518" s="854"/>
      <c r="R518" s="854"/>
      <c r="S518" s="854"/>
      <c r="T518" s="854"/>
      <c r="U518" s="854"/>
      <c r="V518" s="854"/>
      <c r="W518" s="854"/>
      <c r="X518" s="854"/>
      <c r="Y518" s="854"/>
      <c r="Z518" s="854"/>
      <c r="AA518" s="854"/>
      <c r="AB518" s="854"/>
      <c r="AC518" s="854"/>
      <c r="AD518" s="854"/>
      <c r="AE518" s="854"/>
      <c r="AF518" s="854"/>
      <c r="AG518" s="854"/>
      <c r="AH518" s="854"/>
      <c r="AI518" s="854"/>
      <c r="AJ518" s="854"/>
      <c r="AK518" s="854"/>
      <c r="AL518" s="854"/>
      <c r="AM518" s="854"/>
      <c r="AN518" s="854"/>
      <c r="AO518" s="854"/>
      <c r="AP518" s="854"/>
      <c r="AQ518" s="854"/>
      <c r="AR518" s="854"/>
      <c r="AS518" s="854"/>
      <c r="AT518" s="854"/>
      <c r="AU518" s="854"/>
      <c r="AV518" s="854"/>
      <c r="AW518" s="854"/>
      <c r="AX518" s="854"/>
      <c r="AY518" s="854"/>
      <c r="AZ518" s="854"/>
      <c r="BA518" s="854"/>
      <c r="BB518" s="854"/>
      <c r="BC518" s="854"/>
      <c r="BD518" s="854"/>
      <c r="BE518" s="854"/>
      <c r="BF518" s="854"/>
      <c r="BG518" s="854"/>
      <c r="BH518" s="854"/>
      <c r="BI518" s="854"/>
      <c r="BJ518" s="854"/>
      <c r="BK518" s="854"/>
      <c r="BL518" s="854"/>
      <c r="BM518" s="854"/>
      <c r="BN518" s="854"/>
      <c r="BO518" s="854"/>
      <c r="BP518" s="854"/>
      <c r="BQ518" s="854"/>
      <c r="BR518" s="854"/>
      <c r="BS518" s="854"/>
      <c r="BT518" s="854"/>
      <c r="BU518" s="854"/>
      <c r="BV518" s="854"/>
      <c r="BW518" s="854"/>
      <c r="BX518" s="854"/>
      <c r="BY518" s="854"/>
      <c r="BZ518" s="854"/>
      <c r="CA518" s="571">
        <f>IF(OR(I518="",I518&lt;'Configs &amp; Procedures'!$L$29),0,IF(I518&gt;'Configs &amp; Procedures'!$L$30,1,IF(F518&gt;'Configs &amp; Procedures'!$L$31,0,1)))</f>
        <v>0</v>
      </c>
    </row>
    <row r="519" spans="2:79">
      <c r="B519" s="854"/>
      <c r="C519" s="854"/>
      <c r="D519" s="854"/>
      <c r="E519" s="854"/>
      <c r="F519" s="854"/>
      <c r="G519" s="854"/>
      <c r="H519" s="854"/>
      <c r="I519" s="854"/>
      <c r="J519" s="854"/>
      <c r="K519" s="854"/>
      <c r="L519" s="854"/>
      <c r="M519" s="854"/>
      <c r="N519" s="854"/>
      <c r="O519" s="854"/>
      <c r="P519" s="854"/>
      <c r="Q519" s="854"/>
      <c r="R519" s="854"/>
      <c r="S519" s="854"/>
      <c r="T519" s="854"/>
      <c r="U519" s="854"/>
      <c r="V519" s="854"/>
      <c r="W519" s="854"/>
      <c r="X519" s="854"/>
      <c r="Y519" s="854"/>
      <c r="Z519" s="854"/>
      <c r="AA519" s="854"/>
      <c r="AB519" s="854"/>
      <c r="AC519" s="854"/>
      <c r="AD519" s="854"/>
      <c r="AE519" s="854"/>
      <c r="AF519" s="854"/>
      <c r="AG519" s="854"/>
      <c r="AH519" s="854"/>
      <c r="AI519" s="854"/>
      <c r="AJ519" s="854"/>
      <c r="AK519" s="854"/>
      <c r="AL519" s="854"/>
      <c r="AM519" s="854"/>
      <c r="AN519" s="854"/>
      <c r="AO519" s="854"/>
      <c r="AP519" s="854"/>
      <c r="AQ519" s="854"/>
      <c r="AR519" s="854"/>
      <c r="AS519" s="854"/>
      <c r="AT519" s="854"/>
      <c r="AU519" s="854"/>
      <c r="AV519" s="854"/>
      <c r="AW519" s="854"/>
      <c r="AX519" s="854"/>
      <c r="AY519" s="854"/>
      <c r="AZ519" s="854"/>
      <c r="BA519" s="854"/>
      <c r="BB519" s="854"/>
      <c r="BC519" s="854"/>
      <c r="BD519" s="854"/>
      <c r="BE519" s="854"/>
      <c r="BF519" s="854"/>
      <c r="BG519" s="854"/>
      <c r="BH519" s="854"/>
      <c r="BI519" s="854"/>
      <c r="BJ519" s="854"/>
      <c r="BK519" s="854"/>
      <c r="BL519" s="854"/>
      <c r="BM519" s="854"/>
      <c r="BN519" s="854"/>
      <c r="BO519" s="854"/>
      <c r="BP519" s="854"/>
      <c r="BQ519" s="854"/>
      <c r="BR519" s="854"/>
      <c r="BS519" s="854"/>
      <c r="BT519" s="854"/>
      <c r="BU519" s="854"/>
      <c r="BV519" s="854"/>
      <c r="BW519" s="854"/>
      <c r="BX519" s="854"/>
      <c r="BY519" s="854"/>
      <c r="BZ519" s="854"/>
      <c r="CA519" s="571">
        <f>IF(OR(I519="",I519&lt;'Configs &amp; Procedures'!$L$29),0,IF(I519&gt;'Configs &amp; Procedures'!$L$30,1,IF(F519&gt;'Configs &amp; Procedures'!$L$31,0,1)))</f>
        <v>0</v>
      </c>
    </row>
    <row r="520" spans="2:79">
      <c r="B520" s="854"/>
      <c r="C520" s="854"/>
      <c r="D520" s="854"/>
      <c r="E520" s="854"/>
      <c r="F520" s="854"/>
      <c r="G520" s="854"/>
      <c r="H520" s="854"/>
      <c r="I520" s="854"/>
      <c r="J520" s="854"/>
      <c r="K520" s="854"/>
      <c r="L520" s="854"/>
      <c r="M520" s="854"/>
      <c r="N520" s="854"/>
      <c r="O520" s="854"/>
      <c r="P520" s="854"/>
      <c r="Q520" s="854"/>
      <c r="R520" s="854"/>
      <c r="S520" s="854"/>
      <c r="T520" s="854"/>
      <c r="U520" s="854"/>
      <c r="V520" s="854"/>
      <c r="W520" s="854"/>
      <c r="X520" s="854"/>
      <c r="Y520" s="854"/>
      <c r="Z520" s="854"/>
      <c r="AA520" s="854"/>
      <c r="AB520" s="854"/>
      <c r="AC520" s="854"/>
      <c r="AD520" s="854"/>
      <c r="AE520" s="854"/>
      <c r="AF520" s="854"/>
      <c r="AG520" s="854"/>
      <c r="AH520" s="854"/>
      <c r="AI520" s="854"/>
      <c r="AJ520" s="854"/>
      <c r="AK520" s="854"/>
      <c r="AL520" s="854"/>
      <c r="AM520" s="854"/>
      <c r="AN520" s="854"/>
      <c r="AO520" s="854"/>
      <c r="AP520" s="854"/>
      <c r="AQ520" s="854"/>
      <c r="AR520" s="854"/>
      <c r="AS520" s="854"/>
      <c r="AT520" s="854"/>
      <c r="AU520" s="854"/>
      <c r="AV520" s="854"/>
      <c r="AW520" s="854"/>
      <c r="AX520" s="854"/>
      <c r="AY520" s="854"/>
      <c r="AZ520" s="854"/>
      <c r="BA520" s="854"/>
      <c r="BB520" s="854"/>
      <c r="BC520" s="854"/>
      <c r="BD520" s="854"/>
      <c r="BE520" s="854"/>
      <c r="BF520" s="854"/>
      <c r="BG520" s="854"/>
      <c r="BH520" s="854"/>
      <c r="BI520" s="854"/>
      <c r="BJ520" s="854"/>
      <c r="BK520" s="854"/>
      <c r="BL520" s="854"/>
      <c r="BM520" s="854"/>
      <c r="BN520" s="854"/>
      <c r="BO520" s="854"/>
      <c r="BP520" s="854"/>
      <c r="BQ520" s="854"/>
      <c r="BR520" s="854"/>
      <c r="BS520" s="854"/>
      <c r="BT520" s="854"/>
      <c r="BU520" s="854"/>
      <c r="BV520" s="854"/>
      <c r="BW520" s="854"/>
      <c r="BX520" s="854"/>
      <c r="BY520" s="854"/>
      <c r="BZ520" s="854"/>
      <c r="CA520" s="571">
        <f>IF(OR(I520="",I520&lt;'Configs &amp; Procedures'!$L$29),0,IF(I520&gt;'Configs &amp; Procedures'!$L$30,1,IF(F520&gt;'Configs &amp; Procedures'!$L$31,0,1)))</f>
        <v>0</v>
      </c>
    </row>
    <row r="521" spans="2:79">
      <c r="B521" s="854"/>
      <c r="C521" s="854"/>
      <c r="D521" s="854"/>
      <c r="E521" s="854"/>
      <c r="F521" s="854"/>
      <c r="G521" s="854"/>
      <c r="H521" s="854"/>
      <c r="I521" s="854"/>
      <c r="J521" s="854"/>
      <c r="K521" s="854"/>
      <c r="L521" s="854"/>
      <c r="M521" s="854"/>
      <c r="N521" s="854"/>
      <c r="O521" s="854"/>
      <c r="P521" s="854"/>
      <c r="Q521" s="854"/>
      <c r="R521" s="854"/>
      <c r="S521" s="854"/>
      <c r="T521" s="854"/>
      <c r="U521" s="854"/>
      <c r="V521" s="854"/>
      <c r="W521" s="854"/>
      <c r="X521" s="854"/>
      <c r="Y521" s="854"/>
      <c r="Z521" s="854"/>
      <c r="AA521" s="854"/>
      <c r="AB521" s="854"/>
      <c r="AC521" s="854"/>
      <c r="AD521" s="854"/>
      <c r="AE521" s="854"/>
      <c r="AF521" s="854"/>
      <c r="AG521" s="854"/>
      <c r="AH521" s="854"/>
      <c r="AI521" s="854"/>
      <c r="AJ521" s="854"/>
      <c r="AK521" s="854"/>
      <c r="AL521" s="854"/>
      <c r="AM521" s="854"/>
      <c r="AN521" s="854"/>
      <c r="AO521" s="854"/>
      <c r="AP521" s="854"/>
      <c r="AQ521" s="854"/>
      <c r="AR521" s="854"/>
      <c r="AS521" s="854"/>
      <c r="AT521" s="854"/>
      <c r="AU521" s="854"/>
      <c r="AV521" s="854"/>
      <c r="AW521" s="854"/>
      <c r="AX521" s="854"/>
      <c r="AY521" s="854"/>
      <c r="AZ521" s="854"/>
      <c r="BA521" s="854"/>
      <c r="BB521" s="854"/>
      <c r="BC521" s="854"/>
      <c r="BD521" s="854"/>
      <c r="BE521" s="854"/>
      <c r="BF521" s="854"/>
      <c r="BG521" s="854"/>
      <c r="BH521" s="854"/>
      <c r="BI521" s="854"/>
      <c r="BJ521" s="854"/>
      <c r="BK521" s="854"/>
      <c r="BL521" s="854"/>
      <c r="BM521" s="854"/>
      <c r="BN521" s="854"/>
      <c r="BO521" s="854"/>
      <c r="BP521" s="854"/>
      <c r="BQ521" s="854"/>
      <c r="BR521" s="854"/>
      <c r="BS521" s="854"/>
      <c r="BT521" s="854"/>
      <c r="BU521" s="854"/>
      <c r="BV521" s="854"/>
      <c r="BW521" s="854"/>
      <c r="BX521" s="854"/>
      <c r="BY521" s="854"/>
      <c r="BZ521" s="854"/>
      <c r="CA521" s="571">
        <f>IF(OR(I521="",I521&lt;'Configs &amp; Procedures'!$L$29),0,IF(I521&gt;'Configs &amp; Procedures'!$L$30,1,IF(F521&gt;'Configs &amp; Procedures'!$L$31,0,1)))</f>
        <v>0</v>
      </c>
    </row>
    <row r="522" spans="2:79">
      <c r="B522" s="854"/>
      <c r="C522" s="854"/>
      <c r="D522" s="854"/>
      <c r="E522" s="854"/>
      <c r="F522" s="854"/>
      <c r="G522" s="854"/>
      <c r="H522" s="854"/>
      <c r="I522" s="854"/>
      <c r="J522" s="854"/>
      <c r="K522" s="854"/>
      <c r="L522" s="854"/>
      <c r="M522" s="854"/>
      <c r="N522" s="854"/>
      <c r="O522" s="854"/>
      <c r="P522" s="854"/>
      <c r="Q522" s="854"/>
      <c r="R522" s="854"/>
      <c r="S522" s="854"/>
      <c r="T522" s="854"/>
      <c r="U522" s="854"/>
      <c r="V522" s="854"/>
      <c r="W522" s="854"/>
      <c r="X522" s="854"/>
      <c r="Y522" s="854"/>
      <c r="Z522" s="854"/>
      <c r="AA522" s="854"/>
      <c r="AB522" s="854"/>
      <c r="AC522" s="854"/>
      <c r="AD522" s="854"/>
      <c r="AE522" s="854"/>
      <c r="AF522" s="854"/>
      <c r="AG522" s="854"/>
      <c r="AH522" s="854"/>
      <c r="AI522" s="854"/>
      <c r="AJ522" s="854"/>
      <c r="AK522" s="854"/>
      <c r="AL522" s="854"/>
      <c r="AM522" s="854"/>
      <c r="AN522" s="854"/>
      <c r="AO522" s="854"/>
      <c r="AP522" s="854"/>
      <c r="AQ522" s="854"/>
      <c r="AR522" s="854"/>
      <c r="AS522" s="854"/>
      <c r="AT522" s="854"/>
      <c r="AU522" s="854"/>
      <c r="AV522" s="854"/>
      <c r="AW522" s="854"/>
      <c r="AX522" s="854"/>
      <c r="AY522" s="854"/>
      <c r="AZ522" s="854"/>
      <c r="BA522" s="854"/>
      <c r="BB522" s="854"/>
      <c r="BC522" s="854"/>
      <c r="BD522" s="854"/>
      <c r="BE522" s="854"/>
      <c r="BF522" s="854"/>
      <c r="BG522" s="854"/>
      <c r="BH522" s="854"/>
      <c r="BI522" s="854"/>
      <c r="BJ522" s="854"/>
      <c r="BK522" s="854"/>
      <c r="BL522" s="854"/>
      <c r="BM522" s="854"/>
      <c r="BN522" s="854"/>
      <c r="BO522" s="854"/>
      <c r="BP522" s="854"/>
      <c r="BQ522" s="854"/>
      <c r="BR522" s="854"/>
      <c r="BS522" s="854"/>
      <c r="BT522" s="854"/>
      <c r="BU522" s="854"/>
      <c r="BV522" s="854"/>
      <c r="BW522" s="854"/>
      <c r="BX522" s="854"/>
      <c r="BY522" s="854"/>
      <c r="BZ522" s="854"/>
      <c r="CA522" s="571">
        <f>IF(OR(I522="",I522&lt;'Configs &amp; Procedures'!$L$29),0,IF(I522&gt;'Configs &amp; Procedures'!$L$30,1,IF(F522&gt;'Configs &amp; Procedures'!$L$31,0,1)))</f>
        <v>0</v>
      </c>
    </row>
    <row r="523" spans="2:79">
      <c r="B523" s="854"/>
      <c r="C523" s="854"/>
      <c r="D523" s="854"/>
      <c r="E523" s="854"/>
      <c r="F523" s="854"/>
      <c r="G523" s="854"/>
      <c r="H523" s="854"/>
      <c r="I523" s="854"/>
      <c r="J523" s="854"/>
      <c r="K523" s="854"/>
      <c r="L523" s="854"/>
      <c r="M523" s="854"/>
      <c r="N523" s="854"/>
      <c r="O523" s="854"/>
      <c r="P523" s="854"/>
      <c r="Q523" s="854"/>
      <c r="R523" s="854"/>
      <c r="S523" s="854"/>
      <c r="T523" s="854"/>
      <c r="U523" s="854"/>
      <c r="V523" s="854"/>
      <c r="W523" s="854"/>
      <c r="X523" s="854"/>
      <c r="Y523" s="854"/>
      <c r="Z523" s="854"/>
      <c r="AA523" s="854"/>
      <c r="AB523" s="854"/>
      <c r="AC523" s="854"/>
      <c r="AD523" s="854"/>
      <c r="AE523" s="854"/>
      <c r="AF523" s="854"/>
      <c r="AG523" s="854"/>
      <c r="AH523" s="854"/>
      <c r="AI523" s="854"/>
      <c r="AJ523" s="854"/>
      <c r="AK523" s="854"/>
      <c r="AL523" s="854"/>
      <c r="AM523" s="854"/>
      <c r="AN523" s="854"/>
      <c r="AO523" s="854"/>
      <c r="AP523" s="854"/>
      <c r="AQ523" s="854"/>
      <c r="AR523" s="854"/>
      <c r="AS523" s="854"/>
      <c r="AT523" s="854"/>
      <c r="AU523" s="854"/>
      <c r="AV523" s="854"/>
      <c r="AW523" s="854"/>
      <c r="AX523" s="854"/>
      <c r="AY523" s="854"/>
      <c r="AZ523" s="854"/>
      <c r="BA523" s="854"/>
      <c r="BB523" s="854"/>
      <c r="BC523" s="854"/>
      <c r="BD523" s="854"/>
      <c r="BE523" s="854"/>
      <c r="BF523" s="854"/>
      <c r="BG523" s="854"/>
      <c r="BH523" s="854"/>
      <c r="BI523" s="854"/>
      <c r="BJ523" s="854"/>
      <c r="BK523" s="854"/>
      <c r="BL523" s="854"/>
      <c r="BM523" s="854"/>
      <c r="BN523" s="854"/>
      <c r="BO523" s="854"/>
      <c r="BP523" s="854"/>
      <c r="BQ523" s="854"/>
      <c r="BR523" s="854"/>
      <c r="BS523" s="854"/>
      <c r="BT523" s="854"/>
      <c r="BU523" s="854"/>
      <c r="BV523" s="854"/>
      <c r="BW523" s="854"/>
      <c r="BX523" s="854"/>
      <c r="BY523" s="854"/>
      <c r="BZ523" s="854"/>
      <c r="CA523" s="571">
        <f>IF(OR(I523="",I523&lt;'Configs &amp; Procedures'!$L$29),0,IF(I523&gt;'Configs &amp; Procedures'!$L$30,1,IF(F523&gt;'Configs &amp; Procedures'!$L$31,0,1)))</f>
        <v>0</v>
      </c>
    </row>
    <row r="524" spans="2:79">
      <c r="B524" s="854"/>
      <c r="C524" s="854"/>
      <c r="D524" s="854"/>
      <c r="E524" s="854"/>
      <c r="F524" s="854"/>
      <c r="G524" s="854"/>
      <c r="H524" s="854"/>
      <c r="I524" s="854"/>
      <c r="J524" s="854"/>
      <c r="K524" s="854"/>
      <c r="L524" s="854"/>
      <c r="M524" s="854"/>
      <c r="N524" s="854"/>
      <c r="O524" s="854"/>
      <c r="P524" s="854"/>
      <c r="Q524" s="854"/>
      <c r="R524" s="854"/>
      <c r="S524" s="854"/>
      <c r="T524" s="854"/>
      <c r="U524" s="854"/>
      <c r="V524" s="854"/>
      <c r="W524" s="854"/>
      <c r="X524" s="854"/>
      <c r="Y524" s="854"/>
      <c r="Z524" s="854"/>
      <c r="AA524" s="854"/>
      <c r="AB524" s="854"/>
      <c r="AC524" s="854"/>
      <c r="AD524" s="854"/>
      <c r="AE524" s="854"/>
      <c r="AF524" s="854"/>
      <c r="AG524" s="854"/>
      <c r="AH524" s="854"/>
      <c r="AI524" s="854"/>
      <c r="AJ524" s="854"/>
      <c r="AK524" s="854"/>
      <c r="AL524" s="854"/>
      <c r="AM524" s="854"/>
      <c r="AN524" s="854"/>
      <c r="AO524" s="854"/>
      <c r="AP524" s="854"/>
      <c r="AQ524" s="854"/>
      <c r="AR524" s="854"/>
      <c r="AS524" s="854"/>
      <c r="AT524" s="854"/>
      <c r="AU524" s="854"/>
      <c r="AV524" s="854"/>
      <c r="AW524" s="854"/>
      <c r="AX524" s="854"/>
      <c r="AY524" s="854"/>
      <c r="AZ524" s="854"/>
      <c r="BA524" s="854"/>
      <c r="BB524" s="854"/>
      <c r="BC524" s="854"/>
      <c r="BD524" s="854"/>
      <c r="BE524" s="854"/>
      <c r="BF524" s="854"/>
      <c r="BG524" s="854"/>
      <c r="BH524" s="854"/>
      <c r="BI524" s="854"/>
      <c r="BJ524" s="854"/>
      <c r="BK524" s="854"/>
      <c r="BL524" s="854"/>
      <c r="BM524" s="854"/>
      <c r="BN524" s="854"/>
      <c r="BO524" s="854"/>
      <c r="BP524" s="854"/>
      <c r="BQ524" s="854"/>
      <c r="BR524" s="854"/>
      <c r="BS524" s="854"/>
      <c r="BT524" s="854"/>
      <c r="BU524" s="854"/>
      <c r="BV524" s="854"/>
      <c r="BW524" s="854"/>
      <c r="BX524" s="854"/>
      <c r="BY524" s="854"/>
      <c r="BZ524" s="854"/>
      <c r="CA524" s="571">
        <f>IF(OR(I524="",I524&lt;'Configs &amp; Procedures'!$L$29),0,IF(I524&gt;'Configs &amp; Procedures'!$L$30,1,IF(F524&gt;'Configs &amp; Procedures'!$L$31,0,1)))</f>
        <v>0</v>
      </c>
    </row>
    <row r="525" spans="2:79">
      <c r="B525" s="854"/>
      <c r="C525" s="854"/>
      <c r="D525" s="854"/>
      <c r="E525" s="854"/>
      <c r="F525" s="854"/>
      <c r="G525" s="854"/>
      <c r="H525" s="854"/>
      <c r="I525" s="854"/>
      <c r="J525" s="854"/>
      <c r="K525" s="854"/>
      <c r="L525" s="854"/>
      <c r="M525" s="854"/>
      <c r="N525" s="854"/>
      <c r="O525" s="854"/>
      <c r="P525" s="854"/>
      <c r="Q525" s="854"/>
      <c r="R525" s="854"/>
      <c r="S525" s="854"/>
      <c r="T525" s="854"/>
      <c r="U525" s="854"/>
      <c r="V525" s="854"/>
      <c r="W525" s="854"/>
      <c r="X525" s="854"/>
      <c r="Y525" s="854"/>
      <c r="Z525" s="854"/>
      <c r="AA525" s="854"/>
      <c r="AB525" s="854"/>
      <c r="AC525" s="854"/>
      <c r="AD525" s="854"/>
      <c r="AE525" s="854"/>
      <c r="AF525" s="854"/>
      <c r="AG525" s="854"/>
      <c r="AH525" s="854"/>
      <c r="AI525" s="854"/>
      <c r="AJ525" s="854"/>
      <c r="AK525" s="854"/>
      <c r="AL525" s="854"/>
      <c r="AM525" s="854"/>
      <c r="AN525" s="854"/>
      <c r="AO525" s="854"/>
      <c r="AP525" s="854"/>
      <c r="AQ525" s="854"/>
      <c r="AR525" s="854"/>
      <c r="AS525" s="854"/>
      <c r="AT525" s="854"/>
      <c r="AU525" s="854"/>
      <c r="AV525" s="854"/>
      <c r="AW525" s="854"/>
      <c r="AX525" s="854"/>
      <c r="AY525" s="854"/>
      <c r="AZ525" s="854"/>
      <c r="BA525" s="854"/>
      <c r="BB525" s="854"/>
      <c r="BC525" s="854"/>
      <c r="BD525" s="854"/>
      <c r="BE525" s="854"/>
      <c r="BF525" s="854"/>
      <c r="BG525" s="854"/>
      <c r="BH525" s="854"/>
      <c r="BI525" s="854"/>
      <c r="BJ525" s="854"/>
      <c r="BK525" s="854"/>
      <c r="BL525" s="854"/>
      <c r="BM525" s="854"/>
      <c r="BN525" s="854"/>
      <c r="BO525" s="854"/>
      <c r="BP525" s="854"/>
      <c r="BQ525" s="854"/>
      <c r="BR525" s="854"/>
      <c r="BS525" s="854"/>
      <c r="BT525" s="854"/>
      <c r="BU525" s="854"/>
      <c r="BV525" s="854"/>
      <c r="BW525" s="854"/>
      <c r="BX525" s="854"/>
      <c r="BY525" s="854"/>
      <c r="BZ525" s="854"/>
      <c r="CA525" s="571">
        <f>IF(OR(I525="",I525&lt;'Configs &amp; Procedures'!$L$29),0,IF(I525&gt;'Configs &amp; Procedures'!$L$30,1,IF(F525&gt;'Configs &amp; Procedures'!$L$31,0,1)))</f>
        <v>0</v>
      </c>
    </row>
    <row r="526" spans="2:79">
      <c r="B526" s="854"/>
      <c r="C526" s="854"/>
      <c r="D526" s="854"/>
      <c r="E526" s="854"/>
      <c r="F526" s="854"/>
      <c r="G526" s="854"/>
      <c r="H526" s="854"/>
      <c r="I526" s="854"/>
      <c r="J526" s="854"/>
      <c r="K526" s="854"/>
      <c r="L526" s="854"/>
      <c r="M526" s="854"/>
      <c r="N526" s="854"/>
      <c r="O526" s="854"/>
      <c r="P526" s="854"/>
      <c r="Q526" s="854"/>
      <c r="R526" s="854"/>
      <c r="S526" s="854"/>
      <c r="T526" s="854"/>
      <c r="U526" s="854"/>
      <c r="V526" s="854"/>
      <c r="W526" s="854"/>
      <c r="X526" s="854"/>
      <c r="Y526" s="854"/>
      <c r="Z526" s="854"/>
      <c r="AA526" s="854"/>
      <c r="AB526" s="854"/>
      <c r="AC526" s="854"/>
      <c r="AD526" s="854"/>
      <c r="AE526" s="854"/>
      <c r="AF526" s="854"/>
      <c r="AG526" s="854"/>
      <c r="AH526" s="854"/>
      <c r="AI526" s="854"/>
      <c r="AJ526" s="854"/>
      <c r="AK526" s="854"/>
      <c r="AL526" s="854"/>
      <c r="AM526" s="854"/>
      <c r="AN526" s="854"/>
      <c r="AO526" s="854"/>
      <c r="AP526" s="854"/>
      <c r="AQ526" s="854"/>
      <c r="AR526" s="854"/>
      <c r="AS526" s="854"/>
      <c r="AT526" s="854"/>
      <c r="AU526" s="854"/>
      <c r="AV526" s="854"/>
      <c r="AW526" s="854"/>
      <c r="AX526" s="854"/>
      <c r="AY526" s="854"/>
      <c r="AZ526" s="854"/>
      <c r="BA526" s="854"/>
      <c r="BB526" s="854"/>
      <c r="BC526" s="854"/>
      <c r="BD526" s="854"/>
      <c r="BE526" s="854"/>
      <c r="BF526" s="854"/>
      <c r="BG526" s="854"/>
      <c r="BH526" s="854"/>
      <c r="BI526" s="854"/>
      <c r="BJ526" s="854"/>
      <c r="BK526" s="854"/>
      <c r="BL526" s="854"/>
      <c r="BM526" s="854"/>
      <c r="BN526" s="854"/>
      <c r="BO526" s="854"/>
      <c r="BP526" s="854"/>
      <c r="BQ526" s="854"/>
      <c r="BR526" s="854"/>
      <c r="BS526" s="854"/>
      <c r="BT526" s="854"/>
      <c r="BU526" s="854"/>
      <c r="BV526" s="854"/>
      <c r="BW526" s="854"/>
      <c r="BX526" s="854"/>
      <c r="BY526" s="854"/>
      <c r="BZ526" s="854"/>
      <c r="CA526" s="571">
        <f>IF(OR(I526="",I526&lt;'Configs &amp; Procedures'!$L$29),0,IF(I526&gt;'Configs &amp; Procedures'!$L$30,1,IF(F526&gt;'Configs &amp; Procedures'!$L$31,0,1)))</f>
        <v>0</v>
      </c>
    </row>
    <row r="527" spans="2:79">
      <c r="B527" s="854"/>
      <c r="C527" s="854"/>
      <c r="D527" s="854"/>
      <c r="E527" s="854"/>
      <c r="F527" s="854"/>
      <c r="G527" s="854"/>
      <c r="H527" s="854"/>
      <c r="I527" s="854"/>
      <c r="J527" s="854"/>
      <c r="K527" s="854"/>
      <c r="L527" s="854"/>
      <c r="M527" s="854"/>
      <c r="N527" s="854"/>
      <c r="O527" s="854"/>
      <c r="P527" s="854"/>
      <c r="Q527" s="854"/>
      <c r="R527" s="854"/>
      <c r="S527" s="854"/>
      <c r="T527" s="854"/>
      <c r="U527" s="854"/>
      <c r="V527" s="854"/>
      <c r="W527" s="854"/>
      <c r="X527" s="854"/>
      <c r="Y527" s="854"/>
      <c r="Z527" s="854"/>
      <c r="AA527" s="854"/>
      <c r="AB527" s="854"/>
      <c r="AC527" s="854"/>
      <c r="AD527" s="854"/>
      <c r="AE527" s="854"/>
      <c r="AF527" s="854"/>
      <c r="AG527" s="854"/>
      <c r="AH527" s="854"/>
      <c r="AI527" s="854"/>
      <c r="AJ527" s="854"/>
      <c r="AK527" s="854"/>
      <c r="AL527" s="854"/>
      <c r="AM527" s="854"/>
      <c r="AN527" s="854"/>
      <c r="AO527" s="854"/>
      <c r="AP527" s="854"/>
      <c r="AQ527" s="854"/>
      <c r="AR527" s="854"/>
      <c r="AS527" s="854"/>
      <c r="AT527" s="854"/>
      <c r="AU527" s="854"/>
      <c r="AV527" s="854"/>
      <c r="AW527" s="854"/>
      <c r="AX527" s="854"/>
      <c r="AY527" s="854"/>
      <c r="AZ527" s="854"/>
      <c r="BA527" s="854"/>
      <c r="BB527" s="854"/>
      <c r="BC527" s="854"/>
      <c r="BD527" s="854"/>
      <c r="BE527" s="854"/>
      <c r="BF527" s="854"/>
      <c r="BG527" s="854"/>
      <c r="BH527" s="854"/>
      <c r="BI527" s="854"/>
      <c r="BJ527" s="854"/>
      <c r="BK527" s="854"/>
      <c r="BL527" s="854"/>
      <c r="BM527" s="854"/>
      <c r="BN527" s="854"/>
      <c r="BO527" s="854"/>
      <c r="BP527" s="854"/>
      <c r="BQ527" s="854"/>
      <c r="BR527" s="854"/>
      <c r="BS527" s="854"/>
      <c r="BT527" s="854"/>
      <c r="BU527" s="854"/>
      <c r="BV527" s="854"/>
      <c r="BW527" s="854"/>
      <c r="BX527" s="854"/>
      <c r="BY527" s="854"/>
      <c r="BZ527" s="854"/>
      <c r="CA527" s="571">
        <f>IF(OR(I527="",I527&lt;'Configs &amp; Procedures'!$L$29),0,IF(I527&gt;'Configs &amp; Procedures'!$L$30,1,IF(F527&gt;'Configs &amp; Procedures'!$L$31,0,1)))</f>
        <v>0</v>
      </c>
    </row>
    <row r="528" spans="2:79">
      <c r="B528" s="854"/>
      <c r="C528" s="854"/>
      <c r="D528" s="854"/>
      <c r="E528" s="854"/>
      <c r="F528" s="854"/>
      <c r="G528" s="854"/>
      <c r="H528" s="854"/>
      <c r="I528" s="854"/>
      <c r="J528" s="854"/>
      <c r="K528" s="854"/>
      <c r="L528" s="854"/>
      <c r="M528" s="854"/>
      <c r="N528" s="854"/>
      <c r="O528" s="854"/>
      <c r="P528" s="854"/>
      <c r="Q528" s="854"/>
      <c r="R528" s="854"/>
      <c r="S528" s="854"/>
      <c r="T528" s="854"/>
      <c r="U528" s="854"/>
      <c r="V528" s="854"/>
      <c r="W528" s="854"/>
      <c r="X528" s="854"/>
      <c r="Y528" s="854"/>
      <c r="Z528" s="854"/>
      <c r="AA528" s="854"/>
      <c r="AB528" s="854"/>
      <c r="AC528" s="854"/>
      <c r="AD528" s="854"/>
      <c r="AE528" s="854"/>
      <c r="AF528" s="854"/>
      <c r="AG528" s="854"/>
      <c r="AH528" s="854"/>
      <c r="AI528" s="854"/>
      <c r="AJ528" s="854"/>
      <c r="AK528" s="854"/>
      <c r="AL528" s="854"/>
      <c r="AM528" s="854"/>
      <c r="AN528" s="854"/>
      <c r="AO528" s="854"/>
      <c r="AP528" s="854"/>
      <c r="AQ528" s="854"/>
      <c r="AR528" s="854"/>
      <c r="AS528" s="854"/>
      <c r="AT528" s="854"/>
      <c r="AU528" s="854"/>
      <c r="AV528" s="854"/>
      <c r="AW528" s="854"/>
      <c r="AX528" s="854"/>
      <c r="AY528" s="854"/>
      <c r="AZ528" s="854"/>
      <c r="BA528" s="854"/>
      <c r="BB528" s="854"/>
      <c r="BC528" s="854"/>
      <c r="BD528" s="854"/>
      <c r="BE528" s="854"/>
      <c r="BF528" s="854"/>
      <c r="BG528" s="854"/>
      <c r="BH528" s="854"/>
      <c r="BI528" s="854"/>
      <c r="BJ528" s="854"/>
      <c r="BK528" s="854"/>
      <c r="BL528" s="854"/>
      <c r="BM528" s="854"/>
      <c r="BN528" s="854"/>
      <c r="BO528" s="854"/>
      <c r="BP528" s="854"/>
      <c r="BQ528" s="854"/>
      <c r="BR528" s="854"/>
      <c r="BS528" s="854"/>
      <c r="BT528" s="854"/>
      <c r="BU528" s="854"/>
      <c r="BV528" s="854"/>
      <c r="BW528" s="854"/>
      <c r="BX528" s="854"/>
      <c r="BY528" s="854"/>
      <c r="BZ528" s="854"/>
      <c r="CA528" s="571">
        <f>IF(OR(I528="",I528&lt;'Configs &amp; Procedures'!$L$29),0,IF(I528&gt;'Configs &amp; Procedures'!$L$30,1,IF(F528&gt;'Configs &amp; Procedures'!$L$31,0,1)))</f>
        <v>0</v>
      </c>
    </row>
    <row r="529" spans="2:79">
      <c r="B529" s="854"/>
      <c r="C529" s="854"/>
      <c r="D529" s="854"/>
      <c r="E529" s="854"/>
      <c r="F529" s="854"/>
      <c r="G529" s="854"/>
      <c r="H529" s="854"/>
      <c r="I529" s="854"/>
      <c r="J529" s="854"/>
      <c r="K529" s="854"/>
      <c r="L529" s="854"/>
      <c r="M529" s="854"/>
      <c r="N529" s="854"/>
      <c r="O529" s="854"/>
      <c r="P529" s="854"/>
      <c r="Q529" s="854"/>
      <c r="R529" s="854"/>
      <c r="S529" s="854"/>
      <c r="T529" s="854"/>
      <c r="U529" s="854"/>
      <c r="V529" s="854"/>
      <c r="W529" s="854"/>
      <c r="X529" s="854"/>
      <c r="Y529" s="854"/>
      <c r="Z529" s="854"/>
      <c r="AA529" s="854"/>
      <c r="AB529" s="854"/>
      <c r="AC529" s="854"/>
      <c r="AD529" s="854"/>
      <c r="AE529" s="854"/>
      <c r="AF529" s="854"/>
      <c r="AG529" s="854"/>
      <c r="AH529" s="854"/>
      <c r="AI529" s="854"/>
      <c r="AJ529" s="854"/>
      <c r="AK529" s="854"/>
      <c r="AL529" s="854"/>
      <c r="AM529" s="854"/>
      <c r="AN529" s="854"/>
      <c r="AO529" s="854"/>
      <c r="AP529" s="854"/>
      <c r="AQ529" s="854"/>
      <c r="AR529" s="854"/>
      <c r="AS529" s="854"/>
      <c r="AT529" s="854"/>
      <c r="AU529" s="854"/>
      <c r="AV529" s="854"/>
      <c r="AW529" s="854"/>
      <c r="AX529" s="854"/>
      <c r="AY529" s="854"/>
      <c r="AZ529" s="854"/>
      <c r="BA529" s="854"/>
      <c r="BB529" s="854"/>
      <c r="BC529" s="854"/>
      <c r="BD529" s="854"/>
      <c r="BE529" s="854"/>
      <c r="BF529" s="854"/>
      <c r="BG529" s="854"/>
      <c r="BH529" s="854"/>
      <c r="BI529" s="854"/>
      <c r="BJ529" s="854"/>
      <c r="BK529" s="854"/>
      <c r="BL529" s="854"/>
      <c r="BM529" s="854"/>
      <c r="BN529" s="854"/>
      <c r="BO529" s="854"/>
      <c r="BP529" s="854"/>
      <c r="BQ529" s="854"/>
      <c r="BR529" s="854"/>
      <c r="BS529" s="854"/>
      <c r="BT529" s="854"/>
      <c r="BU529" s="854"/>
      <c r="BV529" s="854"/>
      <c r="BW529" s="854"/>
      <c r="BX529" s="854"/>
      <c r="BY529" s="854"/>
      <c r="BZ529" s="854"/>
      <c r="CA529" s="571">
        <f>IF(OR(I529="",I529&lt;'Configs &amp; Procedures'!$L$29),0,IF(I529&gt;'Configs &amp; Procedures'!$L$30,1,IF(F529&gt;'Configs &amp; Procedures'!$L$31,0,1)))</f>
        <v>0</v>
      </c>
    </row>
    <row r="530" spans="2:79">
      <c r="B530" s="854"/>
      <c r="C530" s="854"/>
      <c r="D530" s="854"/>
      <c r="E530" s="854"/>
      <c r="F530" s="854"/>
      <c r="G530" s="854"/>
      <c r="H530" s="854"/>
      <c r="I530" s="854"/>
      <c r="J530" s="854"/>
      <c r="K530" s="854"/>
      <c r="L530" s="854"/>
      <c r="M530" s="854"/>
      <c r="N530" s="854"/>
      <c r="O530" s="854"/>
      <c r="P530" s="854"/>
      <c r="Q530" s="854"/>
      <c r="R530" s="854"/>
      <c r="S530" s="854"/>
      <c r="T530" s="854"/>
      <c r="U530" s="854"/>
      <c r="V530" s="854"/>
      <c r="W530" s="854"/>
      <c r="X530" s="854"/>
      <c r="Y530" s="854"/>
      <c r="Z530" s="854"/>
      <c r="AA530" s="854"/>
      <c r="AB530" s="854"/>
      <c r="AC530" s="854"/>
      <c r="AD530" s="854"/>
      <c r="AE530" s="854"/>
      <c r="AF530" s="854"/>
      <c r="AG530" s="854"/>
      <c r="AH530" s="854"/>
      <c r="AI530" s="854"/>
      <c r="AJ530" s="854"/>
      <c r="AK530" s="854"/>
      <c r="AL530" s="854"/>
      <c r="AM530" s="854"/>
      <c r="AN530" s="854"/>
      <c r="AO530" s="854"/>
      <c r="AP530" s="854"/>
      <c r="AQ530" s="854"/>
      <c r="AR530" s="854"/>
      <c r="AS530" s="854"/>
      <c r="AT530" s="854"/>
      <c r="AU530" s="854"/>
      <c r="AV530" s="854"/>
      <c r="AW530" s="854"/>
      <c r="AX530" s="854"/>
      <c r="AY530" s="854"/>
      <c r="AZ530" s="854"/>
      <c r="BA530" s="854"/>
      <c r="BB530" s="854"/>
      <c r="BC530" s="854"/>
      <c r="BD530" s="854"/>
      <c r="BE530" s="854"/>
      <c r="BF530" s="854"/>
      <c r="BG530" s="854"/>
      <c r="BH530" s="854"/>
      <c r="BI530" s="854"/>
      <c r="BJ530" s="854"/>
      <c r="BK530" s="854"/>
      <c r="BL530" s="854"/>
      <c r="BM530" s="854"/>
      <c r="BN530" s="854"/>
      <c r="BO530" s="854"/>
      <c r="BP530" s="854"/>
      <c r="BQ530" s="854"/>
      <c r="BR530" s="854"/>
      <c r="BS530" s="854"/>
      <c r="BT530" s="854"/>
      <c r="BU530" s="854"/>
      <c r="BV530" s="854"/>
      <c r="BW530" s="854"/>
      <c r="BX530" s="854"/>
      <c r="BY530" s="854"/>
      <c r="BZ530" s="854"/>
      <c r="CA530" s="571">
        <f>IF(OR(I530="",I530&lt;'Configs &amp; Procedures'!$L$29),0,IF(I530&gt;'Configs &amp; Procedures'!$L$30,1,IF(F530&gt;'Configs &amp; Procedures'!$L$31,0,1)))</f>
        <v>0</v>
      </c>
    </row>
    <row r="531" spans="2:79">
      <c r="B531" s="854"/>
      <c r="C531" s="854"/>
      <c r="D531" s="854"/>
      <c r="E531" s="854"/>
      <c r="F531" s="854"/>
      <c r="G531" s="854"/>
      <c r="H531" s="854"/>
      <c r="I531" s="854"/>
      <c r="J531" s="854"/>
      <c r="K531" s="854"/>
      <c r="L531" s="854"/>
      <c r="M531" s="854"/>
      <c r="N531" s="854"/>
      <c r="O531" s="854"/>
      <c r="P531" s="854"/>
      <c r="Q531" s="854"/>
      <c r="R531" s="854"/>
      <c r="S531" s="854"/>
      <c r="T531" s="854"/>
      <c r="U531" s="854"/>
      <c r="V531" s="854"/>
      <c r="W531" s="854"/>
      <c r="X531" s="854"/>
      <c r="Y531" s="854"/>
      <c r="Z531" s="854"/>
      <c r="AA531" s="854"/>
      <c r="AB531" s="854"/>
      <c r="AC531" s="854"/>
      <c r="AD531" s="854"/>
      <c r="AE531" s="854"/>
      <c r="AF531" s="854"/>
      <c r="AG531" s="854"/>
      <c r="AH531" s="854"/>
      <c r="AI531" s="854"/>
      <c r="AJ531" s="854"/>
      <c r="AK531" s="854"/>
      <c r="AL531" s="854"/>
      <c r="AM531" s="854"/>
      <c r="AN531" s="854"/>
      <c r="AO531" s="854"/>
      <c r="AP531" s="854"/>
      <c r="AQ531" s="854"/>
      <c r="AR531" s="854"/>
      <c r="AS531" s="854"/>
      <c r="AT531" s="854"/>
      <c r="AU531" s="854"/>
      <c r="AV531" s="854"/>
      <c r="AW531" s="854"/>
      <c r="AX531" s="854"/>
      <c r="AY531" s="854"/>
      <c r="AZ531" s="854"/>
      <c r="BA531" s="854"/>
      <c r="BB531" s="854"/>
      <c r="BC531" s="854"/>
      <c r="BD531" s="854"/>
      <c r="BE531" s="854"/>
      <c r="BF531" s="854"/>
      <c r="BG531" s="854"/>
      <c r="BH531" s="854"/>
      <c r="BI531" s="854"/>
      <c r="BJ531" s="854"/>
      <c r="BK531" s="854"/>
      <c r="BL531" s="854"/>
      <c r="BM531" s="854"/>
      <c r="BN531" s="854"/>
      <c r="BO531" s="854"/>
      <c r="BP531" s="854"/>
      <c r="BQ531" s="854"/>
      <c r="BR531" s="854"/>
      <c r="BS531" s="854"/>
      <c r="BT531" s="854"/>
      <c r="BU531" s="854"/>
      <c r="BV531" s="854"/>
      <c r="BW531" s="854"/>
      <c r="BX531" s="854"/>
      <c r="BY531" s="854"/>
      <c r="BZ531" s="854"/>
      <c r="CA531" s="571">
        <f>IF(OR(I531="",I531&lt;'Configs &amp; Procedures'!$L$29),0,IF(I531&gt;'Configs &amp; Procedures'!$L$30,1,IF(F531&gt;'Configs &amp; Procedures'!$L$31,0,1)))</f>
        <v>0</v>
      </c>
    </row>
    <row r="532" spans="2:79">
      <c r="B532" s="854"/>
      <c r="C532" s="854"/>
      <c r="D532" s="854"/>
      <c r="E532" s="854"/>
      <c r="F532" s="854"/>
      <c r="G532" s="854"/>
      <c r="H532" s="854"/>
      <c r="I532" s="854"/>
      <c r="J532" s="854"/>
      <c r="K532" s="854"/>
      <c r="L532" s="854"/>
      <c r="M532" s="854"/>
      <c r="N532" s="854"/>
      <c r="O532" s="854"/>
      <c r="P532" s="854"/>
      <c r="Q532" s="854"/>
      <c r="R532" s="854"/>
      <c r="S532" s="854"/>
      <c r="T532" s="854"/>
      <c r="U532" s="854"/>
      <c r="V532" s="854"/>
      <c r="W532" s="854"/>
      <c r="X532" s="854"/>
      <c r="Y532" s="854"/>
      <c r="Z532" s="854"/>
      <c r="AA532" s="854"/>
      <c r="AB532" s="854"/>
      <c r="AC532" s="854"/>
      <c r="AD532" s="854"/>
      <c r="AE532" s="854"/>
      <c r="AF532" s="854"/>
      <c r="AG532" s="854"/>
      <c r="AH532" s="854"/>
      <c r="AI532" s="854"/>
      <c r="AJ532" s="854"/>
      <c r="AK532" s="854"/>
      <c r="AL532" s="854"/>
      <c r="AM532" s="854"/>
      <c r="AN532" s="854"/>
      <c r="AO532" s="854"/>
      <c r="AP532" s="854"/>
      <c r="AQ532" s="854"/>
      <c r="AR532" s="854"/>
      <c r="AS532" s="854"/>
      <c r="AT532" s="854"/>
      <c r="AU532" s="854"/>
      <c r="AV532" s="854"/>
      <c r="AW532" s="854"/>
      <c r="AX532" s="854"/>
      <c r="AY532" s="854"/>
      <c r="AZ532" s="854"/>
      <c r="BA532" s="854"/>
      <c r="BB532" s="854"/>
      <c r="BC532" s="854"/>
      <c r="BD532" s="854"/>
      <c r="BE532" s="854"/>
      <c r="BF532" s="854"/>
      <c r="BG532" s="854"/>
      <c r="BH532" s="854"/>
      <c r="BI532" s="854"/>
      <c r="BJ532" s="854"/>
      <c r="BK532" s="854"/>
      <c r="BL532" s="854"/>
      <c r="BM532" s="854"/>
      <c r="BN532" s="854"/>
      <c r="BO532" s="854"/>
      <c r="BP532" s="854"/>
      <c r="BQ532" s="854"/>
      <c r="BR532" s="854"/>
      <c r="BS532" s="854"/>
      <c r="BT532" s="854"/>
      <c r="BU532" s="854"/>
      <c r="BV532" s="854"/>
      <c r="BW532" s="854"/>
      <c r="BX532" s="854"/>
      <c r="BY532" s="854"/>
      <c r="BZ532" s="854"/>
      <c r="CA532" s="571">
        <f>IF(OR(I532="",I532&lt;'Configs &amp; Procedures'!$L$29),0,IF(I532&gt;'Configs &amp; Procedures'!$L$30,1,IF(F532&gt;'Configs &amp; Procedures'!$L$31,0,1)))</f>
        <v>0</v>
      </c>
    </row>
    <row r="533" spans="2:79">
      <c r="B533" s="854"/>
      <c r="C533" s="854"/>
      <c r="D533" s="854"/>
      <c r="E533" s="854"/>
      <c r="F533" s="854"/>
      <c r="G533" s="854"/>
      <c r="H533" s="854"/>
      <c r="I533" s="854"/>
      <c r="J533" s="854"/>
      <c r="K533" s="854"/>
      <c r="L533" s="854"/>
      <c r="M533" s="854"/>
      <c r="N533" s="854"/>
      <c r="O533" s="854"/>
      <c r="P533" s="854"/>
      <c r="Q533" s="854"/>
      <c r="R533" s="854"/>
      <c r="S533" s="854"/>
      <c r="T533" s="854"/>
      <c r="U533" s="854"/>
      <c r="V533" s="854"/>
      <c r="W533" s="854"/>
      <c r="X533" s="854"/>
      <c r="Y533" s="854"/>
      <c r="Z533" s="854"/>
      <c r="AA533" s="854"/>
      <c r="AB533" s="854"/>
      <c r="AC533" s="854"/>
      <c r="AD533" s="854"/>
      <c r="AE533" s="854"/>
      <c r="AF533" s="854"/>
      <c r="AG533" s="854"/>
      <c r="AH533" s="854"/>
      <c r="AI533" s="854"/>
      <c r="AJ533" s="854"/>
      <c r="AK533" s="854"/>
      <c r="AL533" s="854"/>
      <c r="AM533" s="854"/>
      <c r="AN533" s="854"/>
      <c r="AO533" s="854"/>
      <c r="AP533" s="854"/>
      <c r="AQ533" s="854"/>
      <c r="AR533" s="854"/>
      <c r="AS533" s="854"/>
      <c r="AT533" s="854"/>
      <c r="AU533" s="854"/>
      <c r="AV533" s="854"/>
      <c r="AW533" s="854"/>
      <c r="AX533" s="854"/>
      <c r="AY533" s="854"/>
      <c r="AZ533" s="854"/>
      <c r="BA533" s="854"/>
      <c r="BB533" s="854"/>
      <c r="BC533" s="854"/>
      <c r="BD533" s="854"/>
      <c r="BE533" s="854"/>
      <c r="BF533" s="854"/>
      <c r="BG533" s="854"/>
      <c r="BH533" s="854"/>
      <c r="BI533" s="854"/>
      <c r="BJ533" s="854"/>
      <c r="BK533" s="854"/>
      <c r="BL533" s="854"/>
      <c r="BM533" s="854"/>
      <c r="BN533" s="854"/>
      <c r="BO533" s="854"/>
      <c r="BP533" s="854"/>
      <c r="BQ533" s="854"/>
      <c r="BR533" s="854"/>
      <c r="BS533" s="854"/>
      <c r="BT533" s="854"/>
      <c r="BU533" s="854"/>
      <c r="BV533" s="854"/>
      <c r="BW533" s="854"/>
      <c r="BX533" s="854"/>
      <c r="BY533" s="854"/>
      <c r="BZ533" s="854"/>
      <c r="CA533" s="571">
        <f>IF(OR(I533="",I533&lt;'Configs &amp; Procedures'!$L$29),0,IF(I533&gt;'Configs &amp; Procedures'!$L$30,1,IF(F533&gt;'Configs &amp; Procedures'!$L$31,0,1)))</f>
        <v>0</v>
      </c>
    </row>
    <row r="534" spans="2:79">
      <c r="B534" s="854"/>
      <c r="C534" s="854"/>
      <c r="D534" s="854"/>
      <c r="E534" s="854"/>
      <c r="F534" s="854"/>
      <c r="G534" s="854"/>
      <c r="H534" s="854"/>
      <c r="I534" s="854"/>
      <c r="J534" s="854"/>
      <c r="K534" s="854"/>
      <c r="L534" s="854"/>
      <c r="M534" s="854"/>
      <c r="N534" s="854"/>
      <c r="O534" s="854"/>
      <c r="P534" s="854"/>
      <c r="Q534" s="854"/>
      <c r="R534" s="854"/>
      <c r="S534" s="854"/>
      <c r="T534" s="854"/>
      <c r="U534" s="854"/>
      <c r="V534" s="854"/>
      <c r="W534" s="854"/>
      <c r="X534" s="854"/>
      <c r="Y534" s="854"/>
      <c r="Z534" s="854"/>
      <c r="AA534" s="854"/>
      <c r="AB534" s="854"/>
      <c r="AC534" s="854"/>
      <c r="AD534" s="854"/>
      <c r="AE534" s="854"/>
      <c r="AF534" s="854"/>
      <c r="AG534" s="854"/>
      <c r="AH534" s="854"/>
      <c r="AI534" s="854"/>
      <c r="AJ534" s="854"/>
      <c r="AK534" s="854"/>
      <c r="AL534" s="854"/>
      <c r="AM534" s="854"/>
      <c r="AN534" s="854"/>
      <c r="AO534" s="854"/>
      <c r="AP534" s="854"/>
      <c r="AQ534" s="854"/>
      <c r="AR534" s="854"/>
      <c r="AS534" s="854"/>
      <c r="AT534" s="854"/>
      <c r="AU534" s="854"/>
      <c r="AV534" s="854"/>
      <c r="AW534" s="854"/>
      <c r="AX534" s="854"/>
      <c r="AY534" s="854"/>
      <c r="AZ534" s="854"/>
      <c r="BA534" s="854"/>
      <c r="BB534" s="854"/>
      <c r="BC534" s="854"/>
      <c r="BD534" s="854"/>
      <c r="BE534" s="854"/>
      <c r="BF534" s="854"/>
      <c r="BG534" s="854"/>
      <c r="BH534" s="854"/>
      <c r="BI534" s="854"/>
      <c r="BJ534" s="854"/>
      <c r="BK534" s="854"/>
      <c r="BL534" s="854"/>
      <c r="BM534" s="854"/>
      <c r="BN534" s="854"/>
      <c r="BO534" s="854"/>
      <c r="BP534" s="854"/>
      <c r="BQ534" s="854"/>
      <c r="BR534" s="854"/>
      <c r="BS534" s="854"/>
      <c r="BT534" s="854"/>
      <c r="BU534" s="854"/>
      <c r="BV534" s="854"/>
      <c r="BW534" s="854"/>
      <c r="BX534" s="854"/>
      <c r="BY534" s="854"/>
      <c r="BZ534" s="854"/>
      <c r="CA534" s="571">
        <f>IF(OR(I534="",I534&lt;'Configs &amp; Procedures'!$L$29),0,IF(I534&gt;'Configs &amp; Procedures'!$L$30,1,IF(F534&gt;'Configs &amp; Procedures'!$L$31,0,1)))</f>
        <v>0</v>
      </c>
    </row>
    <row r="535" spans="2:79">
      <c r="B535" s="854"/>
      <c r="C535" s="854"/>
      <c r="D535" s="854"/>
      <c r="E535" s="854"/>
      <c r="F535" s="854"/>
      <c r="G535" s="854"/>
      <c r="H535" s="854"/>
      <c r="I535" s="854"/>
      <c r="J535" s="854"/>
      <c r="K535" s="854"/>
      <c r="L535" s="854"/>
      <c r="M535" s="854"/>
      <c r="N535" s="854"/>
      <c r="O535" s="854"/>
      <c r="P535" s="854"/>
      <c r="Q535" s="854"/>
      <c r="R535" s="854"/>
      <c r="S535" s="854"/>
      <c r="T535" s="854"/>
      <c r="U535" s="854"/>
      <c r="V535" s="854"/>
      <c r="W535" s="854"/>
      <c r="X535" s="854"/>
      <c r="Y535" s="854"/>
      <c r="Z535" s="854"/>
      <c r="AA535" s="854"/>
      <c r="AB535" s="854"/>
      <c r="AC535" s="854"/>
      <c r="AD535" s="854"/>
      <c r="AE535" s="854"/>
      <c r="AF535" s="854"/>
      <c r="AG535" s="854"/>
      <c r="AH535" s="854"/>
      <c r="AI535" s="854"/>
      <c r="AJ535" s="854"/>
      <c r="AK535" s="854"/>
      <c r="AL535" s="854"/>
      <c r="AM535" s="854"/>
      <c r="AN535" s="854"/>
      <c r="AO535" s="854"/>
      <c r="AP535" s="854"/>
      <c r="AQ535" s="854"/>
      <c r="AR535" s="854"/>
      <c r="AS535" s="854"/>
      <c r="AT535" s="854"/>
      <c r="AU535" s="854"/>
      <c r="AV535" s="854"/>
      <c r="AW535" s="854"/>
      <c r="AX535" s="854"/>
      <c r="AY535" s="854"/>
      <c r="AZ535" s="854"/>
      <c r="BA535" s="854"/>
      <c r="BB535" s="854"/>
      <c r="BC535" s="854"/>
      <c r="BD535" s="854"/>
      <c r="BE535" s="854"/>
      <c r="BF535" s="854"/>
      <c r="BG535" s="854"/>
      <c r="BH535" s="854"/>
      <c r="BI535" s="854"/>
      <c r="BJ535" s="854"/>
      <c r="BK535" s="854"/>
      <c r="BL535" s="854"/>
      <c r="BM535" s="854"/>
      <c r="BN535" s="854"/>
      <c r="BO535" s="854"/>
      <c r="BP535" s="854"/>
      <c r="BQ535" s="854"/>
      <c r="BR535" s="854"/>
      <c r="BS535" s="854"/>
      <c r="BT535" s="854"/>
      <c r="BU535" s="854"/>
      <c r="BV535" s="854"/>
      <c r="BW535" s="854"/>
      <c r="BX535" s="854"/>
      <c r="BY535" s="854"/>
      <c r="BZ535" s="854"/>
      <c r="CA535" s="571">
        <f>IF(OR(I535="",I535&lt;'Configs &amp; Procedures'!$L$29),0,IF(I535&gt;'Configs &amp; Procedures'!$L$30,1,IF(F535&gt;'Configs &amp; Procedures'!$L$31,0,1)))</f>
        <v>0</v>
      </c>
    </row>
    <row r="536" spans="2:79">
      <c r="B536" s="854"/>
      <c r="C536" s="854"/>
      <c r="D536" s="854"/>
      <c r="E536" s="854"/>
      <c r="F536" s="854"/>
      <c r="G536" s="854"/>
      <c r="H536" s="854"/>
      <c r="I536" s="854"/>
      <c r="J536" s="854"/>
      <c r="K536" s="854"/>
      <c r="L536" s="854"/>
      <c r="M536" s="854"/>
      <c r="N536" s="854"/>
      <c r="O536" s="854"/>
      <c r="P536" s="854"/>
      <c r="Q536" s="854"/>
      <c r="R536" s="854"/>
      <c r="S536" s="854"/>
      <c r="T536" s="854"/>
      <c r="U536" s="854"/>
      <c r="V536" s="854"/>
      <c r="W536" s="854"/>
      <c r="X536" s="854"/>
      <c r="Y536" s="854"/>
      <c r="Z536" s="854"/>
      <c r="AA536" s="854"/>
      <c r="AB536" s="854"/>
      <c r="AC536" s="854"/>
      <c r="AD536" s="854"/>
      <c r="AE536" s="854"/>
      <c r="AF536" s="854"/>
      <c r="AG536" s="854"/>
      <c r="AH536" s="854"/>
      <c r="AI536" s="854"/>
      <c r="AJ536" s="854"/>
      <c r="AK536" s="854"/>
      <c r="AL536" s="854"/>
      <c r="AM536" s="854"/>
      <c r="AN536" s="854"/>
      <c r="AO536" s="854"/>
      <c r="AP536" s="854"/>
      <c r="AQ536" s="854"/>
      <c r="AR536" s="854"/>
      <c r="AS536" s="854"/>
      <c r="AT536" s="854"/>
      <c r="AU536" s="854"/>
      <c r="AV536" s="854"/>
      <c r="AW536" s="854"/>
      <c r="AX536" s="854"/>
      <c r="AY536" s="854"/>
      <c r="AZ536" s="854"/>
      <c r="BA536" s="854"/>
      <c r="BB536" s="854"/>
      <c r="BC536" s="854"/>
      <c r="BD536" s="854"/>
      <c r="BE536" s="854"/>
      <c r="BF536" s="854"/>
      <c r="BG536" s="854"/>
      <c r="BH536" s="854"/>
      <c r="BI536" s="854"/>
      <c r="BJ536" s="854"/>
      <c r="BK536" s="854"/>
      <c r="BL536" s="854"/>
      <c r="BM536" s="854"/>
      <c r="BN536" s="854"/>
      <c r="BO536" s="854"/>
      <c r="BP536" s="854"/>
      <c r="BQ536" s="854"/>
      <c r="BR536" s="854"/>
      <c r="BS536" s="854"/>
      <c r="BT536" s="854"/>
      <c r="BU536" s="854"/>
      <c r="BV536" s="854"/>
      <c r="BW536" s="854"/>
      <c r="BX536" s="854"/>
      <c r="BY536" s="854"/>
      <c r="BZ536" s="854"/>
      <c r="CA536" s="571">
        <f>IF(OR(I536="",I536&lt;'Configs &amp; Procedures'!$L$29),0,IF(I536&gt;'Configs &amp; Procedures'!$L$30,1,IF(F536&gt;'Configs &amp; Procedures'!$L$31,0,1)))</f>
        <v>0</v>
      </c>
    </row>
    <row r="537" spans="2:79">
      <c r="B537" s="854"/>
      <c r="C537" s="854"/>
      <c r="D537" s="854"/>
      <c r="E537" s="854"/>
      <c r="F537" s="854"/>
      <c r="G537" s="854"/>
      <c r="H537" s="854"/>
      <c r="I537" s="854"/>
      <c r="J537" s="854"/>
      <c r="K537" s="854"/>
      <c r="L537" s="854"/>
      <c r="M537" s="854"/>
      <c r="N537" s="854"/>
      <c r="O537" s="854"/>
      <c r="P537" s="854"/>
      <c r="Q537" s="854"/>
      <c r="R537" s="854"/>
      <c r="S537" s="854"/>
      <c r="T537" s="854"/>
      <c r="U537" s="854"/>
      <c r="V537" s="854"/>
      <c r="W537" s="854"/>
      <c r="X537" s="854"/>
      <c r="Y537" s="854"/>
      <c r="Z537" s="854"/>
      <c r="AA537" s="854"/>
      <c r="AB537" s="854"/>
      <c r="AC537" s="854"/>
      <c r="AD537" s="854"/>
      <c r="AE537" s="854"/>
      <c r="AF537" s="854"/>
      <c r="AG537" s="854"/>
      <c r="AH537" s="854"/>
      <c r="AI537" s="854"/>
      <c r="AJ537" s="854"/>
      <c r="AK537" s="854"/>
      <c r="AL537" s="854"/>
      <c r="AM537" s="854"/>
      <c r="AN537" s="854"/>
      <c r="AO537" s="854"/>
      <c r="AP537" s="854"/>
      <c r="AQ537" s="854"/>
      <c r="AR537" s="854"/>
      <c r="AS537" s="854"/>
      <c r="AT537" s="854"/>
      <c r="AU537" s="854"/>
      <c r="AV537" s="854"/>
      <c r="AW537" s="854"/>
      <c r="AX537" s="854"/>
      <c r="AY537" s="854"/>
      <c r="AZ537" s="854"/>
      <c r="BA537" s="854"/>
      <c r="BB537" s="854"/>
      <c r="BC537" s="854"/>
      <c r="BD537" s="854"/>
      <c r="BE537" s="854"/>
      <c r="BF537" s="854"/>
      <c r="BG537" s="854"/>
      <c r="BH537" s="854"/>
      <c r="BI537" s="854"/>
      <c r="BJ537" s="854"/>
      <c r="BK537" s="854"/>
      <c r="BL537" s="854"/>
      <c r="BM537" s="854"/>
      <c r="BN537" s="854"/>
      <c r="BO537" s="854"/>
      <c r="BP537" s="854"/>
      <c r="BQ537" s="854"/>
      <c r="BR537" s="854"/>
      <c r="BS537" s="854"/>
      <c r="BT537" s="854"/>
      <c r="BU537" s="854"/>
      <c r="BV537" s="854"/>
      <c r="BW537" s="854"/>
      <c r="BX537" s="854"/>
      <c r="BY537" s="854"/>
      <c r="BZ537" s="854"/>
      <c r="CA537" s="571">
        <f>IF(OR(I537="",I537&lt;'Configs &amp; Procedures'!$L$29),0,IF(I537&gt;'Configs &amp; Procedures'!$L$30,1,IF(F537&gt;'Configs &amp; Procedures'!$L$31,0,1)))</f>
        <v>0</v>
      </c>
    </row>
    <row r="538" spans="2:79">
      <c r="B538" s="854"/>
      <c r="C538" s="854"/>
      <c r="D538" s="854"/>
      <c r="E538" s="854"/>
      <c r="F538" s="854"/>
      <c r="G538" s="854"/>
      <c r="H538" s="854"/>
      <c r="I538" s="854"/>
      <c r="J538" s="854"/>
      <c r="K538" s="854"/>
      <c r="L538" s="854"/>
      <c r="M538" s="854"/>
      <c r="N538" s="854"/>
      <c r="O538" s="854"/>
      <c r="P538" s="854"/>
      <c r="Q538" s="854"/>
      <c r="R538" s="854"/>
      <c r="S538" s="854"/>
      <c r="T538" s="854"/>
      <c r="U538" s="854"/>
      <c r="V538" s="854"/>
      <c r="W538" s="854"/>
      <c r="X538" s="854"/>
      <c r="Y538" s="854"/>
      <c r="Z538" s="854"/>
      <c r="AA538" s="854"/>
      <c r="AB538" s="854"/>
      <c r="AC538" s="854"/>
      <c r="AD538" s="854"/>
      <c r="AE538" s="854"/>
      <c r="AF538" s="854"/>
      <c r="AG538" s="854"/>
      <c r="AH538" s="854"/>
      <c r="AI538" s="854"/>
      <c r="AJ538" s="854"/>
      <c r="AK538" s="854"/>
      <c r="AL538" s="854"/>
      <c r="AM538" s="854"/>
      <c r="AN538" s="854"/>
      <c r="AO538" s="854"/>
      <c r="AP538" s="854"/>
      <c r="AQ538" s="854"/>
      <c r="AR538" s="854"/>
      <c r="AS538" s="854"/>
      <c r="AT538" s="854"/>
      <c r="AU538" s="854"/>
      <c r="AV538" s="854"/>
      <c r="AW538" s="854"/>
      <c r="AX538" s="854"/>
      <c r="AY538" s="854"/>
      <c r="AZ538" s="854"/>
      <c r="BA538" s="854"/>
      <c r="BB538" s="854"/>
      <c r="BC538" s="854"/>
      <c r="BD538" s="854"/>
      <c r="BE538" s="854"/>
      <c r="BF538" s="854"/>
      <c r="BG538" s="854"/>
      <c r="BH538" s="854"/>
      <c r="BI538" s="854"/>
      <c r="BJ538" s="854"/>
      <c r="BK538" s="854"/>
      <c r="BL538" s="854"/>
      <c r="BM538" s="854"/>
      <c r="BN538" s="854"/>
      <c r="BO538" s="854"/>
      <c r="BP538" s="854"/>
      <c r="BQ538" s="854"/>
      <c r="BR538" s="854"/>
      <c r="BS538" s="854"/>
      <c r="BT538" s="854"/>
      <c r="BU538" s="854"/>
      <c r="BV538" s="854"/>
      <c r="BW538" s="854"/>
      <c r="BX538" s="854"/>
      <c r="BY538" s="854"/>
      <c r="BZ538" s="854"/>
      <c r="CA538" s="571">
        <f>IF(OR(I538="",I538&lt;'Configs &amp; Procedures'!$L$29),0,IF(I538&gt;'Configs &amp; Procedures'!$L$30,1,IF(F538&gt;'Configs &amp; Procedures'!$L$31,0,1)))</f>
        <v>0</v>
      </c>
    </row>
    <row r="539" spans="2:79">
      <c r="B539" s="854"/>
      <c r="C539" s="854"/>
      <c r="D539" s="854"/>
      <c r="E539" s="854"/>
      <c r="F539" s="854"/>
      <c r="G539" s="854"/>
      <c r="H539" s="854"/>
      <c r="I539" s="854"/>
      <c r="J539" s="854"/>
      <c r="K539" s="854"/>
      <c r="L539" s="854"/>
      <c r="M539" s="854"/>
      <c r="N539" s="854"/>
      <c r="O539" s="854"/>
      <c r="P539" s="854"/>
      <c r="Q539" s="854"/>
      <c r="R539" s="854"/>
      <c r="S539" s="854"/>
      <c r="T539" s="854"/>
      <c r="U539" s="854"/>
      <c r="V539" s="854"/>
      <c r="W539" s="854"/>
      <c r="X539" s="854"/>
      <c r="Y539" s="854"/>
      <c r="Z539" s="854"/>
      <c r="AA539" s="854"/>
      <c r="AB539" s="854"/>
      <c r="AC539" s="854"/>
      <c r="AD539" s="854"/>
      <c r="AE539" s="854"/>
      <c r="AF539" s="854"/>
      <c r="AG539" s="854"/>
      <c r="AH539" s="854"/>
      <c r="AI539" s="854"/>
      <c r="AJ539" s="854"/>
      <c r="AK539" s="854"/>
      <c r="AL539" s="854"/>
      <c r="AM539" s="854"/>
      <c r="AN539" s="854"/>
      <c r="AO539" s="854"/>
      <c r="AP539" s="854"/>
      <c r="AQ539" s="854"/>
      <c r="AR539" s="854"/>
      <c r="AS539" s="854"/>
      <c r="AT539" s="854"/>
      <c r="AU539" s="854"/>
      <c r="AV539" s="854"/>
      <c r="AW539" s="854"/>
      <c r="AX539" s="854"/>
      <c r="AY539" s="854"/>
      <c r="AZ539" s="854"/>
      <c r="BA539" s="854"/>
      <c r="BB539" s="854"/>
      <c r="BC539" s="854"/>
      <c r="BD539" s="854"/>
      <c r="BE539" s="854"/>
      <c r="BF539" s="854"/>
      <c r="BG539" s="854"/>
      <c r="BH539" s="854"/>
      <c r="BI539" s="854"/>
      <c r="BJ539" s="854"/>
      <c r="BK539" s="854"/>
      <c r="BL539" s="854"/>
      <c r="BM539" s="854"/>
      <c r="BN539" s="854"/>
      <c r="BO539" s="854"/>
      <c r="BP539" s="854"/>
      <c r="BQ539" s="854"/>
      <c r="BR539" s="854"/>
      <c r="BS539" s="854"/>
      <c r="BT539" s="854"/>
      <c r="BU539" s="854"/>
      <c r="BV539" s="854"/>
      <c r="BW539" s="854"/>
      <c r="BX539" s="854"/>
      <c r="BY539" s="854"/>
      <c r="BZ539" s="854"/>
      <c r="CA539" s="571">
        <f>IF(OR(I539="",I539&lt;'Configs &amp; Procedures'!$L$29),0,IF(I539&gt;'Configs &amp; Procedures'!$L$30,1,IF(F539&gt;'Configs &amp; Procedures'!$L$31,0,1)))</f>
        <v>0</v>
      </c>
    </row>
    <row r="540" spans="2:79">
      <c r="B540" s="854"/>
      <c r="C540" s="854"/>
      <c r="D540" s="854"/>
      <c r="E540" s="854"/>
      <c r="F540" s="854"/>
      <c r="G540" s="854"/>
      <c r="H540" s="854"/>
      <c r="I540" s="854"/>
      <c r="J540" s="854"/>
      <c r="K540" s="854"/>
      <c r="L540" s="854"/>
      <c r="M540" s="854"/>
      <c r="N540" s="854"/>
      <c r="O540" s="854"/>
      <c r="P540" s="854"/>
      <c r="Q540" s="854"/>
      <c r="R540" s="854"/>
      <c r="S540" s="854"/>
      <c r="T540" s="854"/>
      <c r="U540" s="854"/>
      <c r="V540" s="854"/>
      <c r="W540" s="854"/>
      <c r="X540" s="854"/>
      <c r="Y540" s="854"/>
      <c r="Z540" s="854"/>
      <c r="AA540" s="854"/>
      <c r="AB540" s="854"/>
      <c r="AC540" s="854"/>
      <c r="AD540" s="854"/>
      <c r="AE540" s="854"/>
      <c r="AF540" s="854"/>
      <c r="AG540" s="854"/>
      <c r="AH540" s="854"/>
      <c r="AI540" s="854"/>
      <c r="AJ540" s="854"/>
      <c r="AK540" s="854"/>
      <c r="AL540" s="854"/>
      <c r="AM540" s="854"/>
      <c r="AN540" s="854"/>
      <c r="AO540" s="854"/>
      <c r="AP540" s="854"/>
      <c r="AQ540" s="854"/>
      <c r="AR540" s="854"/>
      <c r="AS540" s="854"/>
      <c r="AT540" s="854"/>
      <c r="AU540" s="854"/>
      <c r="AV540" s="854"/>
      <c r="AW540" s="854"/>
      <c r="AX540" s="854"/>
      <c r="AY540" s="854"/>
      <c r="AZ540" s="854"/>
      <c r="BA540" s="854"/>
      <c r="BB540" s="854"/>
      <c r="BC540" s="854"/>
      <c r="BD540" s="854"/>
      <c r="BE540" s="854"/>
      <c r="BF540" s="854"/>
      <c r="BG540" s="854"/>
      <c r="BH540" s="854"/>
      <c r="BI540" s="854"/>
      <c r="BJ540" s="854"/>
      <c r="BK540" s="854"/>
      <c r="BL540" s="854"/>
      <c r="BM540" s="854"/>
      <c r="BN540" s="854"/>
      <c r="BO540" s="854"/>
      <c r="BP540" s="854"/>
      <c r="BQ540" s="854"/>
      <c r="BR540" s="854"/>
      <c r="BS540" s="854"/>
      <c r="BT540" s="854"/>
      <c r="BU540" s="854"/>
      <c r="BV540" s="854"/>
      <c r="BW540" s="854"/>
      <c r="BX540" s="854"/>
      <c r="BY540" s="854"/>
      <c r="BZ540" s="854"/>
      <c r="CA540" s="571">
        <f>IF(OR(I540="",I540&lt;'Configs &amp; Procedures'!$L$29),0,IF(I540&gt;'Configs &amp; Procedures'!$L$30,1,IF(F540&gt;'Configs &amp; Procedures'!$L$31,0,1)))</f>
        <v>0</v>
      </c>
    </row>
    <row r="541" spans="2:79">
      <c r="B541" s="854"/>
      <c r="C541" s="854"/>
      <c r="D541" s="854"/>
      <c r="E541" s="854"/>
      <c r="F541" s="854"/>
      <c r="G541" s="854"/>
      <c r="H541" s="854"/>
      <c r="I541" s="854"/>
      <c r="J541" s="854"/>
      <c r="K541" s="854"/>
      <c r="L541" s="854"/>
      <c r="M541" s="854"/>
      <c r="N541" s="854"/>
      <c r="O541" s="854"/>
      <c r="P541" s="854"/>
      <c r="Q541" s="854"/>
      <c r="R541" s="854"/>
      <c r="S541" s="854"/>
      <c r="T541" s="854"/>
      <c r="U541" s="854"/>
      <c r="V541" s="854"/>
      <c r="W541" s="854"/>
      <c r="X541" s="854"/>
      <c r="Y541" s="854"/>
      <c r="Z541" s="854"/>
      <c r="AA541" s="854"/>
      <c r="AB541" s="854"/>
      <c r="AC541" s="854"/>
      <c r="AD541" s="854"/>
      <c r="AE541" s="854"/>
      <c r="AF541" s="854"/>
      <c r="AG541" s="854"/>
      <c r="AH541" s="854"/>
      <c r="AI541" s="854"/>
      <c r="AJ541" s="854"/>
      <c r="AK541" s="854"/>
      <c r="AL541" s="854"/>
      <c r="AM541" s="854"/>
      <c r="AN541" s="854"/>
      <c r="AO541" s="854"/>
      <c r="AP541" s="854"/>
      <c r="AQ541" s="854"/>
      <c r="AR541" s="854"/>
      <c r="AS541" s="854"/>
      <c r="AT541" s="854"/>
      <c r="AU541" s="854"/>
      <c r="AV541" s="854"/>
      <c r="AW541" s="854"/>
      <c r="AX541" s="854"/>
      <c r="AY541" s="854"/>
      <c r="AZ541" s="854"/>
      <c r="BA541" s="854"/>
      <c r="BB541" s="854"/>
      <c r="BC541" s="854"/>
      <c r="BD541" s="854"/>
      <c r="BE541" s="854"/>
      <c r="BF541" s="854"/>
      <c r="BG541" s="854"/>
      <c r="BH541" s="854"/>
      <c r="BI541" s="854"/>
      <c r="BJ541" s="854"/>
      <c r="BK541" s="854"/>
      <c r="BL541" s="854"/>
      <c r="BM541" s="854"/>
      <c r="BN541" s="854"/>
      <c r="BO541" s="854"/>
      <c r="BP541" s="854"/>
      <c r="BQ541" s="854"/>
      <c r="BR541" s="854"/>
      <c r="BS541" s="854"/>
      <c r="BT541" s="854"/>
      <c r="BU541" s="854"/>
      <c r="BV541" s="854"/>
      <c r="BW541" s="854"/>
      <c r="BX541" s="854"/>
      <c r="BY541" s="854"/>
      <c r="BZ541" s="854"/>
      <c r="CA541" s="571">
        <f>IF(OR(I541="",I541&lt;'Configs &amp; Procedures'!$L$29),0,IF(I541&gt;'Configs &amp; Procedures'!$L$30,1,IF(F541&gt;'Configs &amp; Procedures'!$L$31,0,1)))</f>
        <v>0</v>
      </c>
    </row>
    <row r="542" spans="2:79">
      <c r="B542" s="854"/>
      <c r="C542" s="854"/>
      <c r="D542" s="854"/>
      <c r="E542" s="854"/>
      <c r="F542" s="854"/>
      <c r="G542" s="854"/>
      <c r="H542" s="854"/>
      <c r="I542" s="854"/>
      <c r="J542" s="854"/>
      <c r="K542" s="854"/>
      <c r="L542" s="854"/>
      <c r="M542" s="854"/>
      <c r="N542" s="854"/>
      <c r="O542" s="854"/>
      <c r="P542" s="854"/>
      <c r="Q542" s="854"/>
      <c r="R542" s="854"/>
      <c r="S542" s="854"/>
      <c r="T542" s="854"/>
      <c r="U542" s="854"/>
      <c r="V542" s="854"/>
      <c r="W542" s="854"/>
      <c r="X542" s="854"/>
      <c r="Y542" s="854"/>
      <c r="Z542" s="854"/>
      <c r="AA542" s="854"/>
      <c r="AB542" s="854"/>
      <c r="AC542" s="854"/>
      <c r="AD542" s="854"/>
      <c r="AE542" s="854"/>
      <c r="AF542" s="854"/>
      <c r="AG542" s="854"/>
      <c r="AH542" s="854"/>
      <c r="AI542" s="854"/>
      <c r="AJ542" s="854"/>
      <c r="AK542" s="854"/>
      <c r="AL542" s="854"/>
      <c r="AM542" s="854"/>
      <c r="AN542" s="854"/>
      <c r="AO542" s="854"/>
      <c r="AP542" s="854"/>
      <c r="AQ542" s="854"/>
      <c r="AR542" s="854"/>
      <c r="AS542" s="854"/>
      <c r="AT542" s="854"/>
      <c r="AU542" s="854"/>
      <c r="AV542" s="854"/>
      <c r="AW542" s="854"/>
      <c r="AX542" s="854"/>
      <c r="AY542" s="854"/>
      <c r="AZ542" s="854"/>
      <c r="BA542" s="854"/>
      <c r="BB542" s="854"/>
      <c r="BC542" s="854"/>
      <c r="BD542" s="854"/>
      <c r="BE542" s="854"/>
      <c r="BF542" s="854"/>
      <c r="BG542" s="854"/>
      <c r="BH542" s="854"/>
      <c r="BI542" s="854"/>
      <c r="BJ542" s="854"/>
      <c r="BK542" s="854"/>
      <c r="BL542" s="854"/>
      <c r="BM542" s="854"/>
      <c r="BN542" s="854"/>
      <c r="BO542" s="854"/>
      <c r="BP542" s="854"/>
      <c r="BQ542" s="854"/>
      <c r="BR542" s="854"/>
      <c r="BS542" s="854"/>
      <c r="BT542" s="854"/>
      <c r="BU542" s="854"/>
      <c r="BV542" s="854"/>
      <c r="BW542" s="854"/>
      <c r="BX542" s="854"/>
      <c r="BY542" s="854"/>
      <c r="BZ542" s="854"/>
      <c r="CA542" s="571">
        <f>IF(OR(I542="",I542&lt;'Configs &amp; Procedures'!$L$29),0,IF(I542&gt;'Configs &amp; Procedures'!$L$30,1,IF(F542&gt;'Configs &amp; Procedures'!$L$31,0,1)))</f>
        <v>0</v>
      </c>
    </row>
    <row r="543" spans="2:79">
      <c r="B543" s="854"/>
      <c r="C543" s="854"/>
      <c r="D543" s="854"/>
      <c r="E543" s="854"/>
      <c r="F543" s="854"/>
      <c r="G543" s="854"/>
      <c r="H543" s="854"/>
      <c r="I543" s="854"/>
      <c r="J543" s="854"/>
      <c r="K543" s="854"/>
      <c r="L543" s="854"/>
      <c r="M543" s="854"/>
      <c r="N543" s="854"/>
      <c r="O543" s="854"/>
      <c r="P543" s="854"/>
      <c r="Q543" s="854"/>
      <c r="R543" s="854"/>
      <c r="S543" s="854"/>
      <c r="T543" s="854"/>
      <c r="U543" s="854"/>
      <c r="V543" s="854"/>
      <c r="W543" s="854"/>
      <c r="X543" s="854"/>
      <c r="Y543" s="854"/>
      <c r="Z543" s="854"/>
      <c r="AA543" s="854"/>
      <c r="AB543" s="854"/>
      <c r="AC543" s="854"/>
      <c r="AD543" s="854"/>
      <c r="AE543" s="854"/>
      <c r="AF543" s="854"/>
      <c r="AG543" s="854"/>
      <c r="AH543" s="854"/>
      <c r="AI543" s="854"/>
      <c r="AJ543" s="854"/>
      <c r="AK543" s="854"/>
      <c r="AL543" s="854"/>
      <c r="AM543" s="854"/>
      <c r="AN543" s="854"/>
      <c r="AO543" s="854"/>
      <c r="AP543" s="854"/>
      <c r="AQ543" s="854"/>
      <c r="AR543" s="854"/>
      <c r="AS543" s="854"/>
      <c r="AT543" s="854"/>
      <c r="AU543" s="854"/>
      <c r="AV543" s="854"/>
      <c r="AW543" s="854"/>
      <c r="AX543" s="854"/>
      <c r="AY543" s="854"/>
      <c r="AZ543" s="854"/>
      <c r="BA543" s="854"/>
      <c r="BB543" s="854"/>
      <c r="BC543" s="854"/>
      <c r="BD543" s="854"/>
      <c r="BE543" s="854"/>
      <c r="BF543" s="854"/>
      <c r="BG543" s="854"/>
      <c r="BH543" s="854"/>
      <c r="BI543" s="854"/>
      <c r="BJ543" s="854"/>
      <c r="BK543" s="854"/>
      <c r="BL543" s="854"/>
      <c r="BM543" s="854"/>
      <c r="BN543" s="854"/>
      <c r="BO543" s="854"/>
      <c r="BP543" s="854"/>
      <c r="BQ543" s="854"/>
      <c r="BR543" s="854"/>
      <c r="BS543" s="854"/>
      <c r="BT543" s="854"/>
      <c r="BU543" s="854"/>
      <c r="BV543" s="854"/>
      <c r="BW543" s="854"/>
      <c r="BX543" s="854"/>
      <c r="BY543" s="854"/>
      <c r="BZ543" s="854"/>
      <c r="CA543" s="571">
        <f>IF(OR(I543="",I543&lt;'Configs &amp; Procedures'!$L$29),0,IF(I543&gt;'Configs &amp; Procedures'!$L$30,1,IF(F543&gt;'Configs &amp; Procedures'!$L$31,0,1)))</f>
        <v>0</v>
      </c>
    </row>
    <row r="544" spans="2:79">
      <c r="B544" s="854"/>
      <c r="C544" s="854"/>
      <c r="D544" s="854"/>
      <c r="E544" s="854"/>
      <c r="F544" s="854"/>
      <c r="G544" s="854"/>
      <c r="H544" s="854"/>
      <c r="I544" s="854"/>
      <c r="J544" s="854"/>
      <c r="K544" s="854"/>
      <c r="L544" s="854"/>
      <c r="M544" s="854"/>
      <c r="N544" s="854"/>
      <c r="O544" s="854"/>
      <c r="P544" s="854"/>
      <c r="Q544" s="854"/>
      <c r="R544" s="854"/>
      <c r="S544" s="854"/>
      <c r="T544" s="854"/>
      <c r="U544" s="854"/>
      <c r="V544" s="854"/>
      <c r="W544" s="854"/>
      <c r="X544" s="854"/>
      <c r="Y544" s="854"/>
      <c r="Z544" s="854"/>
      <c r="AA544" s="854"/>
      <c r="AB544" s="854"/>
      <c r="AC544" s="854"/>
      <c r="AD544" s="854"/>
      <c r="AE544" s="854"/>
      <c r="AF544" s="854"/>
      <c r="AG544" s="854"/>
      <c r="AH544" s="854"/>
      <c r="AI544" s="854"/>
      <c r="AJ544" s="854"/>
      <c r="AK544" s="854"/>
      <c r="AL544" s="854"/>
      <c r="AM544" s="854"/>
      <c r="AN544" s="854"/>
      <c r="AO544" s="854"/>
      <c r="AP544" s="854"/>
      <c r="AQ544" s="854"/>
      <c r="AR544" s="854"/>
      <c r="AS544" s="854"/>
      <c r="AT544" s="854"/>
      <c r="AU544" s="854"/>
      <c r="AV544" s="854"/>
      <c r="AW544" s="854"/>
      <c r="AX544" s="854"/>
      <c r="AY544" s="854"/>
      <c r="AZ544" s="854"/>
      <c r="BA544" s="854"/>
      <c r="BB544" s="854"/>
      <c r="BC544" s="854"/>
      <c r="BD544" s="854"/>
      <c r="BE544" s="854"/>
      <c r="BF544" s="854"/>
      <c r="BG544" s="854"/>
      <c r="BH544" s="854"/>
      <c r="BI544" s="854"/>
      <c r="BJ544" s="854"/>
      <c r="BK544" s="854"/>
      <c r="BL544" s="854"/>
      <c r="BM544" s="854"/>
      <c r="BN544" s="854"/>
      <c r="BO544" s="854"/>
      <c r="BP544" s="854"/>
      <c r="BQ544" s="854"/>
      <c r="BR544" s="854"/>
      <c r="BS544" s="854"/>
      <c r="BT544" s="854"/>
      <c r="BU544" s="854"/>
      <c r="BV544" s="854"/>
      <c r="BW544" s="854"/>
      <c r="BX544" s="854"/>
      <c r="BY544" s="854"/>
      <c r="BZ544" s="854"/>
      <c r="CA544" s="571">
        <f>IF(OR(I544="",I544&lt;'Configs &amp; Procedures'!$L$29),0,IF(I544&gt;'Configs &amp; Procedures'!$L$30,1,IF(F544&gt;'Configs &amp; Procedures'!$L$31,0,1)))</f>
        <v>0</v>
      </c>
    </row>
    <row r="545" spans="2:79">
      <c r="B545" s="854"/>
      <c r="C545" s="854"/>
      <c r="D545" s="854"/>
      <c r="E545" s="854"/>
      <c r="F545" s="854"/>
      <c r="G545" s="854"/>
      <c r="H545" s="854"/>
      <c r="I545" s="854"/>
      <c r="J545" s="854"/>
      <c r="K545" s="854"/>
      <c r="L545" s="854"/>
      <c r="M545" s="854"/>
      <c r="N545" s="854"/>
      <c r="O545" s="854"/>
      <c r="P545" s="854"/>
      <c r="Q545" s="854"/>
      <c r="R545" s="854"/>
      <c r="S545" s="854"/>
      <c r="T545" s="854"/>
      <c r="U545" s="854"/>
      <c r="V545" s="854"/>
      <c r="W545" s="854"/>
      <c r="X545" s="854"/>
      <c r="Y545" s="854"/>
      <c r="Z545" s="854"/>
      <c r="AA545" s="854"/>
      <c r="AB545" s="854"/>
      <c r="AC545" s="854"/>
      <c r="AD545" s="854"/>
      <c r="AE545" s="854"/>
      <c r="AF545" s="854"/>
      <c r="AG545" s="854"/>
      <c r="AH545" s="854"/>
      <c r="AI545" s="854"/>
      <c r="AJ545" s="854"/>
      <c r="AK545" s="854"/>
      <c r="AL545" s="854"/>
      <c r="AM545" s="854"/>
      <c r="AN545" s="854"/>
      <c r="AO545" s="854"/>
      <c r="AP545" s="854"/>
      <c r="AQ545" s="854"/>
      <c r="AR545" s="854"/>
      <c r="AS545" s="854"/>
      <c r="AT545" s="854"/>
      <c r="AU545" s="854"/>
      <c r="AV545" s="854"/>
      <c r="AW545" s="854"/>
      <c r="AX545" s="854"/>
      <c r="AY545" s="854"/>
      <c r="AZ545" s="854"/>
      <c r="BA545" s="854"/>
      <c r="BB545" s="854"/>
      <c r="BC545" s="854"/>
      <c r="BD545" s="854"/>
      <c r="BE545" s="854"/>
      <c r="BF545" s="854"/>
      <c r="BG545" s="854"/>
      <c r="BH545" s="854"/>
      <c r="BI545" s="854"/>
      <c r="BJ545" s="854"/>
      <c r="BK545" s="854"/>
      <c r="BL545" s="854"/>
      <c r="BM545" s="854"/>
      <c r="BN545" s="854"/>
      <c r="BO545" s="854"/>
      <c r="BP545" s="854"/>
      <c r="BQ545" s="854"/>
      <c r="BR545" s="854"/>
      <c r="BS545" s="854"/>
      <c r="BT545" s="854"/>
      <c r="BU545" s="854"/>
      <c r="BV545" s="854"/>
      <c r="BW545" s="854"/>
      <c r="BX545" s="854"/>
      <c r="BY545" s="854"/>
      <c r="BZ545" s="854"/>
      <c r="CA545" s="571">
        <f>IF(OR(I545="",I545&lt;'Configs &amp; Procedures'!$L$29),0,IF(I545&gt;'Configs &amp; Procedures'!$L$30,1,IF(F545&gt;'Configs &amp; Procedures'!$L$31,0,1)))</f>
        <v>0</v>
      </c>
    </row>
    <row r="546" spans="2:79">
      <c r="B546" s="854"/>
      <c r="C546" s="854"/>
      <c r="D546" s="854"/>
      <c r="E546" s="854"/>
      <c r="F546" s="854"/>
      <c r="G546" s="854"/>
      <c r="H546" s="854"/>
      <c r="I546" s="854"/>
      <c r="J546" s="854"/>
      <c r="K546" s="854"/>
      <c r="L546" s="854"/>
      <c r="M546" s="854"/>
      <c r="N546" s="854"/>
      <c r="O546" s="854"/>
      <c r="P546" s="854"/>
      <c r="Q546" s="854"/>
      <c r="R546" s="854"/>
      <c r="S546" s="854"/>
      <c r="T546" s="854"/>
      <c r="U546" s="854"/>
      <c r="V546" s="854"/>
      <c r="W546" s="854"/>
      <c r="X546" s="854"/>
      <c r="Y546" s="854"/>
      <c r="Z546" s="854"/>
      <c r="AA546" s="854"/>
      <c r="AB546" s="854"/>
      <c r="AC546" s="854"/>
      <c r="AD546" s="854"/>
      <c r="AE546" s="854"/>
      <c r="AF546" s="854"/>
      <c r="AG546" s="854"/>
      <c r="AH546" s="854"/>
      <c r="AI546" s="854"/>
      <c r="AJ546" s="854"/>
      <c r="AK546" s="854"/>
      <c r="AL546" s="854"/>
      <c r="AM546" s="854"/>
      <c r="AN546" s="854"/>
      <c r="AO546" s="854"/>
      <c r="AP546" s="854"/>
      <c r="AQ546" s="854"/>
      <c r="AR546" s="854"/>
      <c r="AS546" s="854"/>
      <c r="AT546" s="854"/>
      <c r="AU546" s="854"/>
      <c r="AV546" s="854"/>
      <c r="AW546" s="854"/>
      <c r="AX546" s="854"/>
      <c r="AY546" s="854"/>
      <c r="AZ546" s="854"/>
      <c r="BA546" s="854"/>
      <c r="BB546" s="854"/>
      <c r="BC546" s="854"/>
      <c r="BD546" s="854"/>
      <c r="BE546" s="854"/>
      <c r="BF546" s="854"/>
      <c r="BG546" s="854"/>
      <c r="BH546" s="854"/>
      <c r="BI546" s="854"/>
      <c r="BJ546" s="854"/>
      <c r="BK546" s="854"/>
      <c r="BL546" s="854"/>
      <c r="BM546" s="854"/>
      <c r="BN546" s="854"/>
      <c r="BO546" s="854"/>
      <c r="BP546" s="854"/>
      <c r="BQ546" s="854"/>
      <c r="BR546" s="854"/>
      <c r="BS546" s="854"/>
      <c r="BT546" s="854"/>
      <c r="BU546" s="854"/>
      <c r="BV546" s="854"/>
      <c r="BW546" s="854"/>
      <c r="BX546" s="854"/>
      <c r="BY546" s="854"/>
      <c r="BZ546" s="854"/>
      <c r="CA546" s="571">
        <f>IF(OR(I546="",I546&lt;'Configs &amp; Procedures'!$L$29),0,IF(I546&gt;'Configs &amp; Procedures'!$L$30,1,IF(F546&gt;'Configs &amp; Procedures'!$L$31,0,1)))</f>
        <v>0</v>
      </c>
    </row>
    <row r="547" spans="2:79">
      <c r="B547" s="854"/>
      <c r="C547" s="854"/>
      <c r="D547" s="854"/>
      <c r="E547" s="854"/>
      <c r="F547" s="854"/>
      <c r="G547" s="854"/>
      <c r="H547" s="854"/>
      <c r="I547" s="854"/>
      <c r="J547" s="854"/>
      <c r="K547" s="854"/>
      <c r="L547" s="854"/>
      <c r="M547" s="854"/>
      <c r="N547" s="854"/>
      <c r="O547" s="854"/>
      <c r="P547" s="854"/>
      <c r="Q547" s="854"/>
      <c r="R547" s="854"/>
      <c r="S547" s="854"/>
      <c r="T547" s="854"/>
      <c r="U547" s="854"/>
      <c r="V547" s="854"/>
      <c r="W547" s="854"/>
      <c r="X547" s="854"/>
      <c r="Y547" s="854"/>
      <c r="Z547" s="854"/>
      <c r="AA547" s="854"/>
      <c r="AB547" s="854"/>
      <c r="AC547" s="854"/>
      <c r="AD547" s="854"/>
      <c r="AE547" s="854"/>
      <c r="AF547" s="854"/>
      <c r="AG547" s="854"/>
      <c r="AH547" s="854"/>
      <c r="AI547" s="854"/>
      <c r="AJ547" s="854"/>
      <c r="AK547" s="854"/>
      <c r="AL547" s="854"/>
      <c r="AM547" s="854"/>
      <c r="AN547" s="854"/>
      <c r="AO547" s="854"/>
      <c r="AP547" s="854"/>
      <c r="AQ547" s="854"/>
      <c r="AR547" s="854"/>
      <c r="AS547" s="854"/>
      <c r="AT547" s="854"/>
      <c r="AU547" s="854"/>
      <c r="AV547" s="854"/>
      <c r="AW547" s="854"/>
      <c r="AX547" s="854"/>
      <c r="AY547" s="854"/>
      <c r="AZ547" s="854"/>
      <c r="BA547" s="854"/>
      <c r="BB547" s="854"/>
      <c r="BC547" s="854"/>
      <c r="BD547" s="854"/>
      <c r="BE547" s="854"/>
      <c r="BF547" s="854"/>
      <c r="BG547" s="854"/>
      <c r="BH547" s="854"/>
      <c r="BI547" s="854"/>
      <c r="BJ547" s="854"/>
      <c r="BK547" s="854"/>
      <c r="BL547" s="854"/>
      <c r="BM547" s="854"/>
      <c r="BN547" s="854"/>
      <c r="BO547" s="854"/>
      <c r="BP547" s="854"/>
      <c r="BQ547" s="854"/>
      <c r="BR547" s="854"/>
      <c r="BS547" s="854"/>
      <c r="BT547" s="854"/>
      <c r="BU547" s="854"/>
      <c r="BV547" s="854"/>
      <c r="BW547" s="854"/>
      <c r="BX547" s="854"/>
      <c r="BY547" s="854"/>
      <c r="BZ547" s="854"/>
      <c r="CA547" s="571">
        <f>IF(OR(I547="",I547&lt;'Configs &amp; Procedures'!$L$29),0,IF(I547&gt;'Configs &amp; Procedures'!$L$30,1,IF(F547&gt;'Configs &amp; Procedures'!$L$31,0,1)))</f>
        <v>0</v>
      </c>
    </row>
    <row r="548" spans="2:79">
      <c r="B548" s="854"/>
      <c r="C548" s="854"/>
      <c r="D548" s="854"/>
      <c r="E548" s="854"/>
      <c r="F548" s="854"/>
      <c r="G548" s="854"/>
      <c r="H548" s="854"/>
      <c r="I548" s="854"/>
      <c r="J548" s="854"/>
      <c r="K548" s="854"/>
      <c r="L548" s="854"/>
      <c r="M548" s="854"/>
      <c r="N548" s="854"/>
      <c r="O548" s="854"/>
      <c r="P548" s="854"/>
      <c r="Q548" s="854"/>
      <c r="R548" s="854"/>
      <c r="S548" s="854"/>
      <c r="T548" s="854"/>
      <c r="U548" s="854"/>
      <c r="V548" s="854"/>
      <c r="W548" s="854"/>
      <c r="X548" s="854"/>
      <c r="Y548" s="854"/>
      <c r="Z548" s="854"/>
      <c r="AA548" s="854"/>
      <c r="AB548" s="854"/>
      <c r="AC548" s="854"/>
      <c r="AD548" s="854"/>
      <c r="AE548" s="854"/>
      <c r="AF548" s="854"/>
      <c r="AG548" s="854"/>
      <c r="AH548" s="854"/>
      <c r="AI548" s="854"/>
      <c r="AJ548" s="854"/>
      <c r="AK548" s="854"/>
      <c r="AL548" s="854"/>
      <c r="AM548" s="854"/>
      <c r="AN548" s="854"/>
      <c r="AO548" s="854"/>
      <c r="AP548" s="854"/>
      <c r="AQ548" s="854"/>
      <c r="AR548" s="854"/>
      <c r="AS548" s="854"/>
      <c r="AT548" s="854"/>
      <c r="AU548" s="854"/>
      <c r="AV548" s="854"/>
      <c r="AW548" s="854"/>
      <c r="AX548" s="854"/>
      <c r="AY548" s="854"/>
      <c r="AZ548" s="854"/>
      <c r="BA548" s="854"/>
      <c r="BB548" s="854"/>
      <c r="BC548" s="854"/>
      <c r="BD548" s="854"/>
      <c r="BE548" s="854"/>
      <c r="BF548" s="854"/>
      <c r="BG548" s="854"/>
      <c r="BH548" s="854"/>
      <c r="BI548" s="854"/>
      <c r="BJ548" s="854"/>
      <c r="BK548" s="854"/>
      <c r="BL548" s="854"/>
      <c r="BM548" s="854"/>
      <c r="BN548" s="854"/>
      <c r="BO548" s="854"/>
      <c r="BP548" s="854"/>
      <c r="BQ548" s="854"/>
      <c r="BR548" s="854"/>
      <c r="BS548" s="854"/>
      <c r="BT548" s="854"/>
      <c r="BU548" s="854"/>
      <c r="BV548" s="854"/>
      <c r="BW548" s="854"/>
      <c r="BX548" s="854"/>
      <c r="BY548" s="854"/>
      <c r="BZ548" s="854"/>
      <c r="CA548" s="571">
        <f>IF(OR(I548="",I548&lt;'Configs &amp; Procedures'!$L$29),0,IF(I548&gt;'Configs &amp; Procedures'!$L$30,1,IF(F548&gt;'Configs &amp; Procedures'!$L$31,0,1)))</f>
        <v>0</v>
      </c>
    </row>
    <row r="549" spans="2:79">
      <c r="B549" s="854"/>
      <c r="C549" s="854"/>
      <c r="D549" s="854"/>
      <c r="E549" s="854"/>
      <c r="F549" s="854"/>
      <c r="G549" s="854"/>
      <c r="H549" s="854"/>
      <c r="I549" s="854"/>
      <c r="J549" s="854"/>
      <c r="K549" s="854"/>
      <c r="L549" s="854"/>
      <c r="M549" s="854"/>
      <c r="N549" s="854"/>
      <c r="O549" s="854"/>
      <c r="P549" s="854"/>
      <c r="Q549" s="854"/>
      <c r="R549" s="854"/>
      <c r="S549" s="854"/>
      <c r="T549" s="854"/>
      <c r="U549" s="854"/>
      <c r="V549" s="854"/>
      <c r="W549" s="854"/>
      <c r="X549" s="854"/>
      <c r="Y549" s="854"/>
      <c r="Z549" s="854"/>
      <c r="AA549" s="854"/>
      <c r="AB549" s="854"/>
      <c r="AC549" s="854"/>
      <c r="AD549" s="854"/>
      <c r="AE549" s="854"/>
      <c r="AF549" s="854"/>
      <c r="AG549" s="854"/>
      <c r="AH549" s="854"/>
      <c r="AI549" s="854"/>
      <c r="AJ549" s="854"/>
      <c r="AK549" s="854"/>
      <c r="AL549" s="854"/>
      <c r="AM549" s="854"/>
      <c r="AN549" s="854"/>
      <c r="AO549" s="854"/>
      <c r="AP549" s="854"/>
      <c r="AQ549" s="854"/>
      <c r="AR549" s="854"/>
      <c r="AS549" s="854"/>
      <c r="AT549" s="854"/>
      <c r="AU549" s="854"/>
      <c r="AV549" s="854"/>
      <c r="AW549" s="854"/>
      <c r="AX549" s="854"/>
      <c r="AY549" s="854"/>
      <c r="AZ549" s="854"/>
      <c r="BA549" s="854"/>
      <c r="BB549" s="854"/>
      <c r="BC549" s="854"/>
      <c r="BD549" s="854"/>
      <c r="BE549" s="854"/>
      <c r="BF549" s="854"/>
      <c r="BG549" s="854"/>
      <c r="BH549" s="854"/>
      <c r="BI549" s="854"/>
      <c r="BJ549" s="854"/>
      <c r="BK549" s="854"/>
      <c r="BL549" s="854"/>
      <c r="BM549" s="854"/>
      <c r="BN549" s="854"/>
      <c r="BO549" s="854"/>
      <c r="BP549" s="854"/>
      <c r="BQ549" s="854"/>
      <c r="BR549" s="854"/>
      <c r="BS549" s="854"/>
      <c r="BT549" s="854"/>
      <c r="BU549" s="854"/>
      <c r="BV549" s="854"/>
      <c r="BW549" s="854"/>
      <c r="BX549" s="854"/>
      <c r="BY549" s="854"/>
      <c r="BZ549" s="854"/>
      <c r="CA549" s="571">
        <f>IF(OR(I549="",I549&lt;'Configs &amp; Procedures'!$L$29),0,IF(I549&gt;'Configs &amp; Procedures'!$L$30,1,IF(F549&gt;'Configs &amp; Procedures'!$L$31,0,1)))</f>
        <v>0</v>
      </c>
    </row>
    <row r="550" spans="2:79">
      <c r="B550" s="854"/>
      <c r="C550" s="854"/>
      <c r="D550" s="854"/>
      <c r="E550" s="854"/>
      <c r="F550" s="854"/>
      <c r="G550" s="854"/>
      <c r="H550" s="854"/>
      <c r="I550" s="854"/>
      <c r="J550" s="854"/>
      <c r="K550" s="854"/>
      <c r="L550" s="854"/>
      <c r="M550" s="854"/>
      <c r="N550" s="854"/>
      <c r="O550" s="854"/>
      <c r="P550" s="854"/>
      <c r="Q550" s="854"/>
      <c r="R550" s="854"/>
      <c r="S550" s="854"/>
      <c r="T550" s="854"/>
      <c r="U550" s="854"/>
      <c r="V550" s="854"/>
      <c r="W550" s="854"/>
      <c r="X550" s="854"/>
      <c r="Y550" s="854"/>
      <c r="Z550" s="854"/>
      <c r="AA550" s="854"/>
      <c r="AB550" s="854"/>
      <c r="AC550" s="854"/>
      <c r="AD550" s="854"/>
      <c r="AE550" s="854"/>
      <c r="AF550" s="854"/>
      <c r="AG550" s="854"/>
      <c r="AH550" s="854"/>
      <c r="AI550" s="854"/>
      <c r="AJ550" s="854"/>
      <c r="AK550" s="854"/>
      <c r="AL550" s="854"/>
      <c r="AM550" s="854"/>
      <c r="AN550" s="854"/>
      <c r="AO550" s="854"/>
      <c r="AP550" s="854"/>
      <c r="AQ550" s="854"/>
      <c r="AR550" s="854"/>
      <c r="AS550" s="854"/>
      <c r="AT550" s="854"/>
      <c r="AU550" s="854"/>
      <c r="AV550" s="854"/>
      <c r="AW550" s="854"/>
      <c r="AX550" s="854"/>
      <c r="AY550" s="854"/>
      <c r="AZ550" s="854"/>
      <c r="BA550" s="854"/>
      <c r="BB550" s="854"/>
      <c r="BC550" s="854"/>
      <c r="BD550" s="854"/>
      <c r="BE550" s="854"/>
      <c r="BF550" s="854"/>
      <c r="BG550" s="854"/>
      <c r="BH550" s="854"/>
      <c r="BI550" s="854"/>
      <c r="BJ550" s="854"/>
      <c r="BK550" s="854"/>
      <c r="BL550" s="854"/>
      <c r="BM550" s="854"/>
      <c r="BN550" s="854"/>
      <c r="BO550" s="854"/>
      <c r="BP550" s="854"/>
      <c r="BQ550" s="854"/>
      <c r="BR550" s="854"/>
      <c r="BS550" s="854"/>
      <c r="BT550" s="854"/>
      <c r="BU550" s="854"/>
      <c r="BV550" s="854"/>
      <c r="BW550" s="854"/>
      <c r="BX550" s="854"/>
      <c r="BY550" s="854"/>
      <c r="BZ550" s="854"/>
      <c r="CA550" s="571">
        <f>IF(OR(I550="",I550&lt;'Configs &amp; Procedures'!$L$29),0,IF(I550&gt;'Configs &amp; Procedures'!$L$30,1,IF(F550&gt;'Configs &amp; Procedures'!$L$31,0,1)))</f>
        <v>0</v>
      </c>
    </row>
    <row r="551" spans="2:79">
      <c r="B551" s="854"/>
      <c r="C551" s="854"/>
      <c r="D551" s="854"/>
      <c r="E551" s="854"/>
      <c r="F551" s="854"/>
      <c r="G551" s="854"/>
      <c r="H551" s="854"/>
      <c r="I551" s="854"/>
      <c r="J551" s="854"/>
      <c r="K551" s="854"/>
      <c r="L551" s="854"/>
      <c r="M551" s="854"/>
      <c r="N551" s="854"/>
      <c r="O551" s="854"/>
      <c r="P551" s="854"/>
      <c r="Q551" s="854"/>
      <c r="R551" s="854"/>
      <c r="S551" s="854"/>
      <c r="T551" s="854"/>
      <c r="U551" s="854"/>
      <c r="V551" s="854"/>
      <c r="W551" s="854"/>
      <c r="X551" s="854"/>
      <c r="Y551" s="854"/>
      <c r="Z551" s="854"/>
      <c r="AA551" s="854"/>
      <c r="AB551" s="854"/>
      <c r="AC551" s="854"/>
      <c r="AD551" s="854"/>
      <c r="AE551" s="854"/>
      <c r="AF551" s="854"/>
      <c r="AG551" s="854"/>
      <c r="AH551" s="854"/>
      <c r="AI551" s="854"/>
      <c r="AJ551" s="854"/>
      <c r="AK551" s="854"/>
      <c r="AL551" s="854"/>
      <c r="AM551" s="854"/>
      <c r="AN551" s="854"/>
      <c r="AO551" s="854"/>
      <c r="AP551" s="854"/>
      <c r="AQ551" s="854"/>
      <c r="AR551" s="854"/>
      <c r="AS551" s="854"/>
      <c r="AT551" s="854"/>
      <c r="AU551" s="854"/>
      <c r="AV551" s="854"/>
      <c r="AW551" s="854"/>
      <c r="AX551" s="854"/>
      <c r="AY551" s="854"/>
      <c r="AZ551" s="854"/>
      <c r="BA551" s="854"/>
      <c r="BB551" s="854"/>
      <c r="BC551" s="854"/>
      <c r="BD551" s="854"/>
      <c r="BE551" s="854"/>
      <c r="BF551" s="854"/>
      <c r="BG551" s="854"/>
      <c r="BH551" s="854"/>
      <c r="BI551" s="854"/>
      <c r="BJ551" s="854"/>
      <c r="BK551" s="854"/>
      <c r="BL551" s="854"/>
      <c r="BM551" s="854"/>
      <c r="BN551" s="854"/>
      <c r="BO551" s="854"/>
      <c r="BP551" s="854"/>
      <c r="BQ551" s="854"/>
      <c r="BR551" s="854"/>
      <c r="BS551" s="854"/>
      <c r="BT551" s="854"/>
      <c r="BU551" s="854"/>
      <c r="BV551" s="854"/>
      <c r="BW551" s="854"/>
      <c r="BX551" s="854"/>
      <c r="BY551" s="854"/>
      <c r="BZ551" s="854"/>
      <c r="CA551" s="571">
        <f>IF(OR(I551="",I551&lt;'Configs &amp; Procedures'!$L$29),0,IF(I551&gt;'Configs &amp; Procedures'!$L$30,1,IF(F551&gt;'Configs &amp; Procedures'!$L$31,0,1)))</f>
        <v>0</v>
      </c>
    </row>
    <row r="552" spans="2:79">
      <c r="B552" s="854"/>
      <c r="C552" s="854"/>
      <c r="D552" s="854"/>
      <c r="E552" s="854"/>
      <c r="F552" s="854"/>
      <c r="G552" s="854"/>
      <c r="H552" s="854"/>
      <c r="I552" s="854"/>
      <c r="J552" s="854"/>
      <c r="K552" s="854"/>
      <c r="L552" s="854"/>
      <c r="M552" s="854"/>
      <c r="N552" s="854"/>
      <c r="O552" s="854"/>
      <c r="P552" s="854"/>
      <c r="Q552" s="854"/>
      <c r="R552" s="854"/>
      <c r="S552" s="854"/>
      <c r="T552" s="854"/>
      <c r="U552" s="854"/>
      <c r="V552" s="854"/>
      <c r="W552" s="854"/>
      <c r="X552" s="854"/>
      <c r="Y552" s="854"/>
      <c r="Z552" s="854"/>
      <c r="AA552" s="854"/>
      <c r="AB552" s="854"/>
      <c r="AC552" s="854"/>
      <c r="AD552" s="854"/>
      <c r="AE552" s="854"/>
      <c r="AF552" s="854"/>
      <c r="AG552" s="854"/>
      <c r="AH552" s="854"/>
      <c r="AI552" s="854"/>
      <c r="AJ552" s="854"/>
      <c r="AK552" s="854"/>
      <c r="AL552" s="854"/>
      <c r="AM552" s="854"/>
      <c r="AN552" s="854"/>
      <c r="AO552" s="854"/>
      <c r="AP552" s="854"/>
      <c r="AQ552" s="854"/>
      <c r="AR552" s="854"/>
      <c r="AS552" s="854"/>
      <c r="AT552" s="854"/>
      <c r="AU552" s="854"/>
      <c r="AV552" s="854"/>
      <c r="AW552" s="854"/>
      <c r="AX552" s="854"/>
      <c r="AY552" s="854"/>
      <c r="AZ552" s="854"/>
      <c r="BA552" s="854"/>
      <c r="BB552" s="854"/>
      <c r="BC552" s="854"/>
      <c r="BD552" s="854"/>
      <c r="BE552" s="854"/>
      <c r="BF552" s="854"/>
      <c r="BG552" s="854"/>
      <c r="BH552" s="854"/>
      <c r="BI552" s="854"/>
      <c r="BJ552" s="854"/>
      <c r="BK552" s="854"/>
      <c r="BL552" s="854"/>
      <c r="BM552" s="854"/>
      <c r="BN552" s="854"/>
      <c r="BO552" s="854"/>
      <c r="BP552" s="854"/>
      <c r="BQ552" s="854"/>
      <c r="BR552" s="854"/>
      <c r="BS552" s="854"/>
      <c r="BT552" s="854"/>
      <c r="BU552" s="854"/>
      <c r="BV552" s="854"/>
      <c r="BW552" s="854"/>
      <c r="BX552" s="854"/>
      <c r="BY552" s="854"/>
      <c r="BZ552" s="854"/>
      <c r="CA552" s="571">
        <f>IF(OR(I552="",I552&lt;'Configs &amp; Procedures'!$L$29),0,IF(I552&gt;'Configs &amp; Procedures'!$L$30,1,IF(F552&gt;'Configs &amp; Procedures'!$L$31,0,1)))</f>
        <v>0</v>
      </c>
    </row>
    <row r="553" spans="2:79">
      <c r="B553" s="854"/>
      <c r="C553" s="854"/>
      <c r="D553" s="854"/>
      <c r="E553" s="854"/>
      <c r="F553" s="854"/>
      <c r="G553" s="854"/>
      <c r="H553" s="854"/>
      <c r="I553" s="854"/>
      <c r="J553" s="854"/>
      <c r="K553" s="854"/>
      <c r="L553" s="854"/>
      <c r="M553" s="854"/>
      <c r="N553" s="854"/>
      <c r="O553" s="854"/>
      <c r="P553" s="854"/>
      <c r="Q553" s="854"/>
      <c r="R553" s="854"/>
      <c r="S553" s="854"/>
      <c r="T553" s="854"/>
      <c r="U553" s="854"/>
      <c r="V553" s="854"/>
      <c r="W553" s="854"/>
      <c r="X553" s="854"/>
      <c r="Y553" s="854"/>
      <c r="Z553" s="854"/>
      <c r="AA553" s="854"/>
      <c r="AB553" s="854"/>
      <c r="AC553" s="854"/>
      <c r="AD553" s="854"/>
      <c r="AE553" s="854"/>
      <c r="AF553" s="854"/>
      <c r="AG553" s="854"/>
      <c r="AH553" s="854"/>
      <c r="AI553" s="854"/>
      <c r="AJ553" s="854"/>
      <c r="AK553" s="854"/>
      <c r="AL553" s="854"/>
      <c r="AM553" s="854"/>
      <c r="AN553" s="854"/>
      <c r="AO553" s="854"/>
      <c r="AP553" s="854"/>
      <c r="AQ553" s="854"/>
      <c r="AR553" s="854"/>
      <c r="AS553" s="854"/>
      <c r="AT553" s="854"/>
      <c r="AU553" s="854"/>
      <c r="AV553" s="854"/>
      <c r="AW553" s="854"/>
      <c r="AX553" s="854"/>
      <c r="AY553" s="854"/>
      <c r="AZ553" s="854"/>
      <c r="BA553" s="854"/>
      <c r="BB553" s="854"/>
      <c r="BC553" s="854"/>
      <c r="BD553" s="854"/>
      <c r="BE553" s="854"/>
      <c r="BF553" s="854"/>
      <c r="BG553" s="854"/>
      <c r="BH553" s="854"/>
      <c r="BI553" s="854"/>
      <c r="BJ553" s="854"/>
      <c r="BK553" s="854"/>
      <c r="BL553" s="854"/>
      <c r="BM553" s="854"/>
      <c r="BN553" s="854"/>
      <c r="BO553" s="854"/>
      <c r="BP553" s="854"/>
      <c r="BQ553" s="854"/>
      <c r="BR553" s="854"/>
      <c r="BS553" s="854"/>
      <c r="BT553" s="854"/>
      <c r="BU553" s="854"/>
      <c r="BV553" s="854"/>
      <c r="BW553" s="854"/>
      <c r="BX553" s="854"/>
      <c r="BY553" s="854"/>
      <c r="BZ553" s="854"/>
      <c r="CA553" s="571">
        <f>IF(OR(I553="",I553&lt;'Configs &amp; Procedures'!$L$29),0,IF(I553&gt;'Configs &amp; Procedures'!$L$30,1,IF(F553&gt;'Configs &amp; Procedures'!$L$31,0,1)))</f>
        <v>0</v>
      </c>
    </row>
    <row r="554" spans="2:79">
      <c r="B554" s="854"/>
      <c r="C554" s="854"/>
      <c r="D554" s="854"/>
      <c r="E554" s="854"/>
      <c r="F554" s="854"/>
      <c r="G554" s="854"/>
      <c r="H554" s="854"/>
      <c r="I554" s="854"/>
      <c r="J554" s="854"/>
      <c r="K554" s="854"/>
      <c r="L554" s="854"/>
      <c r="M554" s="854"/>
      <c r="N554" s="854"/>
      <c r="O554" s="854"/>
      <c r="P554" s="854"/>
      <c r="Q554" s="854"/>
      <c r="R554" s="854"/>
      <c r="S554" s="854"/>
      <c r="T554" s="854"/>
      <c r="U554" s="854"/>
      <c r="V554" s="854"/>
      <c r="W554" s="854"/>
      <c r="X554" s="854"/>
      <c r="Y554" s="854"/>
      <c r="Z554" s="854"/>
      <c r="AA554" s="854"/>
      <c r="AB554" s="854"/>
      <c r="AC554" s="854"/>
      <c r="AD554" s="854"/>
      <c r="AE554" s="854"/>
      <c r="AF554" s="854"/>
      <c r="AG554" s="854"/>
      <c r="AH554" s="854"/>
      <c r="AI554" s="854"/>
      <c r="AJ554" s="854"/>
      <c r="AK554" s="854"/>
      <c r="AL554" s="854"/>
      <c r="AM554" s="854"/>
      <c r="AN554" s="854"/>
      <c r="AO554" s="854"/>
      <c r="AP554" s="854"/>
      <c r="AQ554" s="854"/>
      <c r="AR554" s="854"/>
      <c r="AS554" s="854"/>
      <c r="AT554" s="854"/>
      <c r="AU554" s="854"/>
      <c r="AV554" s="854"/>
      <c r="AW554" s="854"/>
      <c r="AX554" s="854"/>
      <c r="AY554" s="854"/>
      <c r="AZ554" s="854"/>
      <c r="BA554" s="854"/>
      <c r="BB554" s="854"/>
      <c r="BC554" s="854"/>
      <c r="BD554" s="854"/>
      <c r="BE554" s="854"/>
      <c r="BF554" s="854"/>
      <c r="BG554" s="854"/>
      <c r="BH554" s="854"/>
      <c r="BI554" s="854"/>
      <c r="BJ554" s="854"/>
      <c r="BK554" s="854"/>
      <c r="BL554" s="854"/>
      <c r="BM554" s="854"/>
      <c r="BN554" s="854"/>
      <c r="BO554" s="854"/>
      <c r="BP554" s="854"/>
      <c r="BQ554" s="854"/>
      <c r="BR554" s="854"/>
      <c r="BS554" s="854"/>
      <c r="BT554" s="854"/>
      <c r="BU554" s="854"/>
      <c r="BV554" s="854"/>
      <c r="BW554" s="854"/>
      <c r="BX554" s="854"/>
      <c r="BY554" s="854"/>
      <c r="BZ554" s="854"/>
      <c r="CA554" s="571">
        <f>IF(OR(I554="",I554&lt;'Configs &amp; Procedures'!$L$29),0,IF(I554&gt;'Configs &amp; Procedures'!$L$30,1,IF(F554&gt;'Configs &amp; Procedures'!$L$31,0,1)))</f>
        <v>0</v>
      </c>
    </row>
    <row r="555" spans="2:79">
      <c r="B555" s="854"/>
      <c r="C555" s="854"/>
      <c r="D555" s="854"/>
      <c r="E555" s="854"/>
      <c r="F555" s="854"/>
      <c r="G555" s="854"/>
      <c r="H555" s="854"/>
      <c r="I555" s="854"/>
      <c r="J555" s="854"/>
      <c r="K555" s="854"/>
      <c r="L555" s="854"/>
      <c r="M555" s="854"/>
      <c r="N555" s="854"/>
      <c r="O555" s="854"/>
      <c r="P555" s="854"/>
      <c r="Q555" s="854"/>
      <c r="R555" s="854"/>
      <c r="S555" s="854"/>
      <c r="T555" s="854"/>
      <c r="U555" s="854"/>
      <c r="V555" s="854"/>
      <c r="W555" s="854"/>
      <c r="X555" s="854"/>
      <c r="Y555" s="854"/>
      <c r="Z555" s="854"/>
      <c r="AA555" s="854"/>
      <c r="AB555" s="854"/>
      <c r="AC555" s="854"/>
      <c r="AD555" s="854"/>
      <c r="AE555" s="854"/>
      <c r="AF555" s="854"/>
      <c r="AG555" s="854"/>
      <c r="AH555" s="854"/>
      <c r="AI555" s="854"/>
      <c r="AJ555" s="854"/>
      <c r="AK555" s="854"/>
      <c r="AL555" s="854"/>
      <c r="AM555" s="854"/>
      <c r="AN555" s="854"/>
      <c r="AO555" s="854"/>
      <c r="AP555" s="854"/>
      <c r="AQ555" s="854"/>
      <c r="AR555" s="854"/>
      <c r="AS555" s="854"/>
      <c r="AT555" s="854"/>
      <c r="AU555" s="854"/>
      <c r="AV555" s="854"/>
      <c r="AW555" s="854"/>
      <c r="AX555" s="854"/>
      <c r="AY555" s="854"/>
      <c r="AZ555" s="854"/>
      <c r="BA555" s="854"/>
      <c r="BB555" s="854"/>
      <c r="BC555" s="854"/>
      <c r="BD555" s="854"/>
      <c r="BE555" s="854"/>
      <c r="BF555" s="854"/>
      <c r="BG555" s="854"/>
      <c r="BH555" s="854"/>
      <c r="BI555" s="854"/>
      <c r="BJ555" s="854"/>
      <c r="BK555" s="854"/>
      <c r="BL555" s="854"/>
      <c r="BM555" s="854"/>
      <c r="BN555" s="854"/>
      <c r="BO555" s="854"/>
      <c r="BP555" s="854"/>
      <c r="BQ555" s="854"/>
      <c r="BR555" s="854"/>
      <c r="BS555" s="854"/>
      <c r="BT555" s="854"/>
      <c r="BU555" s="854"/>
      <c r="BV555" s="854"/>
      <c r="BW555" s="854"/>
      <c r="BX555" s="854"/>
      <c r="BY555" s="854"/>
      <c r="BZ555" s="854"/>
      <c r="CA555" s="571">
        <f>IF(OR(I555="",I555&lt;'Configs &amp; Procedures'!$L$29),0,IF(I555&gt;'Configs &amp; Procedures'!$L$30,1,IF(F555&gt;'Configs &amp; Procedures'!$L$31,0,1)))</f>
        <v>0</v>
      </c>
    </row>
    <row r="556" spans="2:79">
      <c r="B556" s="854"/>
      <c r="C556" s="854"/>
      <c r="D556" s="854"/>
      <c r="E556" s="854"/>
      <c r="F556" s="854"/>
      <c r="G556" s="854"/>
      <c r="H556" s="854"/>
      <c r="I556" s="854"/>
      <c r="J556" s="854"/>
      <c r="K556" s="854"/>
      <c r="L556" s="854"/>
      <c r="M556" s="854"/>
      <c r="N556" s="854"/>
      <c r="O556" s="854"/>
      <c r="P556" s="854"/>
      <c r="Q556" s="854"/>
      <c r="R556" s="854"/>
      <c r="S556" s="854"/>
      <c r="T556" s="854"/>
      <c r="U556" s="854"/>
      <c r="V556" s="854"/>
      <c r="W556" s="854"/>
      <c r="X556" s="854"/>
      <c r="Y556" s="854"/>
      <c r="Z556" s="854"/>
      <c r="AA556" s="854"/>
      <c r="AB556" s="854"/>
      <c r="AC556" s="854"/>
      <c r="AD556" s="854"/>
      <c r="AE556" s="854"/>
      <c r="AF556" s="854"/>
      <c r="AG556" s="854"/>
      <c r="AH556" s="854"/>
      <c r="AI556" s="854"/>
      <c r="AJ556" s="854"/>
      <c r="AK556" s="854"/>
      <c r="AL556" s="854"/>
      <c r="AM556" s="854"/>
      <c r="AN556" s="854"/>
      <c r="AO556" s="854"/>
      <c r="AP556" s="854"/>
      <c r="AQ556" s="854"/>
      <c r="AR556" s="854"/>
      <c r="AS556" s="854"/>
      <c r="AT556" s="854"/>
      <c r="AU556" s="854"/>
      <c r="AV556" s="854"/>
      <c r="AW556" s="854"/>
      <c r="AX556" s="854"/>
      <c r="AY556" s="854"/>
      <c r="AZ556" s="854"/>
      <c r="BA556" s="854"/>
      <c r="BB556" s="854"/>
      <c r="BC556" s="854"/>
      <c r="BD556" s="854"/>
      <c r="BE556" s="854"/>
      <c r="BF556" s="854"/>
      <c r="BG556" s="854"/>
      <c r="BH556" s="854"/>
      <c r="BI556" s="854"/>
      <c r="BJ556" s="854"/>
      <c r="BK556" s="854"/>
      <c r="BL556" s="854"/>
      <c r="BM556" s="854"/>
      <c r="BN556" s="854"/>
      <c r="BO556" s="854"/>
      <c r="BP556" s="854"/>
      <c r="BQ556" s="854"/>
      <c r="BR556" s="854"/>
      <c r="BS556" s="854"/>
      <c r="BT556" s="854"/>
      <c r="BU556" s="854"/>
      <c r="BV556" s="854"/>
      <c r="BW556" s="854"/>
      <c r="BX556" s="854"/>
      <c r="BY556" s="854"/>
      <c r="BZ556" s="854"/>
      <c r="CA556" s="571">
        <f>IF(OR(I556="",I556&lt;'Configs &amp; Procedures'!$L$29),0,IF(I556&gt;'Configs &amp; Procedures'!$L$30,1,IF(F556&gt;'Configs &amp; Procedures'!$L$31,0,1)))</f>
        <v>0</v>
      </c>
    </row>
    <row r="557" spans="2:79">
      <c r="B557" s="854"/>
      <c r="C557" s="854"/>
      <c r="D557" s="854"/>
      <c r="E557" s="854"/>
      <c r="F557" s="854"/>
      <c r="G557" s="854"/>
      <c r="H557" s="854"/>
      <c r="I557" s="854"/>
      <c r="J557" s="854"/>
      <c r="K557" s="854"/>
      <c r="L557" s="854"/>
      <c r="M557" s="854"/>
      <c r="N557" s="854"/>
      <c r="O557" s="854"/>
      <c r="P557" s="854"/>
      <c r="Q557" s="854"/>
      <c r="R557" s="854"/>
      <c r="S557" s="854"/>
      <c r="T557" s="854"/>
      <c r="U557" s="854"/>
      <c r="V557" s="854"/>
      <c r="W557" s="854"/>
      <c r="X557" s="854"/>
      <c r="Y557" s="854"/>
      <c r="Z557" s="854"/>
      <c r="AA557" s="854"/>
      <c r="AB557" s="854"/>
      <c r="AC557" s="854"/>
      <c r="AD557" s="854"/>
      <c r="AE557" s="854"/>
      <c r="AF557" s="854"/>
      <c r="AG557" s="854"/>
      <c r="AH557" s="854"/>
      <c r="AI557" s="854"/>
      <c r="AJ557" s="854"/>
      <c r="AK557" s="854"/>
      <c r="AL557" s="854"/>
      <c r="AM557" s="854"/>
      <c r="AN557" s="854"/>
      <c r="AO557" s="854"/>
      <c r="AP557" s="854"/>
      <c r="AQ557" s="854"/>
      <c r="AR557" s="854"/>
      <c r="AS557" s="854"/>
      <c r="AT557" s="854"/>
      <c r="AU557" s="854"/>
      <c r="AV557" s="854"/>
      <c r="AW557" s="854"/>
      <c r="AX557" s="854"/>
      <c r="AY557" s="854"/>
      <c r="AZ557" s="854"/>
      <c r="BA557" s="854"/>
      <c r="BB557" s="854"/>
      <c r="BC557" s="854"/>
      <c r="BD557" s="854"/>
      <c r="BE557" s="854"/>
      <c r="BF557" s="854"/>
      <c r="BG557" s="854"/>
      <c r="BH557" s="854"/>
      <c r="BI557" s="854"/>
      <c r="BJ557" s="854"/>
      <c r="BK557" s="854"/>
      <c r="BL557" s="854"/>
      <c r="BM557" s="854"/>
      <c r="BN557" s="854"/>
      <c r="BO557" s="854"/>
      <c r="BP557" s="854"/>
      <c r="BQ557" s="854"/>
      <c r="BR557" s="854"/>
      <c r="BS557" s="854"/>
      <c r="BT557" s="854"/>
      <c r="BU557" s="854"/>
      <c r="BV557" s="854"/>
      <c r="BW557" s="854"/>
      <c r="BX557" s="854"/>
      <c r="BY557" s="854"/>
      <c r="BZ557" s="854"/>
      <c r="CA557" s="571">
        <f>IF(OR(I557="",I557&lt;'Configs &amp; Procedures'!$L$29),0,IF(I557&gt;'Configs &amp; Procedures'!$L$30,1,IF(F557&gt;'Configs &amp; Procedures'!$L$31,0,1)))</f>
        <v>0</v>
      </c>
    </row>
    <row r="558" spans="2:79">
      <c r="B558" s="854"/>
      <c r="C558" s="854"/>
      <c r="D558" s="854"/>
      <c r="E558" s="854"/>
      <c r="F558" s="854"/>
      <c r="G558" s="854"/>
      <c r="H558" s="854"/>
      <c r="I558" s="854"/>
      <c r="J558" s="854"/>
      <c r="K558" s="854"/>
      <c r="L558" s="854"/>
      <c r="M558" s="854"/>
      <c r="N558" s="854"/>
      <c r="O558" s="854"/>
      <c r="P558" s="854"/>
      <c r="Q558" s="854"/>
      <c r="R558" s="854"/>
      <c r="S558" s="854"/>
      <c r="T558" s="854"/>
      <c r="U558" s="854"/>
      <c r="V558" s="854"/>
      <c r="W558" s="854"/>
      <c r="X558" s="854"/>
      <c r="Y558" s="854"/>
      <c r="Z558" s="854"/>
      <c r="AA558" s="854"/>
      <c r="AB558" s="854"/>
      <c r="AC558" s="854"/>
      <c r="AD558" s="854"/>
      <c r="AE558" s="854"/>
      <c r="AF558" s="854"/>
      <c r="AG558" s="854"/>
      <c r="AH558" s="854"/>
      <c r="AI558" s="854"/>
      <c r="AJ558" s="854"/>
      <c r="AK558" s="854"/>
      <c r="AL558" s="854"/>
      <c r="AM558" s="854"/>
      <c r="AN558" s="854"/>
      <c r="AO558" s="854"/>
      <c r="AP558" s="854"/>
      <c r="AQ558" s="854"/>
      <c r="AR558" s="854"/>
      <c r="AS558" s="854"/>
      <c r="AT558" s="854"/>
      <c r="AU558" s="854"/>
      <c r="AV558" s="854"/>
      <c r="AW558" s="854"/>
      <c r="AX558" s="854"/>
      <c r="AY558" s="854"/>
      <c r="AZ558" s="854"/>
      <c r="BA558" s="854"/>
      <c r="BB558" s="854"/>
      <c r="BC558" s="854"/>
      <c r="BD558" s="854"/>
      <c r="BE558" s="854"/>
      <c r="BF558" s="854"/>
      <c r="BG558" s="854"/>
      <c r="BH558" s="854"/>
      <c r="BI558" s="854"/>
      <c r="BJ558" s="854"/>
      <c r="BK558" s="854"/>
      <c r="BL558" s="854"/>
      <c r="BM558" s="854"/>
      <c r="BN558" s="854"/>
      <c r="BO558" s="854"/>
      <c r="BP558" s="854"/>
      <c r="BQ558" s="854"/>
      <c r="BR558" s="854"/>
      <c r="BS558" s="854"/>
      <c r="BT558" s="854"/>
      <c r="BU558" s="854"/>
      <c r="BV558" s="854"/>
      <c r="BW558" s="854"/>
      <c r="BX558" s="854"/>
      <c r="BY558" s="854"/>
      <c r="BZ558" s="854"/>
      <c r="CA558" s="571">
        <f>IF(OR(I558="",I558&lt;'Configs &amp; Procedures'!$L$29),0,IF(I558&gt;'Configs &amp; Procedures'!$L$30,1,IF(F558&gt;'Configs &amp; Procedures'!$L$31,0,1)))</f>
        <v>0</v>
      </c>
    </row>
    <row r="559" spans="2:79">
      <c r="B559" s="854"/>
      <c r="C559" s="854"/>
      <c r="D559" s="854"/>
      <c r="E559" s="854"/>
      <c r="F559" s="854"/>
      <c r="G559" s="854"/>
      <c r="H559" s="854"/>
      <c r="I559" s="854"/>
      <c r="J559" s="854"/>
      <c r="K559" s="854"/>
      <c r="L559" s="854"/>
      <c r="M559" s="854"/>
      <c r="N559" s="854"/>
      <c r="O559" s="854"/>
      <c r="P559" s="854"/>
      <c r="Q559" s="854"/>
      <c r="R559" s="854"/>
      <c r="S559" s="854"/>
      <c r="T559" s="854"/>
      <c r="U559" s="854"/>
      <c r="V559" s="854"/>
      <c r="W559" s="854"/>
      <c r="X559" s="854"/>
      <c r="Y559" s="854"/>
      <c r="Z559" s="854"/>
      <c r="AA559" s="854"/>
      <c r="AB559" s="854"/>
      <c r="AC559" s="854"/>
      <c r="AD559" s="854"/>
      <c r="AE559" s="854"/>
      <c r="AF559" s="854"/>
      <c r="AG559" s="854"/>
      <c r="AH559" s="854"/>
      <c r="AI559" s="854"/>
      <c r="AJ559" s="854"/>
      <c r="AK559" s="854"/>
      <c r="AL559" s="854"/>
      <c r="AM559" s="854"/>
      <c r="AN559" s="854"/>
      <c r="AO559" s="854"/>
      <c r="AP559" s="854"/>
      <c r="AQ559" s="854"/>
      <c r="AR559" s="854"/>
      <c r="AS559" s="854"/>
      <c r="AT559" s="854"/>
      <c r="AU559" s="854"/>
      <c r="AV559" s="854"/>
      <c r="AW559" s="854"/>
      <c r="AX559" s="854"/>
      <c r="AY559" s="854"/>
      <c r="AZ559" s="854"/>
      <c r="BA559" s="854"/>
      <c r="BB559" s="854"/>
      <c r="BC559" s="854"/>
      <c r="BD559" s="854"/>
      <c r="BE559" s="854"/>
      <c r="BF559" s="854"/>
      <c r="BG559" s="854"/>
      <c r="BH559" s="854"/>
      <c r="BI559" s="854"/>
      <c r="BJ559" s="854"/>
      <c r="BK559" s="854"/>
      <c r="BL559" s="854"/>
      <c r="BM559" s="854"/>
      <c r="BN559" s="854"/>
      <c r="BO559" s="854"/>
      <c r="BP559" s="854"/>
      <c r="BQ559" s="854"/>
      <c r="BR559" s="854"/>
      <c r="BS559" s="854"/>
      <c r="BT559" s="854"/>
      <c r="BU559" s="854"/>
      <c r="BV559" s="854"/>
      <c r="BW559" s="854"/>
      <c r="BX559" s="854"/>
      <c r="BY559" s="854"/>
      <c r="BZ559" s="854"/>
      <c r="CA559" s="571">
        <f>IF(OR(I559="",I559&lt;'Configs &amp; Procedures'!$L$29),0,IF(I559&gt;'Configs &amp; Procedures'!$L$30,1,IF(F559&gt;'Configs &amp; Procedures'!$L$31,0,1)))</f>
        <v>0</v>
      </c>
    </row>
    <row r="560" spans="2:79">
      <c r="B560" s="854"/>
      <c r="C560" s="854"/>
      <c r="D560" s="854"/>
      <c r="E560" s="854"/>
      <c r="F560" s="854"/>
      <c r="G560" s="854"/>
      <c r="H560" s="854"/>
      <c r="I560" s="854"/>
      <c r="J560" s="854"/>
      <c r="K560" s="854"/>
      <c r="L560" s="854"/>
      <c r="M560" s="854"/>
      <c r="N560" s="854"/>
      <c r="O560" s="854"/>
      <c r="P560" s="854"/>
      <c r="Q560" s="854"/>
      <c r="R560" s="854"/>
      <c r="S560" s="854"/>
      <c r="T560" s="854"/>
      <c r="U560" s="854"/>
      <c r="V560" s="854"/>
      <c r="W560" s="854"/>
      <c r="X560" s="854"/>
      <c r="Y560" s="854"/>
      <c r="Z560" s="854"/>
      <c r="AA560" s="854"/>
      <c r="AB560" s="854"/>
      <c r="AC560" s="854"/>
      <c r="AD560" s="854"/>
      <c r="AE560" s="854"/>
      <c r="AF560" s="854"/>
      <c r="AG560" s="854"/>
      <c r="AH560" s="854"/>
      <c r="AI560" s="854"/>
      <c r="AJ560" s="854"/>
      <c r="AK560" s="854"/>
      <c r="AL560" s="854"/>
      <c r="AM560" s="854"/>
      <c r="AN560" s="854"/>
      <c r="AO560" s="854"/>
      <c r="AP560" s="854"/>
      <c r="AQ560" s="854"/>
      <c r="AR560" s="854"/>
      <c r="AS560" s="854"/>
      <c r="AT560" s="854"/>
      <c r="AU560" s="854"/>
      <c r="AV560" s="854"/>
      <c r="AW560" s="854"/>
      <c r="AX560" s="854"/>
      <c r="AY560" s="854"/>
      <c r="AZ560" s="854"/>
      <c r="BA560" s="854"/>
      <c r="BB560" s="854"/>
      <c r="BC560" s="854"/>
      <c r="BD560" s="854"/>
      <c r="BE560" s="854"/>
      <c r="BF560" s="854"/>
      <c r="BG560" s="854"/>
      <c r="BH560" s="854"/>
      <c r="BI560" s="854"/>
      <c r="BJ560" s="854"/>
      <c r="BK560" s="854"/>
      <c r="BL560" s="854"/>
      <c r="BM560" s="854"/>
      <c r="BN560" s="854"/>
      <c r="BO560" s="854"/>
      <c r="BP560" s="854"/>
      <c r="BQ560" s="854"/>
      <c r="BR560" s="854"/>
      <c r="BS560" s="854"/>
      <c r="BT560" s="854"/>
      <c r="BU560" s="854"/>
      <c r="BV560" s="854"/>
      <c r="BW560" s="854"/>
      <c r="BX560" s="854"/>
      <c r="BY560" s="854"/>
      <c r="BZ560" s="854"/>
      <c r="CA560" s="571">
        <f>IF(OR(I560="",I560&lt;'Configs &amp; Procedures'!$L$29),0,IF(I560&gt;'Configs &amp; Procedures'!$L$30,1,IF(F560&gt;'Configs &amp; Procedures'!$L$31,0,1)))</f>
        <v>0</v>
      </c>
    </row>
    <row r="561" spans="2:79">
      <c r="B561" s="854"/>
      <c r="C561" s="854"/>
      <c r="D561" s="854"/>
      <c r="E561" s="854"/>
      <c r="F561" s="854"/>
      <c r="G561" s="854"/>
      <c r="H561" s="854"/>
      <c r="I561" s="854"/>
      <c r="J561" s="854"/>
      <c r="K561" s="854"/>
      <c r="L561" s="854"/>
      <c r="M561" s="854"/>
      <c r="N561" s="854"/>
      <c r="O561" s="854"/>
      <c r="P561" s="854"/>
      <c r="Q561" s="854"/>
      <c r="R561" s="854"/>
      <c r="S561" s="854"/>
      <c r="T561" s="854"/>
      <c r="U561" s="854"/>
      <c r="V561" s="854"/>
      <c r="W561" s="854"/>
      <c r="X561" s="854"/>
      <c r="Y561" s="854"/>
      <c r="Z561" s="854"/>
      <c r="AA561" s="854"/>
      <c r="AB561" s="854"/>
      <c r="AC561" s="854"/>
      <c r="AD561" s="854"/>
      <c r="AE561" s="854"/>
      <c r="AF561" s="854"/>
      <c r="AG561" s="854"/>
      <c r="AH561" s="854"/>
      <c r="AI561" s="854"/>
      <c r="AJ561" s="854"/>
      <c r="AK561" s="854"/>
      <c r="AL561" s="854"/>
      <c r="AM561" s="854"/>
      <c r="AN561" s="854"/>
      <c r="AO561" s="854"/>
      <c r="AP561" s="854"/>
      <c r="AQ561" s="854"/>
      <c r="AR561" s="854"/>
      <c r="AS561" s="854"/>
      <c r="AT561" s="854"/>
      <c r="AU561" s="854"/>
      <c r="AV561" s="854"/>
      <c r="AW561" s="854"/>
      <c r="AX561" s="854"/>
      <c r="AY561" s="854"/>
      <c r="AZ561" s="854"/>
      <c r="BA561" s="854"/>
      <c r="BB561" s="854"/>
      <c r="BC561" s="854"/>
      <c r="BD561" s="854"/>
      <c r="BE561" s="854"/>
      <c r="BF561" s="854"/>
      <c r="BG561" s="854"/>
      <c r="BH561" s="854"/>
      <c r="BI561" s="854"/>
      <c r="BJ561" s="854"/>
      <c r="BK561" s="854"/>
      <c r="BL561" s="854"/>
      <c r="BM561" s="854"/>
      <c r="BN561" s="854"/>
      <c r="BO561" s="854"/>
      <c r="BP561" s="854"/>
      <c r="BQ561" s="854"/>
      <c r="BR561" s="854"/>
      <c r="BS561" s="854"/>
      <c r="BT561" s="854"/>
      <c r="BU561" s="854"/>
      <c r="BV561" s="854"/>
      <c r="BW561" s="854"/>
      <c r="BX561" s="854"/>
      <c r="BY561" s="854"/>
      <c r="BZ561" s="854"/>
      <c r="CA561" s="571">
        <f>IF(OR(I561="",I561&lt;'Configs &amp; Procedures'!$L$29),0,IF(I561&gt;'Configs &amp; Procedures'!$L$30,1,IF(F561&gt;'Configs &amp; Procedures'!$L$31,0,1)))</f>
        <v>0</v>
      </c>
    </row>
    <row r="562" spans="2:79">
      <c r="B562" s="854"/>
      <c r="C562" s="854"/>
      <c r="D562" s="854"/>
      <c r="E562" s="854"/>
      <c r="F562" s="854"/>
      <c r="G562" s="854"/>
      <c r="H562" s="854"/>
      <c r="I562" s="854"/>
      <c r="J562" s="854"/>
      <c r="K562" s="854"/>
      <c r="L562" s="854"/>
      <c r="M562" s="854"/>
      <c r="N562" s="854"/>
      <c r="O562" s="854"/>
      <c r="P562" s="854"/>
      <c r="Q562" s="854"/>
      <c r="R562" s="854"/>
      <c r="S562" s="854"/>
      <c r="T562" s="854"/>
      <c r="U562" s="854"/>
      <c r="V562" s="854"/>
      <c r="W562" s="854"/>
      <c r="X562" s="854"/>
      <c r="Y562" s="854"/>
      <c r="Z562" s="854"/>
      <c r="AA562" s="854"/>
      <c r="AB562" s="854"/>
      <c r="AC562" s="854"/>
      <c r="AD562" s="854"/>
      <c r="AE562" s="854"/>
      <c r="AF562" s="854"/>
      <c r="AG562" s="854"/>
      <c r="AH562" s="854"/>
      <c r="AI562" s="854"/>
      <c r="AJ562" s="854"/>
      <c r="AK562" s="854"/>
      <c r="AL562" s="854"/>
      <c r="AM562" s="854"/>
      <c r="AN562" s="854"/>
      <c r="AO562" s="854"/>
      <c r="AP562" s="854"/>
      <c r="AQ562" s="854"/>
      <c r="AR562" s="854"/>
      <c r="AS562" s="854"/>
      <c r="AT562" s="854"/>
      <c r="AU562" s="854"/>
      <c r="AV562" s="854"/>
      <c r="AW562" s="854"/>
      <c r="AX562" s="854"/>
      <c r="AY562" s="854"/>
      <c r="AZ562" s="854"/>
      <c r="BA562" s="854"/>
      <c r="BB562" s="854"/>
      <c r="BC562" s="854"/>
      <c r="BD562" s="854"/>
      <c r="BE562" s="854"/>
      <c r="BF562" s="854"/>
      <c r="BG562" s="854"/>
      <c r="BH562" s="854"/>
      <c r="BI562" s="854"/>
      <c r="BJ562" s="854"/>
      <c r="BK562" s="854"/>
      <c r="BL562" s="854"/>
      <c r="BM562" s="854"/>
      <c r="BN562" s="854"/>
      <c r="BO562" s="854"/>
      <c r="BP562" s="854"/>
      <c r="BQ562" s="854"/>
      <c r="BR562" s="854"/>
      <c r="BS562" s="854"/>
      <c r="BT562" s="854"/>
      <c r="BU562" s="854"/>
      <c r="BV562" s="854"/>
      <c r="BW562" s="854"/>
      <c r="BX562" s="854"/>
      <c r="BY562" s="854"/>
      <c r="BZ562" s="854"/>
      <c r="CA562" s="571">
        <f>IF(OR(I562="",I562&lt;'Configs &amp; Procedures'!$L$29),0,IF(I562&gt;'Configs &amp; Procedures'!$L$30,1,IF(F562&gt;'Configs &amp; Procedures'!$L$31,0,1)))</f>
        <v>0</v>
      </c>
    </row>
    <row r="563" spans="2:79">
      <c r="B563" s="854"/>
      <c r="C563" s="854"/>
      <c r="D563" s="854"/>
      <c r="E563" s="854"/>
      <c r="F563" s="854"/>
      <c r="G563" s="854"/>
      <c r="H563" s="854"/>
      <c r="I563" s="854"/>
      <c r="J563" s="854"/>
      <c r="K563" s="854"/>
      <c r="L563" s="854"/>
      <c r="M563" s="854"/>
      <c r="N563" s="854"/>
      <c r="O563" s="854"/>
      <c r="P563" s="854"/>
      <c r="Q563" s="854"/>
      <c r="R563" s="854"/>
      <c r="S563" s="854"/>
      <c r="T563" s="854"/>
      <c r="U563" s="854"/>
      <c r="V563" s="854"/>
      <c r="W563" s="854"/>
      <c r="X563" s="854"/>
      <c r="Y563" s="854"/>
      <c r="Z563" s="854"/>
      <c r="AA563" s="854"/>
      <c r="AB563" s="854"/>
      <c r="AC563" s="854"/>
      <c r="AD563" s="854"/>
      <c r="AE563" s="854"/>
      <c r="AF563" s="854"/>
      <c r="AG563" s="854"/>
      <c r="AH563" s="854"/>
      <c r="AI563" s="854"/>
      <c r="AJ563" s="854"/>
      <c r="AK563" s="854"/>
      <c r="AL563" s="854"/>
      <c r="AM563" s="854"/>
      <c r="AN563" s="854"/>
      <c r="AO563" s="854"/>
      <c r="AP563" s="854"/>
      <c r="AQ563" s="854"/>
      <c r="AR563" s="854"/>
      <c r="AS563" s="854"/>
      <c r="AT563" s="854"/>
      <c r="AU563" s="854"/>
      <c r="AV563" s="854"/>
      <c r="AW563" s="854"/>
      <c r="AX563" s="854"/>
      <c r="AY563" s="854"/>
      <c r="AZ563" s="854"/>
      <c r="BA563" s="854"/>
      <c r="BB563" s="854"/>
      <c r="BC563" s="854"/>
      <c r="BD563" s="854"/>
      <c r="BE563" s="854"/>
      <c r="BF563" s="854"/>
      <c r="BG563" s="854"/>
      <c r="BH563" s="854"/>
      <c r="BI563" s="854"/>
      <c r="BJ563" s="854"/>
      <c r="BK563" s="854"/>
      <c r="BL563" s="854"/>
      <c r="BM563" s="854"/>
      <c r="BN563" s="854"/>
      <c r="BO563" s="854"/>
      <c r="BP563" s="854"/>
      <c r="BQ563" s="854"/>
      <c r="BR563" s="854"/>
      <c r="BS563" s="854"/>
      <c r="BT563" s="854"/>
      <c r="BU563" s="854"/>
      <c r="BV563" s="854"/>
      <c r="BW563" s="854"/>
      <c r="BX563" s="854"/>
      <c r="BY563" s="854"/>
      <c r="BZ563" s="854"/>
      <c r="CA563" s="571">
        <f>IF(OR(I563="",I563&lt;'Configs &amp; Procedures'!$L$29),0,IF(I563&gt;'Configs &amp; Procedures'!$L$30,1,IF(F563&gt;'Configs &amp; Procedures'!$L$31,0,1)))</f>
        <v>0</v>
      </c>
    </row>
    <row r="564" spans="2:79">
      <c r="B564" s="854"/>
      <c r="C564" s="854"/>
      <c r="D564" s="854"/>
      <c r="E564" s="854"/>
      <c r="F564" s="854"/>
      <c r="G564" s="854"/>
      <c r="H564" s="854"/>
      <c r="I564" s="854"/>
      <c r="J564" s="854"/>
      <c r="K564" s="854"/>
      <c r="L564" s="854"/>
      <c r="M564" s="854"/>
      <c r="N564" s="854"/>
      <c r="O564" s="854"/>
      <c r="P564" s="854"/>
      <c r="Q564" s="854"/>
      <c r="R564" s="854"/>
      <c r="S564" s="854"/>
      <c r="T564" s="854"/>
      <c r="U564" s="854"/>
      <c r="V564" s="854"/>
      <c r="W564" s="854"/>
      <c r="X564" s="854"/>
      <c r="Y564" s="854"/>
      <c r="Z564" s="854"/>
      <c r="AA564" s="854"/>
      <c r="AB564" s="854"/>
      <c r="AC564" s="854"/>
      <c r="AD564" s="854"/>
      <c r="AE564" s="854"/>
      <c r="AF564" s="854"/>
      <c r="AG564" s="854"/>
      <c r="AH564" s="854"/>
      <c r="AI564" s="854"/>
      <c r="AJ564" s="854"/>
      <c r="AK564" s="854"/>
      <c r="AL564" s="854"/>
      <c r="AM564" s="854"/>
      <c r="AN564" s="854"/>
      <c r="AO564" s="854"/>
      <c r="AP564" s="854"/>
      <c r="AQ564" s="854"/>
      <c r="AR564" s="854"/>
      <c r="AS564" s="854"/>
      <c r="AT564" s="854"/>
      <c r="AU564" s="854"/>
      <c r="AV564" s="854"/>
      <c r="AW564" s="854"/>
      <c r="AX564" s="854"/>
      <c r="AY564" s="854"/>
      <c r="AZ564" s="854"/>
      <c r="BA564" s="854"/>
      <c r="BB564" s="854"/>
      <c r="BC564" s="854"/>
      <c r="BD564" s="854"/>
      <c r="BE564" s="854"/>
      <c r="BF564" s="854"/>
      <c r="BG564" s="854"/>
      <c r="BH564" s="854"/>
      <c r="BI564" s="854"/>
      <c r="BJ564" s="854"/>
      <c r="BK564" s="854"/>
      <c r="BL564" s="854"/>
      <c r="BM564" s="854"/>
      <c r="BN564" s="854"/>
      <c r="BO564" s="854"/>
      <c r="BP564" s="854"/>
      <c r="BQ564" s="854"/>
      <c r="BR564" s="854"/>
      <c r="BS564" s="854"/>
      <c r="BT564" s="854"/>
      <c r="BU564" s="854"/>
      <c r="BV564" s="854"/>
      <c r="BW564" s="854"/>
      <c r="BX564" s="854"/>
      <c r="BY564" s="854"/>
      <c r="BZ564" s="854"/>
      <c r="CA564" s="571">
        <f>IF(OR(I564="",I564&lt;'Configs &amp; Procedures'!$L$29),0,IF(I564&gt;'Configs &amp; Procedures'!$L$30,1,IF(F564&gt;'Configs &amp; Procedures'!$L$31,0,1)))</f>
        <v>0</v>
      </c>
    </row>
    <row r="565" spans="2:79">
      <c r="B565" s="854"/>
      <c r="C565" s="854"/>
      <c r="D565" s="854"/>
      <c r="E565" s="854"/>
      <c r="F565" s="854"/>
      <c r="G565" s="854"/>
      <c r="H565" s="854"/>
      <c r="I565" s="854"/>
      <c r="J565" s="854"/>
      <c r="K565" s="854"/>
      <c r="L565" s="854"/>
      <c r="M565" s="854"/>
      <c r="N565" s="854"/>
      <c r="O565" s="854"/>
      <c r="P565" s="854"/>
      <c r="Q565" s="854"/>
      <c r="R565" s="854"/>
      <c r="S565" s="854"/>
      <c r="T565" s="854"/>
      <c r="U565" s="854"/>
      <c r="V565" s="854"/>
      <c r="W565" s="854"/>
      <c r="X565" s="854"/>
      <c r="Y565" s="854"/>
      <c r="Z565" s="854"/>
      <c r="AA565" s="854"/>
      <c r="AB565" s="854"/>
      <c r="AC565" s="854"/>
      <c r="AD565" s="854"/>
      <c r="AE565" s="854"/>
      <c r="AF565" s="854"/>
      <c r="AG565" s="854"/>
      <c r="AH565" s="854"/>
      <c r="AI565" s="854"/>
      <c r="AJ565" s="854"/>
      <c r="AK565" s="854"/>
      <c r="AL565" s="854"/>
      <c r="AM565" s="854"/>
      <c r="AN565" s="854"/>
      <c r="AO565" s="854"/>
      <c r="AP565" s="854"/>
      <c r="AQ565" s="854"/>
      <c r="AR565" s="854"/>
      <c r="AS565" s="854"/>
      <c r="AT565" s="854"/>
      <c r="AU565" s="854"/>
      <c r="AV565" s="854"/>
      <c r="AW565" s="854"/>
      <c r="AX565" s="854"/>
      <c r="AY565" s="854"/>
      <c r="AZ565" s="854"/>
      <c r="BA565" s="854"/>
      <c r="BB565" s="854"/>
      <c r="BC565" s="854"/>
      <c r="BD565" s="854"/>
      <c r="BE565" s="854"/>
      <c r="BF565" s="854"/>
      <c r="BG565" s="854"/>
      <c r="BH565" s="854"/>
      <c r="BI565" s="854"/>
      <c r="BJ565" s="854"/>
      <c r="BK565" s="854"/>
      <c r="BL565" s="854"/>
      <c r="BM565" s="854"/>
      <c r="BN565" s="854"/>
      <c r="BO565" s="854"/>
      <c r="BP565" s="854"/>
      <c r="BQ565" s="854"/>
      <c r="BR565" s="854"/>
      <c r="BS565" s="854"/>
      <c r="BT565" s="854"/>
      <c r="BU565" s="854"/>
      <c r="BV565" s="854"/>
      <c r="BW565" s="854"/>
      <c r="BX565" s="854"/>
      <c r="BY565" s="854"/>
      <c r="BZ565" s="854"/>
      <c r="CA565" s="571">
        <f>IF(OR(I565="",I565&lt;'Configs &amp; Procedures'!$L$29),0,IF(I565&gt;'Configs &amp; Procedures'!$L$30,1,IF(F565&gt;'Configs &amp; Procedures'!$L$31,0,1)))</f>
        <v>0</v>
      </c>
    </row>
    <row r="566" spans="2:79">
      <c r="B566" s="854"/>
      <c r="C566" s="854"/>
      <c r="D566" s="854"/>
      <c r="E566" s="854"/>
      <c r="F566" s="854"/>
      <c r="G566" s="854"/>
      <c r="H566" s="854"/>
      <c r="I566" s="854"/>
      <c r="J566" s="854"/>
      <c r="K566" s="854"/>
      <c r="L566" s="854"/>
      <c r="M566" s="854"/>
      <c r="N566" s="854"/>
      <c r="O566" s="854"/>
      <c r="P566" s="854"/>
      <c r="Q566" s="854"/>
      <c r="R566" s="854"/>
      <c r="S566" s="854"/>
      <c r="T566" s="854"/>
      <c r="U566" s="854"/>
      <c r="V566" s="854"/>
      <c r="W566" s="854"/>
      <c r="X566" s="854"/>
      <c r="Y566" s="854"/>
      <c r="Z566" s="854"/>
      <c r="AA566" s="854"/>
      <c r="AB566" s="854"/>
      <c r="AC566" s="854"/>
      <c r="AD566" s="854"/>
      <c r="AE566" s="854"/>
      <c r="AF566" s="854"/>
      <c r="AG566" s="854"/>
      <c r="AH566" s="854"/>
      <c r="AI566" s="854"/>
      <c r="AJ566" s="854"/>
      <c r="AK566" s="854"/>
      <c r="AL566" s="854"/>
      <c r="AM566" s="854"/>
      <c r="AN566" s="854"/>
      <c r="AO566" s="854"/>
      <c r="AP566" s="854"/>
      <c r="AQ566" s="854"/>
      <c r="AR566" s="854"/>
      <c r="AS566" s="854"/>
      <c r="AT566" s="854"/>
      <c r="AU566" s="854"/>
      <c r="AV566" s="854"/>
      <c r="AW566" s="854"/>
      <c r="AX566" s="854"/>
      <c r="AY566" s="854"/>
      <c r="AZ566" s="854"/>
      <c r="BA566" s="854"/>
      <c r="BB566" s="854"/>
      <c r="BC566" s="854"/>
      <c r="BD566" s="854"/>
      <c r="BE566" s="854"/>
      <c r="BF566" s="854"/>
      <c r="BG566" s="854"/>
      <c r="BH566" s="854"/>
      <c r="BI566" s="854"/>
      <c r="BJ566" s="854"/>
      <c r="BK566" s="854"/>
      <c r="BL566" s="854"/>
      <c r="BM566" s="854"/>
      <c r="BN566" s="854"/>
      <c r="BO566" s="854"/>
      <c r="BP566" s="854"/>
      <c r="BQ566" s="854"/>
      <c r="BR566" s="854"/>
      <c r="BS566" s="854"/>
      <c r="BT566" s="854"/>
      <c r="BU566" s="854"/>
      <c r="BV566" s="854"/>
      <c r="BW566" s="854"/>
      <c r="BX566" s="854"/>
      <c r="BY566" s="854"/>
      <c r="BZ566" s="854"/>
      <c r="CA566" s="571">
        <f>IF(OR(I566="",I566&lt;'Configs &amp; Procedures'!$L$29),0,IF(I566&gt;'Configs &amp; Procedures'!$L$30,1,IF(F566&gt;'Configs &amp; Procedures'!$L$31,0,1)))</f>
        <v>0</v>
      </c>
    </row>
    <row r="567" spans="2:79">
      <c r="B567" s="854"/>
      <c r="C567" s="854"/>
      <c r="D567" s="854"/>
      <c r="E567" s="854"/>
      <c r="F567" s="854"/>
      <c r="G567" s="854"/>
      <c r="H567" s="854"/>
      <c r="I567" s="854"/>
      <c r="J567" s="854"/>
      <c r="K567" s="854"/>
      <c r="L567" s="854"/>
      <c r="M567" s="854"/>
      <c r="N567" s="854"/>
      <c r="O567" s="854"/>
      <c r="P567" s="854"/>
      <c r="Q567" s="854"/>
      <c r="R567" s="854"/>
      <c r="S567" s="854"/>
      <c r="T567" s="854"/>
      <c r="U567" s="854"/>
      <c r="V567" s="854"/>
      <c r="W567" s="854"/>
      <c r="X567" s="854"/>
      <c r="Y567" s="854"/>
      <c r="Z567" s="854"/>
      <c r="AA567" s="854"/>
      <c r="AB567" s="854"/>
      <c r="AC567" s="854"/>
      <c r="AD567" s="854"/>
      <c r="AE567" s="854"/>
      <c r="AF567" s="854"/>
      <c r="AG567" s="854"/>
      <c r="AH567" s="854"/>
      <c r="AI567" s="854"/>
      <c r="AJ567" s="854"/>
      <c r="AK567" s="854"/>
      <c r="AL567" s="854"/>
      <c r="AM567" s="854"/>
      <c r="AN567" s="854"/>
      <c r="AO567" s="854"/>
      <c r="AP567" s="854"/>
      <c r="AQ567" s="854"/>
      <c r="AR567" s="854"/>
      <c r="AS567" s="854"/>
      <c r="AT567" s="854"/>
      <c r="AU567" s="854"/>
      <c r="AV567" s="854"/>
      <c r="AW567" s="854"/>
      <c r="AX567" s="854"/>
      <c r="AY567" s="854"/>
      <c r="AZ567" s="854"/>
      <c r="BA567" s="854"/>
      <c r="BB567" s="854"/>
      <c r="BC567" s="854"/>
      <c r="BD567" s="854"/>
      <c r="BE567" s="854"/>
      <c r="BF567" s="854"/>
      <c r="BG567" s="854"/>
      <c r="BH567" s="854"/>
      <c r="BI567" s="854"/>
      <c r="BJ567" s="854"/>
      <c r="BK567" s="854"/>
      <c r="BL567" s="854"/>
      <c r="BM567" s="854"/>
      <c r="BN567" s="854"/>
      <c r="BO567" s="854"/>
      <c r="BP567" s="854"/>
      <c r="BQ567" s="854"/>
      <c r="BR567" s="854"/>
      <c r="BS567" s="854"/>
      <c r="BT567" s="854"/>
      <c r="BU567" s="854"/>
      <c r="BV567" s="854"/>
      <c r="BW567" s="854"/>
      <c r="BX567" s="854"/>
      <c r="BY567" s="854"/>
      <c r="BZ567" s="854"/>
      <c r="CA567" s="571">
        <f>IF(OR(I567="",I567&lt;'Configs &amp; Procedures'!$L$29),0,IF(I567&gt;'Configs &amp; Procedures'!$L$30,1,IF(F567&gt;'Configs &amp; Procedures'!$L$31,0,1)))</f>
        <v>0</v>
      </c>
    </row>
    <row r="568" spans="2:79">
      <c r="B568" s="854"/>
      <c r="C568" s="854"/>
      <c r="D568" s="854"/>
      <c r="E568" s="854"/>
      <c r="F568" s="854"/>
      <c r="G568" s="854"/>
      <c r="H568" s="854"/>
      <c r="I568" s="854"/>
      <c r="J568" s="854"/>
      <c r="K568" s="854"/>
      <c r="L568" s="854"/>
      <c r="M568" s="854"/>
      <c r="N568" s="854"/>
      <c r="O568" s="854"/>
      <c r="P568" s="854"/>
      <c r="Q568" s="854"/>
      <c r="R568" s="854"/>
      <c r="S568" s="854"/>
      <c r="T568" s="854"/>
      <c r="U568" s="854"/>
      <c r="V568" s="854"/>
      <c r="W568" s="854"/>
      <c r="X568" s="854"/>
      <c r="Y568" s="854"/>
      <c r="Z568" s="854"/>
      <c r="AA568" s="854"/>
      <c r="AB568" s="854"/>
      <c r="AC568" s="854"/>
      <c r="AD568" s="854"/>
      <c r="AE568" s="854"/>
      <c r="AF568" s="854"/>
      <c r="AG568" s="854"/>
      <c r="AH568" s="854"/>
      <c r="AI568" s="854"/>
      <c r="AJ568" s="854"/>
      <c r="AK568" s="854"/>
      <c r="AL568" s="854"/>
      <c r="AM568" s="854"/>
      <c r="AN568" s="854"/>
      <c r="AO568" s="854"/>
      <c r="AP568" s="854"/>
      <c r="AQ568" s="854"/>
      <c r="AR568" s="854"/>
      <c r="AS568" s="854"/>
      <c r="AT568" s="854"/>
      <c r="AU568" s="854"/>
      <c r="AV568" s="854"/>
      <c r="AW568" s="854"/>
      <c r="AX568" s="854"/>
      <c r="AY568" s="854"/>
      <c r="AZ568" s="854"/>
      <c r="BA568" s="854"/>
      <c r="BB568" s="854"/>
      <c r="BC568" s="854"/>
      <c r="BD568" s="854"/>
      <c r="BE568" s="854"/>
      <c r="BF568" s="854"/>
      <c r="BG568" s="854"/>
      <c r="BH568" s="854"/>
      <c r="BI568" s="854"/>
      <c r="BJ568" s="854"/>
      <c r="BK568" s="854"/>
      <c r="BL568" s="854"/>
      <c r="BM568" s="854"/>
      <c r="BN568" s="854"/>
      <c r="BO568" s="854"/>
      <c r="BP568" s="854"/>
      <c r="BQ568" s="854"/>
      <c r="BR568" s="854"/>
      <c r="BS568" s="854"/>
      <c r="BT568" s="854"/>
      <c r="BU568" s="854"/>
      <c r="BV568" s="854"/>
      <c r="BW568" s="854"/>
      <c r="BX568" s="854"/>
      <c r="BY568" s="854"/>
      <c r="BZ568" s="854"/>
      <c r="CA568" s="571">
        <f>IF(OR(I568="",I568&lt;'Configs &amp; Procedures'!$L$29),0,IF(I568&gt;'Configs &amp; Procedures'!$L$30,1,IF(F568&gt;'Configs &amp; Procedures'!$L$31,0,1)))</f>
        <v>0</v>
      </c>
    </row>
    <row r="569" spans="2:79">
      <c r="B569" s="854"/>
      <c r="C569" s="854"/>
      <c r="D569" s="854"/>
      <c r="E569" s="854"/>
      <c r="F569" s="854"/>
      <c r="G569" s="854"/>
      <c r="H569" s="854"/>
      <c r="I569" s="854"/>
      <c r="J569" s="854"/>
      <c r="K569" s="854"/>
      <c r="L569" s="854"/>
      <c r="M569" s="854"/>
      <c r="N569" s="854"/>
      <c r="O569" s="854"/>
      <c r="P569" s="854"/>
      <c r="Q569" s="854"/>
      <c r="R569" s="854"/>
      <c r="S569" s="854"/>
      <c r="T569" s="854"/>
      <c r="U569" s="854"/>
      <c r="V569" s="854"/>
      <c r="W569" s="854"/>
      <c r="X569" s="854"/>
      <c r="Y569" s="854"/>
      <c r="Z569" s="854"/>
      <c r="AA569" s="854"/>
      <c r="AB569" s="854"/>
      <c r="AC569" s="854"/>
      <c r="AD569" s="854"/>
      <c r="AE569" s="854"/>
      <c r="AF569" s="854"/>
      <c r="AG569" s="854"/>
      <c r="AH569" s="854"/>
      <c r="AI569" s="854"/>
      <c r="AJ569" s="854"/>
      <c r="AK569" s="854"/>
      <c r="AL569" s="854"/>
      <c r="AM569" s="854"/>
      <c r="AN569" s="854"/>
      <c r="AO569" s="854"/>
      <c r="AP569" s="854"/>
      <c r="AQ569" s="854"/>
      <c r="AR569" s="854"/>
      <c r="AS569" s="854"/>
      <c r="AT569" s="854"/>
      <c r="AU569" s="854"/>
      <c r="AV569" s="854"/>
      <c r="AW569" s="854"/>
      <c r="AX569" s="854"/>
      <c r="AY569" s="854"/>
      <c r="AZ569" s="854"/>
      <c r="BA569" s="854"/>
      <c r="BB569" s="854"/>
      <c r="BC569" s="854"/>
      <c r="BD569" s="854"/>
      <c r="BE569" s="854"/>
      <c r="BF569" s="854"/>
      <c r="BG569" s="854"/>
      <c r="BH569" s="854"/>
      <c r="BI569" s="854"/>
      <c r="BJ569" s="854"/>
      <c r="BK569" s="854"/>
      <c r="BL569" s="854"/>
      <c r="BM569" s="854"/>
      <c r="BN569" s="854"/>
      <c r="BO569" s="854"/>
      <c r="BP569" s="854"/>
      <c r="BQ569" s="854"/>
      <c r="BR569" s="854"/>
      <c r="BS569" s="854"/>
      <c r="BT569" s="854"/>
      <c r="BU569" s="854"/>
      <c r="BV569" s="854"/>
      <c r="BW569" s="854"/>
      <c r="BX569" s="854"/>
      <c r="BY569" s="854"/>
      <c r="BZ569" s="854"/>
      <c r="CA569" s="571">
        <f>IF(OR(I569="",I569&lt;'Configs &amp; Procedures'!$L$29),0,IF(I569&gt;'Configs &amp; Procedures'!$L$30,1,IF(F569&gt;'Configs &amp; Procedures'!$L$31,0,1)))</f>
        <v>0</v>
      </c>
    </row>
    <row r="570" spans="2:79">
      <c r="B570" s="854"/>
      <c r="C570" s="854"/>
      <c r="D570" s="854"/>
      <c r="E570" s="854"/>
      <c r="F570" s="854"/>
      <c r="G570" s="854"/>
      <c r="H570" s="854"/>
      <c r="I570" s="854"/>
      <c r="J570" s="854"/>
      <c r="K570" s="854"/>
      <c r="L570" s="854"/>
      <c r="M570" s="854"/>
      <c r="N570" s="854"/>
      <c r="O570" s="854"/>
      <c r="P570" s="854"/>
      <c r="Q570" s="854"/>
      <c r="R570" s="854"/>
      <c r="S570" s="854"/>
      <c r="T570" s="854"/>
      <c r="U570" s="854"/>
      <c r="V570" s="854"/>
      <c r="W570" s="854"/>
      <c r="X570" s="854"/>
      <c r="Y570" s="854"/>
      <c r="Z570" s="854"/>
      <c r="AA570" s="854"/>
      <c r="AB570" s="854"/>
      <c r="AC570" s="854"/>
      <c r="AD570" s="854"/>
      <c r="AE570" s="854"/>
      <c r="AF570" s="854"/>
      <c r="AG570" s="854"/>
      <c r="AH570" s="854"/>
      <c r="AI570" s="854"/>
      <c r="AJ570" s="854"/>
      <c r="AK570" s="854"/>
      <c r="AL570" s="854"/>
      <c r="AM570" s="854"/>
      <c r="AN570" s="854"/>
      <c r="AO570" s="854"/>
      <c r="AP570" s="854"/>
      <c r="AQ570" s="854"/>
      <c r="AR570" s="854"/>
      <c r="AS570" s="854"/>
      <c r="AT570" s="854"/>
      <c r="AU570" s="854"/>
      <c r="AV570" s="854"/>
      <c r="AW570" s="854"/>
      <c r="AX570" s="854"/>
      <c r="AY570" s="854"/>
      <c r="AZ570" s="854"/>
      <c r="BA570" s="854"/>
      <c r="BB570" s="854"/>
      <c r="BC570" s="854"/>
      <c r="BD570" s="854"/>
      <c r="BE570" s="854"/>
      <c r="BF570" s="854"/>
      <c r="BG570" s="854"/>
      <c r="BH570" s="854"/>
      <c r="BI570" s="854"/>
      <c r="BJ570" s="854"/>
      <c r="BK570" s="854"/>
      <c r="BL570" s="854"/>
      <c r="BM570" s="854"/>
      <c r="BN570" s="854"/>
      <c r="BO570" s="854"/>
      <c r="BP570" s="854"/>
      <c r="BQ570" s="854"/>
      <c r="BR570" s="854"/>
      <c r="BS570" s="854"/>
      <c r="BT570" s="854"/>
      <c r="BU570" s="854"/>
      <c r="BV570" s="854"/>
      <c r="BW570" s="854"/>
      <c r="BX570" s="854"/>
      <c r="BY570" s="854"/>
      <c r="BZ570" s="854"/>
      <c r="CA570" s="571">
        <f>IF(OR(I570="",I570&lt;'Configs &amp; Procedures'!$L$29),0,IF(I570&gt;'Configs &amp; Procedures'!$L$30,1,IF(F570&gt;'Configs &amp; Procedures'!$L$31,0,1)))</f>
        <v>0</v>
      </c>
    </row>
    <row r="571" spans="2:79">
      <c r="B571" s="854"/>
      <c r="C571" s="854"/>
      <c r="D571" s="854"/>
      <c r="E571" s="854"/>
      <c r="F571" s="854"/>
      <c r="G571" s="854"/>
      <c r="H571" s="854"/>
      <c r="I571" s="854"/>
      <c r="J571" s="854"/>
      <c r="K571" s="854"/>
      <c r="L571" s="854"/>
      <c r="M571" s="854"/>
      <c r="N571" s="854"/>
      <c r="O571" s="854"/>
      <c r="P571" s="854"/>
      <c r="Q571" s="854"/>
      <c r="R571" s="854"/>
      <c r="S571" s="854"/>
      <c r="T571" s="854"/>
      <c r="U571" s="854"/>
      <c r="V571" s="854"/>
      <c r="W571" s="854"/>
      <c r="X571" s="854"/>
      <c r="Y571" s="854"/>
      <c r="Z571" s="854"/>
      <c r="AA571" s="854"/>
      <c r="AB571" s="854"/>
      <c r="AC571" s="854"/>
      <c r="AD571" s="854"/>
      <c r="AE571" s="854"/>
      <c r="AF571" s="854"/>
      <c r="AG571" s="854"/>
      <c r="AH571" s="854"/>
      <c r="AI571" s="854"/>
      <c r="AJ571" s="854"/>
      <c r="AK571" s="854"/>
      <c r="AL571" s="854"/>
      <c r="AM571" s="854"/>
      <c r="AN571" s="854"/>
      <c r="AO571" s="854"/>
      <c r="AP571" s="854"/>
      <c r="AQ571" s="854"/>
      <c r="AR571" s="854"/>
      <c r="AS571" s="854"/>
      <c r="AT571" s="854"/>
      <c r="AU571" s="854"/>
      <c r="AV571" s="854"/>
      <c r="AW571" s="854"/>
      <c r="AX571" s="854"/>
      <c r="AY571" s="854"/>
      <c r="AZ571" s="854"/>
      <c r="BA571" s="854"/>
      <c r="BB571" s="854"/>
      <c r="BC571" s="854"/>
      <c r="BD571" s="854"/>
      <c r="BE571" s="854"/>
      <c r="BF571" s="854"/>
      <c r="BG571" s="854"/>
      <c r="BH571" s="854"/>
      <c r="BI571" s="854"/>
      <c r="BJ571" s="854"/>
      <c r="BK571" s="854"/>
      <c r="BL571" s="854"/>
      <c r="BM571" s="854"/>
      <c r="BN571" s="854"/>
      <c r="BO571" s="854"/>
      <c r="BP571" s="854"/>
      <c r="BQ571" s="854"/>
      <c r="BR571" s="854"/>
      <c r="BS571" s="854"/>
      <c r="BT571" s="854"/>
      <c r="BU571" s="854"/>
      <c r="BV571" s="854"/>
      <c r="BW571" s="854"/>
      <c r="BX571" s="854"/>
      <c r="BY571" s="854"/>
      <c r="BZ571" s="854"/>
      <c r="CA571" s="571">
        <f>IF(OR(I571="",I571&lt;'Configs &amp; Procedures'!$L$29),0,IF(I571&gt;'Configs &amp; Procedures'!$L$30,1,IF(F571&gt;'Configs &amp; Procedures'!$L$31,0,1)))</f>
        <v>0</v>
      </c>
    </row>
    <row r="572" spans="2:79">
      <c r="B572" s="854"/>
      <c r="C572" s="854"/>
      <c r="D572" s="854"/>
      <c r="E572" s="854"/>
      <c r="F572" s="854"/>
      <c r="G572" s="854"/>
      <c r="H572" s="854"/>
      <c r="I572" s="854"/>
      <c r="J572" s="854"/>
      <c r="K572" s="854"/>
      <c r="L572" s="854"/>
      <c r="M572" s="854"/>
      <c r="N572" s="854"/>
      <c r="O572" s="854"/>
      <c r="P572" s="854"/>
      <c r="Q572" s="854"/>
      <c r="R572" s="854"/>
      <c r="S572" s="854"/>
      <c r="T572" s="854"/>
      <c r="U572" s="854"/>
      <c r="V572" s="854"/>
      <c r="W572" s="854"/>
      <c r="X572" s="854"/>
      <c r="Y572" s="854"/>
      <c r="Z572" s="854"/>
      <c r="AA572" s="854"/>
      <c r="AB572" s="854"/>
      <c r="AC572" s="854"/>
      <c r="AD572" s="854"/>
      <c r="AE572" s="854"/>
      <c r="AF572" s="854"/>
      <c r="AG572" s="854"/>
      <c r="AH572" s="854"/>
      <c r="AI572" s="854"/>
      <c r="AJ572" s="854"/>
      <c r="AK572" s="854"/>
      <c r="AL572" s="854"/>
      <c r="AM572" s="854"/>
      <c r="AN572" s="854"/>
      <c r="AO572" s="854"/>
      <c r="AP572" s="854"/>
      <c r="AQ572" s="854"/>
      <c r="AR572" s="854"/>
      <c r="AS572" s="854"/>
      <c r="AT572" s="854"/>
      <c r="AU572" s="854"/>
      <c r="AV572" s="854"/>
      <c r="AW572" s="854"/>
      <c r="AX572" s="854"/>
      <c r="AY572" s="854"/>
      <c r="AZ572" s="854"/>
      <c r="BA572" s="854"/>
      <c r="BB572" s="854"/>
      <c r="BC572" s="854"/>
      <c r="BD572" s="854"/>
      <c r="BE572" s="854"/>
      <c r="BF572" s="854"/>
      <c r="BG572" s="854"/>
      <c r="BH572" s="854"/>
      <c r="BI572" s="854"/>
      <c r="BJ572" s="854"/>
      <c r="BK572" s="854"/>
      <c r="BL572" s="854"/>
      <c r="BM572" s="854"/>
      <c r="BN572" s="854"/>
      <c r="BO572" s="854"/>
      <c r="BP572" s="854"/>
      <c r="BQ572" s="854"/>
      <c r="BR572" s="854"/>
      <c r="BS572" s="854"/>
      <c r="BT572" s="854"/>
      <c r="BU572" s="854"/>
      <c r="BV572" s="854"/>
      <c r="BW572" s="854"/>
      <c r="BX572" s="854"/>
      <c r="BY572" s="854"/>
      <c r="BZ572" s="854"/>
      <c r="CA572" s="571">
        <f>IF(OR(I572="",I572&lt;'Configs &amp; Procedures'!$L$29),0,IF(I572&gt;'Configs &amp; Procedures'!$L$30,1,IF(F572&gt;'Configs &amp; Procedures'!$L$31,0,1)))</f>
        <v>0</v>
      </c>
    </row>
    <row r="573" spans="2:79">
      <c r="B573" s="854"/>
      <c r="C573" s="854"/>
      <c r="D573" s="854"/>
      <c r="E573" s="854"/>
      <c r="F573" s="854"/>
      <c r="G573" s="854"/>
      <c r="H573" s="854"/>
      <c r="I573" s="854"/>
      <c r="J573" s="854"/>
      <c r="K573" s="854"/>
      <c r="L573" s="854"/>
      <c r="M573" s="854"/>
      <c r="N573" s="854"/>
      <c r="O573" s="854"/>
      <c r="P573" s="854"/>
      <c r="Q573" s="854"/>
      <c r="R573" s="854"/>
      <c r="S573" s="854"/>
      <c r="T573" s="854"/>
      <c r="U573" s="854"/>
      <c r="V573" s="854"/>
      <c r="W573" s="854"/>
      <c r="X573" s="854"/>
      <c r="Y573" s="854"/>
      <c r="Z573" s="854"/>
      <c r="AA573" s="854"/>
      <c r="AB573" s="854"/>
      <c r="AC573" s="854"/>
      <c r="AD573" s="854"/>
      <c r="AE573" s="854"/>
      <c r="AF573" s="854"/>
      <c r="AG573" s="854"/>
      <c r="AH573" s="854"/>
      <c r="AI573" s="854"/>
      <c r="AJ573" s="854"/>
      <c r="AK573" s="854"/>
      <c r="AL573" s="854"/>
      <c r="AM573" s="854"/>
      <c r="AN573" s="854"/>
      <c r="AO573" s="854"/>
      <c r="AP573" s="854"/>
      <c r="AQ573" s="854"/>
      <c r="AR573" s="854"/>
      <c r="AS573" s="854"/>
      <c r="AT573" s="854"/>
      <c r="AU573" s="854"/>
      <c r="AV573" s="854"/>
      <c r="AW573" s="854"/>
      <c r="AX573" s="854"/>
      <c r="AY573" s="854"/>
      <c r="AZ573" s="854"/>
      <c r="BA573" s="854"/>
      <c r="BB573" s="854"/>
      <c r="BC573" s="854"/>
      <c r="BD573" s="854"/>
      <c r="BE573" s="854"/>
      <c r="BF573" s="854"/>
      <c r="BG573" s="854"/>
      <c r="BH573" s="854"/>
      <c r="BI573" s="854"/>
      <c r="BJ573" s="854"/>
      <c r="BK573" s="854"/>
      <c r="BL573" s="854"/>
      <c r="BM573" s="854"/>
      <c r="BN573" s="854"/>
      <c r="BO573" s="854"/>
      <c r="BP573" s="854"/>
      <c r="BQ573" s="854"/>
      <c r="BR573" s="854"/>
      <c r="BS573" s="854"/>
      <c r="BT573" s="854"/>
      <c r="BU573" s="854"/>
      <c r="BV573" s="854"/>
      <c r="BW573" s="854"/>
      <c r="BX573" s="854"/>
      <c r="BY573" s="854"/>
      <c r="BZ573" s="854"/>
      <c r="CA573" s="571">
        <f>IF(OR(I573="",I573&lt;'Configs &amp; Procedures'!$L$29),0,IF(I573&gt;'Configs &amp; Procedures'!$L$30,1,IF(F573&gt;'Configs &amp; Procedures'!$L$31,0,1)))</f>
        <v>0</v>
      </c>
    </row>
    <row r="574" spans="2:79">
      <c r="B574" s="854"/>
      <c r="C574" s="854"/>
      <c r="D574" s="854"/>
      <c r="E574" s="854"/>
      <c r="F574" s="854"/>
      <c r="G574" s="854"/>
      <c r="H574" s="854"/>
      <c r="I574" s="854"/>
      <c r="J574" s="854"/>
      <c r="K574" s="854"/>
      <c r="L574" s="854"/>
      <c r="M574" s="854"/>
      <c r="N574" s="854"/>
      <c r="O574" s="854"/>
      <c r="P574" s="854"/>
      <c r="Q574" s="854"/>
      <c r="R574" s="854"/>
      <c r="S574" s="854"/>
      <c r="T574" s="854"/>
      <c r="U574" s="854"/>
      <c r="V574" s="854"/>
      <c r="W574" s="854"/>
      <c r="X574" s="854"/>
      <c r="Y574" s="854"/>
      <c r="Z574" s="854"/>
      <c r="AA574" s="854"/>
      <c r="AB574" s="854"/>
      <c r="AC574" s="854"/>
      <c r="AD574" s="854"/>
      <c r="AE574" s="854"/>
      <c r="AF574" s="854"/>
      <c r="AG574" s="854"/>
      <c r="AH574" s="854"/>
      <c r="AI574" s="854"/>
      <c r="AJ574" s="854"/>
      <c r="AK574" s="854"/>
      <c r="AL574" s="854"/>
      <c r="AM574" s="854"/>
      <c r="AN574" s="854"/>
      <c r="AO574" s="854"/>
      <c r="AP574" s="854"/>
      <c r="AQ574" s="854"/>
      <c r="AR574" s="854"/>
      <c r="AS574" s="854"/>
      <c r="AT574" s="854"/>
      <c r="AU574" s="854"/>
      <c r="AV574" s="854"/>
      <c r="AW574" s="854"/>
      <c r="AX574" s="854"/>
      <c r="AY574" s="854"/>
      <c r="AZ574" s="854"/>
      <c r="BA574" s="854"/>
      <c r="BB574" s="854"/>
      <c r="BC574" s="854"/>
      <c r="BD574" s="854"/>
      <c r="BE574" s="854"/>
      <c r="BF574" s="854"/>
      <c r="BG574" s="854"/>
      <c r="BH574" s="854"/>
      <c r="BI574" s="854"/>
      <c r="BJ574" s="854"/>
      <c r="BK574" s="854"/>
      <c r="BL574" s="854"/>
      <c r="BM574" s="854"/>
      <c r="BN574" s="854"/>
      <c r="BO574" s="854"/>
      <c r="BP574" s="854"/>
      <c r="BQ574" s="854"/>
      <c r="BR574" s="854"/>
      <c r="BS574" s="854"/>
      <c r="BT574" s="854"/>
      <c r="BU574" s="854"/>
      <c r="BV574" s="854"/>
      <c r="BW574" s="854"/>
      <c r="BX574" s="854"/>
      <c r="BY574" s="854"/>
      <c r="BZ574" s="854"/>
      <c r="CA574" s="571">
        <f>IF(OR(I574="",I574&lt;'Configs &amp; Procedures'!$L$29),0,IF(I574&gt;'Configs &amp; Procedures'!$L$30,1,IF(F574&gt;'Configs &amp; Procedures'!$L$31,0,1)))</f>
        <v>0</v>
      </c>
    </row>
    <row r="575" spans="2:79">
      <c r="B575" s="854"/>
      <c r="C575" s="854"/>
      <c r="D575" s="854"/>
      <c r="E575" s="854"/>
      <c r="F575" s="854"/>
      <c r="G575" s="854"/>
      <c r="H575" s="854"/>
      <c r="I575" s="854"/>
      <c r="J575" s="854"/>
      <c r="K575" s="854"/>
      <c r="L575" s="854"/>
      <c r="M575" s="854"/>
      <c r="N575" s="854"/>
      <c r="O575" s="854"/>
      <c r="P575" s="854"/>
      <c r="Q575" s="854"/>
      <c r="R575" s="854"/>
      <c r="S575" s="854"/>
      <c r="T575" s="854"/>
      <c r="U575" s="854"/>
      <c r="V575" s="854"/>
      <c r="W575" s="854"/>
      <c r="X575" s="854"/>
      <c r="Y575" s="854"/>
      <c r="Z575" s="854"/>
      <c r="AA575" s="854"/>
      <c r="AB575" s="854"/>
      <c r="AC575" s="854"/>
      <c r="AD575" s="854"/>
      <c r="AE575" s="854"/>
      <c r="AF575" s="854"/>
      <c r="AG575" s="854"/>
      <c r="AH575" s="854"/>
      <c r="AI575" s="854"/>
      <c r="AJ575" s="854"/>
      <c r="AK575" s="854"/>
      <c r="AL575" s="854"/>
      <c r="AM575" s="854"/>
      <c r="AN575" s="854"/>
      <c r="AO575" s="854"/>
      <c r="AP575" s="854"/>
      <c r="AQ575" s="854"/>
      <c r="AR575" s="854"/>
      <c r="AS575" s="854"/>
      <c r="AT575" s="854"/>
      <c r="AU575" s="854"/>
      <c r="AV575" s="854"/>
      <c r="AW575" s="854"/>
      <c r="AX575" s="854"/>
      <c r="AY575" s="854"/>
      <c r="AZ575" s="854"/>
      <c r="BA575" s="854"/>
      <c r="BB575" s="854"/>
      <c r="BC575" s="854"/>
      <c r="BD575" s="854"/>
      <c r="BE575" s="854"/>
      <c r="BF575" s="854"/>
      <c r="BG575" s="854"/>
      <c r="BH575" s="854"/>
      <c r="BI575" s="854"/>
      <c r="BJ575" s="854"/>
      <c r="BK575" s="854"/>
      <c r="BL575" s="854"/>
      <c r="BM575" s="854"/>
      <c r="BN575" s="854"/>
      <c r="BO575" s="854"/>
      <c r="BP575" s="854"/>
      <c r="BQ575" s="854"/>
      <c r="BR575" s="854"/>
      <c r="BS575" s="854"/>
      <c r="BT575" s="854"/>
      <c r="BU575" s="854"/>
      <c r="BV575" s="854"/>
      <c r="BW575" s="854"/>
      <c r="BX575" s="854"/>
      <c r="BY575" s="854"/>
      <c r="BZ575" s="854"/>
      <c r="CA575" s="571">
        <f>IF(OR(I575="",I575&lt;'Configs &amp; Procedures'!$L$29),0,IF(I575&gt;'Configs &amp; Procedures'!$L$30,1,IF(F575&gt;'Configs &amp; Procedures'!$L$31,0,1)))</f>
        <v>0</v>
      </c>
    </row>
    <row r="576" spans="2:79">
      <c r="B576" s="854"/>
      <c r="C576" s="854"/>
      <c r="D576" s="854"/>
      <c r="E576" s="854"/>
      <c r="F576" s="854"/>
      <c r="G576" s="854"/>
      <c r="H576" s="854"/>
      <c r="I576" s="854"/>
      <c r="J576" s="854"/>
      <c r="K576" s="854"/>
      <c r="L576" s="854"/>
      <c r="M576" s="854"/>
      <c r="N576" s="854"/>
      <c r="O576" s="854"/>
      <c r="P576" s="854"/>
      <c r="Q576" s="854"/>
      <c r="R576" s="854"/>
      <c r="S576" s="854"/>
      <c r="T576" s="854"/>
      <c r="U576" s="854"/>
      <c r="V576" s="854"/>
      <c r="W576" s="854"/>
      <c r="X576" s="854"/>
      <c r="Y576" s="854"/>
      <c r="Z576" s="854"/>
      <c r="AA576" s="854"/>
      <c r="AB576" s="854"/>
      <c r="AC576" s="854"/>
      <c r="AD576" s="854"/>
      <c r="AE576" s="854"/>
      <c r="AF576" s="854"/>
      <c r="AG576" s="854"/>
      <c r="AH576" s="854"/>
      <c r="AI576" s="854"/>
      <c r="AJ576" s="854"/>
      <c r="AK576" s="854"/>
      <c r="AL576" s="854"/>
      <c r="AM576" s="854"/>
      <c r="AN576" s="854"/>
      <c r="AO576" s="854"/>
      <c r="AP576" s="854"/>
      <c r="AQ576" s="854"/>
      <c r="AR576" s="854"/>
      <c r="AS576" s="854"/>
      <c r="AT576" s="854"/>
      <c r="AU576" s="854"/>
      <c r="AV576" s="854"/>
      <c r="AW576" s="854"/>
      <c r="AX576" s="854"/>
      <c r="AY576" s="854"/>
      <c r="AZ576" s="854"/>
      <c r="BA576" s="854"/>
      <c r="BB576" s="854"/>
      <c r="BC576" s="854"/>
      <c r="BD576" s="854"/>
      <c r="BE576" s="854"/>
      <c r="BF576" s="854"/>
      <c r="BG576" s="854"/>
      <c r="BH576" s="854"/>
      <c r="BI576" s="854"/>
      <c r="BJ576" s="854"/>
      <c r="BK576" s="854"/>
      <c r="BL576" s="854"/>
      <c r="BM576" s="854"/>
      <c r="BN576" s="854"/>
      <c r="BO576" s="854"/>
      <c r="BP576" s="854"/>
      <c r="BQ576" s="854"/>
      <c r="BR576" s="854"/>
      <c r="BS576" s="854"/>
      <c r="BT576" s="854"/>
      <c r="BU576" s="854"/>
      <c r="BV576" s="854"/>
      <c r="BW576" s="854"/>
      <c r="BX576" s="854"/>
      <c r="BY576" s="854"/>
      <c r="BZ576" s="854"/>
      <c r="CA576" s="571">
        <f>IF(OR(I576="",I576&lt;'Configs &amp; Procedures'!$L$29),0,IF(I576&gt;'Configs &amp; Procedures'!$L$30,1,IF(F576&gt;'Configs &amp; Procedures'!$L$31,0,1)))</f>
        <v>0</v>
      </c>
    </row>
    <row r="577" spans="2:79">
      <c r="B577" s="854"/>
      <c r="C577" s="854"/>
      <c r="D577" s="854"/>
      <c r="E577" s="854"/>
      <c r="F577" s="854"/>
      <c r="G577" s="854"/>
      <c r="H577" s="854"/>
      <c r="I577" s="854"/>
      <c r="J577" s="854"/>
      <c r="K577" s="854"/>
      <c r="L577" s="854"/>
      <c r="M577" s="854"/>
      <c r="N577" s="854"/>
      <c r="O577" s="854"/>
      <c r="P577" s="854"/>
      <c r="Q577" s="854"/>
      <c r="R577" s="854"/>
      <c r="S577" s="854"/>
      <c r="T577" s="854"/>
      <c r="U577" s="854"/>
      <c r="V577" s="854"/>
      <c r="W577" s="854"/>
      <c r="X577" s="854"/>
      <c r="Y577" s="854"/>
      <c r="Z577" s="854"/>
      <c r="AA577" s="854"/>
      <c r="AB577" s="854"/>
      <c r="AC577" s="854"/>
      <c r="AD577" s="854"/>
      <c r="AE577" s="854"/>
      <c r="AF577" s="854"/>
      <c r="AG577" s="854"/>
      <c r="AH577" s="854"/>
      <c r="AI577" s="854"/>
      <c r="AJ577" s="854"/>
      <c r="AK577" s="854"/>
      <c r="AL577" s="854"/>
      <c r="AM577" s="854"/>
      <c r="AN577" s="854"/>
      <c r="AO577" s="854"/>
      <c r="AP577" s="854"/>
      <c r="AQ577" s="854"/>
      <c r="AR577" s="854"/>
      <c r="AS577" s="854"/>
      <c r="AT577" s="854"/>
      <c r="AU577" s="854"/>
      <c r="AV577" s="854"/>
      <c r="AW577" s="854"/>
      <c r="AX577" s="854"/>
      <c r="AY577" s="854"/>
      <c r="AZ577" s="854"/>
      <c r="BA577" s="854"/>
      <c r="BB577" s="854"/>
      <c r="BC577" s="854"/>
      <c r="BD577" s="854"/>
      <c r="BE577" s="854"/>
      <c r="BF577" s="854"/>
      <c r="BG577" s="854"/>
      <c r="BH577" s="854"/>
      <c r="BI577" s="854"/>
      <c r="BJ577" s="854"/>
      <c r="BK577" s="854"/>
      <c r="BL577" s="854"/>
      <c r="BM577" s="854"/>
      <c r="BN577" s="854"/>
      <c r="BO577" s="854"/>
      <c r="BP577" s="854"/>
      <c r="BQ577" s="854"/>
      <c r="BR577" s="854"/>
      <c r="BS577" s="854"/>
      <c r="BT577" s="854"/>
      <c r="BU577" s="854"/>
      <c r="BV577" s="854"/>
      <c r="BW577" s="854"/>
      <c r="BX577" s="854"/>
      <c r="BY577" s="854"/>
      <c r="BZ577" s="854"/>
      <c r="CA577" s="571">
        <f>IF(OR(I577="",I577&lt;'Configs &amp; Procedures'!$L$29),0,IF(I577&gt;'Configs &amp; Procedures'!$L$30,1,IF(F577&gt;'Configs &amp; Procedures'!$L$31,0,1)))</f>
        <v>0</v>
      </c>
    </row>
    <row r="578" spans="2:79">
      <c r="B578" s="854"/>
      <c r="C578" s="854"/>
      <c r="D578" s="854"/>
      <c r="E578" s="854"/>
      <c r="F578" s="854"/>
      <c r="G578" s="854"/>
      <c r="H578" s="854"/>
      <c r="I578" s="854"/>
      <c r="J578" s="854"/>
      <c r="K578" s="854"/>
      <c r="L578" s="854"/>
      <c r="M578" s="854"/>
      <c r="N578" s="854"/>
      <c r="O578" s="854"/>
      <c r="P578" s="854"/>
      <c r="Q578" s="854"/>
      <c r="R578" s="854"/>
      <c r="S578" s="854"/>
      <c r="T578" s="854"/>
      <c r="U578" s="854"/>
      <c r="V578" s="854"/>
      <c r="W578" s="854"/>
      <c r="X578" s="854"/>
      <c r="Y578" s="854"/>
      <c r="Z578" s="854"/>
      <c r="AA578" s="854"/>
      <c r="AB578" s="854"/>
      <c r="AC578" s="854"/>
      <c r="AD578" s="854"/>
      <c r="AE578" s="854"/>
      <c r="AF578" s="854"/>
      <c r="AG578" s="854"/>
      <c r="AH578" s="854"/>
      <c r="AI578" s="854"/>
      <c r="AJ578" s="854"/>
      <c r="AK578" s="854"/>
      <c r="AL578" s="854"/>
      <c r="AM578" s="854"/>
      <c r="AN578" s="854"/>
      <c r="AO578" s="854"/>
      <c r="AP578" s="854"/>
      <c r="AQ578" s="854"/>
      <c r="AR578" s="854"/>
      <c r="AS578" s="854"/>
      <c r="AT578" s="854"/>
      <c r="AU578" s="854"/>
      <c r="AV578" s="854"/>
      <c r="AW578" s="854"/>
      <c r="AX578" s="854"/>
      <c r="AY578" s="854"/>
      <c r="AZ578" s="854"/>
      <c r="BA578" s="854"/>
      <c r="BB578" s="854"/>
      <c r="BC578" s="854"/>
      <c r="BD578" s="854"/>
      <c r="BE578" s="854"/>
      <c r="BF578" s="854"/>
      <c r="BG578" s="854"/>
      <c r="BH578" s="854"/>
      <c r="BI578" s="854"/>
      <c r="BJ578" s="854"/>
      <c r="BK578" s="854"/>
      <c r="BL578" s="854"/>
      <c r="BM578" s="854"/>
      <c r="BN578" s="854"/>
      <c r="BO578" s="854"/>
      <c r="BP578" s="854"/>
      <c r="BQ578" s="854"/>
      <c r="BR578" s="854"/>
      <c r="BS578" s="854"/>
      <c r="BT578" s="854"/>
      <c r="BU578" s="854"/>
      <c r="BV578" s="854"/>
      <c r="BW578" s="854"/>
      <c r="BX578" s="854"/>
      <c r="BY578" s="854"/>
      <c r="BZ578" s="854"/>
      <c r="CA578" s="571">
        <f>IF(OR(I578="",I578&lt;'Configs &amp; Procedures'!$L$29),0,IF(I578&gt;'Configs &amp; Procedures'!$L$30,1,IF(F578&gt;'Configs &amp; Procedures'!$L$31,0,1)))</f>
        <v>0</v>
      </c>
    </row>
    <row r="579" spans="2:79">
      <c r="B579" s="854"/>
      <c r="C579" s="854"/>
      <c r="D579" s="854"/>
      <c r="E579" s="854"/>
      <c r="F579" s="854"/>
      <c r="G579" s="854"/>
      <c r="H579" s="854"/>
      <c r="I579" s="854"/>
      <c r="J579" s="854"/>
      <c r="K579" s="854"/>
      <c r="L579" s="854"/>
      <c r="M579" s="854"/>
      <c r="N579" s="854"/>
      <c r="O579" s="854"/>
      <c r="P579" s="854"/>
      <c r="Q579" s="854"/>
      <c r="R579" s="854"/>
      <c r="S579" s="854"/>
      <c r="T579" s="854"/>
      <c r="U579" s="854"/>
      <c r="V579" s="854"/>
      <c r="W579" s="854"/>
      <c r="X579" s="854"/>
      <c r="Y579" s="854"/>
      <c r="Z579" s="854"/>
      <c r="AA579" s="854"/>
      <c r="AB579" s="854"/>
      <c r="AC579" s="854"/>
      <c r="AD579" s="854"/>
      <c r="AE579" s="854"/>
      <c r="AF579" s="854"/>
      <c r="AG579" s="854"/>
      <c r="AH579" s="854"/>
      <c r="AI579" s="854"/>
      <c r="AJ579" s="854"/>
      <c r="AK579" s="854"/>
      <c r="AL579" s="854"/>
      <c r="AM579" s="854"/>
      <c r="AN579" s="854"/>
      <c r="AO579" s="854"/>
      <c r="AP579" s="854"/>
      <c r="AQ579" s="854"/>
      <c r="AR579" s="854"/>
      <c r="AS579" s="854"/>
      <c r="AT579" s="854"/>
      <c r="AU579" s="854"/>
      <c r="AV579" s="854"/>
      <c r="AW579" s="854"/>
      <c r="AX579" s="854"/>
      <c r="AY579" s="854"/>
      <c r="AZ579" s="854"/>
      <c r="BA579" s="854"/>
      <c r="BB579" s="854"/>
      <c r="BC579" s="854"/>
      <c r="BD579" s="854"/>
      <c r="BE579" s="854"/>
      <c r="BF579" s="854"/>
      <c r="BG579" s="854"/>
      <c r="BH579" s="854"/>
      <c r="BI579" s="854"/>
      <c r="BJ579" s="854"/>
      <c r="BK579" s="854"/>
      <c r="BL579" s="854"/>
      <c r="BM579" s="854"/>
      <c r="BN579" s="854"/>
      <c r="BO579" s="854"/>
      <c r="BP579" s="854"/>
      <c r="BQ579" s="854"/>
      <c r="BR579" s="854"/>
      <c r="BS579" s="854"/>
      <c r="BT579" s="854"/>
      <c r="BU579" s="854"/>
      <c r="BV579" s="854"/>
      <c r="BW579" s="854"/>
      <c r="BX579" s="854"/>
      <c r="BY579" s="854"/>
      <c r="BZ579" s="854"/>
      <c r="CA579" s="571">
        <f>IF(OR(I579="",I579&lt;'Configs &amp; Procedures'!$L$29),0,IF(I579&gt;'Configs &amp; Procedures'!$L$30,1,IF(F579&gt;'Configs &amp; Procedures'!$L$31,0,1)))</f>
        <v>0</v>
      </c>
    </row>
    <row r="580" spans="2:79">
      <c r="B580" s="854"/>
      <c r="C580" s="854"/>
      <c r="D580" s="854"/>
      <c r="E580" s="854"/>
      <c r="F580" s="854"/>
      <c r="G580" s="854"/>
      <c r="H580" s="854"/>
      <c r="I580" s="854"/>
      <c r="J580" s="854"/>
      <c r="K580" s="854"/>
      <c r="L580" s="854"/>
      <c r="M580" s="854"/>
      <c r="N580" s="854"/>
      <c r="O580" s="854"/>
      <c r="P580" s="854"/>
      <c r="Q580" s="854"/>
      <c r="R580" s="854"/>
      <c r="S580" s="854"/>
      <c r="T580" s="854"/>
      <c r="U580" s="854"/>
      <c r="V580" s="854"/>
      <c r="W580" s="854"/>
      <c r="X580" s="854"/>
      <c r="Y580" s="854"/>
      <c r="Z580" s="854"/>
      <c r="AA580" s="854"/>
      <c r="AB580" s="854"/>
      <c r="AC580" s="854"/>
      <c r="AD580" s="854"/>
      <c r="AE580" s="854"/>
      <c r="AF580" s="854"/>
      <c r="AG580" s="854"/>
      <c r="AH580" s="854"/>
      <c r="AI580" s="854"/>
      <c r="AJ580" s="854"/>
      <c r="AK580" s="854"/>
      <c r="AL580" s="854"/>
      <c r="AM580" s="854"/>
      <c r="AN580" s="854"/>
      <c r="AO580" s="854"/>
      <c r="AP580" s="854"/>
      <c r="AQ580" s="854"/>
      <c r="AR580" s="854"/>
      <c r="AS580" s="854"/>
      <c r="AT580" s="854"/>
      <c r="AU580" s="854"/>
      <c r="AV580" s="854"/>
      <c r="AW580" s="854"/>
      <c r="AX580" s="854"/>
      <c r="AY580" s="854"/>
      <c r="AZ580" s="854"/>
      <c r="BA580" s="854"/>
      <c r="BB580" s="854"/>
      <c r="BC580" s="854"/>
      <c r="BD580" s="854"/>
      <c r="BE580" s="854"/>
      <c r="BF580" s="854"/>
      <c r="BG580" s="854"/>
      <c r="BH580" s="854"/>
      <c r="BI580" s="854"/>
      <c r="BJ580" s="854"/>
      <c r="BK580" s="854"/>
      <c r="BL580" s="854"/>
      <c r="BM580" s="854"/>
      <c r="BN580" s="854"/>
      <c r="BO580" s="854"/>
      <c r="BP580" s="854"/>
      <c r="BQ580" s="854"/>
      <c r="BR580" s="854"/>
      <c r="BS580" s="854"/>
      <c r="BT580" s="854"/>
      <c r="BU580" s="854"/>
      <c r="BV580" s="854"/>
      <c r="BW580" s="854"/>
      <c r="BX580" s="854"/>
      <c r="BY580" s="854"/>
      <c r="BZ580" s="854"/>
      <c r="CA580" s="571">
        <f>IF(OR(I580="",I580&lt;'Configs &amp; Procedures'!$L$29),0,IF(I580&gt;'Configs &amp; Procedures'!$L$30,1,IF(F580&gt;'Configs &amp; Procedures'!$L$31,0,1)))</f>
        <v>0</v>
      </c>
    </row>
    <row r="581" spans="2:79">
      <c r="B581" s="854"/>
      <c r="C581" s="854"/>
      <c r="D581" s="854"/>
      <c r="E581" s="854"/>
      <c r="F581" s="854"/>
      <c r="G581" s="854"/>
      <c r="H581" s="854"/>
      <c r="I581" s="854"/>
      <c r="J581" s="854"/>
      <c r="K581" s="854"/>
      <c r="L581" s="854"/>
      <c r="M581" s="854"/>
      <c r="N581" s="854"/>
      <c r="O581" s="854"/>
      <c r="P581" s="854"/>
      <c r="Q581" s="854"/>
      <c r="R581" s="854"/>
      <c r="S581" s="854"/>
      <c r="T581" s="854"/>
      <c r="U581" s="854"/>
      <c r="V581" s="854"/>
      <c r="W581" s="854"/>
      <c r="X581" s="854"/>
      <c r="Y581" s="854"/>
      <c r="Z581" s="854"/>
      <c r="AA581" s="854"/>
      <c r="AB581" s="854"/>
      <c r="AC581" s="854"/>
      <c r="AD581" s="854"/>
      <c r="AE581" s="854"/>
      <c r="AF581" s="854"/>
      <c r="AG581" s="854"/>
      <c r="AH581" s="854"/>
      <c r="AI581" s="854"/>
      <c r="AJ581" s="854"/>
      <c r="AK581" s="854"/>
      <c r="AL581" s="854"/>
      <c r="AM581" s="854"/>
      <c r="AN581" s="854"/>
      <c r="AO581" s="854"/>
      <c r="AP581" s="854"/>
      <c r="AQ581" s="854"/>
      <c r="AR581" s="854"/>
      <c r="AS581" s="854"/>
      <c r="AT581" s="854"/>
      <c r="AU581" s="854"/>
      <c r="AV581" s="854"/>
      <c r="AW581" s="854"/>
      <c r="AX581" s="854"/>
      <c r="AY581" s="854"/>
      <c r="AZ581" s="854"/>
      <c r="BA581" s="854"/>
      <c r="BB581" s="854"/>
      <c r="BC581" s="854"/>
      <c r="BD581" s="854"/>
      <c r="BE581" s="854"/>
      <c r="BF581" s="854"/>
      <c r="BG581" s="854"/>
      <c r="BH581" s="854"/>
      <c r="BI581" s="854"/>
      <c r="BJ581" s="854"/>
      <c r="BK581" s="854"/>
      <c r="BL581" s="854"/>
      <c r="BM581" s="854"/>
      <c r="BN581" s="854"/>
      <c r="BO581" s="854"/>
      <c r="BP581" s="854"/>
      <c r="BQ581" s="854"/>
      <c r="BR581" s="854"/>
      <c r="BS581" s="854"/>
      <c r="BT581" s="854"/>
      <c r="BU581" s="854"/>
      <c r="BV581" s="854"/>
      <c r="BW581" s="854"/>
      <c r="BX581" s="854"/>
      <c r="BY581" s="854"/>
      <c r="BZ581" s="854"/>
      <c r="CA581" s="571">
        <f>IF(OR(I581="",I581&lt;'Configs &amp; Procedures'!$L$29),0,IF(I581&gt;'Configs &amp; Procedures'!$L$30,1,IF(F581&gt;'Configs &amp; Procedures'!$L$31,0,1)))</f>
        <v>0</v>
      </c>
    </row>
    <row r="582" spans="2:79">
      <c r="B582" s="854"/>
      <c r="C582" s="854"/>
      <c r="D582" s="854"/>
      <c r="E582" s="854"/>
      <c r="F582" s="854"/>
      <c r="G582" s="854"/>
      <c r="H582" s="854"/>
      <c r="I582" s="854"/>
      <c r="J582" s="854"/>
      <c r="K582" s="854"/>
      <c r="L582" s="854"/>
      <c r="M582" s="854"/>
      <c r="N582" s="854"/>
      <c r="O582" s="854"/>
      <c r="P582" s="854"/>
      <c r="Q582" s="854"/>
      <c r="R582" s="854"/>
      <c r="S582" s="854"/>
      <c r="T582" s="854"/>
      <c r="U582" s="854"/>
      <c r="V582" s="854"/>
      <c r="W582" s="854"/>
      <c r="X582" s="854"/>
      <c r="Y582" s="854"/>
      <c r="Z582" s="854"/>
      <c r="AA582" s="854"/>
      <c r="AB582" s="854"/>
      <c r="AC582" s="854"/>
      <c r="AD582" s="854"/>
      <c r="AE582" s="854"/>
      <c r="AF582" s="854"/>
      <c r="AG582" s="854"/>
      <c r="AH582" s="854"/>
      <c r="AI582" s="854"/>
      <c r="AJ582" s="854"/>
      <c r="AK582" s="854"/>
      <c r="AL582" s="854"/>
      <c r="AM582" s="854"/>
      <c r="AN582" s="854"/>
      <c r="AO582" s="854"/>
      <c r="AP582" s="854"/>
      <c r="AQ582" s="854"/>
      <c r="AR582" s="854"/>
      <c r="AS582" s="854"/>
      <c r="AT582" s="854"/>
      <c r="AU582" s="854"/>
      <c r="AV582" s="854"/>
      <c r="AW582" s="854"/>
      <c r="AX582" s="854"/>
      <c r="AY582" s="854"/>
      <c r="AZ582" s="854"/>
      <c r="BA582" s="854"/>
      <c r="BB582" s="854"/>
      <c r="BC582" s="854"/>
      <c r="BD582" s="854"/>
      <c r="BE582" s="854"/>
      <c r="BF582" s="854"/>
      <c r="BG582" s="854"/>
      <c r="BH582" s="854"/>
      <c r="BI582" s="854"/>
      <c r="BJ582" s="854"/>
      <c r="BK582" s="854"/>
      <c r="BL582" s="854"/>
      <c r="BM582" s="854"/>
      <c r="BN582" s="854"/>
      <c r="BO582" s="854"/>
      <c r="BP582" s="854"/>
      <c r="BQ582" s="854"/>
      <c r="BR582" s="854"/>
      <c r="BS582" s="854"/>
      <c r="BT582" s="854"/>
      <c r="BU582" s="854"/>
      <c r="BV582" s="854"/>
      <c r="BW582" s="854"/>
      <c r="BX582" s="854"/>
      <c r="BY582" s="854"/>
      <c r="BZ582" s="854"/>
      <c r="CA582" s="571">
        <f>IF(OR(I582="",I582&lt;'Configs &amp; Procedures'!$L$29),0,IF(I582&gt;'Configs &amp; Procedures'!$L$30,1,IF(F582&gt;'Configs &amp; Procedures'!$L$31,0,1)))</f>
        <v>0</v>
      </c>
    </row>
    <row r="583" spans="2:79">
      <c r="B583" s="854"/>
      <c r="C583" s="854"/>
      <c r="D583" s="854"/>
      <c r="E583" s="854"/>
      <c r="F583" s="854"/>
      <c r="G583" s="854"/>
      <c r="H583" s="854"/>
      <c r="I583" s="854"/>
      <c r="J583" s="854"/>
      <c r="K583" s="854"/>
      <c r="L583" s="854"/>
      <c r="M583" s="854"/>
      <c r="N583" s="854"/>
      <c r="O583" s="854"/>
      <c r="P583" s="854"/>
      <c r="Q583" s="854"/>
      <c r="R583" s="854"/>
      <c r="S583" s="854"/>
      <c r="T583" s="854"/>
      <c r="U583" s="854"/>
      <c r="V583" s="854"/>
      <c r="W583" s="854"/>
      <c r="X583" s="854"/>
      <c r="Y583" s="854"/>
      <c r="Z583" s="854"/>
      <c r="AA583" s="854"/>
      <c r="AB583" s="854"/>
      <c r="AC583" s="854"/>
      <c r="AD583" s="854"/>
      <c r="AE583" s="854"/>
      <c r="AF583" s="854"/>
      <c r="AG583" s="854"/>
      <c r="AH583" s="854"/>
      <c r="AI583" s="854"/>
      <c r="AJ583" s="854"/>
      <c r="AK583" s="854"/>
      <c r="AL583" s="854"/>
      <c r="AM583" s="854"/>
      <c r="AN583" s="854"/>
      <c r="AO583" s="854"/>
      <c r="AP583" s="854"/>
      <c r="AQ583" s="854"/>
      <c r="AR583" s="854"/>
      <c r="AS583" s="854"/>
      <c r="AT583" s="854"/>
      <c r="AU583" s="854"/>
      <c r="AV583" s="854"/>
      <c r="AW583" s="854"/>
      <c r="AX583" s="854"/>
      <c r="AY583" s="854"/>
      <c r="AZ583" s="854"/>
      <c r="BA583" s="854"/>
      <c r="BB583" s="854"/>
      <c r="BC583" s="854"/>
      <c r="BD583" s="854"/>
      <c r="BE583" s="854"/>
      <c r="BF583" s="854"/>
      <c r="BG583" s="854"/>
      <c r="BH583" s="854"/>
      <c r="BI583" s="854"/>
      <c r="BJ583" s="854"/>
      <c r="BK583" s="854"/>
      <c r="BL583" s="854"/>
      <c r="BM583" s="854"/>
      <c r="BN583" s="854"/>
      <c r="BO583" s="854"/>
      <c r="BP583" s="854"/>
      <c r="BQ583" s="854"/>
      <c r="BR583" s="854"/>
      <c r="BS583" s="854"/>
      <c r="BT583" s="854"/>
      <c r="BU583" s="854"/>
      <c r="BV583" s="854"/>
      <c r="BW583" s="854"/>
      <c r="BX583" s="854"/>
      <c r="BY583" s="854"/>
      <c r="BZ583" s="854"/>
      <c r="CA583" s="571">
        <f>IF(OR(I583="",I583&lt;'Configs &amp; Procedures'!$L$29),0,IF(I583&gt;'Configs &amp; Procedures'!$L$30,1,IF(F583&gt;'Configs &amp; Procedures'!$L$31,0,1)))</f>
        <v>0</v>
      </c>
    </row>
    <row r="584" spans="2:79">
      <c r="B584" s="854"/>
      <c r="C584" s="854"/>
      <c r="D584" s="854"/>
      <c r="E584" s="854"/>
      <c r="F584" s="854"/>
      <c r="G584" s="854"/>
      <c r="H584" s="854"/>
      <c r="I584" s="854"/>
      <c r="J584" s="854"/>
      <c r="K584" s="854"/>
      <c r="L584" s="854"/>
      <c r="M584" s="854"/>
      <c r="N584" s="854"/>
      <c r="O584" s="854"/>
      <c r="P584" s="854"/>
      <c r="Q584" s="854"/>
      <c r="R584" s="854"/>
      <c r="S584" s="854"/>
      <c r="T584" s="854"/>
      <c r="U584" s="854"/>
      <c r="V584" s="854"/>
      <c r="W584" s="854"/>
      <c r="X584" s="854"/>
      <c r="Y584" s="854"/>
      <c r="Z584" s="854"/>
      <c r="AA584" s="854"/>
      <c r="AB584" s="854"/>
      <c r="AC584" s="854"/>
      <c r="AD584" s="854"/>
      <c r="AE584" s="854"/>
      <c r="AF584" s="854"/>
      <c r="AG584" s="854"/>
      <c r="AH584" s="854"/>
      <c r="AI584" s="854"/>
      <c r="AJ584" s="854"/>
      <c r="AK584" s="854"/>
      <c r="AL584" s="854"/>
      <c r="AM584" s="854"/>
      <c r="AN584" s="854"/>
      <c r="AO584" s="854"/>
      <c r="AP584" s="854"/>
      <c r="AQ584" s="854"/>
      <c r="AR584" s="854"/>
      <c r="AS584" s="854"/>
      <c r="AT584" s="854"/>
      <c r="AU584" s="854"/>
      <c r="AV584" s="854"/>
      <c r="AW584" s="854"/>
      <c r="AX584" s="854"/>
      <c r="AY584" s="854"/>
      <c r="AZ584" s="854"/>
      <c r="BA584" s="854"/>
      <c r="BB584" s="854"/>
      <c r="BC584" s="854"/>
      <c r="BD584" s="854"/>
      <c r="BE584" s="854"/>
      <c r="BF584" s="854"/>
      <c r="BG584" s="854"/>
      <c r="BH584" s="854"/>
      <c r="BI584" s="854"/>
      <c r="BJ584" s="854"/>
      <c r="BK584" s="854"/>
      <c r="BL584" s="854"/>
      <c r="BM584" s="854"/>
      <c r="BN584" s="854"/>
      <c r="BO584" s="854"/>
      <c r="BP584" s="854"/>
      <c r="BQ584" s="854"/>
      <c r="BR584" s="854"/>
      <c r="BS584" s="854"/>
      <c r="BT584" s="854"/>
      <c r="BU584" s="854"/>
      <c r="BV584" s="854"/>
      <c r="BW584" s="854"/>
      <c r="BX584" s="854"/>
      <c r="BY584" s="854"/>
      <c r="BZ584" s="854"/>
      <c r="CA584" s="571">
        <f>IF(OR(I584="",I584&lt;'Configs &amp; Procedures'!$L$29),0,IF(I584&gt;'Configs &amp; Procedures'!$L$30,1,IF(F584&gt;'Configs &amp; Procedures'!$L$31,0,1)))</f>
        <v>0</v>
      </c>
    </row>
    <row r="585" spans="2:79">
      <c r="B585" s="854"/>
      <c r="C585" s="854"/>
      <c r="D585" s="854"/>
      <c r="E585" s="854"/>
      <c r="F585" s="854"/>
      <c r="G585" s="854"/>
      <c r="H585" s="854"/>
      <c r="I585" s="854"/>
      <c r="J585" s="854"/>
      <c r="K585" s="854"/>
      <c r="L585" s="854"/>
      <c r="M585" s="854"/>
      <c r="N585" s="854"/>
      <c r="O585" s="854"/>
      <c r="P585" s="854"/>
      <c r="Q585" s="854"/>
      <c r="R585" s="854"/>
      <c r="S585" s="854"/>
      <c r="T585" s="854"/>
      <c r="U585" s="854"/>
      <c r="V585" s="854"/>
      <c r="W585" s="854"/>
      <c r="X585" s="854"/>
      <c r="Y585" s="854"/>
      <c r="Z585" s="854"/>
      <c r="AA585" s="854"/>
      <c r="AB585" s="854"/>
      <c r="AC585" s="854"/>
      <c r="AD585" s="854"/>
      <c r="AE585" s="854"/>
      <c r="AF585" s="854"/>
      <c r="AG585" s="854"/>
      <c r="AH585" s="854"/>
      <c r="AI585" s="854"/>
      <c r="AJ585" s="854"/>
      <c r="AK585" s="854"/>
      <c r="AL585" s="854"/>
      <c r="AM585" s="854"/>
      <c r="AN585" s="854"/>
      <c r="AO585" s="854"/>
      <c r="AP585" s="854"/>
      <c r="AQ585" s="854"/>
      <c r="AR585" s="854"/>
      <c r="AS585" s="854"/>
      <c r="AT585" s="854"/>
      <c r="AU585" s="854"/>
      <c r="AV585" s="854"/>
      <c r="AW585" s="854"/>
      <c r="AX585" s="854"/>
      <c r="AY585" s="854"/>
      <c r="AZ585" s="854"/>
      <c r="BA585" s="854"/>
      <c r="BB585" s="854"/>
      <c r="BC585" s="854"/>
      <c r="BD585" s="854"/>
      <c r="BE585" s="854"/>
      <c r="BF585" s="854"/>
      <c r="BG585" s="854"/>
      <c r="BH585" s="854"/>
      <c r="BI585" s="854"/>
      <c r="BJ585" s="854"/>
      <c r="BK585" s="854"/>
      <c r="BL585" s="854"/>
      <c r="BM585" s="854"/>
      <c r="BN585" s="854"/>
      <c r="BO585" s="854"/>
      <c r="BP585" s="854"/>
      <c r="BQ585" s="854"/>
      <c r="BR585" s="854"/>
      <c r="BS585" s="854"/>
      <c r="BT585" s="854"/>
      <c r="BU585" s="854"/>
      <c r="BV585" s="854"/>
      <c r="BW585" s="854"/>
      <c r="BX585" s="854"/>
      <c r="BY585" s="854"/>
      <c r="BZ585" s="854"/>
      <c r="CA585" s="571">
        <f>IF(OR(I585="",I585&lt;'Configs &amp; Procedures'!$L$29),0,IF(I585&gt;'Configs &amp; Procedures'!$L$30,1,IF(F585&gt;'Configs &amp; Procedures'!$L$31,0,1)))</f>
        <v>0</v>
      </c>
    </row>
    <row r="586" spans="2:79">
      <c r="B586" s="854"/>
      <c r="C586" s="854"/>
      <c r="D586" s="854"/>
      <c r="E586" s="854"/>
      <c r="F586" s="854"/>
      <c r="G586" s="854"/>
      <c r="H586" s="854"/>
      <c r="I586" s="854"/>
      <c r="J586" s="854"/>
      <c r="K586" s="854"/>
      <c r="L586" s="854"/>
      <c r="M586" s="854"/>
      <c r="N586" s="854"/>
      <c r="O586" s="854"/>
      <c r="P586" s="854"/>
      <c r="Q586" s="854"/>
      <c r="R586" s="854"/>
      <c r="S586" s="854"/>
      <c r="T586" s="854"/>
      <c r="U586" s="854"/>
      <c r="V586" s="854"/>
      <c r="W586" s="854"/>
      <c r="X586" s="854"/>
      <c r="Y586" s="854"/>
      <c r="Z586" s="854"/>
      <c r="AA586" s="854"/>
      <c r="AB586" s="854"/>
      <c r="AC586" s="854"/>
      <c r="AD586" s="854"/>
      <c r="AE586" s="854"/>
      <c r="AF586" s="854"/>
      <c r="AG586" s="854"/>
      <c r="AH586" s="854"/>
      <c r="AI586" s="854"/>
      <c r="AJ586" s="854"/>
      <c r="AK586" s="854"/>
      <c r="AL586" s="854"/>
      <c r="AM586" s="854"/>
      <c r="AN586" s="854"/>
      <c r="AO586" s="854"/>
      <c r="AP586" s="854"/>
      <c r="AQ586" s="854"/>
      <c r="AR586" s="854"/>
      <c r="AS586" s="854"/>
      <c r="AT586" s="854"/>
      <c r="AU586" s="854"/>
      <c r="AV586" s="854"/>
      <c r="AW586" s="854"/>
      <c r="AX586" s="854"/>
      <c r="AY586" s="854"/>
      <c r="AZ586" s="854"/>
      <c r="BA586" s="854"/>
      <c r="BB586" s="854"/>
      <c r="BC586" s="854"/>
      <c r="BD586" s="854"/>
      <c r="BE586" s="854"/>
      <c r="BF586" s="854"/>
      <c r="BG586" s="854"/>
      <c r="BH586" s="854"/>
      <c r="BI586" s="854"/>
      <c r="BJ586" s="854"/>
      <c r="BK586" s="854"/>
      <c r="BL586" s="854"/>
      <c r="BM586" s="854"/>
      <c r="BN586" s="854"/>
      <c r="BO586" s="854"/>
      <c r="BP586" s="854"/>
      <c r="BQ586" s="854"/>
      <c r="BR586" s="854"/>
      <c r="BS586" s="854"/>
      <c r="BT586" s="854"/>
      <c r="BU586" s="854"/>
      <c r="BV586" s="854"/>
      <c r="BW586" s="854"/>
      <c r="BX586" s="854"/>
      <c r="BY586" s="854"/>
      <c r="BZ586" s="854"/>
      <c r="CA586" s="571">
        <f>IF(OR(I586="",I586&lt;'Configs &amp; Procedures'!$L$29),0,IF(I586&gt;'Configs &amp; Procedures'!$L$30,1,IF(F586&gt;'Configs &amp; Procedures'!$L$31,0,1)))</f>
        <v>0</v>
      </c>
    </row>
    <row r="587" spans="2:79">
      <c r="B587" s="854"/>
      <c r="C587" s="854"/>
      <c r="D587" s="854"/>
      <c r="E587" s="854"/>
      <c r="F587" s="854"/>
      <c r="G587" s="854"/>
      <c r="H587" s="854"/>
      <c r="I587" s="854"/>
      <c r="J587" s="854"/>
      <c r="K587" s="854"/>
      <c r="L587" s="854"/>
      <c r="M587" s="854"/>
      <c r="N587" s="854"/>
      <c r="O587" s="854"/>
      <c r="P587" s="854"/>
      <c r="Q587" s="854"/>
      <c r="R587" s="854"/>
      <c r="S587" s="854"/>
      <c r="T587" s="854"/>
      <c r="U587" s="854"/>
      <c r="V587" s="854"/>
      <c r="W587" s="854"/>
      <c r="X587" s="854"/>
      <c r="Y587" s="854"/>
      <c r="Z587" s="854"/>
      <c r="AA587" s="854"/>
      <c r="AB587" s="854"/>
      <c r="AC587" s="854"/>
      <c r="AD587" s="854"/>
      <c r="AE587" s="854"/>
      <c r="AF587" s="854"/>
      <c r="AG587" s="854"/>
      <c r="AH587" s="854"/>
      <c r="AI587" s="854"/>
      <c r="AJ587" s="854"/>
      <c r="AK587" s="854"/>
      <c r="AL587" s="854"/>
      <c r="AM587" s="854"/>
      <c r="AN587" s="854"/>
      <c r="AO587" s="854"/>
      <c r="AP587" s="854"/>
      <c r="AQ587" s="854"/>
      <c r="AR587" s="854"/>
      <c r="AS587" s="854"/>
      <c r="AT587" s="854"/>
      <c r="AU587" s="854"/>
      <c r="AV587" s="854"/>
      <c r="AW587" s="854"/>
      <c r="AX587" s="854"/>
      <c r="AY587" s="854"/>
      <c r="AZ587" s="854"/>
      <c r="BA587" s="854"/>
      <c r="BB587" s="854"/>
      <c r="BC587" s="854"/>
      <c r="BD587" s="854"/>
      <c r="BE587" s="854"/>
      <c r="BF587" s="854"/>
      <c r="BG587" s="854"/>
      <c r="BH587" s="854"/>
      <c r="BI587" s="854"/>
      <c r="BJ587" s="854"/>
      <c r="BK587" s="854"/>
      <c r="BL587" s="854"/>
      <c r="BM587" s="854"/>
      <c r="BN587" s="854"/>
      <c r="BO587" s="854"/>
      <c r="BP587" s="854"/>
      <c r="BQ587" s="854"/>
      <c r="BR587" s="854"/>
      <c r="BS587" s="854"/>
      <c r="BT587" s="854"/>
      <c r="BU587" s="854"/>
      <c r="BV587" s="854"/>
      <c r="BW587" s="854"/>
      <c r="BX587" s="854"/>
      <c r="BY587" s="854"/>
      <c r="BZ587" s="854"/>
      <c r="CA587" s="571">
        <f>IF(OR(I587="",I587&lt;'Configs &amp; Procedures'!$L$29),0,IF(I587&gt;'Configs &amp; Procedures'!$L$30,1,IF(F587&gt;'Configs &amp; Procedures'!$L$31,0,1)))</f>
        <v>0</v>
      </c>
    </row>
    <row r="588" spans="2:79">
      <c r="B588" s="854"/>
      <c r="C588" s="854"/>
      <c r="D588" s="854"/>
      <c r="E588" s="854"/>
      <c r="F588" s="854"/>
      <c r="G588" s="854"/>
      <c r="H588" s="854"/>
      <c r="I588" s="854"/>
      <c r="J588" s="854"/>
      <c r="K588" s="854"/>
      <c r="L588" s="854"/>
      <c r="M588" s="854"/>
      <c r="N588" s="854"/>
      <c r="O588" s="854"/>
      <c r="P588" s="854"/>
      <c r="Q588" s="854"/>
      <c r="R588" s="854"/>
      <c r="S588" s="854"/>
      <c r="T588" s="854"/>
      <c r="U588" s="854"/>
      <c r="V588" s="854"/>
      <c r="W588" s="854"/>
      <c r="X588" s="854"/>
      <c r="Y588" s="854"/>
      <c r="Z588" s="854"/>
      <c r="AA588" s="854"/>
      <c r="AB588" s="854"/>
      <c r="AC588" s="854"/>
      <c r="AD588" s="854"/>
      <c r="AE588" s="854"/>
      <c r="AF588" s="854"/>
      <c r="AG588" s="854"/>
      <c r="AH588" s="854"/>
      <c r="AI588" s="854"/>
      <c r="AJ588" s="854"/>
      <c r="AK588" s="854"/>
      <c r="AL588" s="854"/>
      <c r="AM588" s="854"/>
      <c r="AN588" s="854"/>
      <c r="AO588" s="854"/>
      <c r="AP588" s="854"/>
      <c r="AQ588" s="854"/>
      <c r="AR588" s="854"/>
      <c r="AS588" s="854"/>
      <c r="AT588" s="854"/>
      <c r="AU588" s="854"/>
      <c r="AV588" s="854"/>
      <c r="AW588" s="854"/>
      <c r="AX588" s="854"/>
      <c r="AY588" s="854"/>
      <c r="AZ588" s="854"/>
      <c r="BA588" s="854"/>
      <c r="BB588" s="854"/>
      <c r="BC588" s="854"/>
      <c r="BD588" s="854"/>
      <c r="BE588" s="854"/>
      <c r="BF588" s="854"/>
      <c r="BG588" s="854"/>
      <c r="BH588" s="854"/>
      <c r="BI588" s="854"/>
      <c r="BJ588" s="854"/>
      <c r="BK588" s="854"/>
      <c r="BL588" s="854"/>
      <c r="BM588" s="854"/>
      <c r="BN588" s="854"/>
      <c r="BO588" s="854"/>
      <c r="BP588" s="854"/>
      <c r="BQ588" s="854"/>
      <c r="BR588" s="854"/>
      <c r="BS588" s="854"/>
      <c r="BT588" s="854"/>
      <c r="BU588" s="854"/>
      <c r="BV588" s="854"/>
      <c r="BW588" s="854"/>
      <c r="BX588" s="854"/>
      <c r="BY588" s="854"/>
      <c r="BZ588" s="854"/>
      <c r="CA588" s="571">
        <f>IF(OR(I588="",I588&lt;'Configs &amp; Procedures'!$L$29),0,IF(I588&gt;'Configs &amp; Procedures'!$L$30,1,IF(F588&gt;'Configs &amp; Procedures'!$L$31,0,1)))</f>
        <v>0</v>
      </c>
    </row>
    <row r="589" spans="2:79">
      <c r="B589" s="854"/>
      <c r="C589" s="854"/>
      <c r="D589" s="854"/>
      <c r="E589" s="854"/>
      <c r="F589" s="854"/>
      <c r="G589" s="854"/>
      <c r="H589" s="854"/>
      <c r="I589" s="854"/>
      <c r="J589" s="854"/>
      <c r="K589" s="854"/>
      <c r="L589" s="854"/>
      <c r="M589" s="854"/>
      <c r="N589" s="854"/>
      <c r="O589" s="854"/>
      <c r="P589" s="854"/>
      <c r="Q589" s="854"/>
      <c r="R589" s="854"/>
      <c r="S589" s="854"/>
      <c r="T589" s="854"/>
      <c r="U589" s="854"/>
      <c r="V589" s="854"/>
      <c r="W589" s="854"/>
      <c r="X589" s="854"/>
      <c r="Y589" s="854"/>
      <c r="Z589" s="854"/>
      <c r="AA589" s="854"/>
      <c r="AB589" s="854"/>
      <c r="AC589" s="854"/>
      <c r="AD589" s="854"/>
      <c r="AE589" s="854"/>
      <c r="AF589" s="854"/>
      <c r="AG589" s="854"/>
      <c r="AH589" s="854"/>
      <c r="AI589" s="854"/>
      <c r="AJ589" s="854"/>
      <c r="AK589" s="854"/>
      <c r="AL589" s="854"/>
      <c r="AM589" s="854"/>
      <c r="AN589" s="854"/>
      <c r="AO589" s="854"/>
      <c r="AP589" s="854"/>
      <c r="AQ589" s="854"/>
      <c r="AR589" s="854"/>
      <c r="AS589" s="854"/>
      <c r="AT589" s="854"/>
      <c r="AU589" s="854"/>
      <c r="AV589" s="854"/>
      <c r="AW589" s="854"/>
      <c r="AX589" s="854"/>
      <c r="AY589" s="854"/>
      <c r="AZ589" s="854"/>
      <c r="BA589" s="854"/>
      <c r="BB589" s="854"/>
      <c r="BC589" s="854"/>
      <c r="BD589" s="854"/>
      <c r="BE589" s="854"/>
      <c r="BF589" s="854"/>
      <c r="BG589" s="854"/>
      <c r="BH589" s="854"/>
      <c r="BI589" s="854"/>
      <c r="BJ589" s="854"/>
      <c r="BK589" s="854"/>
      <c r="BL589" s="854"/>
      <c r="BM589" s="854"/>
      <c r="BN589" s="854"/>
      <c r="BO589" s="854"/>
      <c r="BP589" s="854"/>
      <c r="BQ589" s="854"/>
      <c r="BR589" s="854"/>
      <c r="BS589" s="854"/>
      <c r="BT589" s="854"/>
      <c r="BU589" s="854"/>
      <c r="BV589" s="854"/>
      <c r="BW589" s="854"/>
      <c r="BX589" s="854"/>
      <c r="BY589" s="854"/>
      <c r="BZ589" s="854"/>
      <c r="CA589" s="571">
        <f>IF(OR(I589="",I589&lt;'Configs &amp; Procedures'!$L$29),0,IF(I589&gt;'Configs &amp; Procedures'!$L$30,1,IF(F589&gt;'Configs &amp; Procedures'!$L$31,0,1)))</f>
        <v>0</v>
      </c>
    </row>
    <row r="590" spans="2:79">
      <c r="B590" s="854"/>
      <c r="C590" s="854"/>
      <c r="D590" s="854"/>
      <c r="E590" s="854"/>
      <c r="F590" s="854"/>
      <c r="G590" s="854"/>
      <c r="H590" s="854"/>
      <c r="I590" s="854"/>
      <c r="J590" s="854"/>
      <c r="K590" s="854"/>
      <c r="L590" s="854"/>
      <c r="M590" s="854"/>
      <c r="N590" s="854"/>
      <c r="O590" s="854"/>
      <c r="P590" s="854"/>
      <c r="Q590" s="854"/>
      <c r="R590" s="854"/>
      <c r="S590" s="854"/>
      <c r="T590" s="854"/>
      <c r="U590" s="854"/>
      <c r="V590" s="854"/>
      <c r="W590" s="854"/>
      <c r="X590" s="854"/>
      <c r="Y590" s="854"/>
      <c r="Z590" s="854"/>
      <c r="AA590" s="854"/>
      <c r="AB590" s="854"/>
      <c r="AC590" s="854"/>
      <c r="AD590" s="854"/>
      <c r="AE590" s="854"/>
      <c r="AF590" s="854"/>
      <c r="AG590" s="854"/>
      <c r="AH590" s="854"/>
      <c r="AI590" s="854"/>
      <c r="AJ590" s="854"/>
      <c r="AK590" s="854"/>
      <c r="AL590" s="854"/>
      <c r="AM590" s="854"/>
      <c r="AN590" s="854"/>
      <c r="AO590" s="854"/>
      <c r="AP590" s="854"/>
      <c r="AQ590" s="854"/>
      <c r="AR590" s="854"/>
      <c r="AS590" s="854"/>
      <c r="AT590" s="854"/>
      <c r="AU590" s="854"/>
      <c r="AV590" s="854"/>
      <c r="AW590" s="854"/>
      <c r="AX590" s="854"/>
      <c r="AY590" s="854"/>
      <c r="AZ590" s="854"/>
      <c r="BA590" s="854"/>
      <c r="BB590" s="854"/>
      <c r="BC590" s="854"/>
      <c r="BD590" s="854"/>
      <c r="BE590" s="854"/>
      <c r="BF590" s="854"/>
      <c r="BG590" s="854"/>
      <c r="BH590" s="854"/>
      <c r="BI590" s="854"/>
      <c r="BJ590" s="854"/>
      <c r="BK590" s="854"/>
      <c r="BL590" s="854"/>
      <c r="BM590" s="854"/>
      <c r="BN590" s="854"/>
      <c r="BO590" s="854"/>
      <c r="BP590" s="854"/>
      <c r="BQ590" s="854"/>
      <c r="BR590" s="854"/>
      <c r="BS590" s="854"/>
      <c r="BT590" s="854"/>
      <c r="BU590" s="854"/>
      <c r="BV590" s="854"/>
      <c r="BW590" s="854"/>
      <c r="BX590" s="854"/>
      <c r="BY590" s="854"/>
      <c r="BZ590" s="854"/>
      <c r="CA590" s="571">
        <f>IF(OR(I590="",I590&lt;'Configs &amp; Procedures'!$L$29),0,IF(I590&gt;'Configs &amp; Procedures'!$L$30,1,IF(F590&gt;'Configs &amp; Procedures'!$L$31,0,1)))</f>
        <v>0</v>
      </c>
    </row>
    <row r="591" spans="2:79">
      <c r="B591" s="854"/>
      <c r="C591" s="854"/>
      <c r="D591" s="854"/>
      <c r="E591" s="854"/>
      <c r="F591" s="854"/>
      <c r="G591" s="854"/>
      <c r="H591" s="854"/>
      <c r="I591" s="854"/>
      <c r="J591" s="854"/>
      <c r="K591" s="854"/>
      <c r="L591" s="854"/>
      <c r="M591" s="854"/>
      <c r="N591" s="854"/>
      <c r="O591" s="854"/>
      <c r="P591" s="854"/>
      <c r="Q591" s="854"/>
      <c r="R591" s="854"/>
      <c r="S591" s="854"/>
      <c r="T591" s="854"/>
      <c r="U591" s="854"/>
      <c r="V591" s="854"/>
      <c r="W591" s="854"/>
      <c r="X591" s="854"/>
      <c r="Y591" s="854"/>
      <c r="Z591" s="854"/>
      <c r="AA591" s="854"/>
      <c r="AB591" s="854"/>
      <c r="AC591" s="854"/>
      <c r="AD591" s="854"/>
      <c r="AE591" s="854"/>
      <c r="AF591" s="854"/>
      <c r="AG591" s="854"/>
      <c r="AH591" s="854"/>
      <c r="AI591" s="854"/>
      <c r="AJ591" s="854"/>
      <c r="AK591" s="854"/>
      <c r="AL591" s="854"/>
      <c r="AM591" s="854"/>
      <c r="AN591" s="854"/>
      <c r="AO591" s="854"/>
      <c r="AP591" s="854"/>
      <c r="AQ591" s="854"/>
      <c r="AR591" s="854"/>
      <c r="AS591" s="854"/>
      <c r="AT591" s="854"/>
      <c r="AU591" s="854"/>
      <c r="AV591" s="854"/>
      <c r="AW591" s="854"/>
      <c r="AX591" s="854"/>
      <c r="AY591" s="854"/>
      <c r="AZ591" s="854"/>
      <c r="BA591" s="854"/>
      <c r="BB591" s="854"/>
      <c r="BC591" s="854"/>
      <c r="BD591" s="854"/>
      <c r="BE591" s="854"/>
      <c r="BF591" s="854"/>
      <c r="BG591" s="854"/>
      <c r="BH591" s="854"/>
      <c r="BI591" s="854"/>
      <c r="BJ591" s="854"/>
      <c r="BK591" s="854"/>
      <c r="BL591" s="854"/>
      <c r="BM591" s="854"/>
      <c r="BN591" s="854"/>
      <c r="BO591" s="854"/>
      <c r="BP591" s="854"/>
      <c r="BQ591" s="854"/>
      <c r="BR591" s="854"/>
      <c r="BS591" s="854"/>
      <c r="BT591" s="854"/>
      <c r="BU591" s="854"/>
      <c r="BV591" s="854"/>
      <c r="BW591" s="854"/>
      <c r="BX591" s="854"/>
      <c r="BY591" s="854"/>
      <c r="BZ591" s="854"/>
      <c r="CA591" s="571">
        <f>IF(OR(I591="",I591&lt;'Configs &amp; Procedures'!$L$29),0,IF(I591&gt;'Configs &amp; Procedures'!$L$30,1,IF(F591&gt;'Configs &amp; Procedures'!$L$31,0,1)))</f>
        <v>0</v>
      </c>
    </row>
    <row r="592" spans="2:79">
      <c r="B592" s="854"/>
      <c r="C592" s="854"/>
      <c r="D592" s="854"/>
      <c r="E592" s="854"/>
      <c r="F592" s="854"/>
      <c r="G592" s="854"/>
      <c r="H592" s="854"/>
      <c r="I592" s="854"/>
      <c r="J592" s="854"/>
      <c r="K592" s="854"/>
      <c r="L592" s="854"/>
      <c r="M592" s="854"/>
      <c r="N592" s="854"/>
      <c r="O592" s="854"/>
      <c r="P592" s="854"/>
      <c r="Q592" s="854"/>
      <c r="R592" s="854"/>
      <c r="S592" s="854"/>
      <c r="T592" s="854"/>
      <c r="U592" s="854"/>
      <c r="V592" s="854"/>
      <c r="W592" s="854"/>
      <c r="X592" s="854"/>
      <c r="Y592" s="854"/>
      <c r="Z592" s="854"/>
      <c r="AA592" s="854"/>
      <c r="AB592" s="854"/>
      <c r="AC592" s="854"/>
      <c r="AD592" s="854"/>
      <c r="AE592" s="854"/>
      <c r="AF592" s="854"/>
      <c r="AG592" s="854"/>
      <c r="AH592" s="854"/>
      <c r="AI592" s="854"/>
      <c r="AJ592" s="854"/>
      <c r="AK592" s="854"/>
      <c r="AL592" s="854"/>
      <c r="AM592" s="854"/>
      <c r="AN592" s="854"/>
      <c r="AO592" s="854"/>
      <c r="AP592" s="854"/>
      <c r="AQ592" s="854"/>
      <c r="AR592" s="854"/>
      <c r="AS592" s="854"/>
      <c r="AT592" s="854"/>
      <c r="AU592" s="854"/>
      <c r="AV592" s="854"/>
      <c r="AW592" s="854"/>
      <c r="AX592" s="854"/>
      <c r="AY592" s="854"/>
      <c r="AZ592" s="854"/>
      <c r="BA592" s="854"/>
      <c r="BB592" s="854"/>
      <c r="BC592" s="854"/>
      <c r="BD592" s="854"/>
      <c r="BE592" s="854"/>
      <c r="BF592" s="854"/>
      <c r="BG592" s="854"/>
      <c r="BH592" s="854"/>
      <c r="BI592" s="854"/>
      <c r="BJ592" s="854"/>
      <c r="BK592" s="854"/>
      <c r="BL592" s="854"/>
      <c r="BM592" s="854"/>
      <c r="BN592" s="854"/>
      <c r="BO592" s="854"/>
      <c r="BP592" s="854"/>
      <c r="BQ592" s="854"/>
      <c r="BR592" s="854"/>
      <c r="BS592" s="854"/>
      <c r="BT592" s="854"/>
      <c r="BU592" s="854"/>
      <c r="BV592" s="854"/>
      <c r="BW592" s="854"/>
      <c r="BX592" s="854"/>
      <c r="BY592" s="854"/>
      <c r="BZ592" s="854"/>
      <c r="CA592" s="571">
        <f>IF(OR(I592="",I592&lt;'Configs &amp; Procedures'!$L$29),0,IF(I592&gt;'Configs &amp; Procedures'!$L$30,1,IF(F592&gt;'Configs &amp; Procedures'!$L$31,0,1)))</f>
        <v>0</v>
      </c>
    </row>
    <row r="593" spans="2:79">
      <c r="B593" s="854"/>
      <c r="C593" s="854"/>
      <c r="D593" s="854"/>
      <c r="E593" s="854"/>
      <c r="F593" s="854"/>
      <c r="G593" s="854"/>
      <c r="H593" s="854"/>
      <c r="I593" s="854"/>
      <c r="J593" s="854"/>
      <c r="K593" s="854"/>
      <c r="L593" s="854"/>
      <c r="M593" s="854"/>
      <c r="N593" s="854"/>
      <c r="O593" s="854"/>
      <c r="P593" s="854"/>
      <c r="Q593" s="854"/>
      <c r="R593" s="854"/>
      <c r="S593" s="854"/>
      <c r="T593" s="854"/>
      <c r="U593" s="854"/>
      <c r="V593" s="854"/>
      <c r="W593" s="854"/>
      <c r="X593" s="854"/>
      <c r="Y593" s="854"/>
      <c r="Z593" s="854"/>
      <c r="AA593" s="854"/>
      <c r="AB593" s="854"/>
      <c r="AC593" s="854"/>
      <c r="AD593" s="854"/>
      <c r="AE593" s="854"/>
      <c r="AF593" s="854"/>
      <c r="AG593" s="854"/>
      <c r="AH593" s="854"/>
      <c r="AI593" s="854"/>
      <c r="AJ593" s="854"/>
      <c r="AK593" s="854"/>
      <c r="AL593" s="854"/>
      <c r="AM593" s="854"/>
      <c r="AN593" s="854"/>
      <c r="AO593" s="854"/>
      <c r="AP593" s="854"/>
      <c r="AQ593" s="854"/>
      <c r="AR593" s="854"/>
      <c r="AS593" s="854"/>
      <c r="AT593" s="854"/>
      <c r="AU593" s="854"/>
      <c r="AV593" s="854"/>
      <c r="AW593" s="854"/>
      <c r="AX593" s="854"/>
      <c r="AY593" s="854"/>
      <c r="AZ593" s="854"/>
      <c r="BA593" s="854"/>
      <c r="BB593" s="854"/>
      <c r="BC593" s="854"/>
      <c r="BD593" s="854"/>
      <c r="BE593" s="854"/>
      <c r="BF593" s="854"/>
      <c r="BG593" s="854"/>
      <c r="BH593" s="854"/>
      <c r="BI593" s="854"/>
      <c r="BJ593" s="854"/>
      <c r="BK593" s="854"/>
      <c r="BL593" s="854"/>
      <c r="BM593" s="854"/>
      <c r="BN593" s="854"/>
      <c r="BO593" s="854"/>
      <c r="BP593" s="854"/>
      <c r="BQ593" s="854"/>
      <c r="BR593" s="854"/>
      <c r="BS593" s="854"/>
      <c r="BT593" s="854"/>
      <c r="BU593" s="854"/>
      <c r="BV593" s="854"/>
      <c r="BW593" s="854"/>
      <c r="BX593" s="854"/>
      <c r="BY593" s="854"/>
      <c r="BZ593" s="854"/>
      <c r="CA593" s="571">
        <f>IF(OR(I593="",I593&lt;'Configs &amp; Procedures'!$L$29),0,IF(I593&gt;'Configs &amp; Procedures'!$L$30,1,IF(F593&gt;'Configs &amp; Procedures'!$L$31,0,1)))</f>
        <v>0</v>
      </c>
    </row>
    <row r="594" spans="2:79">
      <c r="B594" s="854"/>
      <c r="C594" s="854"/>
      <c r="D594" s="854"/>
      <c r="E594" s="854"/>
      <c r="F594" s="854"/>
      <c r="G594" s="854"/>
      <c r="H594" s="854"/>
      <c r="I594" s="854"/>
      <c r="J594" s="854"/>
      <c r="K594" s="854"/>
      <c r="L594" s="854"/>
      <c r="M594" s="854"/>
      <c r="N594" s="854"/>
      <c r="O594" s="854"/>
      <c r="P594" s="854"/>
      <c r="Q594" s="854"/>
      <c r="R594" s="854"/>
      <c r="S594" s="854"/>
      <c r="T594" s="854"/>
      <c r="U594" s="854"/>
      <c r="V594" s="854"/>
      <c r="W594" s="854"/>
      <c r="X594" s="854"/>
      <c r="Y594" s="854"/>
      <c r="Z594" s="854"/>
      <c r="AA594" s="854"/>
      <c r="AB594" s="854"/>
      <c r="AC594" s="854"/>
      <c r="AD594" s="854"/>
      <c r="AE594" s="854"/>
      <c r="AF594" s="854"/>
      <c r="AG594" s="854"/>
      <c r="AH594" s="854"/>
      <c r="AI594" s="854"/>
      <c r="AJ594" s="854"/>
      <c r="AK594" s="854"/>
      <c r="AL594" s="854"/>
      <c r="AM594" s="854"/>
      <c r="AN594" s="854"/>
      <c r="AO594" s="854"/>
      <c r="AP594" s="854"/>
      <c r="AQ594" s="854"/>
      <c r="AR594" s="854"/>
      <c r="AS594" s="854"/>
      <c r="AT594" s="854"/>
      <c r="AU594" s="854"/>
      <c r="AV594" s="854"/>
      <c r="AW594" s="854"/>
      <c r="AX594" s="854"/>
      <c r="AY594" s="854"/>
      <c r="AZ594" s="854"/>
      <c r="BA594" s="854"/>
      <c r="BB594" s="854"/>
      <c r="BC594" s="854"/>
      <c r="BD594" s="854"/>
      <c r="BE594" s="854"/>
      <c r="BF594" s="854"/>
      <c r="BG594" s="854"/>
      <c r="BH594" s="854"/>
      <c r="BI594" s="854"/>
      <c r="BJ594" s="854"/>
      <c r="BK594" s="854"/>
      <c r="BL594" s="854"/>
      <c r="BM594" s="854"/>
      <c r="BN594" s="854"/>
      <c r="BO594" s="854"/>
      <c r="BP594" s="854"/>
      <c r="BQ594" s="854"/>
      <c r="BR594" s="854"/>
      <c r="BS594" s="854"/>
      <c r="BT594" s="854"/>
      <c r="BU594" s="854"/>
      <c r="BV594" s="854"/>
      <c r="BW594" s="854"/>
      <c r="BX594" s="854"/>
      <c r="BY594" s="854"/>
      <c r="BZ594" s="854"/>
      <c r="CA594" s="571">
        <f>IF(OR(I594="",I594&lt;'Configs &amp; Procedures'!$L$29),0,IF(I594&gt;'Configs &amp; Procedures'!$L$30,1,IF(F594&gt;'Configs &amp; Procedures'!$L$31,0,1)))</f>
        <v>0</v>
      </c>
    </row>
    <row r="595" spans="2:79">
      <c r="B595" s="854"/>
      <c r="C595" s="854"/>
      <c r="D595" s="854"/>
      <c r="E595" s="854"/>
      <c r="F595" s="854"/>
      <c r="G595" s="854"/>
      <c r="H595" s="854"/>
      <c r="I595" s="854"/>
      <c r="J595" s="854"/>
      <c r="K595" s="854"/>
      <c r="L595" s="854"/>
      <c r="M595" s="854"/>
      <c r="N595" s="854"/>
      <c r="O595" s="854"/>
      <c r="P595" s="854"/>
      <c r="Q595" s="854"/>
      <c r="R595" s="854"/>
      <c r="S595" s="854"/>
      <c r="T595" s="854"/>
      <c r="U595" s="854"/>
      <c r="V595" s="854"/>
      <c r="W595" s="854"/>
      <c r="X595" s="854"/>
      <c r="Y595" s="854"/>
      <c r="Z595" s="854"/>
      <c r="AA595" s="854"/>
      <c r="AB595" s="854"/>
      <c r="AC595" s="854"/>
      <c r="AD595" s="854"/>
      <c r="AE595" s="854"/>
      <c r="AF595" s="854"/>
      <c r="AG595" s="854"/>
      <c r="AH595" s="854"/>
      <c r="AI595" s="854"/>
      <c r="AJ595" s="854"/>
      <c r="AK595" s="854"/>
      <c r="AL595" s="854"/>
      <c r="AM595" s="854"/>
      <c r="AN595" s="854"/>
      <c r="AO595" s="854"/>
      <c r="AP595" s="854"/>
      <c r="AQ595" s="854"/>
      <c r="AR595" s="854"/>
      <c r="AS595" s="854"/>
      <c r="AT595" s="854"/>
      <c r="AU595" s="854"/>
      <c r="AV595" s="854"/>
      <c r="AW595" s="854"/>
      <c r="AX595" s="854"/>
      <c r="AY595" s="854"/>
      <c r="AZ595" s="854"/>
      <c r="BA595" s="854"/>
      <c r="BB595" s="854"/>
      <c r="BC595" s="854"/>
      <c r="BD595" s="854"/>
      <c r="BE595" s="854"/>
      <c r="BF595" s="854"/>
      <c r="BG595" s="854"/>
      <c r="BH595" s="854"/>
      <c r="BI595" s="854"/>
      <c r="BJ595" s="854"/>
      <c r="BK595" s="854"/>
      <c r="BL595" s="854"/>
      <c r="BM595" s="854"/>
      <c r="BN595" s="854"/>
      <c r="BO595" s="854"/>
      <c r="BP595" s="854"/>
      <c r="BQ595" s="854"/>
      <c r="BR595" s="854"/>
      <c r="BS595" s="854"/>
      <c r="BT595" s="854"/>
      <c r="BU595" s="854"/>
      <c r="BV595" s="854"/>
      <c r="BW595" s="854"/>
      <c r="BX595" s="854"/>
      <c r="BY595" s="854"/>
      <c r="BZ595" s="854"/>
      <c r="CA595" s="571">
        <f>IF(OR(I595="",I595&lt;'Configs &amp; Procedures'!$L$29),0,IF(I595&gt;'Configs &amp; Procedures'!$L$30,1,IF(F595&gt;'Configs &amp; Procedures'!$L$31,0,1)))</f>
        <v>0</v>
      </c>
    </row>
    <row r="596" spans="2:79">
      <c r="B596" s="854"/>
      <c r="C596" s="854"/>
      <c r="D596" s="854"/>
      <c r="E596" s="854"/>
      <c r="F596" s="854"/>
      <c r="G596" s="854"/>
      <c r="H596" s="854"/>
      <c r="I596" s="854"/>
      <c r="J596" s="854"/>
      <c r="K596" s="854"/>
      <c r="L596" s="854"/>
      <c r="M596" s="854"/>
      <c r="N596" s="854"/>
      <c r="O596" s="854"/>
      <c r="P596" s="854"/>
      <c r="Q596" s="854"/>
      <c r="R596" s="854"/>
      <c r="S596" s="854"/>
      <c r="T596" s="854"/>
      <c r="U596" s="854"/>
      <c r="V596" s="854"/>
      <c r="W596" s="854"/>
      <c r="X596" s="854"/>
      <c r="Y596" s="854"/>
      <c r="Z596" s="854"/>
      <c r="AA596" s="854"/>
      <c r="AB596" s="854"/>
      <c r="AC596" s="854"/>
      <c r="AD596" s="854"/>
      <c r="AE596" s="854"/>
      <c r="AF596" s="854"/>
      <c r="AG596" s="854"/>
      <c r="AH596" s="854"/>
      <c r="AI596" s="854"/>
      <c r="AJ596" s="854"/>
      <c r="AK596" s="854"/>
      <c r="AL596" s="854"/>
      <c r="AM596" s="854"/>
      <c r="AN596" s="854"/>
      <c r="AO596" s="854"/>
      <c r="AP596" s="854"/>
      <c r="AQ596" s="854"/>
      <c r="AR596" s="854"/>
      <c r="AS596" s="854"/>
      <c r="AT596" s="854"/>
      <c r="AU596" s="854"/>
      <c r="AV596" s="854"/>
      <c r="AW596" s="854"/>
      <c r="AX596" s="854"/>
      <c r="AY596" s="854"/>
      <c r="AZ596" s="854"/>
      <c r="BA596" s="854"/>
      <c r="BB596" s="854"/>
      <c r="BC596" s="854"/>
      <c r="BD596" s="854"/>
      <c r="BE596" s="854"/>
      <c r="BF596" s="854"/>
      <c r="BG596" s="854"/>
      <c r="BH596" s="854"/>
      <c r="BI596" s="854"/>
      <c r="BJ596" s="854"/>
      <c r="BK596" s="854"/>
      <c r="BL596" s="854"/>
      <c r="BM596" s="854"/>
      <c r="BN596" s="854"/>
      <c r="BO596" s="854"/>
      <c r="BP596" s="854"/>
      <c r="BQ596" s="854"/>
      <c r="BR596" s="854"/>
      <c r="BS596" s="854"/>
      <c r="BT596" s="854"/>
      <c r="BU596" s="854"/>
      <c r="BV596" s="854"/>
      <c r="BW596" s="854"/>
      <c r="BX596" s="854"/>
      <c r="BY596" s="854"/>
      <c r="BZ596" s="854"/>
      <c r="CA596" s="571">
        <f>IF(OR(I596="",I596&lt;'Configs &amp; Procedures'!$L$29),0,IF(I596&gt;'Configs &amp; Procedures'!$L$30,1,IF(F596&gt;'Configs &amp; Procedures'!$L$31,0,1)))</f>
        <v>0</v>
      </c>
    </row>
    <row r="597" spans="2:79">
      <c r="B597" s="854"/>
      <c r="C597" s="854"/>
      <c r="D597" s="854"/>
      <c r="E597" s="854"/>
      <c r="F597" s="854"/>
      <c r="G597" s="854"/>
      <c r="H597" s="854"/>
      <c r="I597" s="854"/>
      <c r="J597" s="854"/>
      <c r="K597" s="854"/>
      <c r="L597" s="854"/>
      <c r="M597" s="854"/>
      <c r="N597" s="854"/>
      <c r="O597" s="854"/>
      <c r="P597" s="854"/>
      <c r="Q597" s="854"/>
      <c r="R597" s="854"/>
      <c r="S597" s="854"/>
      <c r="T597" s="854"/>
      <c r="U597" s="854"/>
      <c r="V597" s="854"/>
      <c r="W597" s="854"/>
      <c r="X597" s="854"/>
      <c r="Y597" s="854"/>
      <c r="Z597" s="854"/>
      <c r="AA597" s="854"/>
      <c r="AB597" s="854"/>
      <c r="AC597" s="854"/>
      <c r="AD597" s="854"/>
      <c r="AE597" s="854"/>
      <c r="AF597" s="854"/>
      <c r="AG597" s="854"/>
      <c r="AH597" s="854"/>
      <c r="AI597" s="854"/>
      <c r="AJ597" s="854"/>
      <c r="AK597" s="854"/>
      <c r="AL597" s="854"/>
      <c r="AM597" s="854"/>
      <c r="AN597" s="854"/>
      <c r="AO597" s="854"/>
      <c r="AP597" s="854"/>
      <c r="AQ597" s="854"/>
      <c r="AR597" s="854"/>
      <c r="AS597" s="854"/>
      <c r="AT597" s="854"/>
      <c r="AU597" s="854"/>
      <c r="AV597" s="854"/>
      <c r="AW597" s="854"/>
      <c r="AX597" s="854"/>
      <c r="AY597" s="854"/>
      <c r="AZ597" s="854"/>
      <c r="BA597" s="854"/>
      <c r="BB597" s="854"/>
      <c r="BC597" s="854"/>
      <c r="BD597" s="854"/>
      <c r="BE597" s="854"/>
      <c r="BF597" s="854"/>
      <c r="BG597" s="854"/>
      <c r="BH597" s="854"/>
      <c r="BI597" s="854"/>
      <c r="BJ597" s="854"/>
      <c r="BK597" s="854"/>
      <c r="BL597" s="854"/>
      <c r="BM597" s="854"/>
      <c r="BN597" s="854"/>
      <c r="BO597" s="854"/>
      <c r="BP597" s="854"/>
      <c r="BQ597" s="854"/>
      <c r="BR597" s="854"/>
      <c r="BS597" s="854"/>
      <c r="BT597" s="854"/>
      <c r="BU597" s="854"/>
      <c r="BV597" s="854"/>
      <c r="BW597" s="854"/>
      <c r="BX597" s="854"/>
      <c r="BY597" s="854"/>
      <c r="BZ597" s="854"/>
      <c r="CA597" s="571">
        <f>IF(OR(I597="",I597&lt;'Configs &amp; Procedures'!$L$29),0,IF(I597&gt;'Configs &amp; Procedures'!$L$30,1,IF(F597&gt;'Configs &amp; Procedures'!$L$31,0,1)))</f>
        <v>0</v>
      </c>
    </row>
    <row r="598" spans="2:79">
      <c r="B598" s="854"/>
      <c r="C598" s="854"/>
      <c r="D598" s="854"/>
      <c r="E598" s="854"/>
      <c r="F598" s="854"/>
      <c r="G598" s="854"/>
      <c r="H598" s="854"/>
      <c r="I598" s="854"/>
      <c r="J598" s="854"/>
      <c r="K598" s="854"/>
      <c r="L598" s="854"/>
      <c r="M598" s="854"/>
      <c r="N598" s="854"/>
      <c r="O598" s="854"/>
      <c r="P598" s="854"/>
      <c r="Q598" s="854"/>
      <c r="R598" s="854"/>
      <c r="S598" s="854"/>
      <c r="T598" s="854"/>
      <c r="U598" s="854"/>
      <c r="V598" s="854"/>
      <c r="W598" s="854"/>
      <c r="X598" s="854"/>
      <c r="Y598" s="854"/>
      <c r="Z598" s="854"/>
      <c r="AA598" s="854"/>
      <c r="AB598" s="854"/>
      <c r="AC598" s="854"/>
      <c r="AD598" s="854"/>
      <c r="AE598" s="854"/>
      <c r="AF598" s="854"/>
      <c r="AG598" s="854"/>
      <c r="AH598" s="854"/>
      <c r="AI598" s="854"/>
      <c r="AJ598" s="854"/>
      <c r="AK598" s="854"/>
      <c r="AL598" s="854"/>
      <c r="AM598" s="854"/>
      <c r="AN598" s="854"/>
      <c r="AO598" s="854"/>
      <c r="AP598" s="854"/>
      <c r="AQ598" s="854"/>
      <c r="AR598" s="854"/>
      <c r="AS598" s="854"/>
      <c r="AT598" s="854"/>
      <c r="AU598" s="854"/>
      <c r="AV598" s="854"/>
      <c r="AW598" s="854"/>
      <c r="AX598" s="854"/>
      <c r="AY598" s="854"/>
      <c r="AZ598" s="854"/>
      <c r="BA598" s="854"/>
      <c r="BB598" s="854"/>
      <c r="BC598" s="854"/>
      <c r="BD598" s="854"/>
      <c r="BE598" s="854"/>
      <c r="BF598" s="854"/>
      <c r="BG598" s="854"/>
      <c r="BH598" s="854"/>
      <c r="BI598" s="854"/>
      <c r="BJ598" s="854"/>
      <c r="BK598" s="854"/>
      <c r="BL598" s="854"/>
      <c r="BM598" s="854"/>
      <c r="BN598" s="854"/>
      <c r="BO598" s="854"/>
      <c r="BP598" s="854"/>
      <c r="BQ598" s="854"/>
      <c r="BR598" s="854"/>
      <c r="BS598" s="854"/>
      <c r="BT598" s="854"/>
      <c r="BU598" s="854"/>
      <c r="BV598" s="854"/>
      <c r="BW598" s="854"/>
      <c r="BX598" s="854"/>
      <c r="BY598" s="854"/>
      <c r="BZ598" s="854"/>
      <c r="CA598" s="571">
        <f>IF(OR(I598="",I598&lt;'Configs &amp; Procedures'!$L$29),0,IF(I598&gt;'Configs &amp; Procedures'!$L$30,1,IF(F598&gt;'Configs &amp; Procedures'!$L$31,0,1)))</f>
        <v>0</v>
      </c>
    </row>
    <row r="599" spans="2:79">
      <c r="B599" s="854"/>
      <c r="C599" s="854"/>
      <c r="D599" s="854"/>
      <c r="E599" s="854"/>
      <c r="F599" s="854"/>
      <c r="G599" s="854"/>
      <c r="H599" s="854"/>
      <c r="I599" s="854"/>
      <c r="J599" s="854"/>
      <c r="K599" s="854"/>
      <c r="L599" s="854"/>
      <c r="M599" s="854"/>
      <c r="N599" s="854"/>
      <c r="O599" s="854"/>
      <c r="P599" s="854"/>
      <c r="Q599" s="854"/>
      <c r="R599" s="854"/>
      <c r="S599" s="854"/>
      <c r="T599" s="854"/>
      <c r="U599" s="854"/>
      <c r="V599" s="854"/>
      <c r="W599" s="854"/>
      <c r="X599" s="854"/>
      <c r="Y599" s="854"/>
      <c r="Z599" s="854"/>
      <c r="AA599" s="854"/>
      <c r="AB599" s="854"/>
      <c r="AC599" s="854"/>
      <c r="AD599" s="854"/>
      <c r="AE599" s="854"/>
      <c r="AF599" s="854"/>
      <c r="AG599" s="854"/>
      <c r="AH599" s="854"/>
      <c r="AI599" s="854"/>
      <c r="AJ599" s="854"/>
      <c r="AK599" s="854"/>
      <c r="AL599" s="854"/>
      <c r="AM599" s="854"/>
      <c r="AN599" s="854"/>
      <c r="AO599" s="854"/>
      <c r="AP599" s="854"/>
      <c r="AQ599" s="854"/>
      <c r="AR599" s="854"/>
      <c r="AS599" s="854"/>
      <c r="AT599" s="854"/>
      <c r="AU599" s="854"/>
      <c r="AV599" s="854"/>
      <c r="AW599" s="854"/>
      <c r="AX599" s="854"/>
      <c r="AY599" s="854"/>
      <c r="AZ599" s="854"/>
      <c r="BA599" s="854"/>
      <c r="BB599" s="854"/>
      <c r="BC599" s="854"/>
      <c r="BD599" s="854"/>
      <c r="BE599" s="854"/>
      <c r="BF599" s="854"/>
      <c r="BG599" s="854"/>
      <c r="BH599" s="854"/>
      <c r="BI599" s="854"/>
      <c r="BJ599" s="854"/>
      <c r="BK599" s="854"/>
      <c r="BL599" s="854"/>
      <c r="BM599" s="854"/>
      <c r="BN599" s="854"/>
      <c r="BO599" s="854"/>
      <c r="BP599" s="854"/>
      <c r="BQ599" s="854"/>
      <c r="BR599" s="854"/>
      <c r="BS599" s="854"/>
      <c r="BT599" s="854"/>
      <c r="BU599" s="854"/>
      <c r="BV599" s="854"/>
      <c r="BW599" s="854"/>
      <c r="BX599" s="854"/>
      <c r="BY599" s="854"/>
      <c r="BZ599" s="854"/>
      <c r="CA599" s="571">
        <f>IF(OR(I599="",I599&lt;'Configs &amp; Procedures'!$L$29),0,IF(I599&gt;'Configs &amp; Procedures'!$L$30,1,IF(F599&gt;'Configs &amp; Procedures'!$L$31,0,1)))</f>
        <v>0</v>
      </c>
    </row>
    <row r="600" spans="2:79">
      <c r="B600" s="854"/>
      <c r="C600" s="854"/>
      <c r="D600" s="854"/>
      <c r="E600" s="854"/>
      <c r="F600" s="854"/>
      <c r="G600" s="854"/>
      <c r="H600" s="854"/>
      <c r="I600" s="854"/>
      <c r="J600" s="854"/>
      <c r="K600" s="854"/>
      <c r="L600" s="854"/>
      <c r="M600" s="854"/>
      <c r="N600" s="854"/>
      <c r="O600" s="854"/>
      <c r="P600" s="854"/>
      <c r="Q600" s="854"/>
      <c r="R600" s="854"/>
      <c r="S600" s="854"/>
      <c r="T600" s="854"/>
      <c r="U600" s="854"/>
      <c r="V600" s="854"/>
      <c r="W600" s="854"/>
      <c r="X600" s="854"/>
      <c r="Y600" s="854"/>
      <c r="Z600" s="854"/>
      <c r="AA600" s="854"/>
      <c r="AB600" s="854"/>
      <c r="AC600" s="854"/>
      <c r="AD600" s="854"/>
      <c r="AE600" s="854"/>
      <c r="AF600" s="854"/>
      <c r="AG600" s="854"/>
      <c r="AH600" s="854"/>
      <c r="AI600" s="854"/>
      <c r="AJ600" s="854"/>
      <c r="AK600" s="854"/>
      <c r="AL600" s="854"/>
      <c r="AM600" s="854"/>
      <c r="AN600" s="854"/>
      <c r="AO600" s="854"/>
      <c r="AP600" s="854"/>
      <c r="AQ600" s="854"/>
      <c r="AR600" s="854"/>
      <c r="AS600" s="854"/>
      <c r="AT600" s="854"/>
      <c r="AU600" s="854"/>
      <c r="AV600" s="854"/>
      <c r="AW600" s="854"/>
      <c r="AX600" s="854"/>
      <c r="AY600" s="854"/>
      <c r="AZ600" s="854"/>
      <c r="BA600" s="854"/>
      <c r="BB600" s="854"/>
      <c r="BC600" s="854"/>
      <c r="BD600" s="854"/>
      <c r="BE600" s="854"/>
      <c r="BF600" s="854"/>
      <c r="BG600" s="854"/>
      <c r="BH600" s="854"/>
      <c r="BI600" s="854"/>
      <c r="BJ600" s="854"/>
      <c r="BK600" s="854"/>
      <c r="BL600" s="854"/>
      <c r="BM600" s="854"/>
      <c r="BN600" s="854"/>
      <c r="BO600" s="854"/>
      <c r="BP600" s="854"/>
      <c r="BQ600" s="854"/>
      <c r="BR600" s="854"/>
      <c r="BS600" s="854"/>
      <c r="BT600" s="854"/>
      <c r="BU600" s="854"/>
      <c r="BV600" s="854"/>
      <c r="BW600" s="854"/>
      <c r="BX600" s="854"/>
      <c r="BY600" s="854"/>
      <c r="BZ600" s="854"/>
      <c r="CA600" s="571">
        <f>IF(OR(I600="",I600&lt;'Configs &amp; Procedures'!$L$29),0,IF(I600&gt;'Configs &amp; Procedures'!$L$30,1,IF(F600&gt;'Configs &amp; Procedures'!$L$31,0,1)))</f>
        <v>0</v>
      </c>
    </row>
    <row r="601" spans="2:79">
      <c r="B601" s="854"/>
      <c r="C601" s="854"/>
      <c r="D601" s="854"/>
      <c r="E601" s="854"/>
      <c r="F601" s="854"/>
      <c r="G601" s="854"/>
      <c r="H601" s="854"/>
      <c r="I601" s="854"/>
      <c r="J601" s="854"/>
      <c r="K601" s="854"/>
      <c r="L601" s="854"/>
      <c r="M601" s="854"/>
      <c r="N601" s="854"/>
      <c r="O601" s="854"/>
      <c r="P601" s="854"/>
      <c r="Q601" s="854"/>
      <c r="R601" s="854"/>
      <c r="S601" s="854"/>
      <c r="T601" s="854"/>
      <c r="U601" s="854"/>
      <c r="V601" s="854"/>
      <c r="W601" s="854"/>
      <c r="X601" s="854"/>
      <c r="Y601" s="854"/>
      <c r="Z601" s="854"/>
      <c r="AA601" s="854"/>
      <c r="AB601" s="854"/>
      <c r="AC601" s="854"/>
      <c r="AD601" s="854"/>
      <c r="AE601" s="854"/>
      <c r="AF601" s="854"/>
      <c r="AG601" s="854"/>
      <c r="AH601" s="854"/>
      <c r="AI601" s="854"/>
      <c r="AJ601" s="854"/>
      <c r="AK601" s="854"/>
      <c r="AL601" s="854"/>
      <c r="AM601" s="854"/>
      <c r="AN601" s="854"/>
      <c r="AO601" s="854"/>
      <c r="AP601" s="854"/>
      <c r="AQ601" s="854"/>
      <c r="AR601" s="854"/>
      <c r="AS601" s="854"/>
      <c r="AT601" s="854"/>
      <c r="AU601" s="854"/>
      <c r="AV601" s="854"/>
      <c r="AW601" s="854"/>
      <c r="AX601" s="854"/>
      <c r="AY601" s="854"/>
      <c r="AZ601" s="854"/>
      <c r="BA601" s="854"/>
      <c r="BB601" s="854"/>
      <c r="BC601" s="854"/>
      <c r="BD601" s="854"/>
      <c r="BE601" s="854"/>
      <c r="BF601" s="854"/>
      <c r="BG601" s="854"/>
      <c r="BH601" s="854"/>
      <c r="BI601" s="854"/>
      <c r="BJ601" s="854"/>
      <c r="BK601" s="854"/>
      <c r="BL601" s="854"/>
      <c r="BM601" s="854"/>
      <c r="BN601" s="854"/>
      <c r="BO601" s="854"/>
      <c r="BP601" s="854"/>
      <c r="BQ601" s="854"/>
      <c r="BR601" s="854"/>
      <c r="BS601" s="854"/>
      <c r="BT601" s="854"/>
      <c r="BU601" s="854"/>
      <c r="BV601" s="854"/>
      <c r="BW601" s="854"/>
      <c r="BX601" s="854"/>
      <c r="BY601" s="854"/>
      <c r="BZ601" s="854"/>
      <c r="CA601" s="571">
        <f>IF(OR(I601="",I601&lt;'Configs &amp; Procedures'!$L$29),0,IF(I601&gt;'Configs &amp; Procedures'!$L$30,1,IF(F601&gt;'Configs &amp; Procedures'!$L$31,0,1)))</f>
        <v>0</v>
      </c>
    </row>
    <row r="602" spans="2:79">
      <c r="B602" s="854"/>
      <c r="C602" s="854"/>
      <c r="D602" s="854"/>
      <c r="E602" s="854"/>
      <c r="F602" s="854"/>
      <c r="G602" s="854"/>
      <c r="H602" s="854"/>
      <c r="I602" s="854"/>
      <c r="J602" s="854"/>
      <c r="K602" s="854"/>
      <c r="L602" s="854"/>
      <c r="M602" s="854"/>
      <c r="N602" s="854"/>
      <c r="O602" s="854"/>
      <c r="P602" s="854"/>
      <c r="Q602" s="854"/>
      <c r="R602" s="854"/>
      <c r="S602" s="854"/>
      <c r="T602" s="854"/>
      <c r="U602" s="854"/>
      <c r="V602" s="854"/>
      <c r="W602" s="854"/>
      <c r="X602" s="854"/>
      <c r="Y602" s="854"/>
      <c r="Z602" s="854"/>
      <c r="AA602" s="854"/>
      <c r="AB602" s="854"/>
      <c r="AC602" s="854"/>
      <c r="AD602" s="854"/>
      <c r="AE602" s="854"/>
      <c r="AF602" s="854"/>
      <c r="AG602" s="854"/>
      <c r="AH602" s="854"/>
      <c r="AI602" s="854"/>
      <c r="AJ602" s="854"/>
      <c r="AK602" s="854"/>
      <c r="AL602" s="854"/>
      <c r="AM602" s="854"/>
      <c r="AN602" s="854"/>
      <c r="AO602" s="854"/>
      <c r="AP602" s="854"/>
      <c r="AQ602" s="854"/>
      <c r="AR602" s="854"/>
      <c r="AS602" s="854"/>
      <c r="AT602" s="854"/>
      <c r="AU602" s="854"/>
      <c r="AV602" s="854"/>
      <c r="AW602" s="854"/>
      <c r="AX602" s="854"/>
      <c r="AY602" s="854"/>
      <c r="AZ602" s="854"/>
      <c r="BA602" s="854"/>
      <c r="BB602" s="854"/>
      <c r="BC602" s="854"/>
      <c r="BD602" s="854"/>
      <c r="BE602" s="854"/>
      <c r="BF602" s="854"/>
      <c r="BG602" s="854"/>
      <c r="BH602" s="854"/>
      <c r="BI602" s="854"/>
      <c r="BJ602" s="854"/>
      <c r="BK602" s="854"/>
      <c r="BL602" s="854"/>
      <c r="BM602" s="854"/>
      <c r="BN602" s="854"/>
      <c r="BO602" s="854"/>
      <c r="BP602" s="854"/>
      <c r="BQ602" s="854"/>
      <c r="BR602" s="854"/>
      <c r="BS602" s="854"/>
      <c r="BT602" s="854"/>
      <c r="BU602" s="854"/>
      <c r="BV602" s="854"/>
      <c r="BW602" s="854"/>
      <c r="BX602" s="854"/>
      <c r="BY602" s="854"/>
      <c r="BZ602" s="854"/>
      <c r="CA602" s="571">
        <f>IF(OR(I602="",I602&lt;'Configs &amp; Procedures'!$L$29),0,IF(I602&gt;'Configs &amp; Procedures'!$L$30,1,IF(F602&gt;'Configs &amp; Procedures'!$L$31,0,1)))</f>
        <v>0</v>
      </c>
    </row>
    <row r="603" spans="2:79">
      <c r="B603" s="854"/>
      <c r="C603" s="854"/>
      <c r="D603" s="854"/>
      <c r="E603" s="854"/>
      <c r="F603" s="854"/>
      <c r="G603" s="854"/>
      <c r="H603" s="854"/>
      <c r="I603" s="854"/>
      <c r="J603" s="854"/>
      <c r="K603" s="854"/>
      <c r="L603" s="854"/>
      <c r="M603" s="854"/>
      <c r="N603" s="854"/>
      <c r="O603" s="854"/>
      <c r="P603" s="854"/>
      <c r="Q603" s="854"/>
      <c r="R603" s="854"/>
      <c r="S603" s="854"/>
      <c r="T603" s="854"/>
      <c r="U603" s="854"/>
      <c r="V603" s="854"/>
      <c r="W603" s="854"/>
      <c r="X603" s="854"/>
      <c r="Y603" s="854"/>
      <c r="Z603" s="854"/>
      <c r="AA603" s="854"/>
      <c r="AB603" s="854"/>
      <c r="AC603" s="854"/>
      <c r="AD603" s="854"/>
      <c r="AE603" s="854"/>
      <c r="AF603" s="854"/>
      <c r="AG603" s="854"/>
      <c r="AH603" s="854"/>
      <c r="AI603" s="854"/>
      <c r="AJ603" s="854"/>
      <c r="AK603" s="854"/>
      <c r="AL603" s="854"/>
      <c r="AM603" s="854"/>
      <c r="AN603" s="854"/>
      <c r="AO603" s="854"/>
      <c r="AP603" s="854"/>
      <c r="AQ603" s="854"/>
      <c r="AR603" s="854"/>
      <c r="AS603" s="854"/>
      <c r="AT603" s="854"/>
      <c r="AU603" s="854"/>
      <c r="AV603" s="854"/>
      <c r="AW603" s="854"/>
      <c r="AX603" s="854"/>
      <c r="AY603" s="854"/>
      <c r="AZ603" s="854"/>
      <c r="BA603" s="854"/>
      <c r="BB603" s="854"/>
      <c r="BC603" s="854"/>
      <c r="BD603" s="854"/>
      <c r="BE603" s="854"/>
      <c r="BF603" s="854"/>
      <c r="BG603" s="854"/>
      <c r="BH603" s="854"/>
      <c r="BI603" s="854"/>
      <c r="BJ603" s="854"/>
      <c r="BK603" s="854"/>
      <c r="BL603" s="854"/>
      <c r="BM603" s="854"/>
      <c r="BN603" s="854"/>
      <c r="BO603" s="854"/>
      <c r="BP603" s="854"/>
      <c r="BQ603" s="854"/>
      <c r="BR603" s="854"/>
      <c r="BS603" s="854"/>
      <c r="BT603" s="854"/>
      <c r="BU603" s="854"/>
      <c r="BV603" s="854"/>
      <c r="BW603" s="854"/>
      <c r="BX603" s="854"/>
      <c r="BY603" s="854"/>
      <c r="BZ603" s="854"/>
      <c r="CA603" s="571">
        <f>IF(OR(I603="",I603&lt;'Configs &amp; Procedures'!$L$29),0,IF(I603&gt;'Configs &amp; Procedures'!$L$30,1,IF(F603&gt;'Configs &amp; Procedures'!$L$31,0,1)))</f>
        <v>0</v>
      </c>
    </row>
    <row r="604" spans="2:79">
      <c r="B604" s="854"/>
      <c r="C604" s="854"/>
      <c r="D604" s="854"/>
      <c r="E604" s="854"/>
      <c r="F604" s="854"/>
      <c r="G604" s="854"/>
      <c r="H604" s="854"/>
      <c r="I604" s="854"/>
      <c r="J604" s="854"/>
      <c r="K604" s="854"/>
      <c r="L604" s="854"/>
      <c r="M604" s="854"/>
      <c r="N604" s="854"/>
      <c r="O604" s="854"/>
      <c r="P604" s="854"/>
      <c r="Q604" s="854"/>
      <c r="R604" s="854"/>
      <c r="S604" s="854"/>
      <c r="T604" s="854"/>
      <c r="U604" s="854"/>
      <c r="V604" s="854"/>
      <c r="W604" s="854"/>
      <c r="X604" s="854"/>
      <c r="Y604" s="854"/>
      <c r="Z604" s="854"/>
      <c r="AA604" s="854"/>
      <c r="AB604" s="854"/>
      <c r="AC604" s="854"/>
      <c r="AD604" s="854"/>
      <c r="AE604" s="854"/>
      <c r="AF604" s="854"/>
      <c r="AG604" s="854"/>
      <c r="AH604" s="854"/>
      <c r="AI604" s="854"/>
      <c r="AJ604" s="854"/>
      <c r="AK604" s="854"/>
      <c r="AL604" s="854"/>
      <c r="AM604" s="854"/>
      <c r="AN604" s="854"/>
      <c r="AO604" s="854"/>
      <c r="AP604" s="854"/>
      <c r="AQ604" s="854"/>
      <c r="AR604" s="854"/>
      <c r="AS604" s="854"/>
      <c r="AT604" s="854"/>
      <c r="AU604" s="854"/>
      <c r="AV604" s="854"/>
      <c r="AW604" s="854"/>
      <c r="AX604" s="854"/>
      <c r="AY604" s="854"/>
      <c r="AZ604" s="854"/>
      <c r="BA604" s="854"/>
      <c r="BB604" s="854"/>
      <c r="BC604" s="854"/>
      <c r="BD604" s="854"/>
      <c r="BE604" s="854"/>
      <c r="BF604" s="854"/>
      <c r="BG604" s="854"/>
      <c r="BH604" s="854"/>
      <c r="BI604" s="854"/>
      <c r="BJ604" s="854"/>
      <c r="BK604" s="854"/>
      <c r="BL604" s="854"/>
      <c r="BM604" s="854"/>
      <c r="BN604" s="854"/>
      <c r="BO604" s="854"/>
      <c r="BP604" s="854"/>
      <c r="BQ604" s="854"/>
      <c r="BR604" s="854"/>
      <c r="BS604" s="854"/>
      <c r="BT604" s="854"/>
      <c r="BU604" s="854"/>
      <c r="BV604" s="854"/>
      <c r="BW604" s="854"/>
      <c r="BX604" s="854"/>
      <c r="BY604" s="854"/>
      <c r="BZ604" s="854"/>
      <c r="CA604" s="571">
        <f>IF(OR(I604="",I604&lt;'Configs &amp; Procedures'!$L$29),0,IF(I604&gt;'Configs &amp; Procedures'!$L$30,1,IF(F604&gt;'Configs &amp; Procedures'!$L$31,0,1)))</f>
        <v>0</v>
      </c>
    </row>
    <row r="605" spans="2:79">
      <c r="B605" s="854"/>
      <c r="C605" s="854"/>
      <c r="D605" s="854"/>
      <c r="E605" s="854"/>
      <c r="F605" s="854"/>
      <c r="G605" s="854"/>
      <c r="H605" s="854"/>
      <c r="I605" s="854"/>
      <c r="J605" s="854"/>
      <c r="K605" s="854"/>
      <c r="L605" s="854"/>
      <c r="M605" s="854"/>
      <c r="N605" s="854"/>
      <c r="O605" s="854"/>
      <c r="P605" s="854"/>
      <c r="Q605" s="854"/>
      <c r="R605" s="854"/>
      <c r="S605" s="854"/>
      <c r="T605" s="854"/>
      <c r="U605" s="854"/>
      <c r="V605" s="854"/>
      <c r="W605" s="854"/>
      <c r="X605" s="854"/>
      <c r="Y605" s="854"/>
      <c r="Z605" s="854"/>
      <c r="AA605" s="854"/>
      <c r="AB605" s="854"/>
      <c r="AC605" s="854"/>
      <c r="AD605" s="854"/>
      <c r="AE605" s="854"/>
      <c r="AF605" s="854"/>
      <c r="AG605" s="854"/>
      <c r="AH605" s="854"/>
      <c r="AI605" s="854"/>
      <c r="AJ605" s="854"/>
      <c r="AK605" s="854"/>
      <c r="AL605" s="854"/>
      <c r="AM605" s="854"/>
      <c r="AN605" s="854"/>
      <c r="AO605" s="854"/>
      <c r="AP605" s="854"/>
      <c r="AQ605" s="854"/>
      <c r="AR605" s="854"/>
      <c r="AS605" s="854"/>
      <c r="AT605" s="854"/>
      <c r="AU605" s="854"/>
      <c r="AV605" s="854"/>
      <c r="AW605" s="854"/>
      <c r="AX605" s="854"/>
      <c r="AY605" s="854"/>
      <c r="AZ605" s="854"/>
      <c r="BA605" s="854"/>
      <c r="BB605" s="854"/>
      <c r="BC605" s="854"/>
      <c r="BD605" s="854"/>
      <c r="BE605" s="854"/>
      <c r="BF605" s="854"/>
      <c r="BG605" s="854"/>
      <c r="BH605" s="854"/>
      <c r="BI605" s="854"/>
      <c r="BJ605" s="854"/>
      <c r="BK605" s="854"/>
      <c r="BL605" s="854"/>
      <c r="BM605" s="854"/>
      <c r="BN605" s="854"/>
      <c r="BO605" s="854"/>
      <c r="BP605" s="854"/>
      <c r="BQ605" s="854"/>
      <c r="BR605" s="854"/>
      <c r="BS605" s="854"/>
      <c r="BT605" s="854"/>
      <c r="BU605" s="854"/>
      <c r="BV605" s="854"/>
      <c r="BW605" s="854"/>
      <c r="BX605" s="854"/>
      <c r="BY605" s="854"/>
      <c r="BZ605" s="854"/>
      <c r="CA605" s="571">
        <f>IF(OR(I605="",I605&lt;'Configs &amp; Procedures'!$L$29),0,IF(I605&gt;'Configs &amp; Procedures'!$L$30,1,IF(F605&gt;'Configs &amp; Procedures'!$L$31,0,1)))</f>
        <v>0</v>
      </c>
    </row>
    <row r="606" spans="2:79">
      <c r="B606" s="854"/>
      <c r="C606" s="854"/>
      <c r="D606" s="854"/>
      <c r="E606" s="854"/>
      <c r="F606" s="854"/>
      <c r="G606" s="854"/>
      <c r="H606" s="854"/>
      <c r="I606" s="854"/>
      <c r="J606" s="854"/>
      <c r="K606" s="854"/>
      <c r="L606" s="854"/>
      <c r="M606" s="854"/>
      <c r="N606" s="854"/>
      <c r="O606" s="854"/>
      <c r="P606" s="854"/>
      <c r="Q606" s="854"/>
      <c r="R606" s="854"/>
      <c r="S606" s="854"/>
      <c r="T606" s="854"/>
      <c r="U606" s="854"/>
      <c r="V606" s="854"/>
      <c r="W606" s="854"/>
      <c r="X606" s="854"/>
      <c r="Y606" s="854"/>
      <c r="Z606" s="854"/>
      <c r="AA606" s="854"/>
      <c r="AB606" s="854"/>
      <c r="AC606" s="854"/>
      <c r="AD606" s="854"/>
      <c r="AE606" s="854"/>
      <c r="AF606" s="854"/>
      <c r="AG606" s="854"/>
      <c r="AH606" s="854"/>
      <c r="AI606" s="854"/>
      <c r="AJ606" s="854"/>
      <c r="AK606" s="854"/>
      <c r="AL606" s="854"/>
      <c r="AM606" s="854"/>
      <c r="AN606" s="854"/>
      <c r="AO606" s="854"/>
      <c r="AP606" s="854"/>
      <c r="AQ606" s="854"/>
      <c r="AR606" s="854"/>
      <c r="AS606" s="854"/>
      <c r="AT606" s="854"/>
      <c r="AU606" s="854"/>
      <c r="AV606" s="854"/>
      <c r="AW606" s="854"/>
      <c r="AX606" s="854"/>
      <c r="AY606" s="854"/>
      <c r="AZ606" s="854"/>
      <c r="BA606" s="854"/>
      <c r="BB606" s="854"/>
      <c r="BC606" s="854"/>
      <c r="BD606" s="854"/>
      <c r="BE606" s="854"/>
      <c r="BF606" s="854"/>
      <c r="BG606" s="854"/>
      <c r="BH606" s="854"/>
      <c r="BI606" s="854"/>
      <c r="BJ606" s="854"/>
      <c r="BK606" s="854"/>
      <c r="BL606" s="854"/>
      <c r="BM606" s="854"/>
      <c r="BN606" s="854"/>
      <c r="BO606" s="854"/>
      <c r="BP606" s="854"/>
      <c r="BQ606" s="854"/>
      <c r="BR606" s="854"/>
      <c r="BS606" s="854"/>
      <c r="BT606" s="854"/>
      <c r="BU606" s="854"/>
      <c r="BV606" s="854"/>
      <c r="BW606" s="854"/>
      <c r="BX606" s="854"/>
      <c r="BY606" s="854"/>
      <c r="BZ606" s="854"/>
      <c r="CA606" s="571">
        <f>IF(OR(I606="",I606&lt;'Configs &amp; Procedures'!$L$29),0,IF(I606&gt;'Configs &amp; Procedures'!$L$30,1,IF(F606&gt;'Configs &amp; Procedures'!$L$31,0,1)))</f>
        <v>0</v>
      </c>
    </row>
    <row r="607" spans="2:79">
      <c r="B607" s="854"/>
      <c r="C607" s="854"/>
      <c r="D607" s="854"/>
      <c r="E607" s="854"/>
      <c r="F607" s="854"/>
      <c r="G607" s="854"/>
      <c r="H607" s="854"/>
      <c r="I607" s="854"/>
      <c r="J607" s="854"/>
      <c r="K607" s="854"/>
      <c r="L607" s="854"/>
      <c r="M607" s="854"/>
      <c r="N607" s="854"/>
      <c r="O607" s="854"/>
      <c r="P607" s="854"/>
      <c r="Q607" s="854"/>
      <c r="R607" s="854"/>
      <c r="S607" s="854"/>
      <c r="T607" s="854"/>
      <c r="U607" s="854"/>
      <c r="V607" s="854"/>
      <c r="W607" s="854"/>
      <c r="X607" s="854"/>
      <c r="Y607" s="854"/>
      <c r="Z607" s="854"/>
      <c r="AA607" s="854"/>
      <c r="AB607" s="854"/>
      <c r="AC607" s="854"/>
      <c r="AD607" s="854"/>
      <c r="AE607" s="854"/>
      <c r="AF607" s="854"/>
      <c r="AG607" s="854"/>
      <c r="AH607" s="854"/>
      <c r="AI607" s="854"/>
      <c r="AJ607" s="854"/>
      <c r="AK607" s="854"/>
      <c r="AL607" s="854"/>
      <c r="AM607" s="854"/>
      <c r="AN607" s="854"/>
      <c r="AO607" s="854"/>
      <c r="AP607" s="854"/>
      <c r="AQ607" s="854"/>
      <c r="AR607" s="854"/>
      <c r="AS607" s="854"/>
      <c r="AT607" s="854"/>
      <c r="AU607" s="854"/>
      <c r="AV607" s="854"/>
      <c r="AW607" s="854"/>
      <c r="AX607" s="854"/>
      <c r="AY607" s="854"/>
      <c r="AZ607" s="854"/>
      <c r="BA607" s="854"/>
      <c r="BB607" s="854"/>
      <c r="BC607" s="854"/>
      <c r="BD607" s="854"/>
      <c r="BE607" s="854"/>
      <c r="BF607" s="854"/>
      <c r="BG607" s="854"/>
      <c r="BH607" s="854"/>
      <c r="BI607" s="854"/>
      <c r="BJ607" s="854"/>
      <c r="BK607" s="854"/>
      <c r="BL607" s="854"/>
      <c r="BM607" s="854"/>
      <c r="BN607" s="854"/>
      <c r="BO607" s="854"/>
      <c r="BP607" s="854"/>
      <c r="BQ607" s="854"/>
      <c r="BR607" s="854"/>
      <c r="BS607" s="854"/>
      <c r="BT607" s="854"/>
      <c r="BU607" s="854"/>
      <c r="BV607" s="854"/>
      <c r="BW607" s="854"/>
      <c r="BX607" s="854"/>
      <c r="BY607" s="854"/>
      <c r="BZ607" s="854"/>
      <c r="CA607" s="571">
        <f>IF(OR(I607="",I607&lt;'Configs &amp; Procedures'!$L$29),0,IF(I607&gt;'Configs &amp; Procedures'!$L$30,1,IF(F607&gt;'Configs &amp; Procedures'!$L$31,0,1)))</f>
        <v>0</v>
      </c>
    </row>
    <row r="608" spans="2:79">
      <c r="B608" s="854"/>
      <c r="C608" s="854"/>
      <c r="D608" s="854"/>
      <c r="E608" s="854"/>
      <c r="F608" s="854"/>
      <c r="G608" s="854"/>
      <c r="H608" s="854"/>
      <c r="I608" s="854"/>
      <c r="J608" s="854"/>
      <c r="K608" s="854"/>
      <c r="L608" s="854"/>
      <c r="M608" s="854"/>
      <c r="N608" s="854"/>
      <c r="O608" s="854"/>
      <c r="P608" s="854"/>
      <c r="Q608" s="854"/>
      <c r="R608" s="854"/>
      <c r="S608" s="854"/>
      <c r="T608" s="854"/>
      <c r="U608" s="854"/>
      <c r="V608" s="854"/>
      <c r="W608" s="854"/>
      <c r="X608" s="854"/>
      <c r="Y608" s="854"/>
      <c r="Z608" s="854"/>
      <c r="AA608" s="854"/>
      <c r="AB608" s="854"/>
      <c r="AC608" s="854"/>
      <c r="AD608" s="854"/>
      <c r="AE608" s="854"/>
      <c r="AF608" s="854"/>
      <c r="AG608" s="854"/>
      <c r="AH608" s="854"/>
      <c r="AI608" s="854"/>
      <c r="AJ608" s="854"/>
      <c r="AK608" s="854"/>
      <c r="AL608" s="854"/>
      <c r="AM608" s="854"/>
      <c r="AN608" s="854"/>
      <c r="AO608" s="854"/>
      <c r="AP608" s="854"/>
      <c r="AQ608" s="854"/>
      <c r="AR608" s="854"/>
      <c r="AS608" s="854"/>
      <c r="AT608" s="854"/>
      <c r="AU608" s="854"/>
      <c r="AV608" s="854"/>
      <c r="AW608" s="854"/>
      <c r="AX608" s="854"/>
      <c r="AY608" s="854"/>
      <c r="AZ608" s="854"/>
      <c r="BA608" s="854"/>
      <c r="BB608" s="854"/>
      <c r="BC608" s="854"/>
      <c r="BD608" s="854"/>
      <c r="BE608" s="854"/>
      <c r="BF608" s="854"/>
      <c r="BG608" s="854"/>
      <c r="BH608" s="854"/>
      <c r="BI608" s="854"/>
      <c r="BJ608" s="854"/>
      <c r="BK608" s="854"/>
      <c r="BL608" s="854"/>
      <c r="BM608" s="854"/>
      <c r="BN608" s="854"/>
      <c r="BO608" s="854"/>
      <c r="BP608" s="854"/>
      <c r="BQ608" s="854"/>
      <c r="BR608" s="854"/>
      <c r="BS608" s="854"/>
      <c r="BT608" s="854"/>
      <c r="BU608" s="854"/>
      <c r="BV608" s="854"/>
      <c r="BW608" s="854"/>
      <c r="BX608" s="854"/>
      <c r="BY608" s="854"/>
      <c r="BZ608" s="854"/>
      <c r="CA608" s="571">
        <f>IF(OR(I608="",I608&lt;'Configs &amp; Procedures'!$L$29),0,IF(I608&gt;'Configs &amp; Procedures'!$L$30,1,IF(F608&gt;'Configs &amp; Procedures'!$L$31,0,1)))</f>
        <v>0</v>
      </c>
    </row>
    <row r="609" spans="2:79">
      <c r="B609" s="854"/>
      <c r="C609" s="854"/>
      <c r="D609" s="854"/>
      <c r="E609" s="854"/>
      <c r="F609" s="854"/>
      <c r="G609" s="854"/>
      <c r="H609" s="854"/>
      <c r="I609" s="854"/>
      <c r="J609" s="854"/>
      <c r="K609" s="854"/>
      <c r="L609" s="854"/>
      <c r="M609" s="854"/>
      <c r="N609" s="854"/>
      <c r="O609" s="854"/>
      <c r="P609" s="854"/>
      <c r="Q609" s="854"/>
      <c r="R609" s="854"/>
      <c r="S609" s="854"/>
      <c r="T609" s="854"/>
      <c r="U609" s="854"/>
      <c r="V609" s="854"/>
      <c r="W609" s="854"/>
      <c r="X609" s="854"/>
      <c r="Y609" s="854"/>
      <c r="Z609" s="854"/>
      <c r="AA609" s="854"/>
      <c r="AB609" s="854"/>
      <c r="AC609" s="854"/>
      <c r="AD609" s="854"/>
      <c r="AE609" s="854"/>
      <c r="AF609" s="854"/>
      <c r="AG609" s="854"/>
      <c r="AH609" s="854"/>
      <c r="AI609" s="854"/>
      <c r="AJ609" s="854"/>
      <c r="AK609" s="854"/>
      <c r="AL609" s="854"/>
      <c r="AM609" s="854"/>
      <c r="AN609" s="854"/>
      <c r="AO609" s="854"/>
      <c r="AP609" s="854"/>
      <c r="AQ609" s="854"/>
      <c r="AR609" s="854"/>
      <c r="AS609" s="854"/>
      <c r="AT609" s="854"/>
      <c r="AU609" s="854"/>
      <c r="AV609" s="854"/>
      <c r="AW609" s="854"/>
      <c r="AX609" s="854"/>
      <c r="AY609" s="854"/>
      <c r="AZ609" s="854"/>
      <c r="BA609" s="854"/>
      <c r="BB609" s="854"/>
      <c r="BC609" s="854"/>
      <c r="BD609" s="854"/>
      <c r="BE609" s="854"/>
      <c r="BF609" s="854"/>
      <c r="BG609" s="854"/>
      <c r="BH609" s="854"/>
      <c r="BI609" s="854"/>
      <c r="BJ609" s="854"/>
      <c r="BK609" s="854"/>
      <c r="BL609" s="854"/>
      <c r="BM609" s="854"/>
      <c r="BN609" s="854"/>
      <c r="BO609" s="854"/>
      <c r="BP609" s="854"/>
      <c r="BQ609" s="854"/>
      <c r="BR609" s="854"/>
      <c r="BS609" s="854"/>
      <c r="BT609" s="854"/>
      <c r="BU609" s="854"/>
      <c r="BV609" s="854"/>
      <c r="BW609" s="854"/>
      <c r="BX609" s="854"/>
      <c r="BY609" s="854"/>
      <c r="BZ609" s="854"/>
      <c r="CA609" s="571">
        <f>IF(OR(I609="",I609&lt;'Configs &amp; Procedures'!$L$29),0,IF(I609&gt;'Configs &amp; Procedures'!$L$30,1,IF(F609&gt;'Configs &amp; Procedures'!$L$31,0,1)))</f>
        <v>0</v>
      </c>
    </row>
    <row r="610" spans="2:79">
      <c r="B610" s="854"/>
      <c r="C610" s="854"/>
      <c r="D610" s="854"/>
      <c r="E610" s="854"/>
      <c r="F610" s="854"/>
      <c r="G610" s="854"/>
      <c r="H610" s="854"/>
      <c r="I610" s="854"/>
      <c r="J610" s="854"/>
      <c r="K610" s="854"/>
      <c r="L610" s="854"/>
      <c r="M610" s="854"/>
      <c r="N610" s="854"/>
      <c r="O610" s="854"/>
      <c r="P610" s="854"/>
      <c r="Q610" s="854"/>
      <c r="R610" s="854"/>
      <c r="S610" s="854"/>
      <c r="T610" s="854"/>
      <c r="U610" s="854"/>
      <c r="V610" s="854"/>
      <c r="W610" s="854"/>
      <c r="X610" s="854"/>
      <c r="Y610" s="854"/>
      <c r="Z610" s="854"/>
      <c r="AA610" s="854"/>
      <c r="AB610" s="854"/>
      <c r="AC610" s="854"/>
      <c r="AD610" s="854"/>
      <c r="AE610" s="854"/>
      <c r="AF610" s="854"/>
      <c r="AG610" s="854"/>
      <c r="AH610" s="854"/>
      <c r="AI610" s="854"/>
      <c r="AJ610" s="854"/>
      <c r="AK610" s="854"/>
      <c r="AL610" s="854"/>
      <c r="AM610" s="854"/>
      <c r="AN610" s="854"/>
      <c r="AO610" s="854"/>
      <c r="AP610" s="854"/>
      <c r="AQ610" s="854"/>
      <c r="AR610" s="854"/>
      <c r="AS610" s="854"/>
      <c r="AT610" s="854"/>
      <c r="AU610" s="854"/>
      <c r="AV610" s="854"/>
      <c r="AW610" s="854"/>
      <c r="AX610" s="854"/>
      <c r="AY610" s="854"/>
      <c r="AZ610" s="854"/>
      <c r="BA610" s="854"/>
      <c r="BB610" s="854"/>
      <c r="BC610" s="854"/>
      <c r="BD610" s="854"/>
      <c r="BE610" s="854"/>
      <c r="BF610" s="854"/>
      <c r="BG610" s="854"/>
      <c r="BH610" s="854"/>
      <c r="BI610" s="854"/>
      <c r="BJ610" s="854"/>
      <c r="BK610" s="854"/>
      <c r="BL610" s="854"/>
      <c r="BM610" s="854"/>
      <c r="BN610" s="854"/>
      <c r="BO610" s="854"/>
      <c r="BP610" s="854"/>
      <c r="BQ610" s="854"/>
      <c r="BR610" s="854"/>
      <c r="BS610" s="854"/>
      <c r="BT610" s="854"/>
      <c r="BU610" s="854"/>
      <c r="BV610" s="854"/>
      <c r="BW610" s="854"/>
      <c r="BX610" s="854"/>
      <c r="BY610" s="854"/>
      <c r="BZ610" s="854"/>
      <c r="CA610" s="571">
        <f>IF(OR(I610="",I610&lt;'Configs &amp; Procedures'!$L$29),0,IF(I610&gt;'Configs &amp; Procedures'!$L$30,1,IF(F610&gt;'Configs &amp; Procedures'!$L$31,0,1)))</f>
        <v>0</v>
      </c>
    </row>
    <row r="611" spans="2:79">
      <c r="B611" s="854"/>
      <c r="C611" s="854"/>
      <c r="D611" s="854"/>
      <c r="E611" s="854"/>
      <c r="F611" s="854"/>
      <c r="G611" s="854"/>
      <c r="H611" s="854"/>
      <c r="I611" s="854"/>
      <c r="J611" s="854"/>
      <c r="K611" s="854"/>
      <c r="L611" s="854"/>
      <c r="M611" s="854"/>
      <c r="N611" s="854"/>
      <c r="O611" s="854"/>
      <c r="P611" s="854"/>
      <c r="Q611" s="854"/>
      <c r="R611" s="854"/>
      <c r="S611" s="854"/>
      <c r="T611" s="854"/>
      <c r="U611" s="854"/>
      <c r="V611" s="854"/>
      <c r="W611" s="854"/>
      <c r="X611" s="854"/>
      <c r="Y611" s="854"/>
      <c r="Z611" s="854"/>
      <c r="AA611" s="854"/>
      <c r="AB611" s="854"/>
      <c r="AC611" s="854"/>
      <c r="AD611" s="854"/>
      <c r="AE611" s="854"/>
      <c r="AF611" s="854"/>
      <c r="AG611" s="854"/>
      <c r="AH611" s="854"/>
      <c r="AI611" s="854"/>
      <c r="AJ611" s="854"/>
      <c r="AK611" s="854"/>
      <c r="AL611" s="854"/>
      <c r="AM611" s="854"/>
      <c r="AN611" s="854"/>
      <c r="AO611" s="854"/>
      <c r="AP611" s="854"/>
      <c r="AQ611" s="854"/>
      <c r="AR611" s="854"/>
      <c r="AS611" s="854"/>
      <c r="AT611" s="854"/>
      <c r="AU611" s="854"/>
      <c r="AV611" s="854"/>
      <c r="AW611" s="854"/>
      <c r="AX611" s="854"/>
      <c r="AY611" s="854"/>
      <c r="AZ611" s="854"/>
      <c r="BA611" s="854"/>
      <c r="BB611" s="854"/>
      <c r="BC611" s="854"/>
      <c r="BD611" s="854"/>
      <c r="BE611" s="854"/>
      <c r="BF611" s="854"/>
      <c r="BG611" s="854"/>
      <c r="BH611" s="854"/>
      <c r="BI611" s="854"/>
      <c r="BJ611" s="854"/>
      <c r="BK611" s="854"/>
      <c r="BL611" s="854"/>
      <c r="BM611" s="854"/>
      <c r="BN611" s="854"/>
      <c r="BO611" s="854"/>
      <c r="BP611" s="854"/>
      <c r="BQ611" s="854"/>
      <c r="BR611" s="854"/>
      <c r="BS611" s="854"/>
      <c r="BT611" s="854"/>
      <c r="BU611" s="854"/>
      <c r="BV611" s="854"/>
      <c r="BW611" s="854"/>
      <c r="BX611" s="854"/>
      <c r="BY611" s="854"/>
      <c r="BZ611" s="854"/>
      <c r="CA611" s="571">
        <f>IF(OR(I611="",I611&lt;'Configs &amp; Procedures'!$L$29),0,IF(I611&gt;'Configs &amp; Procedures'!$L$30,1,IF(F611&gt;'Configs &amp; Procedures'!$L$31,0,1)))</f>
        <v>0</v>
      </c>
    </row>
    <row r="612" spans="2:79">
      <c r="B612" s="854"/>
      <c r="C612" s="854"/>
      <c r="D612" s="854"/>
      <c r="E612" s="854"/>
      <c r="F612" s="854"/>
      <c r="G612" s="854"/>
      <c r="H612" s="854"/>
      <c r="I612" s="854"/>
      <c r="J612" s="854"/>
      <c r="K612" s="854"/>
      <c r="L612" s="854"/>
      <c r="M612" s="854"/>
      <c r="N612" s="854"/>
      <c r="O612" s="854"/>
      <c r="P612" s="854"/>
      <c r="Q612" s="854"/>
      <c r="R612" s="854"/>
      <c r="S612" s="854"/>
      <c r="T612" s="854"/>
      <c r="U612" s="854"/>
      <c r="V612" s="854"/>
      <c r="W612" s="854"/>
      <c r="X612" s="854"/>
      <c r="Y612" s="854"/>
      <c r="Z612" s="854"/>
      <c r="AA612" s="854"/>
      <c r="AB612" s="854"/>
      <c r="AC612" s="854"/>
      <c r="AD612" s="854"/>
      <c r="AE612" s="854"/>
      <c r="AF612" s="854"/>
      <c r="AG612" s="854"/>
      <c r="AH612" s="854"/>
      <c r="AI612" s="854"/>
      <c r="AJ612" s="854"/>
      <c r="AK612" s="854"/>
      <c r="AL612" s="854"/>
      <c r="AM612" s="854"/>
      <c r="AN612" s="854"/>
      <c r="AO612" s="854"/>
      <c r="AP612" s="854"/>
      <c r="AQ612" s="854"/>
      <c r="AR612" s="854"/>
      <c r="AS612" s="854"/>
      <c r="AT612" s="854"/>
      <c r="AU612" s="854"/>
      <c r="AV612" s="854"/>
      <c r="AW612" s="854"/>
      <c r="AX612" s="854"/>
      <c r="AY612" s="854"/>
      <c r="AZ612" s="854"/>
      <c r="BA612" s="854"/>
      <c r="BB612" s="854"/>
      <c r="BC612" s="854"/>
      <c r="BD612" s="854"/>
      <c r="BE612" s="854"/>
      <c r="BF612" s="854"/>
      <c r="BG612" s="854"/>
      <c r="BH612" s="854"/>
      <c r="BI612" s="854"/>
      <c r="BJ612" s="854"/>
      <c r="BK612" s="854"/>
      <c r="BL612" s="854"/>
      <c r="BM612" s="854"/>
      <c r="BN612" s="854"/>
      <c r="BO612" s="854"/>
      <c r="BP612" s="854"/>
      <c r="BQ612" s="854"/>
      <c r="BR612" s="854"/>
      <c r="BS612" s="854"/>
      <c r="BT612" s="854"/>
      <c r="BU612" s="854"/>
      <c r="BV612" s="854"/>
      <c r="BW612" s="854"/>
      <c r="BX612" s="854"/>
      <c r="BY612" s="854"/>
      <c r="BZ612" s="854"/>
      <c r="CA612" s="571">
        <f>IF(OR(I612="",I612&lt;'Configs &amp; Procedures'!$L$29),0,IF(I612&gt;'Configs &amp; Procedures'!$L$30,1,IF(F612&gt;'Configs &amp; Procedures'!$L$31,0,1)))</f>
        <v>0</v>
      </c>
    </row>
    <row r="613" spans="2:79">
      <c r="B613" s="854"/>
      <c r="C613" s="854"/>
      <c r="D613" s="854"/>
      <c r="E613" s="854"/>
      <c r="F613" s="854"/>
      <c r="G613" s="854"/>
      <c r="H613" s="854"/>
      <c r="I613" s="854"/>
      <c r="J613" s="854"/>
      <c r="K613" s="854"/>
      <c r="L613" s="854"/>
      <c r="M613" s="854"/>
      <c r="N613" s="854"/>
      <c r="O613" s="854"/>
      <c r="P613" s="854"/>
      <c r="Q613" s="854"/>
      <c r="R613" s="854"/>
      <c r="S613" s="854"/>
      <c r="T613" s="854"/>
      <c r="U613" s="854"/>
      <c r="V613" s="854"/>
      <c r="W613" s="854"/>
      <c r="X613" s="854"/>
      <c r="Y613" s="854"/>
      <c r="Z613" s="854"/>
      <c r="AA613" s="854"/>
      <c r="AB613" s="854"/>
      <c r="AC613" s="854"/>
      <c r="AD613" s="854"/>
      <c r="AE613" s="854"/>
      <c r="AF613" s="854"/>
      <c r="AG613" s="854"/>
      <c r="AH613" s="854"/>
      <c r="AI613" s="854"/>
      <c r="AJ613" s="854"/>
      <c r="AK613" s="854"/>
      <c r="AL613" s="854"/>
      <c r="AM613" s="854"/>
      <c r="AN613" s="854"/>
      <c r="AO613" s="854"/>
      <c r="AP613" s="854"/>
      <c r="AQ613" s="854"/>
      <c r="AR613" s="854"/>
      <c r="AS613" s="854"/>
      <c r="AT613" s="854"/>
      <c r="AU613" s="854"/>
      <c r="AV613" s="854"/>
      <c r="AW613" s="854"/>
      <c r="AX613" s="854"/>
      <c r="AY613" s="854"/>
      <c r="AZ613" s="854"/>
      <c r="BA613" s="854"/>
      <c r="BB613" s="854"/>
      <c r="BC613" s="854"/>
      <c r="BD613" s="854"/>
      <c r="BE613" s="854"/>
      <c r="BF613" s="854"/>
      <c r="BG613" s="854"/>
      <c r="BH613" s="854"/>
      <c r="BI613" s="854"/>
      <c r="BJ613" s="854"/>
      <c r="BK613" s="854"/>
      <c r="BL613" s="854"/>
      <c r="BM613" s="854"/>
      <c r="BN613" s="854"/>
      <c r="BO613" s="854"/>
      <c r="BP613" s="854"/>
      <c r="BQ613" s="854"/>
      <c r="BR613" s="854"/>
      <c r="BS613" s="854"/>
      <c r="BT613" s="854"/>
      <c r="BU613" s="854"/>
      <c r="BV613" s="854"/>
      <c r="BW613" s="854"/>
      <c r="BX613" s="854"/>
      <c r="BY613" s="854"/>
      <c r="BZ613" s="854"/>
      <c r="CA613" s="571">
        <f>IF(OR(I613="",I613&lt;'Configs &amp; Procedures'!$L$29),0,IF(I613&gt;'Configs &amp; Procedures'!$L$30,1,IF(F613&gt;'Configs &amp; Procedures'!$L$31,0,1)))</f>
        <v>0</v>
      </c>
    </row>
    <row r="614" spans="2:79">
      <c r="B614" s="854"/>
      <c r="C614" s="854"/>
      <c r="D614" s="854"/>
      <c r="E614" s="854"/>
      <c r="F614" s="854"/>
      <c r="G614" s="854"/>
      <c r="H614" s="854"/>
      <c r="I614" s="854"/>
      <c r="J614" s="854"/>
      <c r="K614" s="854"/>
      <c r="L614" s="854"/>
      <c r="M614" s="854"/>
      <c r="N614" s="854"/>
      <c r="O614" s="854"/>
      <c r="P614" s="854"/>
      <c r="Q614" s="854"/>
      <c r="R614" s="854"/>
      <c r="S614" s="854"/>
      <c r="T614" s="854"/>
      <c r="U614" s="854"/>
      <c r="V614" s="854"/>
      <c r="W614" s="854"/>
      <c r="X614" s="854"/>
      <c r="Y614" s="854"/>
      <c r="Z614" s="854"/>
      <c r="AA614" s="854"/>
      <c r="AB614" s="854"/>
      <c r="AC614" s="854"/>
      <c r="AD614" s="854"/>
      <c r="AE614" s="854"/>
      <c r="AF614" s="854"/>
      <c r="AG614" s="854"/>
      <c r="AH614" s="854"/>
      <c r="AI614" s="854"/>
      <c r="AJ614" s="854"/>
      <c r="AK614" s="854"/>
      <c r="AL614" s="854"/>
      <c r="AM614" s="854"/>
      <c r="AN614" s="854"/>
      <c r="AO614" s="854"/>
      <c r="AP614" s="854"/>
      <c r="AQ614" s="854"/>
      <c r="AR614" s="854"/>
      <c r="AS614" s="854"/>
      <c r="AT614" s="854"/>
      <c r="AU614" s="854"/>
      <c r="AV614" s="854"/>
      <c r="AW614" s="854"/>
      <c r="AX614" s="854"/>
      <c r="AY614" s="854"/>
      <c r="AZ614" s="854"/>
      <c r="BA614" s="854"/>
      <c r="BB614" s="854"/>
      <c r="BC614" s="854"/>
      <c r="BD614" s="854"/>
      <c r="BE614" s="854"/>
      <c r="BF614" s="854"/>
      <c r="BG614" s="854"/>
      <c r="BH614" s="854"/>
      <c r="BI614" s="854"/>
      <c r="BJ614" s="854"/>
      <c r="BK614" s="854"/>
      <c r="BL614" s="854"/>
      <c r="BM614" s="854"/>
      <c r="BN614" s="854"/>
      <c r="BO614" s="854"/>
      <c r="BP614" s="854"/>
      <c r="BQ614" s="854"/>
      <c r="BR614" s="854"/>
      <c r="BS614" s="854"/>
      <c r="BT614" s="854"/>
      <c r="BU614" s="854"/>
      <c r="BV614" s="854"/>
      <c r="BW614" s="854"/>
      <c r="BX614" s="854"/>
      <c r="BY614" s="854"/>
      <c r="BZ614" s="854"/>
      <c r="CA614" s="571">
        <f>IF(OR(I614="",I614&lt;'Configs &amp; Procedures'!$L$29),0,IF(I614&gt;'Configs &amp; Procedures'!$L$30,1,IF(F614&gt;'Configs &amp; Procedures'!$L$31,0,1)))</f>
        <v>0</v>
      </c>
    </row>
    <row r="615" spans="2:79">
      <c r="B615" s="854"/>
      <c r="C615" s="854"/>
      <c r="D615" s="854"/>
      <c r="E615" s="854"/>
      <c r="F615" s="854"/>
      <c r="G615" s="854"/>
      <c r="H615" s="854"/>
      <c r="I615" s="854"/>
      <c r="J615" s="854"/>
      <c r="K615" s="854"/>
      <c r="L615" s="854"/>
      <c r="M615" s="854"/>
      <c r="N615" s="854"/>
      <c r="O615" s="854"/>
      <c r="P615" s="854"/>
      <c r="Q615" s="854"/>
      <c r="R615" s="854"/>
      <c r="S615" s="854"/>
      <c r="T615" s="854"/>
      <c r="U615" s="854"/>
      <c r="V615" s="854"/>
      <c r="W615" s="854"/>
      <c r="X615" s="854"/>
      <c r="Y615" s="854"/>
      <c r="Z615" s="854"/>
      <c r="AA615" s="854"/>
      <c r="AB615" s="854"/>
      <c r="AC615" s="854"/>
      <c r="AD615" s="854"/>
      <c r="AE615" s="854"/>
      <c r="AF615" s="854"/>
      <c r="AG615" s="854"/>
      <c r="AH615" s="854"/>
      <c r="AI615" s="854"/>
      <c r="AJ615" s="854"/>
      <c r="AK615" s="854"/>
      <c r="AL615" s="854"/>
      <c r="AM615" s="854"/>
      <c r="AN615" s="854"/>
      <c r="AO615" s="854"/>
      <c r="AP615" s="854"/>
      <c r="AQ615" s="854"/>
      <c r="AR615" s="854"/>
      <c r="AS615" s="854"/>
      <c r="AT615" s="854"/>
      <c r="AU615" s="854"/>
      <c r="AV615" s="854"/>
      <c r="AW615" s="854"/>
      <c r="AX615" s="854"/>
      <c r="AY615" s="854"/>
      <c r="AZ615" s="854"/>
      <c r="BA615" s="854"/>
      <c r="BB615" s="854"/>
      <c r="BC615" s="854"/>
      <c r="BD615" s="854"/>
      <c r="BE615" s="854"/>
      <c r="BF615" s="854"/>
      <c r="BG615" s="854"/>
      <c r="BH615" s="854"/>
      <c r="BI615" s="854"/>
      <c r="BJ615" s="854"/>
      <c r="BK615" s="854"/>
      <c r="BL615" s="854"/>
      <c r="BM615" s="854"/>
      <c r="BN615" s="854"/>
      <c r="BO615" s="854"/>
      <c r="BP615" s="854"/>
      <c r="BQ615" s="854"/>
      <c r="BR615" s="854"/>
      <c r="BS615" s="854"/>
      <c r="BT615" s="854"/>
      <c r="BU615" s="854"/>
      <c r="BV615" s="854"/>
      <c r="BW615" s="854"/>
      <c r="BX615" s="854"/>
      <c r="BY615" s="854"/>
      <c r="BZ615" s="854"/>
      <c r="CA615" s="571">
        <f>IF(OR(I615="",I615&lt;'Configs &amp; Procedures'!$L$29),0,IF(I615&gt;'Configs &amp; Procedures'!$L$30,1,IF(F615&gt;'Configs &amp; Procedures'!$L$31,0,1)))</f>
        <v>0</v>
      </c>
    </row>
    <row r="616" spans="2:79">
      <c r="B616" s="854"/>
      <c r="C616" s="854"/>
      <c r="D616" s="854"/>
      <c r="E616" s="854"/>
      <c r="F616" s="854"/>
      <c r="G616" s="854"/>
      <c r="H616" s="854"/>
      <c r="I616" s="854"/>
      <c r="J616" s="854"/>
      <c r="K616" s="854"/>
      <c r="L616" s="854"/>
      <c r="M616" s="854"/>
      <c r="N616" s="854"/>
      <c r="O616" s="854"/>
      <c r="P616" s="854"/>
      <c r="Q616" s="854"/>
      <c r="R616" s="854"/>
      <c r="S616" s="854"/>
      <c r="T616" s="854"/>
      <c r="U616" s="854"/>
      <c r="V616" s="854"/>
      <c r="W616" s="854"/>
      <c r="X616" s="854"/>
      <c r="Y616" s="854"/>
      <c r="Z616" s="854"/>
      <c r="AA616" s="854"/>
      <c r="AB616" s="854"/>
      <c r="AC616" s="854"/>
      <c r="AD616" s="854"/>
      <c r="AE616" s="854"/>
      <c r="AF616" s="854"/>
      <c r="AG616" s="854"/>
      <c r="AH616" s="854"/>
      <c r="AI616" s="854"/>
      <c r="AJ616" s="854"/>
      <c r="AK616" s="854"/>
      <c r="AL616" s="854"/>
      <c r="AM616" s="854"/>
      <c r="AN616" s="854"/>
      <c r="AO616" s="854"/>
      <c r="AP616" s="854"/>
      <c r="AQ616" s="854"/>
      <c r="AR616" s="854"/>
      <c r="AS616" s="854"/>
      <c r="AT616" s="854"/>
      <c r="AU616" s="854"/>
      <c r="AV616" s="854"/>
      <c r="AW616" s="854"/>
      <c r="AX616" s="854"/>
      <c r="AY616" s="854"/>
      <c r="AZ616" s="854"/>
      <c r="BA616" s="854"/>
      <c r="BB616" s="854"/>
      <c r="BC616" s="854"/>
      <c r="BD616" s="854"/>
      <c r="BE616" s="854"/>
      <c r="BF616" s="854"/>
      <c r="BG616" s="854"/>
      <c r="BH616" s="854"/>
      <c r="BI616" s="854"/>
      <c r="BJ616" s="854"/>
      <c r="BK616" s="854"/>
      <c r="BL616" s="854"/>
      <c r="BM616" s="854"/>
      <c r="BN616" s="854"/>
      <c r="BO616" s="854"/>
      <c r="BP616" s="854"/>
      <c r="BQ616" s="854"/>
      <c r="BR616" s="854"/>
      <c r="BS616" s="854"/>
      <c r="BT616" s="854"/>
      <c r="BU616" s="854"/>
      <c r="BV616" s="854"/>
      <c r="BW616" s="854"/>
      <c r="BX616" s="854"/>
      <c r="BY616" s="854"/>
      <c r="BZ616" s="854"/>
      <c r="CA616" s="571">
        <f>IF(OR(I616="",I616&lt;'Configs &amp; Procedures'!$L$29),0,IF(I616&gt;'Configs &amp; Procedures'!$L$30,1,IF(F616&gt;'Configs &amp; Procedures'!$L$31,0,1)))</f>
        <v>0</v>
      </c>
    </row>
    <row r="617" spans="2:79">
      <c r="B617" s="854"/>
      <c r="C617" s="854"/>
      <c r="D617" s="854"/>
      <c r="E617" s="854"/>
      <c r="F617" s="854"/>
      <c r="G617" s="854"/>
      <c r="H617" s="854"/>
      <c r="I617" s="854"/>
      <c r="J617" s="854"/>
      <c r="K617" s="854"/>
      <c r="L617" s="854"/>
      <c r="M617" s="854"/>
      <c r="N617" s="854"/>
      <c r="O617" s="854"/>
      <c r="P617" s="854"/>
      <c r="Q617" s="854"/>
      <c r="R617" s="854"/>
      <c r="S617" s="854"/>
      <c r="T617" s="854"/>
      <c r="U617" s="854"/>
      <c r="V617" s="854"/>
      <c r="W617" s="854"/>
      <c r="X617" s="854"/>
      <c r="Y617" s="854"/>
      <c r="Z617" s="854"/>
      <c r="AA617" s="854"/>
      <c r="AB617" s="854"/>
      <c r="AC617" s="854"/>
      <c r="AD617" s="854"/>
      <c r="AE617" s="854"/>
      <c r="AF617" s="854"/>
      <c r="AG617" s="854"/>
      <c r="AH617" s="854"/>
      <c r="AI617" s="854"/>
      <c r="AJ617" s="854"/>
      <c r="AK617" s="854"/>
      <c r="AL617" s="854"/>
      <c r="AM617" s="854"/>
      <c r="AN617" s="854"/>
      <c r="AO617" s="854"/>
      <c r="AP617" s="854"/>
      <c r="AQ617" s="854"/>
      <c r="AR617" s="854"/>
      <c r="AS617" s="854"/>
      <c r="AT617" s="854"/>
      <c r="AU617" s="854"/>
      <c r="AV617" s="854"/>
      <c r="AW617" s="854"/>
      <c r="AX617" s="854"/>
      <c r="AY617" s="854"/>
      <c r="AZ617" s="854"/>
      <c r="BA617" s="854"/>
      <c r="BB617" s="854"/>
      <c r="BC617" s="854"/>
      <c r="BD617" s="854"/>
      <c r="BE617" s="854"/>
      <c r="BF617" s="854"/>
      <c r="BG617" s="854"/>
      <c r="BH617" s="854"/>
      <c r="BI617" s="854"/>
      <c r="BJ617" s="854"/>
      <c r="BK617" s="854"/>
      <c r="BL617" s="854"/>
      <c r="BM617" s="854"/>
      <c r="BN617" s="854"/>
      <c r="BO617" s="854"/>
      <c r="BP617" s="854"/>
      <c r="BQ617" s="854"/>
      <c r="BR617" s="854"/>
      <c r="BS617" s="854"/>
      <c r="BT617" s="854"/>
      <c r="BU617" s="854"/>
      <c r="BV617" s="854"/>
      <c r="BW617" s="854"/>
      <c r="BX617" s="854"/>
      <c r="BY617" s="854"/>
      <c r="BZ617" s="854"/>
      <c r="CA617" s="571">
        <f>IF(OR(I617="",I617&lt;'Configs &amp; Procedures'!$L$29),0,IF(I617&gt;'Configs &amp; Procedures'!$L$30,1,IF(F617&gt;'Configs &amp; Procedures'!$L$31,0,1)))</f>
        <v>0</v>
      </c>
    </row>
    <row r="618" spans="2:79">
      <c r="B618" s="854"/>
      <c r="C618" s="854"/>
      <c r="D618" s="854"/>
      <c r="E618" s="854"/>
      <c r="F618" s="854"/>
      <c r="G618" s="854"/>
      <c r="H618" s="854"/>
      <c r="I618" s="854"/>
      <c r="J618" s="854"/>
      <c r="K618" s="854"/>
      <c r="L618" s="854"/>
      <c r="M618" s="854"/>
      <c r="N618" s="854"/>
      <c r="O618" s="854"/>
      <c r="P618" s="854"/>
      <c r="Q618" s="854"/>
      <c r="R618" s="854"/>
      <c r="S618" s="854"/>
      <c r="T618" s="854"/>
      <c r="U618" s="854"/>
      <c r="V618" s="854"/>
      <c r="W618" s="854"/>
      <c r="X618" s="854"/>
      <c r="Y618" s="854"/>
      <c r="Z618" s="854"/>
      <c r="AA618" s="854"/>
      <c r="AB618" s="854"/>
      <c r="AC618" s="854"/>
      <c r="AD618" s="854"/>
      <c r="AE618" s="854"/>
      <c r="AF618" s="854"/>
      <c r="AG618" s="854"/>
      <c r="AH618" s="854"/>
      <c r="AI618" s="854"/>
      <c r="AJ618" s="854"/>
      <c r="AK618" s="854"/>
      <c r="AL618" s="854"/>
      <c r="AM618" s="854"/>
      <c r="AN618" s="854"/>
      <c r="AO618" s="854"/>
      <c r="AP618" s="854"/>
      <c r="AQ618" s="854"/>
      <c r="AR618" s="854"/>
      <c r="AS618" s="854"/>
      <c r="AT618" s="854"/>
      <c r="AU618" s="854"/>
      <c r="AV618" s="854"/>
      <c r="AW618" s="854"/>
      <c r="AX618" s="854"/>
      <c r="AY618" s="854"/>
      <c r="AZ618" s="854"/>
      <c r="BA618" s="854"/>
      <c r="BB618" s="854"/>
      <c r="BC618" s="854"/>
      <c r="BD618" s="854"/>
      <c r="BE618" s="854"/>
      <c r="BF618" s="854"/>
      <c r="BG618" s="854"/>
      <c r="BH618" s="854"/>
      <c r="BI618" s="854"/>
      <c r="BJ618" s="854"/>
      <c r="BK618" s="854"/>
      <c r="BL618" s="854"/>
      <c r="BM618" s="854"/>
      <c r="BN618" s="854"/>
      <c r="BO618" s="854"/>
      <c r="BP618" s="854"/>
      <c r="BQ618" s="854"/>
      <c r="BR618" s="854"/>
      <c r="BS618" s="854"/>
      <c r="BT618" s="854"/>
      <c r="BU618" s="854"/>
      <c r="BV618" s="854"/>
      <c r="BW618" s="854"/>
      <c r="BX618" s="854"/>
      <c r="BY618" s="854"/>
      <c r="BZ618" s="854"/>
      <c r="CA618" s="571">
        <f>IF(OR(I618="",I618&lt;'Configs &amp; Procedures'!$L$29),0,IF(I618&gt;'Configs &amp; Procedures'!$L$30,1,IF(F618&gt;'Configs &amp; Procedures'!$L$31,0,1)))</f>
        <v>0</v>
      </c>
    </row>
    <row r="619" spans="2:79">
      <c r="B619" s="854"/>
      <c r="C619" s="854"/>
      <c r="D619" s="854"/>
      <c r="E619" s="854"/>
      <c r="F619" s="854"/>
      <c r="G619" s="854"/>
      <c r="H619" s="854"/>
      <c r="I619" s="854"/>
      <c r="J619" s="854"/>
      <c r="K619" s="854"/>
      <c r="L619" s="854"/>
      <c r="M619" s="854"/>
      <c r="N619" s="854"/>
      <c r="O619" s="854"/>
      <c r="P619" s="854"/>
      <c r="Q619" s="854"/>
      <c r="R619" s="854"/>
      <c r="S619" s="854"/>
      <c r="T619" s="854"/>
      <c r="U619" s="854"/>
      <c r="V619" s="854"/>
      <c r="W619" s="854"/>
      <c r="X619" s="854"/>
      <c r="Y619" s="854"/>
      <c r="Z619" s="854"/>
      <c r="AA619" s="854"/>
      <c r="AB619" s="854"/>
      <c r="AC619" s="854"/>
      <c r="AD619" s="854"/>
      <c r="AE619" s="854"/>
      <c r="AF619" s="854"/>
      <c r="AG619" s="854"/>
      <c r="AH619" s="854"/>
      <c r="AI619" s="854"/>
      <c r="AJ619" s="854"/>
      <c r="AK619" s="854"/>
      <c r="AL619" s="854"/>
      <c r="AM619" s="854"/>
      <c r="AN619" s="854"/>
      <c r="AO619" s="854"/>
      <c r="AP619" s="854"/>
      <c r="AQ619" s="854"/>
      <c r="AR619" s="854"/>
      <c r="AS619" s="854"/>
      <c r="AT619" s="854"/>
      <c r="AU619" s="854"/>
      <c r="AV619" s="854"/>
      <c r="AW619" s="854"/>
      <c r="AX619" s="854"/>
      <c r="AY619" s="854"/>
      <c r="AZ619" s="854"/>
      <c r="BA619" s="854"/>
      <c r="BB619" s="854"/>
      <c r="BC619" s="854"/>
      <c r="BD619" s="854"/>
      <c r="BE619" s="854"/>
      <c r="BF619" s="854"/>
      <c r="BG619" s="854"/>
      <c r="BH619" s="854"/>
      <c r="BI619" s="854"/>
      <c r="BJ619" s="854"/>
      <c r="BK619" s="854"/>
      <c r="BL619" s="854"/>
      <c r="BM619" s="854"/>
      <c r="BN619" s="854"/>
      <c r="BO619" s="854"/>
      <c r="BP619" s="854"/>
      <c r="BQ619" s="854"/>
      <c r="BR619" s="854"/>
      <c r="BS619" s="854"/>
      <c r="BT619" s="854"/>
      <c r="BU619" s="854"/>
      <c r="BV619" s="854"/>
      <c r="BW619" s="854"/>
      <c r="BX619" s="854"/>
      <c r="BY619" s="854"/>
      <c r="BZ619" s="854"/>
      <c r="CA619" s="571">
        <f>IF(OR(I619="",I619&lt;'Configs &amp; Procedures'!$L$29),0,IF(I619&gt;'Configs &amp; Procedures'!$L$30,1,IF(F619&gt;'Configs &amp; Procedures'!$L$31,0,1)))</f>
        <v>0</v>
      </c>
    </row>
    <row r="620" spans="2:79">
      <c r="B620" s="854"/>
      <c r="C620" s="854"/>
      <c r="D620" s="854"/>
      <c r="E620" s="854"/>
      <c r="F620" s="854"/>
      <c r="G620" s="854"/>
      <c r="H620" s="854"/>
      <c r="I620" s="854"/>
      <c r="J620" s="854"/>
      <c r="K620" s="854"/>
      <c r="L620" s="854"/>
      <c r="M620" s="854"/>
      <c r="N620" s="854"/>
      <c r="O620" s="854"/>
      <c r="P620" s="854"/>
      <c r="Q620" s="854"/>
      <c r="R620" s="854"/>
      <c r="S620" s="854"/>
      <c r="T620" s="854"/>
      <c r="U620" s="854"/>
      <c r="V620" s="854"/>
      <c r="W620" s="854"/>
      <c r="X620" s="854"/>
      <c r="Y620" s="854"/>
      <c r="Z620" s="854"/>
      <c r="AA620" s="854"/>
      <c r="AB620" s="854"/>
      <c r="AC620" s="854"/>
      <c r="AD620" s="854"/>
      <c r="AE620" s="854"/>
      <c r="AF620" s="854"/>
      <c r="AG620" s="854"/>
      <c r="AH620" s="854"/>
      <c r="AI620" s="854"/>
      <c r="AJ620" s="854"/>
      <c r="AK620" s="854"/>
      <c r="AL620" s="854"/>
      <c r="AM620" s="854"/>
      <c r="AN620" s="854"/>
      <c r="AO620" s="854"/>
      <c r="AP620" s="854"/>
      <c r="AQ620" s="854"/>
      <c r="AR620" s="854"/>
      <c r="AS620" s="854"/>
      <c r="AT620" s="854"/>
      <c r="AU620" s="854"/>
      <c r="AV620" s="854"/>
      <c r="AW620" s="854"/>
      <c r="AX620" s="854"/>
      <c r="AY620" s="854"/>
      <c r="AZ620" s="854"/>
      <c r="BA620" s="854"/>
      <c r="BB620" s="854"/>
      <c r="BC620" s="854"/>
      <c r="BD620" s="854"/>
      <c r="BE620" s="854"/>
      <c r="BF620" s="854"/>
      <c r="BG620" s="854"/>
      <c r="BH620" s="854"/>
      <c r="BI620" s="854"/>
      <c r="BJ620" s="854"/>
      <c r="BK620" s="854"/>
      <c r="BL620" s="854"/>
      <c r="BM620" s="854"/>
      <c r="BN620" s="854"/>
      <c r="BO620" s="854"/>
      <c r="BP620" s="854"/>
      <c r="BQ620" s="854"/>
      <c r="BR620" s="854"/>
      <c r="BS620" s="854"/>
      <c r="BT620" s="854"/>
      <c r="BU620" s="854"/>
      <c r="BV620" s="854"/>
      <c r="BW620" s="854"/>
      <c r="BX620" s="854"/>
      <c r="BY620" s="854"/>
      <c r="BZ620" s="854"/>
      <c r="CA620" s="571">
        <f>IF(OR(I620="",I620&lt;'Configs &amp; Procedures'!$L$29),0,IF(I620&gt;'Configs &amp; Procedures'!$L$30,1,IF(F620&gt;'Configs &amp; Procedures'!$L$31,0,1)))</f>
        <v>0</v>
      </c>
    </row>
    <row r="621" spans="2:79">
      <c r="B621" s="854"/>
      <c r="C621" s="854"/>
      <c r="D621" s="854"/>
      <c r="E621" s="854"/>
      <c r="F621" s="854"/>
      <c r="G621" s="854"/>
      <c r="H621" s="854"/>
      <c r="I621" s="854"/>
      <c r="J621" s="854"/>
      <c r="K621" s="854"/>
      <c r="L621" s="854"/>
      <c r="M621" s="854"/>
      <c r="N621" s="854"/>
      <c r="O621" s="854"/>
      <c r="P621" s="854"/>
      <c r="Q621" s="854"/>
      <c r="R621" s="854"/>
      <c r="S621" s="854"/>
      <c r="T621" s="854"/>
      <c r="U621" s="854"/>
      <c r="V621" s="854"/>
      <c r="W621" s="854"/>
      <c r="X621" s="854"/>
      <c r="Y621" s="854"/>
      <c r="Z621" s="854"/>
      <c r="AA621" s="854"/>
      <c r="AB621" s="854"/>
      <c r="AC621" s="854"/>
      <c r="AD621" s="854"/>
      <c r="AE621" s="854"/>
      <c r="AF621" s="854"/>
      <c r="AG621" s="854"/>
      <c r="AH621" s="854"/>
      <c r="AI621" s="854"/>
      <c r="AJ621" s="854"/>
      <c r="AK621" s="854"/>
      <c r="AL621" s="854"/>
      <c r="AM621" s="854"/>
      <c r="AN621" s="854"/>
      <c r="AO621" s="854"/>
      <c r="AP621" s="854"/>
      <c r="AQ621" s="854"/>
      <c r="AR621" s="854"/>
      <c r="AS621" s="854"/>
      <c r="AT621" s="854"/>
      <c r="AU621" s="854"/>
      <c r="AV621" s="854"/>
      <c r="AW621" s="854"/>
      <c r="AX621" s="854"/>
      <c r="AY621" s="854"/>
      <c r="AZ621" s="854"/>
      <c r="BA621" s="854"/>
      <c r="BB621" s="854"/>
      <c r="BC621" s="854"/>
      <c r="BD621" s="854"/>
      <c r="BE621" s="854"/>
      <c r="BF621" s="854"/>
      <c r="BG621" s="854"/>
      <c r="BH621" s="854"/>
      <c r="BI621" s="854"/>
      <c r="BJ621" s="854"/>
      <c r="BK621" s="854"/>
      <c r="BL621" s="854"/>
      <c r="BM621" s="854"/>
      <c r="BN621" s="854"/>
      <c r="BO621" s="854"/>
      <c r="BP621" s="854"/>
      <c r="BQ621" s="854"/>
      <c r="BR621" s="854"/>
      <c r="BS621" s="854"/>
      <c r="BT621" s="854"/>
      <c r="BU621" s="854"/>
      <c r="BV621" s="854"/>
      <c r="BW621" s="854"/>
      <c r="BX621" s="854"/>
      <c r="BY621" s="854"/>
      <c r="BZ621" s="854"/>
      <c r="CA621" s="571">
        <f>IF(OR(I621="",I621&lt;'Configs &amp; Procedures'!$L$29),0,IF(I621&gt;'Configs &amp; Procedures'!$L$30,1,IF(F621&gt;'Configs &amp; Procedures'!$L$31,0,1)))</f>
        <v>0</v>
      </c>
    </row>
    <row r="622" spans="2:79">
      <c r="B622" s="854"/>
      <c r="C622" s="854"/>
      <c r="D622" s="854"/>
      <c r="E622" s="854"/>
      <c r="F622" s="854"/>
      <c r="G622" s="854"/>
      <c r="H622" s="854"/>
      <c r="I622" s="854"/>
      <c r="J622" s="854"/>
      <c r="K622" s="854"/>
      <c r="L622" s="854"/>
      <c r="M622" s="854"/>
      <c r="N622" s="854"/>
      <c r="O622" s="854"/>
      <c r="P622" s="854"/>
      <c r="Q622" s="854"/>
      <c r="R622" s="854"/>
      <c r="S622" s="854"/>
      <c r="T622" s="854"/>
      <c r="U622" s="854"/>
      <c r="V622" s="854"/>
      <c r="W622" s="854"/>
      <c r="X622" s="854"/>
      <c r="Y622" s="854"/>
      <c r="Z622" s="854"/>
      <c r="AA622" s="854"/>
      <c r="AB622" s="854"/>
      <c r="AC622" s="854"/>
      <c r="AD622" s="854"/>
      <c r="AE622" s="854"/>
      <c r="AF622" s="854"/>
      <c r="AG622" s="854"/>
      <c r="AH622" s="854"/>
      <c r="AI622" s="854"/>
      <c r="AJ622" s="854"/>
      <c r="AK622" s="854"/>
      <c r="AL622" s="854"/>
      <c r="AM622" s="854"/>
      <c r="AN622" s="854"/>
      <c r="AO622" s="854"/>
      <c r="AP622" s="854"/>
      <c r="AQ622" s="854"/>
      <c r="AR622" s="854"/>
      <c r="AS622" s="854"/>
      <c r="AT622" s="854"/>
      <c r="AU622" s="854"/>
      <c r="AV622" s="854"/>
      <c r="AW622" s="854"/>
      <c r="AX622" s="854"/>
      <c r="AY622" s="854"/>
      <c r="AZ622" s="854"/>
      <c r="BA622" s="854"/>
      <c r="BB622" s="854"/>
      <c r="BC622" s="854"/>
      <c r="BD622" s="854"/>
      <c r="BE622" s="854"/>
      <c r="BF622" s="854"/>
      <c r="BG622" s="854"/>
      <c r="BH622" s="854"/>
      <c r="BI622" s="854"/>
      <c r="BJ622" s="854"/>
      <c r="BK622" s="854"/>
      <c r="BL622" s="854"/>
      <c r="BM622" s="854"/>
      <c r="BN622" s="854"/>
      <c r="BO622" s="854"/>
      <c r="BP622" s="854"/>
      <c r="BQ622" s="854"/>
      <c r="BR622" s="854"/>
      <c r="BS622" s="854"/>
      <c r="BT622" s="854"/>
      <c r="BU622" s="854"/>
      <c r="BV622" s="854"/>
      <c r="BW622" s="854"/>
      <c r="BX622" s="854"/>
      <c r="BY622" s="854"/>
      <c r="BZ622" s="854"/>
      <c r="CA622" s="571">
        <f>IF(OR(I622="",I622&lt;'Configs &amp; Procedures'!$L$29),0,IF(I622&gt;'Configs &amp; Procedures'!$L$30,1,IF(F622&gt;'Configs &amp; Procedures'!$L$31,0,1)))</f>
        <v>0</v>
      </c>
    </row>
    <row r="623" spans="2:79">
      <c r="B623" s="854"/>
      <c r="C623" s="854"/>
      <c r="D623" s="854"/>
      <c r="E623" s="854"/>
      <c r="F623" s="854"/>
      <c r="G623" s="854"/>
      <c r="H623" s="854"/>
      <c r="I623" s="854"/>
      <c r="J623" s="854"/>
      <c r="K623" s="854"/>
      <c r="L623" s="854"/>
      <c r="M623" s="854"/>
      <c r="N623" s="854"/>
      <c r="O623" s="854"/>
      <c r="P623" s="854"/>
      <c r="Q623" s="854"/>
      <c r="R623" s="854"/>
      <c r="S623" s="854"/>
      <c r="T623" s="854"/>
      <c r="U623" s="854"/>
      <c r="V623" s="854"/>
      <c r="W623" s="854"/>
      <c r="X623" s="854"/>
      <c r="Y623" s="854"/>
      <c r="Z623" s="854"/>
      <c r="AA623" s="854"/>
      <c r="AB623" s="854"/>
      <c r="AC623" s="854"/>
      <c r="AD623" s="854"/>
      <c r="AE623" s="854"/>
      <c r="AF623" s="854"/>
      <c r="AG623" s="854"/>
      <c r="AH623" s="854"/>
      <c r="AI623" s="854"/>
      <c r="AJ623" s="854"/>
      <c r="AK623" s="854"/>
      <c r="AL623" s="854"/>
      <c r="AM623" s="854"/>
      <c r="AN623" s="854"/>
      <c r="AO623" s="854"/>
      <c r="AP623" s="854"/>
      <c r="AQ623" s="854"/>
      <c r="AR623" s="854"/>
      <c r="AS623" s="854"/>
      <c r="AT623" s="854"/>
      <c r="AU623" s="854"/>
      <c r="AV623" s="854"/>
      <c r="AW623" s="854"/>
      <c r="AX623" s="854"/>
      <c r="AY623" s="854"/>
      <c r="AZ623" s="854"/>
      <c r="BA623" s="854"/>
      <c r="BB623" s="854"/>
      <c r="BC623" s="854"/>
      <c r="BD623" s="854"/>
      <c r="BE623" s="854"/>
      <c r="BF623" s="854"/>
      <c r="BG623" s="854"/>
      <c r="BH623" s="854"/>
      <c r="BI623" s="854"/>
      <c r="BJ623" s="854"/>
      <c r="BK623" s="854"/>
      <c r="BL623" s="854"/>
      <c r="BM623" s="854"/>
      <c r="BN623" s="854"/>
      <c r="BO623" s="854"/>
      <c r="BP623" s="854"/>
      <c r="BQ623" s="854"/>
      <c r="BR623" s="854"/>
      <c r="BS623" s="854"/>
      <c r="BT623" s="854"/>
      <c r="BU623" s="854"/>
      <c r="BV623" s="854"/>
      <c r="BW623" s="854"/>
      <c r="BX623" s="854"/>
      <c r="BY623" s="854"/>
      <c r="BZ623" s="854"/>
      <c r="CA623" s="571">
        <f>IF(OR(I623="",I623&lt;'Configs &amp; Procedures'!$L$29),0,IF(I623&gt;'Configs &amp; Procedures'!$L$30,1,IF(F623&gt;'Configs &amp; Procedures'!$L$31,0,1)))</f>
        <v>0</v>
      </c>
    </row>
    <row r="624" spans="2:79">
      <c r="B624" s="854"/>
      <c r="C624" s="854"/>
      <c r="D624" s="854"/>
      <c r="E624" s="854"/>
      <c r="F624" s="854"/>
      <c r="G624" s="854"/>
      <c r="H624" s="854"/>
      <c r="I624" s="854"/>
      <c r="J624" s="854"/>
      <c r="K624" s="854"/>
      <c r="L624" s="854"/>
      <c r="M624" s="854"/>
      <c r="N624" s="854"/>
      <c r="O624" s="854"/>
      <c r="P624" s="854"/>
      <c r="Q624" s="854"/>
      <c r="R624" s="854"/>
      <c r="S624" s="854"/>
      <c r="T624" s="854"/>
      <c r="U624" s="854"/>
      <c r="V624" s="854"/>
      <c r="W624" s="854"/>
      <c r="X624" s="854"/>
      <c r="Y624" s="854"/>
      <c r="Z624" s="854"/>
      <c r="AA624" s="854"/>
      <c r="AB624" s="854"/>
      <c r="AC624" s="854"/>
      <c r="AD624" s="854"/>
      <c r="AE624" s="854"/>
      <c r="AF624" s="854"/>
      <c r="AG624" s="854"/>
      <c r="AH624" s="854"/>
      <c r="AI624" s="854"/>
      <c r="AJ624" s="854"/>
      <c r="AK624" s="854"/>
      <c r="AL624" s="854"/>
      <c r="AM624" s="854"/>
      <c r="AN624" s="854"/>
      <c r="AO624" s="854"/>
      <c r="AP624" s="854"/>
      <c r="AQ624" s="854"/>
      <c r="AR624" s="854"/>
      <c r="AS624" s="854"/>
      <c r="AT624" s="854"/>
      <c r="AU624" s="854"/>
      <c r="AV624" s="854"/>
      <c r="AW624" s="854"/>
      <c r="AX624" s="854"/>
      <c r="AY624" s="854"/>
      <c r="AZ624" s="854"/>
      <c r="BA624" s="854"/>
      <c r="BB624" s="854"/>
      <c r="BC624" s="854"/>
      <c r="BD624" s="854"/>
      <c r="BE624" s="854"/>
      <c r="BF624" s="854"/>
      <c r="BG624" s="854"/>
      <c r="BH624" s="854"/>
      <c r="BI624" s="854"/>
      <c r="BJ624" s="854"/>
      <c r="BK624" s="854"/>
      <c r="BL624" s="854"/>
      <c r="BM624" s="854"/>
      <c r="BN624" s="854"/>
      <c r="BO624" s="854"/>
      <c r="BP624" s="854"/>
      <c r="BQ624" s="854"/>
      <c r="BR624" s="854"/>
      <c r="BS624" s="854"/>
      <c r="BT624" s="854"/>
      <c r="BU624" s="854"/>
      <c r="BV624" s="854"/>
      <c r="BW624" s="854"/>
      <c r="BX624" s="854"/>
      <c r="BY624" s="854"/>
      <c r="BZ624" s="854"/>
      <c r="CA624" s="571">
        <f>IF(OR(I624="",I624&lt;'Configs &amp; Procedures'!$L$29),0,IF(I624&gt;'Configs &amp; Procedures'!$L$30,1,IF(F624&gt;'Configs &amp; Procedures'!$L$31,0,1)))</f>
        <v>0</v>
      </c>
    </row>
    <row r="625" spans="2:79">
      <c r="B625" s="854"/>
      <c r="C625" s="854"/>
      <c r="D625" s="854"/>
      <c r="E625" s="854"/>
      <c r="F625" s="854"/>
      <c r="G625" s="854"/>
      <c r="H625" s="854"/>
      <c r="I625" s="854"/>
      <c r="J625" s="854"/>
      <c r="K625" s="854"/>
      <c r="L625" s="854"/>
      <c r="M625" s="854"/>
      <c r="N625" s="854"/>
      <c r="O625" s="854"/>
      <c r="P625" s="854"/>
      <c r="Q625" s="854"/>
      <c r="R625" s="854"/>
      <c r="S625" s="854"/>
      <c r="T625" s="854"/>
      <c r="U625" s="854"/>
      <c r="V625" s="854"/>
      <c r="W625" s="854"/>
      <c r="X625" s="854"/>
      <c r="Y625" s="854"/>
      <c r="Z625" s="854"/>
      <c r="AA625" s="854"/>
      <c r="AB625" s="854"/>
      <c r="AC625" s="854"/>
      <c r="AD625" s="854"/>
      <c r="AE625" s="854"/>
      <c r="AF625" s="854"/>
      <c r="AG625" s="854"/>
      <c r="AH625" s="854"/>
      <c r="AI625" s="854"/>
      <c r="AJ625" s="854"/>
      <c r="AK625" s="854"/>
      <c r="AL625" s="854"/>
      <c r="AM625" s="854"/>
      <c r="AN625" s="854"/>
      <c r="AO625" s="854"/>
      <c r="AP625" s="854"/>
      <c r="AQ625" s="854"/>
      <c r="AR625" s="854"/>
      <c r="AS625" s="854"/>
      <c r="AT625" s="854"/>
      <c r="AU625" s="854"/>
      <c r="AV625" s="854"/>
      <c r="AW625" s="854"/>
      <c r="AX625" s="854"/>
      <c r="AY625" s="854"/>
      <c r="AZ625" s="854"/>
      <c r="BA625" s="854"/>
      <c r="BB625" s="854"/>
      <c r="BC625" s="854"/>
      <c r="BD625" s="854"/>
      <c r="BE625" s="854"/>
      <c r="BF625" s="854"/>
      <c r="BG625" s="854"/>
      <c r="BH625" s="854"/>
      <c r="BI625" s="854"/>
      <c r="BJ625" s="854"/>
      <c r="BK625" s="854"/>
      <c r="BL625" s="854"/>
      <c r="BM625" s="854"/>
      <c r="BN625" s="854"/>
      <c r="BO625" s="854"/>
      <c r="BP625" s="854"/>
      <c r="BQ625" s="854"/>
      <c r="BR625" s="854"/>
      <c r="BS625" s="854"/>
      <c r="BT625" s="854"/>
      <c r="BU625" s="854"/>
      <c r="BV625" s="854"/>
      <c r="BW625" s="854"/>
      <c r="BX625" s="854"/>
      <c r="BY625" s="854"/>
      <c r="BZ625" s="854"/>
      <c r="CA625" s="571">
        <f>IF(OR(I625="",I625&lt;'Configs &amp; Procedures'!$L$29),0,IF(I625&gt;'Configs &amp; Procedures'!$L$30,1,IF(F625&gt;'Configs &amp; Procedures'!$L$31,0,1)))</f>
        <v>0</v>
      </c>
    </row>
    <row r="626" spans="2:79">
      <c r="B626" s="854"/>
      <c r="C626" s="854"/>
      <c r="D626" s="854"/>
      <c r="E626" s="854"/>
      <c r="F626" s="854"/>
      <c r="G626" s="854"/>
      <c r="H626" s="854"/>
      <c r="I626" s="854"/>
      <c r="J626" s="854"/>
      <c r="K626" s="854"/>
      <c r="L626" s="854"/>
      <c r="M626" s="854"/>
      <c r="N626" s="854"/>
      <c r="O626" s="854"/>
      <c r="P626" s="854"/>
      <c r="Q626" s="854"/>
      <c r="R626" s="854"/>
      <c r="S626" s="854"/>
      <c r="T626" s="854"/>
      <c r="U626" s="854"/>
      <c r="V626" s="854"/>
      <c r="W626" s="854"/>
      <c r="X626" s="854"/>
      <c r="Y626" s="854"/>
      <c r="Z626" s="854"/>
      <c r="AA626" s="854"/>
      <c r="AB626" s="854"/>
      <c r="AC626" s="854"/>
      <c r="AD626" s="854"/>
      <c r="AE626" s="854"/>
      <c r="AF626" s="854"/>
      <c r="AG626" s="854"/>
      <c r="AH626" s="854"/>
      <c r="AI626" s="854"/>
      <c r="AJ626" s="854"/>
      <c r="AK626" s="854"/>
      <c r="AL626" s="854"/>
      <c r="AM626" s="854"/>
      <c r="AN626" s="854"/>
      <c r="AO626" s="854"/>
      <c r="AP626" s="854"/>
      <c r="AQ626" s="854"/>
      <c r="AR626" s="854"/>
      <c r="AS626" s="854"/>
      <c r="AT626" s="854"/>
      <c r="AU626" s="854"/>
      <c r="AV626" s="854"/>
      <c r="AW626" s="854"/>
      <c r="AX626" s="854"/>
      <c r="AY626" s="854"/>
      <c r="AZ626" s="854"/>
      <c r="BA626" s="854"/>
      <c r="BB626" s="854"/>
      <c r="BC626" s="854"/>
      <c r="BD626" s="854"/>
      <c r="BE626" s="854"/>
      <c r="BF626" s="854"/>
      <c r="BG626" s="854"/>
      <c r="BH626" s="854"/>
      <c r="BI626" s="854"/>
      <c r="BJ626" s="854"/>
      <c r="BK626" s="854"/>
      <c r="BL626" s="854"/>
      <c r="BM626" s="854"/>
      <c r="BN626" s="854"/>
      <c r="BO626" s="854"/>
      <c r="BP626" s="854"/>
      <c r="BQ626" s="854"/>
      <c r="BR626" s="854"/>
      <c r="BS626" s="854"/>
      <c r="BT626" s="854"/>
      <c r="BU626" s="854"/>
      <c r="BV626" s="854"/>
      <c r="BW626" s="854"/>
      <c r="BX626" s="854"/>
      <c r="BY626" s="854"/>
      <c r="BZ626" s="854"/>
      <c r="CA626" s="571">
        <f>IF(OR(I626="",I626&lt;'Configs &amp; Procedures'!$L$29),0,IF(I626&gt;'Configs &amp; Procedures'!$L$30,1,IF(F626&gt;'Configs &amp; Procedures'!$L$31,0,1)))</f>
        <v>0</v>
      </c>
    </row>
    <row r="627" spans="2:79">
      <c r="B627" s="854"/>
      <c r="C627" s="854"/>
      <c r="D627" s="854"/>
      <c r="E627" s="854"/>
      <c r="F627" s="854"/>
      <c r="G627" s="854"/>
      <c r="H627" s="854"/>
      <c r="I627" s="854"/>
      <c r="J627" s="854"/>
      <c r="K627" s="854"/>
      <c r="L627" s="854"/>
      <c r="M627" s="854"/>
      <c r="N627" s="854"/>
      <c r="O627" s="854"/>
      <c r="P627" s="854"/>
      <c r="Q627" s="854"/>
      <c r="R627" s="854"/>
      <c r="S627" s="854"/>
      <c r="T627" s="854"/>
      <c r="U627" s="854"/>
      <c r="V627" s="854"/>
      <c r="W627" s="854"/>
      <c r="X627" s="854"/>
      <c r="Y627" s="854"/>
      <c r="Z627" s="854"/>
      <c r="AA627" s="854"/>
      <c r="AB627" s="854"/>
      <c r="AC627" s="854"/>
      <c r="AD627" s="854"/>
      <c r="AE627" s="854"/>
      <c r="AF627" s="854"/>
      <c r="AG627" s="854"/>
      <c r="AH627" s="854"/>
      <c r="AI627" s="854"/>
      <c r="AJ627" s="854"/>
      <c r="AK627" s="854"/>
      <c r="AL627" s="854"/>
      <c r="AM627" s="854"/>
      <c r="AN627" s="854"/>
      <c r="AO627" s="854"/>
      <c r="AP627" s="854"/>
      <c r="AQ627" s="854"/>
      <c r="AR627" s="854"/>
      <c r="AS627" s="854"/>
      <c r="AT627" s="854"/>
      <c r="AU627" s="854"/>
      <c r="AV627" s="854"/>
      <c r="AW627" s="854"/>
      <c r="AX627" s="854"/>
      <c r="AY627" s="854"/>
      <c r="AZ627" s="854"/>
      <c r="BA627" s="854"/>
      <c r="BB627" s="854"/>
      <c r="BC627" s="854"/>
      <c r="BD627" s="854"/>
      <c r="BE627" s="854"/>
      <c r="BF627" s="854"/>
      <c r="BG627" s="854"/>
      <c r="BH627" s="854"/>
      <c r="BI627" s="854"/>
      <c r="BJ627" s="854"/>
      <c r="BK627" s="854"/>
      <c r="BL627" s="854"/>
      <c r="BM627" s="854"/>
      <c r="BN627" s="854"/>
      <c r="BO627" s="854"/>
      <c r="BP627" s="854"/>
      <c r="BQ627" s="854"/>
      <c r="BR627" s="854"/>
      <c r="BS627" s="854"/>
      <c r="BT627" s="854"/>
      <c r="BU627" s="854"/>
      <c r="BV627" s="854"/>
      <c r="BW627" s="854"/>
      <c r="BX627" s="854"/>
      <c r="BY627" s="854"/>
      <c r="BZ627" s="854"/>
      <c r="CA627" s="571">
        <f>IF(OR(I627="",I627&lt;'Configs &amp; Procedures'!$L$29),0,IF(I627&gt;'Configs &amp; Procedures'!$L$30,1,IF(F627&gt;'Configs &amp; Procedures'!$L$31,0,1)))</f>
        <v>0</v>
      </c>
    </row>
    <row r="628" spans="2:79">
      <c r="B628" s="854"/>
      <c r="C628" s="854"/>
      <c r="D628" s="854"/>
      <c r="E628" s="854"/>
      <c r="F628" s="854"/>
      <c r="G628" s="854"/>
      <c r="H628" s="854"/>
      <c r="I628" s="854"/>
      <c r="J628" s="854"/>
      <c r="K628" s="854"/>
      <c r="L628" s="854"/>
      <c r="M628" s="854"/>
      <c r="N628" s="854"/>
      <c r="O628" s="854"/>
      <c r="P628" s="854"/>
      <c r="Q628" s="854"/>
      <c r="R628" s="854"/>
      <c r="S628" s="854"/>
      <c r="T628" s="854"/>
      <c r="U628" s="854"/>
      <c r="V628" s="854"/>
      <c r="W628" s="854"/>
      <c r="X628" s="854"/>
      <c r="Y628" s="854"/>
      <c r="Z628" s="854"/>
      <c r="AA628" s="854"/>
      <c r="AB628" s="854"/>
      <c r="AC628" s="854"/>
      <c r="AD628" s="854"/>
      <c r="AE628" s="854"/>
      <c r="AF628" s="854"/>
      <c r="AG628" s="854"/>
      <c r="AH628" s="854"/>
      <c r="AI628" s="854"/>
      <c r="AJ628" s="854"/>
      <c r="AK628" s="854"/>
      <c r="AL628" s="854"/>
      <c r="AM628" s="854"/>
      <c r="AN628" s="854"/>
      <c r="AO628" s="854"/>
      <c r="AP628" s="854"/>
      <c r="AQ628" s="854"/>
      <c r="AR628" s="854"/>
      <c r="AS628" s="854"/>
      <c r="AT628" s="854"/>
      <c r="AU628" s="854"/>
      <c r="AV628" s="854"/>
      <c r="AW628" s="854"/>
      <c r="AX628" s="854"/>
      <c r="AY628" s="854"/>
      <c r="AZ628" s="854"/>
      <c r="BA628" s="854"/>
      <c r="BB628" s="854"/>
      <c r="BC628" s="854"/>
      <c r="BD628" s="854"/>
      <c r="BE628" s="854"/>
      <c r="BF628" s="854"/>
      <c r="BG628" s="854"/>
      <c r="BH628" s="854"/>
      <c r="BI628" s="854"/>
      <c r="BJ628" s="854"/>
      <c r="BK628" s="854"/>
      <c r="BL628" s="854"/>
      <c r="BM628" s="854"/>
      <c r="BN628" s="854"/>
      <c r="BO628" s="854"/>
      <c r="BP628" s="854"/>
      <c r="BQ628" s="854"/>
      <c r="BR628" s="854"/>
      <c r="BS628" s="854"/>
      <c r="BT628" s="854"/>
      <c r="BU628" s="854"/>
      <c r="BV628" s="854"/>
      <c r="BW628" s="854"/>
      <c r="BX628" s="854"/>
      <c r="BY628" s="854"/>
      <c r="BZ628" s="854"/>
      <c r="CA628" s="571">
        <f>IF(OR(I628="",I628&lt;'Configs &amp; Procedures'!$L$29),0,IF(I628&gt;'Configs &amp; Procedures'!$L$30,1,IF(F628&gt;'Configs &amp; Procedures'!$L$31,0,1)))</f>
        <v>0</v>
      </c>
    </row>
    <row r="629" spans="2:79">
      <c r="B629" s="854"/>
      <c r="C629" s="854"/>
      <c r="D629" s="854"/>
      <c r="E629" s="854"/>
      <c r="F629" s="854"/>
      <c r="G629" s="854"/>
      <c r="H629" s="854"/>
      <c r="I629" s="854"/>
      <c r="J629" s="854"/>
      <c r="K629" s="854"/>
      <c r="L629" s="854"/>
      <c r="M629" s="854"/>
      <c r="N629" s="854"/>
      <c r="O629" s="854"/>
      <c r="P629" s="854"/>
      <c r="Q629" s="854"/>
      <c r="R629" s="854"/>
      <c r="S629" s="854"/>
      <c r="T629" s="854"/>
      <c r="U629" s="854"/>
      <c r="V629" s="854"/>
      <c r="W629" s="854"/>
      <c r="X629" s="854"/>
      <c r="Y629" s="854"/>
      <c r="Z629" s="854"/>
      <c r="AA629" s="854"/>
      <c r="AB629" s="854"/>
      <c r="AC629" s="854"/>
      <c r="AD629" s="854"/>
      <c r="AE629" s="854"/>
      <c r="AF629" s="854"/>
      <c r="AG629" s="854"/>
      <c r="AH629" s="854"/>
      <c r="AI629" s="854"/>
      <c r="AJ629" s="854"/>
      <c r="AK629" s="854"/>
      <c r="AL629" s="854"/>
      <c r="AM629" s="854"/>
      <c r="AN629" s="854"/>
      <c r="AO629" s="854"/>
      <c r="AP629" s="854"/>
      <c r="AQ629" s="854"/>
      <c r="AR629" s="854"/>
      <c r="AS629" s="854"/>
      <c r="AT629" s="854"/>
      <c r="AU629" s="854"/>
      <c r="AV629" s="854"/>
      <c r="AW629" s="854"/>
      <c r="AX629" s="854"/>
      <c r="AY629" s="854"/>
      <c r="AZ629" s="854"/>
      <c r="BA629" s="854"/>
      <c r="BB629" s="854"/>
      <c r="BC629" s="854"/>
      <c r="BD629" s="854"/>
      <c r="BE629" s="854"/>
      <c r="BF629" s="854"/>
      <c r="BG629" s="854"/>
      <c r="BH629" s="854"/>
      <c r="BI629" s="854"/>
      <c r="BJ629" s="854"/>
      <c r="BK629" s="854"/>
      <c r="BL629" s="854"/>
      <c r="BM629" s="854"/>
      <c r="BN629" s="854"/>
      <c r="BO629" s="854"/>
      <c r="BP629" s="854"/>
      <c r="BQ629" s="854"/>
      <c r="BR629" s="854"/>
      <c r="BS629" s="854"/>
      <c r="BT629" s="854"/>
      <c r="BU629" s="854"/>
      <c r="BV629" s="854"/>
      <c r="BW629" s="854"/>
      <c r="BX629" s="854"/>
      <c r="BY629" s="854"/>
      <c r="BZ629" s="854"/>
      <c r="CA629" s="571">
        <f>IF(OR(I629="",I629&lt;'Configs &amp; Procedures'!$L$29),0,IF(I629&gt;'Configs &amp; Procedures'!$L$30,1,IF(F629&gt;'Configs &amp; Procedures'!$L$31,0,1)))</f>
        <v>0</v>
      </c>
    </row>
    <row r="630" spans="2:79">
      <c r="B630" s="854"/>
      <c r="C630" s="854"/>
      <c r="D630" s="854"/>
      <c r="E630" s="854"/>
      <c r="F630" s="854"/>
      <c r="G630" s="854"/>
      <c r="H630" s="854"/>
      <c r="I630" s="854"/>
      <c r="J630" s="854"/>
      <c r="K630" s="854"/>
      <c r="L630" s="854"/>
      <c r="M630" s="854"/>
      <c r="N630" s="854"/>
      <c r="O630" s="854"/>
      <c r="P630" s="854"/>
      <c r="Q630" s="854"/>
      <c r="R630" s="854"/>
      <c r="S630" s="854"/>
      <c r="T630" s="854"/>
      <c r="U630" s="854"/>
      <c r="V630" s="854"/>
      <c r="W630" s="854"/>
      <c r="X630" s="854"/>
      <c r="Y630" s="854"/>
      <c r="Z630" s="854"/>
      <c r="AA630" s="854"/>
      <c r="AB630" s="854"/>
      <c r="AC630" s="854"/>
      <c r="AD630" s="854"/>
      <c r="AE630" s="854"/>
      <c r="AF630" s="854"/>
      <c r="AG630" s="854"/>
      <c r="AH630" s="854"/>
      <c r="AI630" s="854"/>
      <c r="AJ630" s="854"/>
      <c r="AK630" s="854"/>
      <c r="AL630" s="854"/>
      <c r="AM630" s="854"/>
      <c r="AN630" s="854"/>
      <c r="AO630" s="854"/>
      <c r="AP630" s="854"/>
      <c r="AQ630" s="854"/>
      <c r="AR630" s="854"/>
      <c r="AS630" s="854"/>
      <c r="AT630" s="854"/>
      <c r="AU630" s="854"/>
      <c r="AV630" s="854"/>
      <c r="AW630" s="854"/>
      <c r="AX630" s="854"/>
      <c r="AY630" s="854"/>
      <c r="AZ630" s="854"/>
      <c r="BA630" s="854"/>
      <c r="BB630" s="854"/>
      <c r="BC630" s="854"/>
      <c r="BD630" s="854"/>
      <c r="BE630" s="854"/>
      <c r="BF630" s="854"/>
      <c r="BG630" s="854"/>
      <c r="BH630" s="854"/>
      <c r="BI630" s="854"/>
      <c r="BJ630" s="854"/>
      <c r="BK630" s="854"/>
      <c r="BL630" s="854"/>
      <c r="BM630" s="854"/>
      <c r="BN630" s="854"/>
      <c r="BO630" s="854"/>
      <c r="BP630" s="854"/>
      <c r="BQ630" s="854"/>
      <c r="BR630" s="854"/>
      <c r="BS630" s="854"/>
      <c r="BT630" s="854"/>
      <c r="BU630" s="854"/>
      <c r="BV630" s="854"/>
      <c r="BW630" s="854"/>
      <c r="BX630" s="854"/>
      <c r="BY630" s="854"/>
      <c r="BZ630" s="854"/>
      <c r="CA630" s="571">
        <f>IF(OR(I630="",I630&lt;'Configs &amp; Procedures'!$L$29),0,IF(I630&gt;'Configs &amp; Procedures'!$L$30,1,IF(F630&gt;'Configs &amp; Procedures'!$L$31,0,1)))</f>
        <v>0</v>
      </c>
    </row>
    <row r="631" spans="2:79">
      <c r="B631" s="854"/>
      <c r="C631" s="854"/>
      <c r="D631" s="854"/>
      <c r="E631" s="854"/>
      <c r="F631" s="854"/>
      <c r="G631" s="854"/>
      <c r="H631" s="854"/>
      <c r="I631" s="854"/>
      <c r="J631" s="854"/>
      <c r="K631" s="854"/>
      <c r="L631" s="854"/>
      <c r="M631" s="854"/>
      <c r="N631" s="854"/>
      <c r="O631" s="854"/>
      <c r="P631" s="854"/>
      <c r="Q631" s="854"/>
      <c r="R631" s="854"/>
      <c r="S631" s="854"/>
      <c r="T631" s="854"/>
      <c r="U631" s="854"/>
      <c r="V631" s="854"/>
      <c r="W631" s="854"/>
      <c r="X631" s="854"/>
      <c r="Y631" s="854"/>
      <c r="Z631" s="854"/>
      <c r="AA631" s="854"/>
      <c r="AB631" s="854"/>
      <c r="AC631" s="854"/>
      <c r="AD631" s="854"/>
      <c r="AE631" s="854"/>
      <c r="AF631" s="854"/>
      <c r="AG631" s="854"/>
      <c r="AH631" s="854"/>
      <c r="AI631" s="854"/>
      <c r="AJ631" s="854"/>
      <c r="AK631" s="854"/>
      <c r="AL631" s="854"/>
      <c r="AM631" s="854"/>
      <c r="AN631" s="854"/>
      <c r="AO631" s="854"/>
      <c r="AP631" s="854"/>
      <c r="AQ631" s="854"/>
      <c r="AR631" s="854"/>
      <c r="AS631" s="854"/>
      <c r="AT631" s="854"/>
      <c r="AU631" s="854"/>
      <c r="AV631" s="854"/>
      <c r="AW631" s="854"/>
      <c r="AX631" s="854"/>
      <c r="AY631" s="854"/>
      <c r="AZ631" s="854"/>
      <c r="BA631" s="854"/>
      <c r="BB631" s="854"/>
      <c r="BC631" s="854"/>
      <c r="BD631" s="854"/>
      <c r="BE631" s="854"/>
      <c r="BF631" s="854"/>
      <c r="BG631" s="854"/>
      <c r="BH631" s="854"/>
      <c r="BI631" s="854"/>
      <c r="BJ631" s="854"/>
      <c r="BK631" s="854"/>
      <c r="BL631" s="854"/>
      <c r="BM631" s="854"/>
      <c r="BN631" s="854"/>
      <c r="BO631" s="854"/>
      <c r="BP631" s="854"/>
      <c r="BQ631" s="854"/>
      <c r="BR631" s="854"/>
      <c r="BS631" s="854"/>
      <c r="BT631" s="854"/>
      <c r="BU631" s="854"/>
      <c r="BV631" s="854"/>
      <c r="BW631" s="854"/>
      <c r="BX631" s="854"/>
      <c r="BY631" s="854"/>
      <c r="BZ631" s="854"/>
      <c r="CA631" s="571">
        <f>IF(OR(I631="",I631&lt;'Configs &amp; Procedures'!$L$29),0,IF(I631&gt;'Configs &amp; Procedures'!$L$30,1,IF(F631&gt;'Configs &amp; Procedures'!$L$31,0,1)))</f>
        <v>0</v>
      </c>
    </row>
    <row r="632" spans="2:79">
      <c r="B632" s="854"/>
      <c r="C632" s="854"/>
      <c r="D632" s="854"/>
      <c r="E632" s="854"/>
      <c r="F632" s="854"/>
      <c r="G632" s="854"/>
      <c r="H632" s="854"/>
      <c r="I632" s="854"/>
      <c r="J632" s="854"/>
      <c r="K632" s="854"/>
      <c r="L632" s="854"/>
      <c r="M632" s="854"/>
      <c r="N632" s="854"/>
      <c r="O632" s="854"/>
      <c r="P632" s="854"/>
      <c r="Q632" s="854"/>
      <c r="R632" s="854"/>
      <c r="S632" s="854"/>
      <c r="T632" s="854"/>
      <c r="U632" s="854"/>
      <c r="V632" s="854"/>
      <c r="W632" s="854"/>
      <c r="X632" s="854"/>
      <c r="Y632" s="854"/>
      <c r="Z632" s="854"/>
      <c r="AA632" s="854"/>
      <c r="AB632" s="854"/>
      <c r="AC632" s="854"/>
      <c r="AD632" s="854"/>
      <c r="AE632" s="854"/>
      <c r="AF632" s="854"/>
      <c r="AG632" s="854"/>
      <c r="AH632" s="854"/>
      <c r="AI632" s="854"/>
      <c r="AJ632" s="854"/>
      <c r="AK632" s="854"/>
      <c r="AL632" s="854"/>
      <c r="AM632" s="854"/>
      <c r="AN632" s="854"/>
      <c r="AO632" s="854"/>
      <c r="AP632" s="854"/>
      <c r="AQ632" s="854"/>
      <c r="AR632" s="854"/>
      <c r="AS632" s="854"/>
      <c r="AT632" s="854"/>
      <c r="AU632" s="854"/>
      <c r="AV632" s="854"/>
      <c r="AW632" s="854"/>
      <c r="AX632" s="854"/>
      <c r="AY632" s="854"/>
      <c r="AZ632" s="854"/>
      <c r="BA632" s="854"/>
      <c r="BB632" s="854"/>
      <c r="BC632" s="854"/>
      <c r="BD632" s="854"/>
      <c r="BE632" s="854"/>
      <c r="BF632" s="854"/>
      <c r="BG632" s="854"/>
      <c r="BH632" s="854"/>
      <c r="BI632" s="854"/>
      <c r="BJ632" s="854"/>
      <c r="BK632" s="854"/>
      <c r="BL632" s="854"/>
      <c r="BM632" s="854"/>
      <c r="BN632" s="854"/>
      <c r="BO632" s="854"/>
      <c r="BP632" s="854"/>
      <c r="BQ632" s="854"/>
      <c r="BR632" s="854"/>
      <c r="BS632" s="854"/>
      <c r="BT632" s="854"/>
      <c r="BU632" s="854"/>
      <c r="BV632" s="854"/>
      <c r="BW632" s="854"/>
      <c r="BX632" s="854"/>
      <c r="BY632" s="854"/>
      <c r="BZ632" s="854"/>
      <c r="CA632" s="571">
        <f>IF(OR(I632="",I632&lt;'Configs &amp; Procedures'!$L$29),0,IF(I632&gt;'Configs &amp; Procedures'!$L$30,1,IF(F632&gt;'Configs &amp; Procedures'!$L$31,0,1)))</f>
        <v>0</v>
      </c>
    </row>
    <row r="633" spans="2:79">
      <c r="B633" s="854"/>
      <c r="C633" s="854"/>
      <c r="D633" s="854"/>
      <c r="E633" s="854"/>
      <c r="F633" s="854"/>
      <c r="G633" s="854"/>
      <c r="H633" s="854"/>
      <c r="I633" s="854"/>
      <c r="J633" s="854"/>
      <c r="K633" s="854"/>
      <c r="L633" s="854"/>
      <c r="M633" s="854"/>
      <c r="N633" s="854"/>
      <c r="O633" s="854"/>
      <c r="P633" s="854"/>
      <c r="Q633" s="854"/>
      <c r="R633" s="854"/>
      <c r="S633" s="854"/>
      <c r="T633" s="854"/>
      <c r="U633" s="854"/>
      <c r="V633" s="854"/>
      <c r="W633" s="854"/>
      <c r="X633" s="854"/>
      <c r="Y633" s="854"/>
      <c r="Z633" s="854"/>
      <c r="AA633" s="854"/>
      <c r="AB633" s="854"/>
      <c r="AC633" s="854"/>
      <c r="AD633" s="854"/>
      <c r="AE633" s="854"/>
      <c r="AF633" s="854"/>
      <c r="AG633" s="854"/>
      <c r="AH633" s="854"/>
      <c r="AI633" s="854"/>
      <c r="AJ633" s="854"/>
      <c r="AK633" s="854"/>
      <c r="AL633" s="854"/>
      <c r="AM633" s="854"/>
      <c r="AN633" s="854"/>
      <c r="AO633" s="854"/>
      <c r="AP633" s="854"/>
      <c r="AQ633" s="854"/>
      <c r="AR633" s="854"/>
      <c r="AS633" s="854"/>
      <c r="AT633" s="854"/>
      <c r="AU633" s="854"/>
      <c r="AV633" s="854"/>
      <c r="AW633" s="854"/>
      <c r="AX633" s="854"/>
      <c r="AY633" s="854"/>
      <c r="AZ633" s="854"/>
      <c r="BA633" s="854"/>
      <c r="BB633" s="854"/>
      <c r="BC633" s="854"/>
      <c r="BD633" s="854"/>
      <c r="BE633" s="854"/>
      <c r="BF633" s="854"/>
      <c r="BG633" s="854"/>
      <c r="BH633" s="854"/>
      <c r="BI633" s="854"/>
      <c r="BJ633" s="854"/>
      <c r="BK633" s="854"/>
      <c r="BL633" s="854"/>
      <c r="BM633" s="854"/>
      <c r="BN633" s="854"/>
      <c r="BO633" s="854"/>
      <c r="BP633" s="854"/>
      <c r="BQ633" s="854"/>
      <c r="BR633" s="854"/>
      <c r="BS633" s="854"/>
      <c r="BT633" s="854"/>
      <c r="BU633" s="854"/>
      <c r="BV633" s="854"/>
      <c r="BW633" s="854"/>
      <c r="BX633" s="854"/>
      <c r="BY633" s="854"/>
      <c r="BZ633" s="854"/>
      <c r="CA633" s="571">
        <f>IF(OR(I633="",I633&lt;'Configs &amp; Procedures'!$L$29),0,IF(I633&gt;'Configs &amp; Procedures'!$L$30,1,IF(F633&gt;'Configs &amp; Procedures'!$L$31,0,1)))</f>
        <v>0</v>
      </c>
    </row>
    <row r="634" spans="2:79">
      <c r="B634" s="854"/>
      <c r="C634" s="854"/>
      <c r="D634" s="854"/>
      <c r="E634" s="854"/>
      <c r="F634" s="854"/>
      <c r="G634" s="854"/>
      <c r="H634" s="854"/>
      <c r="I634" s="854"/>
      <c r="J634" s="854"/>
      <c r="K634" s="854"/>
      <c r="L634" s="854"/>
      <c r="M634" s="854"/>
      <c r="N634" s="854"/>
      <c r="O634" s="854"/>
      <c r="P634" s="854"/>
      <c r="Q634" s="854"/>
      <c r="R634" s="854"/>
      <c r="S634" s="854"/>
      <c r="T634" s="854"/>
      <c r="U634" s="854"/>
      <c r="V634" s="854"/>
      <c r="W634" s="854"/>
      <c r="X634" s="854"/>
      <c r="Y634" s="854"/>
      <c r="Z634" s="854"/>
      <c r="AA634" s="854"/>
      <c r="AB634" s="854"/>
      <c r="AC634" s="854"/>
      <c r="AD634" s="854"/>
      <c r="AE634" s="854"/>
      <c r="AF634" s="854"/>
      <c r="AG634" s="854"/>
      <c r="AH634" s="854"/>
      <c r="AI634" s="854"/>
      <c r="AJ634" s="854"/>
      <c r="AK634" s="854"/>
      <c r="AL634" s="854"/>
      <c r="AM634" s="854"/>
      <c r="AN634" s="854"/>
      <c r="AO634" s="854"/>
      <c r="AP634" s="854"/>
      <c r="AQ634" s="854"/>
      <c r="AR634" s="854"/>
      <c r="AS634" s="854"/>
      <c r="AT634" s="854"/>
      <c r="AU634" s="854"/>
      <c r="AV634" s="854"/>
      <c r="AW634" s="854"/>
      <c r="AX634" s="854"/>
      <c r="AY634" s="854"/>
      <c r="AZ634" s="854"/>
      <c r="BA634" s="854"/>
      <c r="BB634" s="854"/>
      <c r="BC634" s="854"/>
      <c r="BD634" s="854"/>
      <c r="BE634" s="854"/>
      <c r="BF634" s="854"/>
      <c r="BG634" s="854"/>
      <c r="BH634" s="854"/>
      <c r="BI634" s="854"/>
      <c r="BJ634" s="854"/>
      <c r="BK634" s="854"/>
      <c r="BL634" s="854"/>
      <c r="BM634" s="854"/>
      <c r="BN634" s="854"/>
      <c r="BO634" s="854"/>
      <c r="BP634" s="854"/>
      <c r="BQ634" s="854"/>
      <c r="BR634" s="854"/>
      <c r="BS634" s="854"/>
      <c r="BT634" s="854"/>
      <c r="BU634" s="854"/>
      <c r="BV634" s="854"/>
      <c r="BW634" s="854"/>
      <c r="BX634" s="854"/>
      <c r="BY634" s="854"/>
      <c r="BZ634" s="854"/>
      <c r="CA634" s="571">
        <f>IF(OR(I634="",I634&lt;'Configs &amp; Procedures'!$L$29),0,IF(I634&gt;'Configs &amp; Procedures'!$L$30,1,IF(F634&gt;'Configs &amp; Procedures'!$L$31,0,1)))</f>
        <v>0</v>
      </c>
    </row>
    <row r="635" spans="2:79">
      <c r="B635" s="854"/>
      <c r="C635" s="854"/>
      <c r="D635" s="854"/>
      <c r="E635" s="854"/>
      <c r="F635" s="854"/>
      <c r="G635" s="854"/>
      <c r="H635" s="854"/>
      <c r="I635" s="854"/>
      <c r="J635" s="854"/>
      <c r="K635" s="854"/>
      <c r="L635" s="854"/>
      <c r="M635" s="854"/>
      <c r="N635" s="854"/>
      <c r="O635" s="854"/>
      <c r="P635" s="854"/>
      <c r="Q635" s="854"/>
      <c r="R635" s="854"/>
      <c r="S635" s="854"/>
      <c r="T635" s="854"/>
      <c r="U635" s="854"/>
      <c r="V635" s="854"/>
      <c r="W635" s="854"/>
      <c r="X635" s="854"/>
      <c r="Y635" s="854"/>
      <c r="Z635" s="854"/>
      <c r="AA635" s="854"/>
      <c r="AB635" s="854"/>
      <c r="AC635" s="854"/>
      <c r="AD635" s="854"/>
      <c r="AE635" s="854"/>
      <c r="AF635" s="854"/>
      <c r="AG635" s="854"/>
      <c r="AH635" s="854"/>
      <c r="AI635" s="854"/>
      <c r="AJ635" s="854"/>
      <c r="AK635" s="854"/>
      <c r="AL635" s="854"/>
      <c r="AM635" s="854"/>
      <c r="AN635" s="854"/>
      <c r="AO635" s="854"/>
      <c r="AP635" s="854"/>
      <c r="AQ635" s="854"/>
      <c r="AR635" s="854"/>
      <c r="AS635" s="854"/>
      <c r="AT635" s="854"/>
      <c r="AU635" s="854"/>
      <c r="AV635" s="854"/>
      <c r="AW635" s="854"/>
      <c r="AX635" s="854"/>
      <c r="AY635" s="854"/>
      <c r="AZ635" s="854"/>
      <c r="BA635" s="854"/>
      <c r="BB635" s="854"/>
      <c r="BC635" s="854"/>
      <c r="BD635" s="854"/>
      <c r="BE635" s="854"/>
      <c r="BF635" s="854"/>
      <c r="BG635" s="854"/>
      <c r="BH635" s="854"/>
      <c r="BI635" s="854"/>
      <c r="BJ635" s="854"/>
      <c r="BK635" s="854"/>
      <c r="BL635" s="854"/>
      <c r="BM635" s="854"/>
      <c r="BN635" s="854"/>
      <c r="BO635" s="854"/>
      <c r="BP635" s="854"/>
      <c r="BQ635" s="854"/>
      <c r="BR635" s="854"/>
      <c r="BS635" s="854"/>
      <c r="BT635" s="854"/>
      <c r="BU635" s="854"/>
      <c r="BV635" s="854"/>
      <c r="BW635" s="854"/>
      <c r="BX635" s="854"/>
      <c r="BY635" s="854"/>
      <c r="BZ635" s="854"/>
      <c r="CA635" s="571">
        <f>IF(OR(I635="",I635&lt;'Configs &amp; Procedures'!$L$29),0,IF(I635&gt;'Configs &amp; Procedures'!$L$30,1,IF(F635&gt;'Configs &amp; Procedures'!$L$31,0,1)))</f>
        <v>0</v>
      </c>
    </row>
    <row r="636" spans="2:79">
      <c r="B636" s="854"/>
      <c r="C636" s="854"/>
      <c r="D636" s="854"/>
      <c r="E636" s="854"/>
      <c r="F636" s="854"/>
      <c r="G636" s="854"/>
      <c r="H636" s="854"/>
      <c r="I636" s="854"/>
      <c r="J636" s="854"/>
      <c r="K636" s="854"/>
      <c r="L636" s="854"/>
      <c r="M636" s="854"/>
      <c r="N636" s="854"/>
      <c r="O636" s="854"/>
      <c r="P636" s="854"/>
      <c r="Q636" s="854"/>
      <c r="R636" s="854"/>
      <c r="S636" s="854"/>
      <c r="T636" s="854"/>
      <c r="U636" s="854"/>
      <c r="V636" s="854"/>
      <c r="W636" s="854"/>
      <c r="X636" s="854"/>
      <c r="Y636" s="854"/>
      <c r="Z636" s="854"/>
      <c r="AA636" s="854"/>
      <c r="AB636" s="854"/>
      <c r="AC636" s="854"/>
      <c r="AD636" s="854"/>
      <c r="AE636" s="854"/>
      <c r="AF636" s="854"/>
      <c r="AG636" s="854"/>
      <c r="AH636" s="854"/>
      <c r="AI636" s="854"/>
      <c r="AJ636" s="854"/>
      <c r="AK636" s="854"/>
      <c r="AL636" s="854"/>
      <c r="AM636" s="854"/>
      <c r="AN636" s="854"/>
      <c r="AO636" s="854"/>
      <c r="AP636" s="854"/>
      <c r="AQ636" s="854"/>
      <c r="AR636" s="854"/>
      <c r="AS636" s="854"/>
      <c r="AT636" s="854"/>
      <c r="AU636" s="854"/>
      <c r="AV636" s="854"/>
      <c r="AW636" s="854"/>
      <c r="AX636" s="854"/>
      <c r="AY636" s="854"/>
      <c r="AZ636" s="854"/>
      <c r="BA636" s="854"/>
      <c r="BB636" s="854"/>
      <c r="BC636" s="854"/>
      <c r="BD636" s="854"/>
      <c r="BE636" s="854"/>
      <c r="BF636" s="854"/>
      <c r="BG636" s="854"/>
      <c r="BH636" s="854"/>
      <c r="BI636" s="854"/>
      <c r="BJ636" s="854"/>
      <c r="BK636" s="854"/>
      <c r="BL636" s="854"/>
      <c r="BM636" s="854"/>
      <c r="BN636" s="854"/>
      <c r="BO636" s="854"/>
      <c r="BP636" s="854"/>
      <c r="BQ636" s="854"/>
      <c r="BR636" s="854"/>
      <c r="BS636" s="854"/>
      <c r="BT636" s="854"/>
      <c r="BU636" s="854"/>
      <c r="BV636" s="854"/>
      <c r="BW636" s="854"/>
      <c r="BX636" s="854"/>
      <c r="BY636" s="854"/>
      <c r="BZ636" s="854"/>
      <c r="CA636" s="571">
        <f>IF(OR(I636="",I636&lt;'Configs &amp; Procedures'!$L$29),0,IF(I636&gt;'Configs &amp; Procedures'!$L$30,1,IF(F636&gt;'Configs &amp; Procedures'!$L$31,0,1)))</f>
        <v>0</v>
      </c>
    </row>
    <row r="637" spans="2:79">
      <c r="B637" s="854"/>
      <c r="C637" s="854"/>
      <c r="D637" s="854"/>
      <c r="E637" s="854"/>
      <c r="F637" s="854"/>
      <c r="G637" s="854"/>
      <c r="H637" s="854"/>
      <c r="I637" s="854"/>
      <c r="J637" s="854"/>
      <c r="K637" s="854"/>
      <c r="L637" s="854"/>
      <c r="M637" s="854"/>
      <c r="N637" s="854"/>
      <c r="O637" s="854"/>
      <c r="P637" s="854"/>
      <c r="Q637" s="854"/>
      <c r="R637" s="854"/>
      <c r="S637" s="854"/>
      <c r="T637" s="854"/>
      <c r="U637" s="854"/>
      <c r="V637" s="854"/>
      <c r="W637" s="854"/>
      <c r="X637" s="854"/>
      <c r="Y637" s="854"/>
      <c r="Z637" s="854"/>
      <c r="AA637" s="854"/>
      <c r="AB637" s="854"/>
      <c r="AC637" s="854"/>
      <c r="AD637" s="854"/>
      <c r="AE637" s="854"/>
      <c r="AF637" s="854"/>
      <c r="AG637" s="854"/>
      <c r="AH637" s="854"/>
      <c r="AI637" s="854"/>
      <c r="AJ637" s="854"/>
      <c r="AK637" s="854"/>
      <c r="AL637" s="854"/>
      <c r="AM637" s="854"/>
      <c r="AN637" s="854"/>
      <c r="AO637" s="854"/>
      <c r="AP637" s="854"/>
      <c r="AQ637" s="854"/>
      <c r="AR637" s="854"/>
      <c r="AS637" s="854"/>
      <c r="AT637" s="854"/>
      <c r="AU637" s="854"/>
      <c r="AV637" s="854"/>
      <c r="AW637" s="854"/>
      <c r="AX637" s="854"/>
      <c r="AY637" s="854"/>
      <c r="AZ637" s="854"/>
      <c r="BA637" s="854"/>
      <c r="BB637" s="854"/>
      <c r="BC637" s="854"/>
      <c r="BD637" s="854"/>
      <c r="BE637" s="854"/>
      <c r="BF637" s="854"/>
      <c r="BG637" s="854"/>
      <c r="BH637" s="854"/>
      <c r="BI637" s="854"/>
      <c r="BJ637" s="854"/>
      <c r="BK637" s="854"/>
      <c r="BL637" s="854"/>
      <c r="BM637" s="854"/>
      <c r="BN637" s="854"/>
      <c r="BO637" s="854"/>
      <c r="BP637" s="854"/>
      <c r="BQ637" s="854"/>
      <c r="BR637" s="854"/>
      <c r="BS637" s="854"/>
      <c r="BT637" s="854"/>
      <c r="BU637" s="854"/>
      <c r="BV637" s="854"/>
      <c r="BW637" s="854"/>
      <c r="BX637" s="854"/>
      <c r="BY637" s="854"/>
      <c r="BZ637" s="854"/>
      <c r="CA637" s="571">
        <f>IF(OR(I637="",I637&lt;'Configs &amp; Procedures'!$L$29),0,IF(I637&gt;'Configs &amp; Procedures'!$L$30,1,IF(F637&gt;'Configs &amp; Procedures'!$L$31,0,1)))</f>
        <v>0</v>
      </c>
    </row>
    <row r="638" spans="2:79">
      <c r="B638" s="854"/>
      <c r="C638" s="854"/>
      <c r="D638" s="854"/>
      <c r="E638" s="854"/>
      <c r="F638" s="854"/>
      <c r="G638" s="854"/>
      <c r="H638" s="854"/>
      <c r="I638" s="854"/>
      <c r="J638" s="854"/>
      <c r="K638" s="854"/>
      <c r="L638" s="854"/>
      <c r="M638" s="854"/>
      <c r="N638" s="854"/>
      <c r="O638" s="854"/>
      <c r="P638" s="854"/>
      <c r="Q638" s="854"/>
      <c r="R638" s="854"/>
      <c r="S638" s="854"/>
      <c r="T638" s="854"/>
      <c r="U638" s="854"/>
      <c r="V638" s="854"/>
      <c r="W638" s="854"/>
      <c r="X638" s="854"/>
      <c r="Y638" s="854"/>
      <c r="Z638" s="854"/>
      <c r="AA638" s="854"/>
      <c r="AB638" s="854"/>
      <c r="AC638" s="854"/>
      <c r="AD638" s="854"/>
      <c r="AE638" s="854"/>
      <c r="AF638" s="854"/>
      <c r="AG638" s="854"/>
      <c r="AH638" s="854"/>
      <c r="AI638" s="854"/>
      <c r="AJ638" s="854"/>
      <c r="AK638" s="854"/>
      <c r="AL638" s="854"/>
      <c r="AM638" s="854"/>
      <c r="AN638" s="854"/>
      <c r="AO638" s="854"/>
      <c r="AP638" s="854"/>
      <c r="AQ638" s="854"/>
      <c r="AR638" s="854"/>
      <c r="AS638" s="854"/>
      <c r="AT638" s="854"/>
      <c r="AU638" s="854"/>
      <c r="AV638" s="854"/>
      <c r="AW638" s="854"/>
      <c r="AX638" s="854"/>
      <c r="AY638" s="854"/>
      <c r="AZ638" s="854"/>
      <c r="BA638" s="854"/>
      <c r="BB638" s="854"/>
      <c r="BC638" s="854"/>
      <c r="BD638" s="854"/>
      <c r="BE638" s="854"/>
      <c r="BF638" s="854"/>
      <c r="BG638" s="854"/>
      <c r="BH638" s="854"/>
      <c r="BI638" s="854"/>
      <c r="BJ638" s="854"/>
      <c r="BK638" s="854"/>
      <c r="BL638" s="854"/>
      <c r="BM638" s="854"/>
      <c r="BN638" s="854"/>
      <c r="BO638" s="854"/>
      <c r="BP638" s="854"/>
      <c r="BQ638" s="854"/>
      <c r="BR638" s="854"/>
      <c r="BS638" s="854"/>
      <c r="BT638" s="854"/>
      <c r="BU638" s="854"/>
      <c r="BV638" s="854"/>
      <c r="BW638" s="854"/>
      <c r="BX638" s="854"/>
      <c r="BY638" s="854"/>
      <c r="BZ638" s="854"/>
      <c r="CA638" s="571">
        <f>IF(OR(I638="",I638&lt;'Configs &amp; Procedures'!$L$29),0,IF(I638&gt;'Configs &amp; Procedures'!$L$30,1,IF(F638&gt;'Configs &amp; Procedures'!$L$31,0,1)))</f>
        <v>0</v>
      </c>
    </row>
    <row r="639" spans="2:79">
      <c r="B639" s="854"/>
      <c r="C639" s="854"/>
      <c r="D639" s="854"/>
      <c r="E639" s="854"/>
      <c r="F639" s="854"/>
      <c r="G639" s="854"/>
      <c r="H639" s="854"/>
      <c r="I639" s="854"/>
      <c r="J639" s="854"/>
      <c r="K639" s="854"/>
      <c r="L639" s="854"/>
      <c r="M639" s="854"/>
      <c r="N639" s="854"/>
      <c r="O639" s="854"/>
      <c r="P639" s="854"/>
      <c r="Q639" s="854"/>
      <c r="R639" s="854"/>
      <c r="S639" s="854"/>
      <c r="T639" s="854"/>
      <c r="U639" s="854"/>
      <c r="V639" s="854"/>
      <c r="W639" s="854"/>
      <c r="X639" s="854"/>
      <c r="Y639" s="854"/>
      <c r="Z639" s="854"/>
      <c r="AA639" s="854"/>
      <c r="AB639" s="854"/>
      <c r="AC639" s="854"/>
      <c r="AD639" s="854"/>
      <c r="AE639" s="854"/>
      <c r="AF639" s="854"/>
      <c r="AG639" s="854"/>
      <c r="AH639" s="854"/>
      <c r="AI639" s="854"/>
      <c r="AJ639" s="854"/>
      <c r="AK639" s="854"/>
      <c r="AL639" s="854"/>
      <c r="AM639" s="854"/>
      <c r="AN639" s="854"/>
      <c r="AO639" s="854"/>
      <c r="AP639" s="854"/>
      <c r="AQ639" s="854"/>
      <c r="AR639" s="854"/>
      <c r="AS639" s="854"/>
      <c r="AT639" s="854"/>
      <c r="AU639" s="854"/>
      <c r="AV639" s="854"/>
      <c r="AW639" s="854"/>
      <c r="AX639" s="854"/>
      <c r="AY639" s="854"/>
      <c r="AZ639" s="854"/>
      <c r="BA639" s="854"/>
      <c r="BB639" s="854"/>
      <c r="BC639" s="854"/>
      <c r="BD639" s="854"/>
      <c r="BE639" s="854"/>
      <c r="BF639" s="854"/>
      <c r="BG639" s="854"/>
      <c r="BH639" s="854"/>
      <c r="BI639" s="854"/>
      <c r="BJ639" s="854"/>
      <c r="BK639" s="854"/>
      <c r="BL639" s="854"/>
      <c r="BM639" s="854"/>
      <c r="BN639" s="854"/>
      <c r="BO639" s="854"/>
      <c r="BP639" s="854"/>
      <c r="BQ639" s="854"/>
      <c r="BR639" s="854"/>
      <c r="BS639" s="854"/>
      <c r="BT639" s="854"/>
      <c r="BU639" s="854"/>
      <c r="BV639" s="854"/>
      <c r="BW639" s="854"/>
      <c r="BX639" s="854"/>
      <c r="BY639" s="854"/>
      <c r="BZ639" s="854"/>
      <c r="CA639" s="571">
        <f>IF(OR(I639="",I639&lt;'Configs &amp; Procedures'!$L$29),0,IF(I639&gt;'Configs &amp; Procedures'!$L$30,1,IF(F639&gt;'Configs &amp; Procedures'!$L$31,0,1)))</f>
        <v>0</v>
      </c>
    </row>
    <row r="640" spans="2:79">
      <c r="B640" s="854"/>
      <c r="C640" s="854"/>
      <c r="D640" s="854"/>
      <c r="E640" s="854"/>
      <c r="F640" s="854"/>
      <c r="G640" s="854"/>
      <c r="H640" s="854"/>
      <c r="I640" s="854"/>
      <c r="J640" s="854"/>
      <c r="K640" s="854"/>
      <c r="L640" s="854"/>
      <c r="M640" s="854"/>
      <c r="N640" s="854"/>
      <c r="O640" s="854"/>
      <c r="P640" s="854"/>
      <c r="Q640" s="854"/>
      <c r="R640" s="854"/>
      <c r="S640" s="854"/>
      <c r="T640" s="854"/>
      <c r="U640" s="854"/>
      <c r="V640" s="854"/>
      <c r="W640" s="854"/>
      <c r="X640" s="854"/>
      <c r="Y640" s="854"/>
      <c r="Z640" s="854"/>
      <c r="AA640" s="854"/>
      <c r="AB640" s="854"/>
      <c r="AC640" s="854"/>
      <c r="AD640" s="854"/>
      <c r="AE640" s="854"/>
      <c r="AF640" s="854"/>
      <c r="AG640" s="854"/>
      <c r="AH640" s="854"/>
      <c r="AI640" s="854"/>
      <c r="AJ640" s="854"/>
      <c r="AK640" s="854"/>
      <c r="AL640" s="854"/>
      <c r="AM640" s="854"/>
      <c r="AN640" s="854"/>
      <c r="AO640" s="854"/>
      <c r="AP640" s="854"/>
      <c r="AQ640" s="854"/>
      <c r="AR640" s="854"/>
      <c r="AS640" s="854"/>
      <c r="AT640" s="854"/>
      <c r="AU640" s="854"/>
      <c r="AV640" s="854"/>
      <c r="AW640" s="854"/>
      <c r="AX640" s="854"/>
      <c r="AY640" s="854"/>
      <c r="AZ640" s="854"/>
      <c r="BA640" s="854"/>
      <c r="BB640" s="854"/>
      <c r="BC640" s="854"/>
      <c r="BD640" s="854"/>
      <c r="BE640" s="854"/>
      <c r="BF640" s="854"/>
      <c r="BG640" s="854"/>
      <c r="BH640" s="854"/>
      <c r="BI640" s="854"/>
      <c r="BJ640" s="854"/>
      <c r="BK640" s="854"/>
      <c r="BL640" s="854"/>
      <c r="BM640" s="854"/>
      <c r="BN640" s="854"/>
      <c r="BO640" s="854"/>
      <c r="BP640" s="854"/>
      <c r="BQ640" s="854"/>
      <c r="BR640" s="854"/>
      <c r="BS640" s="854"/>
      <c r="BT640" s="854"/>
      <c r="BU640" s="854"/>
      <c r="BV640" s="854"/>
      <c r="BW640" s="854"/>
      <c r="BX640" s="854"/>
      <c r="BY640" s="854"/>
      <c r="BZ640" s="854"/>
      <c r="CA640" s="571">
        <f>IF(OR(I640="",I640&lt;'Configs &amp; Procedures'!$L$29),0,IF(I640&gt;'Configs &amp; Procedures'!$L$30,1,IF(F640&gt;'Configs &amp; Procedures'!$L$31,0,1)))</f>
        <v>0</v>
      </c>
    </row>
    <row r="641" spans="2:79">
      <c r="B641" s="854"/>
      <c r="C641" s="854"/>
      <c r="D641" s="854"/>
      <c r="E641" s="854"/>
      <c r="F641" s="854"/>
      <c r="G641" s="854"/>
      <c r="H641" s="854"/>
      <c r="I641" s="854"/>
      <c r="J641" s="854"/>
      <c r="K641" s="854"/>
      <c r="L641" s="854"/>
      <c r="M641" s="854"/>
      <c r="N641" s="854"/>
      <c r="O641" s="854"/>
      <c r="P641" s="854"/>
      <c r="Q641" s="854"/>
      <c r="R641" s="854"/>
      <c r="S641" s="854"/>
      <c r="T641" s="854"/>
      <c r="U641" s="854"/>
      <c r="V641" s="854"/>
      <c r="W641" s="854"/>
      <c r="X641" s="854"/>
      <c r="Y641" s="854"/>
      <c r="Z641" s="854"/>
      <c r="AA641" s="854"/>
      <c r="AB641" s="854"/>
      <c r="AC641" s="854"/>
      <c r="AD641" s="854"/>
      <c r="AE641" s="854"/>
      <c r="AF641" s="854"/>
      <c r="AG641" s="854"/>
      <c r="AH641" s="854"/>
      <c r="AI641" s="854"/>
      <c r="AJ641" s="854"/>
      <c r="AK641" s="854"/>
      <c r="AL641" s="854"/>
      <c r="AM641" s="854"/>
      <c r="AN641" s="854"/>
      <c r="AO641" s="854"/>
      <c r="AP641" s="854"/>
      <c r="AQ641" s="854"/>
      <c r="AR641" s="854"/>
      <c r="AS641" s="854"/>
      <c r="AT641" s="854"/>
      <c r="AU641" s="854"/>
      <c r="AV641" s="854"/>
      <c r="AW641" s="854"/>
      <c r="AX641" s="854"/>
      <c r="AY641" s="854"/>
      <c r="AZ641" s="854"/>
      <c r="BA641" s="854"/>
      <c r="BB641" s="854"/>
      <c r="BC641" s="854"/>
      <c r="BD641" s="854"/>
      <c r="BE641" s="854"/>
      <c r="BF641" s="854"/>
      <c r="BG641" s="854"/>
      <c r="BH641" s="854"/>
      <c r="BI641" s="854"/>
      <c r="BJ641" s="854"/>
      <c r="BK641" s="854"/>
      <c r="BL641" s="854"/>
      <c r="BM641" s="854"/>
      <c r="BN641" s="854"/>
      <c r="BO641" s="854"/>
      <c r="BP641" s="854"/>
      <c r="BQ641" s="854"/>
      <c r="BR641" s="854"/>
      <c r="BS641" s="854"/>
      <c r="BT641" s="854"/>
      <c r="BU641" s="854"/>
      <c r="BV641" s="854"/>
      <c r="BW641" s="854"/>
      <c r="BX641" s="854"/>
      <c r="BY641" s="854"/>
      <c r="BZ641" s="854"/>
      <c r="CA641" s="571">
        <f>IF(OR(I641="",I641&lt;'Configs &amp; Procedures'!$L$29),0,IF(I641&gt;'Configs &amp; Procedures'!$L$30,1,IF(F641&gt;'Configs &amp; Procedures'!$L$31,0,1)))</f>
        <v>0</v>
      </c>
    </row>
    <row r="642" spans="2:79">
      <c r="B642" s="854"/>
      <c r="C642" s="854"/>
      <c r="D642" s="854"/>
      <c r="E642" s="854"/>
      <c r="F642" s="854"/>
      <c r="G642" s="854"/>
      <c r="H642" s="854"/>
      <c r="I642" s="854"/>
      <c r="J642" s="854"/>
      <c r="K642" s="854"/>
      <c r="L642" s="854"/>
      <c r="M642" s="854"/>
      <c r="N642" s="854"/>
      <c r="O642" s="854"/>
      <c r="P642" s="854"/>
      <c r="Q642" s="854"/>
      <c r="R642" s="854"/>
      <c r="S642" s="854"/>
      <c r="T642" s="854"/>
      <c r="U642" s="854"/>
      <c r="V642" s="854"/>
      <c r="W642" s="854"/>
      <c r="X642" s="854"/>
      <c r="Y642" s="854"/>
      <c r="Z642" s="854"/>
      <c r="AA642" s="854"/>
      <c r="AB642" s="854"/>
      <c r="AC642" s="854"/>
      <c r="AD642" s="854"/>
      <c r="AE642" s="854"/>
      <c r="AF642" s="854"/>
      <c r="AG642" s="854"/>
      <c r="AH642" s="854"/>
      <c r="AI642" s="854"/>
      <c r="AJ642" s="854"/>
      <c r="AK642" s="854"/>
      <c r="AL642" s="854"/>
      <c r="AM642" s="854"/>
      <c r="AN642" s="854"/>
      <c r="AO642" s="854"/>
      <c r="AP642" s="854"/>
      <c r="AQ642" s="854"/>
      <c r="AR642" s="854"/>
      <c r="AS642" s="854"/>
      <c r="AT642" s="854"/>
      <c r="AU642" s="854"/>
      <c r="AV642" s="854"/>
      <c r="AW642" s="854"/>
      <c r="AX642" s="854"/>
      <c r="AY642" s="854"/>
      <c r="AZ642" s="854"/>
      <c r="BA642" s="854"/>
      <c r="BB642" s="854"/>
      <c r="BC642" s="854"/>
      <c r="BD642" s="854"/>
      <c r="BE642" s="854"/>
      <c r="BF642" s="854"/>
      <c r="BG642" s="854"/>
      <c r="BH642" s="854"/>
      <c r="BI642" s="854"/>
      <c r="BJ642" s="854"/>
      <c r="BK642" s="854"/>
      <c r="BL642" s="854"/>
      <c r="BM642" s="854"/>
      <c r="BN642" s="854"/>
      <c r="BO642" s="854"/>
      <c r="BP642" s="854"/>
      <c r="BQ642" s="854"/>
      <c r="BR642" s="854"/>
      <c r="BS642" s="854"/>
      <c r="BT642" s="854"/>
      <c r="BU642" s="854"/>
      <c r="BV642" s="854"/>
      <c r="BW642" s="854"/>
      <c r="BX642" s="854"/>
      <c r="BY642" s="854"/>
      <c r="BZ642" s="854"/>
      <c r="CA642" s="571">
        <f>IF(OR(I642="",I642&lt;'Configs &amp; Procedures'!$L$29),0,IF(I642&gt;'Configs &amp; Procedures'!$L$30,1,IF(F642&gt;'Configs &amp; Procedures'!$L$31,0,1)))</f>
        <v>0</v>
      </c>
    </row>
    <row r="643" spans="2:79">
      <c r="B643" s="854"/>
      <c r="C643" s="854"/>
      <c r="D643" s="854"/>
      <c r="E643" s="854"/>
      <c r="F643" s="854"/>
      <c r="G643" s="854"/>
      <c r="H643" s="854"/>
      <c r="I643" s="854"/>
      <c r="J643" s="854"/>
      <c r="K643" s="854"/>
      <c r="L643" s="854"/>
      <c r="M643" s="854"/>
      <c r="N643" s="854"/>
      <c r="O643" s="854"/>
      <c r="P643" s="854"/>
      <c r="Q643" s="854"/>
      <c r="R643" s="854"/>
      <c r="S643" s="854"/>
      <c r="T643" s="854"/>
      <c r="U643" s="854"/>
      <c r="V643" s="854"/>
      <c r="W643" s="854"/>
      <c r="X643" s="854"/>
      <c r="Y643" s="854"/>
      <c r="Z643" s="854"/>
      <c r="AA643" s="854"/>
      <c r="AB643" s="854"/>
      <c r="AC643" s="854"/>
      <c r="AD643" s="854"/>
      <c r="AE643" s="854"/>
      <c r="AF643" s="854"/>
      <c r="AG643" s="854"/>
      <c r="AH643" s="854"/>
      <c r="AI643" s="854"/>
      <c r="AJ643" s="854"/>
      <c r="AK643" s="854"/>
      <c r="AL643" s="854"/>
      <c r="AM643" s="854"/>
      <c r="AN643" s="854"/>
      <c r="AO643" s="854"/>
      <c r="AP643" s="854"/>
      <c r="AQ643" s="854"/>
      <c r="AR643" s="854"/>
      <c r="AS643" s="854"/>
      <c r="AT643" s="854"/>
      <c r="AU643" s="854"/>
      <c r="AV643" s="854"/>
      <c r="AW643" s="854"/>
      <c r="AX643" s="854"/>
      <c r="AY643" s="854"/>
      <c r="AZ643" s="854"/>
      <c r="BA643" s="854"/>
      <c r="BB643" s="854"/>
      <c r="BC643" s="854"/>
      <c r="BD643" s="854"/>
      <c r="BE643" s="854"/>
      <c r="BF643" s="854"/>
      <c r="BG643" s="854"/>
      <c r="BH643" s="854"/>
      <c r="BI643" s="854"/>
      <c r="BJ643" s="854"/>
      <c r="BK643" s="854"/>
      <c r="BL643" s="854"/>
      <c r="BM643" s="854"/>
      <c r="BN643" s="854"/>
      <c r="BO643" s="854"/>
      <c r="BP643" s="854"/>
      <c r="BQ643" s="854"/>
      <c r="BR643" s="854"/>
      <c r="BS643" s="854"/>
      <c r="BT643" s="854"/>
      <c r="BU643" s="854"/>
      <c r="BV643" s="854"/>
      <c r="BW643" s="854"/>
      <c r="BX643" s="854"/>
      <c r="BY643" s="854"/>
      <c r="BZ643" s="854"/>
      <c r="CA643" s="571">
        <f>IF(OR(I643="",I643&lt;'Configs &amp; Procedures'!$L$29),0,IF(I643&gt;'Configs &amp; Procedures'!$L$30,1,IF(F643&gt;'Configs &amp; Procedures'!$L$31,0,1)))</f>
        <v>0</v>
      </c>
    </row>
    <row r="644" spans="2:79">
      <c r="B644" s="854"/>
      <c r="C644" s="854"/>
      <c r="D644" s="854"/>
      <c r="E644" s="854"/>
      <c r="F644" s="854"/>
      <c r="G644" s="854"/>
      <c r="H644" s="854"/>
      <c r="I644" s="854"/>
      <c r="J644" s="854"/>
      <c r="K644" s="854"/>
      <c r="L644" s="854"/>
      <c r="M644" s="854"/>
      <c r="N644" s="854"/>
      <c r="O644" s="854"/>
      <c r="P644" s="854"/>
      <c r="Q644" s="854"/>
      <c r="R644" s="854"/>
      <c r="S644" s="854"/>
      <c r="T644" s="854"/>
      <c r="U644" s="854"/>
      <c r="V644" s="854"/>
      <c r="W644" s="854"/>
      <c r="X644" s="854"/>
      <c r="Y644" s="854"/>
      <c r="Z644" s="854"/>
      <c r="AA644" s="854"/>
      <c r="AB644" s="854"/>
      <c r="AC644" s="854"/>
      <c r="AD644" s="854"/>
      <c r="AE644" s="854"/>
      <c r="AF644" s="854"/>
      <c r="AG644" s="854"/>
      <c r="AH644" s="854"/>
      <c r="AI644" s="854"/>
      <c r="AJ644" s="854"/>
      <c r="AK644" s="854"/>
      <c r="AL644" s="854"/>
      <c r="AM644" s="854"/>
      <c r="AN644" s="854"/>
      <c r="AO644" s="854"/>
      <c r="AP644" s="854"/>
      <c r="AQ644" s="854"/>
      <c r="AR644" s="854"/>
      <c r="AS644" s="854"/>
      <c r="AT644" s="854"/>
      <c r="AU644" s="854"/>
      <c r="AV644" s="854"/>
      <c r="AW644" s="854"/>
      <c r="AX644" s="854"/>
      <c r="AY644" s="854"/>
      <c r="AZ644" s="854"/>
      <c r="BA644" s="854"/>
      <c r="BB644" s="854"/>
      <c r="BC644" s="854"/>
      <c r="BD644" s="854"/>
      <c r="BE644" s="854"/>
      <c r="BF644" s="854"/>
      <c r="BG644" s="854"/>
      <c r="BH644" s="854"/>
      <c r="BI644" s="854"/>
      <c r="BJ644" s="854"/>
      <c r="BK644" s="854"/>
      <c r="BL644" s="854"/>
      <c r="BM644" s="854"/>
      <c r="BN644" s="854"/>
      <c r="BO644" s="854"/>
      <c r="BP644" s="854"/>
      <c r="BQ644" s="854"/>
      <c r="BR644" s="854"/>
      <c r="BS644" s="854"/>
      <c r="BT644" s="854"/>
      <c r="BU644" s="854"/>
      <c r="BV644" s="854"/>
      <c r="BW644" s="854"/>
      <c r="BX644" s="854"/>
      <c r="BY644" s="854"/>
      <c r="BZ644" s="854"/>
      <c r="CA644" s="571">
        <f>IF(OR(I644="",I644&lt;'Configs &amp; Procedures'!$L$29),0,IF(I644&gt;'Configs &amp; Procedures'!$L$30,1,IF(F644&gt;'Configs &amp; Procedures'!$L$31,0,1)))</f>
        <v>0</v>
      </c>
    </row>
    <row r="645" spans="2:79">
      <c r="B645" s="854"/>
      <c r="C645" s="854"/>
      <c r="D645" s="854"/>
      <c r="E645" s="854"/>
      <c r="F645" s="854"/>
      <c r="G645" s="854"/>
      <c r="H645" s="854"/>
      <c r="I645" s="854"/>
      <c r="J645" s="854"/>
      <c r="K645" s="854"/>
      <c r="L645" s="854"/>
      <c r="M645" s="854"/>
      <c r="N645" s="854"/>
      <c r="O645" s="854"/>
      <c r="P645" s="854"/>
      <c r="Q645" s="854"/>
      <c r="R645" s="854"/>
      <c r="S645" s="854"/>
      <c r="T645" s="854"/>
      <c r="U645" s="854"/>
      <c r="V645" s="854"/>
      <c r="W645" s="854"/>
      <c r="X645" s="854"/>
      <c r="Y645" s="854"/>
      <c r="Z645" s="854"/>
      <c r="AA645" s="854"/>
      <c r="AB645" s="854"/>
      <c r="AC645" s="854"/>
      <c r="AD645" s="854"/>
      <c r="AE645" s="854"/>
      <c r="AF645" s="854"/>
      <c r="AG645" s="854"/>
      <c r="AH645" s="854"/>
      <c r="AI645" s="854"/>
      <c r="AJ645" s="854"/>
      <c r="AK645" s="854"/>
      <c r="AL645" s="854"/>
      <c r="AM645" s="854"/>
      <c r="AN645" s="854"/>
      <c r="AO645" s="854"/>
      <c r="AP645" s="854"/>
      <c r="AQ645" s="854"/>
      <c r="AR645" s="854"/>
      <c r="AS645" s="854"/>
      <c r="AT645" s="854"/>
      <c r="AU645" s="854"/>
      <c r="AV645" s="854"/>
      <c r="AW645" s="854"/>
      <c r="AX645" s="854"/>
      <c r="AY645" s="854"/>
      <c r="AZ645" s="854"/>
      <c r="BA645" s="854"/>
      <c r="BB645" s="854"/>
      <c r="BC645" s="854"/>
      <c r="BD645" s="854"/>
      <c r="BE645" s="854"/>
      <c r="BF645" s="854"/>
      <c r="BG645" s="854"/>
      <c r="BH645" s="854"/>
      <c r="BI645" s="854"/>
      <c r="BJ645" s="854"/>
      <c r="BK645" s="854"/>
      <c r="BL645" s="854"/>
      <c r="BM645" s="854"/>
      <c r="BN645" s="854"/>
      <c r="BO645" s="854"/>
      <c r="BP645" s="854"/>
      <c r="BQ645" s="854"/>
      <c r="BR645" s="854"/>
      <c r="BS645" s="854"/>
      <c r="BT645" s="854"/>
      <c r="BU645" s="854"/>
      <c r="BV645" s="854"/>
      <c r="BW645" s="854"/>
      <c r="BX645" s="854"/>
      <c r="BY645" s="854"/>
      <c r="BZ645" s="854"/>
      <c r="CA645" s="571">
        <f>IF(OR(I645="",I645&lt;'Configs &amp; Procedures'!$L$29),0,IF(I645&gt;'Configs &amp; Procedures'!$L$30,1,IF(F645&gt;'Configs &amp; Procedures'!$L$31,0,1)))</f>
        <v>0</v>
      </c>
    </row>
    <row r="646" spans="2:79">
      <c r="B646" s="854"/>
      <c r="C646" s="854"/>
      <c r="D646" s="854"/>
      <c r="E646" s="854"/>
      <c r="F646" s="854"/>
      <c r="G646" s="854"/>
      <c r="H646" s="854"/>
      <c r="I646" s="854"/>
      <c r="J646" s="854"/>
      <c r="K646" s="854"/>
      <c r="L646" s="854"/>
      <c r="M646" s="854"/>
      <c r="N646" s="854"/>
      <c r="O646" s="854"/>
      <c r="P646" s="854"/>
      <c r="Q646" s="854"/>
      <c r="R646" s="854"/>
      <c r="S646" s="854"/>
      <c r="T646" s="854"/>
      <c r="U646" s="854"/>
      <c r="V646" s="854"/>
      <c r="W646" s="854"/>
      <c r="X646" s="854"/>
      <c r="Y646" s="854"/>
      <c r="Z646" s="854"/>
      <c r="AA646" s="854"/>
      <c r="AB646" s="854"/>
      <c r="AC646" s="854"/>
      <c r="AD646" s="854"/>
      <c r="AE646" s="854"/>
      <c r="AF646" s="854"/>
      <c r="AG646" s="854"/>
      <c r="AH646" s="854"/>
      <c r="AI646" s="854"/>
      <c r="AJ646" s="854"/>
      <c r="AK646" s="854"/>
      <c r="AL646" s="854"/>
      <c r="AM646" s="854"/>
      <c r="AN646" s="854"/>
      <c r="AO646" s="854"/>
      <c r="AP646" s="854"/>
      <c r="AQ646" s="854"/>
      <c r="AR646" s="854"/>
      <c r="AS646" s="854"/>
      <c r="AT646" s="854"/>
      <c r="AU646" s="854"/>
      <c r="AV646" s="854"/>
      <c r="AW646" s="854"/>
      <c r="AX646" s="854"/>
      <c r="AY646" s="854"/>
      <c r="AZ646" s="854"/>
      <c r="BA646" s="854"/>
      <c r="BB646" s="854"/>
      <c r="BC646" s="854"/>
      <c r="BD646" s="854"/>
      <c r="BE646" s="854"/>
      <c r="BF646" s="854"/>
      <c r="BG646" s="854"/>
      <c r="BH646" s="854"/>
      <c r="BI646" s="854"/>
      <c r="BJ646" s="854"/>
      <c r="BK646" s="854"/>
      <c r="BL646" s="854"/>
      <c r="BM646" s="854"/>
      <c r="BN646" s="854"/>
      <c r="BO646" s="854"/>
      <c r="BP646" s="854"/>
      <c r="BQ646" s="854"/>
      <c r="BR646" s="854"/>
      <c r="BS646" s="854"/>
      <c r="BT646" s="854"/>
      <c r="BU646" s="854"/>
      <c r="BV646" s="854"/>
      <c r="BW646" s="854"/>
      <c r="BX646" s="854"/>
      <c r="BY646" s="854"/>
      <c r="BZ646" s="854"/>
      <c r="CA646" s="571">
        <f>IF(OR(I646="",I646&lt;'Configs &amp; Procedures'!$L$29),0,IF(I646&gt;'Configs &amp; Procedures'!$L$30,1,IF(F646&gt;'Configs &amp; Procedures'!$L$31,0,1)))</f>
        <v>0</v>
      </c>
    </row>
    <row r="647" spans="2:79">
      <c r="B647" s="854"/>
      <c r="C647" s="854"/>
      <c r="D647" s="854"/>
      <c r="E647" s="854"/>
      <c r="F647" s="854"/>
      <c r="G647" s="854"/>
      <c r="H647" s="854"/>
      <c r="I647" s="854"/>
      <c r="J647" s="854"/>
      <c r="K647" s="854"/>
      <c r="L647" s="854"/>
      <c r="M647" s="854"/>
      <c r="N647" s="854"/>
      <c r="O647" s="854"/>
      <c r="P647" s="854"/>
      <c r="Q647" s="854"/>
      <c r="R647" s="854"/>
      <c r="S647" s="854"/>
      <c r="T647" s="854"/>
      <c r="U647" s="854"/>
      <c r="V647" s="854"/>
      <c r="W647" s="854"/>
      <c r="X647" s="854"/>
      <c r="Y647" s="854"/>
      <c r="Z647" s="854"/>
      <c r="AA647" s="854"/>
      <c r="AB647" s="854"/>
      <c r="AC647" s="854"/>
      <c r="AD647" s="854"/>
      <c r="AE647" s="854"/>
      <c r="AF647" s="854"/>
      <c r="AG647" s="854"/>
      <c r="AH647" s="854"/>
      <c r="AI647" s="854"/>
      <c r="AJ647" s="854"/>
      <c r="AK647" s="854"/>
      <c r="AL647" s="854"/>
      <c r="AM647" s="854"/>
      <c r="AN647" s="854"/>
      <c r="AO647" s="854"/>
      <c r="AP647" s="854"/>
      <c r="AQ647" s="854"/>
      <c r="AR647" s="854"/>
      <c r="AS647" s="854"/>
      <c r="AT647" s="854"/>
      <c r="AU647" s="854"/>
      <c r="AV647" s="854"/>
      <c r="AW647" s="854"/>
      <c r="AX647" s="854"/>
      <c r="AY647" s="854"/>
      <c r="AZ647" s="854"/>
      <c r="BA647" s="854"/>
      <c r="BB647" s="854"/>
      <c r="BC647" s="854"/>
      <c r="BD647" s="854"/>
      <c r="BE647" s="854"/>
      <c r="BF647" s="854"/>
      <c r="BG647" s="854"/>
      <c r="BH647" s="854"/>
      <c r="BI647" s="854"/>
      <c r="BJ647" s="854"/>
      <c r="BK647" s="854"/>
      <c r="BL647" s="854"/>
      <c r="BM647" s="854"/>
      <c r="BN647" s="854"/>
      <c r="BO647" s="854"/>
      <c r="BP647" s="854"/>
      <c r="BQ647" s="854"/>
      <c r="BR647" s="854"/>
      <c r="BS647" s="854"/>
      <c r="BT647" s="854"/>
      <c r="BU647" s="854"/>
      <c r="BV647" s="854"/>
      <c r="BW647" s="854"/>
      <c r="BX647" s="854"/>
      <c r="BY647" s="854"/>
      <c r="BZ647" s="854"/>
      <c r="CA647" s="571">
        <f>IF(OR(I647="",I647&lt;'Configs &amp; Procedures'!$L$29),0,IF(I647&gt;'Configs &amp; Procedures'!$L$30,1,IF(F647&gt;'Configs &amp; Procedures'!$L$31,0,1)))</f>
        <v>0</v>
      </c>
    </row>
    <row r="648" spans="2:79">
      <c r="B648" s="854"/>
      <c r="C648" s="854"/>
      <c r="D648" s="854"/>
      <c r="E648" s="854"/>
      <c r="F648" s="854"/>
      <c r="G648" s="854"/>
      <c r="H648" s="854"/>
      <c r="I648" s="854"/>
      <c r="J648" s="854"/>
      <c r="K648" s="854"/>
      <c r="L648" s="854"/>
      <c r="M648" s="854"/>
      <c r="N648" s="854"/>
      <c r="O648" s="854"/>
      <c r="P648" s="854"/>
      <c r="Q648" s="854"/>
      <c r="R648" s="854"/>
      <c r="S648" s="854"/>
      <c r="T648" s="854"/>
      <c r="U648" s="854"/>
      <c r="V648" s="854"/>
      <c r="W648" s="854"/>
      <c r="X648" s="854"/>
      <c r="Y648" s="854"/>
      <c r="Z648" s="854"/>
      <c r="AA648" s="854"/>
      <c r="AB648" s="854"/>
      <c r="AC648" s="854"/>
      <c r="AD648" s="854"/>
      <c r="AE648" s="854"/>
      <c r="AF648" s="854"/>
      <c r="AG648" s="854"/>
      <c r="AH648" s="854"/>
      <c r="AI648" s="854"/>
      <c r="AJ648" s="854"/>
      <c r="AK648" s="854"/>
      <c r="AL648" s="854"/>
      <c r="AM648" s="854"/>
      <c r="AN648" s="854"/>
      <c r="AO648" s="854"/>
      <c r="AP648" s="854"/>
      <c r="AQ648" s="854"/>
      <c r="AR648" s="854"/>
      <c r="AS648" s="854"/>
      <c r="AT648" s="854"/>
      <c r="AU648" s="854"/>
      <c r="AV648" s="854"/>
      <c r="AW648" s="854"/>
      <c r="AX648" s="854"/>
      <c r="AY648" s="854"/>
      <c r="AZ648" s="854"/>
      <c r="BA648" s="854"/>
      <c r="BB648" s="854"/>
      <c r="BC648" s="854"/>
      <c r="BD648" s="854"/>
      <c r="BE648" s="854"/>
      <c r="BF648" s="854"/>
      <c r="BG648" s="854"/>
      <c r="BH648" s="854"/>
      <c r="BI648" s="854"/>
      <c r="BJ648" s="854"/>
      <c r="BK648" s="854"/>
      <c r="BL648" s="854"/>
      <c r="BM648" s="854"/>
      <c r="BN648" s="854"/>
      <c r="BO648" s="854"/>
      <c r="BP648" s="854"/>
      <c r="BQ648" s="854"/>
      <c r="BR648" s="854"/>
      <c r="BS648" s="854"/>
      <c r="BT648" s="854"/>
      <c r="BU648" s="854"/>
      <c r="BV648" s="854"/>
      <c r="BW648" s="854"/>
      <c r="BX648" s="854"/>
      <c r="BY648" s="854"/>
      <c r="BZ648" s="854"/>
      <c r="CA648" s="571">
        <f>IF(OR(I648="",I648&lt;'Configs &amp; Procedures'!$L$29),0,IF(I648&gt;'Configs &amp; Procedures'!$L$30,1,IF(F648&gt;'Configs &amp; Procedures'!$L$31,0,1)))</f>
        <v>0</v>
      </c>
    </row>
    <row r="649" spans="2:79">
      <c r="B649" s="854"/>
      <c r="C649" s="854"/>
      <c r="D649" s="854"/>
      <c r="E649" s="854"/>
      <c r="F649" s="854"/>
      <c r="G649" s="854"/>
      <c r="H649" s="854"/>
      <c r="I649" s="854"/>
      <c r="J649" s="854"/>
      <c r="K649" s="854"/>
      <c r="L649" s="854"/>
      <c r="M649" s="854"/>
      <c r="N649" s="854"/>
      <c r="O649" s="854"/>
      <c r="P649" s="854"/>
      <c r="Q649" s="854"/>
      <c r="R649" s="854"/>
      <c r="S649" s="854"/>
      <c r="T649" s="854"/>
      <c r="U649" s="854"/>
      <c r="V649" s="854"/>
      <c r="W649" s="854"/>
      <c r="X649" s="854"/>
      <c r="Y649" s="854"/>
      <c r="Z649" s="854"/>
      <c r="AA649" s="854"/>
      <c r="AB649" s="854"/>
      <c r="AC649" s="854"/>
      <c r="AD649" s="854"/>
      <c r="AE649" s="854"/>
      <c r="AF649" s="854"/>
      <c r="AG649" s="854"/>
      <c r="AH649" s="854"/>
      <c r="AI649" s="854"/>
      <c r="AJ649" s="854"/>
      <c r="AK649" s="854"/>
      <c r="AL649" s="854"/>
      <c r="AM649" s="854"/>
      <c r="AN649" s="854"/>
      <c r="AO649" s="854"/>
      <c r="AP649" s="854"/>
      <c r="AQ649" s="854"/>
      <c r="AR649" s="854"/>
      <c r="AS649" s="854"/>
      <c r="AT649" s="854"/>
      <c r="AU649" s="854"/>
      <c r="AV649" s="854"/>
      <c r="AW649" s="854"/>
      <c r="AX649" s="854"/>
      <c r="AY649" s="854"/>
      <c r="AZ649" s="854"/>
      <c r="BA649" s="854"/>
      <c r="BB649" s="854"/>
      <c r="BC649" s="854"/>
      <c r="BD649" s="854"/>
      <c r="BE649" s="854"/>
      <c r="BF649" s="854"/>
      <c r="BG649" s="854"/>
      <c r="BH649" s="854"/>
      <c r="BI649" s="854"/>
      <c r="BJ649" s="854"/>
      <c r="BK649" s="854"/>
      <c r="BL649" s="854"/>
      <c r="BM649" s="854"/>
      <c r="BN649" s="854"/>
      <c r="BO649" s="854"/>
      <c r="BP649" s="854"/>
      <c r="BQ649" s="854"/>
      <c r="BR649" s="854"/>
      <c r="BS649" s="854"/>
      <c r="BT649" s="854"/>
      <c r="BU649" s="854"/>
      <c r="BV649" s="854"/>
      <c r="BW649" s="854"/>
      <c r="BX649" s="854"/>
      <c r="BY649" s="854"/>
      <c r="BZ649" s="854"/>
      <c r="CA649" s="571">
        <f>IF(OR(I649="",I649&lt;'Configs &amp; Procedures'!$L$29),0,IF(I649&gt;'Configs &amp; Procedures'!$L$30,1,IF(F649&gt;'Configs &amp; Procedures'!$L$31,0,1)))</f>
        <v>0</v>
      </c>
    </row>
    <row r="650" spans="2:79">
      <c r="B650" s="854"/>
      <c r="C650" s="854"/>
      <c r="D650" s="854"/>
      <c r="E650" s="854"/>
      <c r="F650" s="854"/>
      <c r="G650" s="854"/>
      <c r="H650" s="854"/>
      <c r="I650" s="854"/>
      <c r="J650" s="854"/>
      <c r="K650" s="854"/>
      <c r="L650" s="854"/>
      <c r="M650" s="854"/>
      <c r="N650" s="854"/>
      <c r="O650" s="854"/>
      <c r="P650" s="854"/>
      <c r="Q650" s="854"/>
      <c r="R650" s="854"/>
      <c r="S650" s="854"/>
      <c r="T650" s="854"/>
      <c r="U650" s="854"/>
      <c r="V650" s="854"/>
      <c r="W650" s="854"/>
      <c r="X650" s="854"/>
      <c r="Y650" s="854"/>
      <c r="Z650" s="854"/>
      <c r="AA650" s="854"/>
      <c r="AB650" s="854"/>
      <c r="AC650" s="854"/>
      <c r="AD650" s="854"/>
      <c r="AE650" s="854"/>
      <c r="AF650" s="854"/>
      <c r="AG650" s="854"/>
      <c r="AH650" s="854"/>
      <c r="AI650" s="854"/>
      <c r="AJ650" s="854"/>
      <c r="AK650" s="854"/>
      <c r="AL650" s="854"/>
      <c r="AM650" s="854"/>
      <c r="AN650" s="854"/>
      <c r="AO650" s="854"/>
      <c r="AP650" s="854"/>
      <c r="AQ650" s="854"/>
      <c r="AR650" s="854"/>
      <c r="AS650" s="854"/>
      <c r="AT650" s="854"/>
      <c r="AU650" s="854"/>
      <c r="AV650" s="854"/>
      <c r="AW650" s="854"/>
      <c r="AX650" s="854"/>
      <c r="AY650" s="854"/>
      <c r="AZ650" s="854"/>
      <c r="BA650" s="854"/>
      <c r="BB650" s="854"/>
      <c r="BC650" s="854"/>
      <c r="BD650" s="854"/>
      <c r="BE650" s="854"/>
      <c r="BF650" s="854"/>
      <c r="BG650" s="854"/>
      <c r="BH650" s="854"/>
      <c r="BI650" s="854"/>
      <c r="BJ650" s="854"/>
      <c r="BK650" s="854"/>
      <c r="BL650" s="854"/>
      <c r="BM650" s="854"/>
      <c r="BN650" s="854"/>
      <c r="BO650" s="854"/>
      <c r="BP650" s="854"/>
      <c r="BQ650" s="854"/>
      <c r="BR650" s="854"/>
      <c r="BS650" s="854"/>
      <c r="BT650" s="854"/>
      <c r="BU650" s="854"/>
      <c r="BV650" s="854"/>
      <c r="BW650" s="854"/>
      <c r="BX650" s="854"/>
      <c r="BY650" s="854"/>
      <c r="BZ650" s="854"/>
      <c r="CA650" s="571">
        <f>IF(OR(I650="",I650&lt;'Configs &amp; Procedures'!$L$29),0,IF(I650&gt;'Configs &amp; Procedures'!$L$30,1,IF(F650&gt;'Configs &amp; Procedures'!$L$31,0,1)))</f>
        <v>0</v>
      </c>
    </row>
    <row r="651" spans="2:79">
      <c r="B651" s="854"/>
      <c r="C651" s="854"/>
      <c r="D651" s="854"/>
      <c r="E651" s="854"/>
      <c r="F651" s="854"/>
      <c r="G651" s="854"/>
      <c r="H651" s="854"/>
      <c r="I651" s="854"/>
      <c r="J651" s="854"/>
      <c r="K651" s="854"/>
      <c r="L651" s="854"/>
      <c r="M651" s="854"/>
      <c r="N651" s="854"/>
      <c r="O651" s="854"/>
      <c r="P651" s="854"/>
      <c r="Q651" s="854"/>
      <c r="R651" s="854"/>
      <c r="S651" s="854"/>
      <c r="T651" s="854"/>
      <c r="U651" s="854"/>
      <c r="V651" s="854"/>
      <c r="W651" s="854"/>
      <c r="X651" s="854"/>
      <c r="Y651" s="854"/>
      <c r="Z651" s="854"/>
      <c r="AA651" s="854"/>
      <c r="AB651" s="854"/>
      <c r="AC651" s="854"/>
      <c r="AD651" s="854"/>
      <c r="AE651" s="854"/>
      <c r="AF651" s="854"/>
      <c r="AG651" s="854"/>
      <c r="AH651" s="854"/>
      <c r="AI651" s="854"/>
      <c r="AJ651" s="854"/>
      <c r="AK651" s="854"/>
      <c r="AL651" s="854"/>
      <c r="AM651" s="854"/>
      <c r="AN651" s="854"/>
      <c r="AO651" s="854"/>
      <c r="AP651" s="854"/>
      <c r="AQ651" s="854"/>
      <c r="AR651" s="854"/>
      <c r="AS651" s="854"/>
      <c r="AT651" s="854"/>
      <c r="AU651" s="854"/>
      <c r="AV651" s="854"/>
      <c r="AW651" s="854"/>
      <c r="AX651" s="854"/>
      <c r="AY651" s="854"/>
      <c r="AZ651" s="854"/>
      <c r="BA651" s="854"/>
      <c r="BB651" s="854"/>
      <c r="BC651" s="854"/>
      <c r="BD651" s="854"/>
      <c r="BE651" s="854"/>
      <c r="BF651" s="854"/>
      <c r="BG651" s="854"/>
      <c r="BH651" s="854"/>
      <c r="BI651" s="854"/>
      <c r="BJ651" s="854"/>
      <c r="BK651" s="854"/>
      <c r="BL651" s="854"/>
      <c r="BM651" s="854"/>
      <c r="BN651" s="854"/>
      <c r="BO651" s="854"/>
      <c r="BP651" s="854"/>
      <c r="BQ651" s="854"/>
      <c r="BR651" s="854"/>
      <c r="BS651" s="854"/>
      <c r="BT651" s="854"/>
      <c r="BU651" s="854"/>
      <c r="BV651" s="854"/>
      <c r="BW651" s="854"/>
      <c r="BX651" s="854"/>
      <c r="BY651" s="854"/>
      <c r="BZ651" s="854"/>
      <c r="CA651" s="571">
        <f>IF(OR(I651="",I651&lt;'Configs &amp; Procedures'!$L$29),0,IF(I651&gt;'Configs &amp; Procedures'!$L$30,1,IF(F651&gt;'Configs &amp; Procedures'!$L$31,0,1)))</f>
        <v>0</v>
      </c>
    </row>
    <row r="652" spans="2:79">
      <c r="B652" s="854"/>
      <c r="C652" s="854"/>
      <c r="D652" s="854"/>
      <c r="E652" s="854"/>
      <c r="F652" s="854"/>
      <c r="G652" s="854"/>
      <c r="H652" s="854"/>
      <c r="I652" s="854"/>
      <c r="J652" s="854"/>
      <c r="K652" s="854"/>
      <c r="L652" s="854"/>
      <c r="M652" s="854"/>
      <c r="N652" s="854"/>
      <c r="O652" s="854"/>
      <c r="P652" s="854"/>
      <c r="Q652" s="854"/>
      <c r="R652" s="854"/>
      <c r="S652" s="854"/>
      <c r="T652" s="854"/>
      <c r="U652" s="854"/>
      <c r="V652" s="854"/>
      <c r="W652" s="854"/>
      <c r="X652" s="854"/>
      <c r="Y652" s="854"/>
      <c r="Z652" s="854"/>
      <c r="AA652" s="854"/>
      <c r="AB652" s="854"/>
      <c r="AC652" s="854"/>
      <c r="AD652" s="854"/>
      <c r="AE652" s="854"/>
      <c r="AF652" s="854"/>
      <c r="AG652" s="854"/>
      <c r="AH652" s="854"/>
      <c r="AI652" s="854"/>
      <c r="AJ652" s="854"/>
      <c r="AK652" s="854"/>
      <c r="AL652" s="854"/>
      <c r="AM652" s="854"/>
      <c r="AN652" s="854"/>
      <c r="AO652" s="854"/>
      <c r="AP652" s="854"/>
      <c r="AQ652" s="854"/>
      <c r="AR652" s="854"/>
      <c r="AS652" s="854"/>
      <c r="AT652" s="854"/>
      <c r="AU652" s="854"/>
      <c r="AV652" s="854"/>
      <c r="AW652" s="854"/>
      <c r="AX652" s="854"/>
      <c r="AY652" s="854"/>
      <c r="AZ652" s="854"/>
      <c r="BA652" s="854"/>
      <c r="BB652" s="854"/>
      <c r="BC652" s="854"/>
      <c r="BD652" s="854"/>
      <c r="BE652" s="854"/>
      <c r="BF652" s="854"/>
      <c r="BG652" s="854"/>
      <c r="BH652" s="854"/>
      <c r="BI652" s="854"/>
      <c r="BJ652" s="854"/>
      <c r="BK652" s="854"/>
      <c r="BL652" s="854"/>
      <c r="BM652" s="854"/>
      <c r="BN652" s="854"/>
      <c r="BO652" s="854"/>
      <c r="BP652" s="854"/>
      <c r="BQ652" s="854"/>
      <c r="BR652" s="854"/>
      <c r="BS652" s="854"/>
      <c r="BT652" s="854"/>
      <c r="BU652" s="854"/>
      <c r="BV652" s="854"/>
      <c r="BW652" s="854"/>
      <c r="BX652" s="854"/>
      <c r="BY652" s="854"/>
      <c r="BZ652" s="854"/>
      <c r="CA652" s="571">
        <f>IF(OR(I652="",I652&lt;'Configs &amp; Procedures'!$L$29),0,IF(I652&gt;'Configs &amp; Procedures'!$L$30,1,IF(F652&gt;'Configs &amp; Procedures'!$L$31,0,1)))</f>
        <v>0</v>
      </c>
    </row>
    <row r="653" spans="2:79">
      <c r="B653" s="854"/>
      <c r="C653" s="854"/>
      <c r="D653" s="854"/>
      <c r="E653" s="854"/>
      <c r="F653" s="854"/>
      <c r="G653" s="854"/>
      <c r="H653" s="854"/>
      <c r="I653" s="854"/>
      <c r="J653" s="854"/>
      <c r="K653" s="854"/>
      <c r="L653" s="854"/>
      <c r="M653" s="854"/>
      <c r="N653" s="854"/>
      <c r="O653" s="854"/>
      <c r="P653" s="854"/>
      <c r="Q653" s="854"/>
      <c r="R653" s="854"/>
      <c r="S653" s="854"/>
      <c r="T653" s="854"/>
      <c r="U653" s="854"/>
      <c r="V653" s="854"/>
      <c r="W653" s="854"/>
      <c r="X653" s="854"/>
      <c r="Y653" s="854"/>
      <c r="Z653" s="854"/>
      <c r="AA653" s="854"/>
      <c r="AB653" s="854"/>
      <c r="AC653" s="854"/>
      <c r="AD653" s="854"/>
      <c r="AE653" s="854"/>
      <c r="AF653" s="854"/>
      <c r="AG653" s="854"/>
      <c r="AH653" s="854"/>
      <c r="AI653" s="854"/>
      <c r="AJ653" s="854"/>
      <c r="AK653" s="854"/>
      <c r="AL653" s="854"/>
      <c r="AM653" s="854"/>
      <c r="AN653" s="854"/>
      <c r="AO653" s="854"/>
      <c r="AP653" s="854"/>
      <c r="AQ653" s="854"/>
      <c r="AR653" s="854"/>
      <c r="AS653" s="854"/>
      <c r="AT653" s="854"/>
      <c r="AU653" s="854"/>
      <c r="AV653" s="854"/>
      <c r="AW653" s="854"/>
      <c r="AX653" s="854"/>
      <c r="AY653" s="854"/>
      <c r="AZ653" s="854"/>
      <c r="BA653" s="854"/>
      <c r="BB653" s="854"/>
      <c r="BC653" s="854"/>
      <c r="BD653" s="854"/>
      <c r="BE653" s="854"/>
      <c r="BF653" s="854"/>
      <c r="BG653" s="854"/>
      <c r="BH653" s="854"/>
      <c r="BI653" s="854"/>
      <c r="BJ653" s="854"/>
      <c r="BK653" s="854"/>
      <c r="BL653" s="854"/>
      <c r="BM653" s="854"/>
      <c r="BN653" s="854"/>
      <c r="BO653" s="854"/>
      <c r="BP653" s="854"/>
      <c r="BQ653" s="854"/>
      <c r="BR653" s="854"/>
      <c r="BS653" s="854"/>
      <c r="BT653" s="854"/>
      <c r="BU653" s="854"/>
      <c r="BV653" s="854"/>
      <c r="BW653" s="854"/>
      <c r="BX653" s="854"/>
      <c r="BY653" s="854"/>
      <c r="BZ653" s="854"/>
      <c r="CA653" s="571">
        <f>IF(OR(I653="",I653&lt;'Configs &amp; Procedures'!$L$29),0,IF(I653&gt;'Configs &amp; Procedures'!$L$30,1,IF(F653&gt;'Configs &amp; Procedures'!$L$31,0,1)))</f>
        <v>0</v>
      </c>
    </row>
    <row r="654" spans="2:79">
      <c r="B654" s="854"/>
      <c r="C654" s="854"/>
      <c r="D654" s="854"/>
      <c r="E654" s="854"/>
      <c r="F654" s="854"/>
      <c r="G654" s="854"/>
      <c r="H654" s="854"/>
      <c r="I654" s="854"/>
      <c r="J654" s="854"/>
      <c r="K654" s="854"/>
      <c r="L654" s="854"/>
      <c r="M654" s="854"/>
      <c r="N654" s="854"/>
      <c r="O654" s="854"/>
      <c r="P654" s="854"/>
      <c r="Q654" s="854"/>
      <c r="R654" s="854"/>
      <c r="S654" s="854"/>
      <c r="T654" s="854"/>
      <c r="U654" s="854"/>
      <c r="V654" s="854"/>
      <c r="W654" s="854"/>
      <c r="X654" s="854"/>
      <c r="Y654" s="854"/>
      <c r="Z654" s="854"/>
      <c r="AA654" s="854"/>
      <c r="AB654" s="854"/>
      <c r="AC654" s="854"/>
      <c r="AD654" s="854"/>
      <c r="AE654" s="854"/>
      <c r="AF654" s="854"/>
      <c r="AG654" s="854"/>
      <c r="AH654" s="854"/>
      <c r="AI654" s="854"/>
      <c r="AJ654" s="854"/>
      <c r="AK654" s="854"/>
      <c r="AL654" s="854"/>
      <c r="AM654" s="854"/>
      <c r="AN654" s="854"/>
      <c r="AO654" s="854"/>
      <c r="AP654" s="854"/>
      <c r="AQ654" s="854"/>
      <c r="AR654" s="854"/>
      <c r="AS654" s="854"/>
      <c r="AT654" s="854"/>
      <c r="AU654" s="854"/>
      <c r="AV654" s="854"/>
      <c r="AW654" s="854"/>
      <c r="AX654" s="854"/>
      <c r="AY654" s="854"/>
      <c r="AZ654" s="854"/>
      <c r="BA654" s="854"/>
      <c r="BB654" s="854"/>
      <c r="BC654" s="854"/>
      <c r="BD654" s="854"/>
      <c r="BE654" s="854"/>
      <c r="BF654" s="854"/>
      <c r="BG654" s="854"/>
      <c r="BH654" s="854"/>
      <c r="BI654" s="854"/>
      <c r="BJ654" s="854"/>
      <c r="BK654" s="854"/>
      <c r="BL654" s="854"/>
      <c r="BM654" s="854"/>
      <c r="BN654" s="854"/>
      <c r="BO654" s="854"/>
      <c r="BP654" s="854"/>
      <c r="BQ654" s="854"/>
      <c r="BR654" s="854"/>
      <c r="BS654" s="854"/>
      <c r="BT654" s="854"/>
      <c r="BU654" s="854"/>
      <c r="BV654" s="854"/>
      <c r="BW654" s="854"/>
      <c r="BX654" s="854"/>
      <c r="BY654" s="854"/>
      <c r="BZ654" s="854"/>
      <c r="CA654" s="571">
        <f>IF(OR(I654="",I654&lt;'Configs &amp; Procedures'!$L$29),0,IF(I654&gt;'Configs &amp; Procedures'!$L$30,1,IF(F654&gt;'Configs &amp; Procedures'!$L$31,0,1)))</f>
        <v>0</v>
      </c>
    </row>
    <row r="655" spans="2:79">
      <c r="B655" s="854"/>
      <c r="C655" s="854"/>
      <c r="D655" s="854"/>
      <c r="E655" s="854"/>
      <c r="F655" s="854"/>
      <c r="G655" s="854"/>
      <c r="H655" s="854"/>
      <c r="I655" s="854"/>
      <c r="J655" s="854"/>
      <c r="K655" s="854"/>
      <c r="L655" s="854"/>
      <c r="M655" s="854"/>
      <c r="N655" s="854"/>
      <c r="O655" s="854"/>
      <c r="P655" s="854"/>
      <c r="Q655" s="854"/>
      <c r="R655" s="854"/>
      <c r="S655" s="854"/>
      <c r="T655" s="854"/>
      <c r="U655" s="854"/>
      <c r="V655" s="854"/>
      <c r="W655" s="854"/>
      <c r="X655" s="854"/>
      <c r="Y655" s="854"/>
      <c r="Z655" s="854"/>
      <c r="AA655" s="854"/>
      <c r="AB655" s="854"/>
      <c r="AC655" s="854"/>
      <c r="AD655" s="854"/>
      <c r="AE655" s="854"/>
      <c r="AF655" s="854"/>
      <c r="AG655" s="854"/>
      <c r="AH655" s="854"/>
      <c r="AI655" s="854"/>
      <c r="AJ655" s="854"/>
      <c r="AK655" s="854"/>
      <c r="AL655" s="854"/>
      <c r="AM655" s="854"/>
      <c r="AN655" s="854"/>
      <c r="AO655" s="854"/>
      <c r="AP655" s="854"/>
      <c r="AQ655" s="854"/>
      <c r="AR655" s="854"/>
      <c r="AS655" s="854"/>
      <c r="AT655" s="854"/>
      <c r="AU655" s="854"/>
      <c r="AV655" s="854"/>
      <c r="AW655" s="854"/>
      <c r="AX655" s="854"/>
      <c r="AY655" s="854"/>
      <c r="AZ655" s="854"/>
      <c r="BA655" s="854"/>
      <c r="BB655" s="854"/>
      <c r="BC655" s="854"/>
      <c r="BD655" s="854"/>
      <c r="BE655" s="854"/>
      <c r="BF655" s="854"/>
      <c r="BG655" s="854"/>
      <c r="BH655" s="854"/>
      <c r="BI655" s="854"/>
      <c r="BJ655" s="854"/>
      <c r="BK655" s="854"/>
      <c r="BL655" s="854"/>
      <c r="BM655" s="854"/>
      <c r="BN655" s="854"/>
      <c r="BO655" s="854"/>
      <c r="BP655" s="854"/>
      <c r="BQ655" s="854"/>
      <c r="BR655" s="854"/>
      <c r="BS655" s="854"/>
      <c r="BT655" s="854"/>
      <c r="BU655" s="854"/>
      <c r="BV655" s="854"/>
      <c r="BW655" s="854"/>
      <c r="BX655" s="854"/>
      <c r="BY655" s="854"/>
      <c r="BZ655" s="854"/>
      <c r="CA655" s="571">
        <f>IF(OR(I655="",I655&lt;'Configs &amp; Procedures'!$L$29),0,IF(I655&gt;'Configs &amp; Procedures'!$L$30,1,IF(F655&gt;'Configs &amp; Procedures'!$L$31,0,1)))</f>
        <v>0</v>
      </c>
    </row>
    <row r="656" spans="2:79">
      <c r="B656" s="854"/>
      <c r="C656" s="854"/>
      <c r="D656" s="854"/>
      <c r="E656" s="854"/>
      <c r="F656" s="854"/>
      <c r="G656" s="854"/>
      <c r="H656" s="854"/>
      <c r="I656" s="854"/>
      <c r="J656" s="854"/>
      <c r="K656" s="854"/>
      <c r="L656" s="854"/>
      <c r="M656" s="854"/>
      <c r="N656" s="854"/>
      <c r="O656" s="854"/>
      <c r="P656" s="854"/>
      <c r="Q656" s="854"/>
      <c r="R656" s="854"/>
      <c r="S656" s="854"/>
      <c r="T656" s="854"/>
      <c r="U656" s="854"/>
      <c r="V656" s="854"/>
      <c r="W656" s="854"/>
      <c r="X656" s="854"/>
      <c r="Y656" s="854"/>
      <c r="Z656" s="854"/>
      <c r="AA656" s="854"/>
      <c r="AB656" s="854"/>
      <c r="AC656" s="854"/>
      <c r="AD656" s="854"/>
      <c r="AE656" s="854"/>
      <c r="AF656" s="854"/>
      <c r="AG656" s="854"/>
      <c r="AH656" s="854"/>
      <c r="AI656" s="854"/>
      <c r="AJ656" s="854"/>
      <c r="AK656" s="854"/>
      <c r="AL656" s="854"/>
      <c r="AM656" s="854"/>
      <c r="AN656" s="854"/>
      <c r="AO656" s="854"/>
      <c r="AP656" s="854"/>
      <c r="AQ656" s="854"/>
      <c r="AR656" s="854"/>
      <c r="AS656" s="854"/>
      <c r="AT656" s="854"/>
      <c r="AU656" s="854"/>
      <c r="AV656" s="854"/>
      <c r="AW656" s="854"/>
      <c r="AX656" s="854"/>
      <c r="AY656" s="854"/>
      <c r="AZ656" s="854"/>
      <c r="BA656" s="854"/>
      <c r="BB656" s="854"/>
      <c r="BC656" s="854"/>
      <c r="BD656" s="854"/>
      <c r="BE656" s="854"/>
      <c r="BF656" s="854"/>
      <c r="BG656" s="854"/>
      <c r="BH656" s="854"/>
      <c r="BI656" s="854"/>
      <c r="BJ656" s="854"/>
      <c r="BK656" s="854"/>
      <c r="BL656" s="854"/>
      <c r="BM656" s="854"/>
      <c r="BN656" s="854"/>
      <c r="BO656" s="854"/>
      <c r="BP656" s="854"/>
      <c r="BQ656" s="854"/>
      <c r="BR656" s="854"/>
      <c r="BS656" s="854"/>
      <c r="BT656" s="854"/>
      <c r="BU656" s="854"/>
      <c r="BV656" s="854"/>
      <c r="BW656" s="854"/>
      <c r="BX656" s="854"/>
      <c r="BY656" s="854"/>
      <c r="BZ656" s="854"/>
      <c r="CA656" s="571">
        <f>IF(OR(I656="",I656&lt;'Configs &amp; Procedures'!$L$29),0,IF(I656&gt;'Configs &amp; Procedures'!$L$30,1,IF(F656&gt;'Configs &amp; Procedures'!$L$31,0,1)))</f>
        <v>0</v>
      </c>
    </row>
    <row r="657" spans="2:79">
      <c r="B657" s="854"/>
      <c r="C657" s="854"/>
      <c r="D657" s="854"/>
      <c r="E657" s="854"/>
      <c r="F657" s="854"/>
      <c r="G657" s="854"/>
      <c r="H657" s="854"/>
      <c r="I657" s="854"/>
      <c r="J657" s="854"/>
      <c r="K657" s="854"/>
      <c r="L657" s="854"/>
      <c r="M657" s="854"/>
      <c r="N657" s="854"/>
      <c r="O657" s="854"/>
      <c r="P657" s="854"/>
      <c r="Q657" s="854"/>
      <c r="R657" s="854"/>
      <c r="S657" s="854"/>
      <c r="T657" s="854"/>
      <c r="U657" s="854"/>
      <c r="V657" s="854"/>
      <c r="W657" s="854"/>
      <c r="X657" s="854"/>
      <c r="Y657" s="854"/>
      <c r="Z657" s="854"/>
      <c r="AA657" s="854"/>
      <c r="AB657" s="854"/>
      <c r="AC657" s="854"/>
      <c r="AD657" s="854"/>
      <c r="AE657" s="854"/>
      <c r="AF657" s="854"/>
      <c r="AG657" s="854"/>
      <c r="AH657" s="854"/>
      <c r="AI657" s="854"/>
      <c r="AJ657" s="854"/>
      <c r="AK657" s="854"/>
      <c r="AL657" s="854"/>
      <c r="AM657" s="854"/>
      <c r="AN657" s="854"/>
      <c r="AO657" s="854"/>
      <c r="AP657" s="854"/>
      <c r="AQ657" s="854"/>
      <c r="AR657" s="854"/>
      <c r="AS657" s="854"/>
      <c r="AT657" s="854"/>
      <c r="AU657" s="854"/>
      <c r="AV657" s="854"/>
      <c r="AW657" s="854"/>
      <c r="AX657" s="854"/>
      <c r="AY657" s="854"/>
      <c r="AZ657" s="854"/>
      <c r="BA657" s="854"/>
      <c r="BB657" s="854"/>
      <c r="BC657" s="854"/>
      <c r="BD657" s="854"/>
      <c r="BE657" s="854"/>
      <c r="BF657" s="854"/>
      <c r="BG657" s="854"/>
      <c r="BH657" s="854"/>
      <c r="BI657" s="854"/>
      <c r="BJ657" s="854"/>
      <c r="BK657" s="854"/>
      <c r="BL657" s="854"/>
      <c r="BM657" s="854"/>
      <c r="BN657" s="854"/>
      <c r="BO657" s="854"/>
      <c r="BP657" s="854"/>
      <c r="BQ657" s="854"/>
      <c r="BR657" s="854"/>
      <c r="BS657" s="854"/>
      <c r="BT657" s="854"/>
      <c r="BU657" s="854"/>
      <c r="BV657" s="854"/>
      <c r="BW657" s="854"/>
      <c r="BX657" s="854"/>
      <c r="BY657" s="854"/>
      <c r="BZ657" s="854"/>
      <c r="CA657" s="571">
        <f>IF(OR(I657="",I657&lt;'Configs &amp; Procedures'!$L$29),0,IF(I657&gt;'Configs &amp; Procedures'!$L$30,1,IF(F657&gt;'Configs &amp; Procedures'!$L$31,0,1)))</f>
        <v>0</v>
      </c>
    </row>
    <row r="658" spans="2:79">
      <c r="B658" s="854"/>
      <c r="C658" s="854"/>
      <c r="D658" s="854"/>
      <c r="E658" s="854"/>
      <c r="F658" s="854"/>
      <c r="G658" s="854"/>
      <c r="H658" s="854"/>
      <c r="I658" s="854"/>
      <c r="J658" s="854"/>
      <c r="K658" s="854"/>
      <c r="L658" s="854"/>
      <c r="M658" s="854"/>
      <c r="N658" s="854"/>
      <c r="O658" s="854"/>
      <c r="P658" s="854"/>
      <c r="Q658" s="854"/>
      <c r="R658" s="854"/>
      <c r="S658" s="854"/>
      <c r="T658" s="854"/>
      <c r="U658" s="854"/>
      <c r="V658" s="854"/>
      <c r="W658" s="854"/>
      <c r="X658" s="854"/>
      <c r="Y658" s="854"/>
      <c r="Z658" s="854"/>
      <c r="AA658" s="854"/>
      <c r="AB658" s="854"/>
      <c r="AC658" s="854"/>
      <c r="AD658" s="854"/>
      <c r="AE658" s="854"/>
      <c r="AF658" s="854"/>
      <c r="AG658" s="854"/>
      <c r="AH658" s="854"/>
      <c r="AI658" s="854"/>
      <c r="AJ658" s="854"/>
      <c r="AK658" s="854"/>
      <c r="AL658" s="854"/>
      <c r="AM658" s="854"/>
      <c r="AN658" s="854"/>
      <c r="AO658" s="854"/>
      <c r="AP658" s="854"/>
      <c r="AQ658" s="854"/>
      <c r="AR658" s="854"/>
      <c r="AS658" s="854"/>
      <c r="AT658" s="854"/>
      <c r="AU658" s="854"/>
      <c r="AV658" s="854"/>
      <c r="AW658" s="854"/>
      <c r="AX658" s="854"/>
      <c r="AY658" s="854"/>
      <c r="AZ658" s="854"/>
      <c r="BA658" s="854"/>
      <c r="BB658" s="854"/>
      <c r="BC658" s="854"/>
      <c r="BD658" s="854"/>
      <c r="BE658" s="854"/>
      <c r="BF658" s="854"/>
      <c r="BG658" s="854"/>
      <c r="BH658" s="854"/>
      <c r="BI658" s="854"/>
      <c r="BJ658" s="854"/>
      <c r="BK658" s="854"/>
      <c r="BL658" s="854"/>
      <c r="BM658" s="854"/>
      <c r="BN658" s="854"/>
      <c r="BO658" s="854"/>
      <c r="BP658" s="854"/>
      <c r="BQ658" s="854"/>
      <c r="BR658" s="854"/>
      <c r="BS658" s="854"/>
      <c r="BT658" s="854"/>
      <c r="BU658" s="854"/>
      <c r="BV658" s="854"/>
      <c r="BW658" s="854"/>
      <c r="BX658" s="854"/>
      <c r="BY658" s="854"/>
      <c r="BZ658" s="854"/>
      <c r="CA658" s="571">
        <f>IF(OR(I658="",I658&lt;'Configs &amp; Procedures'!$L$29),0,IF(I658&gt;'Configs &amp; Procedures'!$L$30,1,IF(F658&gt;'Configs &amp; Procedures'!$L$31,0,1)))</f>
        <v>0</v>
      </c>
    </row>
    <row r="659" spans="2:79">
      <c r="B659" s="854"/>
      <c r="C659" s="854"/>
      <c r="D659" s="854"/>
      <c r="E659" s="854"/>
      <c r="F659" s="854"/>
      <c r="G659" s="854"/>
      <c r="H659" s="854"/>
      <c r="I659" s="854"/>
      <c r="J659" s="854"/>
      <c r="K659" s="854"/>
      <c r="L659" s="854"/>
      <c r="M659" s="854"/>
      <c r="N659" s="854"/>
      <c r="O659" s="854"/>
      <c r="P659" s="854"/>
      <c r="Q659" s="854"/>
      <c r="R659" s="854"/>
      <c r="S659" s="854"/>
      <c r="T659" s="854"/>
      <c r="U659" s="854"/>
      <c r="V659" s="854"/>
      <c r="W659" s="854"/>
      <c r="X659" s="854"/>
      <c r="Y659" s="854"/>
      <c r="Z659" s="854"/>
      <c r="AA659" s="854"/>
      <c r="AB659" s="854"/>
      <c r="AC659" s="854"/>
      <c r="AD659" s="854"/>
      <c r="AE659" s="854"/>
      <c r="AF659" s="854"/>
      <c r="AG659" s="854"/>
      <c r="AH659" s="854"/>
      <c r="AI659" s="854"/>
      <c r="AJ659" s="854"/>
      <c r="AK659" s="854"/>
      <c r="AL659" s="854"/>
      <c r="AM659" s="854"/>
      <c r="AN659" s="854"/>
      <c r="AO659" s="854"/>
      <c r="AP659" s="854"/>
      <c r="AQ659" s="854"/>
      <c r="AR659" s="854"/>
      <c r="AS659" s="854"/>
      <c r="AT659" s="854"/>
      <c r="AU659" s="854"/>
      <c r="AV659" s="854"/>
      <c r="AW659" s="854"/>
      <c r="AX659" s="854"/>
      <c r="AY659" s="854"/>
      <c r="AZ659" s="854"/>
      <c r="BA659" s="854"/>
      <c r="BB659" s="854"/>
      <c r="BC659" s="854"/>
      <c r="BD659" s="854"/>
      <c r="BE659" s="854"/>
      <c r="BF659" s="854"/>
      <c r="BG659" s="854"/>
      <c r="BH659" s="854"/>
      <c r="BI659" s="854"/>
      <c r="BJ659" s="854"/>
      <c r="BK659" s="854"/>
      <c r="BL659" s="854"/>
      <c r="BM659" s="854"/>
      <c r="BN659" s="854"/>
      <c r="BO659" s="854"/>
      <c r="BP659" s="854"/>
      <c r="BQ659" s="854"/>
      <c r="BR659" s="854"/>
      <c r="BS659" s="854"/>
      <c r="BT659" s="854"/>
      <c r="BU659" s="854"/>
      <c r="BV659" s="854"/>
      <c r="BW659" s="854"/>
      <c r="BX659" s="854"/>
      <c r="BY659" s="854"/>
      <c r="BZ659" s="854"/>
      <c r="CA659" s="571">
        <f>IF(OR(I659="",I659&lt;'Configs &amp; Procedures'!$L$29),0,IF(I659&gt;'Configs &amp; Procedures'!$L$30,1,IF(F659&gt;'Configs &amp; Procedures'!$L$31,0,1)))</f>
        <v>0</v>
      </c>
    </row>
    <row r="660" spans="2:79">
      <c r="B660" s="854"/>
      <c r="C660" s="854"/>
      <c r="D660" s="854"/>
      <c r="E660" s="854"/>
      <c r="F660" s="854"/>
      <c r="G660" s="854"/>
      <c r="H660" s="854"/>
      <c r="I660" s="854"/>
      <c r="J660" s="854"/>
      <c r="K660" s="854"/>
      <c r="L660" s="854"/>
      <c r="M660" s="854"/>
      <c r="N660" s="854"/>
      <c r="O660" s="854"/>
      <c r="P660" s="854"/>
      <c r="Q660" s="854"/>
      <c r="R660" s="854"/>
      <c r="S660" s="854"/>
      <c r="T660" s="854"/>
      <c r="U660" s="854"/>
      <c r="V660" s="854"/>
      <c r="W660" s="854"/>
      <c r="X660" s="854"/>
      <c r="Y660" s="854"/>
      <c r="Z660" s="854"/>
      <c r="AA660" s="854"/>
      <c r="AB660" s="854"/>
      <c r="AC660" s="854"/>
      <c r="AD660" s="854"/>
      <c r="AE660" s="854"/>
      <c r="AF660" s="854"/>
      <c r="AG660" s="854"/>
      <c r="AH660" s="854"/>
      <c r="AI660" s="854"/>
      <c r="AJ660" s="854"/>
      <c r="AK660" s="854"/>
      <c r="AL660" s="854"/>
      <c r="AM660" s="854"/>
      <c r="AN660" s="854"/>
      <c r="AO660" s="854"/>
      <c r="AP660" s="854"/>
      <c r="AQ660" s="854"/>
      <c r="AR660" s="854"/>
      <c r="AS660" s="854"/>
      <c r="AT660" s="854"/>
      <c r="AU660" s="854"/>
      <c r="AV660" s="854"/>
      <c r="AW660" s="854"/>
      <c r="AX660" s="854"/>
      <c r="AY660" s="854"/>
      <c r="AZ660" s="854"/>
      <c r="BA660" s="854"/>
      <c r="BB660" s="854"/>
      <c r="BC660" s="854"/>
      <c r="BD660" s="854"/>
      <c r="BE660" s="854"/>
      <c r="BF660" s="854"/>
      <c r="BG660" s="854"/>
      <c r="BH660" s="854"/>
      <c r="BI660" s="854"/>
      <c r="BJ660" s="854"/>
      <c r="BK660" s="854"/>
      <c r="BL660" s="854"/>
      <c r="BM660" s="854"/>
      <c r="BN660" s="854"/>
      <c r="BO660" s="854"/>
      <c r="BP660" s="854"/>
      <c r="BQ660" s="854"/>
      <c r="BR660" s="854"/>
      <c r="BS660" s="854"/>
      <c r="BT660" s="854"/>
      <c r="BU660" s="854"/>
      <c r="BV660" s="854"/>
      <c r="BW660" s="854"/>
      <c r="BX660" s="854"/>
      <c r="BY660" s="854"/>
      <c r="BZ660" s="854"/>
      <c r="CA660" s="571">
        <f>IF(OR(I660="",I660&lt;'Configs &amp; Procedures'!$L$29),0,IF(I660&gt;'Configs &amp; Procedures'!$L$30,1,IF(F660&gt;'Configs &amp; Procedures'!$L$31,0,1)))</f>
        <v>0</v>
      </c>
    </row>
    <row r="661" spans="2:79">
      <c r="B661" s="854"/>
      <c r="C661" s="854"/>
      <c r="D661" s="854"/>
      <c r="E661" s="854"/>
      <c r="F661" s="854"/>
      <c r="G661" s="854"/>
      <c r="H661" s="854"/>
      <c r="I661" s="854"/>
      <c r="J661" s="854"/>
      <c r="K661" s="854"/>
      <c r="L661" s="854"/>
      <c r="M661" s="854"/>
      <c r="N661" s="854"/>
      <c r="O661" s="854"/>
      <c r="P661" s="854"/>
      <c r="Q661" s="854"/>
      <c r="R661" s="854"/>
      <c r="S661" s="854"/>
      <c r="T661" s="854"/>
      <c r="U661" s="854"/>
      <c r="V661" s="854"/>
      <c r="W661" s="854"/>
      <c r="X661" s="854"/>
      <c r="Y661" s="854"/>
      <c r="Z661" s="854"/>
      <c r="AA661" s="854"/>
      <c r="AB661" s="854"/>
      <c r="AC661" s="854"/>
      <c r="AD661" s="854"/>
      <c r="AE661" s="854"/>
      <c r="AF661" s="854"/>
      <c r="AG661" s="854"/>
      <c r="AH661" s="854"/>
      <c r="AI661" s="854"/>
      <c r="AJ661" s="854"/>
      <c r="AK661" s="854"/>
      <c r="AL661" s="854"/>
      <c r="AM661" s="854"/>
      <c r="AN661" s="854"/>
      <c r="AO661" s="854"/>
      <c r="AP661" s="854"/>
      <c r="AQ661" s="854"/>
      <c r="AR661" s="854"/>
      <c r="AS661" s="854"/>
      <c r="AT661" s="854"/>
      <c r="AU661" s="854"/>
      <c r="AV661" s="854"/>
      <c r="AW661" s="854"/>
      <c r="AX661" s="854"/>
      <c r="AY661" s="854"/>
      <c r="AZ661" s="854"/>
      <c r="BA661" s="854"/>
      <c r="BB661" s="854"/>
      <c r="BC661" s="854"/>
      <c r="BD661" s="854"/>
      <c r="BE661" s="854"/>
      <c r="BF661" s="854"/>
      <c r="BG661" s="854"/>
      <c r="BH661" s="854"/>
      <c r="BI661" s="854"/>
      <c r="BJ661" s="854"/>
      <c r="BK661" s="854"/>
      <c r="BL661" s="854"/>
      <c r="BM661" s="854"/>
      <c r="BN661" s="854"/>
      <c r="BO661" s="854"/>
      <c r="BP661" s="854"/>
      <c r="BQ661" s="854"/>
      <c r="BR661" s="854"/>
      <c r="BS661" s="854"/>
      <c r="BT661" s="854"/>
      <c r="BU661" s="854"/>
      <c r="BV661" s="854"/>
      <c r="BW661" s="854"/>
      <c r="BX661" s="854"/>
      <c r="BY661" s="854"/>
      <c r="BZ661" s="854"/>
      <c r="CA661" s="571">
        <f>IF(OR(I661="",I661&lt;'Configs &amp; Procedures'!$L$29),0,IF(I661&gt;'Configs &amp; Procedures'!$L$30,1,IF(F661&gt;'Configs &amp; Procedures'!$L$31,0,1)))</f>
        <v>0</v>
      </c>
    </row>
    <row r="662" spans="2:79">
      <c r="B662" s="854"/>
      <c r="C662" s="854"/>
      <c r="D662" s="854"/>
      <c r="E662" s="854"/>
      <c r="F662" s="854"/>
      <c r="G662" s="854"/>
      <c r="H662" s="854"/>
      <c r="I662" s="854"/>
      <c r="J662" s="854"/>
      <c r="K662" s="854"/>
      <c r="L662" s="854"/>
      <c r="M662" s="854"/>
      <c r="N662" s="854"/>
      <c r="O662" s="854"/>
      <c r="P662" s="854"/>
      <c r="Q662" s="854"/>
      <c r="R662" s="854"/>
      <c r="S662" s="854"/>
      <c r="T662" s="854"/>
      <c r="U662" s="854"/>
      <c r="V662" s="854"/>
      <c r="W662" s="854"/>
      <c r="X662" s="854"/>
      <c r="Y662" s="854"/>
      <c r="Z662" s="854"/>
      <c r="AA662" s="854"/>
      <c r="AB662" s="854"/>
      <c r="AC662" s="854"/>
      <c r="AD662" s="854"/>
      <c r="AE662" s="854"/>
      <c r="AF662" s="854"/>
      <c r="AG662" s="854"/>
      <c r="AH662" s="854"/>
      <c r="AI662" s="854"/>
      <c r="AJ662" s="854"/>
      <c r="AK662" s="854"/>
      <c r="AL662" s="854"/>
      <c r="AM662" s="854"/>
      <c r="AN662" s="854"/>
      <c r="AO662" s="854"/>
      <c r="AP662" s="854"/>
      <c r="AQ662" s="854"/>
      <c r="AR662" s="854"/>
      <c r="AS662" s="854"/>
      <c r="AT662" s="854"/>
      <c r="AU662" s="854"/>
      <c r="AV662" s="854"/>
      <c r="AW662" s="854"/>
      <c r="AX662" s="854"/>
      <c r="AY662" s="854"/>
      <c r="AZ662" s="854"/>
      <c r="BA662" s="854"/>
      <c r="BB662" s="854"/>
      <c r="BC662" s="854"/>
      <c r="BD662" s="854"/>
      <c r="BE662" s="854"/>
      <c r="BF662" s="854"/>
      <c r="BG662" s="854"/>
      <c r="BH662" s="854"/>
      <c r="BI662" s="854"/>
      <c r="BJ662" s="854"/>
      <c r="BK662" s="854"/>
      <c r="BL662" s="854"/>
      <c r="BM662" s="854"/>
      <c r="BN662" s="854"/>
      <c r="BO662" s="854"/>
      <c r="BP662" s="854"/>
      <c r="BQ662" s="854"/>
      <c r="BR662" s="854"/>
      <c r="BS662" s="854"/>
      <c r="BT662" s="854"/>
      <c r="BU662" s="854"/>
      <c r="BV662" s="854"/>
      <c r="BW662" s="854"/>
      <c r="BX662" s="854"/>
      <c r="BY662" s="854"/>
      <c r="BZ662" s="854"/>
      <c r="CA662" s="571">
        <f>IF(OR(I662="",I662&lt;'Configs &amp; Procedures'!$L$29),0,IF(I662&gt;'Configs &amp; Procedures'!$L$30,1,IF(F662&gt;'Configs &amp; Procedures'!$L$31,0,1)))</f>
        <v>0</v>
      </c>
    </row>
    <row r="663" spans="2:79">
      <c r="B663" s="854"/>
      <c r="C663" s="854"/>
      <c r="D663" s="854"/>
      <c r="E663" s="854"/>
      <c r="F663" s="854"/>
      <c r="G663" s="854"/>
      <c r="H663" s="854"/>
      <c r="I663" s="854"/>
      <c r="J663" s="854"/>
      <c r="K663" s="854"/>
      <c r="L663" s="854"/>
      <c r="M663" s="854"/>
      <c r="N663" s="854"/>
      <c r="O663" s="854"/>
      <c r="P663" s="854"/>
      <c r="Q663" s="854"/>
      <c r="R663" s="854"/>
      <c r="S663" s="854"/>
      <c r="T663" s="854"/>
      <c r="U663" s="854"/>
      <c r="V663" s="854"/>
      <c r="W663" s="854"/>
      <c r="X663" s="854"/>
      <c r="Y663" s="854"/>
      <c r="Z663" s="854"/>
      <c r="AA663" s="854"/>
      <c r="AB663" s="854"/>
      <c r="AC663" s="854"/>
      <c r="AD663" s="854"/>
      <c r="AE663" s="854"/>
      <c r="AF663" s="854"/>
      <c r="AG663" s="854"/>
      <c r="AH663" s="854"/>
      <c r="AI663" s="854"/>
      <c r="AJ663" s="854"/>
      <c r="AK663" s="854"/>
      <c r="AL663" s="854"/>
      <c r="AM663" s="854"/>
      <c r="AN663" s="854"/>
      <c r="AO663" s="854"/>
      <c r="AP663" s="854"/>
      <c r="AQ663" s="854"/>
      <c r="AR663" s="854"/>
      <c r="AS663" s="854"/>
      <c r="AT663" s="854"/>
      <c r="AU663" s="854"/>
      <c r="AV663" s="854"/>
      <c r="AW663" s="854"/>
      <c r="AX663" s="854"/>
      <c r="AY663" s="854"/>
      <c r="AZ663" s="854"/>
      <c r="BA663" s="854"/>
      <c r="BB663" s="854"/>
      <c r="BC663" s="854"/>
      <c r="BD663" s="854"/>
      <c r="BE663" s="854"/>
      <c r="BF663" s="854"/>
      <c r="BG663" s="854"/>
      <c r="BH663" s="854"/>
      <c r="BI663" s="854"/>
      <c r="BJ663" s="854"/>
      <c r="BK663" s="854"/>
      <c r="BL663" s="854"/>
      <c r="BM663" s="854"/>
      <c r="BN663" s="854"/>
      <c r="BO663" s="854"/>
      <c r="BP663" s="854"/>
      <c r="BQ663" s="854"/>
      <c r="BR663" s="854"/>
      <c r="BS663" s="854"/>
      <c r="BT663" s="854"/>
      <c r="BU663" s="854"/>
      <c r="BV663" s="854"/>
      <c r="BW663" s="854"/>
      <c r="BX663" s="854"/>
      <c r="BY663" s="854"/>
      <c r="BZ663" s="854"/>
      <c r="CA663" s="571">
        <f>IF(OR(I663="",I663&lt;'Configs &amp; Procedures'!$L$29),0,IF(I663&gt;'Configs &amp; Procedures'!$L$30,1,IF(F663&gt;'Configs &amp; Procedures'!$L$31,0,1)))</f>
        <v>0</v>
      </c>
    </row>
    <row r="664" spans="2:79">
      <c r="B664" s="854"/>
      <c r="C664" s="854"/>
      <c r="D664" s="854"/>
      <c r="E664" s="854"/>
      <c r="F664" s="854"/>
      <c r="G664" s="854"/>
      <c r="H664" s="854"/>
      <c r="I664" s="854"/>
      <c r="J664" s="854"/>
      <c r="K664" s="854"/>
      <c r="L664" s="854"/>
      <c r="M664" s="854"/>
      <c r="N664" s="854"/>
      <c r="O664" s="854"/>
      <c r="P664" s="854"/>
      <c r="Q664" s="854"/>
      <c r="R664" s="854"/>
      <c r="S664" s="854"/>
      <c r="T664" s="854"/>
      <c r="U664" s="854"/>
      <c r="V664" s="854"/>
      <c r="W664" s="854"/>
      <c r="X664" s="854"/>
      <c r="Y664" s="854"/>
      <c r="Z664" s="854"/>
      <c r="AA664" s="854"/>
      <c r="AB664" s="854"/>
      <c r="AC664" s="854"/>
      <c r="AD664" s="854"/>
      <c r="AE664" s="854"/>
      <c r="AF664" s="854"/>
      <c r="AG664" s="854"/>
      <c r="AH664" s="854"/>
      <c r="AI664" s="854"/>
      <c r="AJ664" s="854"/>
      <c r="AK664" s="854"/>
      <c r="AL664" s="854"/>
      <c r="AM664" s="854"/>
      <c r="AN664" s="854"/>
      <c r="AO664" s="854"/>
      <c r="AP664" s="854"/>
      <c r="AQ664" s="854"/>
      <c r="AR664" s="854"/>
      <c r="AS664" s="854"/>
      <c r="AT664" s="854"/>
      <c r="AU664" s="854"/>
      <c r="AV664" s="854"/>
      <c r="AW664" s="854"/>
      <c r="AX664" s="854"/>
      <c r="AY664" s="854"/>
      <c r="AZ664" s="854"/>
      <c r="BA664" s="854"/>
      <c r="BB664" s="854"/>
      <c r="BC664" s="854"/>
      <c r="BD664" s="854"/>
      <c r="BE664" s="854"/>
      <c r="BF664" s="854"/>
      <c r="BG664" s="854"/>
      <c r="BH664" s="854"/>
      <c r="BI664" s="854"/>
      <c r="BJ664" s="854"/>
      <c r="BK664" s="854"/>
      <c r="BL664" s="854"/>
      <c r="BM664" s="854"/>
      <c r="BN664" s="854"/>
      <c r="BO664" s="854"/>
      <c r="BP664" s="854"/>
      <c r="BQ664" s="854"/>
      <c r="BR664" s="854"/>
      <c r="BS664" s="854"/>
      <c r="BT664" s="854"/>
      <c r="BU664" s="854"/>
      <c r="BV664" s="854"/>
      <c r="BW664" s="854"/>
      <c r="BX664" s="854"/>
      <c r="BY664" s="854"/>
      <c r="BZ664" s="854"/>
      <c r="CA664" s="571">
        <f>IF(OR(I664="",I664&lt;'Configs &amp; Procedures'!$L$29),0,IF(I664&gt;'Configs &amp; Procedures'!$L$30,1,IF(F664&gt;'Configs &amp; Procedures'!$L$31,0,1)))</f>
        <v>0</v>
      </c>
    </row>
    <row r="665" spans="2:79">
      <c r="B665" s="854"/>
      <c r="C665" s="854"/>
      <c r="D665" s="854"/>
      <c r="E665" s="854"/>
      <c r="F665" s="854"/>
      <c r="G665" s="854"/>
      <c r="H665" s="854"/>
      <c r="I665" s="854"/>
      <c r="J665" s="854"/>
      <c r="K665" s="854"/>
      <c r="L665" s="854"/>
      <c r="M665" s="854"/>
      <c r="N665" s="854"/>
      <c r="O665" s="854"/>
      <c r="P665" s="854"/>
      <c r="Q665" s="854"/>
      <c r="R665" s="854"/>
      <c r="S665" s="854"/>
      <c r="T665" s="854"/>
      <c r="U665" s="854"/>
      <c r="V665" s="854"/>
      <c r="W665" s="854"/>
      <c r="X665" s="854"/>
      <c r="Y665" s="854"/>
      <c r="Z665" s="854"/>
      <c r="AA665" s="854"/>
      <c r="AB665" s="854"/>
      <c r="AC665" s="854"/>
      <c r="AD665" s="854"/>
      <c r="AE665" s="854"/>
      <c r="AF665" s="854"/>
      <c r="AG665" s="854"/>
      <c r="AH665" s="854"/>
      <c r="AI665" s="854"/>
      <c r="AJ665" s="854"/>
      <c r="AK665" s="854"/>
      <c r="AL665" s="854"/>
      <c r="AM665" s="854"/>
      <c r="AN665" s="854"/>
      <c r="AO665" s="854"/>
      <c r="AP665" s="854"/>
      <c r="AQ665" s="854"/>
      <c r="AR665" s="854"/>
      <c r="AS665" s="854"/>
      <c r="AT665" s="854"/>
      <c r="AU665" s="854"/>
      <c r="AV665" s="854"/>
      <c r="AW665" s="854"/>
      <c r="AX665" s="854"/>
      <c r="AY665" s="854"/>
      <c r="AZ665" s="854"/>
      <c r="BA665" s="854"/>
      <c r="BB665" s="854"/>
      <c r="BC665" s="854"/>
      <c r="BD665" s="854"/>
      <c r="BE665" s="854"/>
      <c r="BF665" s="854"/>
      <c r="BG665" s="854"/>
      <c r="BH665" s="854"/>
      <c r="BI665" s="854"/>
      <c r="BJ665" s="854"/>
      <c r="BK665" s="854"/>
      <c r="BL665" s="854"/>
      <c r="BM665" s="854"/>
      <c r="BN665" s="854"/>
      <c r="BO665" s="854"/>
      <c r="BP665" s="854"/>
      <c r="BQ665" s="854"/>
      <c r="BR665" s="854"/>
      <c r="BS665" s="854"/>
      <c r="BT665" s="854"/>
      <c r="BU665" s="854"/>
      <c r="BV665" s="854"/>
      <c r="BW665" s="854"/>
      <c r="BX665" s="854"/>
      <c r="BY665" s="854"/>
      <c r="BZ665" s="854"/>
      <c r="CA665" s="571">
        <f>IF(OR(I665="",I665&lt;'Configs &amp; Procedures'!$L$29),0,IF(I665&gt;'Configs &amp; Procedures'!$L$30,1,IF(F665&gt;'Configs &amp; Procedures'!$L$31,0,1)))</f>
        <v>0</v>
      </c>
    </row>
    <row r="666" spans="2:79">
      <c r="B666" s="854"/>
      <c r="C666" s="854"/>
      <c r="D666" s="854"/>
      <c r="E666" s="854"/>
      <c r="F666" s="854"/>
      <c r="G666" s="854"/>
      <c r="H666" s="854"/>
      <c r="I666" s="854"/>
      <c r="J666" s="854"/>
      <c r="K666" s="854"/>
      <c r="L666" s="854"/>
      <c r="M666" s="854"/>
      <c r="N666" s="854"/>
      <c r="O666" s="854"/>
      <c r="P666" s="854"/>
      <c r="Q666" s="854"/>
      <c r="R666" s="854"/>
      <c r="S666" s="854"/>
      <c r="T666" s="854"/>
      <c r="U666" s="854"/>
      <c r="V666" s="854"/>
      <c r="W666" s="854"/>
      <c r="X666" s="854"/>
      <c r="Y666" s="854"/>
      <c r="Z666" s="854"/>
      <c r="AA666" s="854"/>
      <c r="AB666" s="854"/>
      <c r="AC666" s="854"/>
      <c r="AD666" s="854"/>
      <c r="AE666" s="854"/>
      <c r="AF666" s="854"/>
      <c r="AG666" s="854"/>
      <c r="AH666" s="854"/>
      <c r="AI666" s="854"/>
      <c r="AJ666" s="854"/>
      <c r="AK666" s="854"/>
      <c r="AL666" s="854"/>
      <c r="AM666" s="854"/>
      <c r="AN666" s="854"/>
      <c r="AO666" s="854"/>
      <c r="AP666" s="854"/>
      <c r="AQ666" s="854"/>
      <c r="AR666" s="854"/>
      <c r="AS666" s="854"/>
      <c r="AT666" s="854"/>
      <c r="AU666" s="854"/>
      <c r="AV666" s="854"/>
      <c r="AW666" s="854"/>
      <c r="AX666" s="854"/>
      <c r="AY666" s="854"/>
      <c r="AZ666" s="854"/>
      <c r="BA666" s="854"/>
      <c r="BB666" s="854"/>
      <c r="BC666" s="854"/>
      <c r="BD666" s="854"/>
      <c r="BE666" s="854"/>
      <c r="BF666" s="854"/>
      <c r="BG666" s="854"/>
      <c r="BH666" s="854"/>
      <c r="BI666" s="854"/>
      <c r="BJ666" s="854"/>
      <c r="BK666" s="854"/>
      <c r="BL666" s="854"/>
      <c r="BM666" s="854"/>
      <c r="BN666" s="854"/>
      <c r="BO666" s="854"/>
      <c r="BP666" s="854"/>
      <c r="BQ666" s="854"/>
      <c r="BR666" s="854"/>
      <c r="BS666" s="854"/>
      <c r="BT666" s="854"/>
      <c r="BU666" s="854"/>
      <c r="BV666" s="854"/>
      <c r="BW666" s="854"/>
      <c r="BX666" s="854"/>
      <c r="BY666" s="854"/>
      <c r="BZ666" s="854"/>
      <c r="CA666" s="571">
        <f>IF(OR(I666="",I666&lt;'Configs &amp; Procedures'!$L$29),0,IF(I666&gt;'Configs &amp; Procedures'!$L$30,1,IF(F666&gt;'Configs &amp; Procedures'!$L$31,0,1)))</f>
        <v>0</v>
      </c>
    </row>
    <row r="667" spans="2:79">
      <c r="B667" s="854"/>
      <c r="C667" s="854"/>
      <c r="D667" s="854"/>
      <c r="E667" s="854"/>
      <c r="F667" s="854"/>
      <c r="G667" s="854"/>
      <c r="H667" s="854"/>
      <c r="I667" s="854"/>
      <c r="J667" s="854"/>
      <c r="K667" s="854"/>
      <c r="L667" s="854"/>
      <c r="M667" s="854"/>
      <c r="N667" s="854"/>
      <c r="O667" s="854"/>
      <c r="P667" s="854"/>
      <c r="Q667" s="854"/>
      <c r="R667" s="854"/>
      <c r="S667" s="854"/>
      <c r="T667" s="854"/>
      <c r="U667" s="854"/>
      <c r="V667" s="854"/>
      <c r="W667" s="854"/>
      <c r="X667" s="854"/>
      <c r="Y667" s="854"/>
      <c r="Z667" s="854"/>
      <c r="AA667" s="854"/>
      <c r="AB667" s="854"/>
      <c r="AC667" s="854"/>
      <c r="AD667" s="854"/>
      <c r="AE667" s="854"/>
      <c r="AF667" s="854"/>
      <c r="AG667" s="854"/>
      <c r="AH667" s="854"/>
      <c r="AI667" s="854"/>
      <c r="AJ667" s="854"/>
      <c r="AK667" s="854"/>
      <c r="AL667" s="854"/>
      <c r="AM667" s="854"/>
      <c r="AN667" s="854"/>
      <c r="AO667" s="854"/>
      <c r="AP667" s="854"/>
      <c r="AQ667" s="854"/>
      <c r="AR667" s="854"/>
      <c r="AS667" s="854"/>
      <c r="AT667" s="854"/>
      <c r="AU667" s="854"/>
      <c r="AV667" s="854"/>
      <c r="AW667" s="854"/>
      <c r="AX667" s="854"/>
      <c r="AY667" s="854"/>
      <c r="AZ667" s="854"/>
      <c r="BA667" s="854"/>
      <c r="BB667" s="854"/>
      <c r="BC667" s="854"/>
      <c r="BD667" s="854"/>
      <c r="BE667" s="854"/>
      <c r="BF667" s="854"/>
      <c r="BG667" s="854"/>
      <c r="BH667" s="854"/>
      <c r="BI667" s="854"/>
      <c r="BJ667" s="854"/>
      <c r="BK667" s="854"/>
      <c r="BL667" s="854"/>
      <c r="BM667" s="854"/>
      <c r="BN667" s="854"/>
      <c r="BO667" s="854"/>
      <c r="BP667" s="854"/>
      <c r="BQ667" s="854"/>
      <c r="BR667" s="854"/>
      <c r="BS667" s="854"/>
      <c r="BT667" s="854"/>
      <c r="BU667" s="854"/>
      <c r="BV667" s="854"/>
      <c r="BW667" s="854"/>
      <c r="BX667" s="854"/>
      <c r="BY667" s="854"/>
      <c r="BZ667" s="854"/>
      <c r="CA667" s="571">
        <f>IF(OR(I667="",I667&lt;'Configs &amp; Procedures'!$L$29),0,IF(I667&gt;'Configs &amp; Procedures'!$L$30,1,IF(F667&gt;'Configs &amp; Procedures'!$L$31,0,1)))</f>
        <v>0</v>
      </c>
    </row>
    <row r="668" spans="2:79">
      <c r="B668" s="854"/>
      <c r="C668" s="854"/>
      <c r="D668" s="854"/>
      <c r="E668" s="854"/>
      <c r="F668" s="854"/>
      <c r="G668" s="854"/>
      <c r="H668" s="854"/>
      <c r="I668" s="854"/>
      <c r="J668" s="854"/>
      <c r="K668" s="854"/>
      <c r="L668" s="854"/>
      <c r="M668" s="854"/>
      <c r="N668" s="854"/>
      <c r="O668" s="854"/>
      <c r="P668" s="854"/>
      <c r="Q668" s="854"/>
      <c r="R668" s="854"/>
      <c r="S668" s="854"/>
      <c r="T668" s="854"/>
      <c r="U668" s="854"/>
      <c r="V668" s="854"/>
      <c r="W668" s="854"/>
      <c r="X668" s="854"/>
      <c r="Y668" s="854"/>
      <c r="Z668" s="854"/>
      <c r="AA668" s="854"/>
      <c r="AB668" s="854"/>
      <c r="AC668" s="854"/>
      <c r="AD668" s="854"/>
      <c r="AE668" s="854"/>
      <c r="AF668" s="854"/>
      <c r="AG668" s="854"/>
      <c r="AH668" s="854"/>
      <c r="AI668" s="854"/>
      <c r="AJ668" s="854"/>
      <c r="AK668" s="854"/>
      <c r="AL668" s="854"/>
      <c r="AM668" s="854"/>
      <c r="AN668" s="854"/>
      <c r="AO668" s="854"/>
      <c r="AP668" s="854"/>
      <c r="AQ668" s="854"/>
      <c r="AR668" s="854"/>
      <c r="AS668" s="854"/>
      <c r="AT668" s="854"/>
      <c r="AU668" s="854"/>
      <c r="AV668" s="854"/>
      <c r="AW668" s="854"/>
      <c r="AX668" s="854"/>
      <c r="AY668" s="854"/>
      <c r="AZ668" s="854"/>
      <c r="BA668" s="854"/>
      <c r="BB668" s="854"/>
      <c r="BC668" s="854"/>
      <c r="BD668" s="854"/>
      <c r="BE668" s="854"/>
      <c r="BF668" s="854"/>
      <c r="BG668" s="854"/>
      <c r="BH668" s="854"/>
      <c r="BI668" s="854"/>
      <c r="BJ668" s="854"/>
      <c r="BK668" s="854"/>
      <c r="BL668" s="854"/>
      <c r="BM668" s="854"/>
      <c r="BN668" s="854"/>
      <c r="BO668" s="854"/>
      <c r="BP668" s="854"/>
      <c r="BQ668" s="854"/>
      <c r="BR668" s="854"/>
      <c r="BS668" s="854"/>
      <c r="BT668" s="854"/>
      <c r="BU668" s="854"/>
      <c r="BV668" s="854"/>
      <c r="BW668" s="854"/>
      <c r="BX668" s="854"/>
      <c r="BY668" s="854"/>
      <c r="BZ668" s="854"/>
      <c r="CA668" s="571">
        <f>IF(OR(I668="",I668&lt;'Configs &amp; Procedures'!$L$29),0,IF(I668&gt;'Configs &amp; Procedures'!$L$30,1,IF(F668&gt;'Configs &amp; Procedures'!$L$31,0,1)))</f>
        <v>0</v>
      </c>
    </row>
    <row r="669" spans="2:79">
      <c r="B669" s="854"/>
      <c r="C669" s="854"/>
      <c r="D669" s="854"/>
      <c r="E669" s="854"/>
      <c r="F669" s="854"/>
      <c r="G669" s="854"/>
      <c r="H669" s="854"/>
      <c r="I669" s="854"/>
      <c r="J669" s="854"/>
      <c r="K669" s="854"/>
      <c r="L669" s="854"/>
      <c r="M669" s="854"/>
      <c r="N669" s="854"/>
      <c r="O669" s="854"/>
      <c r="P669" s="854"/>
      <c r="Q669" s="854"/>
      <c r="R669" s="854"/>
      <c r="S669" s="854"/>
      <c r="T669" s="854"/>
      <c r="U669" s="854"/>
      <c r="V669" s="854"/>
      <c r="W669" s="854"/>
      <c r="X669" s="854"/>
      <c r="Y669" s="854"/>
      <c r="Z669" s="854"/>
      <c r="AA669" s="854"/>
      <c r="AB669" s="854"/>
      <c r="AC669" s="854"/>
      <c r="AD669" s="854"/>
      <c r="AE669" s="854"/>
      <c r="AF669" s="854"/>
      <c r="AG669" s="854"/>
      <c r="AH669" s="854"/>
      <c r="AI669" s="854"/>
      <c r="AJ669" s="854"/>
      <c r="AK669" s="854"/>
      <c r="AL669" s="854"/>
      <c r="AM669" s="854"/>
      <c r="AN669" s="854"/>
      <c r="AO669" s="854"/>
      <c r="AP669" s="854"/>
      <c r="AQ669" s="854"/>
      <c r="AR669" s="854"/>
      <c r="AS669" s="854"/>
      <c r="AT669" s="854"/>
      <c r="AU669" s="854"/>
      <c r="AV669" s="854"/>
      <c r="AW669" s="854"/>
      <c r="AX669" s="854"/>
      <c r="AY669" s="854"/>
      <c r="AZ669" s="854"/>
      <c r="BA669" s="854"/>
      <c r="BB669" s="854"/>
      <c r="BC669" s="854"/>
      <c r="BD669" s="854"/>
      <c r="BE669" s="854"/>
      <c r="BF669" s="854"/>
      <c r="BG669" s="854"/>
      <c r="BH669" s="854"/>
      <c r="BI669" s="854"/>
      <c r="BJ669" s="854"/>
      <c r="BK669" s="854"/>
      <c r="BL669" s="854"/>
      <c r="BM669" s="854"/>
      <c r="BN669" s="854"/>
      <c r="BO669" s="854"/>
      <c r="BP669" s="854"/>
      <c r="BQ669" s="854"/>
      <c r="BR669" s="854"/>
      <c r="BS669" s="854"/>
      <c r="BT669" s="854"/>
      <c r="BU669" s="854"/>
      <c r="BV669" s="854"/>
      <c r="BW669" s="854"/>
      <c r="BX669" s="854"/>
      <c r="BY669" s="854"/>
      <c r="BZ669" s="854"/>
      <c r="CA669" s="571">
        <f>IF(OR(I669="",I669&lt;'Configs &amp; Procedures'!$L$29),0,IF(I669&gt;'Configs &amp; Procedures'!$L$30,1,IF(F669&gt;'Configs &amp; Procedures'!$L$31,0,1)))</f>
        <v>0</v>
      </c>
    </row>
    <row r="670" spans="2:79">
      <c r="B670" s="854"/>
      <c r="C670" s="854"/>
      <c r="D670" s="854"/>
      <c r="E670" s="854"/>
      <c r="F670" s="854"/>
      <c r="G670" s="854"/>
      <c r="H670" s="854"/>
      <c r="I670" s="854"/>
      <c r="J670" s="854"/>
      <c r="K670" s="854"/>
      <c r="L670" s="854"/>
      <c r="M670" s="854"/>
      <c r="N670" s="854"/>
      <c r="O670" s="854"/>
      <c r="P670" s="854"/>
      <c r="Q670" s="854"/>
      <c r="R670" s="854"/>
      <c r="S670" s="854"/>
      <c r="T670" s="854"/>
      <c r="U670" s="854"/>
      <c r="V670" s="854"/>
      <c r="W670" s="854"/>
      <c r="X670" s="854"/>
      <c r="Y670" s="854"/>
      <c r="Z670" s="854"/>
      <c r="AA670" s="854"/>
      <c r="AB670" s="854"/>
      <c r="AC670" s="854"/>
      <c r="AD670" s="854"/>
      <c r="AE670" s="854"/>
      <c r="AF670" s="854"/>
      <c r="AG670" s="854"/>
      <c r="AH670" s="854"/>
      <c r="AI670" s="854"/>
      <c r="AJ670" s="854"/>
      <c r="AK670" s="854"/>
      <c r="AL670" s="854"/>
      <c r="AM670" s="854"/>
      <c r="AN670" s="854"/>
      <c r="AO670" s="854"/>
      <c r="AP670" s="854"/>
      <c r="AQ670" s="854"/>
      <c r="AR670" s="854"/>
      <c r="AS670" s="854"/>
      <c r="AT670" s="854"/>
      <c r="AU670" s="854"/>
      <c r="AV670" s="854"/>
      <c r="AW670" s="854"/>
      <c r="AX670" s="854"/>
      <c r="AY670" s="854"/>
      <c r="AZ670" s="854"/>
      <c r="BA670" s="854"/>
      <c r="BB670" s="854"/>
      <c r="BC670" s="854"/>
      <c r="BD670" s="854"/>
      <c r="BE670" s="854"/>
      <c r="BF670" s="854"/>
      <c r="BG670" s="854"/>
      <c r="BH670" s="854"/>
      <c r="BI670" s="854"/>
      <c r="BJ670" s="854"/>
      <c r="BK670" s="854"/>
      <c r="BL670" s="854"/>
      <c r="BM670" s="854"/>
      <c r="BN670" s="854"/>
      <c r="BO670" s="854"/>
      <c r="BP670" s="854"/>
      <c r="BQ670" s="854"/>
      <c r="BR670" s="854"/>
      <c r="BS670" s="854"/>
      <c r="BT670" s="854"/>
      <c r="BU670" s="854"/>
      <c r="BV670" s="854"/>
      <c r="BW670" s="854"/>
      <c r="BX670" s="854"/>
      <c r="BY670" s="854"/>
      <c r="BZ670" s="854"/>
      <c r="CA670" s="571">
        <f>IF(OR(I670="",I670&lt;'Configs &amp; Procedures'!$L$29),0,IF(I670&gt;'Configs &amp; Procedures'!$L$30,1,IF(F670&gt;'Configs &amp; Procedures'!$L$31,0,1)))</f>
        <v>0</v>
      </c>
    </row>
    <row r="671" spans="2:79">
      <c r="B671" s="854"/>
      <c r="C671" s="854"/>
      <c r="D671" s="854"/>
      <c r="E671" s="854"/>
      <c r="F671" s="854"/>
      <c r="G671" s="854"/>
      <c r="H671" s="854"/>
      <c r="I671" s="854"/>
      <c r="J671" s="854"/>
      <c r="K671" s="854"/>
      <c r="L671" s="854"/>
      <c r="M671" s="854"/>
      <c r="N671" s="854"/>
      <c r="O671" s="854"/>
      <c r="P671" s="854"/>
      <c r="Q671" s="854"/>
      <c r="R671" s="854"/>
      <c r="S671" s="854"/>
      <c r="T671" s="854"/>
      <c r="U671" s="854"/>
      <c r="V671" s="854"/>
      <c r="W671" s="854"/>
      <c r="X671" s="854"/>
      <c r="Y671" s="854"/>
      <c r="Z671" s="854"/>
      <c r="AA671" s="854"/>
      <c r="AB671" s="854"/>
      <c r="AC671" s="854"/>
      <c r="AD671" s="854"/>
      <c r="AE671" s="854"/>
      <c r="AF671" s="854"/>
      <c r="AG671" s="854"/>
      <c r="AH671" s="854"/>
      <c r="AI671" s="854"/>
      <c r="AJ671" s="854"/>
      <c r="AK671" s="854"/>
      <c r="AL671" s="854"/>
      <c r="AM671" s="854"/>
      <c r="AN671" s="854"/>
      <c r="AO671" s="854"/>
      <c r="AP671" s="854"/>
      <c r="AQ671" s="854"/>
      <c r="AR671" s="854"/>
      <c r="AS671" s="854"/>
      <c r="AT671" s="854"/>
      <c r="AU671" s="854"/>
      <c r="AV671" s="854"/>
      <c r="AW671" s="854"/>
      <c r="AX671" s="854"/>
      <c r="AY671" s="854"/>
      <c r="AZ671" s="854"/>
      <c r="BA671" s="854"/>
      <c r="BB671" s="854"/>
      <c r="BC671" s="854"/>
      <c r="BD671" s="854"/>
      <c r="BE671" s="854"/>
      <c r="BF671" s="854"/>
      <c r="BG671" s="854"/>
      <c r="BH671" s="854"/>
      <c r="BI671" s="854"/>
      <c r="BJ671" s="854"/>
      <c r="BK671" s="854"/>
      <c r="BL671" s="854"/>
      <c r="BM671" s="854"/>
      <c r="BN671" s="854"/>
      <c r="BO671" s="854"/>
      <c r="BP671" s="854"/>
      <c r="BQ671" s="854"/>
      <c r="BR671" s="854"/>
      <c r="BS671" s="854"/>
      <c r="BT671" s="854"/>
      <c r="BU671" s="854"/>
      <c r="BV671" s="854"/>
      <c r="BW671" s="854"/>
      <c r="BX671" s="854"/>
      <c r="BY671" s="854"/>
      <c r="BZ671" s="854"/>
      <c r="CA671" s="571">
        <f>IF(OR(I671="",I671&lt;'Configs &amp; Procedures'!$L$29),0,IF(I671&gt;'Configs &amp; Procedures'!$L$30,1,IF(F671&gt;'Configs &amp; Procedures'!$L$31,0,1)))</f>
        <v>0</v>
      </c>
    </row>
    <row r="672" spans="2:79">
      <c r="B672" s="854"/>
      <c r="C672" s="854"/>
      <c r="D672" s="854"/>
      <c r="E672" s="854"/>
      <c r="F672" s="854"/>
      <c r="G672" s="854"/>
      <c r="H672" s="854"/>
      <c r="I672" s="854"/>
      <c r="J672" s="854"/>
      <c r="K672" s="854"/>
      <c r="L672" s="854"/>
      <c r="M672" s="854"/>
      <c r="N672" s="854"/>
      <c r="O672" s="854"/>
      <c r="P672" s="854"/>
      <c r="Q672" s="854"/>
      <c r="R672" s="854"/>
      <c r="S672" s="854"/>
      <c r="T672" s="854"/>
      <c r="U672" s="854"/>
      <c r="V672" s="854"/>
      <c r="W672" s="854"/>
      <c r="X672" s="854"/>
      <c r="Y672" s="854"/>
      <c r="Z672" s="854"/>
      <c r="AA672" s="854"/>
      <c r="AB672" s="854"/>
      <c r="AC672" s="854"/>
      <c r="AD672" s="854"/>
      <c r="AE672" s="854"/>
      <c r="AF672" s="854"/>
      <c r="AG672" s="854"/>
      <c r="AH672" s="854"/>
      <c r="AI672" s="854"/>
      <c r="AJ672" s="854"/>
      <c r="AK672" s="854"/>
      <c r="AL672" s="854"/>
      <c r="AM672" s="854"/>
      <c r="AN672" s="854"/>
      <c r="AO672" s="854"/>
      <c r="AP672" s="854"/>
      <c r="AQ672" s="854"/>
      <c r="AR672" s="854"/>
      <c r="AS672" s="854"/>
      <c r="AT672" s="854"/>
      <c r="AU672" s="854"/>
      <c r="AV672" s="854"/>
      <c r="AW672" s="854"/>
      <c r="AX672" s="854"/>
      <c r="AY672" s="854"/>
      <c r="AZ672" s="854"/>
      <c r="BA672" s="854"/>
      <c r="BB672" s="854"/>
      <c r="BC672" s="854"/>
      <c r="BD672" s="854"/>
      <c r="BE672" s="854"/>
      <c r="BF672" s="854"/>
      <c r="BG672" s="854"/>
      <c r="BH672" s="854"/>
      <c r="BI672" s="854"/>
      <c r="BJ672" s="854"/>
      <c r="BK672" s="854"/>
      <c r="BL672" s="854"/>
      <c r="BM672" s="854"/>
      <c r="BN672" s="854"/>
      <c r="BO672" s="854"/>
      <c r="BP672" s="854"/>
      <c r="BQ672" s="854"/>
      <c r="BR672" s="854"/>
      <c r="BS672" s="854"/>
      <c r="BT672" s="854"/>
      <c r="BU672" s="854"/>
      <c r="BV672" s="854"/>
      <c r="BW672" s="854"/>
      <c r="BX672" s="854"/>
      <c r="BY672" s="854"/>
      <c r="BZ672" s="854"/>
      <c r="CA672" s="571">
        <f>IF(OR(I672="",I672&lt;'Configs &amp; Procedures'!$L$29),0,IF(I672&gt;'Configs &amp; Procedures'!$L$30,1,IF(F672&gt;'Configs &amp; Procedures'!$L$31,0,1)))</f>
        <v>0</v>
      </c>
    </row>
    <row r="673" spans="2:79">
      <c r="B673" s="854"/>
      <c r="C673" s="854"/>
      <c r="D673" s="854"/>
      <c r="E673" s="854"/>
      <c r="F673" s="854"/>
      <c r="G673" s="854"/>
      <c r="H673" s="854"/>
      <c r="I673" s="854"/>
      <c r="J673" s="854"/>
      <c r="K673" s="854"/>
      <c r="L673" s="854"/>
      <c r="M673" s="854"/>
      <c r="N673" s="854"/>
      <c r="O673" s="854"/>
      <c r="P673" s="854"/>
      <c r="Q673" s="854"/>
      <c r="R673" s="854"/>
      <c r="S673" s="854"/>
      <c r="T673" s="854"/>
      <c r="U673" s="854"/>
      <c r="V673" s="854"/>
      <c r="W673" s="854"/>
      <c r="X673" s="854"/>
      <c r="Y673" s="854"/>
      <c r="Z673" s="854"/>
      <c r="AA673" s="854"/>
      <c r="AB673" s="854"/>
      <c r="AC673" s="854"/>
      <c r="AD673" s="854"/>
      <c r="AE673" s="854"/>
      <c r="AF673" s="854"/>
      <c r="AG673" s="854"/>
      <c r="AH673" s="854"/>
      <c r="AI673" s="854"/>
      <c r="AJ673" s="854"/>
      <c r="AK673" s="854"/>
      <c r="AL673" s="854"/>
      <c r="AM673" s="854"/>
      <c r="AN673" s="854"/>
      <c r="AO673" s="854"/>
      <c r="AP673" s="854"/>
      <c r="AQ673" s="854"/>
      <c r="AR673" s="854"/>
      <c r="AS673" s="854"/>
      <c r="AT673" s="854"/>
      <c r="AU673" s="854"/>
      <c r="AV673" s="854"/>
      <c r="AW673" s="854"/>
      <c r="AX673" s="854"/>
      <c r="AY673" s="854"/>
      <c r="AZ673" s="854"/>
      <c r="BA673" s="854"/>
      <c r="BB673" s="854"/>
      <c r="BC673" s="854"/>
      <c r="BD673" s="854"/>
      <c r="BE673" s="854"/>
      <c r="BF673" s="854"/>
      <c r="BG673" s="854"/>
      <c r="BH673" s="854"/>
      <c r="BI673" s="854"/>
      <c r="BJ673" s="854"/>
      <c r="BK673" s="854"/>
      <c r="BL673" s="854"/>
      <c r="BM673" s="854"/>
      <c r="BN673" s="854"/>
      <c r="BO673" s="854"/>
      <c r="BP673" s="854"/>
      <c r="BQ673" s="854"/>
      <c r="BR673" s="854"/>
      <c r="BS673" s="854"/>
      <c r="BT673" s="854"/>
      <c r="BU673" s="854"/>
      <c r="BV673" s="854"/>
      <c r="BW673" s="854"/>
      <c r="BX673" s="854"/>
      <c r="BY673" s="854"/>
      <c r="BZ673" s="854"/>
      <c r="CA673" s="571">
        <f>IF(OR(I673="",I673&lt;'Configs &amp; Procedures'!$L$29),0,IF(I673&gt;'Configs &amp; Procedures'!$L$30,1,IF(F673&gt;'Configs &amp; Procedures'!$L$31,0,1)))</f>
        <v>0</v>
      </c>
    </row>
    <row r="674" spans="2:79">
      <c r="B674" s="854"/>
      <c r="C674" s="854"/>
      <c r="D674" s="854"/>
      <c r="E674" s="854"/>
      <c r="F674" s="854"/>
      <c r="G674" s="854"/>
      <c r="H674" s="854"/>
      <c r="I674" s="854"/>
      <c r="J674" s="854"/>
      <c r="K674" s="854"/>
      <c r="L674" s="854"/>
      <c r="M674" s="854"/>
      <c r="N674" s="854"/>
      <c r="O674" s="854"/>
      <c r="P674" s="854"/>
      <c r="Q674" s="854"/>
      <c r="R674" s="854"/>
      <c r="S674" s="854"/>
      <c r="T674" s="854"/>
      <c r="U674" s="854"/>
      <c r="V674" s="854"/>
      <c r="W674" s="854"/>
      <c r="X674" s="854"/>
      <c r="Y674" s="854"/>
      <c r="Z674" s="854"/>
      <c r="AA674" s="854"/>
      <c r="AB674" s="854"/>
      <c r="AC674" s="854"/>
      <c r="AD674" s="854"/>
      <c r="AE674" s="854"/>
      <c r="AF674" s="854"/>
      <c r="AG674" s="854"/>
      <c r="AH674" s="854"/>
      <c r="AI674" s="854"/>
      <c r="AJ674" s="854"/>
      <c r="AK674" s="854"/>
      <c r="AL674" s="854"/>
      <c r="AM674" s="854"/>
      <c r="AN674" s="854"/>
      <c r="AO674" s="854"/>
      <c r="AP674" s="854"/>
      <c r="AQ674" s="854"/>
      <c r="AR674" s="854"/>
      <c r="AS674" s="854"/>
      <c r="AT674" s="854"/>
      <c r="AU674" s="854"/>
      <c r="AV674" s="854"/>
      <c r="AW674" s="854"/>
      <c r="AX674" s="854"/>
      <c r="AY674" s="854"/>
      <c r="AZ674" s="854"/>
      <c r="BA674" s="854"/>
      <c r="BB674" s="854"/>
      <c r="BC674" s="854"/>
      <c r="BD674" s="854"/>
      <c r="BE674" s="854"/>
      <c r="BF674" s="854"/>
      <c r="BG674" s="854"/>
      <c r="BH674" s="854"/>
      <c r="BI674" s="854"/>
      <c r="BJ674" s="854"/>
      <c r="BK674" s="854"/>
      <c r="BL674" s="854"/>
      <c r="BM674" s="854"/>
      <c r="BN674" s="854"/>
      <c r="BO674" s="854"/>
      <c r="BP674" s="854"/>
      <c r="BQ674" s="854"/>
      <c r="BR674" s="854"/>
      <c r="BS674" s="854"/>
      <c r="BT674" s="854"/>
      <c r="BU674" s="854"/>
      <c r="BV674" s="854"/>
      <c r="BW674" s="854"/>
      <c r="BX674" s="854"/>
      <c r="BY674" s="854"/>
      <c r="BZ674" s="854"/>
      <c r="CA674" s="571">
        <f>IF(OR(I674="",I674&lt;'Configs &amp; Procedures'!$L$29),0,IF(I674&gt;'Configs &amp; Procedures'!$L$30,1,IF(F674&gt;'Configs &amp; Procedures'!$L$31,0,1)))</f>
        <v>0</v>
      </c>
    </row>
    <row r="675" spans="2:79">
      <c r="B675" s="854"/>
      <c r="C675" s="854"/>
      <c r="D675" s="854"/>
      <c r="E675" s="854"/>
      <c r="F675" s="854"/>
      <c r="G675" s="854"/>
      <c r="H675" s="854"/>
      <c r="I675" s="854"/>
      <c r="J675" s="854"/>
      <c r="K675" s="854"/>
      <c r="L675" s="854"/>
      <c r="M675" s="854"/>
      <c r="N675" s="854"/>
      <c r="O675" s="854"/>
      <c r="P675" s="854"/>
      <c r="Q675" s="854"/>
      <c r="R675" s="854"/>
      <c r="S675" s="854"/>
      <c r="T675" s="854"/>
      <c r="U675" s="854"/>
      <c r="V675" s="854"/>
      <c r="W675" s="854"/>
      <c r="X675" s="854"/>
      <c r="Y675" s="854"/>
      <c r="Z675" s="854"/>
      <c r="AA675" s="854"/>
      <c r="AB675" s="854"/>
      <c r="AC675" s="854"/>
      <c r="AD675" s="854"/>
      <c r="AE675" s="854"/>
      <c r="AF675" s="854"/>
      <c r="AG675" s="854"/>
      <c r="AH675" s="854"/>
      <c r="AI675" s="854"/>
      <c r="AJ675" s="854"/>
      <c r="AK675" s="854"/>
      <c r="AL675" s="854"/>
      <c r="AM675" s="854"/>
      <c r="AN675" s="854"/>
      <c r="AO675" s="854"/>
      <c r="AP675" s="854"/>
      <c r="AQ675" s="854"/>
      <c r="AR675" s="854"/>
      <c r="AS675" s="854"/>
      <c r="AT675" s="854"/>
      <c r="AU675" s="854"/>
      <c r="AV675" s="854"/>
      <c r="AW675" s="854"/>
      <c r="AX675" s="854"/>
      <c r="AY675" s="854"/>
      <c r="AZ675" s="854"/>
      <c r="BA675" s="854"/>
      <c r="BB675" s="854"/>
      <c r="BC675" s="854"/>
      <c r="BD675" s="854"/>
      <c r="BE675" s="854"/>
      <c r="BF675" s="854"/>
      <c r="BG675" s="854"/>
      <c r="BH675" s="854"/>
      <c r="BI675" s="854"/>
      <c r="BJ675" s="854"/>
      <c r="BK675" s="854"/>
      <c r="BL675" s="854"/>
      <c r="BM675" s="854"/>
      <c r="BN675" s="854"/>
      <c r="BO675" s="854"/>
      <c r="BP675" s="854"/>
      <c r="BQ675" s="854"/>
      <c r="BR675" s="854"/>
      <c r="BS675" s="854"/>
      <c r="BT675" s="854"/>
      <c r="BU675" s="854"/>
      <c r="BV675" s="854"/>
      <c r="BW675" s="854"/>
      <c r="BX675" s="854"/>
      <c r="BY675" s="854"/>
      <c r="BZ675" s="854"/>
      <c r="CA675" s="571">
        <f>IF(OR(I675="",I675&lt;'Configs &amp; Procedures'!$L$29),0,IF(I675&gt;'Configs &amp; Procedures'!$L$30,1,IF(F675&gt;'Configs &amp; Procedures'!$L$31,0,1)))</f>
        <v>0</v>
      </c>
    </row>
    <row r="676" spans="2:79">
      <c r="B676" s="854"/>
      <c r="C676" s="854"/>
      <c r="D676" s="854"/>
      <c r="E676" s="854"/>
      <c r="F676" s="854"/>
      <c r="G676" s="854"/>
      <c r="H676" s="854"/>
      <c r="I676" s="854"/>
      <c r="J676" s="854"/>
      <c r="K676" s="854"/>
      <c r="L676" s="854"/>
      <c r="M676" s="854"/>
      <c r="N676" s="854"/>
      <c r="O676" s="854"/>
      <c r="P676" s="854"/>
      <c r="Q676" s="854"/>
      <c r="R676" s="854"/>
      <c r="S676" s="854"/>
      <c r="T676" s="854"/>
      <c r="U676" s="854"/>
      <c r="V676" s="854"/>
      <c r="W676" s="854"/>
      <c r="X676" s="854"/>
      <c r="Y676" s="854"/>
      <c r="Z676" s="854"/>
      <c r="AA676" s="854"/>
      <c r="AB676" s="854"/>
      <c r="AC676" s="854"/>
      <c r="AD676" s="854"/>
      <c r="AE676" s="854"/>
      <c r="AF676" s="854"/>
      <c r="AG676" s="854"/>
      <c r="AH676" s="854"/>
      <c r="AI676" s="854"/>
      <c r="AJ676" s="854"/>
      <c r="AK676" s="854"/>
      <c r="AL676" s="854"/>
      <c r="AM676" s="854"/>
      <c r="AN676" s="854"/>
      <c r="AO676" s="854"/>
      <c r="AP676" s="854"/>
      <c r="AQ676" s="854"/>
      <c r="AR676" s="854"/>
      <c r="AS676" s="854"/>
      <c r="AT676" s="854"/>
      <c r="AU676" s="854"/>
      <c r="AV676" s="854"/>
      <c r="AW676" s="854"/>
      <c r="AX676" s="854"/>
      <c r="AY676" s="854"/>
      <c r="AZ676" s="854"/>
      <c r="BA676" s="854"/>
      <c r="BB676" s="854"/>
      <c r="BC676" s="854"/>
      <c r="BD676" s="854"/>
      <c r="BE676" s="854"/>
      <c r="BF676" s="854"/>
      <c r="BG676" s="854"/>
      <c r="BH676" s="854"/>
      <c r="BI676" s="854"/>
      <c r="BJ676" s="854"/>
      <c r="BK676" s="854"/>
      <c r="BL676" s="854"/>
      <c r="BM676" s="854"/>
      <c r="BN676" s="854"/>
      <c r="BO676" s="854"/>
      <c r="BP676" s="854"/>
      <c r="BQ676" s="854"/>
      <c r="BR676" s="854"/>
      <c r="BS676" s="854"/>
      <c r="BT676" s="854"/>
      <c r="BU676" s="854"/>
      <c r="BV676" s="854"/>
      <c r="BW676" s="854"/>
      <c r="BX676" s="854"/>
      <c r="BY676" s="854"/>
      <c r="BZ676" s="854"/>
      <c r="CA676" s="571">
        <f>IF(OR(I676="",I676&lt;'Configs &amp; Procedures'!$L$29),0,IF(I676&gt;'Configs &amp; Procedures'!$L$30,1,IF(F676&gt;'Configs &amp; Procedures'!$L$31,0,1)))</f>
        <v>0</v>
      </c>
    </row>
    <row r="677" spans="2:79">
      <c r="B677" s="854"/>
      <c r="C677" s="854"/>
      <c r="D677" s="854"/>
      <c r="E677" s="854"/>
      <c r="F677" s="854"/>
      <c r="G677" s="854"/>
      <c r="H677" s="854"/>
      <c r="I677" s="854"/>
      <c r="J677" s="854"/>
      <c r="K677" s="854"/>
      <c r="L677" s="854"/>
      <c r="M677" s="854"/>
      <c r="N677" s="854"/>
      <c r="O677" s="854"/>
      <c r="P677" s="854"/>
      <c r="Q677" s="854"/>
      <c r="R677" s="854"/>
      <c r="S677" s="854"/>
      <c r="T677" s="854"/>
      <c r="U677" s="854"/>
      <c r="V677" s="854"/>
      <c r="W677" s="854"/>
      <c r="X677" s="854"/>
      <c r="Y677" s="854"/>
      <c r="Z677" s="854"/>
      <c r="AA677" s="854"/>
      <c r="AB677" s="854"/>
      <c r="AC677" s="854"/>
      <c r="AD677" s="854"/>
      <c r="AE677" s="854"/>
      <c r="AF677" s="854"/>
      <c r="AG677" s="854"/>
      <c r="AH677" s="854"/>
      <c r="AI677" s="854"/>
      <c r="AJ677" s="854"/>
      <c r="AK677" s="854"/>
      <c r="AL677" s="854"/>
      <c r="AM677" s="854"/>
      <c r="AN677" s="854"/>
      <c r="AO677" s="854"/>
      <c r="AP677" s="854"/>
      <c r="AQ677" s="854"/>
      <c r="AR677" s="854"/>
      <c r="AS677" s="854"/>
      <c r="AT677" s="854"/>
      <c r="AU677" s="854"/>
      <c r="AV677" s="854"/>
      <c r="AW677" s="854"/>
      <c r="AX677" s="854"/>
      <c r="AY677" s="854"/>
      <c r="AZ677" s="854"/>
      <c r="BA677" s="854"/>
      <c r="BB677" s="854"/>
      <c r="BC677" s="854"/>
      <c r="BD677" s="854"/>
      <c r="BE677" s="854"/>
      <c r="BF677" s="854"/>
      <c r="BG677" s="854"/>
      <c r="BH677" s="854"/>
      <c r="BI677" s="854"/>
      <c r="BJ677" s="854"/>
      <c r="BK677" s="854"/>
      <c r="BL677" s="854"/>
      <c r="BM677" s="854"/>
      <c r="BN677" s="854"/>
      <c r="BO677" s="854"/>
      <c r="BP677" s="854"/>
      <c r="BQ677" s="854"/>
      <c r="BR677" s="854"/>
      <c r="BS677" s="854"/>
      <c r="BT677" s="854"/>
      <c r="BU677" s="854"/>
      <c r="BV677" s="854"/>
      <c r="BW677" s="854"/>
      <c r="BX677" s="854"/>
      <c r="BY677" s="854"/>
      <c r="BZ677" s="854"/>
      <c r="CA677" s="571">
        <f>IF(OR(I677="",I677&lt;'Configs &amp; Procedures'!$L$29),0,IF(I677&gt;'Configs &amp; Procedures'!$L$30,1,IF(F677&gt;'Configs &amp; Procedures'!$L$31,0,1)))</f>
        <v>0</v>
      </c>
    </row>
    <row r="678" spans="2:79">
      <c r="B678" s="854"/>
      <c r="C678" s="854"/>
      <c r="D678" s="854"/>
      <c r="E678" s="854"/>
      <c r="F678" s="854"/>
      <c r="G678" s="854"/>
      <c r="H678" s="854"/>
      <c r="I678" s="854"/>
      <c r="J678" s="854"/>
      <c r="K678" s="854"/>
      <c r="L678" s="854"/>
      <c r="M678" s="854"/>
      <c r="N678" s="854"/>
      <c r="O678" s="854"/>
      <c r="P678" s="854"/>
      <c r="Q678" s="854"/>
      <c r="R678" s="854"/>
      <c r="S678" s="854"/>
      <c r="T678" s="854"/>
      <c r="U678" s="854"/>
      <c r="V678" s="854"/>
      <c r="W678" s="854"/>
      <c r="X678" s="854"/>
      <c r="Y678" s="854"/>
      <c r="Z678" s="854"/>
      <c r="AA678" s="854"/>
      <c r="AB678" s="854"/>
      <c r="AC678" s="854"/>
      <c r="AD678" s="854"/>
      <c r="AE678" s="854"/>
      <c r="AF678" s="854"/>
      <c r="AG678" s="854"/>
      <c r="AH678" s="854"/>
      <c r="AI678" s="854"/>
      <c r="AJ678" s="854"/>
      <c r="AK678" s="854"/>
      <c r="AL678" s="854"/>
      <c r="AM678" s="854"/>
      <c r="AN678" s="854"/>
      <c r="AO678" s="854"/>
      <c r="AP678" s="854"/>
      <c r="AQ678" s="854"/>
      <c r="AR678" s="854"/>
      <c r="AS678" s="854"/>
      <c r="AT678" s="854"/>
      <c r="AU678" s="854"/>
      <c r="AV678" s="854"/>
      <c r="AW678" s="854"/>
      <c r="AX678" s="854"/>
      <c r="AY678" s="854"/>
      <c r="AZ678" s="854"/>
      <c r="BA678" s="854"/>
      <c r="BB678" s="854"/>
      <c r="BC678" s="854"/>
      <c r="BD678" s="854"/>
      <c r="BE678" s="854"/>
      <c r="BF678" s="854"/>
      <c r="BG678" s="854"/>
      <c r="BH678" s="854"/>
      <c r="BI678" s="854"/>
      <c r="BJ678" s="854"/>
      <c r="BK678" s="854"/>
      <c r="BL678" s="854"/>
      <c r="BM678" s="854"/>
      <c r="BN678" s="854"/>
      <c r="BO678" s="854"/>
      <c r="BP678" s="854"/>
      <c r="BQ678" s="854"/>
      <c r="BR678" s="854"/>
      <c r="BS678" s="854"/>
      <c r="BT678" s="854"/>
      <c r="BU678" s="854"/>
      <c r="BV678" s="854"/>
      <c r="BW678" s="854"/>
      <c r="BX678" s="854"/>
      <c r="BY678" s="854"/>
      <c r="BZ678" s="854"/>
      <c r="CA678" s="571">
        <f>IF(OR(I678="",I678&lt;'Configs &amp; Procedures'!$L$29),0,IF(I678&gt;'Configs &amp; Procedures'!$L$30,1,IF(F678&gt;'Configs &amp; Procedures'!$L$31,0,1)))</f>
        <v>0</v>
      </c>
    </row>
    <row r="679" spans="2:79">
      <c r="B679" s="854"/>
      <c r="C679" s="854"/>
      <c r="D679" s="854"/>
      <c r="E679" s="854"/>
      <c r="F679" s="854"/>
      <c r="G679" s="854"/>
      <c r="H679" s="854"/>
      <c r="I679" s="854"/>
      <c r="J679" s="854"/>
      <c r="K679" s="854"/>
      <c r="L679" s="854"/>
      <c r="M679" s="854"/>
      <c r="N679" s="854"/>
      <c r="O679" s="854"/>
      <c r="P679" s="854"/>
      <c r="Q679" s="854"/>
      <c r="R679" s="854"/>
      <c r="S679" s="854"/>
      <c r="T679" s="854"/>
      <c r="U679" s="854"/>
      <c r="V679" s="854"/>
      <c r="W679" s="854"/>
      <c r="X679" s="854"/>
      <c r="Y679" s="854"/>
      <c r="Z679" s="854"/>
      <c r="AA679" s="854"/>
      <c r="AB679" s="854"/>
      <c r="AC679" s="854"/>
      <c r="AD679" s="854"/>
      <c r="AE679" s="854"/>
      <c r="AF679" s="854"/>
      <c r="AG679" s="854"/>
      <c r="AH679" s="854"/>
      <c r="AI679" s="854"/>
      <c r="AJ679" s="854"/>
      <c r="AK679" s="854"/>
      <c r="AL679" s="854"/>
      <c r="AM679" s="854"/>
      <c r="AN679" s="854"/>
      <c r="AO679" s="854"/>
      <c r="AP679" s="854"/>
      <c r="AQ679" s="854"/>
      <c r="AR679" s="854"/>
      <c r="AS679" s="854"/>
      <c r="AT679" s="854"/>
      <c r="AU679" s="854"/>
      <c r="AV679" s="854"/>
      <c r="AW679" s="854"/>
      <c r="AX679" s="854"/>
      <c r="AY679" s="854"/>
      <c r="AZ679" s="854"/>
      <c r="BA679" s="854"/>
      <c r="BB679" s="854"/>
      <c r="BC679" s="854"/>
      <c r="BD679" s="854"/>
      <c r="BE679" s="854"/>
      <c r="BF679" s="854"/>
      <c r="BG679" s="854"/>
      <c r="BH679" s="854"/>
      <c r="BI679" s="854"/>
      <c r="BJ679" s="854"/>
      <c r="BK679" s="854"/>
      <c r="BL679" s="854"/>
      <c r="BM679" s="854"/>
      <c r="BN679" s="854"/>
      <c r="BO679" s="854"/>
      <c r="BP679" s="854"/>
      <c r="BQ679" s="854"/>
      <c r="BR679" s="854"/>
      <c r="BS679" s="854"/>
      <c r="BT679" s="854"/>
      <c r="BU679" s="854"/>
      <c r="BV679" s="854"/>
      <c r="BW679" s="854"/>
      <c r="BX679" s="854"/>
      <c r="BY679" s="854"/>
      <c r="BZ679" s="854"/>
      <c r="CA679" s="571">
        <f>IF(OR(I679="",I679&lt;'Configs &amp; Procedures'!$L$29),0,IF(I679&gt;'Configs &amp; Procedures'!$L$30,1,IF(F679&gt;'Configs &amp; Procedures'!$L$31,0,1)))</f>
        <v>0</v>
      </c>
    </row>
    <row r="680" spans="2:79">
      <c r="B680" s="854"/>
      <c r="C680" s="854"/>
      <c r="D680" s="854"/>
      <c r="E680" s="854"/>
      <c r="F680" s="854"/>
      <c r="G680" s="854"/>
      <c r="H680" s="854"/>
      <c r="I680" s="854"/>
      <c r="J680" s="854"/>
      <c r="K680" s="854"/>
      <c r="L680" s="854"/>
      <c r="M680" s="854"/>
      <c r="N680" s="854"/>
      <c r="O680" s="854"/>
      <c r="P680" s="854"/>
      <c r="Q680" s="854"/>
      <c r="R680" s="854"/>
      <c r="S680" s="854"/>
      <c r="T680" s="854"/>
      <c r="U680" s="854"/>
      <c r="V680" s="854"/>
      <c r="W680" s="854"/>
      <c r="X680" s="854"/>
      <c r="Y680" s="854"/>
      <c r="Z680" s="854"/>
      <c r="AA680" s="854"/>
      <c r="AB680" s="854"/>
      <c r="AC680" s="854"/>
      <c r="AD680" s="854"/>
      <c r="AE680" s="854"/>
      <c r="AF680" s="854"/>
      <c r="AG680" s="854"/>
      <c r="AH680" s="854"/>
      <c r="AI680" s="854"/>
      <c r="AJ680" s="854"/>
      <c r="AK680" s="854"/>
      <c r="AL680" s="854"/>
      <c r="AM680" s="854"/>
      <c r="AN680" s="854"/>
      <c r="AO680" s="854"/>
      <c r="AP680" s="854"/>
      <c r="AQ680" s="854"/>
      <c r="AR680" s="854"/>
      <c r="AS680" s="854"/>
      <c r="AT680" s="854"/>
      <c r="AU680" s="854"/>
      <c r="AV680" s="854"/>
      <c r="AW680" s="854"/>
      <c r="AX680" s="854"/>
      <c r="AY680" s="854"/>
      <c r="AZ680" s="854"/>
      <c r="BA680" s="854"/>
      <c r="BB680" s="854"/>
      <c r="BC680" s="854"/>
      <c r="BD680" s="854"/>
      <c r="BE680" s="854"/>
      <c r="BF680" s="854"/>
      <c r="BG680" s="854"/>
      <c r="BH680" s="854"/>
      <c r="BI680" s="854"/>
      <c r="BJ680" s="854"/>
      <c r="BK680" s="854"/>
      <c r="BL680" s="854"/>
      <c r="BM680" s="854"/>
      <c r="BN680" s="854"/>
      <c r="BO680" s="854"/>
      <c r="BP680" s="854"/>
      <c r="BQ680" s="854"/>
      <c r="BR680" s="854"/>
      <c r="BS680" s="854"/>
      <c r="BT680" s="854"/>
      <c r="BU680" s="854"/>
      <c r="BV680" s="854"/>
      <c r="BW680" s="854"/>
      <c r="BX680" s="854"/>
      <c r="BY680" s="854"/>
      <c r="BZ680" s="854"/>
      <c r="CA680" s="571">
        <f>IF(OR(I680="",I680&lt;'Configs &amp; Procedures'!$L$29),0,IF(I680&gt;'Configs &amp; Procedures'!$L$30,1,IF(F680&gt;'Configs &amp; Procedures'!$L$31,0,1)))</f>
        <v>0</v>
      </c>
    </row>
    <row r="681" spans="2:79">
      <c r="B681" s="854"/>
      <c r="C681" s="854"/>
      <c r="D681" s="854"/>
      <c r="E681" s="854"/>
      <c r="F681" s="854"/>
      <c r="G681" s="854"/>
      <c r="H681" s="854"/>
      <c r="I681" s="854"/>
      <c r="J681" s="854"/>
      <c r="K681" s="854"/>
      <c r="L681" s="854"/>
      <c r="M681" s="854"/>
      <c r="N681" s="854"/>
      <c r="O681" s="854"/>
      <c r="P681" s="854"/>
      <c r="Q681" s="854"/>
      <c r="R681" s="854"/>
      <c r="S681" s="854"/>
      <c r="T681" s="854"/>
      <c r="U681" s="854"/>
      <c r="V681" s="854"/>
      <c r="W681" s="854"/>
      <c r="X681" s="854"/>
      <c r="Y681" s="854"/>
      <c r="Z681" s="854"/>
      <c r="AA681" s="854"/>
      <c r="AB681" s="854"/>
      <c r="AC681" s="854"/>
      <c r="AD681" s="854"/>
      <c r="AE681" s="854"/>
      <c r="AF681" s="854"/>
      <c r="AG681" s="854"/>
      <c r="AH681" s="854"/>
      <c r="AI681" s="854"/>
      <c r="AJ681" s="854"/>
      <c r="AK681" s="854"/>
      <c r="AL681" s="854"/>
      <c r="AM681" s="854"/>
      <c r="AN681" s="854"/>
      <c r="AO681" s="854"/>
      <c r="AP681" s="854"/>
      <c r="AQ681" s="854"/>
      <c r="AR681" s="854"/>
      <c r="AS681" s="854"/>
      <c r="AT681" s="854"/>
      <c r="AU681" s="854"/>
      <c r="AV681" s="854"/>
      <c r="AW681" s="854"/>
      <c r="AX681" s="854"/>
      <c r="AY681" s="854"/>
      <c r="AZ681" s="854"/>
      <c r="BA681" s="854"/>
      <c r="BB681" s="854"/>
      <c r="BC681" s="854"/>
      <c r="BD681" s="854"/>
      <c r="BE681" s="854"/>
      <c r="BF681" s="854"/>
      <c r="BG681" s="854"/>
      <c r="BH681" s="854"/>
      <c r="BI681" s="854"/>
      <c r="BJ681" s="854"/>
      <c r="BK681" s="854"/>
      <c r="BL681" s="854"/>
      <c r="BM681" s="854"/>
      <c r="BN681" s="854"/>
      <c r="BO681" s="854"/>
      <c r="BP681" s="854"/>
      <c r="BQ681" s="854"/>
      <c r="BR681" s="854"/>
      <c r="BS681" s="854"/>
      <c r="BT681" s="854"/>
      <c r="BU681" s="854"/>
      <c r="BV681" s="854"/>
      <c r="BW681" s="854"/>
      <c r="BX681" s="854"/>
      <c r="BY681" s="854"/>
      <c r="BZ681" s="854"/>
      <c r="CA681" s="571">
        <f>IF(OR(I681="",I681&lt;'Configs &amp; Procedures'!$L$29),0,IF(I681&gt;'Configs &amp; Procedures'!$L$30,1,IF(F681&gt;'Configs &amp; Procedures'!$L$31,0,1)))</f>
        <v>0</v>
      </c>
    </row>
    <row r="682" spans="2:79">
      <c r="B682" s="854"/>
      <c r="C682" s="854"/>
      <c r="D682" s="854"/>
      <c r="E682" s="854"/>
      <c r="F682" s="854"/>
      <c r="G682" s="854"/>
      <c r="H682" s="854"/>
      <c r="I682" s="854"/>
      <c r="J682" s="854"/>
      <c r="K682" s="854"/>
      <c r="L682" s="854"/>
      <c r="M682" s="854"/>
      <c r="N682" s="854"/>
      <c r="O682" s="854"/>
      <c r="P682" s="854"/>
      <c r="Q682" s="854"/>
      <c r="R682" s="854"/>
      <c r="S682" s="854"/>
      <c r="T682" s="854"/>
      <c r="U682" s="854"/>
      <c r="V682" s="854"/>
      <c r="W682" s="854"/>
      <c r="X682" s="854"/>
      <c r="Y682" s="854"/>
      <c r="Z682" s="854"/>
      <c r="AA682" s="854"/>
      <c r="AB682" s="854"/>
      <c r="AC682" s="854"/>
      <c r="AD682" s="854"/>
      <c r="AE682" s="854"/>
      <c r="AF682" s="854"/>
      <c r="AG682" s="854"/>
      <c r="AH682" s="854"/>
      <c r="AI682" s="854"/>
      <c r="AJ682" s="854"/>
      <c r="AK682" s="854"/>
      <c r="AL682" s="854"/>
      <c r="AM682" s="854"/>
      <c r="AN682" s="854"/>
      <c r="AO682" s="854"/>
      <c r="AP682" s="854"/>
      <c r="AQ682" s="854"/>
      <c r="AR682" s="854"/>
      <c r="AS682" s="854"/>
      <c r="AT682" s="854"/>
      <c r="AU682" s="854"/>
      <c r="AV682" s="854"/>
      <c r="AW682" s="854"/>
      <c r="AX682" s="854"/>
      <c r="AY682" s="854"/>
      <c r="AZ682" s="854"/>
      <c r="BA682" s="854"/>
      <c r="BB682" s="854"/>
      <c r="BC682" s="854"/>
      <c r="BD682" s="854"/>
      <c r="BE682" s="854"/>
      <c r="BF682" s="854"/>
      <c r="BG682" s="854"/>
      <c r="BH682" s="854"/>
      <c r="BI682" s="854"/>
      <c r="BJ682" s="854"/>
      <c r="BK682" s="854"/>
      <c r="BL682" s="854"/>
      <c r="BM682" s="854"/>
      <c r="BN682" s="854"/>
      <c r="BO682" s="854"/>
      <c r="BP682" s="854"/>
      <c r="BQ682" s="854"/>
      <c r="BR682" s="854"/>
      <c r="BS682" s="854"/>
      <c r="BT682" s="854"/>
      <c r="BU682" s="854"/>
      <c r="BV682" s="854"/>
      <c r="BW682" s="854"/>
      <c r="BX682" s="854"/>
      <c r="BY682" s="854"/>
      <c r="BZ682" s="854"/>
      <c r="CA682" s="571">
        <f>IF(OR(I682="",I682&lt;'Configs &amp; Procedures'!$L$29),0,IF(I682&gt;'Configs &amp; Procedures'!$L$30,1,IF(F682&gt;'Configs &amp; Procedures'!$L$31,0,1)))</f>
        <v>0</v>
      </c>
    </row>
    <row r="683" spans="2:79">
      <c r="B683" s="854"/>
      <c r="C683" s="854"/>
      <c r="D683" s="854"/>
      <c r="E683" s="854"/>
      <c r="F683" s="854"/>
      <c r="G683" s="854"/>
      <c r="H683" s="854"/>
      <c r="I683" s="854"/>
      <c r="J683" s="854"/>
      <c r="K683" s="854"/>
      <c r="L683" s="854"/>
      <c r="M683" s="854"/>
      <c r="N683" s="854"/>
      <c r="O683" s="854"/>
      <c r="P683" s="854"/>
      <c r="Q683" s="854"/>
      <c r="R683" s="854"/>
      <c r="S683" s="854"/>
      <c r="T683" s="854"/>
      <c r="U683" s="854"/>
      <c r="V683" s="854"/>
      <c r="W683" s="854"/>
      <c r="X683" s="854"/>
      <c r="Y683" s="854"/>
      <c r="Z683" s="854"/>
      <c r="AA683" s="854"/>
      <c r="AB683" s="854"/>
      <c r="AC683" s="854"/>
      <c r="AD683" s="854"/>
      <c r="AE683" s="854"/>
      <c r="AF683" s="854"/>
      <c r="AG683" s="854"/>
      <c r="AH683" s="854"/>
      <c r="AI683" s="854"/>
      <c r="AJ683" s="854"/>
      <c r="AK683" s="854"/>
      <c r="AL683" s="854"/>
      <c r="AM683" s="854"/>
      <c r="AN683" s="854"/>
      <c r="AO683" s="854"/>
      <c r="AP683" s="854"/>
      <c r="AQ683" s="854"/>
      <c r="AR683" s="854"/>
      <c r="AS683" s="854"/>
      <c r="AT683" s="854"/>
      <c r="AU683" s="854"/>
      <c r="AV683" s="854"/>
      <c r="AW683" s="854"/>
      <c r="AX683" s="854"/>
      <c r="AY683" s="854"/>
      <c r="AZ683" s="854"/>
      <c r="BA683" s="854"/>
      <c r="BB683" s="854"/>
      <c r="BC683" s="854"/>
      <c r="BD683" s="854"/>
      <c r="BE683" s="854"/>
      <c r="BF683" s="854"/>
      <c r="BG683" s="854"/>
      <c r="BH683" s="854"/>
      <c r="BI683" s="854"/>
      <c r="BJ683" s="854"/>
      <c r="BK683" s="854"/>
      <c r="BL683" s="854"/>
      <c r="BM683" s="854"/>
      <c r="BN683" s="854"/>
      <c r="BO683" s="854"/>
      <c r="BP683" s="854"/>
      <c r="BQ683" s="854"/>
      <c r="BR683" s="854"/>
      <c r="BS683" s="854"/>
      <c r="BT683" s="854"/>
      <c r="BU683" s="854"/>
      <c r="BV683" s="854"/>
      <c r="BW683" s="854"/>
      <c r="BX683" s="854"/>
      <c r="BY683" s="854"/>
      <c r="BZ683" s="854"/>
      <c r="CA683" s="571">
        <f>IF(OR(I683="",I683&lt;'Configs &amp; Procedures'!$L$29),0,IF(I683&gt;'Configs &amp; Procedures'!$L$30,1,IF(F683&gt;'Configs &amp; Procedures'!$L$31,0,1)))</f>
        <v>0</v>
      </c>
    </row>
    <row r="684" spans="2:79">
      <c r="B684" s="854"/>
      <c r="C684" s="854"/>
      <c r="D684" s="854"/>
      <c r="E684" s="854"/>
      <c r="F684" s="854"/>
      <c r="G684" s="854"/>
      <c r="H684" s="854"/>
      <c r="I684" s="854"/>
      <c r="J684" s="854"/>
      <c r="K684" s="854"/>
      <c r="L684" s="854"/>
      <c r="M684" s="854"/>
      <c r="N684" s="854"/>
      <c r="O684" s="854"/>
      <c r="P684" s="854"/>
      <c r="Q684" s="854"/>
      <c r="R684" s="854"/>
      <c r="S684" s="854"/>
      <c r="T684" s="854"/>
      <c r="U684" s="854"/>
      <c r="V684" s="854"/>
      <c r="W684" s="854"/>
      <c r="X684" s="854"/>
      <c r="Y684" s="854"/>
      <c r="Z684" s="854"/>
      <c r="AA684" s="854"/>
      <c r="AB684" s="854"/>
      <c r="AC684" s="854"/>
      <c r="AD684" s="854"/>
      <c r="AE684" s="854"/>
      <c r="AF684" s="854"/>
      <c r="AG684" s="854"/>
      <c r="AH684" s="854"/>
      <c r="AI684" s="854"/>
      <c r="AJ684" s="854"/>
      <c r="AK684" s="854"/>
      <c r="AL684" s="854"/>
      <c r="AM684" s="854"/>
      <c r="AN684" s="854"/>
      <c r="AO684" s="854"/>
      <c r="AP684" s="854"/>
      <c r="AQ684" s="854"/>
      <c r="AR684" s="854"/>
      <c r="AS684" s="854"/>
      <c r="AT684" s="854"/>
      <c r="AU684" s="854"/>
      <c r="AV684" s="854"/>
      <c r="AW684" s="854"/>
      <c r="AX684" s="854"/>
      <c r="AY684" s="854"/>
      <c r="AZ684" s="854"/>
      <c r="BA684" s="854"/>
      <c r="BB684" s="854"/>
      <c r="BC684" s="854"/>
      <c r="BD684" s="854"/>
      <c r="BE684" s="854"/>
      <c r="BF684" s="854"/>
      <c r="BG684" s="854"/>
      <c r="BH684" s="854"/>
      <c r="BI684" s="854"/>
      <c r="BJ684" s="854"/>
      <c r="BK684" s="854"/>
      <c r="BL684" s="854"/>
      <c r="BM684" s="854"/>
      <c r="BN684" s="854"/>
      <c r="BO684" s="854"/>
      <c r="BP684" s="854"/>
      <c r="BQ684" s="854"/>
      <c r="BR684" s="854"/>
      <c r="BS684" s="854"/>
      <c r="BT684" s="854"/>
      <c r="BU684" s="854"/>
      <c r="BV684" s="854"/>
      <c r="BW684" s="854"/>
      <c r="BX684" s="854"/>
      <c r="BY684" s="854"/>
      <c r="BZ684" s="854"/>
      <c r="CA684" s="571">
        <f>IF(OR(I684="",I684&lt;'Configs &amp; Procedures'!$L$29),0,IF(I684&gt;'Configs &amp; Procedures'!$L$30,1,IF(F684&gt;'Configs &amp; Procedures'!$L$31,0,1)))</f>
        <v>0</v>
      </c>
    </row>
    <row r="685" spans="2:79">
      <c r="B685" s="854"/>
      <c r="C685" s="854"/>
      <c r="D685" s="854"/>
      <c r="E685" s="854"/>
      <c r="F685" s="854"/>
      <c r="G685" s="854"/>
      <c r="H685" s="854"/>
      <c r="I685" s="854"/>
      <c r="J685" s="854"/>
      <c r="K685" s="854"/>
      <c r="L685" s="854"/>
      <c r="M685" s="854"/>
      <c r="N685" s="854"/>
      <c r="O685" s="854"/>
      <c r="P685" s="854"/>
      <c r="Q685" s="854"/>
      <c r="R685" s="854"/>
      <c r="S685" s="854"/>
      <c r="T685" s="854"/>
      <c r="U685" s="854"/>
      <c r="V685" s="854"/>
      <c r="W685" s="854"/>
      <c r="X685" s="854"/>
      <c r="Y685" s="854"/>
      <c r="Z685" s="854"/>
      <c r="AA685" s="854"/>
      <c r="AB685" s="854"/>
      <c r="AC685" s="854"/>
      <c r="AD685" s="854"/>
      <c r="AE685" s="854"/>
      <c r="AF685" s="854"/>
      <c r="AG685" s="854"/>
      <c r="AH685" s="854"/>
      <c r="AI685" s="854"/>
      <c r="AJ685" s="854"/>
      <c r="AK685" s="854"/>
      <c r="AL685" s="854"/>
      <c r="AM685" s="854"/>
      <c r="AN685" s="854"/>
      <c r="AO685" s="854"/>
      <c r="AP685" s="854"/>
      <c r="AQ685" s="854"/>
      <c r="AR685" s="854"/>
      <c r="AS685" s="854"/>
      <c r="AT685" s="854"/>
      <c r="AU685" s="854"/>
      <c r="AV685" s="854"/>
      <c r="AW685" s="854"/>
      <c r="AX685" s="854"/>
      <c r="AY685" s="854"/>
      <c r="AZ685" s="854"/>
      <c r="BA685" s="854"/>
      <c r="BB685" s="854"/>
      <c r="BC685" s="854"/>
      <c r="BD685" s="854"/>
      <c r="BE685" s="854"/>
      <c r="BF685" s="854"/>
      <c r="BG685" s="854"/>
      <c r="BH685" s="854"/>
      <c r="BI685" s="854"/>
      <c r="BJ685" s="854"/>
      <c r="BK685" s="854"/>
      <c r="BL685" s="854"/>
      <c r="BM685" s="854"/>
      <c r="BN685" s="854"/>
      <c r="BO685" s="854"/>
      <c r="BP685" s="854"/>
      <c r="BQ685" s="854"/>
      <c r="BR685" s="854"/>
      <c r="BS685" s="854"/>
      <c r="BT685" s="854"/>
      <c r="BU685" s="854"/>
      <c r="BV685" s="854"/>
      <c r="BW685" s="854"/>
      <c r="BX685" s="854"/>
      <c r="BY685" s="854"/>
      <c r="BZ685" s="854"/>
      <c r="CA685" s="571">
        <f>IF(OR(I685="",I685&lt;'Configs &amp; Procedures'!$L$29),0,IF(I685&gt;'Configs &amp; Procedures'!$L$30,1,IF(F685&gt;'Configs &amp; Procedures'!$L$31,0,1)))</f>
        <v>0</v>
      </c>
    </row>
    <row r="686" spans="2:79">
      <c r="B686" s="854"/>
      <c r="C686" s="854"/>
      <c r="D686" s="854"/>
      <c r="E686" s="854"/>
      <c r="F686" s="854"/>
      <c r="G686" s="854"/>
      <c r="H686" s="854"/>
      <c r="I686" s="854"/>
      <c r="J686" s="854"/>
      <c r="K686" s="854"/>
      <c r="L686" s="854"/>
      <c r="M686" s="854"/>
      <c r="N686" s="854"/>
      <c r="O686" s="854"/>
      <c r="P686" s="854"/>
      <c r="Q686" s="854"/>
      <c r="R686" s="854"/>
      <c r="S686" s="854"/>
      <c r="T686" s="854"/>
      <c r="U686" s="854"/>
      <c r="V686" s="854"/>
      <c r="W686" s="854"/>
      <c r="X686" s="854"/>
      <c r="Y686" s="854"/>
      <c r="Z686" s="854"/>
      <c r="AA686" s="854"/>
      <c r="AB686" s="854"/>
      <c r="AC686" s="854"/>
      <c r="AD686" s="854"/>
      <c r="AE686" s="854"/>
      <c r="AF686" s="854"/>
      <c r="AG686" s="854"/>
      <c r="AH686" s="854"/>
      <c r="AI686" s="854"/>
      <c r="AJ686" s="854"/>
      <c r="AK686" s="854"/>
      <c r="AL686" s="854"/>
      <c r="AM686" s="854"/>
      <c r="AN686" s="854"/>
      <c r="AO686" s="854"/>
      <c r="AP686" s="854"/>
      <c r="AQ686" s="854"/>
      <c r="AR686" s="854"/>
      <c r="AS686" s="854"/>
      <c r="AT686" s="854"/>
      <c r="AU686" s="854"/>
      <c r="AV686" s="854"/>
      <c r="AW686" s="854"/>
      <c r="AX686" s="854"/>
      <c r="AY686" s="854"/>
      <c r="AZ686" s="854"/>
      <c r="BA686" s="854"/>
      <c r="BB686" s="854"/>
      <c r="BC686" s="854"/>
      <c r="BD686" s="854"/>
      <c r="BE686" s="854"/>
      <c r="BF686" s="854"/>
      <c r="BG686" s="854"/>
      <c r="BH686" s="854"/>
      <c r="BI686" s="854"/>
      <c r="BJ686" s="854"/>
      <c r="BK686" s="854"/>
      <c r="BL686" s="854"/>
      <c r="BM686" s="854"/>
      <c r="BN686" s="854"/>
      <c r="BO686" s="854"/>
      <c r="BP686" s="854"/>
      <c r="BQ686" s="854"/>
      <c r="BR686" s="854"/>
      <c r="BS686" s="854"/>
      <c r="BT686" s="854"/>
      <c r="BU686" s="854"/>
      <c r="BV686" s="854"/>
      <c r="BW686" s="854"/>
      <c r="BX686" s="854"/>
      <c r="BY686" s="854"/>
      <c r="BZ686" s="854"/>
      <c r="CA686" s="571">
        <f>IF(OR(I686="",I686&lt;'Configs &amp; Procedures'!$L$29),0,IF(I686&gt;'Configs &amp; Procedures'!$L$30,1,IF(F686&gt;'Configs &amp; Procedures'!$L$31,0,1)))</f>
        <v>0</v>
      </c>
    </row>
    <row r="687" spans="2:79">
      <c r="B687" s="854"/>
      <c r="C687" s="854"/>
      <c r="D687" s="854"/>
      <c r="E687" s="854"/>
      <c r="F687" s="854"/>
      <c r="G687" s="854"/>
      <c r="H687" s="854"/>
      <c r="I687" s="854"/>
      <c r="J687" s="854"/>
      <c r="K687" s="854"/>
      <c r="L687" s="854"/>
      <c r="M687" s="854"/>
      <c r="N687" s="854"/>
      <c r="O687" s="854"/>
      <c r="P687" s="854"/>
      <c r="Q687" s="854"/>
      <c r="R687" s="854"/>
      <c r="S687" s="854"/>
      <c r="T687" s="854"/>
      <c r="U687" s="854"/>
      <c r="V687" s="854"/>
      <c r="W687" s="854"/>
      <c r="X687" s="854"/>
      <c r="Y687" s="854"/>
      <c r="Z687" s="854"/>
      <c r="AA687" s="854"/>
      <c r="AB687" s="854"/>
      <c r="AC687" s="854"/>
      <c r="AD687" s="854"/>
      <c r="AE687" s="854"/>
      <c r="AF687" s="854"/>
      <c r="AG687" s="854"/>
      <c r="AH687" s="854"/>
      <c r="AI687" s="854"/>
      <c r="AJ687" s="854"/>
      <c r="AK687" s="854"/>
      <c r="AL687" s="854"/>
      <c r="AM687" s="854"/>
      <c r="AN687" s="854"/>
      <c r="AO687" s="854"/>
      <c r="AP687" s="854"/>
      <c r="AQ687" s="854"/>
      <c r="AR687" s="854"/>
      <c r="AS687" s="854"/>
      <c r="AT687" s="854"/>
      <c r="AU687" s="854"/>
      <c r="AV687" s="854"/>
      <c r="AW687" s="854"/>
      <c r="AX687" s="854"/>
      <c r="AY687" s="854"/>
      <c r="AZ687" s="854"/>
      <c r="BA687" s="854"/>
      <c r="BB687" s="854"/>
      <c r="BC687" s="854"/>
      <c r="BD687" s="854"/>
      <c r="BE687" s="854"/>
      <c r="BF687" s="854"/>
      <c r="BG687" s="854"/>
      <c r="BH687" s="854"/>
      <c r="BI687" s="854"/>
      <c r="BJ687" s="854"/>
      <c r="BK687" s="854"/>
      <c r="BL687" s="854"/>
      <c r="BM687" s="854"/>
      <c r="BN687" s="854"/>
      <c r="BO687" s="854"/>
      <c r="BP687" s="854"/>
      <c r="BQ687" s="854"/>
      <c r="BR687" s="854"/>
      <c r="BS687" s="854"/>
      <c r="BT687" s="854"/>
      <c r="BU687" s="854"/>
      <c r="BV687" s="854"/>
      <c r="BW687" s="854"/>
      <c r="BX687" s="854"/>
      <c r="BY687" s="854"/>
      <c r="BZ687" s="854"/>
      <c r="CA687" s="571">
        <f>IF(OR(I687="",I687&lt;'Configs &amp; Procedures'!$L$29),0,IF(I687&gt;'Configs &amp; Procedures'!$L$30,1,IF(F687&gt;'Configs &amp; Procedures'!$L$31,0,1)))</f>
        <v>0</v>
      </c>
    </row>
    <row r="688" spans="2:79">
      <c r="B688" s="854"/>
      <c r="C688" s="854"/>
      <c r="D688" s="854"/>
      <c r="E688" s="854"/>
      <c r="F688" s="854"/>
      <c r="G688" s="854"/>
      <c r="H688" s="854"/>
      <c r="I688" s="854"/>
      <c r="J688" s="854"/>
      <c r="K688" s="854"/>
      <c r="L688" s="854"/>
      <c r="M688" s="854"/>
      <c r="N688" s="854"/>
      <c r="O688" s="854"/>
      <c r="P688" s="854"/>
      <c r="Q688" s="854"/>
      <c r="R688" s="854"/>
      <c r="S688" s="854"/>
      <c r="T688" s="854"/>
      <c r="U688" s="854"/>
      <c r="V688" s="854"/>
      <c r="W688" s="854"/>
      <c r="X688" s="854"/>
      <c r="Y688" s="854"/>
      <c r="Z688" s="854"/>
      <c r="AA688" s="854"/>
      <c r="AB688" s="854"/>
      <c r="AC688" s="854"/>
      <c r="AD688" s="854"/>
      <c r="AE688" s="854"/>
      <c r="AF688" s="854"/>
      <c r="AG688" s="854"/>
      <c r="AH688" s="854"/>
      <c r="AI688" s="854"/>
      <c r="AJ688" s="854"/>
      <c r="AK688" s="854"/>
      <c r="AL688" s="854"/>
      <c r="AM688" s="854"/>
      <c r="AN688" s="854"/>
      <c r="AO688" s="854"/>
      <c r="AP688" s="854"/>
      <c r="AQ688" s="854"/>
      <c r="AR688" s="854"/>
      <c r="AS688" s="854"/>
      <c r="AT688" s="854"/>
      <c r="AU688" s="854"/>
      <c r="AV688" s="854"/>
      <c r="AW688" s="854"/>
      <c r="AX688" s="854"/>
      <c r="AY688" s="854"/>
      <c r="AZ688" s="854"/>
      <c r="BA688" s="854"/>
      <c r="BB688" s="854"/>
      <c r="BC688" s="854"/>
      <c r="BD688" s="854"/>
      <c r="BE688" s="854"/>
      <c r="BF688" s="854"/>
      <c r="BG688" s="854"/>
      <c r="BH688" s="854"/>
      <c r="BI688" s="854"/>
      <c r="BJ688" s="854"/>
      <c r="BK688" s="854"/>
      <c r="BL688" s="854"/>
      <c r="BM688" s="854"/>
      <c r="BN688" s="854"/>
      <c r="BO688" s="854"/>
      <c r="BP688" s="854"/>
      <c r="BQ688" s="854"/>
      <c r="BR688" s="854"/>
      <c r="BS688" s="854"/>
      <c r="BT688" s="854"/>
      <c r="BU688" s="854"/>
      <c r="BV688" s="854"/>
      <c r="BW688" s="854"/>
      <c r="BX688" s="854"/>
      <c r="BY688" s="854"/>
      <c r="BZ688" s="854"/>
      <c r="CA688" s="571">
        <f>IF(OR(I688="",I688&lt;'Configs &amp; Procedures'!$L$29),0,IF(I688&gt;'Configs &amp; Procedures'!$L$30,1,IF(F688&gt;'Configs &amp; Procedures'!$L$31,0,1)))</f>
        <v>0</v>
      </c>
    </row>
    <row r="689" spans="2:79">
      <c r="B689" s="854"/>
      <c r="C689" s="854"/>
      <c r="D689" s="854"/>
      <c r="E689" s="854"/>
      <c r="F689" s="854"/>
      <c r="G689" s="854"/>
      <c r="H689" s="854"/>
      <c r="I689" s="854"/>
      <c r="J689" s="854"/>
      <c r="K689" s="854"/>
      <c r="L689" s="854"/>
      <c r="M689" s="854"/>
      <c r="N689" s="854"/>
      <c r="O689" s="854"/>
      <c r="P689" s="854"/>
      <c r="Q689" s="854"/>
      <c r="R689" s="854"/>
      <c r="S689" s="854"/>
      <c r="T689" s="854"/>
      <c r="U689" s="854"/>
      <c r="V689" s="854"/>
      <c r="W689" s="854"/>
      <c r="X689" s="854"/>
      <c r="Y689" s="854"/>
      <c r="Z689" s="854"/>
      <c r="AA689" s="854"/>
      <c r="AB689" s="854"/>
      <c r="AC689" s="854"/>
      <c r="AD689" s="854"/>
      <c r="AE689" s="854"/>
      <c r="AF689" s="854"/>
      <c r="AG689" s="854"/>
      <c r="AH689" s="854"/>
      <c r="AI689" s="854"/>
      <c r="AJ689" s="854"/>
      <c r="AK689" s="854"/>
      <c r="AL689" s="854"/>
      <c r="AM689" s="854"/>
      <c r="AN689" s="854"/>
      <c r="AO689" s="854"/>
      <c r="AP689" s="854"/>
      <c r="AQ689" s="854"/>
      <c r="AR689" s="854"/>
      <c r="AS689" s="854"/>
      <c r="AT689" s="854"/>
      <c r="AU689" s="854"/>
      <c r="AV689" s="854"/>
      <c r="AW689" s="854"/>
      <c r="AX689" s="854"/>
      <c r="AY689" s="854"/>
      <c r="AZ689" s="854"/>
      <c r="BA689" s="854"/>
      <c r="BB689" s="854"/>
      <c r="BC689" s="854"/>
      <c r="BD689" s="854"/>
      <c r="BE689" s="854"/>
      <c r="BF689" s="854"/>
      <c r="BG689" s="854"/>
      <c r="BH689" s="854"/>
      <c r="BI689" s="854"/>
      <c r="BJ689" s="854"/>
      <c r="BK689" s="854"/>
      <c r="BL689" s="854"/>
      <c r="BM689" s="854"/>
      <c r="BN689" s="854"/>
      <c r="BO689" s="854"/>
      <c r="BP689" s="854"/>
      <c r="BQ689" s="854"/>
      <c r="BR689" s="854"/>
      <c r="BS689" s="854"/>
      <c r="BT689" s="854"/>
      <c r="BU689" s="854"/>
      <c r="BV689" s="854"/>
      <c r="BW689" s="854"/>
      <c r="BX689" s="854"/>
      <c r="BY689" s="854"/>
      <c r="BZ689" s="854"/>
      <c r="CA689" s="571">
        <f>IF(OR(I689="",I689&lt;'Configs &amp; Procedures'!$L$29),0,IF(I689&gt;'Configs &amp; Procedures'!$L$30,1,IF(F689&gt;'Configs &amp; Procedures'!$L$31,0,1)))</f>
        <v>0</v>
      </c>
    </row>
    <row r="690" spans="2:79">
      <c r="B690" s="854"/>
      <c r="C690" s="854"/>
      <c r="D690" s="854"/>
      <c r="E690" s="854"/>
      <c r="F690" s="854"/>
      <c r="G690" s="854"/>
      <c r="H690" s="854"/>
      <c r="I690" s="854"/>
      <c r="J690" s="854"/>
      <c r="K690" s="854"/>
      <c r="L690" s="854"/>
      <c r="M690" s="854"/>
      <c r="N690" s="854"/>
      <c r="O690" s="854"/>
      <c r="P690" s="854"/>
      <c r="Q690" s="854"/>
      <c r="R690" s="854"/>
      <c r="S690" s="854"/>
      <c r="T690" s="854"/>
      <c r="U690" s="854"/>
      <c r="V690" s="854"/>
      <c r="W690" s="854"/>
      <c r="X690" s="854"/>
      <c r="Y690" s="854"/>
      <c r="Z690" s="854"/>
      <c r="AA690" s="854"/>
      <c r="AB690" s="854"/>
      <c r="AC690" s="854"/>
      <c r="AD690" s="854"/>
      <c r="AE690" s="854"/>
      <c r="AF690" s="854"/>
      <c r="AG690" s="854"/>
      <c r="AH690" s="854"/>
      <c r="AI690" s="854"/>
      <c r="AJ690" s="854"/>
      <c r="AK690" s="854"/>
      <c r="AL690" s="854"/>
      <c r="AM690" s="854"/>
      <c r="AN690" s="854"/>
      <c r="AO690" s="854"/>
      <c r="AP690" s="854"/>
      <c r="AQ690" s="854"/>
      <c r="AR690" s="854"/>
      <c r="AS690" s="854"/>
      <c r="AT690" s="854"/>
      <c r="AU690" s="854"/>
      <c r="AV690" s="854"/>
      <c r="AW690" s="854"/>
      <c r="AX690" s="854"/>
      <c r="AY690" s="854"/>
      <c r="AZ690" s="854"/>
      <c r="BA690" s="854"/>
      <c r="BB690" s="854"/>
      <c r="BC690" s="854"/>
      <c r="BD690" s="854"/>
      <c r="BE690" s="854"/>
      <c r="BF690" s="854"/>
      <c r="BG690" s="854"/>
      <c r="BH690" s="854"/>
      <c r="BI690" s="854"/>
      <c r="BJ690" s="854"/>
      <c r="BK690" s="854"/>
      <c r="BL690" s="854"/>
      <c r="BM690" s="854"/>
      <c r="BN690" s="854"/>
      <c r="BO690" s="854"/>
      <c r="BP690" s="854"/>
      <c r="BQ690" s="854"/>
      <c r="BR690" s="854"/>
      <c r="BS690" s="854"/>
      <c r="BT690" s="854"/>
      <c r="BU690" s="854"/>
      <c r="BV690" s="854"/>
      <c r="BW690" s="854"/>
      <c r="BX690" s="854"/>
      <c r="BY690" s="854"/>
      <c r="BZ690" s="854"/>
      <c r="CA690" s="571">
        <f>IF(OR(I690="",I690&lt;'Configs &amp; Procedures'!$L$29),0,IF(I690&gt;'Configs &amp; Procedures'!$L$30,1,IF(F690&gt;'Configs &amp; Procedures'!$L$31,0,1)))</f>
        <v>0</v>
      </c>
    </row>
    <row r="691" spans="2:79">
      <c r="B691" s="854"/>
      <c r="C691" s="854"/>
      <c r="D691" s="854"/>
      <c r="E691" s="854"/>
      <c r="F691" s="854"/>
      <c r="G691" s="854"/>
      <c r="H691" s="854"/>
      <c r="I691" s="854"/>
      <c r="J691" s="854"/>
      <c r="K691" s="854"/>
      <c r="L691" s="854"/>
      <c r="M691" s="854"/>
      <c r="N691" s="854"/>
      <c r="O691" s="854"/>
      <c r="P691" s="854"/>
      <c r="Q691" s="854"/>
      <c r="R691" s="854"/>
      <c r="S691" s="854"/>
      <c r="T691" s="854"/>
      <c r="U691" s="854"/>
      <c r="V691" s="854"/>
      <c r="W691" s="854"/>
      <c r="X691" s="854"/>
      <c r="Y691" s="854"/>
      <c r="Z691" s="854"/>
      <c r="AA691" s="854"/>
      <c r="AB691" s="854"/>
      <c r="AC691" s="854"/>
      <c r="AD691" s="854"/>
      <c r="AE691" s="854"/>
      <c r="AF691" s="854"/>
      <c r="AG691" s="854"/>
      <c r="AH691" s="854"/>
      <c r="AI691" s="854"/>
      <c r="AJ691" s="854"/>
      <c r="AK691" s="854"/>
      <c r="AL691" s="854"/>
      <c r="AM691" s="854"/>
      <c r="AN691" s="854"/>
      <c r="AO691" s="854"/>
      <c r="AP691" s="854"/>
      <c r="AQ691" s="854"/>
      <c r="AR691" s="854"/>
      <c r="AS691" s="854"/>
      <c r="AT691" s="854"/>
      <c r="AU691" s="854"/>
      <c r="AV691" s="854"/>
      <c r="AW691" s="854"/>
      <c r="AX691" s="854"/>
      <c r="AY691" s="854"/>
      <c r="AZ691" s="854"/>
      <c r="BA691" s="854"/>
      <c r="BB691" s="854"/>
      <c r="BC691" s="854"/>
      <c r="BD691" s="854"/>
      <c r="BE691" s="854"/>
      <c r="BF691" s="854"/>
      <c r="BG691" s="854"/>
      <c r="BH691" s="854"/>
      <c r="BI691" s="854"/>
      <c r="BJ691" s="854"/>
      <c r="BK691" s="854"/>
      <c r="BL691" s="854"/>
      <c r="BM691" s="854"/>
      <c r="BN691" s="854"/>
      <c r="BO691" s="854"/>
      <c r="BP691" s="854"/>
      <c r="BQ691" s="854"/>
      <c r="BR691" s="854"/>
      <c r="BS691" s="854"/>
      <c r="BT691" s="854"/>
      <c r="BU691" s="854"/>
      <c r="BV691" s="854"/>
      <c r="BW691" s="854"/>
      <c r="BX691" s="854"/>
      <c r="BY691" s="854"/>
      <c r="BZ691" s="854"/>
      <c r="CA691" s="571">
        <f>IF(OR(I691="",I691&lt;'Configs &amp; Procedures'!$L$29),0,IF(I691&gt;'Configs &amp; Procedures'!$L$30,1,IF(F691&gt;'Configs &amp; Procedures'!$L$31,0,1)))</f>
        <v>0</v>
      </c>
    </row>
    <row r="692" spans="2:79">
      <c r="B692" s="854"/>
      <c r="C692" s="854"/>
      <c r="D692" s="854"/>
      <c r="E692" s="854"/>
      <c r="F692" s="854"/>
      <c r="G692" s="854"/>
      <c r="H692" s="854"/>
      <c r="I692" s="854"/>
      <c r="J692" s="854"/>
      <c r="K692" s="854"/>
      <c r="L692" s="854"/>
      <c r="M692" s="854"/>
      <c r="N692" s="854"/>
      <c r="O692" s="854"/>
      <c r="P692" s="854"/>
      <c r="Q692" s="854"/>
      <c r="R692" s="854"/>
      <c r="S692" s="854"/>
      <c r="T692" s="854"/>
      <c r="U692" s="854"/>
      <c r="V692" s="854"/>
      <c r="W692" s="854"/>
      <c r="X692" s="854"/>
      <c r="Y692" s="854"/>
      <c r="Z692" s="854"/>
      <c r="AA692" s="854"/>
      <c r="AB692" s="854"/>
      <c r="AC692" s="854"/>
      <c r="AD692" s="854"/>
      <c r="AE692" s="854"/>
      <c r="AF692" s="854"/>
      <c r="AG692" s="854"/>
      <c r="AH692" s="854"/>
      <c r="AI692" s="854"/>
      <c r="AJ692" s="854"/>
      <c r="AK692" s="854"/>
      <c r="AL692" s="854"/>
      <c r="AM692" s="854"/>
      <c r="AN692" s="854"/>
      <c r="AO692" s="854"/>
      <c r="AP692" s="854"/>
      <c r="AQ692" s="854"/>
      <c r="AR692" s="854"/>
      <c r="AS692" s="854"/>
      <c r="AT692" s="854"/>
      <c r="AU692" s="854"/>
      <c r="AV692" s="854"/>
      <c r="AW692" s="854"/>
      <c r="AX692" s="854"/>
      <c r="AY692" s="854"/>
      <c r="AZ692" s="854"/>
      <c r="BA692" s="854"/>
      <c r="BB692" s="854"/>
      <c r="BC692" s="854"/>
      <c r="BD692" s="854"/>
      <c r="BE692" s="854"/>
      <c r="BF692" s="854"/>
      <c r="BG692" s="854"/>
      <c r="BH692" s="854"/>
      <c r="BI692" s="854"/>
      <c r="BJ692" s="854"/>
      <c r="BK692" s="854"/>
      <c r="BL692" s="854"/>
      <c r="BM692" s="854"/>
      <c r="BN692" s="854"/>
      <c r="BO692" s="854"/>
      <c r="BP692" s="854"/>
      <c r="BQ692" s="854"/>
      <c r="BR692" s="854"/>
      <c r="BS692" s="854"/>
      <c r="BT692" s="854"/>
      <c r="BU692" s="854"/>
      <c r="BV692" s="854"/>
      <c r="BW692" s="854"/>
      <c r="BX692" s="854"/>
      <c r="BY692" s="854"/>
      <c r="BZ692" s="854"/>
      <c r="CA692" s="571">
        <f>IF(OR(I692="",I692&lt;'Configs &amp; Procedures'!$L$29),0,IF(I692&gt;'Configs &amp; Procedures'!$L$30,1,IF(F692&gt;'Configs &amp; Procedures'!$L$31,0,1)))</f>
        <v>0</v>
      </c>
    </row>
    <row r="693" spans="2:79">
      <c r="B693" s="854"/>
      <c r="C693" s="854"/>
      <c r="D693" s="854"/>
      <c r="E693" s="854"/>
      <c r="F693" s="854"/>
      <c r="G693" s="854"/>
      <c r="H693" s="854"/>
      <c r="I693" s="854"/>
      <c r="J693" s="854"/>
      <c r="K693" s="854"/>
      <c r="L693" s="854"/>
      <c r="M693" s="854"/>
      <c r="N693" s="854"/>
      <c r="O693" s="854"/>
      <c r="P693" s="854"/>
      <c r="Q693" s="854"/>
      <c r="R693" s="854"/>
      <c r="S693" s="854"/>
      <c r="T693" s="854"/>
      <c r="U693" s="854"/>
      <c r="V693" s="854"/>
      <c r="W693" s="854"/>
      <c r="X693" s="854"/>
      <c r="Y693" s="854"/>
      <c r="Z693" s="854"/>
      <c r="AA693" s="854"/>
      <c r="AB693" s="854"/>
      <c r="AC693" s="854"/>
      <c r="AD693" s="854"/>
      <c r="AE693" s="854"/>
      <c r="AF693" s="854"/>
      <c r="AG693" s="854"/>
      <c r="AH693" s="854"/>
      <c r="AI693" s="854"/>
      <c r="AJ693" s="854"/>
      <c r="AK693" s="854"/>
      <c r="AL693" s="854"/>
      <c r="AM693" s="854"/>
      <c r="AN693" s="854"/>
      <c r="AO693" s="854"/>
      <c r="AP693" s="854"/>
      <c r="AQ693" s="854"/>
      <c r="AR693" s="854"/>
      <c r="AS693" s="854"/>
      <c r="AT693" s="854"/>
      <c r="AU693" s="854"/>
      <c r="AV693" s="854"/>
      <c r="AW693" s="854"/>
      <c r="AX693" s="854"/>
      <c r="AY693" s="854"/>
      <c r="AZ693" s="854"/>
      <c r="BA693" s="854"/>
      <c r="BB693" s="854"/>
      <c r="BC693" s="854"/>
      <c r="BD693" s="854"/>
      <c r="BE693" s="854"/>
      <c r="BF693" s="854"/>
      <c r="BG693" s="854"/>
      <c r="BH693" s="854"/>
      <c r="BI693" s="854"/>
      <c r="BJ693" s="854"/>
      <c r="BK693" s="854"/>
      <c r="BL693" s="854"/>
      <c r="BM693" s="854"/>
      <c r="BN693" s="854"/>
      <c r="BO693" s="854"/>
      <c r="BP693" s="854"/>
      <c r="BQ693" s="854"/>
      <c r="BR693" s="854"/>
      <c r="BS693" s="854"/>
      <c r="BT693" s="854"/>
      <c r="BU693" s="854"/>
      <c r="BV693" s="854"/>
      <c r="BW693" s="854"/>
      <c r="BX693" s="854"/>
      <c r="BY693" s="854"/>
      <c r="BZ693" s="854"/>
      <c r="CA693" s="571">
        <f>IF(OR(I693="",I693&lt;'Configs &amp; Procedures'!$L$29),0,IF(I693&gt;'Configs &amp; Procedures'!$L$30,1,IF(F693&gt;'Configs &amp; Procedures'!$L$31,0,1)))</f>
        <v>0</v>
      </c>
    </row>
    <row r="694" spans="2:79">
      <c r="B694" s="854"/>
      <c r="C694" s="854"/>
      <c r="D694" s="854"/>
      <c r="E694" s="854"/>
      <c r="F694" s="854"/>
      <c r="G694" s="854"/>
      <c r="H694" s="854"/>
      <c r="I694" s="854"/>
      <c r="J694" s="854"/>
      <c r="K694" s="854"/>
      <c r="L694" s="854"/>
      <c r="M694" s="854"/>
      <c r="N694" s="854"/>
      <c r="O694" s="854"/>
      <c r="P694" s="854"/>
      <c r="Q694" s="854"/>
      <c r="R694" s="854"/>
      <c r="S694" s="854"/>
      <c r="T694" s="854"/>
      <c r="U694" s="854"/>
      <c r="V694" s="854"/>
      <c r="W694" s="854"/>
      <c r="X694" s="854"/>
      <c r="Y694" s="854"/>
      <c r="Z694" s="854"/>
      <c r="AA694" s="854"/>
      <c r="AB694" s="854"/>
      <c r="AC694" s="854"/>
      <c r="AD694" s="854"/>
      <c r="AE694" s="854"/>
      <c r="AF694" s="854"/>
      <c r="AG694" s="854"/>
      <c r="AH694" s="854"/>
      <c r="AI694" s="854"/>
      <c r="AJ694" s="854"/>
      <c r="AK694" s="854"/>
      <c r="AL694" s="854"/>
      <c r="AM694" s="854"/>
      <c r="AN694" s="854"/>
      <c r="AO694" s="854"/>
      <c r="AP694" s="854"/>
      <c r="AQ694" s="854"/>
      <c r="AR694" s="854"/>
      <c r="AS694" s="854"/>
      <c r="AT694" s="854"/>
      <c r="AU694" s="854"/>
      <c r="AV694" s="854"/>
      <c r="AW694" s="854"/>
      <c r="AX694" s="854"/>
      <c r="AY694" s="854"/>
      <c r="AZ694" s="854"/>
      <c r="BA694" s="854"/>
      <c r="BB694" s="854"/>
      <c r="BC694" s="854"/>
      <c r="BD694" s="854"/>
      <c r="BE694" s="854"/>
      <c r="BF694" s="854"/>
      <c r="BG694" s="854"/>
      <c r="BH694" s="854"/>
      <c r="BI694" s="854"/>
      <c r="BJ694" s="854"/>
      <c r="BK694" s="854"/>
      <c r="BL694" s="854"/>
      <c r="BM694" s="854"/>
      <c r="BN694" s="854"/>
      <c r="BO694" s="854"/>
      <c r="BP694" s="854"/>
      <c r="BQ694" s="854"/>
      <c r="BR694" s="854"/>
      <c r="BS694" s="854"/>
      <c r="BT694" s="854"/>
      <c r="BU694" s="854"/>
      <c r="BV694" s="854"/>
      <c r="BW694" s="854"/>
      <c r="BX694" s="854"/>
      <c r="BY694" s="854"/>
      <c r="BZ694" s="854"/>
      <c r="CA694" s="571">
        <f>IF(OR(I694="",I694&lt;'Configs &amp; Procedures'!$L$29),0,IF(I694&gt;'Configs &amp; Procedures'!$L$30,1,IF(F694&gt;'Configs &amp; Procedures'!$L$31,0,1)))</f>
        <v>0</v>
      </c>
    </row>
    <row r="695" spans="2:79">
      <c r="B695" s="854"/>
      <c r="C695" s="854"/>
      <c r="D695" s="854"/>
      <c r="E695" s="854"/>
      <c r="F695" s="854"/>
      <c r="G695" s="854"/>
      <c r="H695" s="854"/>
      <c r="I695" s="854"/>
      <c r="J695" s="854"/>
      <c r="K695" s="854"/>
      <c r="L695" s="854"/>
      <c r="M695" s="854"/>
      <c r="N695" s="854"/>
      <c r="O695" s="854"/>
      <c r="P695" s="854"/>
      <c r="Q695" s="854"/>
      <c r="R695" s="854"/>
      <c r="S695" s="854"/>
      <c r="T695" s="854"/>
      <c r="U695" s="854"/>
      <c r="V695" s="854"/>
      <c r="W695" s="854"/>
      <c r="X695" s="854"/>
      <c r="Y695" s="854"/>
      <c r="Z695" s="854"/>
      <c r="AA695" s="854"/>
      <c r="AB695" s="854"/>
      <c r="AC695" s="854"/>
      <c r="AD695" s="854"/>
      <c r="AE695" s="854"/>
      <c r="AF695" s="854"/>
      <c r="AG695" s="854"/>
      <c r="AH695" s="854"/>
      <c r="AI695" s="854"/>
      <c r="AJ695" s="854"/>
      <c r="AK695" s="854"/>
      <c r="AL695" s="854"/>
      <c r="AM695" s="854"/>
      <c r="AN695" s="854"/>
      <c r="AO695" s="854"/>
      <c r="AP695" s="854"/>
      <c r="AQ695" s="854"/>
      <c r="AR695" s="854"/>
      <c r="AS695" s="854"/>
      <c r="AT695" s="854"/>
      <c r="AU695" s="854"/>
      <c r="AV695" s="854"/>
      <c r="AW695" s="854"/>
      <c r="AX695" s="854"/>
      <c r="AY695" s="854"/>
      <c r="AZ695" s="854"/>
      <c r="BA695" s="854"/>
      <c r="BB695" s="854"/>
      <c r="BC695" s="854"/>
      <c r="BD695" s="854"/>
      <c r="BE695" s="854"/>
      <c r="BF695" s="854"/>
      <c r="BG695" s="854"/>
      <c r="BH695" s="854"/>
      <c r="BI695" s="854"/>
      <c r="BJ695" s="854"/>
      <c r="BK695" s="854"/>
      <c r="BL695" s="854"/>
      <c r="BM695" s="854"/>
      <c r="BN695" s="854"/>
      <c r="BO695" s="854"/>
      <c r="BP695" s="854"/>
      <c r="BQ695" s="854"/>
      <c r="BR695" s="854"/>
      <c r="BS695" s="854"/>
      <c r="BT695" s="854"/>
      <c r="BU695" s="854"/>
      <c r="BV695" s="854"/>
      <c r="BW695" s="854"/>
      <c r="BX695" s="854"/>
      <c r="BY695" s="854"/>
      <c r="BZ695" s="854"/>
      <c r="CA695" s="571">
        <f>IF(OR(I695="",I695&lt;'Configs &amp; Procedures'!$L$29),0,IF(I695&gt;'Configs &amp; Procedures'!$L$30,1,IF(F695&gt;'Configs &amp; Procedures'!$L$31,0,1)))</f>
        <v>0</v>
      </c>
    </row>
    <row r="696" spans="2:79">
      <c r="B696" s="854"/>
      <c r="C696" s="854"/>
      <c r="D696" s="854"/>
      <c r="E696" s="854"/>
      <c r="F696" s="854"/>
      <c r="G696" s="854"/>
      <c r="H696" s="854"/>
      <c r="I696" s="854"/>
      <c r="J696" s="854"/>
      <c r="K696" s="854"/>
      <c r="L696" s="854"/>
      <c r="M696" s="854"/>
      <c r="N696" s="854"/>
      <c r="O696" s="854"/>
      <c r="P696" s="854"/>
      <c r="Q696" s="854"/>
      <c r="R696" s="854"/>
      <c r="S696" s="854"/>
      <c r="T696" s="854"/>
      <c r="U696" s="854"/>
      <c r="V696" s="854"/>
      <c r="W696" s="854"/>
      <c r="X696" s="854"/>
      <c r="Y696" s="854"/>
      <c r="Z696" s="854"/>
      <c r="AA696" s="854"/>
      <c r="AB696" s="854"/>
      <c r="AC696" s="854"/>
      <c r="AD696" s="854"/>
      <c r="AE696" s="854"/>
      <c r="AF696" s="854"/>
      <c r="AG696" s="854"/>
      <c r="AH696" s="854"/>
      <c r="AI696" s="854"/>
      <c r="AJ696" s="854"/>
      <c r="AK696" s="854"/>
      <c r="AL696" s="854"/>
      <c r="AM696" s="854"/>
      <c r="AN696" s="854"/>
      <c r="AO696" s="854"/>
      <c r="AP696" s="854"/>
      <c r="AQ696" s="854"/>
      <c r="AR696" s="854"/>
      <c r="AS696" s="854"/>
      <c r="AT696" s="854"/>
      <c r="AU696" s="854"/>
      <c r="AV696" s="854"/>
      <c r="AW696" s="854"/>
      <c r="AX696" s="854"/>
      <c r="AY696" s="854"/>
      <c r="AZ696" s="854"/>
      <c r="BA696" s="854"/>
      <c r="BB696" s="854"/>
      <c r="BC696" s="854"/>
      <c r="BD696" s="854"/>
      <c r="BE696" s="854"/>
      <c r="BF696" s="854"/>
      <c r="BG696" s="854"/>
      <c r="BH696" s="854"/>
      <c r="BI696" s="854"/>
      <c r="BJ696" s="854"/>
      <c r="BK696" s="854"/>
      <c r="BL696" s="854"/>
      <c r="BM696" s="854"/>
      <c r="BN696" s="854"/>
      <c r="BO696" s="854"/>
      <c r="BP696" s="854"/>
      <c r="BQ696" s="854"/>
      <c r="BR696" s="854"/>
      <c r="BS696" s="854"/>
      <c r="BT696" s="854"/>
      <c r="BU696" s="854"/>
      <c r="BV696" s="854"/>
      <c r="BW696" s="854"/>
      <c r="BX696" s="854"/>
      <c r="BY696" s="854"/>
      <c r="BZ696" s="854"/>
      <c r="CA696" s="571">
        <f>IF(OR(I696="",I696&lt;'Configs &amp; Procedures'!$L$29),0,IF(I696&gt;'Configs &amp; Procedures'!$L$30,1,IF(F696&gt;'Configs &amp; Procedures'!$L$31,0,1)))</f>
        <v>0</v>
      </c>
    </row>
    <row r="697" spans="2:79">
      <c r="B697" s="854"/>
      <c r="C697" s="854"/>
      <c r="D697" s="854"/>
      <c r="E697" s="854"/>
      <c r="F697" s="854"/>
      <c r="G697" s="854"/>
      <c r="H697" s="854"/>
      <c r="I697" s="854"/>
      <c r="J697" s="854"/>
      <c r="K697" s="854"/>
      <c r="L697" s="854"/>
      <c r="M697" s="854"/>
      <c r="N697" s="854"/>
      <c r="O697" s="854"/>
      <c r="P697" s="854"/>
      <c r="Q697" s="854"/>
      <c r="R697" s="854"/>
      <c r="S697" s="854"/>
      <c r="T697" s="854"/>
      <c r="U697" s="854"/>
      <c r="V697" s="854"/>
      <c r="W697" s="854"/>
      <c r="X697" s="854"/>
      <c r="Y697" s="854"/>
      <c r="Z697" s="854"/>
      <c r="AA697" s="854"/>
      <c r="AB697" s="854"/>
      <c r="AC697" s="854"/>
      <c r="AD697" s="854"/>
      <c r="AE697" s="854"/>
      <c r="AF697" s="854"/>
      <c r="AG697" s="854"/>
      <c r="AH697" s="854"/>
      <c r="AI697" s="854"/>
      <c r="AJ697" s="854"/>
      <c r="AK697" s="854"/>
      <c r="AL697" s="854"/>
      <c r="AM697" s="854"/>
      <c r="AN697" s="854"/>
      <c r="AO697" s="854"/>
      <c r="AP697" s="854"/>
      <c r="AQ697" s="854"/>
      <c r="AR697" s="854"/>
      <c r="AS697" s="854"/>
      <c r="AT697" s="854"/>
      <c r="AU697" s="854"/>
      <c r="AV697" s="854"/>
      <c r="AW697" s="854"/>
      <c r="AX697" s="854"/>
      <c r="AY697" s="854"/>
      <c r="AZ697" s="854"/>
      <c r="BA697" s="854"/>
      <c r="BB697" s="854"/>
      <c r="BC697" s="854"/>
      <c r="BD697" s="854"/>
      <c r="BE697" s="854"/>
      <c r="BF697" s="854"/>
      <c r="BG697" s="854"/>
      <c r="BH697" s="854"/>
      <c r="BI697" s="854"/>
      <c r="BJ697" s="854"/>
      <c r="BK697" s="854"/>
      <c r="BL697" s="854"/>
      <c r="BM697" s="854"/>
      <c r="BN697" s="854"/>
      <c r="BO697" s="854"/>
      <c r="BP697" s="854"/>
      <c r="BQ697" s="854"/>
      <c r="BR697" s="854"/>
      <c r="BS697" s="854"/>
      <c r="BT697" s="854"/>
      <c r="BU697" s="854"/>
      <c r="BV697" s="854"/>
      <c r="BW697" s="854"/>
      <c r="BX697" s="854"/>
      <c r="BY697" s="854"/>
      <c r="BZ697" s="854"/>
      <c r="CA697" s="571">
        <f>IF(OR(I697="",I697&lt;'Configs &amp; Procedures'!$L$29),0,IF(I697&gt;'Configs &amp; Procedures'!$L$30,1,IF(F697&gt;'Configs &amp; Procedures'!$L$31,0,1)))</f>
        <v>0</v>
      </c>
    </row>
    <row r="698" spans="2:79">
      <c r="B698" s="854"/>
      <c r="C698" s="854"/>
      <c r="D698" s="854"/>
      <c r="E698" s="854"/>
      <c r="F698" s="854"/>
      <c r="G698" s="854"/>
      <c r="H698" s="854"/>
      <c r="I698" s="854"/>
      <c r="J698" s="854"/>
      <c r="K698" s="854"/>
      <c r="L698" s="854"/>
      <c r="M698" s="854"/>
      <c r="N698" s="854"/>
      <c r="O698" s="854"/>
      <c r="P698" s="854"/>
      <c r="Q698" s="854"/>
      <c r="R698" s="854"/>
      <c r="S698" s="854"/>
      <c r="T698" s="854"/>
      <c r="U698" s="854"/>
      <c r="V698" s="854"/>
      <c r="W698" s="854"/>
      <c r="X698" s="854"/>
      <c r="Y698" s="854"/>
      <c r="Z698" s="854"/>
      <c r="AA698" s="854"/>
      <c r="AB698" s="854"/>
      <c r="AC698" s="854"/>
      <c r="AD698" s="854"/>
      <c r="AE698" s="854"/>
      <c r="AF698" s="854"/>
      <c r="AG698" s="854"/>
      <c r="AH698" s="854"/>
      <c r="AI698" s="854"/>
      <c r="AJ698" s="854"/>
      <c r="AK698" s="854"/>
      <c r="AL698" s="854"/>
      <c r="AM698" s="854"/>
      <c r="AN698" s="854"/>
      <c r="AO698" s="854"/>
      <c r="AP698" s="854"/>
      <c r="AQ698" s="854"/>
      <c r="AR698" s="854"/>
      <c r="AS698" s="854"/>
      <c r="AT698" s="854"/>
      <c r="AU698" s="854"/>
      <c r="AV698" s="854"/>
      <c r="AW698" s="854"/>
      <c r="AX698" s="854"/>
      <c r="AY698" s="854"/>
      <c r="AZ698" s="854"/>
      <c r="BA698" s="854"/>
      <c r="BB698" s="854"/>
      <c r="BC698" s="854"/>
      <c r="BD698" s="854"/>
      <c r="BE698" s="854"/>
      <c r="BF698" s="854"/>
      <c r="BG698" s="854"/>
      <c r="BH698" s="854"/>
      <c r="BI698" s="854"/>
      <c r="BJ698" s="854"/>
      <c r="BK698" s="854"/>
      <c r="BL698" s="854"/>
      <c r="BM698" s="854"/>
      <c r="BN698" s="854"/>
      <c r="BO698" s="854"/>
      <c r="BP698" s="854"/>
      <c r="BQ698" s="854"/>
      <c r="BR698" s="854"/>
      <c r="BS698" s="854"/>
      <c r="BT698" s="854"/>
      <c r="BU698" s="854"/>
      <c r="BV698" s="854"/>
      <c r="BW698" s="854"/>
      <c r="BX698" s="854"/>
      <c r="BY698" s="854"/>
      <c r="BZ698" s="854"/>
      <c r="CA698" s="571">
        <f>IF(OR(I698="",I698&lt;'Configs &amp; Procedures'!$L$29),0,IF(I698&gt;'Configs &amp; Procedures'!$L$30,1,IF(F698&gt;'Configs &amp; Procedures'!$L$31,0,1)))</f>
        <v>0</v>
      </c>
    </row>
    <row r="699" spans="2:79">
      <c r="B699" s="854"/>
      <c r="C699" s="854"/>
      <c r="D699" s="854"/>
      <c r="E699" s="854"/>
      <c r="F699" s="854"/>
      <c r="G699" s="854"/>
      <c r="H699" s="854"/>
      <c r="I699" s="854"/>
      <c r="J699" s="854"/>
      <c r="K699" s="854"/>
      <c r="L699" s="854"/>
      <c r="M699" s="854"/>
      <c r="N699" s="854"/>
      <c r="O699" s="854"/>
      <c r="P699" s="854"/>
      <c r="Q699" s="854"/>
      <c r="R699" s="854"/>
      <c r="S699" s="854"/>
      <c r="T699" s="854"/>
      <c r="U699" s="854"/>
      <c r="V699" s="854"/>
      <c r="W699" s="854"/>
      <c r="X699" s="854"/>
      <c r="Y699" s="854"/>
      <c r="Z699" s="854"/>
      <c r="AA699" s="854"/>
      <c r="AB699" s="854"/>
      <c r="AC699" s="854"/>
      <c r="AD699" s="854"/>
      <c r="AE699" s="854"/>
      <c r="AF699" s="854"/>
      <c r="AG699" s="854"/>
      <c r="AH699" s="854"/>
      <c r="AI699" s="854"/>
      <c r="AJ699" s="854"/>
      <c r="AK699" s="854"/>
      <c r="AL699" s="854"/>
      <c r="AM699" s="854"/>
      <c r="AN699" s="854"/>
      <c r="AO699" s="854"/>
      <c r="AP699" s="854"/>
      <c r="AQ699" s="854"/>
      <c r="AR699" s="854"/>
      <c r="AS699" s="854"/>
      <c r="AT699" s="854"/>
      <c r="AU699" s="854"/>
      <c r="AV699" s="854"/>
      <c r="AW699" s="854"/>
      <c r="AX699" s="854"/>
      <c r="AY699" s="854"/>
      <c r="AZ699" s="854"/>
      <c r="BA699" s="854"/>
      <c r="BB699" s="854"/>
      <c r="BC699" s="854"/>
      <c r="BD699" s="854"/>
      <c r="BE699" s="854"/>
      <c r="BF699" s="854"/>
      <c r="BG699" s="854"/>
      <c r="BH699" s="854"/>
      <c r="BI699" s="854"/>
      <c r="BJ699" s="854"/>
      <c r="BK699" s="854"/>
      <c r="BL699" s="854"/>
      <c r="BM699" s="854"/>
      <c r="BN699" s="854"/>
      <c r="BO699" s="854"/>
      <c r="BP699" s="854"/>
      <c r="BQ699" s="854"/>
      <c r="BR699" s="854"/>
      <c r="BS699" s="854"/>
      <c r="BT699" s="854"/>
      <c r="BU699" s="854"/>
      <c r="BV699" s="854"/>
      <c r="BW699" s="854"/>
      <c r="BX699" s="854"/>
      <c r="BY699" s="854"/>
      <c r="BZ699" s="854"/>
      <c r="CA699" s="571">
        <f>IF(OR(I699="",I699&lt;'Configs &amp; Procedures'!$L$29),0,IF(I699&gt;'Configs &amp; Procedures'!$L$30,1,IF(F699&gt;'Configs &amp; Procedures'!$L$31,0,1)))</f>
        <v>0</v>
      </c>
    </row>
    <row r="700" spans="2:79">
      <c r="B700" s="854"/>
      <c r="C700" s="854"/>
      <c r="D700" s="854"/>
      <c r="E700" s="854"/>
      <c r="F700" s="854"/>
      <c r="G700" s="854"/>
      <c r="H700" s="854"/>
      <c r="I700" s="854"/>
      <c r="J700" s="854"/>
      <c r="K700" s="854"/>
      <c r="L700" s="854"/>
      <c r="M700" s="854"/>
      <c r="N700" s="854"/>
      <c r="O700" s="854"/>
      <c r="P700" s="854"/>
      <c r="Q700" s="854"/>
      <c r="R700" s="854"/>
      <c r="S700" s="854"/>
      <c r="T700" s="854"/>
      <c r="U700" s="854"/>
      <c r="V700" s="854"/>
      <c r="W700" s="854"/>
      <c r="X700" s="854"/>
      <c r="Y700" s="854"/>
      <c r="Z700" s="854"/>
      <c r="AA700" s="854"/>
      <c r="AB700" s="854"/>
      <c r="AC700" s="854"/>
      <c r="AD700" s="854"/>
      <c r="AE700" s="854"/>
      <c r="AF700" s="854"/>
      <c r="AG700" s="854"/>
      <c r="AH700" s="854"/>
      <c r="AI700" s="854"/>
      <c r="AJ700" s="854"/>
      <c r="AK700" s="854"/>
      <c r="AL700" s="854"/>
      <c r="AM700" s="854"/>
      <c r="AN700" s="854"/>
      <c r="AO700" s="854"/>
      <c r="AP700" s="854"/>
      <c r="AQ700" s="854"/>
      <c r="AR700" s="854"/>
      <c r="AS700" s="854"/>
      <c r="AT700" s="854"/>
      <c r="AU700" s="854"/>
      <c r="AV700" s="854"/>
      <c r="AW700" s="854"/>
      <c r="AX700" s="854"/>
      <c r="AY700" s="854"/>
      <c r="AZ700" s="854"/>
      <c r="BA700" s="854"/>
      <c r="BB700" s="854"/>
      <c r="BC700" s="854"/>
      <c r="BD700" s="854"/>
      <c r="BE700" s="854"/>
      <c r="BF700" s="854"/>
      <c r="BG700" s="854"/>
      <c r="BH700" s="854"/>
      <c r="BI700" s="854"/>
      <c r="BJ700" s="854"/>
      <c r="BK700" s="854"/>
      <c r="BL700" s="854"/>
      <c r="BM700" s="854"/>
      <c r="BN700" s="854"/>
      <c r="BO700" s="854"/>
      <c r="BP700" s="854"/>
      <c r="BQ700" s="854"/>
      <c r="BR700" s="854"/>
      <c r="BS700" s="854"/>
      <c r="BT700" s="854"/>
      <c r="BU700" s="854"/>
      <c r="BV700" s="854"/>
      <c r="BW700" s="854"/>
      <c r="BX700" s="854"/>
      <c r="BY700" s="854"/>
      <c r="BZ700" s="854"/>
      <c r="CA700" s="571">
        <f>IF(OR(I700="",I700&lt;'Configs &amp; Procedures'!$L$29),0,IF(I700&gt;'Configs &amp; Procedures'!$L$30,1,IF(F700&gt;'Configs &amp; Procedures'!$L$31,0,1)))</f>
        <v>0</v>
      </c>
    </row>
    <row r="701" spans="2:79">
      <c r="B701" s="854"/>
      <c r="C701" s="854"/>
      <c r="D701" s="854"/>
      <c r="E701" s="854"/>
      <c r="F701" s="854"/>
      <c r="G701" s="854"/>
      <c r="H701" s="854"/>
      <c r="I701" s="854"/>
      <c r="J701" s="854"/>
      <c r="K701" s="854"/>
      <c r="L701" s="854"/>
      <c r="M701" s="854"/>
      <c r="N701" s="854"/>
      <c r="O701" s="854"/>
      <c r="P701" s="854"/>
      <c r="Q701" s="854"/>
      <c r="R701" s="854"/>
      <c r="S701" s="854"/>
      <c r="T701" s="854"/>
      <c r="U701" s="854"/>
      <c r="V701" s="854"/>
      <c r="W701" s="854"/>
      <c r="X701" s="854"/>
      <c r="Y701" s="854"/>
      <c r="Z701" s="854"/>
      <c r="AA701" s="854"/>
      <c r="AB701" s="854"/>
      <c r="AC701" s="854"/>
      <c r="AD701" s="854"/>
      <c r="AE701" s="854"/>
      <c r="AF701" s="854"/>
      <c r="AG701" s="854"/>
      <c r="AH701" s="854"/>
      <c r="AI701" s="854"/>
      <c r="AJ701" s="854"/>
      <c r="AK701" s="854"/>
      <c r="AL701" s="854"/>
      <c r="AM701" s="854"/>
      <c r="AN701" s="854"/>
      <c r="AO701" s="854"/>
      <c r="AP701" s="854"/>
      <c r="AQ701" s="854"/>
      <c r="AR701" s="854"/>
      <c r="AS701" s="854"/>
      <c r="AT701" s="854"/>
      <c r="AU701" s="854"/>
      <c r="AV701" s="854"/>
      <c r="AW701" s="854"/>
      <c r="AX701" s="854"/>
      <c r="AY701" s="854"/>
      <c r="AZ701" s="854"/>
      <c r="BA701" s="854"/>
      <c r="BB701" s="854"/>
      <c r="BC701" s="854"/>
      <c r="BD701" s="854"/>
      <c r="BE701" s="854"/>
      <c r="BF701" s="854"/>
      <c r="BG701" s="854"/>
      <c r="BH701" s="854"/>
      <c r="BI701" s="854"/>
      <c r="BJ701" s="854"/>
      <c r="BK701" s="854"/>
      <c r="BL701" s="854"/>
      <c r="BM701" s="854"/>
      <c r="BN701" s="854"/>
      <c r="BO701" s="854"/>
      <c r="BP701" s="854"/>
      <c r="BQ701" s="854"/>
      <c r="BR701" s="854"/>
      <c r="BS701" s="854"/>
      <c r="BT701" s="854"/>
      <c r="BU701" s="854"/>
      <c r="BV701" s="854"/>
      <c r="BW701" s="854"/>
      <c r="BX701" s="854"/>
      <c r="BY701" s="854"/>
      <c r="BZ701" s="854"/>
      <c r="CA701" s="571">
        <f>IF(OR(I701="",I701&lt;'Configs &amp; Procedures'!$L$29),0,IF(I701&gt;'Configs &amp; Procedures'!$L$30,1,IF(F701&gt;'Configs &amp; Procedures'!$L$31,0,1)))</f>
        <v>0</v>
      </c>
    </row>
    <row r="702" spans="2:79">
      <c r="B702" s="854"/>
      <c r="C702" s="854"/>
      <c r="D702" s="854"/>
      <c r="E702" s="854"/>
      <c r="F702" s="854"/>
      <c r="G702" s="854"/>
      <c r="H702" s="854"/>
      <c r="I702" s="854"/>
      <c r="J702" s="854"/>
      <c r="K702" s="854"/>
      <c r="L702" s="854"/>
      <c r="M702" s="854"/>
      <c r="N702" s="854"/>
      <c r="O702" s="854"/>
      <c r="P702" s="854"/>
      <c r="Q702" s="854"/>
      <c r="R702" s="854"/>
      <c r="S702" s="854"/>
      <c r="T702" s="854"/>
      <c r="U702" s="854"/>
      <c r="V702" s="854"/>
      <c r="W702" s="854"/>
      <c r="X702" s="854"/>
      <c r="Y702" s="854"/>
      <c r="Z702" s="854"/>
      <c r="AA702" s="854"/>
      <c r="AB702" s="854"/>
      <c r="AC702" s="854"/>
      <c r="AD702" s="854"/>
      <c r="AE702" s="854"/>
      <c r="AF702" s="854"/>
      <c r="AG702" s="854"/>
      <c r="AH702" s="854"/>
      <c r="AI702" s="854"/>
      <c r="AJ702" s="854"/>
      <c r="AK702" s="854"/>
      <c r="AL702" s="854"/>
      <c r="AM702" s="854"/>
      <c r="AN702" s="854"/>
      <c r="AO702" s="854"/>
      <c r="AP702" s="854"/>
      <c r="AQ702" s="854"/>
      <c r="AR702" s="854"/>
      <c r="AS702" s="854"/>
      <c r="AT702" s="854"/>
      <c r="AU702" s="854"/>
      <c r="AV702" s="854"/>
      <c r="AW702" s="854"/>
      <c r="AX702" s="854"/>
      <c r="AY702" s="854"/>
      <c r="AZ702" s="854"/>
      <c r="BA702" s="854"/>
      <c r="BB702" s="854"/>
      <c r="BC702" s="854"/>
      <c r="BD702" s="854"/>
      <c r="BE702" s="854"/>
      <c r="BF702" s="854"/>
      <c r="BG702" s="854"/>
      <c r="BH702" s="854"/>
      <c r="BI702" s="854"/>
      <c r="BJ702" s="854"/>
      <c r="BK702" s="854"/>
      <c r="BL702" s="854"/>
      <c r="BM702" s="854"/>
      <c r="BN702" s="854"/>
      <c r="BO702" s="854"/>
      <c r="BP702" s="854"/>
      <c r="BQ702" s="854"/>
      <c r="BR702" s="854"/>
      <c r="BS702" s="854"/>
      <c r="BT702" s="854"/>
      <c r="BU702" s="854"/>
      <c r="BV702" s="854"/>
      <c r="BW702" s="854"/>
      <c r="BX702" s="854"/>
      <c r="BY702" s="854"/>
      <c r="BZ702" s="854"/>
      <c r="CA702" s="571">
        <f>IF(OR(I702="",I702&lt;'Configs &amp; Procedures'!$L$29),0,IF(I702&gt;'Configs &amp; Procedures'!$L$30,1,IF(F702&gt;'Configs &amp; Procedures'!$L$31,0,1)))</f>
        <v>0</v>
      </c>
    </row>
    <row r="703" spans="2:79">
      <c r="B703" s="854"/>
      <c r="C703" s="854"/>
      <c r="D703" s="854"/>
      <c r="E703" s="854"/>
      <c r="F703" s="854"/>
      <c r="G703" s="854"/>
      <c r="H703" s="854"/>
      <c r="I703" s="854"/>
      <c r="J703" s="854"/>
      <c r="K703" s="854"/>
      <c r="L703" s="854"/>
      <c r="M703" s="854"/>
      <c r="N703" s="854"/>
      <c r="O703" s="854"/>
      <c r="P703" s="854"/>
      <c r="Q703" s="854"/>
      <c r="R703" s="854"/>
      <c r="S703" s="854"/>
      <c r="T703" s="854"/>
      <c r="U703" s="854"/>
      <c r="V703" s="854"/>
      <c r="W703" s="854"/>
      <c r="X703" s="854"/>
      <c r="Y703" s="854"/>
      <c r="Z703" s="854"/>
      <c r="AA703" s="854"/>
      <c r="AB703" s="854"/>
      <c r="AC703" s="854"/>
      <c r="AD703" s="854"/>
      <c r="AE703" s="854"/>
      <c r="AF703" s="854"/>
      <c r="AG703" s="854"/>
      <c r="AH703" s="854"/>
      <c r="AI703" s="854"/>
      <c r="AJ703" s="854"/>
      <c r="AK703" s="854"/>
      <c r="AL703" s="854"/>
      <c r="AM703" s="854"/>
      <c r="AN703" s="854"/>
      <c r="AO703" s="854"/>
      <c r="AP703" s="854"/>
      <c r="AQ703" s="854"/>
      <c r="AR703" s="854"/>
      <c r="AS703" s="854"/>
      <c r="AT703" s="854"/>
      <c r="AU703" s="854"/>
      <c r="AV703" s="854"/>
      <c r="AW703" s="854"/>
      <c r="AX703" s="854"/>
      <c r="AY703" s="854"/>
      <c r="AZ703" s="854"/>
      <c r="BA703" s="854"/>
      <c r="BB703" s="854"/>
      <c r="BC703" s="854"/>
      <c r="BD703" s="854"/>
      <c r="BE703" s="854"/>
      <c r="BF703" s="854"/>
      <c r="BG703" s="854"/>
      <c r="BH703" s="854"/>
      <c r="BI703" s="854"/>
      <c r="BJ703" s="854"/>
      <c r="BK703" s="854"/>
      <c r="BL703" s="854"/>
      <c r="BM703" s="854"/>
      <c r="BN703" s="854"/>
      <c r="BO703" s="854"/>
      <c r="BP703" s="854"/>
      <c r="BQ703" s="854"/>
      <c r="BR703" s="854"/>
      <c r="BS703" s="854"/>
      <c r="BT703" s="854"/>
      <c r="BU703" s="854"/>
      <c r="BV703" s="854"/>
      <c r="BW703" s="854"/>
      <c r="BX703" s="854"/>
      <c r="BY703" s="854"/>
      <c r="BZ703" s="854"/>
      <c r="CA703" s="571">
        <f>IF(OR(I703="",I703&lt;'Configs &amp; Procedures'!$L$29),0,IF(I703&gt;'Configs &amp; Procedures'!$L$30,1,IF(F703&gt;'Configs &amp; Procedures'!$L$31,0,1)))</f>
        <v>0</v>
      </c>
    </row>
    <row r="704" spans="2:79">
      <c r="B704" s="854"/>
      <c r="C704" s="854"/>
      <c r="D704" s="854"/>
      <c r="E704" s="854"/>
      <c r="F704" s="854"/>
      <c r="G704" s="854"/>
      <c r="H704" s="854"/>
      <c r="I704" s="854"/>
      <c r="J704" s="854"/>
      <c r="K704" s="854"/>
      <c r="L704" s="854"/>
      <c r="M704" s="854"/>
      <c r="N704" s="854"/>
      <c r="O704" s="854"/>
      <c r="P704" s="854"/>
      <c r="Q704" s="854"/>
      <c r="R704" s="854"/>
      <c r="S704" s="854"/>
      <c r="T704" s="854"/>
      <c r="U704" s="854"/>
      <c r="V704" s="854"/>
      <c r="W704" s="854"/>
      <c r="X704" s="854"/>
      <c r="Y704" s="854"/>
      <c r="Z704" s="854"/>
      <c r="AA704" s="854"/>
      <c r="AB704" s="854"/>
      <c r="AC704" s="854"/>
      <c r="AD704" s="854"/>
      <c r="AE704" s="854"/>
      <c r="AF704" s="854"/>
      <c r="AG704" s="854"/>
      <c r="AH704" s="854"/>
      <c r="AI704" s="854"/>
      <c r="AJ704" s="854"/>
      <c r="AK704" s="854"/>
      <c r="AL704" s="854"/>
      <c r="AM704" s="854"/>
      <c r="AN704" s="854"/>
      <c r="AO704" s="854"/>
      <c r="AP704" s="854"/>
      <c r="AQ704" s="854"/>
      <c r="AR704" s="854"/>
      <c r="AS704" s="854"/>
      <c r="AT704" s="854"/>
      <c r="AU704" s="854"/>
      <c r="AV704" s="854"/>
      <c r="AW704" s="854"/>
      <c r="AX704" s="854"/>
      <c r="AY704" s="854"/>
      <c r="AZ704" s="854"/>
      <c r="BA704" s="854"/>
      <c r="BB704" s="854"/>
      <c r="BC704" s="854"/>
      <c r="BD704" s="854"/>
      <c r="BE704" s="854"/>
      <c r="BF704" s="854"/>
      <c r="BG704" s="854"/>
      <c r="BH704" s="854"/>
      <c r="BI704" s="854"/>
      <c r="BJ704" s="854"/>
      <c r="BK704" s="854"/>
      <c r="BL704" s="854"/>
      <c r="BM704" s="854"/>
      <c r="BN704" s="854"/>
      <c r="BO704" s="854"/>
      <c r="BP704" s="854"/>
      <c r="BQ704" s="854"/>
      <c r="BR704" s="854"/>
      <c r="BS704" s="854"/>
      <c r="BT704" s="854"/>
      <c r="BU704" s="854"/>
      <c r="BV704" s="854"/>
      <c r="BW704" s="854"/>
      <c r="BX704" s="854"/>
      <c r="BY704" s="854"/>
      <c r="BZ704" s="854"/>
      <c r="CA704" s="571">
        <f>IF(OR(I704="",I704&lt;'Configs &amp; Procedures'!$L$29),0,IF(I704&gt;'Configs &amp; Procedures'!$L$30,1,IF(F704&gt;'Configs &amp; Procedures'!$L$31,0,1)))</f>
        <v>0</v>
      </c>
    </row>
    <row r="705" spans="2:79">
      <c r="B705" s="854"/>
      <c r="C705" s="854"/>
      <c r="D705" s="854"/>
      <c r="E705" s="854"/>
      <c r="F705" s="854"/>
      <c r="G705" s="854"/>
      <c r="H705" s="854"/>
      <c r="I705" s="854"/>
      <c r="J705" s="854"/>
      <c r="K705" s="854"/>
      <c r="L705" s="854"/>
      <c r="M705" s="854"/>
      <c r="N705" s="854"/>
      <c r="O705" s="854"/>
      <c r="P705" s="854"/>
      <c r="Q705" s="854"/>
      <c r="R705" s="854"/>
      <c r="S705" s="854"/>
      <c r="T705" s="854"/>
      <c r="U705" s="854"/>
      <c r="V705" s="854"/>
      <c r="W705" s="854"/>
      <c r="X705" s="854"/>
      <c r="Y705" s="854"/>
      <c r="Z705" s="854"/>
      <c r="AA705" s="854"/>
      <c r="AB705" s="854"/>
      <c r="AC705" s="854"/>
      <c r="AD705" s="854"/>
      <c r="AE705" s="854"/>
      <c r="AF705" s="854"/>
      <c r="AG705" s="854"/>
      <c r="AH705" s="854"/>
      <c r="AI705" s="854"/>
      <c r="AJ705" s="854"/>
      <c r="AK705" s="854"/>
      <c r="AL705" s="854"/>
      <c r="AM705" s="854"/>
      <c r="AN705" s="854"/>
      <c r="AO705" s="854"/>
      <c r="AP705" s="854"/>
      <c r="AQ705" s="854"/>
      <c r="AR705" s="854"/>
      <c r="AS705" s="854"/>
      <c r="AT705" s="854"/>
      <c r="AU705" s="854"/>
      <c r="AV705" s="854"/>
      <c r="AW705" s="854"/>
      <c r="AX705" s="854"/>
      <c r="AY705" s="854"/>
      <c r="AZ705" s="854"/>
      <c r="BA705" s="854"/>
      <c r="BB705" s="854"/>
      <c r="BC705" s="854"/>
      <c r="BD705" s="854"/>
      <c r="BE705" s="854"/>
      <c r="BF705" s="854"/>
      <c r="BG705" s="854"/>
      <c r="BH705" s="854"/>
      <c r="BI705" s="854"/>
      <c r="BJ705" s="854"/>
      <c r="BK705" s="854"/>
      <c r="BL705" s="854"/>
      <c r="BM705" s="854"/>
      <c r="BN705" s="854"/>
      <c r="BO705" s="854"/>
      <c r="BP705" s="854"/>
      <c r="BQ705" s="854"/>
      <c r="BR705" s="854"/>
      <c r="BS705" s="854"/>
      <c r="BT705" s="854"/>
      <c r="BU705" s="854"/>
      <c r="BV705" s="854"/>
      <c r="BW705" s="854"/>
      <c r="BX705" s="854"/>
      <c r="BY705" s="854"/>
      <c r="BZ705" s="854"/>
      <c r="CA705" s="571">
        <f>IF(OR(I705="",I705&lt;'Configs &amp; Procedures'!$L$29),0,IF(I705&gt;'Configs &amp; Procedures'!$L$30,1,IF(F705&gt;'Configs &amp; Procedures'!$L$31,0,1)))</f>
        <v>0</v>
      </c>
    </row>
    <row r="706" spans="2:79">
      <c r="B706" s="854"/>
      <c r="C706" s="854"/>
      <c r="D706" s="854"/>
      <c r="E706" s="854"/>
      <c r="F706" s="854"/>
      <c r="G706" s="854"/>
      <c r="H706" s="854"/>
      <c r="I706" s="854"/>
      <c r="J706" s="854"/>
      <c r="K706" s="854"/>
      <c r="L706" s="854"/>
      <c r="M706" s="854"/>
      <c r="N706" s="854"/>
      <c r="O706" s="854"/>
      <c r="P706" s="854"/>
      <c r="Q706" s="854"/>
      <c r="R706" s="854"/>
      <c r="S706" s="854"/>
      <c r="T706" s="854"/>
      <c r="U706" s="854"/>
      <c r="V706" s="854"/>
      <c r="W706" s="854"/>
      <c r="X706" s="854"/>
      <c r="Y706" s="854"/>
      <c r="Z706" s="854"/>
      <c r="AA706" s="854"/>
      <c r="AB706" s="854"/>
      <c r="AC706" s="854"/>
      <c r="AD706" s="854"/>
      <c r="AE706" s="854"/>
      <c r="AF706" s="854"/>
      <c r="AG706" s="854"/>
      <c r="AH706" s="854"/>
      <c r="AI706" s="854"/>
      <c r="AJ706" s="854"/>
      <c r="AK706" s="854"/>
      <c r="AL706" s="854"/>
      <c r="AM706" s="854"/>
      <c r="AN706" s="854"/>
      <c r="AO706" s="854"/>
      <c r="AP706" s="854"/>
      <c r="AQ706" s="854"/>
      <c r="AR706" s="854"/>
      <c r="AS706" s="854"/>
      <c r="AT706" s="854"/>
      <c r="AU706" s="854"/>
      <c r="AV706" s="854"/>
      <c r="AW706" s="854"/>
      <c r="AX706" s="854"/>
      <c r="AY706" s="854"/>
      <c r="AZ706" s="854"/>
      <c r="BA706" s="854"/>
      <c r="BB706" s="854"/>
      <c r="BC706" s="854"/>
      <c r="BD706" s="854"/>
      <c r="BE706" s="854"/>
      <c r="BF706" s="854"/>
      <c r="BG706" s="854"/>
      <c r="BH706" s="854"/>
      <c r="BI706" s="854"/>
      <c r="BJ706" s="854"/>
      <c r="BK706" s="854"/>
      <c r="BL706" s="854"/>
      <c r="BM706" s="854"/>
      <c r="BN706" s="854"/>
      <c r="BO706" s="854"/>
      <c r="BP706" s="854"/>
      <c r="BQ706" s="854"/>
      <c r="BR706" s="854"/>
      <c r="BS706" s="854"/>
      <c r="BT706" s="854"/>
      <c r="BU706" s="854"/>
      <c r="BV706" s="854"/>
      <c r="BW706" s="854"/>
      <c r="BX706" s="854"/>
      <c r="BY706" s="854"/>
      <c r="BZ706" s="854"/>
      <c r="CA706" s="571">
        <f>IF(OR(I706="",I706&lt;'Configs &amp; Procedures'!$L$29),0,IF(I706&gt;'Configs &amp; Procedures'!$L$30,1,IF(F706&gt;'Configs &amp; Procedures'!$L$31,0,1)))</f>
        <v>0</v>
      </c>
    </row>
    <row r="707" spans="2:79">
      <c r="B707" s="854"/>
      <c r="C707" s="854"/>
      <c r="D707" s="854"/>
      <c r="E707" s="854"/>
      <c r="F707" s="854"/>
      <c r="G707" s="854"/>
      <c r="H707" s="854"/>
      <c r="I707" s="854"/>
      <c r="J707" s="854"/>
      <c r="K707" s="854"/>
      <c r="L707" s="854"/>
      <c r="M707" s="854"/>
      <c r="N707" s="854"/>
      <c r="O707" s="854"/>
      <c r="P707" s="854"/>
      <c r="Q707" s="854"/>
      <c r="R707" s="854"/>
      <c r="S707" s="854"/>
      <c r="T707" s="854"/>
      <c r="U707" s="854"/>
      <c r="V707" s="854"/>
      <c r="W707" s="854"/>
      <c r="X707" s="854"/>
      <c r="Y707" s="854"/>
      <c r="Z707" s="854"/>
      <c r="AA707" s="854"/>
      <c r="AB707" s="854"/>
      <c r="AC707" s="854"/>
      <c r="AD707" s="854"/>
      <c r="AE707" s="854"/>
      <c r="AF707" s="854"/>
      <c r="AG707" s="854"/>
      <c r="AH707" s="854"/>
      <c r="AI707" s="854"/>
      <c r="AJ707" s="854"/>
      <c r="AK707" s="854"/>
      <c r="AL707" s="854"/>
      <c r="AM707" s="854"/>
      <c r="AN707" s="854"/>
      <c r="AO707" s="854"/>
      <c r="AP707" s="854"/>
      <c r="AQ707" s="854"/>
      <c r="AR707" s="854"/>
      <c r="AS707" s="854"/>
      <c r="AT707" s="854"/>
      <c r="AU707" s="854"/>
      <c r="AV707" s="854"/>
      <c r="AW707" s="854"/>
      <c r="AX707" s="854"/>
      <c r="AY707" s="854"/>
      <c r="AZ707" s="854"/>
      <c r="BA707" s="854"/>
      <c r="BB707" s="854"/>
      <c r="BC707" s="854"/>
      <c r="BD707" s="854"/>
      <c r="BE707" s="854"/>
      <c r="BF707" s="854"/>
      <c r="BG707" s="854"/>
      <c r="BH707" s="854"/>
      <c r="BI707" s="854"/>
      <c r="BJ707" s="854"/>
      <c r="BK707" s="854"/>
      <c r="BL707" s="854"/>
      <c r="BM707" s="854"/>
      <c r="BN707" s="854"/>
      <c r="BO707" s="854"/>
      <c r="BP707" s="854"/>
      <c r="BQ707" s="854"/>
      <c r="BR707" s="854"/>
      <c r="BS707" s="854"/>
      <c r="BT707" s="854"/>
      <c r="BU707" s="854"/>
      <c r="BV707" s="854"/>
      <c r="BW707" s="854"/>
      <c r="BX707" s="854"/>
      <c r="BY707" s="854"/>
      <c r="BZ707" s="854"/>
      <c r="CA707" s="571">
        <f>IF(OR(I707="",I707&lt;'Configs &amp; Procedures'!$L$29),0,IF(I707&gt;'Configs &amp; Procedures'!$L$30,1,IF(F707&gt;'Configs &amp; Procedures'!$L$31,0,1)))</f>
        <v>0</v>
      </c>
    </row>
    <row r="708" spans="2:79">
      <c r="B708" s="854"/>
      <c r="C708" s="854"/>
      <c r="D708" s="854"/>
      <c r="E708" s="854"/>
      <c r="F708" s="854"/>
      <c r="G708" s="854"/>
      <c r="H708" s="854"/>
      <c r="I708" s="854"/>
      <c r="J708" s="854"/>
      <c r="K708" s="854"/>
      <c r="L708" s="854"/>
      <c r="M708" s="854"/>
      <c r="N708" s="854"/>
      <c r="O708" s="854"/>
      <c r="P708" s="854"/>
      <c r="Q708" s="854"/>
      <c r="R708" s="854"/>
      <c r="S708" s="854"/>
      <c r="T708" s="854"/>
      <c r="U708" s="854"/>
      <c r="V708" s="854"/>
      <c r="W708" s="854"/>
      <c r="X708" s="854"/>
      <c r="Y708" s="854"/>
      <c r="Z708" s="854"/>
      <c r="AA708" s="854"/>
      <c r="AB708" s="854"/>
      <c r="AC708" s="854"/>
      <c r="AD708" s="854"/>
      <c r="AE708" s="854"/>
      <c r="AF708" s="854"/>
      <c r="AG708" s="854"/>
      <c r="AH708" s="854"/>
      <c r="AI708" s="854"/>
      <c r="AJ708" s="854"/>
      <c r="AK708" s="854"/>
      <c r="AL708" s="854"/>
      <c r="AM708" s="854"/>
      <c r="AN708" s="854"/>
      <c r="AO708" s="854"/>
      <c r="AP708" s="854"/>
      <c r="AQ708" s="854"/>
      <c r="AR708" s="854"/>
      <c r="AS708" s="854"/>
      <c r="AT708" s="854"/>
      <c r="AU708" s="854"/>
      <c r="AV708" s="854"/>
      <c r="AW708" s="854"/>
      <c r="AX708" s="854"/>
      <c r="AY708" s="854"/>
      <c r="AZ708" s="854"/>
      <c r="BA708" s="854"/>
      <c r="BB708" s="854"/>
      <c r="BC708" s="854"/>
      <c r="BD708" s="854"/>
      <c r="BE708" s="854"/>
      <c r="BF708" s="854"/>
      <c r="BG708" s="854"/>
      <c r="BH708" s="854"/>
      <c r="BI708" s="854"/>
      <c r="BJ708" s="854"/>
      <c r="BK708" s="854"/>
      <c r="BL708" s="854"/>
      <c r="BM708" s="854"/>
      <c r="BN708" s="854"/>
      <c r="BO708" s="854"/>
      <c r="BP708" s="854"/>
      <c r="BQ708" s="854"/>
      <c r="BR708" s="854"/>
      <c r="BS708" s="854"/>
      <c r="BT708" s="854"/>
      <c r="BU708" s="854"/>
      <c r="BV708" s="854"/>
      <c r="BW708" s="854"/>
      <c r="BX708" s="854"/>
      <c r="BY708" s="854"/>
      <c r="BZ708" s="854"/>
      <c r="CA708" s="571">
        <f>IF(OR(I708="",I708&lt;'Configs &amp; Procedures'!$L$29),0,IF(I708&gt;'Configs &amp; Procedures'!$L$30,1,IF(F708&gt;'Configs &amp; Procedures'!$L$31,0,1)))</f>
        <v>0</v>
      </c>
    </row>
    <row r="709" spans="2:79">
      <c r="B709" s="854"/>
      <c r="C709" s="854"/>
      <c r="D709" s="854"/>
      <c r="E709" s="854"/>
      <c r="F709" s="854"/>
      <c r="G709" s="854"/>
      <c r="H709" s="854"/>
      <c r="I709" s="854"/>
      <c r="J709" s="854"/>
      <c r="K709" s="854"/>
      <c r="L709" s="854"/>
      <c r="M709" s="854"/>
      <c r="N709" s="854"/>
      <c r="O709" s="854"/>
      <c r="P709" s="854"/>
      <c r="Q709" s="854"/>
      <c r="R709" s="854"/>
      <c r="S709" s="854"/>
      <c r="T709" s="854"/>
      <c r="U709" s="854"/>
      <c r="V709" s="854"/>
      <c r="W709" s="854"/>
      <c r="X709" s="854"/>
      <c r="Y709" s="854"/>
      <c r="Z709" s="854"/>
      <c r="AA709" s="854"/>
      <c r="AB709" s="854"/>
      <c r="AC709" s="854"/>
      <c r="AD709" s="854"/>
      <c r="AE709" s="854"/>
      <c r="AF709" s="854"/>
      <c r="AG709" s="854"/>
      <c r="AH709" s="854"/>
      <c r="AI709" s="854"/>
      <c r="AJ709" s="854"/>
      <c r="AK709" s="854"/>
      <c r="AL709" s="854"/>
      <c r="AM709" s="854"/>
      <c r="AN709" s="854"/>
      <c r="AO709" s="854"/>
      <c r="AP709" s="854"/>
      <c r="AQ709" s="854"/>
      <c r="AR709" s="854"/>
      <c r="AS709" s="854"/>
      <c r="AT709" s="854"/>
      <c r="AU709" s="854"/>
      <c r="AV709" s="854"/>
      <c r="AW709" s="854"/>
      <c r="AX709" s="854"/>
      <c r="AY709" s="854"/>
      <c r="AZ709" s="854"/>
      <c r="BA709" s="854"/>
      <c r="BB709" s="854"/>
      <c r="BC709" s="854"/>
      <c r="BD709" s="854"/>
      <c r="BE709" s="854"/>
      <c r="BF709" s="854"/>
      <c r="BG709" s="854"/>
      <c r="BH709" s="854"/>
      <c r="BI709" s="854"/>
      <c r="BJ709" s="854"/>
      <c r="BK709" s="854"/>
      <c r="BL709" s="854"/>
      <c r="BM709" s="854"/>
      <c r="BN709" s="854"/>
      <c r="BO709" s="854"/>
      <c r="BP709" s="854"/>
      <c r="BQ709" s="854"/>
      <c r="BR709" s="854"/>
      <c r="BS709" s="854"/>
      <c r="BT709" s="854"/>
      <c r="BU709" s="854"/>
      <c r="BV709" s="854"/>
      <c r="BW709" s="854"/>
      <c r="BX709" s="854"/>
      <c r="BY709" s="854"/>
      <c r="BZ709" s="854"/>
      <c r="CA709" s="571">
        <f>IF(OR(I709="",I709&lt;'Configs &amp; Procedures'!$L$29),0,IF(I709&gt;'Configs &amp; Procedures'!$L$30,1,IF(F709&gt;'Configs &amp; Procedures'!$L$31,0,1)))</f>
        <v>0</v>
      </c>
    </row>
    <row r="710" spans="2:79">
      <c r="B710" s="854"/>
      <c r="C710" s="854"/>
      <c r="D710" s="854"/>
      <c r="E710" s="854"/>
      <c r="F710" s="854"/>
      <c r="G710" s="854"/>
      <c r="H710" s="854"/>
      <c r="I710" s="854"/>
      <c r="J710" s="854"/>
      <c r="K710" s="854"/>
      <c r="L710" s="854"/>
      <c r="M710" s="854"/>
      <c r="N710" s="854"/>
      <c r="O710" s="854"/>
      <c r="P710" s="854"/>
      <c r="Q710" s="854"/>
      <c r="R710" s="854"/>
      <c r="S710" s="854"/>
      <c r="T710" s="854"/>
      <c r="U710" s="854"/>
      <c r="V710" s="854"/>
      <c r="W710" s="854"/>
      <c r="X710" s="854"/>
      <c r="Y710" s="854"/>
      <c r="Z710" s="854"/>
      <c r="AA710" s="854"/>
      <c r="AB710" s="854"/>
      <c r="AC710" s="854"/>
      <c r="AD710" s="854"/>
      <c r="AE710" s="854"/>
      <c r="AF710" s="854"/>
      <c r="AG710" s="854"/>
      <c r="AH710" s="854"/>
      <c r="AI710" s="854"/>
      <c r="AJ710" s="854"/>
      <c r="AK710" s="854"/>
      <c r="AL710" s="854"/>
      <c r="AM710" s="854"/>
      <c r="AN710" s="854"/>
      <c r="AO710" s="854"/>
      <c r="AP710" s="854"/>
      <c r="AQ710" s="854"/>
      <c r="AR710" s="854"/>
      <c r="AS710" s="854"/>
      <c r="AT710" s="854"/>
      <c r="AU710" s="854"/>
      <c r="AV710" s="854"/>
      <c r="AW710" s="854"/>
      <c r="AX710" s="854"/>
      <c r="AY710" s="854"/>
      <c r="AZ710" s="854"/>
      <c r="BA710" s="854"/>
      <c r="BB710" s="854"/>
      <c r="BC710" s="854"/>
      <c r="BD710" s="854"/>
      <c r="BE710" s="854"/>
      <c r="BF710" s="854"/>
      <c r="BG710" s="854"/>
      <c r="BH710" s="854"/>
      <c r="BI710" s="854"/>
      <c r="BJ710" s="854"/>
      <c r="BK710" s="854"/>
      <c r="BL710" s="854"/>
      <c r="BM710" s="854"/>
      <c r="BN710" s="854"/>
      <c r="BO710" s="854"/>
      <c r="BP710" s="854"/>
      <c r="BQ710" s="854"/>
      <c r="BR710" s="854"/>
      <c r="BS710" s="854"/>
      <c r="BT710" s="854"/>
      <c r="BU710" s="854"/>
      <c r="BV710" s="854"/>
      <c r="BW710" s="854"/>
      <c r="BX710" s="854"/>
      <c r="BY710" s="854"/>
      <c r="BZ710" s="854"/>
      <c r="CA710" s="571">
        <f>IF(OR(I710="",I710&lt;'Configs &amp; Procedures'!$L$29),0,IF(I710&gt;'Configs &amp; Procedures'!$L$30,1,IF(F710&gt;'Configs &amp; Procedures'!$L$31,0,1)))</f>
        <v>0</v>
      </c>
    </row>
    <row r="711" spans="2:79">
      <c r="B711" s="854"/>
      <c r="C711" s="854"/>
      <c r="D711" s="854"/>
      <c r="E711" s="854"/>
      <c r="F711" s="854"/>
      <c r="G711" s="854"/>
      <c r="H711" s="854"/>
      <c r="I711" s="854"/>
      <c r="J711" s="854"/>
      <c r="K711" s="854"/>
      <c r="L711" s="854"/>
      <c r="M711" s="854"/>
      <c r="N711" s="854"/>
      <c r="O711" s="854"/>
      <c r="P711" s="854"/>
      <c r="Q711" s="854"/>
      <c r="R711" s="854"/>
      <c r="S711" s="854"/>
      <c r="T711" s="854"/>
      <c r="U711" s="854"/>
      <c r="V711" s="854"/>
      <c r="W711" s="854"/>
      <c r="X711" s="854"/>
      <c r="Y711" s="854"/>
      <c r="Z711" s="854"/>
      <c r="AA711" s="854"/>
      <c r="AB711" s="854"/>
      <c r="AC711" s="854"/>
      <c r="AD711" s="854"/>
      <c r="AE711" s="854"/>
      <c r="AF711" s="854"/>
      <c r="AG711" s="854"/>
      <c r="AH711" s="854"/>
      <c r="AI711" s="854"/>
      <c r="AJ711" s="854"/>
      <c r="AK711" s="854"/>
      <c r="AL711" s="854"/>
      <c r="AM711" s="854"/>
      <c r="AN711" s="854"/>
      <c r="AO711" s="854"/>
      <c r="AP711" s="854"/>
      <c r="AQ711" s="854"/>
      <c r="AR711" s="854"/>
      <c r="AS711" s="854"/>
      <c r="AT711" s="854"/>
      <c r="AU711" s="854"/>
      <c r="AV711" s="854"/>
      <c r="AW711" s="854"/>
      <c r="AX711" s="854"/>
      <c r="AY711" s="854"/>
      <c r="AZ711" s="854"/>
      <c r="BA711" s="854"/>
      <c r="BB711" s="854"/>
      <c r="BC711" s="854"/>
      <c r="BD711" s="854"/>
      <c r="BE711" s="854"/>
      <c r="BF711" s="854"/>
      <c r="BG711" s="854"/>
      <c r="BH711" s="854"/>
      <c r="BI711" s="854"/>
      <c r="BJ711" s="854"/>
      <c r="BK711" s="854"/>
      <c r="BL711" s="854"/>
      <c r="BM711" s="854"/>
      <c r="BN711" s="854"/>
      <c r="BO711" s="854"/>
      <c r="BP711" s="854"/>
      <c r="BQ711" s="854"/>
      <c r="BR711" s="854"/>
      <c r="BS711" s="854"/>
      <c r="BT711" s="854"/>
      <c r="BU711" s="854"/>
      <c r="BV711" s="854"/>
      <c r="BW711" s="854"/>
      <c r="BX711" s="854"/>
      <c r="BY711" s="854"/>
      <c r="BZ711" s="854"/>
      <c r="CA711" s="571">
        <f>IF(OR(I711="",I711&lt;'Configs &amp; Procedures'!$L$29),0,IF(I711&gt;'Configs &amp; Procedures'!$L$30,1,IF(F711&gt;'Configs &amp; Procedures'!$L$31,0,1)))</f>
        <v>0</v>
      </c>
    </row>
    <row r="712" spans="2:79">
      <c r="B712" s="854"/>
      <c r="C712" s="854"/>
      <c r="D712" s="854"/>
      <c r="E712" s="854"/>
      <c r="F712" s="854"/>
      <c r="G712" s="854"/>
      <c r="H712" s="854"/>
      <c r="I712" s="854"/>
      <c r="J712" s="854"/>
      <c r="K712" s="854"/>
      <c r="L712" s="854"/>
      <c r="M712" s="854"/>
      <c r="N712" s="854"/>
      <c r="O712" s="854"/>
      <c r="P712" s="854"/>
      <c r="Q712" s="854"/>
      <c r="R712" s="854"/>
      <c r="S712" s="854"/>
      <c r="T712" s="854"/>
      <c r="U712" s="854"/>
      <c r="V712" s="854"/>
      <c r="W712" s="854"/>
      <c r="X712" s="854"/>
      <c r="Y712" s="854"/>
      <c r="Z712" s="854"/>
      <c r="AA712" s="854"/>
      <c r="AB712" s="854"/>
      <c r="AC712" s="854"/>
      <c r="AD712" s="854"/>
      <c r="AE712" s="854"/>
      <c r="AF712" s="854"/>
      <c r="AG712" s="854"/>
      <c r="AH712" s="854"/>
      <c r="AI712" s="854"/>
      <c r="AJ712" s="854"/>
      <c r="AK712" s="854"/>
      <c r="AL712" s="854"/>
      <c r="AM712" s="854"/>
      <c r="AN712" s="854"/>
      <c r="AO712" s="854"/>
      <c r="AP712" s="854"/>
      <c r="AQ712" s="854"/>
      <c r="AR712" s="854"/>
      <c r="AS712" s="854"/>
      <c r="AT712" s="854"/>
      <c r="AU712" s="854"/>
      <c r="AV712" s="854"/>
      <c r="AW712" s="854"/>
      <c r="AX712" s="854"/>
      <c r="AY712" s="854"/>
      <c r="AZ712" s="854"/>
      <c r="BA712" s="854"/>
      <c r="BB712" s="854"/>
      <c r="BC712" s="854"/>
      <c r="BD712" s="854"/>
      <c r="BE712" s="854"/>
      <c r="BF712" s="854"/>
      <c r="BG712" s="854"/>
      <c r="BH712" s="854"/>
      <c r="BI712" s="854"/>
      <c r="BJ712" s="854"/>
      <c r="BK712" s="854"/>
      <c r="BL712" s="854"/>
      <c r="BM712" s="854"/>
      <c r="BN712" s="854"/>
      <c r="BO712" s="854"/>
      <c r="BP712" s="854"/>
      <c r="BQ712" s="854"/>
      <c r="BR712" s="854"/>
      <c r="BS712" s="854"/>
      <c r="BT712" s="854"/>
      <c r="BU712" s="854"/>
      <c r="BV712" s="854"/>
      <c r="BW712" s="854"/>
      <c r="BX712" s="854"/>
      <c r="BY712" s="854"/>
      <c r="BZ712" s="854"/>
      <c r="CA712" s="571">
        <f>IF(OR(I712="",I712&lt;'Configs &amp; Procedures'!$L$29),0,IF(I712&gt;'Configs &amp; Procedures'!$L$30,1,IF(F712&gt;'Configs &amp; Procedures'!$L$31,0,1)))</f>
        <v>0</v>
      </c>
    </row>
    <row r="713" spans="2:79">
      <c r="B713" s="854"/>
      <c r="C713" s="854"/>
      <c r="D713" s="854"/>
      <c r="E713" s="854"/>
      <c r="F713" s="854"/>
      <c r="G713" s="854"/>
      <c r="H713" s="854"/>
      <c r="I713" s="854"/>
      <c r="J713" s="854"/>
      <c r="K713" s="854"/>
      <c r="L713" s="854"/>
      <c r="M713" s="854"/>
      <c r="N713" s="854"/>
      <c r="O713" s="854"/>
      <c r="P713" s="854"/>
      <c r="Q713" s="854"/>
      <c r="R713" s="854"/>
      <c r="S713" s="854"/>
      <c r="T713" s="854"/>
      <c r="U713" s="854"/>
      <c r="V713" s="854"/>
      <c r="W713" s="854"/>
      <c r="X713" s="854"/>
      <c r="Y713" s="854"/>
      <c r="Z713" s="854"/>
      <c r="AA713" s="854"/>
      <c r="AB713" s="854"/>
      <c r="AC713" s="854"/>
      <c r="AD713" s="854"/>
      <c r="AE713" s="854"/>
      <c r="AF713" s="854"/>
      <c r="AG713" s="854"/>
      <c r="AH713" s="854"/>
      <c r="AI713" s="854"/>
      <c r="AJ713" s="854"/>
      <c r="AK713" s="854"/>
      <c r="AL713" s="854"/>
      <c r="AM713" s="854"/>
      <c r="AN713" s="854"/>
      <c r="AO713" s="854"/>
      <c r="AP713" s="854"/>
      <c r="AQ713" s="854"/>
      <c r="AR713" s="854"/>
      <c r="AS713" s="854"/>
      <c r="AT713" s="854"/>
      <c r="AU713" s="854"/>
      <c r="AV713" s="854"/>
      <c r="AW713" s="854"/>
      <c r="AX713" s="854"/>
      <c r="AY713" s="854"/>
      <c r="AZ713" s="854"/>
      <c r="BA713" s="854"/>
      <c r="BB713" s="854"/>
      <c r="BC713" s="854"/>
      <c r="BD713" s="854"/>
      <c r="BE713" s="854"/>
      <c r="BF713" s="854"/>
      <c r="BG713" s="854"/>
      <c r="BH713" s="854"/>
      <c r="BI713" s="854"/>
      <c r="BJ713" s="854"/>
      <c r="BK713" s="854"/>
      <c r="BL713" s="854"/>
      <c r="BM713" s="854"/>
      <c r="BN713" s="854"/>
      <c r="BO713" s="854"/>
      <c r="BP713" s="854"/>
      <c r="BQ713" s="854"/>
      <c r="BR713" s="854"/>
      <c r="BS713" s="854"/>
      <c r="BT713" s="854"/>
      <c r="BU713" s="854"/>
      <c r="BV713" s="854"/>
      <c r="BW713" s="854"/>
      <c r="BX713" s="854"/>
      <c r="BY713" s="854"/>
      <c r="BZ713" s="854"/>
      <c r="CA713" s="571">
        <f>IF(OR(I713="",I713&lt;'Configs &amp; Procedures'!$L$29),0,IF(I713&gt;'Configs &amp; Procedures'!$L$30,1,IF(F713&gt;'Configs &amp; Procedures'!$L$31,0,1)))</f>
        <v>0</v>
      </c>
    </row>
    <row r="714" spans="2:79">
      <c r="B714" s="854"/>
      <c r="C714" s="854"/>
      <c r="D714" s="854"/>
      <c r="E714" s="854"/>
      <c r="F714" s="854"/>
      <c r="G714" s="854"/>
      <c r="H714" s="854"/>
      <c r="I714" s="854"/>
      <c r="J714" s="854"/>
      <c r="K714" s="854"/>
      <c r="L714" s="854"/>
      <c r="M714" s="854"/>
      <c r="N714" s="854"/>
      <c r="O714" s="854"/>
      <c r="P714" s="854"/>
      <c r="Q714" s="854"/>
      <c r="R714" s="854"/>
      <c r="S714" s="854"/>
      <c r="T714" s="854"/>
      <c r="U714" s="854"/>
      <c r="V714" s="854"/>
      <c r="W714" s="854"/>
      <c r="X714" s="854"/>
      <c r="Y714" s="854"/>
      <c r="Z714" s="854"/>
      <c r="AA714" s="854"/>
      <c r="AB714" s="854"/>
      <c r="AC714" s="854"/>
      <c r="AD714" s="854"/>
      <c r="AE714" s="854"/>
      <c r="AF714" s="854"/>
      <c r="AG714" s="854"/>
      <c r="AH714" s="854"/>
      <c r="AI714" s="854"/>
      <c r="AJ714" s="854"/>
      <c r="AK714" s="854"/>
      <c r="AL714" s="854"/>
      <c r="AM714" s="854"/>
      <c r="AN714" s="854"/>
      <c r="AO714" s="854"/>
      <c r="AP714" s="854"/>
      <c r="AQ714" s="854"/>
      <c r="AR714" s="854"/>
      <c r="AS714" s="854"/>
      <c r="AT714" s="854"/>
      <c r="AU714" s="854"/>
      <c r="AV714" s="854"/>
      <c r="AW714" s="854"/>
      <c r="AX714" s="854"/>
      <c r="AY714" s="854"/>
      <c r="AZ714" s="854"/>
      <c r="BA714" s="854"/>
      <c r="BB714" s="854"/>
      <c r="BC714" s="854"/>
      <c r="BD714" s="854"/>
      <c r="BE714" s="854"/>
      <c r="BF714" s="854"/>
      <c r="BG714" s="854"/>
      <c r="BH714" s="854"/>
      <c r="BI714" s="854"/>
      <c r="BJ714" s="854"/>
      <c r="BK714" s="854"/>
      <c r="BL714" s="854"/>
      <c r="BM714" s="854"/>
      <c r="BN714" s="854"/>
      <c r="BO714" s="854"/>
      <c r="BP714" s="854"/>
      <c r="BQ714" s="854"/>
      <c r="BR714" s="854"/>
      <c r="BS714" s="854"/>
      <c r="BT714" s="854"/>
      <c r="BU714" s="854"/>
      <c r="BV714" s="854"/>
      <c r="BW714" s="854"/>
      <c r="BX714" s="854"/>
      <c r="BY714" s="854"/>
      <c r="BZ714" s="854"/>
      <c r="CA714" s="571">
        <f>IF(OR(I714="",I714&lt;'Configs &amp; Procedures'!$L$29),0,IF(I714&gt;'Configs &amp; Procedures'!$L$30,1,IF(F714&gt;'Configs &amp; Procedures'!$L$31,0,1)))</f>
        <v>0</v>
      </c>
    </row>
    <row r="715" spans="2:79">
      <c r="B715" s="854"/>
      <c r="C715" s="854"/>
      <c r="D715" s="854"/>
      <c r="E715" s="854"/>
      <c r="F715" s="854"/>
      <c r="G715" s="854"/>
      <c r="H715" s="854"/>
      <c r="I715" s="854"/>
      <c r="J715" s="854"/>
      <c r="K715" s="854"/>
      <c r="L715" s="854"/>
      <c r="M715" s="854"/>
      <c r="N715" s="854"/>
      <c r="O715" s="854"/>
      <c r="P715" s="854"/>
      <c r="Q715" s="854"/>
      <c r="R715" s="854"/>
      <c r="S715" s="854"/>
      <c r="T715" s="854"/>
      <c r="U715" s="854"/>
      <c r="V715" s="854"/>
      <c r="W715" s="854"/>
      <c r="X715" s="854"/>
      <c r="Y715" s="854"/>
      <c r="Z715" s="854"/>
      <c r="AA715" s="854"/>
      <c r="AB715" s="854"/>
      <c r="AC715" s="854"/>
      <c r="AD715" s="854"/>
      <c r="AE715" s="854"/>
      <c r="AF715" s="854"/>
      <c r="AG715" s="854"/>
      <c r="AH715" s="854"/>
      <c r="AI715" s="854"/>
      <c r="AJ715" s="854"/>
      <c r="AK715" s="854"/>
      <c r="AL715" s="854"/>
      <c r="AM715" s="854"/>
      <c r="AN715" s="854"/>
      <c r="AO715" s="854"/>
      <c r="AP715" s="854"/>
      <c r="AQ715" s="854"/>
      <c r="AR715" s="854"/>
      <c r="AS715" s="854"/>
      <c r="AT715" s="854"/>
      <c r="AU715" s="854"/>
      <c r="AV715" s="854"/>
      <c r="AW715" s="854"/>
      <c r="AX715" s="854"/>
      <c r="AY715" s="854"/>
      <c r="AZ715" s="854"/>
      <c r="BA715" s="854"/>
      <c r="BB715" s="854"/>
      <c r="BC715" s="854"/>
      <c r="BD715" s="854"/>
      <c r="BE715" s="854"/>
      <c r="BF715" s="854"/>
      <c r="BG715" s="854"/>
      <c r="BH715" s="854"/>
      <c r="BI715" s="854"/>
      <c r="BJ715" s="854"/>
      <c r="BK715" s="854"/>
      <c r="BL715" s="854"/>
      <c r="BM715" s="854"/>
      <c r="BN715" s="854"/>
      <c r="BO715" s="854"/>
      <c r="BP715" s="854"/>
      <c r="BQ715" s="854"/>
      <c r="BR715" s="854"/>
      <c r="BS715" s="854"/>
      <c r="BT715" s="854"/>
      <c r="BU715" s="854"/>
      <c r="BV715" s="854"/>
      <c r="BW715" s="854"/>
      <c r="BX715" s="854"/>
      <c r="BY715" s="854"/>
      <c r="BZ715" s="854"/>
      <c r="CA715" s="571">
        <f>IF(OR(I715="",I715&lt;'Configs &amp; Procedures'!$L$29),0,IF(I715&gt;'Configs &amp; Procedures'!$L$30,1,IF(F715&gt;'Configs &amp; Procedures'!$L$31,0,1)))</f>
        <v>0</v>
      </c>
    </row>
    <row r="716" spans="2:79">
      <c r="B716" s="854"/>
      <c r="C716" s="854"/>
      <c r="D716" s="854"/>
      <c r="E716" s="854"/>
      <c r="F716" s="854"/>
      <c r="G716" s="854"/>
      <c r="H716" s="854"/>
      <c r="I716" s="854"/>
      <c r="J716" s="854"/>
      <c r="K716" s="854"/>
      <c r="L716" s="854"/>
      <c r="M716" s="854"/>
      <c r="N716" s="854"/>
      <c r="O716" s="854"/>
      <c r="P716" s="854"/>
      <c r="Q716" s="854"/>
      <c r="R716" s="854"/>
      <c r="S716" s="854"/>
      <c r="T716" s="854"/>
      <c r="U716" s="854"/>
      <c r="V716" s="854"/>
      <c r="W716" s="854"/>
      <c r="X716" s="854"/>
      <c r="Y716" s="854"/>
      <c r="Z716" s="854"/>
      <c r="AA716" s="854"/>
      <c r="AB716" s="854"/>
      <c r="AC716" s="854"/>
      <c r="AD716" s="854"/>
      <c r="AE716" s="854"/>
      <c r="AF716" s="854"/>
      <c r="AG716" s="854"/>
      <c r="AH716" s="854"/>
      <c r="AI716" s="854"/>
      <c r="AJ716" s="854"/>
      <c r="AK716" s="854"/>
      <c r="AL716" s="854"/>
      <c r="AM716" s="854"/>
      <c r="AN716" s="854"/>
      <c r="AO716" s="854"/>
      <c r="AP716" s="854"/>
      <c r="AQ716" s="854"/>
      <c r="AR716" s="854"/>
      <c r="AS716" s="854"/>
      <c r="AT716" s="854"/>
      <c r="AU716" s="854"/>
      <c r="AV716" s="854"/>
      <c r="AW716" s="854"/>
      <c r="AX716" s="854"/>
      <c r="AY716" s="854"/>
      <c r="AZ716" s="854"/>
      <c r="BA716" s="854"/>
      <c r="BB716" s="854"/>
      <c r="BC716" s="854"/>
      <c r="BD716" s="854"/>
      <c r="BE716" s="854"/>
      <c r="BF716" s="854"/>
      <c r="BG716" s="854"/>
      <c r="BH716" s="854"/>
      <c r="BI716" s="854"/>
      <c r="BJ716" s="854"/>
      <c r="BK716" s="854"/>
      <c r="BL716" s="854"/>
      <c r="BM716" s="854"/>
      <c r="BN716" s="854"/>
      <c r="BO716" s="854"/>
      <c r="BP716" s="854"/>
      <c r="BQ716" s="854"/>
      <c r="BR716" s="854"/>
      <c r="BS716" s="854"/>
      <c r="BT716" s="854"/>
      <c r="BU716" s="854"/>
      <c r="BV716" s="854"/>
      <c r="BW716" s="854"/>
      <c r="BX716" s="854"/>
      <c r="BY716" s="854"/>
      <c r="BZ716" s="854"/>
      <c r="CA716" s="571">
        <f>IF(OR(I716="",I716&lt;'Configs &amp; Procedures'!$L$29),0,IF(I716&gt;'Configs &amp; Procedures'!$L$30,1,IF(F716&gt;'Configs &amp; Procedures'!$L$31,0,1)))</f>
        <v>0</v>
      </c>
    </row>
    <row r="717" spans="2:79">
      <c r="B717" s="854"/>
      <c r="C717" s="854"/>
      <c r="D717" s="854"/>
      <c r="E717" s="854"/>
      <c r="F717" s="854"/>
      <c r="G717" s="854"/>
      <c r="H717" s="854"/>
      <c r="I717" s="854"/>
      <c r="J717" s="854"/>
      <c r="K717" s="854"/>
      <c r="L717" s="854"/>
      <c r="M717" s="854"/>
      <c r="N717" s="854"/>
      <c r="O717" s="854"/>
      <c r="P717" s="854"/>
      <c r="Q717" s="854"/>
      <c r="R717" s="854"/>
      <c r="S717" s="854"/>
      <c r="T717" s="854"/>
      <c r="U717" s="854"/>
      <c r="V717" s="854"/>
      <c r="W717" s="854"/>
      <c r="X717" s="854"/>
      <c r="Y717" s="854"/>
      <c r="Z717" s="854"/>
      <c r="AA717" s="854"/>
      <c r="AB717" s="854"/>
      <c r="AC717" s="854"/>
      <c r="AD717" s="854"/>
      <c r="AE717" s="854"/>
      <c r="AF717" s="854"/>
      <c r="AG717" s="854"/>
      <c r="AH717" s="854"/>
      <c r="AI717" s="854"/>
      <c r="AJ717" s="854"/>
      <c r="AK717" s="854"/>
      <c r="AL717" s="854"/>
      <c r="AM717" s="854"/>
      <c r="AN717" s="854"/>
      <c r="AO717" s="854"/>
      <c r="AP717" s="854"/>
      <c r="AQ717" s="854"/>
      <c r="AR717" s="854"/>
      <c r="AS717" s="854"/>
      <c r="AT717" s="854"/>
      <c r="AU717" s="854"/>
      <c r="AV717" s="854"/>
      <c r="AW717" s="854"/>
      <c r="AX717" s="854"/>
      <c r="AY717" s="854"/>
      <c r="AZ717" s="854"/>
      <c r="BA717" s="854"/>
      <c r="BB717" s="854"/>
      <c r="BC717" s="854"/>
      <c r="BD717" s="854"/>
      <c r="BE717" s="854"/>
      <c r="BF717" s="854"/>
      <c r="BG717" s="854"/>
      <c r="BH717" s="854"/>
      <c r="BI717" s="854"/>
      <c r="BJ717" s="854"/>
      <c r="BK717" s="854"/>
      <c r="BL717" s="854"/>
      <c r="BM717" s="854"/>
      <c r="BN717" s="854"/>
      <c r="BO717" s="854"/>
      <c r="BP717" s="854"/>
      <c r="BQ717" s="854"/>
      <c r="BR717" s="854"/>
      <c r="BS717" s="854"/>
      <c r="BT717" s="854"/>
      <c r="BU717" s="854"/>
      <c r="BV717" s="854"/>
      <c r="BW717" s="854"/>
      <c r="BX717" s="854"/>
      <c r="BY717" s="854"/>
      <c r="BZ717" s="854"/>
      <c r="CA717" s="571">
        <f>IF(OR(I717="",I717&lt;'Configs &amp; Procedures'!$L$29),0,IF(I717&gt;'Configs &amp; Procedures'!$L$30,1,IF(F717&gt;'Configs &amp; Procedures'!$L$31,0,1)))</f>
        <v>0</v>
      </c>
    </row>
    <row r="718" spans="2:79">
      <c r="B718" s="854"/>
      <c r="C718" s="854"/>
      <c r="D718" s="854"/>
      <c r="E718" s="854"/>
      <c r="F718" s="854"/>
      <c r="G718" s="854"/>
      <c r="H718" s="854"/>
      <c r="I718" s="854"/>
      <c r="J718" s="854"/>
      <c r="K718" s="854"/>
      <c r="L718" s="854"/>
      <c r="M718" s="854"/>
      <c r="N718" s="854"/>
      <c r="O718" s="854"/>
      <c r="P718" s="854"/>
      <c r="Q718" s="854"/>
      <c r="R718" s="854"/>
      <c r="S718" s="854"/>
      <c r="T718" s="854"/>
      <c r="U718" s="854"/>
      <c r="V718" s="854"/>
      <c r="W718" s="854"/>
      <c r="X718" s="854"/>
      <c r="Y718" s="854"/>
      <c r="Z718" s="854"/>
      <c r="AA718" s="854"/>
      <c r="AB718" s="854"/>
      <c r="AC718" s="854"/>
      <c r="AD718" s="854"/>
      <c r="AE718" s="854"/>
      <c r="AF718" s="854"/>
      <c r="AG718" s="854"/>
      <c r="AH718" s="854"/>
      <c r="AI718" s="854"/>
      <c r="AJ718" s="854"/>
      <c r="AK718" s="854"/>
      <c r="AL718" s="854"/>
      <c r="AM718" s="854"/>
      <c r="AN718" s="854"/>
      <c r="AO718" s="854"/>
      <c r="AP718" s="854"/>
      <c r="AQ718" s="854"/>
      <c r="AR718" s="854"/>
      <c r="AS718" s="854"/>
      <c r="AT718" s="854"/>
      <c r="AU718" s="854"/>
      <c r="AV718" s="854"/>
      <c r="AW718" s="854"/>
      <c r="AX718" s="854"/>
      <c r="AY718" s="854"/>
      <c r="AZ718" s="854"/>
      <c r="BA718" s="854"/>
      <c r="BB718" s="854"/>
      <c r="BC718" s="854"/>
      <c r="BD718" s="854"/>
      <c r="BE718" s="854"/>
      <c r="BF718" s="854"/>
      <c r="BG718" s="854"/>
      <c r="BH718" s="854"/>
      <c r="BI718" s="854"/>
      <c r="BJ718" s="854"/>
      <c r="BK718" s="854"/>
      <c r="BL718" s="854"/>
      <c r="BM718" s="854"/>
      <c r="BN718" s="854"/>
      <c r="BO718" s="854"/>
      <c r="BP718" s="854"/>
      <c r="BQ718" s="854"/>
      <c r="BR718" s="854"/>
      <c r="BS718" s="854"/>
      <c r="BT718" s="854"/>
      <c r="BU718" s="854"/>
      <c r="BV718" s="854"/>
      <c r="BW718" s="854"/>
      <c r="BX718" s="854"/>
      <c r="BY718" s="854"/>
      <c r="BZ718" s="854"/>
      <c r="CA718" s="571">
        <f>IF(OR(I718="",I718&lt;'Configs &amp; Procedures'!$L$29),0,IF(I718&gt;'Configs &amp; Procedures'!$L$30,1,IF(F718&gt;'Configs &amp; Procedures'!$L$31,0,1)))</f>
        <v>0</v>
      </c>
    </row>
    <row r="719" spans="2:79">
      <c r="B719" s="854"/>
      <c r="C719" s="854"/>
      <c r="D719" s="854"/>
      <c r="E719" s="854"/>
      <c r="F719" s="854"/>
      <c r="G719" s="854"/>
      <c r="H719" s="854"/>
      <c r="I719" s="854"/>
      <c r="J719" s="854"/>
      <c r="K719" s="854"/>
      <c r="L719" s="854"/>
      <c r="M719" s="854"/>
      <c r="N719" s="854"/>
      <c r="O719" s="854"/>
      <c r="P719" s="854"/>
      <c r="Q719" s="854"/>
      <c r="R719" s="854"/>
      <c r="S719" s="854"/>
      <c r="T719" s="854"/>
      <c r="U719" s="854"/>
      <c r="V719" s="854"/>
      <c r="W719" s="854"/>
      <c r="X719" s="854"/>
      <c r="Y719" s="854"/>
      <c r="Z719" s="854"/>
      <c r="AA719" s="854"/>
      <c r="AB719" s="854"/>
      <c r="AC719" s="854"/>
      <c r="AD719" s="854"/>
      <c r="AE719" s="854"/>
      <c r="AF719" s="854"/>
      <c r="AG719" s="854"/>
      <c r="AH719" s="854"/>
      <c r="AI719" s="854"/>
      <c r="AJ719" s="854"/>
      <c r="AK719" s="854"/>
      <c r="AL719" s="854"/>
      <c r="AM719" s="854"/>
      <c r="AN719" s="854"/>
      <c r="AO719" s="854"/>
      <c r="AP719" s="854"/>
      <c r="AQ719" s="854"/>
      <c r="AR719" s="854"/>
      <c r="AS719" s="854"/>
      <c r="AT719" s="854"/>
      <c r="AU719" s="854"/>
      <c r="AV719" s="854"/>
      <c r="AW719" s="854"/>
      <c r="AX719" s="854"/>
      <c r="AY719" s="854"/>
      <c r="AZ719" s="854"/>
      <c r="BA719" s="854"/>
      <c r="BB719" s="854"/>
      <c r="BC719" s="854"/>
      <c r="BD719" s="854"/>
      <c r="BE719" s="854"/>
      <c r="BF719" s="854"/>
      <c r="BG719" s="854"/>
      <c r="BH719" s="854"/>
      <c r="BI719" s="854"/>
      <c r="BJ719" s="854"/>
      <c r="BK719" s="854"/>
      <c r="BL719" s="854"/>
      <c r="BM719" s="854"/>
      <c r="BN719" s="854"/>
      <c r="BO719" s="854"/>
      <c r="BP719" s="854"/>
      <c r="BQ719" s="854"/>
      <c r="BR719" s="854"/>
      <c r="BS719" s="854"/>
      <c r="BT719" s="854"/>
      <c r="BU719" s="854"/>
      <c r="BV719" s="854"/>
      <c r="BW719" s="854"/>
      <c r="BX719" s="854"/>
      <c r="BY719" s="854"/>
      <c r="BZ719" s="854"/>
      <c r="CA719" s="571">
        <f>IF(OR(I719="",I719&lt;'Configs &amp; Procedures'!$L$29),0,IF(I719&gt;'Configs &amp; Procedures'!$L$30,1,IF(F719&gt;'Configs &amp; Procedures'!$L$31,0,1)))</f>
        <v>0</v>
      </c>
    </row>
    <row r="720" spans="2:79">
      <c r="B720" s="854"/>
      <c r="C720" s="854"/>
      <c r="D720" s="854"/>
      <c r="E720" s="854"/>
      <c r="F720" s="854"/>
      <c r="G720" s="854"/>
      <c r="H720" s="854"/>
      <c r="I720" s="854"/>
      <c r="J720" s="854"/>
      <c r="K720" s="854"/>
      <c r="L720" s="854"/>
      <c r="M720" s="854"/>
      <c r="N720" s="854"/>
      <c r="O720" s="854"/>
      <c r="P720" s="854"/>
      <c r="Q720" s="854"/>
      <c r="R720" s="854"/>
      <c r="S720" s="854"/>
      <c r="T720" s="854"/>
      <c r="U720" s="854"/>
      <c r="V720" s="854"/>
      <c r="W720" s="854"/>
      <c r="X720" s="854"/>
      <c r="Y720" s="854"/>
      <c r="Z720" s="854"/>
      <c r="AA720" s="854"/>
      <c r="AB720" s="854"/>
      <c r="AC720" s="854"/>
      <c r="AD720" s="854"/>
      <c r="AE720" s="854"/>
      <c r="AF720" s="854"/>
      <c r="AG720" s="854"/>
      <c r="AH720" s="854"/>
      <c r="AI720" s="854"/>
      <c r="AJ720" s="854"/>
      <c r="AK720" s="854"/>
      <c r="AL720" s="854"/>
      <c r="AM720" s="854"/>
      <c r="AN720" s="854"/>
      <c r="AO720" s="854"/>
      <c r="AP720" s="854"/>
      <c r="AQ720" s="854"/>
      <c r="AR720" s="854"/>
      <c r="AS720" s="854"/>
      <c r="AT720" s="854"/>
      <c r="AU720" s="854"/>
      <c r="AV720" s="854"/>
      <c r="AW720" s="854"/>
      <c r="AX720" s="854"/>
      <c r="AY720" s="854"/>
      <c r="AZ720" s="854"/>
      <c r="BA720" s="854"/>
      <c r="BB720" s="854"/>
      <c r="BC720" s="854"/>
      <c r="BD720" s="854"/>
      <c r="BE720" s="854"/>
      <c r="BF720" s="854"/>
      <c r="BG720" s="854"/>
      <c r="BH720" s="854"/>
      <c r="BI720" s="854"/>
      <c r="BJ720" s="854"/>
      <c r="BK720" s="854"/>
      <c r="BL720" s="854"/>
      <c r="BM720" s="854"/>
      <c r="BN720" s="854"/>
      <c r="BO720" s="854"/>
      <c r="BP720" s="854"/>
      <c r="BQ720" s="854"/>
      <c r="BR720" s="854"/>
      <c r="BS720" s="854"/>
      <c r="BT720" s="854"/>
      <c r="BU720" s="854"/>
      <c r="BV720" s="854"/>
      <c r="BW720" s="854"/>
      <c r="BX720" s="854"/>
      <c r="BY720" s="854"/>
      <c r="BZ720" s="854"/>
      <c r="CA720" s="571">
        <f>IF(OR(I720="",I720&lt;'Configs &amp; Procedures'!$L$29),0,IF(I720&gt;'Configs &amp; Procedures'!$L$30,1,IF(F720&gt;'Configs &amp; Procedures'!$L$31,0,1)))</f>
        <v>0</v>
      </c>
    </row>
    <row r="721" spans="2:79">
      <c r="B721" s="854"/>
      <c r="C721" s="854"/>
      <c r="D721" s="854"/>
      <c r="E721" s="854"/>
      <c r="F721" s="854"/>
      <c r="G721" s="854"/>
      <c r="H721" s="854"/>
      <c r="I721" s="854"/>
      <c r="J721" s="854"/>
      <c r="K721" s="854"/>
      <c r="L721" s="854"/>
      <c r="M721" s="854"/>
      <c r="N721" s="854"/>
      <c r="O721" s="854"/>
      <c r="P721" s="854"/>
      <c r="Q721" s="854"/>
      <c r="R721" s="854"/>
      <c r="S721" s="854"/>
      <c r="T721" s="854"/>
      <c r="U721" s="854"/>
      <c r="V721" s="854"/>
      <c r="W721" s="854"/>
      <c r="X721" s="854"/>
      <c r="Y721" s="854"/>
      <c r="Z721" s="854"/>
      <c r="AA721" s="854"/>
      <c r="AB721" s="854"/>
      <c r="AC721" s="854"/>
      <c r="AD721" s="854"/>
      <c r="AE721" s="854"/>
      <c r="AF721" s="854"/>
      <c r="AG721" s="854"/>
      <c r="AH721" s="854"/>
      <c r="AI721" s="854"/>
      <c r="AJ721" s="854"/>
      <c r="AK721" s="854"/>
      <c r="AL721" s="854"/>
      <c r="AM721" s="854"/>
      <c r="AN721" s="854"/>
      <c r="AO721" s="854"/>
      <c r="AP721" s="854"/>
      <c r="AQ721" s="854"/>
      <c r="AR721" s="854"/>
      <c r="AS721" s="854"/>
      <c r="AT721" s="854"/>
      <c r="AU721" s="854"/>
      <c r="AV721" s="854"/>
      <c r="AW721" s="854"/>
      <c r="AX721" s="854"/>
      <c r="AY721" s="854"/>
      <c r="AZ721" s="854"/>
      <c r="BA721" s="854"/>
      <c r="BB721" s="854"/>
      <c r="BC721" s="854"/>
      <c r="BD721" s="854"/>
      <c r="BE721" s="854"/>
      <c r="BF721" s="854"/>
      <c r="BG721" s="854"/>
      <c r="BH721" s="854"/>
      <c r="BI721" s="854"/>
      <c r="BJ721" s="854"/>
      <c r="BK721" s="854"/>
      <c r="BL721" s="854"/>
      <c r="BM721" s="854"/>
      <c r="BN721" s="854"/>
      <c r="BO721" s="854"/>
      <c r="BP721" s="854"/>
      <c r="BQ721" s="854"/>
      <c r="BR721" s="854"/>
      <c r="BS721" s="854"/>
      <c r="BT721" s="854"/>
      <c r="BU721" s="854"/>
      <c r="BV721" s="854"/>
      <c r="BW721" s="854"/>
      <c r="BX721" s="854"/>
      <c r="BY721" s="854"/>
      <c r="BZ721" s="854"/>
      <c r="CA721" s="571">
        <f>IF(OR(I721="",I721&lt;'Configs &amp; Procedures'!$L$29),0,IF(I721&gt;'Configs &amp; Procedures'!$L$30,1,IF(F721&gt;'Configs &amp; Procedures'!$L$31,0,1)))</f>
        <v>0</v>
      </c>
    </row>
    <row r="722" spans="2:79">
      <c r="B722" s="854"/>
      <c r="C722" s="854"/>
      <c r="D722" s="854"/>
      <c r="E722" s="854"/>
      <c r="F722" s="854"/>
      <c r="G722" s="854"/>
      <c r="H722" s="854"/>
      <c r="I722" s="854"/>
      <c r="J722" s="854"/>
      <c r="K722" s="854"/>
      <c r="L722" s="854"/>
      <c r="M722" s="854"/>
      <c r="N722" s="854"/>
      <c r="O722" s="854"/>
      <c r="P722" s="854"/>
      <c r="Q722" s="854"/>
      <c r="R722" s="854"/>
      <c r="S722" s="854"/>
      <c r="T722" s="854"/>
      <c r="U722" s="854"/>
      <c r="V722" s="854"/>
      <c r="W722" s="854"/>
      <c r="X722" s="854"/>
      <c r="Y722" s="854"/>
      <c r="Z722" s="854"/>
      <c r="AA722" s="854"/>
      <c r="AB722" s="854"/>
      <c r="AC722" s="854"/>
      <c r="AD722" s="854"/>
      <c r="AE722" s="854"/>
      <c r="AF722" s="854"/>
      <c r="AG722" s="854"/>
      <c r="AH722" s="854"/>
      <c r="AI722" s="854"/>
      <c r="AJ722" s="854"/>
      <c r="AK722" s="854"/>
      <c r="AL722" s="854"/>
      <c r="AM722" s="854"/>
      <c r="AN722" s="854"/>
      <c r="AO722" s="854"/>
      <c r="AP722" s="854"/>
      <c r="AQ722" s="854"/>
      <c r="AR722" s="854"/>
      <c r="AS722" s="854"/>
      <c r="AT722" s="854"/>
      <c r="AU722" s="854"/>
      <c r="AV722" s="854"/>
      <c r="AW722" s="854"/>
      <c r="AX722" s="854"/>
      <c r="AY722" s="854"/>
      <c r="AZ722" s="854"/>
      <c r="BA722" s="854"/>
      <c r="BB722" s="854"/>
      <c r="BC722" s="854"/>
      <c r="BD722" s="854"/>
      <c r="BE722" s="854"/>
      <c r="BF722" s="854"/>
      <c r="BG722" s="854"/>
      <c r="BH722" s="854"/>
      <c r="BI722" s="854"/>
      <c r="BJ722" s="854"/>
      <c r="BK722" s="854"/>
      <c r="BL722" s="854"/>
      <c r="BM722" s="854"/>
      <c r="BN722" s="854"/>
      <c r="BO722" s="854"/>
      <c r="BP722" s="854"/>
      <c r="BQ722" s="854"/>
      <c r="BR722" s="854"/>
      <c r="BS722" s="854"/>
      <c r="BT722" s="854"/>
      <c r="BU722" s="854"/>
      <c r="BV722" s="854"/>
      <c r="BW722" s="854"/>
      <c r="BX722" s="854"/>
      <c r="BY722" s="854"/>
      <c r="BZ722" s="854"/>
      <c r="CA722" s="571">
        <f>IF(OR(I722="",I722&lt;'Configs &amp; Procedures'!$L$29),0,IF(I722&gt;'Configs &amp; Procedures'!$L$30,1,IF(F722&gt;'Configs &amp; Procedures'!$L$31,0,1)))</f>
        <v>0</v>
      </c>
    </row>
    <row r="723" spans="2:79">
      <c r="B723" s="854"/>
      <c r="C723" s="854"/>
      <c r="D723" s="854"/>
      <c r="E723" s="854"/>
      <c r="F723" s="854"/>
      <c r="G723" s="854"/>
      <c r="H723" s="854"/>
      <c r="I723" s="854"/>
      <c r="J723" s="854"/>
      <c r="K723" s="854"/>
      <c r="L723" s="854"/>
      <c r="M723" s="854"/>
      <c r="N723" s="854"/>
      <c r="O723" s="854"/>
      <c r="P723" s="854"/>
      <c r="Q723" s="854"/>
      <c r="R723" s="854"/>
      <c r="S723" s="854"/>
      <c r="T723" s="854"/>
      <c r="U723" s="854"/>
      <c r="V723" s="854"/>
      <c r="W723" s="854"/>
      <c r="X723" s="854"/>
      <c r="Y723" s="854"/>
      <c r="Z723" s="854"/>
      <c r="AA723" s="854"/>
      <c r="AB723" s="854"/>
      <c r="AC723" s="854"/>
      <c r="AD723" s="854"/>
      <c r="AE723" s="854"/>
      <c r="AF723" s="854"/>
      <c r="AG723" s="854"/>
      <c r="AH723" s="854"/>
      <c r="AI723" s="854"/>
      <c r="AJ723" s="854"/>
      <c r="AK723" s="854"/>
      <c r="AL723" s="854"/>
      <c r="AM723" s="854"/>
      <c r="AN723" s="854"/>
      <c r="AO723" s="854"/>
      <c r="AP723" s="854"/>
      <c r="AQ723" s="854"/>
      <c r="AR723" s="854"/>
      <c r="AS723" s="854"/>
      <c r="AT723" s="854"/>
      <c r="AU723" s="854"/>
      <c r="AV723" s="854"/>
      <c r="AW723" s="854"/>
      <c r="AX723" s="854"/>
      <c r="AY723" s="854"/>
      <c r="AZ723" s="854"/>
      <c r="BA723" s="854"/>
      <c r="BB723" s="854"/>
      <c r="BC723" s="854"/>
      <c r="BD723" s="854"/>
      <c r="BE723" s="854"/>
      <c r="BF723" s="854"/>
      <c r="BG723" s="854"/>
      <c r="BH723" s="854"/>
      <c r="BI723" s="854"/>
      <c r="BJ723" s="854"/>
      <c r="BK723" s="854"/>
      <c r="BL723" s="854"/>
      <c r="BM723" s="854"/>
      <c r="BN723" s="854"/>
      <c r="BO723" s="854"/>
      <c r="BP723" s="854"/>
      <c r="BQ723" s="854"/>
      <c r="BR723" s="854"/>
      <c r="BS723" s="854"/>
      <c r="BT723" s="854"/>
      <c r="BU723" s="854"/>
      <c r="BV723" s="854"/>
      <c r="BW723" s="854"/>
      <c r="BX723" s="854"/>
      <c r="BY723" s="854"/>
      <c r="BZ723" s="854"/>
      <c r="CA723" s="571">
        <f>IF(OR(I723="",I723&lt;'Configs &amp; Procedures'!$L$29),0,IF(I723&gt;'Configs &amp; Procedures'!$L$30,1,IF(F723&gt;'Configs &amp; Procedures'!$L$31,0,1)))</f>
        <v>0</v>
      </c>
    </row>
    <row r="724" spans="2:79">
      <c r="B724" s="854"/>
      <c r="C724" s="854"/>
      <c r="D724" s="854"/>
      <c r="E724" s="854"/>
      <c r="F724" s="854"/>
      <c r="G724" s="854"/>
      <c r="H724" s="854"/>
      <c r="I724" s="854"/>
      <c r="J724" s="854"/>
      <c r="K724" s="854"/>
      <c r="L724" s="854"/>
      <c r="M724" s="854"/>
      <c r="N724" s="854"/>
      <c r="O724" s="854"/>
      <c r="P724" s="854"/>
      <c r="Q724" s="854"/>
      <c r="R724" s="854"/>
      <c r="S724" s="854"/>
      <c r="T724" s="854"/>
      <c r="U724" s="854"/>
      <c r="V724" s="854"/>
      <c r="W724" s="854"/>
      <c r="X724" s="854"/>
      <c r="Y724" s="854"/>
      <c r="Z724" s="854"/>
      <c r="AA724" s="854"/>
      <c r="AB724" s="854"/>
      <c r="AC724" s="854"/>
      <c r="AD724" s="854"/>
      <c r="AE724" s="854"/>
      <c r="AF724" s="854"/>
      <c r="AG724" s="854"/>
      <c r="AH724" s="854"/>
      <c r="AI724" s="854"/>
      <c r="AJ724" s="854"/>
      <c r="AK724" s="854"/>
      <c r="AL724" s="854"/>
      <c r="AM724" s="854"/>
      <c r="AN724" s="854"/>
      <c r="AO724" s="854"/>
      <c r="AP724" s="854"/>
      <c r="AQ724" s="854"/>
      <c r="AR724" s="854"/>
      <c r="AS724" s="854"/>
      <c r="AT724" s="854"/>
      <c r="AU724" s="854"/>
      <c r="AV724" s="854"/>
      <c r="AW724" s="854"/>
      <c r="AX724" s="854"/>
      <c r="AY724" s="854"/>
      <c r="AZ724" s="854"/>
      <c r="BA724" s="854"/>
      <c r="BB724" s="854"/>
      <c r="BC724" s="854"/>
      <c r="BD724" s="854"/>
      <c r="BE724" s="854"/>
      <c r="BF724" s="854"/>
      <c r="BG724" s="854"/>
      <c r="BH724" s="854"/>
      <c r="BI724" s="854"/>
      <c r="BJ724" s="854"/>
      <c r="BK724" s="854"/>
      <c r="BL724" s="854"/>
      <c r="BM724" s="854"/>
      <c r="BN724" s="854"/>
      <c r="BO724" s="854"/>
      <c r="BP724" s="854"/>
      <c r="BQ724" s="854"/>
      <c r="BR724" s="854"/>
      <c r="BS724" s="854"/>
      <c r="BT724" s="854"/>
      <c r="BU724" s="854"/>
      <c r="BV724" s="854"/>
      <c r="BW724" s="854"/>
      <c r="BX724" s="854"/>
      <c r="BY724" s="854"/>
      <c r="BZ724" s="854"/>
      <c r="CA724" s="571">
        <f>IF(OR(I724="",I724&lt;'Configs &amp; Procedures'!$L$29),0,IF(I724&gt;'Configs &amp; Procedures'!$L$30,1,IF(F724&gt;'Configs &amp; Procedures'!$L$31,0,1)))</f>
        <v>0</v>
      </c>
    </row>
    <row r="725" spans="2:79">
      <c r="B725" s="854"/>
      <c r="C725" s="854"/>
      <c r="D725" s="854"/>
      <c r="E725" s="854"/>
      <c r="F725" s="854"/>
      <c r="G725" s="854"/>
      <c r="H725" s="854"/>
      <c r="I725" s="854"/>
      <c r="J725" s="854"/>
      <c r="K725" s="854"/>
      <c r="L725" s="854"/>
      <c r="M725" s="854"/>
      <c r="N725" s="854"/>
      <c r="O725" s="854"/>
      <c r="P725" s="854"/>
      <c r="Q725" s="854"/>
      <c r="R725" s="854"/>
      <c r="S725" s="854"/>
      <c r="T725" s="854"/>
      <c r="U725" s="854"/>
      <c r="V725" s="854"/>
      <c r="W725" s="854"/>
      <c r="X725" s="854"/>
      <c r="Y725" s="854"/>
      <c r="Z725" s="854"/>
      <c r="AA725" s="854"/>
      <c r="AB725" s="854"/>
      <c r="AC725" s="854"/>
      <c r="AD725" s="854"/>
      <c r="AE725" s="854"/>
      <c r="AF725" s="854"/>
      <c r="AG725" s="854"/>
      <c r="AH725" s="854"/>
      <c r="AI725" s="854"/>
      <c r="AJ725" s="854"/>
      <c r="AK725" s="854"/>
      <c r="AL725" s="854"/>
      <c r="AM725" s="854"/>
      <c r="AN725" s="854"/>
      <c r="AO725" s="854"/>
      <c r="AP725" s="854"/>
      <c r="AQ725" s="854"/>
      <c r="AR725" s="854"/>
      <c r="AS725" s="854"/>
      <c r="AT725" s="854"/>
      <c r="AU725" s="854"/>
      <c r="AV725" s="854"/>
      <c r="AW725" s="854"/>
      <c r="AX725" s="854"/>
      <c r="AY725" s="854"/>
      <c r="AZ725" s="854"/>
      <c r="BA725" s="854"/>
      <c r="BB725" s="854"/>
      <c r="BC725" s="854"/>
      <c r="BD725" s="854"/>
      <c r="BE725" s="854"/>
      <c r="BF725" s="854"/>
      <c r="BG725" s="854"/>
      <c r="BH725" s="854"/>
      <c r="BI725" s="854"/>
      <c r="BJ725" s="854"/>
      <c r="BK725" s="854"/>
      <c r="BL725" s="854"/>
      <c r="BM725" s="854"/>
      <c r="BN725" s="854"/>
      <c r="BO725" s="854"/>
      <c r="BP725" s="854"/>
      <c r="BQ725" s="854"/>
      <c r="BR725" s="854"/>
      <c r="BS725" s="854"/>
      <c r="BT725" s="854"/>
      <c r="BU725" s="854"/>
      <c r="BV725" s="854"/>
      <c r="BW725" s="854"/>
      <c r="BX725" s="854"/>
      <c r="BY725" s="854"/>
      <c r="BZ725" s="854"/>
      <c r="CA725" s="571">
        <f>IF(OR(I725="",I725&lt;'Configs &amp; Procedures'!$L$29),0,IF(I725&gt;'Configs &amp; Procedures'!$L$30,1,IF(F725&gt;'Configs &amp; Procedures'!$L$31,0,1)))</f>
        <v>0</v>
      </c>
    </row>
    <row r="726" spans="2:79">
      <c r="B726" s="854"/>
      <c r="C726" s="854"/>
      <c r="D726" s="854"/>
      <c r="E726" s="854"/>
      <c r="F726" s="854"/>
      <c r="G726" s="854"/>
      <c r="H726" s="854"/>
      <c r="I726" s="854"/>
      <c r="J726" s="854"/>
      <c r="K726" s="854"/>
      <c r="L726" s="854"/>
      <c r="M726" s="854"/>
      <c r="N726" s="854"/>
      <c r="O726" s="854"/>
      <c r="P726" s="854"/>
      <c r="Q726" s="854"/>
      <c r="R726" s="854"/>
      <c r="S726" s="854"/>
      <c r="T726" s="854"/>
      <c r="U726" s="854"/>
      <c r="V726" s="854"/>
      <c r="W726" s="854"/>
      <c r="X726" s="854"/>
      <c r="Y726" s="854"/>
      <c r="Z726" s="854"/>
      <c r="AA726" s="854"/>
      <c r="AB726" s="854"/>
      <c r="AC726" s="854"/>
      <c r="AD726" s="854"/>
      <c r="AE726" s="854"/>
      <c r="AF726" s="854"/>
      <c r="AG726" s="854"/>
      <c r="AH726" s="854"/>
      <c r="AI726" s="854"/>
      <c r="AJ726" s="854"/>
      <c r="AK726" s="854"/>
      <c r="AL726" s="854"/>
      <c r="AM726" s="854"/>
      <c r="AN726" s="854"/>
      <c r="AO726" s="854"/>
      <c r="AP726" s="854"/>
      <c r="AQ726" s="854"/>
      <c r="AR726" s="854"/>
      <c r="AS726" s="854"/>
      <c r="AT726" s="854"/>
      <c r="AU726" s="854"/>
      <c r="AV726" s="854"/>
      <c r="AW726" s="854"/>
      <c r="AX726" s="854"/>
      <c r="AY726" s="854"/>
      <c r="AZ726" s="854"/>
      <c r="BA726" s="854"/>
      <c r="BB726" s="854"/>
      <c r="BC726" s="854"/>
      <c r="BD726" s="854"/>
      <c r="BE726" s="854"/>
      <c r="BF726" s="854"/>
      <c r="BG726" s="854"/>
      <c r="BH726" s="854"/>
      <c r="BI726" s="854"/>
      <c r="BJ726" s="854"/>
      <c r="BK726" s="854"/>
      <c r="BL726" s="854"/>
      <c r="BM726" s="854"/>
      <c r="BN726" s="854"/>
      <c r="BO726" s="854"/>
      <c r="BP726" s="854"/>
      <c r="BQ726" s="854"/>
      <c r="BR726" s="854"/>
      <c r="BS726" s="854"/>
      <c r="BT726" s="854"/>
      <c r="BU726" s="854"/>
      <c r="BV726" s="854"/>
      <c r="BW726" s="854"/>
      <c r="BX726" s="854"/>
      <c r="BY726" s="854"/>
      <c r="BZ726" s="854"/>
      <c r="CA726" s="571">
        <f>IF(OR(I726="",I726&lt;'Configs &amp; Procedures'!$L$29),0,IF(I726&gt;'Configs &amp; Procedures'!$L$30,1,IF(F726&gt;'Configs &amp; Procedures'!$L$31,0,1)))</f>
        <v>0</v>
      </c>
    </row>
    <row r="727" spans="2:79">
      <c r="B727" s="854"/>
      <c r="C727" s="854"/>
      <c r="D727" s="854"/>
      <c r="E727" s="854"/>
      <c r="F727" s="854"/>
      <c r="G727" s="854"/>
      <c r="H727" s="854"/>
      <c r="I727" s="854"/>
      <c r="J727" s="854"/>
      <c r="K727" s="854"/>
      <c r="L727" s="854"/>
      <c r="M727" s="854"/>
      <c r="N727" s="854"/>
      <c r="O727" s="854"/>
      <c r="P727" s="854"/>
      <c r="Q727" s="854"/>
      <c r="R727" s="854"/>
      <c r="S727" s="854"/>
      <c r="T727" s="854"/>
      <c r="U727" s="854"/>
      <c r="V727" s="854"/>
      <c r="W727" s="854"/>
      <c r="X727" s="854"/>
      <c r="Y727" s="854"/>
      <c r="Z727" s="854"/>
      <c r="AA727" s="854"/>
      <c r="AB727" s="854"/>
      <c r="AC727" s="854"/>
      <c r="AD727" s="854"/>
      <c r="AE727" s="854"/>
      <c r="AF727" s="854"/>
      <c r="AG727" s="854"/>
      <c r="AH727" s="854"/>
      <c r="AI727" s="854"/>
      <c r="AJ727" s="854"/>
      <c r="AK727" s="854"/>
      <c r="AL727" s="854"/>
      <c r="AM727" s="854"/>
      <c r="AN727" s="854"/>
      <c r="AO727" s="854"/>
      <c r="AP727" s="854"/>
      <c r="AQ727" s="854"/>
      <c r="AR727" s="854"/>
      <c r="AS727" s="854"/>
      <c r="AT727" s="854"/>
      <c r="AU727" s="854"/>
      <c r="AV727" s="854"/>
      <c r="AW727" s="854"/>
      <c r="AX727" s="854"/>
      <c r="AY727" s="854"/>
      <c r="AZ727" s="854"/>
      <c r="BA727" s="854"/>
      <c r="BB727" s="854"/>
      <c r="BC727" s="854"/>
      <c r="BD727" s="854"/>
      <c r="BE727" s="854"/>
      <c r="BF727" s="854"/>
      <c r="BG727" s="854"/>
      <c r="BH727" s="854"/>
      <c r="BI727" s="854"/>
      <c r="BJ727" s="854"/>
      <c r="BK727" s="854"/>
      <c r="BL727" s="854"/>
      <c r="BM727" s="854"/>
      <c r="BN727" s="854"/>
      <c r="BO727" s="854"/>
      <c r="BP727" s="854"/>
      <c r="BQ727" s="854"/>
      <c r="BR727" s="854"/>
      <c r="BS727" s="854"/>
      <c r="BT727" s="854"/>
      <c r="BU727" s="854"/>
      <c r="BV727" s="854"/>
      <c r="BW727" s="854"/>
      <c r="BX727" s="854"/>
      <c r="BY727" s="854"/>
      <c r="BZ727" s="854"/>
      <c r="CA727" s="571">
        <f>IF(OR(I727="",I727&lt;'Configs &amp; Procedures'!$L$29),0,IF(I727&gt;'Configs &amp; Procedures'!$L$30,1,IF(F727&gt;'Configs &amp; Procedures'!$L$31,0,1)))</f>
        <v>0</v>
      </c>
    </row>
    <row r="728" spans="2:79">
      <c r="B728" s="854"/>
      <c r="C728" s="854"/>
      <c r="D728" s="854"/>
      <c r="E728" s="854"/>
      <c r="F728" s="854"/>
      <c r="G728" s="854"/>
      <c r="H728" s="854"/>
      <c r="I728" s="854"/>
      <c r="J728" s="854"/>
      <c r="K728" s="854"/>
      <c r="L728" s="854"/>
      <c r="M728" s="854"/>
      <c r="N728" s="854"/>
      <c r="O728" s="854"/>
      <c r="P728" s="854"/>
      <c r="Q728" s="854"/>
      <c r="R728" s="854"/>
      <c r="S728" s="854"/>
      <c r="T728" s="854"/>
      <c r="U728" s="854"/>
      <c r="V728" s="854"/>
      <c r="W728" s="854"/>
      <c r="X728" s="854"/>
      <c r="Y728" s="854"/>
      <c r="Z728" s="854"/>
      <c r="AA728" s="854"/>
      <c r="AB728" s="854"/>
      <c r="AC728" s="854"/>
      <c r="AD728" s="854"/>
      <c r="AE728" s="854"/>
      <c r="AF728" s="854"/>
      <c r="AG728" s="854"/>
      <c r="AH728" s="854"/>
      <c r="AI728" s="854"/>
      <c r="AJ728" s="854"/>
      <c r="AK728" s="854"/>
      <c r="AL728" s="854"/>
      <c r="AM728" s="854"/>
      <c r="AN728" s="854"/>
      <c r="AO728" s="854"/>
      <c r="AP728" s="854"/>
      <c r="AQ728" s="854"/>
      <c r="AR728" s="854"/>
      <c r="AS728" s="854"/>
      <c r="AT728" s="854"/>
      <c r="AU728" s="854"/>
      <c r="AV728" s="854"/>
      <c r="AW728" s="854"/>
      <c r="AX728" s="854"/>
      <c r="AY728" s="854"/>
      <c r="AZ728" s="854"/>
      <c r="BA728" s="854"/>
      <c r="BB728" s="854"/>
      <c r="BC728" s="854"/>
      <c r="BD728" s="854"/>
      <c r="BE728" s="854"/>
      <c r="BF728" s="854"/>
      <c r="BG728" s="854"/>
      <c r="BH728" s="854"/>
      <c r="BI728" s="854"/>
      <c r="BJ728" s="854"/>
      <c r="BK728" s="854"/>
      <c r="BL728" s="854"/>
      <c r="BM728" s="854"/>
      <c r="BN728" s="854"/>
      <c r="BO728" s="854"/>
      <c r="BP728" s="854"/>
      <c r="BQ728" s="854"/>
      <c r="BR728" s="854"/>
      <c r="BS728" s="854"/>
      <c r="BT728" s="854"/>
      <c r="BU728" s="854"/>
      <c r="BV728" s="854"/>
      <c r="BW728" s="854"/>
      <c r="BX728" s="854"/>
      <c r="BY728" s="854"/>
      <c r="BZ728" s="854"/>
      <c r="CA728" s="571">
        <f>IF(OR(I728="",I728&lt;'Configs &amp; Procedures'!$L$29),0,IF(I728&gt;'Configs &amp; Procedures'!$L$30,1,IF(F728&gt;'Configs &amp; Procedures'!$L$31,0,1)))</f>
        <v>0</v>
      </c>
    </row>
    <row r="729" spans="2:79">
      <c r="B729" s="854"/>
      <c r="C729" s="854"/>
      <c r="D729" s="854"/>
      <c r="E729" s="854"/>
      <c r="F729" s="854"/>
      <c r="G729" s="854"/>
      <c r="H729" s="854"/>
      <c r="I729" s="854"/>
      <c r="J729" s="854"/>
      <c r="K729" s="854"/>
      <c r="L729" s="854"/>
      <c r="M729" s="854"/>
      <c r="N729" s="854"/>
      <c r="O729" s="854"/>
      <c r="P729" s="854"/>
      <c r="Q729" s="854"/>
      <c r="R729" s="854"/>
      <c r="S729" s="854"/>
      <c r="T729" s="854"/>
      <c r="U729" s="854"/>
      <c r="V729" s="854"/>
      <c r="W729" s="854"/>
      <c r="X729" s="854"/>
      <c r="Y729" s="854"/>
      <c r="Z729" s="854"/>
      <c r="AA729" s="854"/>
      <c r="AB729" s="854"/>
      <c r="AC729" s="854"/>
      <c r="AD729" s="854"/>
      <c r="AE729" s="854"/>
      <c r="AF729" s="854"/>
      <c r="AG729" s="854"/>
      <c r="AH729" s="854"/>
      <c r="AI729" s="854"/>
      <c r="AJ729" s="854"/>
      <c r="AK729" s="854"/>
      <c r="AL729" s="854"/>
      <c r="AM729" s="854"/>
      <c r="AN729" s="854"/>
      <c r="AO729" s="854"/>
      <c r="AP729" s="854"/>
      <c r="AQ729" s="854"/>
      <c r="AR729" s="854"/>
      <c r="AS729" s="854"/>
      <c r="AT729" s="854"/>
      <c r="AU729" s="854"/>
      <c r="AV729" s="854"/>
      <c r="AW729" s="854"/>
      <c r="AX729" s="854"/>
      <c r="AY729" s="854"/>
      <c r="AZ729" s="854"/>
      <c r="BA729" s="854"/>
      <c r="BB729" s="854"/>
      <c r="BC729" s="854"/>
      <c r="BD729" s="854"/>
      <c r="BE729" s="854"/>
      <c r="BF729" s="854"/>
      <c r="BG729" s="854"/>
      <c r="BH729" s="854"/>
      <c r="BI729" s="854"/>
      <c r="BJ729" s="854"/>
      <c r="BK729" s="854"/>
      <c r="BL729" s="854"/>
      <c r="BM729" s="854"/>
      <c r="BN729" s="854"/>
      <c r="BO729" s="854"/>
      <c r="BP729" s="854"/>
      <c r="BQ729" s="854"/>
      <c r="BR729" s="854"/>
      <c r="BS729" s="854"/>
      <c r="BT729" s="854"/>
      <c r="BU729" s="854"/>
      <c r="BV729" s="854"/>
      <c r="BW729" s="854"/>
      <c r="BX729" s="854"/>
      <c r="BY729" s="854"/>
      <c r="BZ729" s="854"/>
      <c r="CA729" s="571">
        <f>IF(OR(I729="",I729&lt;'Configs &amp; Procedures'!$L$29),0,IF(I729&gt;'Configs &amp; Procedures'!$L$30,1,IF(F729&gt;'Configs &amp; Procedures'!$L$31,0,1)))</f>
        <v>0</v>
      </c>
    </row>
    <row r="730" spans="2:79">
      <c r="B730" s="854"/>
      <c r="C730" s="854"/>
      <c r="D730" s="854"/>
      <c r="E730" s="854"/>
      <c r="F730" s="854"/>
      <c r="G730" s="854"/>
      <c r="H730" s="854"/>
      <c r="I730" s="854"/>
      <c r="J730" s="854"/>
      <c r="K730" s="854"/>
      <c r="L730" s="854"/>
      <c r="M730" s="854"/>
      <c r="N730" s="854"/>
      <c r="O730" s="854"/>
      <c r="P730" s="854"/>
      <c r="Q730" s="854"/>
      <c r="R730" s="854"/>
      <c r="S730" s="854"/>
      <c r="T730" s="854"/>
      <c r="U730" s="854"/>
      <c r="V730" s="854"/>
      <c r="W730" s="854"/>
      <c r="X730" s="854"/>
      <c r="Y730" s="854"/>
      <c r="Z730" s="854"/>
      <c r="AA730" s="854"/>
      <c r="AB730" s="854"/>
      <c r="AC730" s="854"/>
      <c r="AD730" s="854"/>
      <c r="AE730" s="854"/>
      <c r="AF730" s="854"/>
      <c r="AG730" s="854"/>
      <c r="AH730" s="854"/>
      <c r="AI730" s="854"/>
      <c r="AJ730" s="854"/>
      <c r="AK730" s="854"/>
      <c r="AL730" s="854"/>
      <c r="AM730" s="854"/>
      <c r="AN730" s="854"/>
      <c r="AO730" s="854"/>
      <c r="AP730" s="854"/>
      <c r="AQ730" s="854"/>
      <c r="AR730" s="854"/>
      <c r="AS730" s="854"/>
      <c r="AT730" s="854"/>
      <c r="AU730" s="854"/>
      <c r="AV730" s="854"/>
      <c r="AW730" s="854"/>
      <c r="AX730" s="854"/>
      <c r="AY730" s="854"/>
      <c r="AZ730" s="854"/>
      <c r="BA730" s="854"/>
      <c r="BB730" s="854"/>
      <c r="BC730" s="854"/>
      <c r="BD730" s="854"/>
      <c r="BE730" s="854"/>
      <c r="BF730" s="854"/>
      <c r="BG730" s="854"/>
      <c r="BH730" s="854"/>
      <c r="BI730" s="854"/>
      <c r="BJ730" s="854"/>
      <c r="BK730" s="854"/>
      <c r="BL730" s="854"/>
      <c r="BM730" s="854"/>
      <c r="BN730" s="854"/>
      <c r="BO730" s="854"/>
      <c r="BP730" s="854"/>
      <c r="BQ730" s="854"/>
      <c r="BR730" s="854"/>
      <c r="BS730" s="854"/>
      <c r="BT730" s="854"/>
      <c r="BU730" s="854"/>
      <c r="BV730" s="854"/>
      <c r="BW730" s="854"/>
      <c r="BX730" s="854"/>
      <c r="BY730" s="854"/>
      <c r="BZ730" s="854"/>
      <c r="CA730" s="571">
        <f>IF(OR(I730="",I730&lt;'Configs &amp; Procedures'!$L$29),0,IF(I730&gt;'Configs &amp; Procedures'!$L$30,1,IF(F730&gt;'Configs &amp; Procedures'!$L$31,0,1)))</f>
        <v>0</v>
      </c>
    </row>
    <row r="731" spans="2:79">
      <c r="B731" s="854"/>
      <c r="C731" s="854"/>
      <c r="D731" s="854"/>
      <c r="E731" s="854"/>
      <c r="F731" s="854"/>
      <c r="G731" s="854"/>
      <c r="H731" s="854"/>
      <c r="I731" s="854"/>
      <c r="J731" s="854"/>
      <c r="K731" s="854"/>
      <c r="L731" s="854"/>
      <c r="M731" s="854"/>
      <c r="N731" s="854"/>
      <c r="O731" s="854"/>
      <c r="P731" s="854"/>
      <c r="Q731" s="854"/>
      <c r="R731" s="854"/>
      <c r="S731" s="854"/>
      <c r="T731" s="854"/>
      <c r="U731" s="854"/>
      <c r="V731" s="854"/>
      <c r="W731" s="854"/>
      <c r="X731" s="854"/>
      <c r="Y731" s="854"/>
      <c r="Z731" s="854"/>
      <c r="AA731" s="854"/>
      <c r="AB731" s="854"/>
      <c r="AC731" s="854"/>
      <c r="AD731" s="854"/>
      <c r="AE731" s="854"/>
      <c r="AF731" s="854"/>
      <c r="AG731" s="854"/>
      <c r="AH731" s="854"/>
      <c r="AI731" s="854"/>
      <c r="AJ731" s="854"/>
      <c r="AK731" s="854"/>
      <c r="AL731" s="854"/>
      <c r="AM731" s="854"/>
      <c r="AN731" s="854"/>
      <c r="AO731" s="854"/>
      <c r="AP731" s="854"/>
      <c r="AQ731" s="854"/>
      <c r="AR731" s="854"/>
      <c r="AS731" s="854"/>
      <c r="AT731" s="854"/>
      <c r="AU731" s="854"/>
      <c r="AV731" s="854"/>
      <c r="AW731" s="854"/>
      <c r="AX731" s="854"/>
      <c r="AY731" s="854"/>
      <c r="AZ731" s="854"/>
      <c r="BA731" s="854"/>
      <c r="BB731" s="854"/>
      <c r="BC731" s="854"/>
      <c r="BD731" s="854"/>
      <c r="BE731" s="854"/>
      <c r="BF731" s="854"/>
      <c r="BG731" s="854"/>
      <c r="BH731" s="854"/>
      <c r="BI731" s="854"/>
      <c r="BJ731" s="854"/>
      <c r="BK731" s="854"/>
      <c r="BL731" s="854"/>
      <c r="BM731" s="854"/>
      <c r="BN731" s="854"/>
      <c r="BO731" s="854"/>
      <c r="BP731" s="854"/>
      <c r="BQ731" s="854"/>
      <c r="BR731" s="854"/>
      <c r="BS731" s="854"/>
      <c r="BT731" s="854"/>
      <c r="BU731" s="854"/>
      <c r="BV731" s="854"/>
      <c r="BW731" s="854"/>
      <c r="BX731" s="854"/>
      <c r="BY731" s="854"/>
      <c r="BZ731" s="854"/>
      <c r="CA731" s="571">
        <f>IF(OR(I731="",I731&lt;'Configs &amp; Procedures'!$L$29),0,IF(I731&gt;'Configs &amp; Procedures'!$L$30,1,IF(F731&gt;'Configs &amp; Procedures'!$L$31,0,1)))</f>
        <v>0</v>
      </c>
    </row>
    <row r="732" spans="2:79">
      <c r="B732" s="854"/>
      <c r="C732" s="854"/>
      <c r="D732" s="854"/>
      <c r="E732" s="854"/>
      <c r="F732" s="854"/>
      <c r="G732" s="854"/>
      <c r="H732" s="854"/>
      <c r="I732" s="854"/>
      <c r="J732" s="854"/>
      <c r="K732" s="854"/>
      <c r="L732" s="854"/>
      <c r="M732" s="854"/>
      <c r="N732" s="854"/>
      <c r="O732" s="854"/>
      <c r="P732" s="854"/>
      <c r="Q732" s="854"/>
      <c r="R732" s="854"/>
      <c r="S732" s="854"/>
      <c r="T732" s="854"/>
      <c r="U732" s="854"/>
      <c r="V732" s="854"/>
      <c r="W732" s="854"/>
      <c r="X732" s="854"/>
      <c r="Y732" s="854"/>
      <c r="Z732" s="854"/>
      <c r="AA732" s="854"/>
      <c r="AB732" s="854"/>
      <c r="AC732" s="854"/>
      <c r="AD732" s="854"/>
      <c r="AE732" s="854"/>
      <c r="AF732" s="854"/>
      <c r="AG732" s="854"/>
      <c r="AH732" s="854"/>
      <c r="AI732" s="854"/>
      <c r="AJ732" s="854"/>
      <c r="AK732" s="854"/>
      <c r="AL732" s="854"/>
      <c r="AM732" s="854"/>
      <c r="AN732" s="854"/>
      <c r="AO732" s="854"/>
      <c r="AP732" s="854"/>
      <c r="AQ732" s="854"/>
      <c r="AR732" s="854"/>
      <c r="AS732" s="854"/>
      <c r="AT732" s="854"/>
      <c r="AU732" s="854"/>
      <c r="AV732" s="854"/>
      <c r="AW732" s="854"/>
      <c r="AX732" s="854"/>
      <c r="AY732" s="854"/>
      <c r="AZ732" s="854"/>
      <c r="BA732" s="854"/>
      <c r="BB732" s="854"/>
      <c r="BC732" s="854"/>
      <c r="BD732" s="854"/>
      <c r="BE732" s="854"/>
      <c r="BF732" s="854"/>
      <c r="BG732" s="854"/>
      <c r="BH732" s="854"/>
      <c r="BI732" s="854"/>
      <c r="BJ732" s="854"/>
      <c r="BK732" s="854"/>
      <c r="BL732" s="854"/>
      <c r="BM732" s="854"/>
      <c r="BN732" s="854"/>
      <c r="BO732" s="854"/>
      <c r="BP732" s="854"/>
      <c r="BQ732" s="854"/>
      <c r="BR732" s="854"/>
      <c r="BS732" s="854"/>
      <c r="BT732" s="854"/>
      <c r="BU732" s="854"/>
      <c r="BV732" s="854"/>
      <c r="BW732" s="854"/>
      <c r="BX732" s="854"/>
      <c r="BY732" s="854"/>
      <c r="BZ732" s="854"/>
      <c r="CA732" s="571">
        <f>IF(OR(I732="",I732&lt;'Configs &amp; Procedures'!$L$29),0,IF(I732&gt;'Configs &amp; Procedures'!$L$30,1,IF(F732&gt;'Configs &amp; Procedures'!$L$31,0,1)))</f>
        <v>0</v>
      </c>
    </row>
    <row r="733" spans="2:79">
      <c r="B733" s="854"/>
      <c r="C733" s="854"/>
      <c r="D733" s="854"/>
      <c r="E733" s="854"/>
      <c r="F733" s="854"/>
      <c r="G733" s="854"/>
      <c r="H733" s="854"/>
      <c r="I733" s="854"/>
      <c r="J733" s="854"/>
      <c r="K733" s="854"/>
      <c r="L733" s="854"/>
      <c r="M733" s="854"/>
      <c r="N733" s="854"/>
      <c r="O733" s="854"/>
      <c r="P733" s="854"/>
      <c r="Q733" s="854"/>
      <c r="R733" s="854"/>
      <c r="S733" s="854"/>
      <c r="T733" s="854"/>
      <c r="U733" s="854"/>
      <c r="V733" s="854"/>
      <c r="W733" s="854"/>
      <c r="X733" s="854"/>
      <c r="Y733" s="854"/>
      <c r="Z733" s="854"/>
      <c r="AA733" s="854"/>
      <c r="AB733" s="854"/>
      <c r="AC733" s="854"/>
      <c r="AD733" s="854"/>
      <c r="AE733" s="854"/>
      <c r="AF733" s="854"/>
      <c r="AG733" s="854"/>
      <c r="AH733" s="854"/>
      <c r="AI733" s="854"/>
      <c r="AJ733" s="854"/>
      <c r="AK733" s="854"/>
      <c r="AL733" s="854"/>
      <c r="AM733" s="854"/>
      <c r="AN733" s="854"/>
      <c r="AO733" s="854"/>
      <c r="AP733" s="854"/>
      <c r="AQ733" s="854"/>
      <c r="AR733" s="854"/>
      <c r="AS733" s="854"/>
      <c r="AT733" s="854"/>
      <c r="AU733" s="854"/>
      <c r="AV733" s="854"/>
      <c r="AW733" s="854"/>
      <c r="AX733" s="854"/>
      <c r="AY733" s="854"/>
      <c r="AZ733" s="854"/>
      <c r="BA733" s="854"/>
      <c r="BB733" s="854"/>
      <c r="BC733" s="854"/>
      <c r="BD733" s="854"/>
      <c r="BE733" s="854"/>
      <c r="BF733" s="854"/>
      <c r="BG733" s="854"/>
      <c r="BH733" s="854"/>
      <c r="BI733" s="854"/>
      <c r="BJ733" s="854"/>
      <c r="BK733" s="854"/>
      <c r="BL733" s="854"/>
      <c r="BM733" s="854"/>
      <c r="BN733" s="854"/>
      <c r="BO733" s="854"/>
      <c r="BP733" s="854"/>
      <c r="BQ733" s="854"/>
      <c r="BR733" s="854"/>
      <c r="BS733" s="854"/>
      <c r="BT733" s="854"/>
      <c r="BU733" s="854"/>
      <c r="BV733" s="854"/>
      <c r="BW733" s="854"/>
      <c r="BX733" s="854"/>
      <c r="BY733" s="854"/>
      <c r="BZ733" s="854"/>
      <c r="CA733" s="571">
        <f>IF(OR(I733="",I733&lt;'Configs &amp; Procedures'!$L$29),0,IF(I733&gt;'Configs &amp; Procedures'!$L$30,1,IF(F733&gt;'Configs &amp; Procedures'!$L$31,0,1)))</f>
        <v>0</v>
      </c>
    </row>
    <row r="734" spans="2:79">
      <c r="B734" s="854"/>
      <c r="C734" s="854"/>
      <c r="D734" s="854"/>
      <c r="E734" s="854"/>
      <c r="F734" s="854"/>
      <c r="G734" s="854"/>
      <c r="H734" s="854"/>
      <c r="I734" s="854"/>
      <c r="J734" s="854"/>
      <c r="K734" s="854"/>
      <c r="L734" s="854"/>
      <c r="M734" s="854"/>
      <c r="N734" s="854"/>
      <c r="O734" s="854"/>
      <c r="P734" s="854"/>
      <c r="Q734" s="854"/>
      <c r="R734" s="854"/>
      <c r="S734" s="854"/>
      <c r="T734" s="854"/>
      <c r="U734" s="854"/>
      <c r="V734" s="854"/>
      <c r="W734" s="854"/>
      <c r="X734" s="854"/>
      <c r="Y734" s="854"/>
      <c r="Z734" s="854"/>
      <c r="AA734" s="854"/>
      <c r="AB734" s="854"/>
      <c r="AC734" s="854"/>
      <c r="AD734" s="854"/>
      <c r="AE734" s="854"/>
      <c r="AF734" s="854"/>
      <c r="AG734" s="854"/>
      <c r="AH734" s="854"/>
      <c r="AI734" s="854"/>
      <c r="AJ734" s="854"/>
      <c r="AK734" s="854"/>
      <c r="AL734" s="854"/>
      <c r="AM734" s="854"/>
      <c r="AN734" s="854"/>
      <c r="AO734" s="854"/>
      <c r="AP734" s="854"/>
      <c r="AQ734" s="854"/>
      <c r="AR734" s="854"/>
      <c r="AS734" s="854"/>
      <c r="AT734" s="854"/>
      <c r="AU734" s="854"/>
      <c r="AV734" s="854"/>
      <c r="AW734" s="854"/>
      <c r="AX734" s="854"/>
      <c r="AY734" s="854"/>
      <c r="AZ734" s="854"/>
      <c r="BA734" s="854"/>
      <c r="BB734" s="854"/>
      <c r="BC734" s="854"/>
      <c r="BD734" s="854"/>
      <c r="BE734" s="854"/>
      <c r="BF734" s="854"/>
      <c r="BG734" s="854"/>
      <c r="BH734" s="854"/>
      <c r="BI734" s="854"/>
      <c r="BJ734" s="854"/>
      <c r="BK734" s="854"/>
      <c r="BL734" s="854"/>
      <c r="BM734" s="854"/>
      <c r="BN734" s="854"/>
      <c r="BO734" s="854"/>
      <c r="BP734" s="854"/>
      <c r="BQ734" s="854"/>
      <c r="BR734" s="854"/>
      <c r="BS734" s="854"/>
      <c r="BT734" s="854"/>
      <c r="BU734" s="854"/>
      <c r="BV734" s="854"/>
      <c r="BW734" s="854"/>
      <c r="BX734" s="854"/>
      <c r="BY734" s="854"/>
      <c r="BZ734" s="854"/>
      <c r="CA734" s="571">
        <f>IF(OR(I734="",I734&lt;'Configs &amp; Procedures'!$L$29),0,IF(I734&gt;'Configs &amp; Procedures'!$L$30,1,IF(F734&gt;'Configs &amp; Procedures'!$L$31,0,1)))</f>
        <v>0</v>
      </c>
    </row>
    <row r="735" spans="2:79">
      <c r="B735" s="854"/>
      <c r="C735" s="854"/>
      <c r="D735" s="854"/>
      <c r="E735" s="854"/>
      <c r="F735" s="854"/>
      <c r="G735" s="854"/>
      <c r="H735" s="854"/>
      <c r="I735" s="854"/>
      <c r="J735" s="854"/>
      <c r="K735" s="854"/>
      <c r="L735" s="854"/>
      <c r="M735" s="854"/>
      <c r="N735" s="854"/>
      <c r="O735" s="854"/>
      <c r="P735" s="854"/>
      <c r="Q735" s="854"/>
      <c r="R735" s="854"/>
      <c r="S735" s="854"/>
      <c r="T735" s="854"/>
      <c r="U735" s="854"/>
      <c r="V735" s="854"/>
      <c r="W735" s="854"/>
      <c r="X735" s="854"/>
      <c r="Y735" s="854"/>
      <c r="Z735" s="854"/>
      <c r="AA735" s="854"/>
      <c r="AB735" s="854"/>
      <c r="AC735" s="854"/>
      <c r="AD735" s="854"/>
      <c r="AE735" s="854"/>
      <c r="AF735" s="854"/>
      <c r="AG735" s="854"/>
      <c r="AH735" s="854"/>
      <c r="AI735" s="854"/>
      <c r="AJ735" s="854"/>
      <c r="AK735" s="854"/>
      <c r="AL735" s="854"/>
      <c r="AM735" s="854"/>
      <c r="AN735" s="854"/>
      <c r="AO735" s="854"/>
      <c r="AP735" s="854"/>
      <c r="AQ735" s="854"/>
      <c r="AR735" s="854"/>
      <c r="AS735" s="854"/>
      <c r="AT735" s="854"/>
      <c r="AU735" s="854"/>
      <c r="AV735" s="854"/>
      <c r="AW735" s="854"/>
      <c r="AX735" s="854"/>
      <c r="AY735" s="854"/>
      <c r="AZ735" s="854"/>
      <c r="BA735" s="854"/>
      <c r="BB735" s="854"/>
      <c r="BC735" s="854"/>
      <c r="BD735" s="854"/>
      <c r="BE735" s="854"/>
      <c r="BF735" s="854"/>
      <c r="BG735" s="854"/>
      <c r="BH735" s="854"/>
      <c r="BI735" s="854"/>
      <c r="BJ735" s="854"/>
      <c r="BK735" s="854"/>
      <c r="BL735" s="854"/>
      <c r="BM735" s="854"/>
      <c r="BN735" s="854"/>
      <c r="BO735" s="854"/>
      <c r="BP735" s="854"/>
      <c r="BQ735" s="854"/>
      <c r="BR735" s="854"/>
      <c r="BS735" s="854"/>
      <c r="BT735" s="854"/>
      <c r="BU735" s="854"/>
      <c r="BV735" s="854"/>
      <c r="BW735" s="854"/>
      <c r="BX735" s="854"/>
      <c r="BY735" s="854"/>
      <c r="BZ735" s="854"/>
      <c r="CA735" s="571">
        <f>IF(OR(I735="",I735&lt;'Configs &amp; Procedures'!$L$29),0,IF(I735&gt;'Configs &amp; Procedures'!$L$30,1,IF(F735&gt;'Configs &amp; Procedures'!$L$31,0,1)))</f>
        <v>0</v>
      </c>
    </row>
    <row r="736" spans="2:79">
      <c r="B736" s="854"/>
      <c r="C736" s="854"/>
      <c r="D736" s="854"/>
      <c r="E736" s="854"/>
      <c r="F736" s="854"/>
      <c r="G736" s="854"/>
      <c r="H736" s="854"/>
      <c r="I736" s="854"/>
      <c r="J736" s="854"/>
      <c r="K736" s="854"/>
      <c r="L736" s="854"/>
      <c r="M736" s="854"/>
      <c r="N736" s="854"/>
      <c r="O736" s="854"/>
      <c r="P736" s="854"/>
      <c r="Q736" s="854"/>
      <c r="R736" s="854"/>
      <c r="S736" s="854"/>
      <c r="T736" s="854"/>
      <c r="U736" s="854"/>
      <c r="V736" s="854"/>
      <c r="W736" s="854"/>
      <c r="X736" s="854"/>
      <c r="Y736" s="854"/>
      <c r="Z736" s="854"/>
      <c r="AA736" s="854"/>
      <c r="AB736" s="854"/>
      <c r="AC736" s="854"/>
      <c r="AD736" s="854"/>
      <c r="AE736" s="854"/>
      <c r="AF736" s="854"/>
      <c r="AG736" s="854"/>
      <c r="AH736" s="854"/>
      <c r="AI736" s="854"/>
      <c r="AJ736" s="854"/>
      <c r="AK736" s="854"/>
      <c r="AL736" s="854"/>
      <c r="AM736" s="854"/>
      <c r="AN736" s="854"/>
      <c r="AO736" s="854"/>
      <c r="AP736" s="854"/>
      <c r="AQ736" s="854"/>
      <c r="AR736" s="854"/>
      <c r="AS736" s="854"/>
      <c r="AT736" s="854"/>
      <c r="AU736" s="854"/>
      <c r="AV736" s="854"/>
      <c r="AW736" s="854"/>
      <c r="AX736" s="854"/>
      <c r="AY736" s="854"/>
      <c r="AZ736" s="854"/>
      <c r="BA736" s="854"/>
      <c r="BB736" s="854"/>
      <c r="BC736" s="854"/>
      <c r="BD736" s="854"/>
      <c r="BE736" s="854"/>
      <c r="BF736" s="854"/>
      <c r="BG736" s="854"/>
      <c r="BH736" s="854"/>
      <c r="BI736" s="854"/>
      <c r="BJ736" s="854"/>
      <c r="BK736" s="854"/>
      <c r="BL736" s="854"/>
      <c r="BM736" s="854"/>
      <c r="BN736" s="854"/>
      <c r="BO736" s="854"/>
      <c r="BP736" s="854"/>
      <c r="BQ736" s="854"/>
      <c r="BR736" s="854"/>
      <c r="BS736" s="854"/>
      <c r="BT736" s="854"/>
      <c r="BU736" s="854"/>
      <c r="BV736" s="854"/>
      <c r="BW736" s="854"/>
      <c r="BX736" s="854"/>
      <c r="BY736" s="854"/>
      <c r="BZ736" s="854"/>
      <c r="CA736" s="571">
        <f>IF(OR(I736="",I736&lt;'Configs &amp; Procedures'!$L$29),0,IF(I736&gt;'Configs &amp; Procedures'!$L$30,1,IF(F736&gt;'Configs &amp; Procedures'!$L$31,0,1)))</f>
        <v>0</v>
      </c>
    </row>
    <row r="737" spans="2:79">
      <c r="B737" s="854"/>
      <c r="C737" s="854"/>
      <c r="D737" s="854"/>
      <c r="E737" s="854"/>
      <c r="F737" s="854"/>
      <c r="G737" s="854"/>
      <c r="H737" s="854"/>
      <c r="I737" s="854"/>
      <c r="J737" s="854"/>
      <c r="K737" s="854"/>
      <c r="L737" s="854"/>
      <c r="M737" s="854"/>
      <c r="N737" s="854"/>
      <c r="O737" s="854"/>
      <c r="P737" s="854"/>
      <c r="Q737" s="854"/>
      <c r="R737" s="854"/>
      <c r="S737" s="854"/>
      <c r="T737" s="854"/>
      <c r="U737" s="854"/>
      <c r="V737" s="854"/>
      <c r="W737" s="854"/>
      <c r="X737" s="854"/>
      <c r="Y737" s="854"/>
      <c r="Z737" s="854"/>
      <c r="AA737" s="854"/>
      <c r="AB737" s="854"/>
      <c r="AC737" s="854"/>
      <c r="AD737" s="854"/>
      <c r="AE737" s="854"/>
      <c r="AF737" s="854"/>
      <c r="AG737" s="854"/>
      <c r="AH737" s="854"/>
      <c r="AI737" s="854"/>
      <c r="AJ737" s="854"/>
      <c r="AK737" s="854"/>
      <c r="AL737" s="854"/>
      <c r="AM737" s="854"/>
      <c r="AN737" s="854"/>
      <c r="AO737" s="854"/>
      <c r="AP737" s="854"/>
      <c r="AQ737" s="854"/>
      <c r="AR737" s="854"/>
      <c r="AS737" s="854"/>
      <c r="AT737" s="854"/>
      <c r="AU737" s="854"/>
      <c r="AV737" s="854"/>
      <c r="AW737" s="854"/>
      <c r="AX737" s="854"/>
      <c r="AY737" s="854"/>
      <c r="AZ737" s="854"/>
      <c r="BA737" s="854"/>
      <c r="BB737" s="854"/>
      <c r="BC737" s="854"/>
      <c r="BD737" s="854"/>
      <c r="BE737" s="854"/>
      <c r="BF737" s="854"/>
      <c r="BG737" s="854"/>
      <c r="BH737" s="854"/>
      <c r="BI737" s="854"/>
      <c r="BJ737" s="854"/>
      <c r="BK737" s="854"/>
      <c r="BL737" s="854"/>
      <c r="BM737" s="854"/>
      <c r="BN737" s="854"/>
      <c r="BO737" s="854"/>
      <c r="BP737" s="854"/>
      <c r="BQ737" s="854"/>
      <c r="BR737" s="854"/>
      <c r="BS737" s="854"/>
      <c r="BT737" s="854"/>
      <c r="BU737" s="854"/>
      <c r="BV737" s="854"/>
      <c r="BW737" s="854"/>
      <c r="BX737" s="854"/>
      <c r="BY737" s="854"/>
      <c r="BZ737" s="854"/>
      <c r="CA737" s="571">
        <f>IF(OR(I737="",I737&lt;'Configs &amp; Procedures'!$L$29),0,IF(I737&gt;'Configs &amp; Procedures'!$L$30,1,IF(F737&gt;'Configs &amp; Procedures'!$L$31,0,1)))</f>
        <v>0</v>
      </c>
    </row>
    <row r="738" spans="2:79">
      <c r="B738" s="854"/>
      <c r="C738" s="854"/>
      <c r="D738" s="854"/>
      <c r="E738" s="854"/>
      <c r="F738" s="854"/>
      <c r="G738" s="854"/>
      <c r="H738" s="854"/>
      <c r="I738" s="854"/>
      <c r="J738" s="854"/>
      <c r="K738" s="854"/>
      <c r="L738" s="854"/>
      <c r="M738" s="854"/>
      <c r="N738" s="854"/>
      <c r="O738" s="854"/>
      <c r="P738" s="854"/>
      <c r="Q738" s="854"/>
      <c r="R738" s="854"/>
      <c r="S738" s="854"/>
      <c r="T738" s="854"/>
      <c r="U738" s="854"/>
      <c r="V738" s="854"/>
      <c r="W738" s="854"/>
      <c r="X738" s="854"/>
      <c r="Y738" s="854"/>
      <c r="Z738" s="854"/>
      <c r="AA738" s="854"/>
      <c r="AB738" s="854"/>
      <c r="AC738" s="854"/>
      <c r="AD738" s="854"/>
      <c r="AE738" s="854"/>
      <c r="AF738" s="854"/>
      <c r="AG738" s="854"/>
      <c r="AH738" s="854"/>
      <c r="AI738" s="854"/>
      <c r="AJ738" s="854"/>
      <c r="AK738" s="854"/>
      <c r="AL738" s="854"/>
      <c r="AM738" s="854"/>
      <c r="AN738" s="854"/>
      <c r="AO738" s="854"/>
      <c r="AP738" s="854"/>
      <c r="AQ738" s="854"/>
      <c r="AR738" s="854"/>
      <c r="AS738" s="854"/>
      <c r="AT738" s="854"/>
      <c r="AU738" s="854"/>
      <c r="AV738" s="854"/>
      <c r="AW738" s="854"/>
      <c r="AX738" s="854"/>
      <c r="AY738" s="854"/>
      <c r="AZ738" s="854"/>
      <c r="BA738" s="854"/>
      <c r="BB738" s="854"/>
      <c r="BC738" s="854"/>
      <c r="BD738" s="854"/>
      <c r="BE738" s="854"/>
      <c r="BF738" s="854"/>
      <c r="BG738" s="854"/>
      <c r="BH738" s="854"/>
      <c r="BI738" s="854"/>
      <c r="BJ738" s="854"/>
      <c r="BK738" s="854"/>
      <c r="BL738" s="854"/>
      <c r="BM738" s="854"/>
      <c r="BN738" s="854"/>
      <c r="BO738" s="854"/>
      <c r="BP738" s="854"/>
      <c r="BQ738" s="854"/>
      <c r="BR738" s="854"/>
      <c r="BS738" s="854"/>
      <c r="BT738" s="854"/>
      <c r="BU738" s="854"/>
      <c r="BV738" s="854"/>
      <c r="BW738" s="854"/>
      <c r="BX738" s="854"/>
      <c r="BY738" s="854"/>
      <c r="BZ738" s="854"/>
      <c r="CA738" s="571">
        <f>IF(OR(I738="",I738&lt;'Configs &amp; Procedures'!$L$29),0,IF(I738&gt;'Configs &amp; Procedures'!$L$30,1,IF(F738&gt;'Configs &amp; Procedures'!$L$31,0,1)))</f>
        <v>0</v>
      </c>
    </row>
    <row r="739" spans="2:79">
      <c r="B739" s="854"/>
      <c r="C739" s="854"/>
      <c r="D739" s="854"/>
      <c r="E739" s="854"/>
      <c r="F739" s="854"/>
      <c r="G739" s="854"/>
      <c r="H739" s="854"/>
      <c r="I739" s="854"/>
      <c r="J739" s="854"/>
      <c r="K739" s="854"/>
      <c r="L739" s="854"/>
      <c r="M739" s="854"/>
      <c r="N739" s="854"/>
      <c r="O739" s="854"/>
      <c r="P739" s="854"/>
      <c r="Q739" s="854"/>
      <c r="R739" s="854"/>
      <c r="S739" s="854"/>
      <c r="T739" s="854"/>
      <c r="U739" s="854"/>
      <c r="V739" s="854"/>
      <c r="W739" s="854"/>
      <c r="X739" s="854"/>
      <c r="Y739" s="854"/>
      <c r="Z739" s="854"/>
      <c r="AA739" s="854"/>
      <c r="AB739" s="854"/>
      <c r="AC739" s="854"/>
      <c r="AD739" s="854"/>
      <c r="AE739" s="854"/>
      <c r="AF739" s="854"/>
      <c r="AG739" s="854"/>
      <c r="AH739" s="854"/>
      <c r="AI739" s="854"/>
      <c r="AJ739" s="854"/>
      <c r="AK739" s="854"/>
      <c r="AL739" s="854"/>
      <c r="AM739" s="854"/>
      <c r="AN739" s="854"/>
      <c r="AO739" s="854"/>
      <c r="AP739" s="854"/>
      <c r="AQ739" s="854"/>
      <c r="AR739" s="854"/>
      <c r="AS739" s="854"/>
      <c r="AT739" s="854"/>
      <c r="AU739" s="854"/>
      <c r="AV739" s="854"/>
      <c r="AW739" s="854"/>
      <c r="AX739" s="854"/>
      <c r="AY739" s="854"/>
      <c r="AZ739" s="854"/>
      <c r="BA739" s="854"/>
      <c r="BB739" s="854"/>
      <c r="BC739" s="854"/>
      <c r="BD739" s="854"/>
      <c r="BE739" s="854"/>
      <c r="BF739" s="854"/>
      <c r="BG739" s="854"/>
      <c r="BH739" s="854"/>
      <c r="BI739" s="854"/>
      <c r="BJ739" s="854"/>
      <c r="BK739" s="854"/>
      <c r="BL739" s="854"/>
      <c r="BM739" s="854"/>
      <c r="BN739" s="854"/>
      <c r="BO739" s="854"/>
      <c r="BP739" s="854"/>
      <c r="BQ739" s="854"/>
      <c r="BR739" s="854"/>
      <c r="BS739" s="854"/>
      <c r="BT739" s="854"/>
      <c r="BU739" s="854"/>
      <c r="BV739" s="854"/>
      <c r="BW739" s="854"/>
      <c r="BX739" s="854"/>
      <c r="BY739" s="854"/>
      <c r="BZ739" s="854"/>
      <c r="CA739" s="571">
        <f>IF(OR(I739="",I739&lt;'Configs &amp; Procedures'!$L$29),0,IF(I739&gt;'Configs &amp; Procedures'!$L$30,1,IF(F739&gt;'Configs &amp; Procedures'!$L$31,0,1)))</f>
        <v>0</v>
      </c>
    </row>
    <row r="740" spans="2:79">
      <c r="B740" s="854"/>
      <c r="C740" s="854"/>
      <c r="D740" s="854"/>
      <c r="E740" s="854"/>
      <c r="F740" s="854"/>
      <c r="G740" s="854"/>
      <c r="H740" s="854"/>
      <c r="I740" s="854"/>
      <c r="J740" s="854"/>
      <c r="K740" s="854"/>
      <c r="L740" s="854"/>
      <c r="M740" s="854"/>
      <c r="N740" s="854"/>
      <c r="O740" s="854"/>
      <c r="P740" s="854"/>
      <c r="Q740" s="854"/>
      <c r="R740" s="854"/>
      <c r="S740" s="854"/>
      <c r="T740" s="854"/>
      <c r="U740" s="854"/>
      <c r="V740" s="854"/>
      <c r="W740" s="854"/>
      <c r="X740" s="854"/>
      <c r="Y740" s="854"/>
      <c r="Z740" s="854"/>
      <c r="AA740" s="854"/>
      <c r="AB740" s="854"/>
      <c r="AC740" s="854"/>
      <c r="AD740" s="854"/>
      <c r="AE740" s="854"/>
      <c r="AF740" s="854"/>
      <c r="AG740" s="854"/>
      <c r="AH740" s="854"/>
      <c r="AI740" s="854"/>
      <c r="AJ740" s="854"/>
      <c r="AK740" s="854"/>
      <c r="AL740" s="854"/>
      <c r="AM740" s="854"/>
      <c r="AN740" s="854"/>
      <c r="AO740" s="854"/>
      <c r="AP740" s="854"/>
      <c r="AQ740" s="854"/>
      <c r="AR740" s="854"/>
      <c r="AS740" s="854"/>
      <c r="AT740" s="854"/>
      <c r="AU740" s="854"/>
      <c r="AV740" s="854"/>
      <c r="AW740" s="854"/>
      <c r="AX740" s="854"/>
      <c r="AY740" s="854"/>
      <c r="AZ740" s="854"/>
      <c r="BA740" s="854"/>
      <c r="BB740" s="854"/>
      <c r="BC740" s="854"/>
      <c r="BD740" s="854"/>
      <c r="BE740" s="854"/>
      <c r="BF740" s="854"/>
      <c r="BG740" s="854"/>
      <c r="BH740" s="854"/>
      <c r="BI740" s="854"/>
      <c r="BJ740" s="854"/>
      <c r="BK740" s="854"/>
      <c r="BL740" s="854"/>
      <c r="BM740" s="854"/>
      <c r="BN740" s="854"/>
      <c r="BO740" s="854"/>
      <c r="BP740" s="854"/>
      <c r="BQ740" s="854"/>
      <c r="BR740" s="854"/>
      <c r="BS740" s="854"/>
      <c r="BT740" s="854"/>
      <c r="BU740" s="854"/>
      <c r="BV740" s="854"/>
      <c r="BW740" s="854"/>
      <c r="BX740" s="854"/>
      <c r="BY740" s="854"/>
      <c r="BZ740" s="854"/>
      <c r="CA740" s="571">
        <f>IF(OR(I740="",I740&lt;'Configs &amp; Procedures'!$L$29),0,IF(I740&gt;'Configs &amp; Procedures'!$L$30,1,IF(F740&gt;'Configs &amp; Procedures'!$L$31,0,1)))</f>
        <v>0</v>
      </c>
    </row>
    <row r="741" spans="2:79">
      <c r="B741" s="854"/>
      <c r="C741" s="854"/>
      <c r="D741" s="854"/>
      <c r="E741" s="854"/>
      <c r="F741" s="854"/>
      <c r="G741" s="854"/>
      <c r="H741" s="854"/>
      <c r="I741" s="854"/>
      <c r="J741" s="854"/>
      <c r="K741" s="854"/>
      <c r="L741" s="854"/>
      <c r="M741" s="854"/>
      <c r="N741" s="854"/>
      <c r="O741" s="854"/>
      <c r="P741" s="854"/>
      <c r="Q741" s="854"/>
      <c r="R741" s="854"/>
      <c r="S741" s="854"/>
      <c r="T741" s="854"/>
      <c r="U741" s="854"/>
      <c r="V741" s="854"/>
      <c r="W741" s="854"/>
      <c r="X741" s="854"/>
      <c r="Y741" s="854"/>
      <c r="Z741" s="854"/>
      <c r="AA741" s="854"/>
      <c r="AB741" s="854"/>
      <c r="AC741" s="854"/>
      <c r="AD741" s="854"/>
      <c r="AE741" s="854"/>
      <c r="AF741" s="854"/>
      <c r="AG741" s="854"/>
      <c r="AH741" s="854"/>
      <c r="AI741" s="854"/>
      <c r="AJ741" s="854"/>
      <c r="AK741" s="854"/>
      <c r="AL741" s="854"/>
      <c r="AM741" s="854"/>
      <c r="AN741" s="854"/>
      <c r="AO741" s="854"/>
      <c r="AP741" s="854"/>
      <c r="AQ741" s="854"/>
      <c r="AR741" s="854"/>
      <c r="AS741" s="854"/>
      <c r="AT741" s="854"/>
      <c r="AU741" s="854"/>
      <c r="AV741" s="854"/>
      <c r="AW741" s="854"/>
      <c r="AX741" s="854"/>
      <c r="AY741" s="854"/>
      <c r="AZ741" s="854"/>
      <c r="BA741" s="854"/>
      <c r="BB741" s="854"/>
      <c r="BC741" s="854"/>
      <c r="BD741" s="854"/>
      <c r="BE741" s="854"/>
      <c r="BF741" s="854"/>
      <c r="BG741" s="854"/>
      <c r="BH741" s="854"/>
      <c r="BI741" s="854"/>
      <c r="BJ741" s="854"/>
      <c r="BK741" s="854"/>
      <c r="BL741" s="854"/>
      <c r="BM741" s="854"/>
      <c r="BN741" s="854"/>
      <c r="BO741" s="854"/>
      <c r="BP741" s="854"/>
      <c r="BQ741" s="854"/>
      <c r="BR741" s="854"/>
      <c r="BS741" s="854"/>
      <c r="BT741" s="854"/>
      <c r="BU741" s="854"/>
      <c r="BV741" s="854"/>
      <c r="BW741" s="854"/>
      <c r="BX741" s="854"/>
      <c r="BY741" s="854"/>
      <c r="BZ741" s="854"/>
      <c r="CA741" s="571">
        <f>IF(OR(I741="",I741&lt;'Configs &amp; Procedures'!$L$29),0,IF(I741&gt;'Configs &amp; Procedures'!$L$30,1,IF(F741&gt;'Configs &amp; Procedures'!$L$31,0,1)))</f>
        <v>0</v>
      </c>
    </row>
    <row r="742" spans="2:79">
      <c r="B742" s="854"/>
      <c r="C742" s="854"/>
      <c r="D742" s="854"/>
      <c r="E742" s="854"/>
      <c r="F742" s="854"/>
      <c r="G742" s="854"/>
      <c r="H742" s="854"/>
      <c r="I742" s="854"/>
      <c r="J742" s="854"/>
      <c r="K742" s="854"/>
      <c r="L742" s="854"/>
      <c r="M742" s="854"/>
      <c r="N742" s="854"/>
      <c r="O742" s="854"/>
      <c r="P742" s="854"/>
      <c r="Q742" s="854"/>
      <c r="R742" s="854"/>
      <c r="S742" s="854"/>
      <c r="T742" s="854"/>
      <c r="U742" s="854"/>
      <c r="V742" s="854"/>
      <c r="W742" s="854"/>
      <c r="X742" s="854"/>
      <c r="Y742" s="854"/>
      <c r="Z742" s="854"/>
      <c r="AA742" s="854"/>
      <c r="AB742" s="854"/>
      <c r="AC742" s="854"/>
      <c r="AD742" s="854"/>
      <c r="AE742" s="854"/>
      <c r="AF742" s="854"/>
      <c r="AG742" s="854"/>
      <c r="AH742" s="854"/>
      <c r="AI742" s="854"/>
      <c r="AJ742" s="854"/>
      <c r="AK742" s="854"/>
      <c r="AL742" s="854"/>
      <c r="AM742" s="854"/>
      <c r="AN742" s="854"/>
      <c r="AO742" s="854"/>
      <c r="AP742" s="854"/>
      <c r="AQ742" s="854"/>
      <c r="AR742" s="854"/>
      <c r="AS742" s="854"/>
      <c r="AT742" s="854"/>
      <c r="AU742" s="854"/>
      <c r="AV742" s="854"/>
      <c r="AW742" s="854"/>
      <c r="AX742" s="854"/>
      <c r="AY742" s="854"/>
      <c r="AZ742" s="854"/>
      <c r="BA742" s="854"/>
      <c r="BB742" s="854"/>
      <c r="BC742" s="854"/>
      <c r="BD742" s="854"/>
      <c r="BE742" s="854"/>
      <c r="BF742" s="854"/>
      <c r="BG742" s="854"/>
      <c r="BH742" s="854"/>
      <c r="BI742" s="854"/>
      <c r="BJ742" s="854"/>
      <c r="BK742" s="854"/>
      <c r="BL742" s="854"/>
      <c r="BM742" s="854"/>
      <c r="BN742" s="854"/>
      <c r="BO742" s="854"/>
      <c r="BP742" s="854"/>
      <c r="BQ742" s="854"/>
      <c r="BR742" s="854"/>
      <c r="BS742" s="854"/>
      <c r="BT742" s="854"/>
      <c r="BU742" s="854"/>
      <c r="BV742" s="854"/>
      <c r="BW742" s="854"/>
      <c r="BX742" s="854"/>
      <c r="BY742" s="854"/>
      <c r="BZ742" s="854"/>
      <c r="CA742" s="571">
        <f>IF(OR(I742="",I742&lt;'Configs &amp; Procedures'!$L$29),0,IF(I742&gt;'Configs &amp; Procedures'!$L$30,1,IF(F742&gt;'Configs &amp; Procedures'!$L$31,0,1)))</f>
        <v>0</v>
      </c>
    </row>
    <row r="743" spans="2:79">
      <c r="B743" s="854"/>
      <c r="C743" s="854"/>
      <c r="D743" s="854"/>
      <c r="E743" s="854"/>
      <c r="F743" s="854"/>
      <c r="G743" s="854"/>
      <c r="H743" s="854"/>
      <c r="I743" s="854"/>
      <c r="J743" s="854"/>
      <c r="K743" s="854"/>
      <c r="L743" s="854"/>
      <c r="M743" s="854"/>
      <c r="N743" s="854"/>
      <c r="O743" s="854"/>
      <c r="P743" s="854"/>
      <c r="Q743" s="854"/>
      <c r="R743" s="854"/>
      <c r="S743" s="854"/>
      <c r="T743" s="854"/>
      <c r="U743" s="854"/>
      <c r="V743" s="854"/>
      <c r="W743" s="854"/>
      <c r="X743" s="854"/>
      <c r="Y743" s="854"/>
      <c r="Z743" s="854"/>
      <c r="AA743" s="854"/>
      <c r="AB743" s="854"/>
      <c r="AC743" s="854"/>
      <c r="AD743" s="854"/>
      <c r="AE743" s="854"/>
      <c r="AF743" s="854"/>
      <c r="AG743" s="854"/>
      <c r="AH743" s="854"/>
      <c r="AI743" s="854"/>
      <c r="AJ743" s="854"/>
      <c r="AK743" s="854"/>
      <c r="AL743" s="854"/>
      <c r="AM743" s="854"/>
      <c r="AN743" s="854"/>
      <c r="AO743" s="854"/>
      <c r="AP743" s="854"/>
      <c r="AQ743" s="854"/>
      <c r="AR743" s="854"/>
      <c r="AS743" s="854"/>
      <c r="AT743" s="854"/>
      <c r="AU743" s="854"/>
      <c r="AV743" s="854"/>
      <c r="AW743" s="854"/>
      <c r="AX743" s="854"/>
      <c r="AY743" s="854"/>
      <c r="AZ743" s="854"/>
      <c r="BA743" s="854"/>
      <c r="BB743" s="854"/>
      <c r="BC743" s="854"/>
      <c r="BD743" s="854"/>
      <c r="BE743" s="854"/>
      <c r="BF743" s="854"/>
      <c r="BG743" s="854"/>
      <c r="BH743" s="854"/>
      <c r="BI743" s="854"/>
      <c r="BJ743" s="854"/>
      <c r="BK743" s="854"/>
      <c r="BL743" s="854"/>
      <c r="BM743" s="854"/>
      <c r="BN743" s="854"/>
      <c r="BO743" s="854"/>
      <c r="BP743" s="854"/>
      <c r="BQ743" s="854"/>
      <c r="BR743" s="854"/>
      <c r="BS743" s="854"/>
      <c r="BT743" s="854"/>
      <c r="BU743" s="854"/>
      <c r="BV743" s="854"/>
      <c r="BW743" s="854"/>
      <c r="BX743" s="854"/>
      <c r="BY743" s="854"/>
      <c r="BZ743" s="854"/>
      <c r="CA743" s="571">
        <f>IF(OR(I743="",I743&lt;'Configs &amp; Procedures'!$L$29),0,IF(I743&gt;'Configs &amp; Procedures'!$L$30,1,IF(F743&gt;'Configs &amp; Procedures'!$L$31,0,1)))</f>
        <v>0</v>
      </c>
    </row>
    <row r="744" spans="2:79">
      <c r="B744" s="854"/>
      <c r="C744" s="854"/>
      <c r="D744" s="854"/>
      <c r="E744" s="854"/>
      <c r="F744" s="854"/>
      <c r="G744" s="854"/>
      <c r="H744" s="854"/>
      <c r="I744" s="854"/>
      <c r="J744" s="854"/>
      <c r="K744" s="854"/>
      <c r="L744" s="854"/>
      <c r="M744" s="854"/>
      <c r="N744" s="854"/>
      <c r="O744" s="854"/>
      <c r="P744" s="854"/>
      <c r="Q744" s="854"/>
      <c r="R744" s="854"/>
      <c r="S744" s="854"/>
      <c r="T744" s="854"/>
      <c r="U744" s="854"/>
      <c r="V744" s="854"/>
      <c r="W744" s="854"/>
      <c r="X744" s="854"/>
      <c r="Y744" s="854"/>
      <c r="Z744" s="854"/>
      <c r="AA744" s="854"/>
      <c r="AB744" s="854"/>
      <c r="AC744" s="854"/>
      <c r="AD744" s="854"/>
      <c r="AE744" s="854"/>
      <c r="AF744" s="854"/>
      <c r="AG744" s="854"/>
      <c r="AH744" s="854"/>
      <c r="AI744" s="854"/>
      <c r="AJ744" s="854"/>
      <c r="AK744" s="854"/>
      <c r="AL744" s="854"/>
      <c r="AM744" s="854"/>
      <c r="AN744" s="854"/>
      <c r="AO744" s="854"/>
      <c r="AP744" s="854"/>
      <c r="AQ744" s="854"/>
      <c r="AR744" s="854"/>
      <c r="AS744" s="854"/>
      <c r="AT744" s="854"/>
      <c r="AU744" s="854"/>
      <c r="AV744" s="854"/>
      <c r="AW744" s="854"/>
      <c r="AX744" s="854"/>
      <c r="AY744" s="854"/>
      <c r="AZ744" s="854"/>
      <c r="BA744" s="854"/>
      <c r="BB744" s="854"/>
      <c r="BC744" s="854"/>
      <c r="BD744" s="854"/>
      <c r="BE744" s="854"/>
      <c r="BF744" s="854"/>
      <c r="BG744" s="854"/>
      <c r="BH744" s="854"/>
      <c r="BI744" s="854"/>
      <c r="BJ744" s="854"/>
      <c r="BK744" s="854"/>
      <c r="BL744" s="854"/>
      <c r="BM744" s="854"/>
      <c r="BN744" s="854"/>
      <c r="BO744" s="854"/>
      <c r="BP744" s="854"/>
      <c r="BQ744" s="854"/>
      <c r="BR744" s="854"/>
      <c r="BS744" s="854"/>
      <c r="BT744" s="854"/>
      <c r="BU744" s="854"/>
      <c r="BV744" s="854"/>
      <c r="BW744" s="854"/>
      <c r="BX744" s="854"/>
      <c r="BY744" s="854"/>
      <c r="BZ744" s="854"/>
      <c r="CA744" s="571">
        <f>IF(OR(I744="",I744&lt;'Configs &amp; Procedures'!$L$29),0,IF(I744&gt;'Configs &amp; Procedures'!$L$30,1,IF(F744&gt;'Configs &amp; Procedures'!$L$31,0,1)))</f>
        <v>0</v>
      </c>
    </row>
    <row r="745" spans="2:79">
      <c r="B745" s="854"/>
      <c r="C745" s="854"/>
      <c r="D745" s="854"/>
      <c r="E745" s="854"/>
      <c r="F745" s="854"/>
      <c r="G745" s="854"/>
      <c r="H745" s="854"/>
      <c r="I745" s="854"/>
      <c r="J745" s="854"/>
      <c r="K745" s="854"/>
      <c r="L745" s="854"/>
      <c r="M745" s="854"/>
      <c r="N745" s="854"/>
      <c r="O745" s="854"/>
      <c r="P745" s="854"/>
      <c r="Q745" s="854"/>
      <c r="R745" s="854"/>
      <c r="S745" s="854"/>
      <c r="T745" s="854"/>
      <c r="U745" s="854"/>
      <c r="V745" s="854"/>
      <c r="W745" s="854"/>
      <c r="X745" s="854"/>
      <c r="Y745" s="854"/>
      <c r="Z745" s="854"/>
      <c r="AA745" s="854"/>
      <c r="AB745" s="854"/>
      <c r="AC745" s="854"/>
      <c r="AD745" s="854"/>
      <c r="AE745" s="854"/>
      <c r="AF745" s="854"/>
      <c r="AG745" s="854"/>
      <c r="AH745" s="854"/>
      <c r="AI745" s="854"/>
      <c r="AJ745" s="854"/>
      <c r="AK745" s="854"/>
      <c r="AL745" s="854"/>
      <c r="AM745" s="854"/>
      <c r="AN745" s="854"/>
      <c r="AO745" s="854"/>
      <c r="AP745" s="854"/>
      <c r="AQ745" s="854"/>
      <c r="AR745" s="854"/>
      <c r="AS745" s="854"/>
      <c r="AT745" s="854"/>
      <c r="AU745" s="854"/>
      <c r="AV745" s="854"/>
      <c r="AW745" s="854"/>
      <c r="AX745" s="854"/>
      <c r="AY745" s="854"/>
      <c r="AZ745" s="854"/>
      <c r="BA745" s="854"/>
      <c r="BB745" s="854"/>
      <c r="BC745" s="854"/>
      <c r="BD745" s="854"/>
      <c r="BE745" s="854"/>
      <c r="BF745" s="854"/>
      <c r="BG745" s="854"/>
      <c r="BH745" s="854"/>
      <c r="BI745" s="854"/>
      <c r="BJ745" s="854"/>
      <c r="BK745" s="854"/>
      <c r="BL745" s="854"/>
      <c r="BM745" s="854"/>
      <c r="BN745" s="854"/>
      <c r="BO745" s="854"/>
      <c r="BP745" s="854"/>
      <c r="BQ745" s="854"/>
      <c r="BR745" s="854"/>
      <c r="BS745" s="854"/>
      <c r="BT745" s="854"/>
      <c r="BU745" s="854"/>
      <c r="BV745" s="854"/>
      <c r="BW745" s="854"/>
      <c r="BX745" s="854"/>
      <c r="BY745" s="854"/>
      <c r="BZ745" s="854"/>
      <c r="CA745" s="571">
        <f>IF(OR(I745="",I745&lt;'Configs &amp; Procedures'!$L$29),0,IF(I745&gt;'Configs &amp; Procedures'!$L$30,1,IF(F745&gt;'Configs &amp; Procedures'!$L$31,0,1)))</f>
        <v>0</v>
      </c>
    </row>
    <row r="746" spans="2:79">
      <c r="B746" s="854"/>
      <c r="C746" s="854"/>
      <c r="D746" s="854"/>
      <c r="E746" s="854"/>
      <c r="F746" s="854"/>
      <c r="G746" s="854"/>
      <c r="H746" s="854"/>
      <c r="I746" s="854"/>
      <c r="J746" s="854"/>
      <c r="K746" s="854"/>
      <c r="L746" s="854"/>
      <c r="M746" s="854"/>
      <c r="N746" s="854"/>
      <c r="O746" s="854"/>
      <c r="P746" s="854"/>
      <c r="Q746" s="854"/>
      <c r="R746" s="854"/>
      <c r="S746" s="854"/>
      <c r="T746" s="854"/>
      <c r="U746" s="854"/>
      <c r="V746" s="854"/>
      <c r="W746" s="854"/>
      <c r="X746" s="854"/>
      <c r="Y746" s="854"/>
      <c r="Z746" s="854"/>
      <c r="AA746" s="854"/>
      <c r="AB746" s="854"/>
      <c r="AC746" s="854"/>
      <c r="AD746" s="854"/>
      <c r="AE746" s="854"/>
      <c r="AF746" s="854"/>
      <c r="AG746" s="854"/>
      <c r="AH746" s="854"/>
      <c r="AI746" s="854"/>
      <c r="AJ746" s="854"/>
      <c r="AK746" s="854"/>
      <c r="AL746" s="854"/>
      <c r="AM746" s="854"/>
      <c r="AN746" s="854"/>
      <c r="AO746" s="854"/>
      <c r="AP746" s="854"/>
      <c r="AQ746" s="854"/>
      <c r="AR746" s="854"/>
      <c r="AS746" s="854"/>
      <c r="AT746" s="854"/>
      <c r="AU746" s="854"/>
      <c r="AV746" s="854"/>
      <c r="AW746" s="854"/>
      <c r="AX746" s="854"/>
      <c r="AY746" s="854"/>
      <c r="AZ746" s="854"/>
      <c r="BA746" s="854"/>
      <c r="BB746" s="854"/>
      <c r="BC746" s="854"/>
      <c r="BD746" s="854"/>
      <c r="BE746" s="854"/>
      <c r="BF746" s="854"/>
      <c r="BG746" s="854"/>
      <c r="BH746" s="854"/>
      <c r="BI746" s="854"/>
      <c r="BJ746" s="854"/>
      <c r="BK746" s="854"/>
      <c r="BL746" s="854"/>
      <c r="BM746" s="854"/>
      <c r="BN746" s="854"/>
      <c r="BO746" s="854"/>
      <c r="BP746" s="854"/>
      <c r="BQ746" s="854"/>
      <c r="BR746" s="854"/>
      <c r="BS746" s="854"/>
      <c r="BT746" s="854"/>
      <c r="BU746" s="854"/>
      <c r="BV746" s="854"/>
      <c r="BW746" s="854"/>
      <c r="BX746" s="854"/>
      <c r="BY746" s="854"/>
      <c r="BZ746" s="854"/>
      <c r="CA746" s="571">
        <f>IF(OR(I746="",I746&lt;'Configs &amp; Procedures'!$L$29),0,IF(I746&gt;'Configs &amp; Procedures'!$L$30,1,IF(F746&gt;'Configs &amp; Procedures'!$L$31,0,1)))</f>
        <v>0</v>
      </c>
    </row>
    <row r="747" spans="2:79">
      <c r="B747" s="854"/>
      <c r="C747" s="854"/>
      <c r="D747" s="854"/>
      <c r="E747" s="854"/>
      <c r="F747" s="854"/>
      <c r="G747" s="854"/>
      <c r="H747" s="854"/>
      <c r="I747" s="854"/>
      <c r="J747" s="854"/>
      <c r="K747" s="854"/>
      <c r="L747" s="854"/>
      <c r="M747" s="854"/>
      <c r="N747" s="854"/>
      <c r="O747" s="854"/>
      <c r="P747" s="854"/>
      <c r="Q747" s="854"/>
      <c r="R747" s="854"/>
      <c r="S747" s="854"/>
      <c r="T747" s="854"/>
      <c r="U747" s="854"/>
      <c r="V747" s="854"/>
      <c r="W747" s="854"/>
      <c r="X747" s="854"/>
      <c r="Y747" s="854"/>
      <c r="Z747" s="854"/>
      <c r="AA747" s="854"/>
      <c r="AB747" s="854"/>
      <c r="AC747" s="854"/>
      <c r="AD747" s="854"/>
      <c r="AE747" s="854"/>
      <c r="AF747" s="854"/>
      <c r="AG747" s="854"/>
      <c r="AH747" s="854"/>
      <c r="AI747" s="854"/>
      <c r="AJ747" s="854"/>
      <c r="AK747" s="854"/>
      <c r="AL747" s="854"/>
      <c r="AM747" s="854"/>
      <c r="AN747" s="854"/>
      <c r="AO747" s="854"/>
      <c r="AP747" s="854"/>
      <c r="AQ747" s="854"/>
      <c r="AR747" s="854"/>
      <c r="AS747" s="854"/>
      <c r="AT747" s="854"/>
      <c r="AU747" s="854"/>
      <c r="AV747" s="854"/>
      <c r="AW747" s="854"/>
      <c r="AX747" s="854"/>
      <c r="AY747" s="854"/>
      <c r="AZ747" s="854"/>
      <c r="BA747" s="854"/>
      <c r="BB747" s="854"/>
      <c r="BC747" s="854"/>
      <c r="BD747" s="854"/>
      <c r="BE747" s="854"/>
      <c r="BF747" s="854"/>
      <c r="BG747" s="854"/>
      <c r="BH747" s="854"/>
      <c r="BI747" s="854"/>
      <c r="BJ747" s="854"/>
      <c r="BK747" s="854"/>
      <c r="BL747" s="854"/>
      <c r="BM747" s="854"/>
      <c r="BN747" s="854"/>
      <c r="BO747" s="854"/>
      <c r="BP747" s="854"/>
      <c r="BQ747" s="854"/>
      <c r="BR747" s="854"/>
      <c r="BS747" s="854"/>
      <c r="BT747" s="854"/>
      <c r="BU747" s="854"/>
      <c r="BV747" s="854"/>
      <c r="BW747" s="854"/>
      <c r="BX747" s="854"/>
      <c r="BY747" s="854"/>
      <c r="BZ747" s="854"/>
      <c r="CA747" s="571">
        <f>IF(OR(I747="",I747&lt;'Configs &amp; Procedures'!$L$29),0,IF(I747&gt;'Configs &amp; Procedures'!$L$30,1,IF(F747&gt;'Configs &amp; Procedures'!$L$31,0,1)))</f>
        <v>0</v>
      </c>
    </row>
    <row r="748" spans="2:79">
      <c r="B748" s="854"/>
      <c r="C748" s="854"/>
      <c r="D748" s="854"/>
      <c r="E748" s="854"/>
      <c r="F748" s="854"/>
      <c r="G748" s="854"/>
      <c r="H748" s="854"/>
      <c r="I748" s="854"/>
      <c r="J748" s="854"/>
      <c r="K748" s="854"/>
      <c r="L748" s="854"/>
      <c r="M748" s="854"/>
      <c r="N748" s="854"/>
      <c r="O748" s="854"/>
      <c r="P748" s="854"/>
      <c r="Q748" s="854"/>
      <c r="R748" s="854"/>
      <c r="S748" s="854"/>
      <c r="T748" s="854"/>
      <c r="U748" s="854"/>
      <c r="V748" s="854"/>
      <c r="W748" s="854"/>
      <c r="X748" s="854"/>
      <c r="Y748" s="854"/>
      <c r="Z748" s="854"/>
      <c r="AA748" s="854"/>
      <c r="AB748" s="854"/>
      <c r="AC748" s="854"/>
      <c r="AD748" s="854"/>
      <c r="AE748" s="854"/>
      <c r="AF748" s="854"/>
      <c r="AG748" s="854"/>
      <c r="AH748" s="854"/>
      <c r="AI748" s="854"/>
      <c r="AJ748" s="854"/>
      <c r="AK748" s="854"/>
      <c r="AL748" s="854"/>
      <c r="AM748" s="854"/>
      <c r="AN748" s="854"/>
      <c r="AO748" s="854"/>
      <c r="AP748" s="854"/>
      <c r="AQ748" s="854"/>
      <c r="AR748" s="854"/>
      <c r="AS748" s="854"/>
      <c r="AT748" s="854"/>
      <c r="AU748" s="854"/>
      <c r="AV748" s="854"/>
      <c r="AW748" s="854"/>
      <c r="AX748" s="854"/>
      <c r="AY748" s="854"/>
      <c r="AZ748" s="854"/>
      <c r="BA748" s="854"/>
      <c r="BB748" s="854"/>
      <c r="BC748" s="854"/>
      <c r="BD748" s="854"/>
      <c r="BE748" s="854"/>
      <c r="BF748" s="854"/>
      <c r="BG748" s="854"/>
      <c r="BH748" s="854"/>
      <c r="BI748" s="854"/>
      <c r="BJ748" s="854"/>
      <c r="BK748" s="854"/>
      <c r="BL748" s="854"/>
      <c r="BM748" s="854"/>
      <c r="BN748" s="854"/>
      <c r="BO748" s="854"/>
      <c r="BP748" s="854"/>
      <c r="BQ748" s="854"/>
      <c r="BR748" s="854"/>
      <c r="BS748" s="854"/>
      <c r="BT748" s="854"/>
      <c r="BU748" s="854"/>
      <c r="BV748" s="854"/>
      <c r="BW748" s="854"/>
      <c r="BX748" s="854"/>
      <c r="BY748" s="854"/>
      <c r="BZ748" s="854"/>
      <c r="CA748" s="571">
        <f>IF(OR(I748="",I748&lt;'Configs &amp; Procedures'!$L$29),0,IF(I748&gt;'Configs &amp; Procedures'!$L$30,1,IF(F748&gt;'Configs &amp; Procedures'!$L$31,0,1)))</f>
        <v>0</v>
      </c>
    </row>
    <row r="749" spans="2:79">
      <c r="B749" s="854"/>
      <c r="C749" s="854"/>
      <c r="D749" s="854"/>
      <c r="E749" s="854"/>
      <c r="F749" s="854"/>
      <c r="G749" s="854"/>
      <c r="H749" s="854"/>
      <c r="I749" s="854"/>
      <c r="J749" s="854"/>
      <c r="K749" s="854"/>
      <c r="L749" s="854"/>
      <c r="M749" s="854"/>
      <c r="N749" s="854"/>
      <c r="O749" s="854"/>
      <c r="P749" s="854"/>
      <c r="Q749" s="854"/>
      <c r="R749" s="854"/>
      <c r="S749" s="854"/>
      <c r="T749" s="854"/>
      <c r="U749" s="854"/>
      <c r="V749" s="854"/>
      <c r="W749" s="854"/>
      <c r="X749" s="854"/>
      <c r="Y749" s="854"/>
      <c r="Z749" s="854"/>
      <c r="AA749" s="854"/>
      <c r="AB749" s="854"/>
      <c r="AC749" s="854"/>
      <c r="AD749" s="854"/>
      <c r="AE749" s="854"/>
      <c r="AF749" s="854"/>
      <c r="AG749" s="854"/>
      <c r="AH749" s="854"/>
      <c r="AI749" s="854"/>
      <c r="AJ749" s="854"/>
      <c r="AK749" s="854"/>
      <c r="AL749" s="854"/>
      <c r="AM749" s="854"/>
      <c r="AN749" s="854"/>
      <c r="AO749" s="854"/>
      <c r="AP749" s="854"/>
      <c r="AQ749" s="854"/>
      <c r="AR749" s="854"/>
      <c r="AS749" s="854"/>
      <c r="AT749" s="854"/>
      <c r="AU749" s="854"/>
      <c r="AV749" s="854"/>
      <c r="AW749" s="854"/>
      <c r="AX749" s="854"/>
      <c r="AY749" s="854"/>
      <c r="AZ749" s="854"/>
      <c r="BA749" s="854"/>
      <c r="BB749" s="854"/>
      <c r="BC749" s="854"/>
      <c r="BD749" s="854"/>
      <c r="BE749" s="854"/>
      <c r="BF749" s="854"/>
      <c r="BG749" s="854"/>
      <c r="BH749" s="854"/>
      <c r="BI749" s="854"/>
      <c r="BJ749" s="854"/>
      <c r="BK749" s="854"/>
      <c r="BL749" s="854"/>
      <c r="BM749" s="854"/>
      <c r="BN749" s="854"/>
      <c r="BO749" s="854"/>
      <c r="BP749" s="854"/>
      <c r="BQ749" s="854"/>
      <c r="BR749" s="854"/>
      <c r="BS749" s="854"/>
      <c r="BT749" s="854"/>
      <c r="BU749" s="854"/>
      <c r="BV749" s="854"/>
      <c r="BW749" s="854"/>
      <c r="BX749" s="854"/>
      <c r="BY749" s="854"/>
      <c r="BZ749" s="854"/>
      <c r="CA749" s="571">
        <f>IF(OR(I749="",I749&lt;'Configs &amp; Procedures'!$L$29),0,IF(I749&gt;'Configs &amp; Procedures'!$L$30,1,IF(F749&gt;'Configs &amp; Procedures'!$L$31,0,1)))</f>
        <v>0</v>
      </c>
    </row>
    <row r="750" spans="2:79">
      <c r="B750" s="854"/>
      <c r="C750" s="854"/>
      <c r="D750" s="854"/>
      <c r="E750" s="854"/>
      <c r="F750" s="854"/>
      <c r="G750" s="854"/>
      <c r="H750" s="854"/>
      <c r="I750" s="854"/>
      <c r="J750" s="854"/>
      <c r="K750" s="854"/>
      <c r="L750" s="854"/>
      <c r="M750" s="854"/>
      <c r="N750" s="854"/>
      <c r="O750" s="854"/>
      <c r="P750" s="854"/>
      <c r="Q750" s="854"/>
      <c r="R750" s="854"/>
      <c r="S750" s="854"/>
      <c r="T750" s="854"/>
      <c r="U750" s="854"/>
      <c r="V750" s="854"/>
      <c r="W750" s="854"/>
      <c r="X750" s="854"/>
      <c r="Y750" s="854"/>
      <c r="Z750" s="854"/>
      <c r="AA750" s="854"/>
      <c r="AB750" s="854"/>
      <c r="AC750" s="854"/>
      <c r="AD750" s="854"/>
      <c r="AE750" s="854"/>
      <c r="AF750" s="854"/>
      <c r="AG750" s="854"/>
      <c r="AH750" s="854"/>
      <c r="AI750" s="854"/>
      <c r="AJ750" s="854"/>
      <c r="AK750" s="854"/>
      <c r="AL750" s="854"/>
      <c r="AM750" s="854"/>
      <c r="AN750" s="854"/>
      <c r="AO750" s="854"/>
      <c r="AP750" s="854"/>
      <c r="AQ750" s="854"/>
      <c r="AR750" s="854"/>
      <c r="AS750" s="854"/>
      <c r="AT750" s="854"/>
      <c r="AU750" s="854"/>
      <c r="AV750" s="854"/>
      <c r="AW750" s="854"/>
      <c r="AX750" s="854"/>
      <c r="AY750" s="854"/>
      <c r="AZ750" s="854"/>
      <c r="BA750" s="854"/>
      <c r="BB750" s="854"/>
      <c r="BC750" s="854"/>
      <c r="BD750" s="854"/>
      <c r="BE750" s="854"/>
      <c r="BF750" s="854"/>
      <c r="BG750" s="854"/>
      <c r="BH750" s="854"/>
      <c r="BI750" s="854"/>
      <c r="BJ750" s="854"/>
      <c r="BK750" s="854"/>
      <c r="BL750" s="854"/>
      <c r="BM750" s="854"/>
      <c r="BN750" s="854"/>
      <c r="BO750" s="854"/>
      <c r="BP750" s="854"/>
      <c r="BQ750" s="854"/>
      <c r="BR750" s="854"/>
      <c r="BS750" s="854"/>
      <c r="BT750" s="854"/>
      <c r="BU750" s="854"/>
      <c r="BV750" s="854"/>
      <c r="BW750" s="854"/>
      <c r="BX750" s="854"/>
      <c r="BY750" s="854"/>
      <c r="BZ750" s="854"/>
      <c r="CA750" s="571">
        <f>IF(OR(I750="",I750&lt;'Configs &amp; Procedures'!$L$29),0,IF(I750&gt;'Configs &amp; Procedures'!$L$30,1,IF(F750&gt;'Configs &amp; Procedures'!$L$31,0,1)))</f>
        <v>0</v>
      </c>
    </row>
    <row r="751" spans="2:79">
      <c r="B751" s="854"/>
      <c r="C751" s="854"/>
      <c r="D751" s="854"/>
      <c r="E751" s="854"/>
      <c r="F751" s="854"/>
      <c r="G751" s="854"/>
      <c r="H751" s="854"/>
      <c r="I751" s="854"/>
      <c r="J751" s="854"/>
      <c r="K751" s="854"/>
      <c r="L751" s="854"/>
      <c r="M751" s="854"/>
      <c r="N751" s="854"/>
      <c r="O751" s="854"/>
      <c r="P751" s="854"/>
      <c r="Q751" s="854"/>
      <c r="R751" s="854"/>
      <c r="S751" s="854"/>
      <c r="T751" s="854"/>
      <c r="U751" s="854"/>
      <c r="V751" s="854"/>
      <c r="W751" s="854"/>
      <c r="X751" s="854"/>
      <c r="Y751" s="854"/>
      <c r="Z751" s="854"/>
      <c r="AA751" s="854"/>
      <c r="AB751" s="854"/>
      <c r="AC751" s="854"/>
      <c r="AD751" s="854"/>
      <c r="AE751" s="854"/>
      <c r="AF751" s="854"/>
      <c r="AG751" s="854"/>
      <c r="AH751" s="854"/>
      <c r="AI751" s="854"/>
      <c r="AJ751" s="854"/>
      <c r="AK751" s="854"/>
      <c r="AL751" s="854"/>
      <c r="AM751" s="854"/>
      <c r="AN751" s="854"/>
      <c r="AO751" s="854"/>
      <c r="AP751" s="854"/>
      <c r="AQ751" s="854"/>
      <c r="AR751" s="854"/>
      <c r="AS751" s="854"/>
      <c r="AT751" s="854"/>
      <c r="AU751" s="854"/>
      <c r="AV751" s="854"/>
      <c r="AW751" s="854"/>
      <c r="AX751" s="854"/>
      <c r="AY751" s="854"/>
      <c r="AZ751" s="854"/>
      <c r="BA751" s="854"/>
      <c r="BB751" s="854"/>
      <c r="BC751" s="854"/>
      <c r="BD751" s="854"/>
      <c r="BE751" s="854"/>
      <c r="BF751" s="854"/>
      <c r="BG751" s="854"/>
      <c r="BH751" s="854"/>
      <c r="BI751" s="854"/>
      <c r="BJ751" s="854"/>
      <c r="BK751" s="854"/>
      <c r="BL751" s="854"/>
      <c r="BM751" s="854"/>
      <c r="BN751" s="854"/>
      <c r="BO751" s="854"/>
      <c r="BP751" s="854"/>
      <c r="BQ751" s="854"/>
      <c r="BR751" s="854"/>
      <c r="BS751" s="854"/>
      <c r="BT751" s="854"/>
      <c r="BU751" s="854"/>
      <c r="BV751" s="854"/>
      <c r="BW751" s="854"/>
      <c r="BX751" s="854"/>
      <c r="BY751" s="854"/>
      <c r="BZ751" s="854"/>
      <c r="CA751" s="571">
        <f>IF(OR(I751="",I751&lt;'Configs &amp; Procedures'!$L$29),0,IF(I751&gt;'Configs &amp; Procedures'!$L$30,1,IF(F751&gt;'Configs &amp; Procedures'!$L$31,0,1)))</f>
        <v>0</v>
      </c>
    </row>
    <row r="752" spans="2:79">
      <c r="B752" s="854"/>
      <c r="C752" s="854"/>
      <c r="D752" s="854"/>
      <c r="E752" s="854"/>
      <c r="F752" s="854"/>
      <c r="G752" s="854"/>
      <c r="H752" s="854"/>
      <c r="I752" s="854"/>
      <c r="J752" s="854"/>
      <c r="K752" s="854"/>
      <c r="L752" s="854"/>
      <c r="M752" s="854"/>
      <c r="N752" s="854"/>
      <c r="O752" s="854"/>
      <c r="P752" s="854"/>
      <c r="Q752" s="854"/>
      <c r="R752" s="854"/>
      <c r="S752" s="854"/>
      <c r="T752" s="854"/>
      <c r="U752" s="854"/>
      <c r="V752" s="854"/>
      <c r="W752" s="854"/>
      <c r="X752" s="854"/>
      <c r="Y752" s="854"/>
      <c r="Z752" s="854"/>
      <c r="AA752" s="854"/>
      <c r="AB752" s="854"/>
      <c r="AC752" s="854"/>
      <c r="AD752" s="854"/>
      <c r="AE752" s="854"/>
      <c r="AF752" s="854"/>
      <c r="AG752" s="854"/>
      <c r="AH752" s="854"/>
      <c r="AI752" s="854"/>
      <c r="AJ752" s="854"/>
      <c r="AK752" s="854"/>
      <c r="AL752" s="854"/>
      <c r="AM752" s="854"/>
      <c r="AN752" s="854"/>
      <c r="AO752" s="854"/>
      <c r="AP752" s="854"/>
      <c r="AQ752" s="854"/>
      <c r="AR752" s="854"/>
      <c r="AS752" s="854"/>
      <c r="AT752" s="854"/>
      <c r="AU752" s="854"/>
      <c r="AV752" s="854"/>
      <c r="AW752" s="854"/>
      <c r="AX752" s="854"/>
      <c r="AY752" s="854"/>
      <c r="AZ752" s="854"/>
      <c r="BA752" s="854"/>
      <c r="BB752" s="854"/>
      <c r="BC752" s="854"/>
      <c r="BD752" s="854"/>
      <c r="BE752" s="854"/>
      <c r="BF752" s="854"/>
      <c r="BG752" s="854"/>
      <c r="BH752" s="854"/>
      <c r="BI752" s="854"/>
      <c r="BJ752" s="854"/>
      <c r="BK752" s="854"/>
      <c r="BL752" s="854"/>
      <c r="BM752" s="854"/>
      <c r="BN752" s="854"/>
      <c r="BO752" s="854"/>
      <c r="BP752" s="854"/>
      <c r="BQ752" s="854"/>
      <c r="BR752" s="854"/>
      <c r="BS752" s="854"/>
      <c r="BT752" s="854"/>
      <c r="BU752" s="854"/>
      <c r="BV752" s="854"/>
      <c r="BW752" s="854"/>
      <c r="BX752" s="854"/>
      <c r="BY752" s="854"/>
      <c r="BZ752" s="854"/>
      <c r="CA752" s="571">
        <f>IF(OR(I752="",I752&lt;'Configs &amp; Procedures'!$L$29),0,IF(I752&gt;'Configs &amp; Procedures'!$L$30,1,IF(F752&gt;'Configs &amp; Procedures'!$L$31,0,1)))</f>
        <v>0</v>
      </c>
    </row>
    <row r="753" spans="2:79">
      <c r="B753" s="854"/>
      <c r="C753" s="854"/>
      <c r="D753" s="854"/>
      <c r="E753" s="854"/>
      <c r="F753" s="854"/>
      <c r="G753" s="854"/>
      <c r="H753" s="854"/>
      <c r="I753" s="854"/>
      <c r="J753" s="854"/>
      <c r="K753" s="854"/>
      <c r="L753" s="854"/>
      <c r="M753" s="854"/>
      <c r="N753" s="854"/>
      <c r="O753" s="854"/>
      <c r="P753" s="854"/>
      <c r="Q753" s="854"/>
      <c r="R753" s="854"/>
      <c r="S753" s="854"/>
      <c r="T753" s="854"/>
      <c r="U753" s="854"/>
      <c r="V753" s="854"/>
      <c r="W753" s="854"/>
      <c r="X753" s="854"/>
      <c r="Y753" s="854"/>
      <c r="Z753" s="854"/>
      <c r="AA753" s="854"/>
      <c r="AB753" s="854"/>
      <c r="AC753" s="854"/>
      <c r="AD753" s="854"/>
      <c r="AE753" s="854"/>
      <c r="AF753" s="854"/>
      <c r="AG753" s="854"/>
      <c r="AH753" s="854"/>
      <c r="AI753" s="854"/>
      <c r="AJ753" s="854"/>
      <c r="AK753" s="854"/>
      <c r="AL753" s="854"/>
      <c r="AM753" s="854"/>
      <c r="AN753" s="854"/>
      <c r="AO753" s="854"/>
      <c r="AP753" s="854"/>
      <c r="AQ753" s="854"/>
      <c r="AR753" s="854"/>
      <c r="AS753" s="854"/>
      <c r="AT753" s="854"/>
      <c r="AU753" s="854"/>
      <c r="AV753" s="854"/>
      <c r="AW753" s="854"/>
      <c r="AX753" s="854"/>
      <c r="AY753" s="854"/>
      <c r="AZ753" s="854"/>
      <c r="BA753" s="854"/>
      <c r="BB753" s="854"/>
      <c r="BC753" s="854"/>
      <c r="BD753" s="854"/>
      <c r="BE753" s="854"/>
      <c r="BF753" s="854"/>
      <c r="BG753" s="854"/>
      <c r="BH753" s="854"/>
      <c r="BI753" s="854"/>
      <c r="BJ753" s="854"/>
      <c r="BK753" s="854"/>
      <c r="BL753" s="854"/>
      <c r="BM753" s="854"/>
      <c r="BN753" s="854"/>
      <c r="BO753" s="854"/>
      <c r="BP753" s="854"/>
      <c r="BQ753" s="854"/>
      <c r="BR753" s="854"/>
      <c r="BS753" s="854"/>
      <c r="BT753" s="854"/>
      <c r="BU753" s="854"/>
      <c r="BV753" s="854"/>
      <c r="BW753" s="854"/>
      <c r="BX753" s="854"/>
      <c r="BY753" s="854"/>
      <c r="BZ753" s="854"/>
      <c r="CA753" s="571">
        <f>IF(OR(I753="",I753&lt;'Configs &amp; Procedures'!$L$29),0,IF(I753&gt;'Configs &amp; Procedures'!$L$30,1,IF(F753&gt;'Configs &amp; Procedures'!$L$31,0,1)))</f>
        <v>0</v>
      </c>
    </row>
    <row r="754" spans="2:79">
      <c r="B754" s="854"/>
      <c r="C754" s="854"/>
      <c r="D754" s="854"/>
      <c r="E754" s="854"/>
      <c r="F754" s="854"/>
      <c r="G754" s="854"/>
      <c r="H754" s="854"/>
      <c r="I754" s="854"/>
      <c r="J754" s="854"/>
      <c r="K754" s="854"/>
      <c r="L754" s="854"/>
      <c r="M754" s="854"/>
      <c r="N754" s="854"/>
      <c r="O754" s="854"/>
      <c r="P754" s="854"/>
      <c r="Q754" s="854"/>
      <c r="R754" s="854"/>
      <c r="S754" s="854"/>
      <c r="T754" s="854"/>
      <c r="U754" s="854"/>
      <c r="V754" s="854"/>
      <c r="W754" s="854"/>
      <c r="X754" s="854"/>
      <c r="Y754" s="854"/>
      <c r="Z754" s="854"/>
      <c r="AA754" s="854"/>
      <c r="AB754" s="854"/>
      <c r="AC754" s="854"/>
      <c r="AD754" s="854"/>
      <c r="AE754" s="854"/>
      <c r="AF754" s="854"/>
      <c r="AG754" s="854"/>
      <c r="AH754" s="854"/>
      <c r="AI754" s="854"/>
      <c r="AJ754" s="854"/>
      <c r="AK754" s="854"/>
      <c r="AL754" s="854"/>
      <c r="AM754" s="854"/>
      <c r="AN754" s="854"/>
      <c r="AO754" s="854"/>
      <c r="AP754" s="854"/>
      <c r="AQ754" s="854"/>
      <c r="AR754" s="854"/>
      <c r="AS754" s="854"/>
      <c r="AT754" s="854"/>
      <c r="AU754" s="854"/>
      <c r="AV754" s="854"/>
      <c r="AW754" s="854"/>
      <c r="AX754" s="854"/>
      <c r="AY754" s="854"/>
      <c r="AZ754" s="854"/>
      <c r="BA754" s="854"/>
      <c r="BB754" s="854"/>
      <c r="BC754" s="854"/>
      <c r="BD754" s="854"/>
      <c r="BE754" s="854"/>
      <c r="BF754" s="854"/>
      <c r="BG754" s="854"/>
      <c r="BH754" s="854"/>
      <c r="BI754" s="854"/>
      <c r="BJ754" s="854"/>
      <c r="BK754" s="854"/>
      <c r="BL754" s="854"/>
      <c r="BM754" s="854"/>
      <c r="BN754" s="854"/>
      <c r="BO754" s="854"/>
      <c r="BP754" s="854"/>
      <c r="BQ754" s="854"/>
      <c r="BR754" s="854"/>
      <c r="BS754" s="854"/>
      <c r="BT754" s="854"/>
      <c r="BU754" s="854"/>
      <c r="BV754" s="854"/>
      <c r="BW754" s="854"/>
      <c r="BX754" s="854"/>
      <c r="BY754" s="854"/>
      <c r="BZ754" s="854"/>
      <c r="CA754" s="571">
        <f>IF(OR(I754="",I754&lt;'Configs &amp; Procedures'!$L$29),0,IF(I754&gt;'Configs &amp; Procedures'!$L$30,1,IF(F754&gt;'Configs &amp; Procedures'!$L$31,0,1)))</f>
        <v>0</v>
      </c>
    </row>
    <row r="755" spans="2:79">
      <c r="B755" s="854"/>
      <c r="C755" s="854"/>
      <c r="D755" s="854"/>
      <c r="E755" s="854"/>
      <c r="F755" s="854"/>
      <c r="G755" s="854"/>
      <c r="H755" s="854"/>
      <c r="I755" s="854"/>
      <c r="J755" s="854"/>
      <c r="K755" s="854"/>
      <c r="L755" s="854"/>
      <c r="M755" s="854"/>
      <c r="N755" s="854"/>
      <c r="O755" s="854"/>
      <c r="P755" s="854"/>
      <c r="Q755" s="854"/>
      <c r="R755" s="854"/>
      <c r="S755" s="854"/>
      <c r="T755" s="854"/>
      <c r="U755" s="854"/>
      <c r="V755" s="854"/>
      <c r="W755" s="854"/>
      <c r="X755" s="854"/>
      <c r="Y755" s="854"/>
      <c r="Z755" s="854"/>
      <c r="AA755" s="854"/>
      <c r="AB755" s="854"/>
      <c r="AC755" s="854"/>
      <c r="AD755" s="854"/>
      <c r="AE755" s="854"/>
      <c r="AF755" s="854"/>
      <c r="AG755" s="854"/>
      <c r="AH755" s="854"/>
      <c r="AI755" s="854"/>
      <c r="AJ755" s="854"/>
      <c r="AK755" s="854"/>
      <c r="AL755" s="854"/>
      <c r="AM755" s="854"/>
      <c r="AN755" s="854"/>
      <c r="AO755" s="854"/>
      <c r="AP755" s="854"/>
      <c r="AQ755" s="854"/>
      <c r="AR755" s="854"/>
      <c r="AS755" s="854"/>
      <c r="AT755" s="854"/>
      <c r="AU755" s="854"/>
      <c r="AV755" s="854"/>
      <c r="AW755" s="854"/>
      <c r="AX755" s="854"/>
      <c r="AY755" s="854"/>
      <c r="AZ755" s="854"/>
      <c r="BA755" s="854"/>
      <c r="BB755" s="854"/>
      <c r="BC755" s="854"/>
      <c r="BD755" s="854"/>
      <c r="BE755" s="854"/>
      <c r="BF755" s="854"/>
      <c r="BG755" s="854"/>
      <c r="BH755" s="854"/>
      <c r="BI755" s="854"/>
      <c r="BJ755" s="854"/>
      <c r="BK755" s="854"/>
      <c r="BL755" s="854"/>
      <c r="BM755" s="854"/>
      <c r="BN755" s="854"/>
      <c r="BO755" s="854"/>
      <c r="BP755" s="854"/>
      <c r="BQ755" s="854"/>
      <c r="BR755" s="854"/>
      <c r="BS755" s="854"/>
      <c r="BT755" s="854"/>
      <c r="BU755" s="854"/>
      <c r="BV755" s="854"/>
      <c r="BW755" s="854"/>
      <c r="BX755" s="854"/>
      <c r="BY755" s="854"/>
      <c r="BZ755" s="854"/>
      <c r="CA755" s="571">
        <f>IF(OR(I755="",I755&lt;'Configs &amp; Procedures'!$L$29),0,IF(I755&gt;'Configs &amp; Procedures'!$L$30,1,IF(F755&gt;'Configs &amp; Procedures'!$L$31,0,1)))</f>
        <v>0</v>
      </c>
    </row>
    <row r="756" spans="2:79">
      <c r="B756" s="854"/>
      <c r="C756" s="854"/>
      <c r="D756" s="854"/>
      <c r="E756" s="854"/>
      <c r="F756" s="854"/>
      <c r="G756" s="854"/>
      <c r="H756" s="854"/>
      <c r="I756" s="854"/>
      <c r="J756" s="854"/>
      <c r="K756" s="854"/>
      <c r="L756" s="854"/>
      <c r="M756" s="854"/>
      <c r="N756" s="854"/>
      <c r="O756" s="854"/>
      <c r="P756" s="854"/>
      <c r="Q756" s="854"/>
      <c r="R756" s="854"/>
      <c r="S756" s="854"/>
      <c r="T756" s="854"/>
      <c r="U756" s="854"/>
      <c r="V756" s="854"/>
      <c r="W756" s="854"/>
      <c r="X756" s="854"/>
      <c r="Y756" s="854"/>
      <c r="Z756" s="854"/>
      <c r="AA756" s="854"/>
      <c r="AB756" s="854"/>
      <c r="AC756" s="854"/>
      <c r="AD756" s="854"/>
      <c r="AE756" s="854"/>
      <c r="AF756" s="854"/>
      <c r="AG756" s="854"/>
      <c r="AH756" s="854"/>
      <c r="AI756" s="854"/>
      <c r="AJ756" s="854"/>
      <c r="AK756" s="854"/>
      <c r="AL756" s="854"/>
      <c r="AM756" s="854"/>
      <c r="AN756" s="854"/>
      <c r="AO756" s="854"/>
      <c r="AP756" s="854"/>
      <c r="AQ756" s="854"/>
      <c r="AR756" s="854"/>
      <c r="AS756" s="854"/>
      <c r="AT756" s="854"/>
      <c r="AU756" s="854"/>
      <c r="AV756" s="854"/>
      <c r="AW756" s="854"/>
      <c r="AX756" s="854"/>
      <c r="AY756" s="854"/>
      <c r="AZ756" s="854"/>
      <c r="BA756" s="854"/>
      <c r="BB756" s="854"/>
      <c r="BC756" s="854"/>
      <c r="BD756" s="854"/>
      <c r="BE756" s="854"/>
      <c r="BF756" s="854"/>
      <c r="BG756" s="854"/>
      <c r="BH756" s="854"/>
      <c r="BI756" s="854"/>
      <c r="BJ756" s="854"/>
      <c r="BK756" s="854"/>
      <c r="BL756" s="854"/>
      <c r="BM756" s="854"/>
      <c r="BN756" s="854"/>
      <c r="BO756" s="854"/>
      <c r="BP756" s="854"/>
      <c r="BQ756" s="854"/>
      <c r="BR756" s="854"/>
      <c r="BS756" s="854"/>
      <c r="BT756" s="854"/>
      <c r="BU756" s="854"/>
      <c r="BV756" s="854"/>
      <c r="BW756" s="854"/>
      <c r="BX756" s="854"/>
      <c r="BY756" s="854"/>
      <c r="BZ756" s="854"/>
      <c r="CA756" s="571">
        <f>IF(OR(I756="",I756&lt;'Configs &amp; Procedures'!$L$29),0,IF(I756&gt;'Configs &amp; Procedures'!$L$30,1,IF(F756&gt;'Configs &amp; Procedures'!$L$31,0,1)))</f>
        <v>0</v>
      </c>
    </row>
    <row r="757" spans="2:79">
      <c r="B757" s="854"/>
      <c r="C757" s="854"/>
      <c r="D757" s="854"/>
      <c r="E757" s="854"/>
      <c r="F757" s="854"/>
      <c r="G757" s="854"/>
      <c r="H757" s="854"/>
      <c r="I757" s="854"/>
      <c r="J757" s="854"/>
      <c r="K757" s="854"/>
      <c r="L757" s="854"/>
      <c r="M757" s="854"/>
      <c r="N757" s="854"/>
      <c r="O757" s="854"/>
      <c r="P757" s="854"/>
      <c r="Q757" s="854"/>
      <c r="R757" s="854"/>
      <c r="S757" s="854"/>
      <c r="T757" s="854"/>
      <c r="U757" s="854"/>
      <c r="V757" s="854"/>
      <c r="W757" s="854"/>
      <c r="X757" s="854"/>
      <c r="Y757" s="854"/>
      <c r="Z757" s="854"/>
      <c r="AA757" s="854"/>
      <c r="AB757" s="854"/>
      <c r="AC757" s="854"/>
      <c r="AD757" s="854"/>
      <c r="AE757" s="854"/>
      <c r="AF757" s="854"/>
      <c r="AG757" s="854"/>
      <c r="AH757" s="854"/>
      <c r="AI757" s="854"/>
      <c r="AJ757" s="854"/>
      <c r="AK757" s="854"/>
      <c r="AL757" s="854"/>
      <c r="AM757" s="854"/>
      <c r="AN757" s="854"/>
      <c r="AO757" s="854"/>
      <c r="AP757" s="854"/>
      <c r="AQ757" s="854"/>
      <c r="AR757" s="854"/>
      <c r="AS757" s="854"/>
      <c r="AT757" s="854"/>
      <c r="AU757" s="854"/>
      <c r="AV757" s="854"/>
      <c r="AW757" s="854"/>
      <c r="AX757" s="854"/>
      <c r="AY757" s="854"/>
      <c r="AZ757" s="854"/>
      <c r="BA757" s="854"/>
      <c r="BB757" s="854"/>
      <c r="BC757" s="854"/>
      <c r="BD757" s="854"/>
      <c r="BE757" s="854"/>
      <c r="BF757" s="854"/>
      <c r="BG757" s="854"/>
      <c r="BH757" s="854"/>
      <c r="BI757" s="854"/>
      <c r="BJ757" s="854"/>
      <c r="BK757" s="854"/>
      <c r="BL757" s="854"/>
      <c r="BM757" s="854"/>
      <c r="BN757" s="854"/>
      <c r="BO757" s="854"/>
      <c r="BP757" s="854"/>
      <c r="BQ757" s="854"/>
      <c r="BR757" s="854"/>
      <c r="BS757" s="854"/>
      <c r="BT757" s="854"/>
      <c r="BU757" s="854"/>
      <c r="BV757" s="854"/>
      <c r="BW757" s="854"/>
      <c r="BX757" s="854"/>
      <c r="BY757" s="854"/>
      <c r="BZ757" s="854"/>
      <c r="CA757" s="571">
        <f>IF(OR(I757="",I757&lt;'Configs &amp; Procedures'!$L$29),0,IF(I757&gt;'Configs &amp; Procedures'!$L$30,1,IF(F757&gt;'Configs &amp; Procedures'!$L$31,0,1)))</f>
        <v>0</v>
      </c>
    </row>
    <row r="758" spans="2:79">
      <c r="B758" s="854"/>
      <c r="C758" s="854"/>
      <c r="D758" s="854"/>
      <c r="E758" s="854"/>
      <c r="F758" s="854"/>
      <c r="G758" s="854"/>
      <c r="H758" s="854"/>
      <c r="I758" s="854"/>
      <c r="J758" s="854"/>
      <c r="K758" s="854"/>
      <c r="L758" s="854"/>
      <c r="M758" s="854"/>
      <c r="N758" s="854"/>
      <c r="O758" s="854"/>
      <c r="P758" s="854"/>
      <c r="Q758" s="854"/>
      <c r="R758" s="854"/>
      <c r="S758" s="854"/>
      <c r="T758" s="854"/>
      <c r="U758" s="854"/>
      <c r="V758" s="854"/>
      <c r="W758" s="854"/>
      <c r="X758" s="854"/>
      <c r="Y758" s="854"/>
      <c r="Z758" s="854"/>
      <c r="AA758" s="854"/>
      <c r="AB758" s="854"/>
      <c r="AC758" s="854"/>
      <c r="AD758" s="854"/>
      <c r="AE758" s="854"/>
      <c r="AF758" s="854"/>
      <c r="AG758" s="854"/>
      <c r="AH758" s="854"/>
      <c r="AI758" s="854"/>
      <c r="AJ758" s="854"/>
      <c r="AK758" s="854"/>
      <c r="AL758" s="854"/>
      <c r="AM758" s="854"/>
      <c r="AN758" s="854"/>
      <c r="AO758" s="854"/>
      <c r="AP758" s="854"/>
      <c r="AQ758" s="854"/>
      <c r="AR758" s="854"/>
      <c r="AS758" s="854"/>
      <c r="AT758" s="854"/>
      <c r="AU758" s="854"/>
      <c r="AV758" s="854"/>
      <c r="AW758" s="854"/>
      <c r="AX758" s="854"/>
      <c r="AY758" s="854"/>
      <c r="AZ758" s="854"/>
      <c r="BA758" s="854"/>
      <c r="BB758" s="854"/>
      <c r="BC758" s="854"/>
      <c r="BD758" s="854"/>
      <c r="BE758" s="854"/>
      <c r="BF758" s="854"/>
      <c r="BG758" s="854"/>
      <c r="BH758" s="854"/>
      <c r="BI758" s="854"/>
      <c r="BJ758" s="854"/>
      <c r="BK758" s="854"/>
      <c r="BL758" s="854"/>
      <c r="BM758" s="854"/>
      <c r="BN758" s="854"/>
      <c r="BO758" s="854"/>
      <c r="BP758" s="854"/>
      <c r="BQ758" s="854"/>
      <c r="BR758" s="854"/>
      <c r="BS758" s="854"/>
      <c r="BT758" s="854"/>
      <c r="BU758" s="854"/>
      <c r="BV758" s="854"/>
      <c r="BW758" s="854"/>
      <c r="BX758" s="854"/>
      <c r="BY758" s="854"/>
      <c r="BZ758" s="854"/>
      <c r="CA758" s="571">
        <f>IF(OR(I758="",I758&lt;'Configs &amp; Procedures'!$L$29),0,IF(I758&gt;'Configs &amp; Procedures'!$L$30,1,IF(F758&gt;'Configs &amp; Procedures'!$L$31,0,1)))</f>
        <v>0</v>
      </c>
    </row>
    <row r="759" spans="2:79">
      <c r="B759" s="854"/>
      <c r="C759" s="854"/>
      <c r="D759" s="854"/>
      <c r="E759" s="854"/>
      <c r="F759" s="854"/>
      <c r="G759" s="854"/>
      <c r="H759" s="854"/>
      <c r="I759" s="854"/>
      <c r="J759" s="854"/>
      <c r="K759" s="854"/>
      <c r="L759" s="854"/>
      <c r="M759" s="854"/>
      <c r="N759" s="854"/>
      <c r="O759" s="854"/>
      <c r="P759" s="854"/>
      <c r="Q759" s="854"/>
      <c r="R759" s="854"/>
      <c r="S759" s="854"/>
      <c r="T759" s="854"/>
      <c r="U759" s="854"/>
      <c r="V759" s="854"/>
      <c r="W759" s="854"/>
      <c r="X759" s="854"/>
      <c r="Y759" s="854"/>
      <c r="Z759" s="854"/>
      <c r="AA759" s="854"/>
      <c r="AB759" s="854"/>
      <c r="AC759" s="854"/>
      <c r="AD759" s="854"/>
      <c r="AE759" s="854"/>
      <c r="AF759" s="854"/>
      <c r="AG759" s="854"/>
      <c r="AH759" s="854"/>
      <c r="AI759" s="854"/>
      <c r="AJ759" s="854"/>
      <c r="AK759" s="854"/>
      <c r="AL759" s="854"/>
      <c r="AM759" s="854"/>
      <c r="AN759" s="854"/>
      <c r="AO759" s="854"/>
      <c r="AP759" s="854"/>
      <c r="AQ759" s="854"/>
      <c r="AR759" s="854"/>
      <c r="AS759" s="854"/>
      <c r="AT759" s="854"/>
      <c r="AU759" s="854"/>
      <c r="AV759" s="854"/>
      <c r="AW759" s="854"/>
      <c r="AX759" s="854"/>
      <c r="AY759" s="854"/>
      <c r="AZ759" s="854"/>
      <c r="BA759" s="854"/>
      <c r="BB759" s="854"/>
      <c r="BC759" s="854"/>
      <c r="BD759" s="854"/>
      <c r="BE759" s="854"/>
      <c r="BF759" s="854"/>
      <c r="BG759" s="854"/>
      <c r="BH759" s="854"/>
      <c r="BI759" s="854"/>
      <c r="BJ759" s="854"/>
      <c r="BK759" s="854"/>
      <c r="BL759" s="854"/>
      <c r="BM759" s="854"/>
      <c r="BN759" s="854"/>
      <c r="BO759" s="854"/>
      <c r="BP759" s="854"/>
      <c r="BQ759" s="854"/>
      <c r="BR759" s="854"/>
      <c r="BS759" s="854"/>
      <c r="BT759" s="854"/>
      <c r="BU759" s="854"/>
      <c r="BV759" s="854"/>
      <c r="BW759" s="854"/>
      <c r="BX759" s="854"/>
      <c r="BY759" s="854"/>
      <c r="BZ759" s="854"/>
      <c r="CA759" s="571">
        <f>IF(OR(I759="",I759&lt;'Configs &amp; Procedures'!$L$29),0,IF(I759&gt;'Configs &amp; Procedures'!$L$30,1,IF(F759&gt;'Configs &amp; Procedures'!$L$31,0,1)))</f>
        <v>0</v>
      </c>
    </row>
    <row r="760" spans="2:79">
      <c r="B760" s="854"/>
      <c r="C760" s="854"/>
      <c r="D760" s="854"/>
      <c r="E760" s="854"/>
      <c r="F760" s="854"/>
      <c r="G760" s="854"/>
      <c r="H760" s="854"/>
      <c r="I760" s="854"/>
      <c r="J760" s="854"/>
      <c r="K760" s="854"/>
      <c r="L760" s="854"/>
      <c r="M760" s="854"/>
      <c r="N760" s="854"/>
      <c r="O760" s="854"/>
      <c r="P760" s="854"/>
      <c r="Q760" s="854"/>
      <c r="R760" s="854"/>
      <c r="S760" s="854"/>
      <c r="T760" s="854"/>
      <c r="U760" s="854"/>
      <c r="V760" s="854"/>
      <c r="W760" s="854"/>
      <c r="X760" s="854"/>
      <c r="Y760" s="854"/>
      <c r="Z760" s="854"/>
      <c r="AA760" s="854"/>
      <c r="AB760" s="854"/>
      <c r="AC760" s="854"/>
      <c r="AD760" s="854"/>
      <c r="AE760" s="854"/>
      <c r="AF760" s="854"/>
      <c r="AG760" s="854"/>
      <c r="AH760" s="854"/>
      <c r="AI760" s="854"/>
      <c r="AJ760" s="854"/>
      <c r="AK760" s="854"/>
      <c r="AL760" s="854"/>
      <c r="AM760" s="854"/>
      <c r="AN760" s="854"/>
      <c r="AO760" s="854"/>
      <c r="AP760" s="854"/>
      <c r="AQ760" s="854"/>
      <c r="AR760" s="854"/>
      <c r="AS760" s="854"/>
      <c r="AT760" s="854"/>
      <c r="AU760" s="854"/>
      <c r="AV760" s="854"/>
      <c r="AW760" s="854"/>
      <c r="AX760" s="854"/>
      <c r="AY760" s="854"/>
      <c r="AZ760" s="854"/>
      <c r="BA760" s="854"/>
      <c r="BB760" s="854"/>
      <c r="BC760" s="854"/>
      <c r="BD760" s="854"/>
      <c r="BE760" s="854"/>
      <c r="BF760" s="854"/>
      <c r="BG760" s="854"/>
      <c r="BH760" s="854"/>
      <c r="BI760" s="854"/>
      <c r="BJ760" s="854"/>
      <c r="BK760" s="854"/>
      <c r="BL760" s="854"/>
      <c r="BM760" s="854"/>
      <c r="BN760" s="854"/>
      <c r="BO760" s="854"/>
      <c r="BP760" s="854"/>
      <c r="BQ760" s="854"/>
      <c r="BR760" s="854"/>
      <c r="BS760" s="854"/>
      <c r="BT760" s="854"/>
      <c r="BU760" s="854"/>
      <c r="BV760" s="854"/>
      <c r="BW760" s="854"/>
      <c r="BX760" s="854"/>
      <c r="BY760" s="854"/>
      <c r="BZ760" s="854"/>
      <c r="CA760" s="571">
        <f>IF(OR(I760="",I760&lt;'Configs &amp; Procedures'!$L$29),0,IF(I760&gt;'Configs &amp; Procedures'!$L$30,1,IF(F760&gt;'Configs &amp; Procedures'!$L$31,0,1)))</f>
        <v>0</v>
      </c>
    </row>
    <row r="761" spans="2:79">
      <c r="B761" s="854"/>
      <c r="C761" s="854"/>
      <c r="D761" s="854"/>
      <c r="E761" s="854"/>
      <c r="F761" s="854"/>
      <c r="G761" s="854"/>
      <c r="H761" s="854"/>
      <c r="I761" s="854"/>
      <c r="J761" s="854"/>
      <c r="K761" s="854"/>
      <c r="L761" s="854"/>
      <c r="M761" s="854"/>
      <c r="N761" s="854"/>
      <c r="O761" s="854"/>
      <c r="P761" s="854"/>
      <c r="Q761" s="854"/>
      <c r="R761" s="854"/>
      <c r="S761" s="854"/>
      <c r="T761" s="854"/>
      <c r="U761" s="854"/>
      <c r="V761" s="854"/>
      <c r="W761" s="854"/>
      <c r="X761" s="854"/>
      <c r="Y761" s="854"/>
      <c r="Z761" s="854"/>
      <c r="AA761" s="854"/>
      <c r="AB761" s="854"/>
      <c r="AC761" s="854"/>
      <c r="AD761" s="854"/>
      <c r="AE761" s="854"/>
      <c r="AF761" s="854"/>
      <c r="AG761" s="854"/>
      <c r="AH761" s="854"/>
      <c r="AI761" s="854"/>
      <c r="AJ761" s="854"/>
      <c r="AK761" s="854"/>
      <c r="AL761" s="854"/>
      <c r="AM761" s="854"/>
      <c r="AN761" s="854"/>
      <c r="AO761" s="854"/>
      <c r="AP761" s="854"/>
      <c r="AQ761" s="854"/>
      <c r="AR761" s="854"/>
      <c r="AS761" s="854"/>
      <c r="AT761" s="854"/>
      <c r="AU761" s="854"/>
      <c r="AV761" s="854"/>
      <c r="AW761" s="854"/>
      <c r="AX761" s="854"/>
      <c r="AY761" s="854"/>
      <c r="AZ761" s="854"/>
      <c r="BA761" s="854"/>
      <c r="BB761" s="854"/>
      <c r="BC761" s="854"/>
      <c r="BD761" s="854"/>
      <c r="BE761" s="854"/>
      <c r="BF761" s="854"/>
      <c r="BG761" s="854"/>
      <c r="BH761" s="854"/>
      <c r="BI761" s="854"/>
      <c r="BJ761" s="854"/>
      <c r="BK761" s="854"/>
      <c r="BL761" s="854"/>
      <c r="BM761" s="854"/>
      <c r="BN761" s="854"/>
      <c r="BO761" s="854"/>
      <c r="BP761" s="854"/>
      <c r="BQ761" s="854"/>
      <c r="BR761" s="854"/>
      <c r="BS761" s="854"/>
      <c r="BT761" s="854"/>
      <c r="BU761" s="854"/>
      <c r="BV761" s="854"/>
      <c r="BW761" s="854"/>
      <c r="BX761" s="854"/>
      <c r="BY761" s="854"/>
      <c r="BZ761" s="854"/>
      <c r="CA761" s="571">
        <f>IF(OR(I761="",I761&lt;'Configs &amp; Procedures'!$L$29),0,IF(I761&gt;'Configs &amp; Procedures'!$L$30,1,IF(F761&gt;'Configs &amp; Procedures'!$L$31,0,1)))</f>
        <v>0</v>
      </c>
    </row>
    <row r="762" spans="2:79">
      <c r="B762" s="854"/>
      <c r="C762" s="854"/>
      <c r="D762" s="854"/>
      <c r="E762" s="854"/>
      <c r="F762" s="854"/>
      <c r="G762" s="854"/>
      <c r="H762" s="854"/>
      <c r="I762" s="854"/>
      <c r="J762" s="854"/>
      <c r="K762" s="854"/>
      <c r="L762" s="854"/>
      <c r="M762" s="854"/>
      <c r="N762" s="854"/>
      <c r="O762" s="854"/>
      <c r="P762" s="854"/>
      <c r="Q762" s="854"/>
      <c r="R762" s="854"/>
      <c r="S762" s="854"/>
      <c r="T762" s="854"/>
      <c r="U762" s="854"/>
      <c r="V762" s="854"/>
      <c r="W762" s="854"/>
      <c r="X762" s="854"/>
      <c r="Y762" s="854"/>
      <c r="Z762" s="854"/>
      <c r="AA762" s="854"/>
      <c r="AB762" s="854"/>
      <c r="AC762" s="854"/>
      <c r="AD762" s="854"/>
      <c r="AE762" s="854"/>
      <c r="AF762" s="854"/>
      <c r="AG762" s="854"/>
      <c r="AH762" s="854"/>
      <c r="AI762" s="854"/>
      <c r="AJ762" s="854"/>
      <c r="AK762" s="854"/>
      <c r="AL762" s="854"/>
      <c r="AM762" s="854"/>
      <c r="AN762" s="854"/>
      <c r="AO762" s="854"/>
      <c r="AP762" s="854"/>
      <c r="AQ762" s="854"/>
      <c r="AR762" s="854"/>
      <c r="AS762" s="854"/>
      <c r="AT762" s="854"/>
      <c r="AU762" s="854"/>
      <c r="AV762" s="854"/>
      <c r="AW762" s="854"/>
      <c r="AX762" s="854"/>
      <c r="AY762" s="854"/>
      <c r="AZ762" s="854"/>
      <c r="BA762" s="854"/>
      <c r="BB762" s="854"/>
      <c r="BC762" s="854"/>
      <c r="BD762" s="854"/>
      <c r="BE762" s="854"/>
      <c r="BF762" s="854"/>
      <c r="BG762" s="854"/>
      <c r="BH762" s="854"/>
      <c r="BI762" s="854"/>
      <c r="BJ762" s="854"/>
      <c r="BK762" s="854"/>
      <c r="BL762" s="854"/>
      <c r="BM762" s="854"/>
      <c r="BN762" s="854"/>
      <c r="BO762" s="854"/>
      <c r="BP762" s="854"/>
      <c r="BQ762" s="854"/>
      <c r="BR762" s="854"/>
      <c r="BS762" s="854"/>
      <c r="BT762" s="854"/>
      <c r="BU762" s="854"/>
      <c r="BV762" s="854"/>
      <c r="BW762" s="854"/>
      <c r="BX762" s="854"/>
      <c r="BY762" s="854"/>
      <c r="BZ762" s="854"/>
      <c r="CA762" s="571">
        <f>IF(OR(I762="",I762&lt;'Configs &amp; Procedures'!$L$29),0,IF(I762&gt;'Configs &amp; Procedures'!$L$30,1,IF(F762&gt;'Configs &amp; Procedures'!$L$31,0,1)))</f>
        <v>0</v>
      </c>
    </row>
    <row r="763" spans="2:79">
      <c r="B763" s="854"/>
      <c r="C763" s="854"/>
      <c r="D763" s="854"/>
      <c r="E763" s="854"/>
      <c r="F763" s="854"/>
      <c r="G763" s="854"/>
      <c r="H763" s="854"/>
      <c r="I763" s="854"/>
      <c r="J763" s="854"/>
      <c r="K763" s="854"/>
      <c r="L763" s="854"/>
      <c r="M763" s="854"/>
      <c r="N763" s="854"/>
      <c r="O763" s="854"/>
      <c r="P763" s="854"/>
      <c r="Q763" s="854"/>
      <c r="R763" s="854"/>
      <c r="S763" s="854"/>
      <c r="T763" s="854"/>
      <c r="U763" s="854"/>
      <c r="V763" s="854"/>
      <c r="W763" s="854"/>
      <c r="X763" s="854"/>
      <c r="Y763" s="854"/>
      <c r="Z763" s="854"/>
      <c r="AA763" s="854"/>
      <c r="AB763" s="854"/>
      <c r="AC763" s="854"/>
      <c r="AD763" s="854"/>
      <c r="AE763" s="854"/>
      <c r="AF763" s="854"/>
      <c r="AG763" s="854"/>
      <c r="AH763" s="854"/>
      <c r="AI763" s="854"/>
      <c r="AJ763" s="854"/>
      <c r="AK763" s="854"/>
      <c r="AL763" s="854"/>
      <c r="AM763" s="854"/>
      <c r="AN763" s="854"/>
      <c r="AO763" s="854"/>
      <c r="AP763" s="854"/>
      <c r="AQ763" s="854"/>
      <c r="AR763" s="854"/>
      <c r="AS763" s="854"/>
      <c r="AT763" s="854"/>
      <c r="AU763" s="854"/>
      <c r="AV763" s="854"/>
      <c r="AW763" s="854"/>
      <c r="AX763" s="854"/>
      <c r="AY763" s="854"/>
      <c r="AZ763" s="854"/>
      <c r="BA763" s="854"/>
      <c r="BB763" s="854"/>
      <c r="BC763" s="854"/>
      <c r="BD763" s="854"/>
      <c r="BE763" s="854"/>
      <c r="BF763" s="854"/>
      <c r="BG763" s="854"/>
      <c r="BH763" s="854"/>
      <c r="BI763" s="854"/>
      <c r="BJ763" s="854"/>
      <c r="BK763" s="854"/>
      <c r="BL763" s="854"/>
      <c r="BM763" s="854"/>
      <c r="BN763" s="854"/>
      <c r="BO763" s="854"/>
      <c r="BP763" s="854"/>
      <c r="BQ763" s="854"/>
      <c r="BR763" s="854"/>
      <c r="BS763" s="854"/>
      <c r="BT763" s="854"/>
      <c r="BU763" s="854"/>
      <c r="BV763" s="854"/>
      <c r="BW763" s="854"/>
      <c r="BX763" s="854"/>
      <c r="BY763" s="854"/>
      <c r="BZ763" s="854"/>
      <c r="CA763" s="571">
        <f>IF(OR(I763="",I763&lt;'Configs &amp; Procedures'!$L$29),0,IF(I763&gt;'Configs &amp; Procedures'!$L$30,1,IF(F763&gt;'Configs &amp; Procedures'!$L$31,0,1)))</f>
        <v>0</v>
      </c>
    </row>
    <row r="764" spans="2:79">
      <c r="B764" s="854"/>
      <c r="C764" s="854"/>
      <c r="D764" s="854"/>
      <c r="E764" s="854"/>
      <c r="F764" s="854"/>
      <c r="G764" s="854"/>
      <c r="H764" s="854"/>
      <c r="I764" s="854"/>
      <c r="J764" s="854"/>
      <c r="K764" s="854"/>
      <c r="L764" s="854"/>
      <c r="M764" s="854"/>
      <c r="N764" s="854"/>
      <c r="O764" s="854"/>
      <c r="P764" s="854"/>
      <c r="Q764" s="854"/>
      <c r="R764" s="854"/>
      <c r="S764" s="854"/>
      <c r="T764" s="854"/>
      <c r="U764" s="854"/>
      <c r="V764" s="854"/>
      <c r="W764" s="854"/>
      <c r="X764" s="854"/>
      <c r="Y764" s="854"/>
      <c r="Z764" s="854"/>
      <c r="AA764" s="854"/>
      <c r="AB764" s="854"/>
      <c r="AC764" s="854"/>
      <c r="AD764" s="854"/>
      <c r="AE764" s="854"/>
      <c r="AF764" s="854"/>
      <c r="AG764" s="854"/>
      <c r="AH764" s="854"/>
      <c r="AI764" s="854"/>
      <c r="AJ764" s="854"/>
      <c r="AK764" s="854"/>
      <c r="AL764" s="854"/>
      <c r="AM764" s="854"/>
      <c r="AN764" s="854"/>
      <c r="AO764" s="854"/>
      <c r="AP764" s="854"/>
      <c r="AQ764" s="854"/>
      <c r="AR764" s="854"/>
      <c r="AS764" s="854"/>
      <c r="AT764" s="854"/>
      <c r="AU764" s="854"/>
      <c r="AV764" s="854"/>
      <c r="AW764" s="854"/>
      <c r="AX764" s="854"/>
      <c r="AY764" s="854"/>
      <c r="AZ764" s="854"/>
      <c r="BA764" s="854"/>
      <c r="BB764" s="854"/>
      <c r="BC764" s="854"/>
      <c r="BD764" s="854"/>
      <c r="BE764" s="854"/>
      <c r="BF764" s="854"/>
      <c r="BG764" s="854"/>
      <c r="BH764" s="854"/>
      <c r="BI764" s="854"/>
      <c r="BJ764" s="854"/>
      <c r="BK764" s="854"/>
      <c r="BL764" s="854"/>
      <c r="BM764" s="854"/>
      <c r="BN764" s="854"/>
      <c r="BO764" s="854"/>
      <c r="BP764" s="854"/>
      <c r="BQ764" s="854"/>
      <c r="BR764" s="854"/>
      <c r="BS764" s="854"/>
      <c r="BT764" s="854"/>
      <c r="BU764" s="854"/>
      <c r="BV764" s="854"/>
      <c r="BW764" s="854"/>
      <c r="BX764" s="854"/>
      <c r="BY764" s="854"/>
      <c r="BZ764" s="854"/>
      <c r="CA764" s="571">
        <f>IF(OR(I764="",I764&lt;'Configs &amp; Procedures'!$L$29),0,IF(I764&gt;'Configs &amp; Procedures'!$L$30,1,IF(F764&gt;'Configs &amp; Procedures'!$L$31,0,1)))</f>
        <v>0</v>
      </c>
    </row>
    <row r="765" spans="2:79">
      <c r="B765" s="854"/>
      <c r="C765" s="854"/>
      <c r="D765" s="854"/>
      <c r="E765" s="854"/>
      <c r="F765" s="854"/>
      <c r="G765" s="854"/>
      <c r="H765" s="854"/>
      <c r="I765" s="854"/>
      <c r="J765" s="854"/>
      <c r="K765" s="854"/>
      <c r="L765" s="854"/>
      <c r="M765" s="854"/>
      <c r="N765" s="854"/>
      <c r="O765" s="854"/>
      <c r="P765" s="854"/>
      <c r="Q765" s="854"/>
      <c r="R765" s="854"/>
      <c r="S765" s="854"/>
      <c r="T765" s="854"/>
      <c r="U765" s="854"/>
      <c r="V765" s="854"/>
      <c r="W765" s="854"/>
      <c r="X765" s="854"/>
      <c r="Y765" s="854"/>
      <c r="Z765" s="854"/>
      <c r="AA765" s="854"/>
      <c r="AB765" s="854"/>
      <c r="AC765" s="854"/>
      <c r="AD765" s="854"/>
      <c r="AE765" s="854"/>
      <c r="AF765" s="854"/>
      <c r="AG765" s="854"/>
      <c r="AH765" s="854"/>
      <c r="AI765" s="854"/>
      <c r="AJ765" s="854"/>
      <c r="AK765" s="854"/>
      <c r="AL765" s="854"/>
      <c r="AM765" s="854"/>
      <c r="AN765" s="854"/>
      <c r="AO765" s="854"/>
      <c r="AP765" s="854"/>
      <c r="AQ765" s="854"/>
      <c r="AR765" s="854"/>
      <c r="AS765" s="854"/>
      <c r="AT765" s="854"/>
      <c r="AU765" s="854"/>
      <c r="AV765" s="854"/>
      <c r="AW765" s="854"/>
      <c r="AX765" s="854"/>
      <c r="AY765" s="854"/>
      <c r="AZ765" s="854"/>
      <c r="BA765" s="854"/>
      <c r="BB765" s="854"/>
      <c r="BC765" s="854"/>
      <c r="BD765" s="854"/>
      <c r="BE765" s="854"/>
      <c r="BF765" s="854"/>
      <c r="BG765" s="854"/>
      <c r="BH765" s="854"/>
      <c r="BI765" s="854"/>
      <c r="BJ765" s="854"/>
      <c r="BK765" s="854"/>
      <c r="BL765" s="854"/>
      <c r="BM765" s="854"/>
      <c r="BN765" s="854"/>
      <c r="BO765" s="854"/>
      <c r="BP765" s="854"/>
      <c r="BQ765" s="854"/>
      <c r="BR765" s="854"/>
      <c r="BS765" s="854"/>
      <c r="BT765" s="854"/>
      <c r="BU765" s="854"/>
      <c r="BV765" s="854"/>
      <c r="BW765" s="854"/>
      <c r="BX765" s="854"/>
      <c r="BY765" s="854"/>
      <c r="BZ765" s="854"/>
      <c r="CA765" s="571">
        <f>IF(OR(I765="",I765&lt;'Configs &amp; Procedures'!$L$29),0,IF(I765&gt;'Configs &amp; Procedures'!$L$30,1,IF(F765&gt;'Configs &amp; Procedures'!$L$31,0,1)))</f>
        <v>0</v>
      </c>
    </row>
    <row r="766" spans="2:79">
      <c r="B766" s="854"/>
      <c r="C766" s="854"/>
      <c r="D766" s="854"/>
      <c r="E766" s="854"/>
      <c r="F766" s="854"/>
      <c r="G766" s="854"/>
      <c r="H766" s="854"/>
      <c r="I766" s="854"/>
      <c r="J766" s="854"/>
      <c r="K766" s="854"/>
      <c r="L766" s="854"/>
      <c r="M766" s="854"/>
      <c r="N766" s="854"/>
      <c r="O766" s="854"/>
      <c r="P766" s="854"/>
      <c r="Q766" s="854"/>
      <c r="R766" s="854"/>
      <c r="S766" s="854"/>
      <c r="T766" s="854"/>
      <c r="U766" s="854"/>
      <c r="V766" s="854"/>
      <c r="W766" s="854"/>
      <c r="X766" s="854"/>
      <c r="Y766" s="854"/>
      <c r="Z766" s="854"/>
      <c r="AA766" s="854"/>
      <c r="AB766" s="854"/>
      <c r="AC766" s="854"/>
      <c r="AD766" s="854"/>
      <c r="AE766" s="854"/>
      <c r="AF766" s="854"/>
      <c r="AG766" s="854"/>
      <c r="AH766" s="854"/>
      <c r="AI766" s="854"/>
      <c r="AJ766" s="854"/>
      <c r="AK766" s="854"/>
      <c r="AL766" s="854"/>
      <c r="AM766" s="854"/>
      <c r="AN766" s="854"/>
      <c r="AO766" s="854"/>
      <c r="AP766" s="854"/>
      <c r="AQ766" s="854"/>
      <c r="AR766" s="854"/>
      <c r="AS766" s="854"/>
      <c r="AT766" s="854"/>
      <c r="AU766" s="854"/>
      <c r="AV766" s="854"/>
      <c r="AW766" s="854"/>
      <c r="AX766" s="854"/>
      <c r="AY766" s="854"/>
      <c r="AZ766" s="854"/>
      <c r="BA766" s="854"/>
      <c r="BB766" s="854"/>
      <c r="BC766" s="854"/>
      <c r="BD766" s="854"/>
      <c r="BE766" s="854"/>
      <c r="BF766" s="854"/>
      <c r="BG766" s="854"/>
      <c r="BH766" s="854"/>
      <c r="BI766" s="854"/>
      <c r="BJ766" s="854"/>
      <c r="BK766" s="854"/>
      <c r="BL766" s="854"/>
      <c r="BM766" s="854"/>
      <c r="BN766" s="854"/>
      <c r="BO766" s="854"/>
      <c r="BP766" s="854"/>
      <c r="BQ766" s="854"/>
      <c r="BR766" s="854"/>
      <c r="BS766" s="854"/>
      <c r="BT766" s="854"/>
      <c r="BU766" s="854"/>
      <c r="BV766" s="854"/>
      <c r="BW766" s="854"/>
      <c r="BX766" s="854"/>
      <c r="BY766" s="854"/>
      <c r="BZ766" s="854"/>
      <c r="CA766" s="571">
        <f>IF(OR(I766="",I766&lt;'Configs &amp; Procedures'!$L$29),0,IF(I766&gt;'Configs &amp; Procedures'!$L$30,1,IF(F766&gt;'Configs &amp; Procedures'!$L$31,0,1)))</f>
        <v>0</v>
      </c>
    </row>
    <row r="767" spans="2:79">
      <c r="B767" s="854"/>
      <c r="C767" s="854"/>
      <c r="D767" s="854"/>
      <c r="E767" s="854"/>
      <c r="F767" s="854"/>
      <c r="G767" s="854"/>
      <c r="H767" s="854"/>
      <c r="I767" s="854"/>
      <c r="J767" s="854"/>
      <c r="K767" s="854"/>
      <c r="L767" s="854"/>
      <c r="M767" s="854"/>
      <c r="N767" s="854"/>
      <c r="O767" s="854"/>
      <c r="P767" s="854"/>
      <c r="Q767" s="854"/>
      <c r="R767" s="854"/>
      <c r="S767" s="854"/>
      <c r="T767" s="854"/>
      <c r="U767" s="854"/>
      <c r="V767" s="854"/>
      <c r="W767" s="854"/>
      <c r="X767" s="854"/>
      <c r="Y767" s="854"/>
      <c r="Z767" s="854"/>
      <c r="AA767" s="854"/>
      <c r="AB767" s="854"/>
      <c r="AC767" s="854"/>
      <c r="AD767" s="854"/>
      <c r="AE767" s="854"/>
      <c r="AF767" s="854"/>
      <c r="AG767" s="854"/>
      <c r="AH767" s="854"/>
      <c r="AI767" s="854"/>
      <c r="AJ767" s="854"/>
      <c r="AK767" s="854"/>
      <c r="AL767" s="854"/>
      <c r="AM767" s="854"/>
      <c r="AN767" s="854"/>
      <c r="AO767" s="854"/>
      <c r="AP767" s="854"/>
      <c r="AQ767" s="854"/>
      <c r="AR767" s="854"/>
      <c r="AS767" s="854"/>
      <c r="AT767" s="854"/>
      <c r="AU767" s="854"/>
      <c r="AV767" s="854"/>
      <c r="AW767" s="854"/>
      <c r="AX767" s="854"/>
      <c r="AY767" s="854"/>
      <c r="AZ767" s="854"/>
      <c r="BA767" s="854"/>
      <c r="BB767" s="854"/>
      <c r="BC767" s="854"/>
      <c r="BD767" s="854"/>
      <c r="BE767" s="854"/>
      <c r="BF767" s="854"/>
      <c r="BG767" s="854"/>
      <c r="BH767" s="854"/>
      <c r="BI767" s="854"/>
      <c r="BJ767" s="854"/>
      <c r="BK767" s="854"/>
      <c r="BL767" s="854"/>
      <c r="BM767" s="854"/>
      <c r="BN767" s="854"/>
      <c r="BO767" s="854"/>
      <c r="BP767" s="854"/>
      <c r="BQ767" s="854"/>
      <c r="BR767" s="854"/>
      <c r="BS767" s="854"/>
      <c r="BT767" s="854"/>
      <c r="BU767" s="854"/>
      <c r="BV767" s="854"/>
      <c r="BW767" s="854"/>
      <c r="BX767" s="854"/>
      <c r="BY767" s="854"/>
      <c r="BZ767" s="854"/>
      <c r="CA767" s="571">
        <f>IF(OR(I767="",I767&lt;'Configs &amp; Procedures'!$L$29),0,IF(I767&gt;'Configs &amp; Procedures'!$L$30,1,IF(F767&gt;'Configs &amp; Procedures'!$L$31,0,1)))</f>
        <v>0</v>
      </c>
    </row>
    <row r="768" spans="2:79">
      <c r="B768" s="854"/>
      <c r="C768" s="854"/>
      <c r="D768" s="854"/>
      <c r="E768" s="854"/>
      <c r="F768" s="854"/>
      <c r="G768" s="854"/>
      <c r="H768" s="854"/>
      <c r="I768" s="854"/>
      <c r="J768" s="854"/>
      <c r="K768" s="854"/>
      <c r="L768" s="854"/>
      <c r="M768" s="854"/>
      <c r="N768" s="854"/>
      <c r="O768" s="854"/>
      <c r="P768" s="854"/>
      <c r="Q768" s="854"/>
      <c r="R768" s="854"/>
      <c r="S768" s="854"/>
      <c r="T768" s="854"/>
      <c r="U768" s="854"/>
      <c r="V768" s="854"/>
      <c r="W768" s="854"/>
      <c r="X768" s="854"/>
      <c r="Y768" s="854"/>
      <c r="Z768" s="854"/>
      <c r="AA768" s="854"/>
      <c r="AB768" s="854"/>
      <c r="AC768" s="854"/>
      <c r="AD768" s="854"/>
      <c r="AE768" s="854"/>
      <c r="AF768" s="854"/>
      <c r="AG768" s="854"/>
      <c r="AH768" s="854"/>
      <c r="AI768" s="854"/>
      <c r="AJ768" s="854"/>
      <c r="AK768" s="854"/>
      <c r="AL768" s="854"/>
      <c r="AM768" s="854"/>
      <c r="AN768" s="854"/>
      <c r="AO768" s="854"/>
      <c r="AP768" s="854"/>
      <c r="AQ768" s="854"/>
      <c r="AR768" s="854"/>
      <c r="AS768" s="854"/>
      <c r="AT768" s="854"/>
      <c r="AU768" s="854"/>
      <c r="AV768" s="854"/>
      <c r="AW768" s="854"/>
      <c r="AX768" s="854"/>
      <c r="AY768" s="854"/>
      <c r="AZ768" s="854"/>
      <c r="BA768" s="854"/>
      <c r="BB768" s="854"/>
      <c r="BC768" s="854"/>
      <c r="BD768" s="854"/>
      <c r="BE768" s="854"/>
      <c r="BF768" s="854"/>
      <c r="BG768" s="854"/>
      <c r="BH768" s="854"/>
      <c r="BI768" s="854"/>
      <c r="BJ768" s="854"/>
      <c r="BK768" s="854"/>
      <c r="BL768" s="854"/>
      <c r="BM768" s="854"/>
      <c r="BN768" s="854"/>
      <c r="BO768" s="854"/>
      <c r="BP768" s="854"/>
      <c r="BQ768" s="854"/>
      <c r="BR768" s="854"/>
      <c r="BS768" s="854"/>
      <c r="BT768" s="854"/>
      <c r="BU768" s="854"/>
      <c r="BV768" s="854"/>
      <c r="BW768" s="854"/>
      <c r="BX768" s="854"/>
      <c r="BY768" s="854"/>
      <c r="BZ768" s="854"/>
      <c r="CA768" s="571">
        <f>IF(OR(I768="",I768&lt;'Configs &amp; Procedures'!$L$29),0,IF(I768&gt;'Configs &amp; Procedures'!$L$30,1,IF(F768&gt;'Configs &amp; Procedures'!$L$31,0,1)))</f>
        <v>0</v>
      </c>
    </row>
    <row r="769" spans="2:79">
      <c r="B769" s="854"/>
      <c r="C769" s="854"/>
      <c r="D769" s="854"/>
      <c r="E769" s="854"/>
      <c r="F769" s="854"/>
      <c r="G769" s="854"/>
      <c r="H769" s="854"/>
      <c r="I769" s="854"/>
      <c r="J769" s="854"/>
      <c r="K769" s="854"/>
      <c r="L769" s="854"/>
      <c r="M769" s="854"/>
      <c r="N769" s="854"/>
      <c r="O769" s="854"/>
      <c r="P769" s="854"/>
      <c r="Q769" s="854"/>
      <c r="R769" s="854"/>
      <c r="S769" s="854"/>
      <c r="T769" s="854"/>
      <c r="U769" s="854"/>
      <c r="V769" s="854"/>
      <c r="W769" s="854"/>
      <c r="X769" s="854"/>
      <c r="Y769" s="854"/>
      <c r="Z769" s="854"/>
      <c r="AA769" s="854"/>
      <c r="AB769" s="854"/>
      <c r="AC769" s="854"/>
      <c r="AD769" s="854"/>
      <c r="AE769" s="854"/>
      <c r="AF769" s="854"/>
      <c r="AG769" s="854"/>
      <c r="AH769" s="854"/>
      <c r="AI769" s="854"/>
      <c r="AJ769" s="854"/>
      <c r="AK769" s="854"/>
      <c r="AL769" s="854"/>
      <c r="AM769" s="854"/>
      <c r="AN769" s="854"/>
      <c r="AO769" s="854"/>
      <c r="AP769" s="854"/>
      <c r="AQ769" s="854"/>
      <c r="AR769" s="854"/>
      <c r="AS769" s="854"/>
      <c r="AT769" s="854"/>
      <c r="AU769" s="854"/>
      <c r="AV769" s="854"/>
      <c r="AW769" s="854"/>
      <c r="AX769" s="854"/>
      <c r="AY769" s="854"/>
      <c r="AZ769" s="854"/>
      <c r="BA769" s="854"/>
      <c r="BB769" s="854"/>
      <c r="BC769" s="854"/>
      <c r="BD769" s="854"/>
      <c r="BE769" s="854"/>
      <c r="BF769" s="854"/>
      <c r="BG769" s="854"/>
      <c r="BH769" s="854"/>
      <c r="BI769" s="854"/>
      <c r="BJ769" s="854"/>
      <c r="BK769" s="854"/>
      <c r="BL769" s="854"/>
      <c r="BM769" s="854"/>
      <c r="BN769" s="854"/>
      <c r="BO769" s="854"/>
      <c r="BP769" s="854"/>
      <c r="BQ769" s="854"/>
      <c r="BR769" s="854"/>
      <c r="BS769" s="854"/>
      <c r="BT769" s="854"/>
      <c r="BU769" s="854"/>
      <c r="BV769" s="854"/>
      <c r="BW769" s="854"/>
      <c r="BX769" s="854"/>
      <c r="BY769" s="854"/>
      <c r="BZ769" s="854"/>
      <c r="CA769" s="571">
        <f>IF(OR(I769="",I769&lt;'Configs &amp; Procedures'!$L$29),0,IF(I769&gt;'Configs &amp; Procedures'!$L$30,1,IF(F769&gt;'Configs &amp; Procedures'!$L$31,0,1)))</f>
        <v>0</v>
      </c>
    </row>
    <row r="770" spans="2:79">
      <c r="B770" s="854"/>
      <c r="C770" s="854"/>
      <c r="D770" s="854"/>
      <c r="E770" s="854"/>
      <c r="F770" s="854"/>
      <c r="G770" s="854"/>
      <c r="H770" s="854"/>
      <c r="I770" s="854"/>
      <c r="J770" s="854"/>
      <c r="K770" s="854"/>
      <c r="L770" s="854"/>
      <c r="M770" s="854"/>
      <c r="N770" s="854"/>
      <c r="O770" s="854"/>
      <c r="P770" s="854"/>
      <c r="Q770" s="854"/>
      <c r="R770" s="854"/>
      <c r="S770" s="854"/>
      <c r="T770" s="854"/>
      <c r="U770" s="854"/>
      <c r="V770" s="854"/>
      <c r="W770" s="854"/>
      <c r="X770" s="854"/>
      <c r="Y770" s="854"/>
      <c r="Z770" s="854"/>
      <c r="AA770" s="854"/>
      <c r="AB770" s="854"/>
      <c r="AC770" s="854"/>
      <c r="AD770" s="854"/>
      <c r="AE770" s="854"/>
      <c r="AF770" s="854"/>
      <c r="AG770" s="854"/>
      <c r="AH770" s="854"/>
      <c r="AI770" s="854"/>
      <c r="AJ770" s="854"/>
      <c r="AK770" s="854"/>
      <c r="AL770" s="854"/>
      <c r="AM770" s="854"/>
      <c r="AN770" s="854"/>
      <c r="AO770" s="854"/>
      <c r="AP770" s="854"/>
      <c r="AQ770" s="854"/>
      <c r="AR770" s="854"/>
      <c r="AS770" s="854"/>
      <c r="AT770" s="854"/>
      <c r="AU770" s="854"/>
      <c r="AV770" s="854"/>
      <c r="AW770" s="854"/>
      <c r="AX770" s="854"/>
      <c r="AY770" s="854"/>
      <c r="AZ770" s="854"/>
      <c r="BA770" s="854"/>
      <c r="BB770" s="854"/>
      <c r="BC770" s="854"/>
      <c r="BD770" s="854"/>
      <c r="BE770" s="854"/>
      <c r="BF770" s="854"/>
      <c r="BG770" s="854"/>
      <c r="BH770" s="854"/>
      <c r="BI770" s="854"/>
      <c r="BJ770" s="854"/>
      <c r="BK770" s="854"/>
      <c r="BL770" s="854"/>
      <c r="BM770" s="854"/>
      <c r="BN770" s="854"/>
      <c r="BO770" s="854"/>
      <c r="BP770" s="854"/>
      <c r="BQ770" s="854"/>
      <c r="BR770" s="854"/>
      <c r="BS770" s="854"/>
      <c r="BT770" s="854"/>
      <c r="BU770" s="854"/>
      <c r="BV770" s="854"/>
      <c r="BW770" s="854"/>
      <c r="BX770" s="854"/>
      <c r="BY770" s="854"/>
      <c r="BZ770" s="854"/>
      <c r="CA770" s="571">
        <f>IF(OR(I770="",I770&lt;'Configs &amp; Procedures'!$L$29),0,IF(I770&gt;'Configs &amp; Procedures'!$L$30,1,IF(F770&gt;'Configs &amp; Procedures'!$L$31,0,1)))</f>
        <v>0</v>
      </c>
    </row>
    <row r="771" spans="2:79">
      <c r="B771" s="854"/>
      <c r="C771" s="854"/>
      <c r="D771" s="854"/>
      <c r="E771" s="854"/>
      <c r="F771" s="854"/>
      <c r="G771" s="854"/>
      <c r="H771" s="854"/>
      <c r="I771" s="854"/>
      <c r="J771" s="854"/>
      <c r="K771" s="854"/>
      <c r="L771" s="854"/>
      <c r="M771" s="854"/>
      <c r="N771" s="854"/>
      <c r="O771" s="854"/>
      <c r="P771" s="854"/>
      <c r="Q771" s="854"/>
      <c r="R771" s="854"/>
      <c r="S771" s="854"/>
      <c r="T771" s="854"/>
      <c r="U771" s="854"/>
      <c r="V771" s="854"/>
      <c r="W771" s="854"/>
      <c r="X771" s="854"/>
      <c r="Y771" s="854"/>
      <c r="Z771" s="854"/>
      <c r="AA771" s="854"/>
      <c r="AB771" s="854"/>
      <c r="AC771" s="854"/>
      <c r="AD771" s="854"/>
      <c r="AE771" s="854"/>
      <c r="AF771" s="854"/>
      <c r="AG771" s="854"/>
      <c r="AH771" s="854"/>
      <c r="AI771" s="854"/>
      <c r="AJ771" s="854"/>
      <c r="AK771" s="854"/>
      <c r="AL771" s="854"/>
      <c r="AM771" s="854"/>
      <c r="AN771" s="854"/>
      <c r="AO771" s="854"/>
      <c r="AP771" s="854"/>
      <c r="AQ771" s="854"/>
      <c r="AR771" s="854"/>
      <c r="AS771" s="854"/>
      <c r="AT771" s="854"/>
      <c r="AU771" s="854"/>
      <c r="AV771" s="854"/>
      <c r="AW771" s="854"/>
      <c r="AX771" s="854"/>
      <c r="AY771" s="854"/>
      <c r="AZ771" s="854"/>
      <c r="BA771" s="854"/>
      <c r="BB771" s="854"/>
      <c r="BC771" s="854"/>
      <c r="BD771" s="854"/>
      <c r="BE771" s="854"/>
      <c r="BF771" s="854"/>
      <c r="BG771" s="854"/>
      <c r="BH771" s="854"/>
      <c r="BI771" s="854"/>
      <c r="BJ771" s="854"/>
      <c r="BK771" s="854"/>
      <c r="BL771" s="854"/>
      <c r="BM771" s="854"/>
      <c r="BN771" s="854"/>
      <c r="BO771" s="854"/>
      <c r="BP771" s="854"/>
      <c r="BQ771" s="854"/>
      <c r="BR771" s="854"/>
      <c r="BS771" s="854"/>
      <c r="BT771" s="854"/>
      <c r="BU771" s="854"/>
      <c r="BV771" s="854"/>
      <c r="BW771" s="854"/>
      <c r="BX771" s="854"/>
      <c r="BY771" s="854"/>
      <c r="BZ771" s="854"/>
      <c r="CA771" s="571">
        <f>IF(OR(I771="",I771&lt;'Configs &amp; Procedures'!$L$29),0,IF(I771&gt;'Configs &amp; Procedures'!$L$30,1,IF(F771&gt;'Configs &amp; Procedures'!$L$31,0,1)))</f>
        <v>0</v>
      </c>
    </row>
    <row r="772" spans="2:79">
      <c r="B772" s="854"/>
      <c r="C772" s="854"/>
      <c r="D772" s="854"/>
      <c r="E772" s="854"/>
      <c r="F772" s="854"/>
      <c r="G772" s="854"/>
      <c r="H772" s="854"/>
      <c r="I772" s="854"/>
      <c r="J772" s="854"/>
      <c r="K772" s="854"/>
      <c r="L772" s="854"/>
      <c r="M772" s="854"/>
      <c r="N772" s="854"/>
      <c r="O772" s="854"/>
      <c r="P772" s="854"/>
      <c r="Q772" s="854"/>
      <c r="R772" s="854"/>
      <c r="S772" s="854"/>
      <c r="T772" s="854"/>
      <c r="U772" s="854"/>
      <c r="V772" s="854"/>
      <c r="W772" s="854"/>
      <c r="X772" s="854"/>
      <c r="Y772" s="854"/>
      <c r="Z772" s="854"/>
      <c r="AA772" s="854"/>
      <c r="AB772" s="854"/>
      <c r="AC772" s="854"/>
      <c r="AD772" s="854"/>
      <c r="AE772" s="854"/>
      <c r="AF772" s="854"/>
      <c r="AG772" s="854"/>
      <c r="AH772" s="854"/>
      <c r="AI772" s="854"/>
      <c r="AJ772" s="854"/>
      <c r="AK772" s="854"/>
      <c r="AL772" s="854"/>
      <c r="AM772" s="854"/>
      <c r="AN772" s="854"/>
      <c r="AO772" s="854"/>
      <c r="AP772" s="854"/>
      <c r="AQ772" s="854"/>
      <c r="AR772" s="854"/>
      <c r="AS772" s="854"/>
      <c r="AT772" s="854"/>
      <c r="AU772" s="854"/>
      <c r="AV772" s="854"/>
      <c r="AW772" s="854"/>
      <c r="AX772" s="854"/>
      <c r="AY772" s="854"/>
      <c r="AZ772" s="854"/>
      <c r="BA772" s="854"/>
      <c r="BB772" s="854"/>
      <c r="BC772" s="854"/>
      <c r="BD772" s="854"/>
      <c r="BE772" s="854"/>
      <c r="BF772" s="854"/>
      <c r="BG772" s="854"/>
      <c r="BH772" s="854"/>
      <c r="BI772" s="854"/>
      <c r="BJ772" s="854"/>
      <c r="BK772" s="854"/>
      <c r="BL772" s="854"/>
      <c r="BM772" s="854"/>
      <c r="BN772" s="854"/>
      <c r="BO772" s="854"/>
      <c r="BP772" s="854"/>
      <c r="BQ772" s="854"/>
      <c r="BR772" s="854"/>
      <c r="BS772" s="854"/>
      <c r="BT772" s="854"/>
      <c r="BU772" s="854"/>
      <c r="BV772" s="854"/>
      <c r="BW772" s="854"/>
      <c r="BX772" s="854"/>
      <c r="BY772" s="854"/>
      <c r="BZ772" s="854"/>
      <c r="CA772" s="571">
        <f>IF(OR(I772="",I772&lt;'Configs &amp; Procedures'!$L$29),0,IF(I772&gt;'Configs &amp; Procedures'!$L$30,1,IF(F772&gt;'Configs &amp; Procedures'!$L$31,0,1)))</f>
        <v>0</v>
      </c>
    </row>
    <row r="773" spans="2:79">
      <c r="B773" s="854"/>
      <c r="C773" s="854"/>
      <c r="D773" s="854"/>
      <c r="E773" s="854"/>
      <c r="F773" s="854"/>
      <c r="G773" s="854"/>
      <c r="H773" s="854"/>
      <c r="I773" s="854"/>
      <c r="J773" s="854"/>
      <c r="K773" s="854"/>
      <c r="L773" s="854"/>
      <c r="M773" s="854"/>
      <c r="N773" s="854"/>
      <c r="O773" s="854"/>
      <c r="P773" s="854"/>
      <c r="Q773" s="854"/>
      <c r="R773" s="854"/>
      <c r="S773" s="854"/>
      <c r="T773" s="854"/>
      <c r="U773" s="854"/>
      <c r="V773" s="854"/>
      <c r="W773" s="854"/>
      <c r="X773" s="854"/>
      <c r="Y773" s="854"/>
      <c r="Z773" s="854"/>
      <c r="AA773" s="854"/>
      <c r="AB773" s="854"/>
      <c r="AC773" s="854"/>
      <c r="AD773" s="854"/>
      <c r="AE773" s="854"/>
      <c r="AF773" s="854"/>
      <c r="AG773" s="854"/>
      <c r="AH773" s="854"/>
      <c r="AI773" s="854"/>
      <c r="AJ773" s="854"/>
      <c r="AK773" s="854"/>
      <c r="AL773" s="854"/>
      <c r="AM773" s="854"/>
      <c r="AN773" s="854"/>
      <c r="AO773" s="854"/>
      <c r="AP773" s="854"/>
      <c r="AQ773" s="854"/>
      <c r="AR773" s="854"/>
      <c r="AS773" s="854"/>
      <c r="AT773" s="854"/>
      <c r="AU773" s="854"/>
      <c r="AV773" s="854"/>
      <c r="AW773" s="854"/>
      <c r="AX773" s="854"/>
      <c r="AY773" s="854"/>
      <c r="AZ773" s="854"/>
      <c r="BA773" s="854"/>
      <c r="BB773" s="854"/>
      <c r="BC773" s="854"/>
      <c r="BD773" s="854"/>
      <c r="BE773" s="854"/>
      <c r="BF773" s="854"/>
      <c r="BG773" s="854"/>
      <c r="BH773" s="854"/>
      <c r="BI773" s="854"/>
      <c r="BJ773" s="854"/>
      <c r="BK773" s="854"/>
      <c r="BL773" s="854"/>
      <c r="BM773" s="854"/>
      <c r="BN773" s="854"/>
      <c r="BO773" s="854"/>
      <c r="BP773" s="854"/>
      <c r="BQ773" s="854"/>
      <c r="BR773" s="854"/>
      <c r="BS773" s="854"/>
      <c r="BT773" s="854"/>
      <c r="BU773" s="854"/>
      <c r="BV773" s="854"/>
      <c r="BW773" s="854"/>
      <c r="BX773" s="854"/>
      <c r="BY773" s="854"/>
      <c r="BZ773" s="854"/>
      <c r="CA773" s="571">
        <f>IF(OR(I773="",I773&lt;'Configs &amp; Procedures'!$L$29),0,IF(I773&gt;'Configs &amp; Procedures'!$L$30,1,IF(F773&gt;'Configs &amp; Procedures'!$L$31,0,1)))</f>
        <v>0</v>
      </c>
    </row>
    <row r="774" spans="2:79">
      <c r="B774" s="854"/>
      <c r="C774" s="854"/>
      <c r="D774" s="854"/>
      <c r="E774" s="854"/>
      <c r="F774" s="854"/>
      <c r="G774" s="854"/>
      <c r="H774" s="854"/>
      <c r="I774" s="854"/>
      <c r="J774" s="854"/>
      <c r="K774" s="854"/>
      <c r="L774" s="854"/>
      <c r="M774" s="854"/>
      <c r="N774" s="854"/>
      <c r="O774" s="854"/>
      <c r="P774" s="854"/>
      <c r="Q774" s="854"/>
      <c r="R774" s="854"/>
      <c r="S774" s="854"/>
      <c r="T774" s="854"/>
      <c r="U774" s="854"/>
      <c r="V774" s="854"/>
      <c r="W774" s="854"/>
      <c r="X774" s="854"/>
      <c r="Y774" s="854"/>
      <c r="Z774" s="854"/>
      <c r="AA774" s="854"/>
      <c r="AB774" s="854"/>
      <c r="AC774" s="854"/>
      <c r="AD774" s="854"/>
      <c r="AE774" s="854"/>
      <c r="AF774" s="854"/>
      <c r="AG774" s="854"/>
      <c r="AH774" s="854"/>
      <c r="AI774" s="854"/>
      <c r="AJ774" s="854"/>
      <c r="AK774" s="854"/>
      <c r="AL774" s="854"/>
      <c r="AM774" s="854"/>
      <c r="AN774" s="854"/>
      <c r="AO774" s="854"/>
      <c r="AP774" s="854"/>
      <c r="AQ774" s="854"/>
      <c r="AR774" s="854"/>
      <c r="AS774" s="854"/>
      <c r="AT774" s="854"/>
      <c r="AU774" s="854"/>
      <c r="AV774" s="854"/>
      <c r="AW774" s="854"/>
      <c r="AX774" s="854"/>
      <c r="AY774" s="854"/>
      <c r="AZ774" s="854"/>
      <c r="BA774" s="854"/>
      <c r="BB774" s="854"/>
      <c r="BC774" s="854"/>
      <c r="BD774" s="854"/>
      <c r="BE774" s="854"/>
      <c r="BF774" s="854"/>
      <c r="BG774" s="854"/>
      <c r="BH774" s="854"/>
      <c r="BI774" s="854"/>
      <c r="BJ774" s="854"/>
      <c r="BK774" s="854"/>
      <c r="BL774" s="854"/>
      <c r="BM774" s="854"/>
      <c r="BN774" s="854"/>
      <c r="BO774" s="854"/>
      <c r="BP774" s="854"/>
      <c r="BQ774" s="854"/>
      <c r="BR774" s="854"/>
      <c r="BS774" s="854"/>
      <c r="BT774" s="854"/>
      <c r="BU774" s="854"/>
      <c r="BV774" s="854"/>
      <c r="BW774" s="854"/>
      <c r="BX774" s="854"/>
      <c r="BY774" s="854"/>
      <c r="BZ774" s="854"/>
      <c r="CA774" s="571">
        <f>IF(OR(I774="",I774&lt;'Configs &amp; Procedures'!$L$29),0,IF(I774&gt;'Configs &amp; Procedures'!$L$30,1,IF(F774&gt;'Configs &amp; Procedures'!$L$31,0,1)))</f>
        <v>0</v>
      </c>
    </row>
    <row r="775" spans="2:79">
      <c r="B775" s="854"/>
      <c r="C775" s="854"/>
      <c r="D775" s="854"/>
      <c r="E775" s="854"/>
      <c r="F775" s="854"/>
      <c r="G775" s="854"/>
      <c r="H775" s="854"/>
      <c r="I775" s="854"/>
      <c r="J775" s="854"/>
      <c r="K775" s="854"/>
      <c r="L775" s="854"/>
      <c r="M775" s="854"/>
      <c r="N775" s="854"/>
      <c r="O775" s="854"/>
      <c r="P775" s="854"/>
      <c r="Q775" s="854"/>
      <c r="R775" s="854"/>
      <c r="S775" s="854"/>
      <c r="T775" s="854"/>
      <c r="U775" s="854"/>
      <c r="V775" s="854"/>
      <c r="W775" s="854"/>
      <c r="X775" s="854"/>
      <c r="Y775" s="854"/>
      <c r="Z775" s="854"/>
      <c r="AA775" s="854"/>
      <c r="AB775" s="854"/>
      <c r="AC775" s="854"/>
      <c r="AD775" s="854"/>
      <c r="AE775" s="854"/>
      <c r="AF775" s="854"/>
      <c r="AG775" s="854"/>
      <c r="AH775" s="854"/>
      <c r="AI775" s="854"/>
      <c r="AJ775" s="854"/>
      <c r="AK775" s="854"/>
      <c r="AL775" s="854"/>
      <c r="AM775" s="854"/>
      <c r="AN775" s="854"/>
      <c r="AO775" s="854"/>
      <c r="AP775" s="854"/>
      <c r="AQ775" s="854"/>
      <c r="AR775" s="854"/>
      <c r="AS775" s="854"/>
      <c r="AT775" s="854"/>
      <c r="AU775" s="854"/>
      <c r="AV775" s="854"/>
      <c r="AW775" s="854"/>
      <c r="AX775" s="854"/>
      <c r="AY775" s="854"/>
      <c r="AZ775" s="854"/>
      <c r="BA775" s="854"/>
      <c r="BB775" s="854"/>
      <c r="BC775" s="854"/>
      <c r="BD775" s="854"/>
      <c r="BE775" s="854"/>
      <c r="BF775" s="854"/>
      <c r="BG775" s="854"/>
      <c r="BH775" s="854"/>
      <c r="BI775" s="854"/>
      <c r="BJ775" s="854"/>
      <c r="BK775" s="854"/>
      <c r="BL775" s="854"/>
      <c r="BM775" s="854"/>
      <c r="BN775" s="854"/>
      <c r="BO775" s="854"/>
      <c r="BP775" s="854"/>
      <c r="BQ775" s="854"/>
      <c r="BR775" s="854"/>
      <c r="BS775" s="854"/>
      <c r="BT775" s="854"/>
      <c r="BU775" s="854"/>
      <c r="BV775" s="854"/>
      <c r="BW775" s="854"/>
      <c r="BX775" s="854"/>
      <c r="BY775" s="854"/>
      <c r="BZ775" s="854"/>
      <c r="CA775" s="571">
        <f>IF(OR(I775="",I775&lt;'Configs &amp; Procedures'!$L$29),0,IF(I775&gt;'Configs &amp; Procedures'!$L$30,1,IF(F775&gt;'Configs &amp; Procedures'!$L$31,0,1)))</f>
        <v>0</v>
      </c>
    </row>
    <row r="776" spans="2:79">
      <c r="B776" s="854"/>
      <c r="C776" s="854"/>
      <c r="D776" s="854"/>
      <c r="E776" s="854"/>
      <c r="F776" s="854"/>
      <c r="G776" s="854"/>
      <c r="H776" s="854"/>
      <c r="I776" s="854"/>
      <c r="J776" s="854"/>
      <c r="K776" s="854"/>
      <c r="L776" s="854"/>
      <c r="M776" s="854"/>
      <c r="N776" s="854"/>
      <c r="O776" s="854"/>
      <c r="P776" s="854"/>
      <c r="Q776" s="854"/>
      <c r="R776" s="854"/>
      <c r="S776" s="854"/>
      <c r="T776" s="854"/>
      <c r="U776" s="854"/>
      <c r="V776" s="854"/>
      <c r="W776" s="854"/>
      <c r="X776" s="854"/>
      <c r="Y776" s="854"/>
      <c r="Z776" s="854"/>
      <c r="AA776" s="854"/>
      <c r="AB776" s="854"/>
      <c r="AC776" s="854"/>
      <c r="AD776" s="854"/>
      <c r="AE776" s="854"/>
      <c r="AF776" s="854"/>
      <c r="AG776" s="854"/>
      <c r="AH776" s="854"/>
      <c r="AI776" s="854"/>
      <c r="AJ776" s="854"/>
      <c r="AK776" s="854"/>
      <c r="AL776" s="854"/>
      <c r="AM776" s="854"/>
      <c r="AN776" s="854"/>
      <c r="AO776" s="854"/>
      <c r="AP776" s="854"/>
      <c r="AQ776" s="854"/>
      <c r="AR776" s="854"/>
      <c r="AS776" s="854"/>
      <c r="AT776" s="854"/>
      <c r="AU776" s="854"/>
      <c r="AV776" s="854"/>
      <c r="AW776" s="854"/>
      <c r="AX776" s="854"/>
      <c r="AY776" s="854"/>
      <c r="AZ776" s="854"/>
      <c r="BA776" s="854"/>
      <c r="BB776" s="854"/>
      <c r="BC776" s="854"/>
      <c r="BD776" s="854"/>
      <c r="BE776" s="854"/>
      <c r="BF776" s="854"/>
      <c r="BG776" s="854"/>
      <c r="BH776" s="854"/>
      <c r="BI776" s="854"/>
      <c r="BJ776" s="854"/>
      <c r="BK776" s="854"/>
      <c r="BL776" s="854"/>
      <c r="BM776" s="854"/>
      <c r="BN776" s="854"/>
      <c r="BO776" s="854"/>
      <c r="BP776" s="854"/>
      <c r="BQ776" s="854"/>
      <c r="BR776" s="854"/>
      <c r="BS776" s="854"/>
      <c r="BT776" s="854"/>
      <c r="BU776" s="854"/>
      <c r="BV776" s="854"/>
      <c r="BW776" s="854"/>
      <c r="BX776" s="854"/>
      <c r="BY776" s="854"/>
      <c r="BZ776" s="854"/>
      <c r="CA776" s="571">
        <f>IF(OR(I776="",I776&lt;'Configs &amp; Procedures'!$L$29),0,IF(I776&gt;'Configs &amp; Procedures'!$L$30,1,IF(F776&gt;'Configs &amp; Procedures'!$L$31,0,1)))</f>
        <v>0</v>
      </c>
    </row>
    <row r="777" spans="2:79">
      <c r="B777" s="854"/>
      <c r="C777" s="854"/>
      <c r="D777" s="854"/>
      <c r="E777" s="854"/>
      <c r="F777" s="854"/>
      <c r="G777" s="854"/>
      <c r="H777" s="854"/>
      <c r="I777" s="854"/>
      <c r="J777" s="854"/>
      <c r="K777" s="854"/>
      <c r="L777" s="854"/>
      <c r="M777" s="854"/>
      <c r="N777" s="854"/>
      <c r="O777" s="854"/>
      <c r="P777" s="854"/>
      <c r="Q777" s="854"/>
      <c r="R777" s="854"/>
      <c r="S777" s="854"/>
      <c r="T777" s="854"/>
      <c r="U777" s="854"/>
      <c r="V777" s="854"/>
      <c r="W777" s="854"/>
      <c r="X777" s="854"/>
      <c r="Y777" s="854"/>
      <c r="Z777" s="854"/>
      <c r="AA777" s="854"/>
      <c r="AB777" s="854"/>
      <c r="AC777" s="854"/>
      <c r="AD777" s="854"/>
      <c r="AE777" s="854"/>
      <c r="AF777" s="854"/>
      <c r="AG777" s="854"/>
      <c r="AH777" s="854"/>
      <c r="AI777" s="854"/>
      <c r="AJ777" s="854"/>
      <c r="AK777" s="854"/>
      <c r="AL777" s="854"/>
      <c r="AM777" s="854"/>
      <c r="AN777" s="854"/>
      <c r="AO777" s="854"/>
      <c r="AP777" s="854"/>
      <c r="AQ777" s="854"/>
      <c r="AR777" s="854"/>
      <c r="AS777" s="854"/>
      <c r="AT777" s="854"/>
      <c r="AU777" s="854"/>
      <c r="AV777" s="854"/>
      <c r="AW777" s="854"/>
      <c r="AX777" s="854"/>
      <c r="AY777" s="854"/>
      <c r="AZ777" s="854"/>
      <c r="BA777" s="854"/>
      <c r="BB777" s="854"/>
      <c r="BC777" s="854"/>
      <c r="BD777" s="854"/>
      <c r="BE777" s="854"/>
      <c r="BF777" s="854"/>
      <c r="BG777" s="854"/>
      <c r="BH777" s="854"/>
      <c r="BI777" s="854"/>
      <c r="BJ777" s="854"/>
      <c r="BK777" s="854"/>
      <c r="BL777" s="854"/>
      <c r="BM777" s="854"/>
      <c r="BN777" s="854"/>
      <c r="BO777" s="854"/>
      <c r="BP777" s="854"/>
      <c r="BQ777" s="854"/>
      <c r="BR777" s="854"/>
      <c r="BS777" s="854"/>
      <c r="BT777" s="854"/>
      <c r="BU777" s="854"/>
      <c r="BV777" s="854"/>
      <c r="BW777" s="854"/>
      <c r="BX777" s="854"/>
      <c r="BY777" s="854"/>
      <c r="BZ777" s="854"/>
      <c r="CA777" s="571">
        <f>IF(OR(I777="",I777&lt;'Configs &amp; Procedures'!$L$29),0,IF(I777&gt;'Configs &amp; Procedures'!$L$30,1,IF(F777&gt;'Configs &amp; Procedures'!$L$31,0,1)))</f>
        <v>0</v>
      </c>
    </row>
    <row r="778" spans="2:79">
      <c r="B778" s="854"/>
      <c r="C778" s="854"/>
      <c r="D778" s="854"/>
      <c r="E778" s="854"/>
      <c r="F778" s="854"/>
      <c r="G778" s="854"/>
      <c r="H778" s="854"/>
      <c r="I778" s="854"/>
      <c r="J778" s="854"/>
      <c r="K778" s="854"/>
      <c r="L778" s="854"/>
      <c r="M778" s="854"/>
      <c r="N778" s="854"/>
      <c r="O778" s="854"/>
      <c r="P778" s="854"/>
      <c r="Q778" s="854"/>
      <c r="R778" s="854"/>
      <c r="S778" s="854"/>
      <c r="T778" s="854"/>
      <c r="U778" s="854"/>
      <c r="V778" s="854"/>
      <c r="W778" s="854"/>
      <c r="X778" s="854"/>
      <c r="Y778" s="854"/>
      <c r="Z778" s="854"/>
      <c r="AA778" s="854"/>
      <c r="AB778" s="854"/>
      <c r="AC778" s="854"/>
      <c r="AD778" s="854"/>
      <c r="AE778" s="854"/>
      <c r="AF778" s="854"/>
      <c r="AG778" s="854"/>
      <c r="AH778" s="854"/>
      <c r="AI778" s="854"/>
      <c r="AJ778" s="854"/>
      <c r="AK778" s="854"/>
      <c r="AL778" s="854"/>
      <c r="AM778" s="854"/>
      <c r="AN778" s="854"/>
      <c r="AO778" s="854"/>
      <c r="AP778" s="854"/>
      <c r="AQ778" s="854"/>
      <c r="AR778" s="854"/>
      <c r="AS778" s="854"/>
      <c r="AT778" s="854"/>
      <c r="AU778" s="854"/>
      <c r="AV778" s="854"/>
      <c r="AW778" s="854"/>
      <c r="AX778" s="854"/>
      <c r="AY778" s="854"/>
      <c r="AZ778" s="854"/>
      <c r="BA778" s="854"/>
      <c r="BB778" s="854"/>
      <c r="BC778" s="854"/>
      <c r="BD778" s="854"/>
      <c r="BE778" s="854"/>
      <c r="BF778" s="854"/>
      <c r="BG778" s="854"/>
      <c r="BH778" s="854"/>
      <c r="BI778" s="854"/>
      <c r="BJ778" s="854"/>
      <c r="BK778" s="854"/>
      <c r="BL778" s="854"/>
      <c r="BM778" s="854"/>
      <c r="BN778" s="854"/>
      <c r="BO778" s="854"/>
      <c r="BP778" s="854"/>
      <c r="BQ778" s="854"/>
      <c r="BR778" s="854"/>
      <c r="BS778" s="854"/>
      <c r="BT778" s="854"/>
      <c r="BU778" s="854"/>
      <c r="BV778" s="854"/>
      <c r="BW778" s="854"/>
      <c r="BX778" s="854"/>
      <c r="BY778" s="854"/>
      <c r="BZ778" s="854"/>
      <c r="CA778" s="571">
        <f>IF(OR(I778="",I778&lt;'Configs &amp; Procedures'!$L$29),0,IF(I778&gt;'Configs &amp; Procedures'!$L$30,1,IF(F778&gt;'Configs &amp; Procedures'!$L$31,0,1)))</f>
        <v>0</v>
      </c>
    </row>
    <row r="779" spans="2:79">
      <c r="B779" s="854"/>
      <c r="C779" s="854"/>
      <c r="D779" s="854"/>
      <c r="E779" s="854"/>
      <c r="F779" s="854"/>
      <c r="G779" s="854"/>
      <c r="H779" s="854"/>
      <c r="I779" s="854"/>
      <c r="J779" s="854"/>
      <c r="K779" s="854"/>
      <c r="L779" s="854"/>
      <c r="M779" s="854"/>
      <c r="N779" s="854"/>
      <c r="O779" s="854"/>
      <c r="P779" s="854"/>
      <c r="Q779" s="854"/>
      <c r="R779" s="854"/>
      <c r="S779" s="854"/>
      <c r="T779" s="854"/>
      <c r="U779" s="854"/>
      <c r="V779" s="854"/>
      <c r="W779" s="854"/>
      <c r="X779" s="854"/>
      <c r="Y779" s="854"/>
      <c r="Z779" s="854"/>
      <c r="AA779" s="854"/>
      <c r="AB779" s="854"/>
      <c r="AC779" s="854"/>
      <c r="AD779" s="854"/>
      <c r="AE779" s="854"/>
      <c r="AF779" s="854"/>
      <c r="AG779" s="854"/>
      <c r="AH779" s="854"/>
      <c r="AI779" s="854"/>
      <c r="AJ779" s="854"/>
      <c r="AK779" s="854"/>
      <c r="AL779" s="854"/>
      <c r="AM779" s="854"/>
      <c r="AN779" s="854"/>
      <c r="AO779" s="854"/>
      <c r="AP779" s="854"/>
      <c r="AQ779" s="854"/>
      <c r="AR779" s="854"/>
      <c r="AS779" s="854"/>
      <c r="AT779" s="854"/>
      <c r="AU779" s="854"/>
      <c r="AV779" s="854"/>
      <c r="AW779" s="854"/>
      <c r="AX779" s="854"/>
      <c r="AY779" s="854"/>
      <c r="AZ779" s="854"/>
      <c r="BA779" s="854"/>
      <c r="BB779" s="854"/>
      <c r="BC779" s="854"/>
      <c r="BD779" s="854"/>
      <c r="BE779" s="854"/>
      <c r="BF779" s="854"/>
      <c r="BG779" s="854"/>
      <c r="BH779" s="854"/>
      <c r="BI779" s="854"/>
      <c r="BJ779" s="854"/>
      <c r="BK779" s="854"/>
      <c r="BL779" s="854"/>
      <c r="BM779" s="854"/>
      <c r="BN779" s="854"/>
      <c r="BO779" s="854"/>
      <c r="BP779" s="854"/>
      <c r="BQ779" s="854"/>
      <c r="BR779" s="854"/>
      <c r="BS779" s="854"/>
      <c r="BT779" s="854"/>
      <c r="BU779" s="854"/>
      <c r="BV779" s="854"/>
      <c r="BW779" s="854"/>
      <c r="BX779" s="854"/>
      <c r="BY779" s="854"/>
      <c r="BZ779" s="854"/>
      <c r="CA779" s="571">
        <f>IF(OR(I779="",I779&lt;'Configs &amp; Procedures'!$L$29),0,IF(I779&gt;'Configs &amp; Procedures'!$L$30,1,IF(F779&gt;'Configs &amp; Procedures'!$L$31,0,1)))</f>
        <v>0</v>
      </c>
    </row>
    <row r="780" spans="2:79">
      <c r="B780" s="854"/>
      <c r="C780" s="854"/>
      <c r="D780" s="854"/>
      <c r="E780" s="854"/>
      <c r="F780" s="854"/>
      <c r="G780" s="854"/>
      <c r="H780" s="854"/>
      <c r="I780" s="854"/>
      <c r="J780" s="854"/>
      <c r="K780" s="854"/>
      <c r="L780" s="854"/>
      <c r="M780" s="854"/>
      <c r="N780" s="854"/>
      <c r="O780" s="854"/>
      <c r="P780" s="854"/>
      <c r="Q780" s="854"/>
      <c r="R780" s="854"/>
      <c r="S780" s="854"/>
      <c r="T780" s="854"/>
      <c r="U780" s="854"/>
      <c r="V780" s="854"/>
      <c r="W780" s="854"/>
      <c r="X780" s="854"/>
      <c r="Y780" s="854"/>
      <c r="Z780" s="854"/>
      <c r="AA780" s="854"/>
      <c r="AB780" s="854"/>
      <c r="AC780" s="854"/>
      <c r="AD780" s="854"/>
      <c r="AE780" s="854"/>
      <c r="AF780" s="854"/>
      <c r="AG780" s="854"/>
      <c r="AH780" s="854"/>
      <c r="AI780" s="854"/>
      <c r="AJ780" s="854"/>
      <c r="AK780" s="854"/>
      <c r="AL780" s="854"/>
      <c r="AM780" s="854"/>
      <c r="AN780" s="854"/>
      <c r="AO780" s="854"/>
      <c r="AP780" s="854"/>
      <c r="AQ780" s="854"/>
      <c r="AR780" s="854"/>
      <c r="AS780" s="854"/>
      <c r="AT780" s="854"/>
      <c r="AU780" s="854"/>
      <c r="AV780" s="854"/>
      <c r="AW780" s="854"/>
      <c r="AX780" s="854"/>
      <c r="AY780" s="854"/>
      <c r="AZ780" s="854"/>
      <c r="BA780" s="854"/>
      <c r="BB780" s="854"/>
      <c r="BC780" s="854"/>
      <c r="BD780" s="854"/>
      <c r="BE780" s="854"/>
      <c r="BF780" s="854"/>
      <c r="BG780" s="854"/>
      <c r="BH780" s="854"/>
      <c r="BI780" s="854"/>
      <c r="BJ780" s="854"/>
      <c r="BK780" s="854"/>
      <c r="BL780" s="854"/>
      <c r="BM780" s="854"/>
      <c r="BN780" s="854"/>
      <c r="BO780" s="854"/>
      <c r="BP780" s="854"/>
      <c r="BQ780" s="854"/>
      <c r="BR780" s="854"/>
      <c r="BS780" s="854"/>
      <c r="BT780" s="854"/>
      <c r="BU780" s="854"/>
      <c r="BV780" s="854"/>
      <c r="BW780" s="854"/>
      <c r="BX780" s="854"/>
      <c r="BY780" s="854"/>
      <c r="BZ780" s="854"/>
      <c r="CA780" s="571">
        <f>IF(OR(I780="",I780&lt;'Configs &amp; Procedures'!$L$29),0,IF(I780&gt;'Configs &amp; Procedures'!$L$30,1,IF(F780&gt;'Configs &amp; Procedures'!$L$31,0,1)))</f>
        <v>0</v>
      </c>
    </row>
    <row r="781" spans="2:79">
      <c r="B781" s="854"/>
      <c r="C781" s="854"/>
      <c r="D781" s="854"/>
      <c r="E781" s="854"/>
      <c r="F781" s="854"/>
      <c r="G781" s="854"/>
      <c r="H781" s="854"/>
      <c r="I781" s="854"/>
      <c r="J781" s="854"/>
      <c r="K781" s="854"/>
      <c r="L781" s="854"/>
      <c r="M781" s="854"/>
      <c r="N781" s="854"/>
      <c r="O781" s="854"/>
      <c r="P781" s="854"/>
      <c r="Q781" s="854"/>
      <c r="R781" s="854"/>
      <c r="S781" s="854"/>
      <c r="T781" s="854"/>
      <c r="U781" s="854"/>
      <c r="V781" s="854"/>
      <c r="W781" s="854"/>
      <c r="X781" s="854"/>
      <c r="Y781" s="854"/>
      <c r="Z781" s="854"/>
      <c r="AA781" s="854"/>
      <c r="AB781" s="854"/>
      <c r="AC781" s="854"/>
      <c r="AD781" s="854"/>
      <c r="AE781" s="854"/>
      <c r="AF781" s="854"/>
      <c r="AG781" s="854"/>
      <c r="AH781" s="854"/>
      <c r="AI781" s="854"/>
      <c r="AJ781" s="854"/>
      <c r="AK781" s="854"/>
      <c r="AL781" s="854"/>
      <c r="AM781" s="854"/>
      <c r="AN781" s="854"/>
      <c r="AO781" s="854"/>
      <c r="AP781" s="854"/>
      <c r="AQ781" s="854"/>
      <c r="AR781" s="854"/>
      <c r="AS781" s="854"/>
      <c r="AT781" s="854"/>
      <c r="AU781" s="854"/>
      <c r="AV781" s="854"/>
      <c r="AW781" s="854"/>
      <c r="AX781" s="854"/>
      <c r="AY781" s="854"/>
      <c r="AZ781" s="854"/>
      <c r="BA781" s="854"/>
      <c r="BB781" s="854"/>
      <c r="BC781" s="854"/>
      <c r="BD781" s="854"/>
      <c r="BE781" s="854"/>
      <c r="BF781" s="854"/>
      <c r="BG781" s="854"/>
      <c r="BH781" s="854"/>
      <c r="BI781" s="854"/>
      <c r="BJ781" s="854"/>
      <c r="BK781" s="854"/>
      <c r="BL781" s="854"/>
      <c r="BM781" s="854"/>
      <c r="BN781" s="854"/>
      <c r="BO781" s="854"/>
      <c r="BP781" s="854"/>
      <c r="BQ781" s="854"/>
      <c r="BR781" s="854"/>
      <c r="BS781" s="854"/>
      <c r="BT781" s="854"/>
      <c r="BU781" s="854"/>
      <c r="BV781" s="854"/>
      <c r="BW781" s="854"/>
      <c r="BX781" s="854"/>
      <c r="BY781" s="854"/>
      <c r="BZ781" s="854"/>
      <c r="CA781" s="571">
        <f>IF(OR(I781="",I781&lt;'Configs &amp; Procedures'!$L$29),0,IF(I781&gt;'Configs &amp; Procedures'!$L$30,1,IF(F781&gt;'Configs &amp; Procedures'!$L$31,0,1)))</f>
        <v>0</v>
      </c>
    </row>
    <row r="782" spans="2:79">
      <c r="B782" s="854"/>
      <c r="C782" s="854"/>
      <c r="D782" s="854"/>
      <c r="E782" s="854"/>
      <c r="F782" s="854"/>
      <c r="G782" s="854"/>
      <c r="H782" s="854"/>
      <c r="I782" s="854"/>
      <c r="J782" s="854"/>
      <c r="K782" s="854"/>
      <c r="L782" s="854"/>
      <c r="M782" s="854"/>
      <c r="N782" s="854"/>
      <c r="O782" s="854"/>
      <c r="P782" s="854"/>
      <c r="Q782" s="854"/>
      <c r="R782" s="854"/>
      <c r="S782" s="854"/>
      <c r="T782" s="854"/>
      <c r="U782" s="854"/>
      <c r="V782" s="854"/>
      <c r="W782" s="854"/>
      <c r="X782" s="854"/>
      <c r="Y782" s="854"/>
      <c r="Z782" s="854"/>
      <c r="AA782" s="854"/>
      <c r="AB782" s="854"/>
      <c r="AC782" s="854"/>
      <c r="AD782" s="854"/>
      <c r="AE782" s="854"/>
      <c r="AF782" s="854"/>
      <c r="AG782" s="854"/>
      <c r="AH782" s="854"/>
      <c r="AI782" s="854"/>
      <c r="AJ782" s="854"/>
      <c r="AK782" s="854"/>
      <c r="AL782" s="854"/>
      <c r="AM782" s="854"/>
      <c r="AN782" s="854"/>
      <c r="AO782" s="854"/>
      <c r="AP782" s="854"/>
      <c r="AQ782" s="854"/>
      <c r="AR782" s="854"/>
      <c r="AS782" s="854"/>
      <c r="AT782" s="854"/>
      <c r="AU782" s="854"/>
      <c r="AV782" s="854"/>
      <c r="AW782" s="854"/>
      <c r="AX782" s="854"/>
      <c r="AY782" s="854"/>
      <c r="AZ782" s="854"/>
      <c r="BA782" s="854"/>
      <c r="BB782" s="854"/>
      <c r="BC782" s="854"/>
      <c r="BD782" s="854"/>
      <c r="BE782" s="854"/>
      <c r="BF782" s="854"/>
      <c r="BG782" s="854"/>
      <c r="BH782" s="854"/>
      <c r="BI782" s="854"/>
      <c r="BJ782" s="854"/>
      <c r="BK782" s="854"/>
      <c r="BL782" s="854"/>
      <c r="BM782" s="854"/>
      <c r="BN782" s="854"/>
      <c r="BO782" s="854"/>
      <c r="BP782" s="854"/>
      <c r="BQ782" s="854"/>
      <c r="BR782" s="854"/>
      <c r="BS782" s="854"/>
      <c r="BT782" s="854"/>
      <c r="BU782" s="854"/>
      <c r="BV782" s="854"/>
      <c r="BW782" s="854"/>
      <c r="BX782" s="854"/>
      <c r="BY782" s="854"/>
      <c r="BZ782" s="854"/>
      <c r="CA782" s="571">
        <f>IF(OR(I782="",I782&lt;'Configs &amp; Procedures'!$L$29),0,IF(I782&gt;'Configs &amp; Procedures'!$L$30,1,IF(F782&gt;'Configs &amp; Procedures'!$L$31,0,1)))</f>
        <v>0</v>
      </c>
    </row>
    <row r="783" spans="2:79">
      <c r="B783" s="854"/>
      <c r="C783" s="854"/>
      <c r="D783" s="854"/>
      <c r="E783" s="854"/>
      <c r="F783" s="854"/>
      <c r="G783" s="854"/>
      <c r="H783" s="854"/>
      <c r="I783" s="854"/>
      <c r="J783" s="854"/>
      <c r="K783" s="854"/>
      <c r="L783" s="854"/>
      <c r="M783" s="854"/>
      <c r="N783" s="854"/>
      <c r="O783" s="854"/>
      <c r="P783" s="854"/>
      <c r="Q783" s="854"/>
      <c r="R783" s="854"/>
      <c r="S783" s="854"/>
      <c r="T783" s="854"/>
      <c r="U783" s="854"/>
      <c r="V783" s="854"/>
      <c r="W783" s="854"/>
      <c r="X783" s="854"/>
      <c r="Y783" s="854"/>
      <c r="Z783" s="854"/>
      <c r="AA783" s="854"/>
      <c r="AB783" s="854"/>
      <c r="AC783" s="854"/>
      <c r="AD783" s="854"/>
      <c r="AE783" s="854"/>
      <c r="AF783" s="854"/>
      <c r="AG783" s="854"/>
      <c r="AH783" s="854"/>
      <c r="AI783" s="854"/>
      <c r="AJ783" s="854"/>
      <c r="AK783" s="854"/>
      <c r="AL783" s="854"/>
      <c r="AM783" s="854"/>
      <c r="AN783" s="854"/>
      <c r="AO783" s="854"/>
      <c r="AP783" s="854"/>
      <c r="AQ783" s="854"/>
      <c r="AR783" s="854"/>
      <c r="AS783" s="854"/>
      <c r="AT783" s="854"/>
      <c r="AU783" s="854"/>
      <c r="AV783" s="854"/>
      <c r="AW783" s="854"/>
      <c r="AX783" s="854"/>
      <c r="AY783" s="854"/>
      <c r="AZ783" s="854"/>
      <c r="BA783" s="854"/>
      <c r="BB783" s="854"/>
      <c r="BC783" s="854"/>
      <c r="BD783" s="854"/>
      <c r="BE783" s="854"/>
      <c r="BF783" s="854"/>
      <c r="BG783" s="854"/>
      <c r="BH783" s="854"/>
      <c r="BI783" s="854"/>
      <c r="BJ783" s="854"/>
      <c r="BK783" s="854"/>
      <c r="BL783" s="854"/>
      <c r="BM783" s="854"/>
      <c r="BN783" s="854"/>
      <c r="BO783" s="854"/>
      <c r="BP783" s="854"/>
      <c r="BQ783" s="854"/>
      <c r="BR783" s="854"/>
      <c r="BS783" s="854"/>
      <c r="BT783" s="854"/>
      <c r="BU783" s="854"/>
      <c r="BV783" s="854"/>
      <c r="BW783" s="854"/>
      <c r="BX783" s="854"/>
      <c r="BY783" s="854"/>
      <c r="BZ783" s="854"/>
      <c r="CA783" s="571">
        <f>IF(OR(I783="",I783&lt;'Configs &amp; Procedures'!$L$29),0,IF(I783&gt;'Configs &amp; Procedures'!$L$30,1,IF(F783&gt;'Configs &amp; Procedures'!$L$31,0,1)))</f>
        <v>0</v>
      </c>
    </row>
    <row r="784" spans="2:79">
      <c r="B784" s="854"/>
      <c r="C784" s="854"/>
      <c r="D784" s="854"/>
      <c r="E784" s="854"/>
      <c r="F784" s="854"/>
      <c r="G784" s="854"/>
      <c r="H784" s="854"/>
      <c r="I784" s="854"/>
      <c r="J784" s="854"/>
      <c r="K784" s="854"/>
      <c r="L784" s="854"/>
      <c r="M784" s="854"/>
      <c r="N784" s="854"/>
      <c r="O784" s="854"/>
      <c r="P784" s="854"/>
      <c r="Q784" s="854"/>
      <c r="R784" s="854"/>
      <c r="S784" s="854"/>
      <c r="T784" s="854"/>
      <c r="U784" s="854"/>
      <c r="V784" s="854"/>
      <c r="W784" s="854"/>
      <c r="X784" s="854"/>
      <c r="Y784" s="854"/>
      <c r="Z784" s="854"/>
      <c r="AA784" s="854"/>
      <c r="AB784" s="854"/>
      <c r="AC784" s="854"/>
      <c r="AD784" s="854"/>
      <c r="AE784" s="854"/>
      <c r="AF784" s="854"/>
      <c r="AG784" s="854"/>
      <c r="AH784" s="854"/>
      <c r="AI784" s="854"/>
      <c r="AJ784" s="854"/>
      <c r="AK784" s="854"/>
      <c r="AL784" s="854"/>
      <c r="AM784" s="854"/>
      <c r="AN784" s="854"/>
      <c r="AO784" s="854"/>
      <c r="AP784" s="854"/>
      <c r="AQ784" s="854"/>
      <c r="AR784" s="854"/>
      <c r="AS784" s="854"/>
      <c r="AT784" s="854"/>
      <c r="AU784" s="854"/>
      <c r="AV784" s="854"/>
      <c r="AW784" s="854"/>
      <c r="AX784" s="854"/>
      <c r="AY784" s="854"/>
      <c r="AZ784" s="854"/>
      <c r="BA784" s="854"/>
      <c r="BB784" s="854"/>
      <c r="BC784" s="854"/>
      <c r="BD784" s="854"/>
      <c r="BE784" s="854"/>
      <c r="BF784" s="854"/>
      <c r="BG784" s="854"/>
      <c r="BH784" s="854"/>
      <c r="BI784" s="854"/>
      <c r="BJ784" s="854"/>
      <c r="BK784" s="854"/>
      <c r="BL784" s="854"/>
      <c r="BM784" s="854"/>
      <c r="BN784" s="854"/>
      <c r="BO784" s="854"/>
      <c r="BP784" s="854"/>
      <c r="BQ784" s="854"/>
      <c r="BR784" s="854"/>
      <c r="BS784" s="854"/>
      <c r="BT784" s="854"/>
      <c r="BU784" s="854"/>
      <c r="BV784" s="854"/>
      <c r="BW784" s="854"/>
      <c r="BX784" s="854"/>
      <c r="BY784" s="854"/>
      <c r="BZ784" s="854"/>
      <c r="CA784" s="571">
        <f>IF(OR(I784="",I784&lt;'Configs &amp; Procedures'!$L$29),0,IF(I784&gt;'Configs &amp; Procedures'!$L$30,1,IF(F784&gt;'Configs &amp; Procedures'!$L$31,0,1)))</f>
        <v>0</v>
      </c>
    </row>
    <row r="785" spans="2:79">
      <c r="B785" s="854"/>
      <c r="C785" s="854"/>
      <c r="D785" s="854"/>
      <c r="E785" s="854"/>
      <c r="F785" s="854"/>
      <c r="G785" s="854"/>
      <c r="H785" s="854"/>
      <c r="I785" s="854"/>
      <c r="J785" s="854"/>
      <c r="K785" s="854"/>
      <c r="L785" s="854"/>
      <c r="M785" s="854"/>
      <c r="N785" s="854"/>
      <c r="O785" s="854"/>
      <c r="P785" s="854"/>
      <c r="Q785" s="854"/>
      <c r="R785" s="854"/>
      <c r="S785" s="854"/>
      <c r="T785" s="854"/>
      <c r="U785" s="854"/>
      <c r="V785" s="854"/>
      <c r="W785" s="854"/>
      <c r="X785" s="854"/>
      <c r="Y785" s="854"/>
      <c r="Z785" s="854"/>
      <c r="AA785" s="854"/>
      <c r="AB785" s="854"/>
      <c r="AC785" s="854"/>
      <c r="AD785" s="854"/>
      <c r="AE785" s="854"/>
      <c r="AF785" s="854"/>
      <c r="AG785" s="854"/>
      <c r="AH785" s="854"/>
      <c r="AI785" s="854"/>
      <c r="AJ785" s="854"/>
      <c r="AK785" s="854"/>
      <c r="AL785" s="854"/>
      <c r="AM785" s="854"/>
      <c r="AN785" s="854"/>
      <c r="AO785" s="854"/>
      <c r="AP785" s="854"/>
      <c r="AQ785" s="854"/>
      <c r="AR785" s="854"/>
      <c r="AS785" s="854"/>
      <c r="AT785" s="854"/>
      <c r="AU785" s="854"/>
      <c r="AV785" s="854"/>
      <c r="AW785" s="854"/>
      <c r="AX785" s="854"/>
      <c r="AY785" s="854"/>
      <c r="AZ785" s="854"/>
      <c r="BA785" s="854"/>
      <c r="BB785" s="854"/>
      <c r="BC785" s="854"/>
      <c r="BD785" s="854"/>
      <c r="BE785" s="854"/>
      <c r="BF785" s="854"/>
      <c r="BG785" s="854"/>
      <c r="BH785" s="854"/>
      <c r="BI785" s="854"/>
      <c r="BJ785" s="854"/>
      <c r="BK785" s="854"/>
      <c r="BL785" s="854"/>
      <c r="BM785" s="854"/>
      <c r="BN785" s="854"/>
      <c r="BO785" s="854"/>
      <c r="BP785" s="854"/>
      <c r="BQ785" s="854"/>
      <c r="BR785" s="854"/>
      <c r="BS785" s="854"/>
      <c r="BT785" s="854"/>
      <c r="BU785" s="854"/>
      <c r="BV785" s="854"/>
      <c r="BW785" s="854"/>
      <c r="BX785" s="854"/>
      <c r="BY785" s="854"/>
      <c r="BZ785" s="854"/>
      <c r="CA785" s="571">
        <f>IF(OR(I785="",I785&lt;'Configs &amp; Procedures'!$L$29),0,IF(I785&gt;'Configs &amp; Procedures'!$L$30,1,IF(F785&gt;'Configs &amp; Procedures'!$L$31,0,1)))</f>
        <v>0</v>
      </c>
    </row>
    <row r="786" spans="2:79">
      <c r="B786" s="854"/>
      <c r="C786" s="854"/>
      <c r="D786" s="854"/>
      <c r="E786" s="854"/>
      <c r="F786" s="854"/>
      <c r="G786" s="854"/>
      <c r="H786" s="854"/>
      <c r="I786" s="854"/>
      <c r="J786" s="854"/>
      <c r="K786" s="854"/>
      <c r="L786" s="854"/>
      <c r="M786" s="854"/>
      <c r="N786" s="854"/>
      <c r="O786" s="854"/>
      <c r="P786" s="854"/>
      <c r="Q786" s="854"/>
      <c r="R786" s="854"/>
      <c r="S786" s="854"/>
      <c r="T786" s="854"/>
      <c r="U786" s="854"/>
      <c r="V786" s="854"/>
      <c r="W786" s="854"/>
      <c r="X786" s="854"/>
      <c r="Y786" s="854"/>
      <c r="Z786" s="854"/>
      <c r="AA786" s="854"/>
      <c r="AB786" s="854"/>
      <c r="AC786" s="854"/>
      <c r="AD786" s="854"/>
      <c r="AE786" s="854"/>
      <c r="AF786" s="854"/>
      <c r="AG786" s="854"/>
      <c r="AH786" s="854"/>
      <c r="AI786" s="854"/>
      <c r="AJ786" s="854"/>
      <c r="AK786" s="854"/>
      <c r="AL786" s="854"/>
      <c r="AM786" s="854"/>
      <c r="AN786" s="854"/>
      <c r="AO786" s="854"/>
      <c r="AP786" s="854"/>
      <c r="AQ786" s="854"/>
      <c r="AR786" s="854"/>
      <c r="AS786" s="854"/>
      <c r="AT786" s="854"/>
      <c r="AU786" s="854"/>
      <c r="AV786" s="854"/>
      <c r="AW786" s="854"/>
      <c r="AX786" s="854"/>
      <c r="AY786" s="854"/>
      <c r="AZ786" s="854"/>
      <c r="BA786" s="854"/>
      <c r="BB786" s="854"/>
      <c r="BC786" s="854"/>
      <c r="BD786" s="854"/>
      <c r="BE786" s="854"/>
      <c r="BF786" s="854"/>
      <c r="BG786" s="854"/>
      <c r="BH786" s="854"/>
      <c r="BI786" s="854"/>
      <c r="BJ786" s="854"/>
      <c r="BK786" s="854"/>
      <c r="BL786" s="854"/>
      <c r="BM786" s="854"/>
      <c r="BN786" s="854"/>
      <c r="BO786" s="854"/>
      <c r="BP786" s="854"/>
      <c r="BQ786" s="854"/>
      <c r="BR786" s="854"/>
      <c r="BS786" s="854"/>
      <c r="BT786" s="854"/>
      <c r="BU786" s="854"/>
      <c r="BV786" s="854"/>
      <c r="BW786" s="854"/>
      <c r="BX786" s="854"/>
      <c r="BY786" s="854"/>
      <c r="BZ786" s="854"/>
      <c r="CA786" s="571">
        <f>IF(OR(I786="",I786&lt;'Configs &amp; Procedures'!$L$29),0,IF(I786&gt;'Configs &amp; Procedures'!$L$30,1,IF(F786&gt;'Configs &amp; Procedures'!$L$31,0,1)))</f>
        <v>0</v>
      </c>
    </row>
    <row r="787" spans="2:79">
      <c r="B787" s="854"/>
      <c r="C787" s="854"/>
      <c r="D787" s="854"/>
      <c r="E787" s="854"/>
      <c r="F787" s="854"/>
      <c r="G787" s="854"/>
      <c r="H787" s="854"/>
      <c r="I787" s="854"/>
      <c r="J787" s="854"/>
      <c r="K787" s="854"/>
      <c r="L787" s="854"/>
      <c r="M787" s="854"/>
      <c r="N787" s="854"/>
      <c r="O787" s="854"/>
      <c r="P787" s="854"/>
      <c r="Q787" s="854"/>
      <c r="R787" s="854"/>
      <c r="S787" s="854"/>
      <c r="T787" s="854"/>
      <c r="U787" s="854"/>
      <c r="V787" s="854"/>
      <c r="W787" s="854"/>
      <c r="X787" s="854"/>
      <c r="Y787" s="854"/>
      <c r="Z787" s="854"/>
      <c r="AA787" s="854"/>
      <c r="AB787" s="854"/>
      <c r="AC787" s="854"/>
      <c r="AD787" s="854"/>
      <c r="AE787" s="854"/>
      <c r="AF787" s="854"/>
      <c r="AG787" s="854"/>
      <c r="AH787" s="854"/>
      <c r="AI787" s="854"/>
      <c r="AJ787" s="854"/>
      <c r="AK787" s="854"/>
      <c r="AL787" s="854"/>
      <c r="AM787" s="854"/>
      <c r="AN787" s="854"/>
      <c r="AO787" s="854"/>
      <c r="AP787" s="854"/>
      <c r="AQ787" s="854"/>
      <c r="AR787" s="854"/>
      <c r="AS787" s="854"/>
      <c r="AT787" s="854"/>
      <c r="AU787" s="854"/>
      <c r="AV787" s="854"/>
      <c r="AW787" s="854"/>
      <c r="AX787" s="854"/>
      <c r="AY787" s="854"/>
      <c r="AZ787" s="854"/>
      <c r="BA787" s="854"/>
      <c r="BB787" s="854"/>
      <c r="BC787" s="854"/>
      <c r="BD787" s="854"/>
      <c r="BE787" s="854"/>
      <c r="BF787" s="854"/>
      <c r="BG787" s="854"/>
      <c r="BH787" s="854"/>
      <c r="BI787" s="854"/>
      <c r="BJ787" s="854"/>
      <c r="BK787" s="854"/>
      <c r="BL787" s="854"/>
      <c r="BM787" s="854"/>
      <c r="BN787" s="854"/>
      <c r="BO787" s="854"/>
      <c r="BP787" s="854"/>
      <c r="BQ787" s="854"/>
      <c r="BR787" s="854"/>
      <c r="BS787" s="854"/>
      <c r="BT787" s="854"/>
      <c r="BU787" s="854"/>
      <c r="BV787" s="854"/>
      <c r="BW787" s="854"/>
      <c r="BX787" s="854"/>
      <c r="BY787" s="854"/>
      <c r="BZ787" s="854"/>
      <c r="CA787" s="571">
        <f>IF(OR(I787="",I787&lt;'Configs &amp; Procedures'!$L$29),0,IF(I787&gt;'Configs &amp; Procedures'!$L$30,1,IF(F787&gt;'Configs &amp; Procedures'!$L$31,0,1)))</f>
        <v>0</v>
      </c>
    </row>
    <row r="788" spans="2:79">
      <c r="B788" s="854"/>
      <c r="C788" s="854"/>
      <c r="D788" s="854"/>
      <c r="E788" s="854"/>
      <c r="F788" s="854"/>
      <c r="G788" s="854"/>
      <c r="H788" s="854"/>
      <c r="I788" s="854"/>
      <c r="J788" s="854"/>
      <c r="K788" s="854"/>
      <c r="L788" s="854"/>
      <c r="M788" s="854"/>
      <c r="N788" s="854"/>
      <c r="O788" s="854"/>
      <c r="P788" s="854"/>
      <c r="Q788" s="854"/>
      <c r="R788" s="854"/>
      <c r="S788" s="854"/>
      <c r="T788" s="854"/>
      <c r="U788" s="854"/>
      <c r="V788" s="854"/>
      <c r="W788" s="854"/>
      <c r="X788" s="854"/>
      <c r="Y788" s="854"/>
      <c r="Z788" s="854"/>
      <c r="AA788" s="854"/>
      <c r="AB788" s="854"/>
      <c r="AC788" s="854"/>
      <c r="AD788" s="854"/>
      <c r="AE788" s="854"/>
      <c r="AF788" s="854"/>
      <c r="AG788" s="854"/>
      <c r="AH788" s="854"/>
      <c r="AI788" s="854"/>
      <c r="AJ788" s="854"/>
      <c r="AK788" s="854"/>
      <c r="AL788" s="854"/>
      <c r="AM788" s="854"/>
      <c r="AN788" s="854"/>
      <c r="AO788" s="854"/>
      <c r="AP788" s="854"/>
      <c r="AQ788" s="854"/>
      <c r="AR788" s="854"/>
      <c r="AS788" s="854"/>
      <c r="AT788" s="854"/>
      <c r="AU788" s="854"/>
      <c r="AV788" s="854"/>
      <c r="AW788" s="854"/>
      <c r="AX788" s="854"/>
      <c r="AY788" s="854"/>
      <c r="AZ788" s="854"/>
      <c r="BA788" s="854"/>
      <c r="BB788" s="854"/>
      <c r="BC788" s="854"/>
      <c r="BD788" s="854"/>
      <c r="BE788" s="854"/>
      <c r="BF788" s="854"/>
      <c r="BG788" s="854"/>
      <c r="BH788" s="854"/>
      <c r="BI788" s="854"/>
      <c r="BJ788" s="854"/>
      <c r="BK788" s="854"/>
      <c r="BL788" s="854"/>
      <c r="BM788" s="854"/>
      <c r="BN788" s="854"/>
      <c r="BO788" s="854"/>
      <c r="BP788" s="854"/>
      <c r="BQ788" s="854"/>
      <c r="BR788" s="854"/>
      <c r="BS788" s="854"/>
      <c r="BT788" s="854"/>
      <c r="BU788" s="854"/>
      <c r="BV788" s="854"/>
      <c r="BW788" s="854"/>
      <c r="BX788" s="854"/>
      <c r="BY788" s="854"/>
      <c r="BZ788" s="854"/>
      <c r="CA788" s="571">
        <f>IF(OR(I788="",I788&lt;'Configs &amp; Procedures'!$L$29),0,IF(I788&gt;'Configs &amp; Procedures'!$L$30,1,IF(F788&gt;'Configs &amp; Procedures'!$L$31,0,1)))</f>
        <v>0</v>
      </c>
    </row>
    <row r="789" spans="2:79">
      <c r="B789" s="854"/>
      <c r="C789" s="854"/>
      <c r="D789" s="854"/>
      <c r="E789" s="854"/>
      <c r="F789" s="854"/>
      <c r="G789" s="854"/>
      <c r="H789" s="854"/>
      <c r="I789" s="854"/>
      <c r="J789" s="854"/>
      <c r="K789" s="854"/>
      <c r="L789" s="854"/>
      <c r="M789" s="854"/>
      <c r="N789" s="854"/>
      <c r="O789" s="854"/>
      <c r="P789" s="854"/>
      <c r="Q789" s="854"/>
      <c r="R789" s="854"/>
      <c r="S789" s="854"/>
      <c r="T789" s="854"/>
      <c r="U789" s="854"/>
      <c r="V789" s="854"/>
      <c r="W789" s="854"/>
      <c r="X789" s="854"/>
      <c r="Y789" s="854"/>
      <c r="Z789" s="854"/>
      <c r="AA789" s="854"/>
      <c r="AB789" s="854"/>
      <c r="AC789" s="854"/>
      <c r="AD789" s="854"/>
      <c r="AE789" s="854"/>
      <c r="AF789" s="854"/>
      <c r="AG789" s="854"/>
      <c r="AH789" s="854"/>
      <c r="AI789" s="854"/>
      <c r="AJ789" s="854"/>
      <c r="AK789" s="854"/>
      <c r="AL789" s="854"/>
      <c r="AM789" s="854"/>
      <c r="AN789" s="854"/>
      <c r="AO789" s="854"/>
      <c r="AP789" s="854"/>
      <c r="AQ789" s="854"/>
      <c r="AR789" s="854"/>
      <c r="AS789" s="854"/>
      <c r="AT789" s="854"/>
      <c r="AU789" s="854"/>
      <c r="AV789" s="854"/>
      <c r="AW789" s="854"/>
      <c r="AX789" s="854"/>
      <c r="AY789" s="854"/>
      <c r="AZ789" s="854"/>
      <c r="BA789" s="854"/>
      <c r="BB789" s="854"/>
      <c r="BC789" s="854"/>
      <c r="BD789" s="854"/>
      <c r="BE789" s="854"/>
      <c r="BF789" s="854"/>
      <c r="BG789" s="854"/>
      <c r="BH789" s="854"/>
      <c r="BI789" s="854"/>
      <c r="BJ789" s="854"/>
      <c r="BK789" s="854"/>
      <c r="BL789" s="854"/>
      <c r="BM789" s="854"/>
      <c r="BN789" s="854"/>
      <c r="BO789" s="854"/>
      <c r="BP789" s="854"/>
      <c r="BQ789" s="854"/>
      <c r="BR789" s="854"/>
      <c r="BS789" s="854"/>
      <c r="BT789" s="854"/>
      <c r="BU789" s="854"/>
      <c r="BV789" s="854"/>
      <c r="BW789" s="854"/>
      <c r="BX789" s="854"/>
      <c r="BY789" s="854"/>
      <c r="BZ789" s="854"/>
      <c r="CA789" s="571">
        <f>IF(OR(I789="",I789&lt;'Configs &amp; Procedures'!$L$29),0,IF(I789&gt;'Configs &amp; Procedures'!$L$30,1,IF(F789&gt;'Configs &amp; Procedures'!$L$31,0,1)))</f>
        <v>0</v>
      </c>
    </row>
    <row r="790" spans="2:79">
      <c r="B790" s="854"/>
      <c r="C790" s="854"/>
      <c r="D790" s="854"/>
      <c r="E790" s="854"/>
      <c r="F790" s="854"/>
      <c r="G790" s="854"/>
      <c r="H790" s="854"/>
      <c r="I790" s="854"/>
      <c r="J790" s="854"/>
      <c r="K790" s="854"/>
      <c r="L790" s="854"/>
      <c r="M790" s="854"/>
      <c r="N790" s="854"/>
      <c r="O790" s="854"/>
      <c r="P790" s="854"/>
      <c r="Q790" s="854"/>
      <c r="R790" s="854"/>
      <c r="S790" s="854"/>
      <c r="T790" s="854"/>
      <c r="U790" s="854"/>
      <c r="V790" s="854"/>
      <c r="W790" s="854"/>
      <c r="X790" s="854"/>
      <c r="Y790" s="854"/>
      <c r="Z790" s="854"/>
      <c r="AA790" s="854"/>
      <c r="AB790" s="854"/>
      <c r="AC790" s="854"/>
      <c r="AD790" s="854"/>
      <c r="AE790" s="854"/>
      <c r="AF790" s="854"/>
      <c r="AG790" s="854"/>
      <c r="AH790" s="854"/>
      <c r="AI790" s="854"/>
      <c r="AJ790" s="854"/>
      <c r="AK790" s="854"/>
      <c r="AL790" s="854"/>
      <c r="AM790" s="854"/>
      <c r="AN790" s="854"/>
      <c r="AO790" s="854"/>
      <c r="AP790" s="854"/>
      <c r="AQ790" s="854"/>
      <c r="AR790" s="854"/>
      <c r="AS790" s="854"/>
      <c r="AT790" s="854"/>
      <c r="AU790" s="854"/>
      <c r="AV790" s="854"/>
      <c r="AW790" s="854"/>
      <c r="AX790" s="854"/>
      <c r="AY790" s="854"/>
      <c r="AZ790" s="854"/>
      <c r="BA790" s="854"/>
      <c r="BB790" s="854"/>
      <c r="BC790" s="854"/>
      <c r="BD790" s="854"/>
      <c r="BE790" s="854"/>
      <c r="BF790" s="854"/>
      <c r="BG790" s="854"/>
      <c r="BH790" s="854"/>
      <c r="BI790" s="854"/>
      <c r="BJ790" s="854"/>
      <c r="BK790" s="854"/>
      <c r="BL790" s="854"/>
      <c r="BM790" s="854"/>
      <c r="BN790" s="854"/>
      <c r="BO790" s="854"/>
      <c r="BP790" s="854"/>
      <c r="BQ790" s="854"/>
      <c r="BR790" s="854"/>
      <c r="BS790" s="854"/>
      <c r="BT790" s="854"/>
      <c r="BU790" s="854"/>
      <c r="BV790" s="854"/>
      <c r="BW790" s="854"/>
      <c r="BX790" s="854"/>
      <c r="BY790" s="854"/>
      <c r="BZ790" s="854"/>
      <c r="CA790" s="571">
        <f>IF(OR(I790="",I790&lt;'Configs &amp; Procedures'!$L$29),0,IF(I790&gt;'Configs &amp; Procedures'!$L$30,1,IF(F790&gt;'Configs &amp; Procedures'!$L$31,0,1)))</f>
        <v>0</v>
      </c>
    </row>
    <row r="791" spans="2:79">
      <c r="B791" s="854"/>
      <c r="C791" s="854"/>
      <c r="D791" s="854"/>
      <c r="E791" s="854"/>
      <c r="F791" s="854"/>
      <c r="G791" s="854"/>
      <c r="H791" s="854"/>
      <c r="I791" s="854"/>
      <c r="J791" s="854"/>
      <c r="K791" s="854"/>
      <c r="L791" s="854"/>
      <c r="M791" s="854"/>
      <c r="N791" s="854"/>
      <c r="O791" s="854"/>
      <c r="P791" s="854"/>
      <c r="Q791" s="854"/>
      <c r="R791" s="854"/>
      <c r="S791" s="854"/>
      <c r="T791" s="854"/>
      <c r="U791" s="854"/>
      <c r="V791" s="854"/>
      <c r="W791" s="854"/>
      <c r="X791" s="854"/>
      <c r="Y791" s="854"/>
      <c r="Z791" s="854"/>
      <c r="AA791" s="854"/>
      <c r="AB791" s="854"/>
      <c r="AC791" s="854"/>
      <c r="AD791" s="854"/>
      <c r="AE791" s="854"/>
      <c r="AF791" s="854"/>
      <c r="AG791" s="854"/>
      <c r="AH791" s="854"/>
      <c r="AI791" s="854"/>
      <c r="AJ791" s="854"/>
      <c r="AK791" s="854"/>
      <c r="AL791" s="854"/>
      <c r="AM791" s="854"/>
      <c r="AN791" s="854"/>
      <c r="AO791" s="854"/>
      <c r="AP791" s="854"/>
      <c r="AQ791" s="854"/>
      <c r="AR791" s="854"/>
      <c r="AS791" s="854"/>
      <c r="AT791" s="854"/>
      <c r="AU791" s="854"/>
      <c r="AV791" s="854"/>
      <c r="AW791" s="854"/>
      <c r="AX791" s="854"/>
      <c r="AY791" s="854"/>
      <c r="AZ791" s="854"/>
      <c r="BA791" s="854"/>
      <c r="BB791" s="854"/>
      <c r="BC791" s="854"/>
      <c r="BD791" s="854"/>
      <c r="BE791" s="854"/>
      <c r="BF791" s="854"/>
      <c r="BG791" s="854"/>
      <c r="BH791" s="854"/>
      <c r="BI791" s="854"/>
      <c r="BJ791" s="854"/>
      <c r="BK791" s="854"/>
      <c r="BL791" s="854"/>
      <c r="BM791" s="854"/>
      <c r="BN791" s="854"/>
      <c r="BO791" s="854"/>
      <c r="BP791" s="854"/>
      <c r="BQ791" s="854"/>
      <c r="BR791" s="854"/>
      <c r="BS791" s="854"/>
      <c r="BT791" s="854"/>
      <c r="BU791" s="854"/>
      <c r="BV791" s="854"/>
      <c r="BW791" s="854"/>
      <c r="BX791" s="854"/>
      <c r="BY791" s="854"/>
      <c r="BZ791" s="854"/>
      <c r="CA791" s="571">
        <f>IF(OR(I791="",I791&lt;'Configs &amp; Procedures'!$L$29),0,IF(I791&gt;'Configs &amp; Procedures'!$L$30,1,IF(F791&gt;'Configs &amp; Procedures'!$L$31,0,1)))</f>
        <v>0</v>
      </c>
    </row>
    <row r="792" spans="2:79">
      <c r="B792" s="854"/>
      <c r="C792" s="854"/>
      <c r="D792" s="854"/>
      <c r="E792" s="854"/>
      <c r="F792" s="854"/>
      <c r="G792" s="854"/>
      <c r="H792" s="854"/>
      <c r="I792" s="854"/>
      <c r="J792" s="854"/>
      <c r="K792" s="854"/>
      <c r="L792" s="854"/>
      <c r="M792" s="854"/>
      <c r="N792" s="854"/>
      <c r="O792" s="854"/>
      <c r="P792" s="854"/>
      <c r="Q792" s="854"/>
      <c r="R792" s="854"/>
      <c r="S792" s="854"/>
      <c r="T792" s="854"/>
      <c r="U792" s="854"/>
      <c r="V792" s="854"/>
      <c r="W792" s="854"/>
      <c r="X792" s="854"/>
      <c r="Y792" s="854"/>
      <c r="Z792" s="854"/>
      <c r="AA792" s="854"/>
      <c r="AB792" s="854"/>
      <c r="AC792" s="854"/>
      <c r="AD792" s="854"/>
      <c r="AE792" s="854"/>
      <c r="AF792" s="854"/>
      <c r="AG792" s="854"/>
      <c r="AH792" s="854"/>
      <c r="AI792" s="854"/>
      <c r="AJ792" s="854"/>
      <c r="AK792" s="854"/>
      <c r="AL792" s="854"/>
      <c r="AM792" s="854"/>
      <c r="AN792" s="854"/>
      <c r="AO792" s="854"/>
      <c r="AP792" s="854"/>
      <c r="AQ792" s="854"/>
      <c r="AR792" s="854"/>
      <c r="AS792" s="854"/>
      <c r="AT792" s="854"/>
      <c r="AU792" s="854"/>
      <c r="AV792" s="854"/>
      <c r="AW792" s="854"/>
      <c r="AX792" s="854"/>
      <c r="AY792" s="854"/>
      <c r="AZ792" s="854"/>
      <c r="BA792" s="854"/>
      <c r="BB792" s="854"/>
      <c r="BC792" s="854"/>
      <c r="BD792" s="854"/>
      <c r="BE792" s="854"/>
      <c r="BF792" s="854"/>
      <c r="BG792" s="854"/>
      <c r="BH792" s="854"/>
      <c r="BI792" s="854"/>
      <c r="BJ792" s="854"/>
      <c r="BK792" s="854"/>
      <c r="BL792" s="854"/>
      <c r="BM792" s="854"/>
      <c r="BN792" s="854"/>
      <c r="BO792" s="854"/>
      <c r="BP792" s="854"/>
      <c r="BQ792" s="854"/>
      <c r="BR792" s="854"/>
      <c r="BS792" s="854"/>
      <c r="BT792" s="854"/>
      <c r="BU792" s="854"/>
      <c r="BV792" s="854"/>
      <c r="BW792" s="854"/>
      <c r="BX792" s="854"/>
      <c r="BY792" s="854"/>
      <c r="BZ792" s="854"/>
      <c r="CA792" s="571">
        <f>IF(OR(I792="",I792&lt;'Configs &amp; Procedures'!$L$29),0,IF(I792&gt;'Configs &amp; Procedures'!$L$30,1,IF(F792&gt;'Configs &amp; Procedures'!$L$31,0,1)))</f>
        <v>0</v>
      </c>
    </row>
    <row r="793" spans="2:79">
      <c r="B793" s="854"/>
      <c r="C793" s="854"/>
      <c r="D793" s="854"/>
      <c r="E793" s="854"/>
      <c r="F793" s="854"/>
      <c r="G793" s="854"/>
      <c r="H793" s="854"/>
      <c r="I793" s="854"/>
      <c r="J793" s="854"/>
      <c r="K793" s="854"/>
      <c r="L793" s="854"/>
      <c r="M793" s="854"/>
      <c r="N793" s="854"/>
      <c r="O793" s="854"/>
      <c r="P793" s="854"/>
      <c r="Q793" s="854"/>
      <c r="R793" s="854"/>
      <c r="S793" s="854"/>
      <c r="T793" s="854"/>
      <c r="U793" s="854"/>
      <c r="V793" s="854"/>
      <c r="W793" s="854"/>
      <c r="X793" s="854"/>
      <c r="Y793" s="854"/>
      <c r="Z793" s="854"/>
      <c r="AA793" s="854"/>
      <c r="AB793" s="854"/>
      <c r="AC793" s="854"/>
      <c r="AD793" s="854"/>
      <c r="AE793" s="854"/>
      <c r="AF793" s="854"/>
      <c r="AG793" s="854"/>
      <c r="AH793" s="854"/>
      <c r="AI793" s="854"/>
      <c r="AJ793" s="854"/>
      <c r="AK793" s="854"/>
      <c r="AL793" s="854"/>
      <c r="AM793" s="854"/>
      <c r="AN793" s="854"/>
      <c r="AO793" s="854"/>
      <c r="AP793" s="854"/>
      <c r="AQ793" s="854"/>
      <c r="AR793" s="854"/>
      <c r="AS793" s="854"/>
      <c r="AT793" s="854"/>
      <c r="AU793" s="854"/>
      <c r="AV793" s="854"/>
      <c r="AW793" s="854"/>
      <c r="AX793" s="854"/>
      <c r="AY793" s="854"/>
      <c r="AZ793" s="854"/>
      <c r="BA793" s="854"/>
      <c r="BB793" s="854"/>
      <c r="BC793" s="854"/>
      <c r="BD793" s="854"/>
      <c r="BE793" s="854"/>
      <c r="BF793" s="854"/>
      <c r="BG793" s="854"/>
      <c r="BH793" s="854"/>
      <c r="BI793" s="854"/>
      <c r="BJ793" s="854"/>
      <c r="BK793" s="854"/>
      <c r="BL793" s="854"/>
      <c r="BM793" s="854"/>
      <c r="BN793" s="854"/>
      <c r="BO793" s="854"/>
      <c r="BP793" s="854"/>
      <c r="BQ793" s="854"/>
      <c r="BR793" s="854"/>
      <c r="BS793" s="854"/>
      <c r="BT793" s="854"/>
      <c r="BU793" s="854"/>
      <c r="BV793" s="854"/>
      <c r="BW793" s="854"/>
      <c r="BX793" s="854"/>
      <c r="BY793" s="854"/>
      <c r="BZ793" s="854"/>
      <c r="CA793" s="571">
        <f>IF(OR(I793="",I793&lt;'Configs &amp; Procedures'!$L$29),0,IF(I793&gt;'Configs &amp; Procedures'!$L$30,1,IF(F793&gt;'Configs &amp; Procedures'!$L$31,0,1)))</f>
        <v>0</v>
      </c>
    </row>
    <row r="794" spans="2:79">
      <c r="B794" s="854"/>
      <c r="C794" s="854"/>
      <c r="D794" s="854"/>
      <c r="E794" s="854"/>
      <c r="F794" s="854"/>
      <c r="G794" s="854"/>
      <c r="H794" s="854"/>
      <c r="I794" s="854"/>
      <c r="J794" s="854"/>
      <c r="K794" s="854"/>
      <c r="L794" s="854"/>
      <c r="M794" s="854"/>
      <c r="N794" s="854"/>
      <c r="O794" s="854"/>
      <c r="P794" s="854"/>
      <c r="Q794" s="854"/>
      <c r="R794" s="854"/>
      <c r="S794" s="854"/>
      <c r="T794" s="854"/>
      <c r="U794" s="854"/>
      <c r="V794" s="854"/>
      <c r="W794" s="854"/>
      <c r="X794" s="854"/>
      <c r="Y794" s="854"/>
      <c r="Z794" s="854"/>
      <c r="AA794" s="854"/>
      <c r="AB794" s="854"/>
      <c r="AC794" s="854"/>
      <c r="AD794" s="854"/>
      <c r="AE794" s="854"/>
      <c r="AF794" s="854"/>
      <c r="AG794" s="854"/>
      <c r="AH794" s="854"/>
      <c r="AI794" s="854"/>
      <c r="AJ794" s="854"/>
      <c r="AK794" s="854"/>
      <c r="AL794" s="854"/>
      <c r="AM794" s="854"/>
      <c r="AN794" s="854"/>
      <c r="AO794" s="854"/>
      <c r="AP794" s="854"/>
      <c r="AQ794" s="854"/>
      <c r="AR794" s="854"/>
      <c r="AS794" s="854"/>
      <c r="AT794" s="854"/>
      <c r="AU794" s="854"/>
      <c r="AV794" s="854"/>
      <c r="AW794" s="854"/>
      <c r="AX794" s="854"/>
      <c r="AY794" s="854"/>
      <c r="AZ794" s="854"/>
      <c r="BA794" s="854"/>
      <c r="BB794" s="854"/>
      <c r="BC794" s="854"/>
      <c r="BD794" s="854"/>
      <c r="BE794" s="854"/>
      <c r="BF794" s="854"/>
      <c r="BG794" s="854"/>
      <c r="BH794" s="854"/>
      <c r="BI794" s="854"/>
      <c r="BJ794" s="854"/>
      <c r="BK794" s="854"/>
      <c r="BL794" s="854"/>
      <c r="BM794" s="854"/>
      <c r="BN794" s="854"/>
      <c r="BO794" s="854"/>
      <c r="BP794" s="854"/>
      <c r="BQ794" s="854"/>
      <c r="BR794" s="854"/>
      <c r="BS794" s="854"/>
      <c r="BT794" s="854"/>
      <c r="BU794" s="854"/>
      <c r="BV794" s="854"/>
      <c r="BW794" s="854"/>
      <c r="BX794" s="854"/>
      <c r="BY794" s="854"/>
      <c r="BZ794" s="854"/>
      <c r="CA794" s="571">
        <f>IF(OR(I794="",I794&lt;'Configs &amp; Procedures'!$L$29),0,IF(I794&gt;'Configs &amp; Procedures'!$L$30,1,IF(F794&gt;'Configs &amp; Procedures'!$L$31,0,1)))</f>
        <v>0</v>
      </c>
    </row>
    <row r="795" spans="2:79">
      <c r="B795" s="854"/>
      <c r="C795" s="854"/>
      <c r="D795" s="854"/>
      <c r="E795" s="854"/>
      <c r="F795" s="854"/>
      <c r="G795" s="854"/>
      <c r="H795" s="854"/>
      <c r="I795" s="854"/>
      <c r="J795" s="854"/>
      <c r="K795" s="854"/>
      <c r="L795" s="854"/>
      <c r="M795" s="854"/>
      <c r="N795" s="854"/>
      <c r="O795" s="854"/>
      <c r="P795" s="854"/>
      <c r="Q795" s="854"/>
      <c r="R795" s="854"/>
      <c r="S795" s="854"/>
      <c r="T795" s="854"/>
      <c r="U795" s="854"/>
      <c r="V795" s="854"/>
      <c r="W795" s="854"/>
      <c r="X795" s="854"/>
      <c r="Y795" s="854"/>
      <c r="Z795" s="854"/>
      <c r="AA795" s="854"/>
      <c r="AB795" s="854"/>
      <c r="AC795" s="854"/>
      <c r="AD795" s="854"/>
      <c r="AE795" s="854"/>
      <c r="AF795" s="854"/>
      <c r="AG795" s="854"/>
      <c r="AH795" s="854"/>
      <c r="AI795" s="854"/>
      <c r="AJ795" s="854"/>
      <c r="AK795" s="854"/>
      <c r="AL795" s="854"/>
      <c r="AM795" s="854"/>
      <c r="AN795" s="854"/>
      <c r="AO795" s="854"/>
      <c r="AP795" s="854"/>
      <c r="AQ795" s="854"/>
      <c r="AR795" s="854"/>
      <c r="AS795" s="854"/>
      <c r="AT795" s="854"/>
      <c r="AU795" s="854"/>
      <c r="AV795" s="854"/>
      <c r="AW795" s="854"/>
      <c r="AX795" s="854"/>
      <c r="AY795" s="854"/>
      <c r="AZ795" s="854"/>
      <c r="BA795" s="854"/>
      <c r="BB795" s="854"/>
      <c r="BC795" s="854"/>
      <c r="BD795" s="854"/>
      <c r="BE795" s="854"/>
      <c r="BF795" s="854"/>
      <c r="BG795" s="854"/>
      <c r="BH795" s="854"/>
      <c r="BI795" s="854"/>
      <c r="BJ795" s="854"/>
      <c r="BK795" s="854"/>
      <c r="BL795" s="854"/>
      <c r="BM795" s="854"/>
      <c r="BN795" s="854"/>
      <c r="BO795" s="854"/>
      <c r="BP795" s="854"/>
      <c r="BQ795" s="854"/>
      <c r="BR795" s="854"/>
      <c r="BS795" s="854"/>
      <c r="BT795" s="854"/>
      <c r="BU795" s="854"/>
      <c r="BV795" s="854"/>
      <c r="BW795" s="854"/>
      <c r="BX795" s="854"/>
      <c r="BY795" s="854"/>
      <c r="BZ795" s="854"/>
      <c r="CA795" s="571">
        <f>IF(OR(I795="",I795&lt;'Configs &amp; Procedures'!$L$29),0,IF(I795&gt;'Configs &amp; Procedures'!$L$30,1,IF(F795&gt;'Configs &amp; Procedures'!$L$31,0,1)))</f>
        <v>0</v>
      </c>
    </row>
    <row r="796" spans="2:79">
      <c r="B796" s="854"/>
      <c r="C796" s="854"/>
      <c r="D796" s="854"/>
      <c r="E796" s="854"/>
      <c r="F796" s="854"/>
      <c r="G796" s="854"/>
      <c r="H796" s="854"/>
      <c r="I796" s="854"/>
      <c r="J796" s="854"/>
      <c r="K796" s="854"/>
      <c r="L796" s="854"/>
      <c r="M796" s="854"/>
      <c r="N796" s="854"/>
      <c r="O796" s="854"/>
      <c r="P796" s="854"/>
      <c r="Q796" s="854"/>
      <c r="R796" s="854"/>
      <c r="S796" s="854"/>
      <c r="T796" s="854"/>
      <c r="U796" s="854"/>
      <c r="V796" s="854"/>
      <c r="W796" s="854"/>
      <c r="X796" s="854"/>
      <c r="Y796" s="854"/>
      <c r="Z796" s="854"/>
      <c r="AA796" s="854"/>
      <c r="AB796" s="854"/>
      <c r="AC796" s="854"/>
      <c r="AD796" s="854"/>
      <c r="AE796" s="854"/>
      <c r="AF796" s="854"/>
      <c r="AG796" s="854"/>
      <c r="AH796" s="854"/>
      <c r="AI796" s="854"/>
      <c r="AJ796" s="854"/>
      <c r="AK796" s="854"/>
      <c r="AL796" s="854"/>
      <c r="AM796" s="854"/>
      <c r="AN796" s="854"/>
      <c r="AO796" s="854"/>
      <c r="AP796" s="854"/>
      <c r="AQ796" s="854"/>
      <c r="AR796" s="854"/>
      <c r="AS796" s="854"/>
      <c r="AT796" s="854"/>
      <c r="AU796" s="854"/>
      <c r="AV796" s="854"/>
      <c r="AW796" s="854"/>
      <c r="AX796" s="854"/>
      <c r="AY796" s="854"/>
      <c r="AZ796" s="854"/>
      <c r="BA796" s="854"/>
      <c r="BB796" s="854"/>
      <c r="BC796" s="854"/>
      <c r="BD796" s="854"/>
      <c r="BE796" s="854"/>
      <c r="BF796" s="854"/>
      <c r="BG796" s="854"/>
      <c r="BH796" s="854"/>
      <c r="BI796" s="854"/>
      <c r="BJ796" s="854"/>
      <c r="BK796" s="854"/>
      <c r="BL796" s="854"/>
      <c r="BM796" s="854"/>
      <c r="BN796" s="854"/>
      <c r="BO796" s="854"/>
      <c r="BP796" s="854"/>
      <c r="BQ796" s="854"/>
      <c r="BR796" s="854"/>
      <c r="BS796" s="854"/>
      <c r="BT796" s="854"/>
      <c r="BU796" s="854"/>
      <c r="BV796" s="854"/>
      <c r="BW796" s="854"/>
      <c r="BX796" s="854"/>
      <c r="BY796" s="854"/>
      <c r="BZ796" s="854"/>
      <c r="CA796" s="571">
        <f>IF(OR(I796="",I796&lt;'Configs &amp; Procedures'!$L$29),0,IF(I796&gt;'Configs &amp; Procedures'!$L$30,1,IF(F796&gt;'Configs &amp; Procedures'!$L$31,0,1)))</f>
        <v>0</v>
      </c>
    </row>
    <row r="797" spans="2:79">
      <c r="B797" s="854"/>
      <c r="C797" s="854"/>
      <c r="D797" s="854"/>
      <c r="E797" s="854"/>
      <c r="F797" s="854"/>
      <c r="G797" s="854"/>
      <c r="H797" s="854"/>
      <c r="I797" s="854"/>
      <c r="J797" s="854"/>
      <c r="K797" s="854"/>
      <c r="L797" s="854"/>
      <c r="M797" s="854"/>
      <c r="N797" s="854"/>
      <c r="O797" s="854"/>
      <c r="P797" s="854"/>
      <c r="Q797" s="854"/>
      <c r="R797" s="854"/>
      <c r="S797" s="854"/>
      <c r="T797" s="854"/>
      <c r="U797" s="854"/>
      <c r="V797" s="854"/>
      <c r="W797" s="854"/>
      <c r="X797" s="854"/>
      <c r="Y797" s="854"/>
      <c r="Z797" s="854"/>
      <c r="AA797" s="854"/>
      <c r="AB797" s="854"/>
      <c r="AC797" s="854"/>
      <c r="AD797" s="854"/>
      <c r="AE797" s="854"/>
      <c r="AF797" s="854"/>
      <c r="AG797" s="854"/>
      <c r="AH797" s="854"/>
      <c r="AI797" s="854"/>
      <c r="AJ797" s="854"/>
      <c r="AK797" s="854"/>
      <c r="AL797" s="854"/>
      <c r="AM797" s="854"/>
      <c r="AN797" s="854"/>
      <c r="AO797" s="854"/>
      <c r="AP797" s="854"/>
      <c r="AQ797" s="854"/>
      <c r="AR797" s="854"/>
      <c r="AS797" s="854"/>
      <c r="AT797" s="854"/>
      <c r="AU797" s="854"/>
      <c r="AV797" s="854"/>
      <c r="AW797" s="854"/>
      <c r="AX797" s="854"/>
      <c r="AY797" s="854"/>
      <c r="AZ797" s="854"/>
      <c r="BA797" s="854"/>
      <c r="BB797" s="854"/>
      <c r="BC797" s="854"/>
      <c r="BD797" s="854"/>
      <c r="BE797" s="854"/>
      <c r="BF797" s="854"/>
      <c r="BG797" s="854"/>
      <c r="BH797" s="854"/>
      <c r="BI797" s="854"/>
      <c r="BJ797" s="854"/>
      <c r="BK797" s="854"/>
      <c r="BL797" s="854"/>
      <c r="BM797" s="854"/>
      <c r="BN797" s="854"/>
      <c r="BO797" s="854"/>
      <c r="BP797" s="854"/>
      <c r="BQ797" s="854"/>
      <c r="BR797" s="854"/>
      <c r="BS797" s="854"/>
      <c r="BT797" s="854"/>
      <c r="BU797" s="854"/>
      <c r="BV797" s="854"/>
      <c r="BW797" s="854"/>
      <c r="BX797" s="854"/>
      <c r="BY797" s="854"/>
      <c r="BZ797" s="854"/>
      <c r="CA797" s="571">
        <f>IF(OR(I797="",I797&lt;'Configs &amp; Procedures'!$L$29),0,IF(I797&gt;'Configs &amp; Procedures'!$L$30,1,IF(F797&gt;'Configs &amp; Procedures'!$L$31,0,1)))</f>
        <v>0</v>
      </c>
    </row>
    <row r="798" spans="2:79">
      <c r="B798" s="854"/>
      <c r="C798" s="854"/>
      <c r="D798" s="854"/>
      <c r="E798" s="854"/>
      <c r="F798" s="854"/>
      <c r="G798" s="854"/>
      <c r="H798" s="854"/>
      <c r="I798" s="854"/>
      <c r="J798" s="854"/>
      <c r="K798" s="854"/>
      <c r="L798" s="854"/>
      <c r="M798" s="854"/>
      <c r="N798" s="854"/>
      <c r="O798" s="854"/>
      <c r="P798" s="854"/>
      <c r="Q798" s="854"/>
      <c r="R798" s="854"/>
      <c r="S798" s="854"/>
      <c r="T798" s="854"/>
      <c r="U798" s="854"/>
      <c r="V798" s="854"/>
      <c r="W798" s="854"/>
      <c r="X798" s="854"/>
      <c r="Y798" s="854"/>
      <c r="Z798" s="854"/>
      <c r="AA798" s="854"/>
      <c r="AB798" s="854"/>
      <c r="AC798" s="854"/>
      <c r="AD798" s="854"/>
      <c r="AE798" s="854"/>
      <c r="AF798" s="854"/>
      <c r="AG798" s="854"/>
      <c r="AH798" s="854"/>
      <c r="AI798" s="854"/>
      <c r="AJ798" s="854"/>
      <c r="AK798" s="854"/>
      <c r="AL798" s="854"/>
      <c r="AM798" s="854"/>
      <c r="AN798" s="854"/>
      <c r="AO798" s="854"/>
      <c r="AP798" s="854"/>
      <c r="AQ798" s="854"/>
      <c r="AR798" s="854"/>
      <c r="AS798" s="854"/>
      <c r="AT798" s="854"/>
      <c r="AU798" s="854"/>
      <c r="AV798" s="854"/>
      <c r="AW798" s="854"/>
      <c r="AX798" s="854"/>
      <c r="AY798" s="854"/>
      <c r="AZ798" s="854"/>
      <c r="BA798" s="854"/>
      <c r="BB798" s="854"/>
      <c r="BC798" s="854"/>
      <c r="BD798" s="854"/>
      <c r="BE798" s="854"/>
      <c r="BF798" s="854"/>
      <c r="BG798" s="854"/>
      <c r="BH798" s="854"/>
      <c r="BI798" s="854"/>
      <c r="BJ798" s="854"/>
      <c r="BK798" s="854"/>
      <c r="BL798" s="854"/>
      <c r="BM798" s="854"/>
      <c r="BN798" s="854"/>
      <c r="BO798" s="854"/>
      <c r="BP798" s="854"/>
      <c r="BQ798" s="854"/>
      <c r="BR798" s="854"/>
      <c r="BS798" s="854"/>
      <c r="BT798" s="854"/>
      <c r="BU798" s="854"/>
      <c r="BV798" s="854"/>
      <c r="BW798" s="854"/>
      <c r="BX798" s="854"/>
      <c r="BY798" s="854"/>
      <c r="BZ798" s="854"/>
      <c r="CA798" s="571">
        <f>IF(OR(I798="",I798&lt;'Configs &amp; Procedures'!$L$29),0,IF(I798&gt;'Configs &amp; Procedures'!$L$30,1,IF(F798&gt;'Configs &amp; Procedures'!$L$31,0,1)))</f>
        <v>0</v>
      </c>
    </row>
    <row r="799" spans="2:79">
      <c r="B799" s="854"/>
      <c r="C799" s="854"/>
      <c r="D799" s="854"/>
      <c r="E799" s="854"/>
      <c r="F799" s="854"/>
      <c r="G799" s="854"/>
      <c r="H799" s="854"/>
      <c r="I799" s="854"/>
      <c r="J799" s="854"/>
      <c r="K799" s="854"/>
      <c r="L799" s="854"/>
      <c r="M799" s="854"/>
      <c r="N799" s="854"/>
      <c r="O799" s="854"/>
      <c r="P799" s="854"/>
      <c r="Q799" s="854"/>
      <c r="R799" s="854"/>
      <c r="S799" s="854"/>
      <c r="T799" s="854"/>
      <c r="U799" s="854"/>
      <c r="V799" s="854"/>
      <c r="W799" s="854"/>
      <c r="X799" s="854"/>
      <c r="Y799" s="854"/>
      <c r="Z799" s="854"/>
      <c r="AA799" s="854"/>
      <c r="AB799" s="854"/>
      <c r="AC799" s="854"/>
      <c r="AD799" s="854"/>
      <c r="AE799" s="854"/>
      <c r="AF799" s="854"/>
      <c r="AG799" s="854"/>
      <c r="AH799" s="854"/>
      <c r="AI799" s="854"/>
      <c r="AJ799" s="854"/>
      <c r="AK799" s="854"/>
      <c r="AL799" s="854"/>
      <c r="AM799" s="854"/>
      <c r="AN799" s="854"/>
      <c r="AO799" s="854"/>
      <c r="AP799" s="854"/>
      <c r="AQ799" s="854"/>
      <c r="AR799" s="854"/>
      <c r="AS799" s="854"/>
      <c r="AT799" s="854"/>
      <c r="AU799" s="854"/>
      <c r="AV799" s="854"/>
      <c r="AW799" s="854"/>
      <c r="AX799" s="854"/>
      <c r="AY799" s="854"/>
      <c r="AZ799" s="854"/>
      <c r="BA799" s="854"/>
      <c r="BB799" s="854"/>
      <c r="BC799" s="854"/>
      <c r="BD799" s="854"/>
      <c r="BE799" s="854"/>
      <c r="BF799" s="854"/>
      <c r="BG799" s="854"/>
      <c r="BH799" s="854"/>
      <c r="BI799" s="854"/>
      <c r="BJ799" s="854"/>
      <c r="BK799" s="854"/>
      <c r="BL799" s="854"/>
      <c r="BM799" s="854"/>
      <c r="BN799" s="854"/>
      <c r="BO799" s="854"/>
      <c r="BP799" s="854"/>
      <c r="BQ799" s="854"/>
      <c r="BR799" s="854"/>
      <c r="BS799" s="854"/>
      <c r="BT799" s="854"/>
      <c r="BU799" s="854"/>
      <c r="BV799" s="854"/>
      <c r="BW799" s="854"/>
      <c r="BX799" s="854"/>
      <c r="BY799" s="854"/>
      <c r="BZ799" s="854"/>
      <c r="CA799" s="571">
        <f>IF(OR(I799="",I799&lt;'Configs &amp; Procedures'!$L$29),0,IF(I799&gt;'Configs &amp; Procedures'!$L$30,1,IF(F799&gt;'Configs &amp; Procedures'!$L$31,0,1)))</f>
        <v>0</v>
      </c>
    </row>
    <row r="800" spans="2:79">
      <c r="B800" s="854"/>
      <c r="C800" s="854"/>
      <c r="D800" s="854"/>
      <c r="E800" s="854"/>
      <c r="F800" s="854"/>
      <c r="G800" s="854"/>
      <c r="H800" s="854"/>
      <c r="I800" s="854"/>
      <c r="J800" s="854"/>
      <c r="K800" s="854"/>
      <c r="L800" s="854"/>
      <c r="M800" s="854"/>
      <c r="N800" s="854"/>
      <c r="O800" s="854"/>
      <c r="P800" s="854"/>
      <c r="Q800" s="854"/>
      <c r="R800" s="854"/>
      <c r="S800" s="854"/>
      <c r="T800" s="854"/>
      <c r="U800" s="854"/>
      <c r="V800" s="854"/>
      <c r="W800" s="854"/>
      <c r="X800" s="854"/>
      <c r="Y800" s="854"/>
      <c r="Z800" s="854"/>
      <c r="AA800" s="854"/>
      <c r="AB800" s="854"/>
      <c r="AC800" s="854"/>
      <c r="AD800" s="854"/>
      <c r="AE800" s="854"/>
      <c r="AF800" s="854"/>
      <c r="AG800" s="854"/>
      <c r="AH800" s="854"/>
      <c r="AI800" s="854"/>
      <c r="AJ800" s="854"/>
      <c r="AK800" s="854"/>
      <c r="AL800" s="854"/>
      <c r="AM800" s="854"/>
      <c r="AN800" s="854"/>
      <c r="AO800" s="854"/>
      <c r="AP800" s="854"/>
      <c r="AQ800" s="854"/>
      <c r="AR800" s="854"/>
      <c r="AS800" s="854"/>
      <c r="AT800" s="854"/>
      <c r="AU800" s="854"/>
      <c r="AV800" s="854"/>
      <c r="AW800" s="854"/>
      <c r="AX800" s="854"/>
      <c r="AY800" s="854"/>
      <c r="AZ800" s="854"/>
      <c r="BA800" s="854"/>
      <c r="BB800" s="854"/>
      <c r="BC800" s="854"/>
      <c r="BD800" s="854"/>
      <c r="BE800" s="854"/>
      <c r="BF800" s="854"/>
      <c r="BG800" s="854"/>
      <c r="BH800" s="854"/>
      <c r="BI800" s="854"/>
      <c r="BJ800" s="854"/>
      <c r="BK800" s="854"/>
      <c r="BL800" s="854"/>
      <c r="BM800" s="854"/>
      <c r="BN800" s="854"/>
      <c r="BO800" s="854"/>
      <c r="BP800" s="854"/>
      <c r="BQ800" s="854"/>
      <c r="BR800" s="854"/>
      <c r="BS800" s="854"/>
      <c r="BT800" s="854"/>
      <c r="BU800" s="854"/>
      <c r="BV800" s="854"/>
      <c r="BW800" s="854"/>
      <c r="BX800" s="854"/>
      <c r="BY800" s="854"/>
      <c r="BZ800" s="854"/>
      <c r="CA800" s="571">
        <f>IF(OR(I800="",I800&lt;'Configs &amp; Procedures'!$L$29),0,IF(I800&gt;'Configs &amp; Procedures'!$L$30,1,IF(F800&gt;'Configs &amp; Procedures'!$L$31,0,1)))</f>
        <v>0</v>
      </c>
    </row>
    <row r="801" spans="2:79">
      <c r="B801" s="854"/>
      <c r="C801" s="854"/>
      <c r="D801" s="854"/>
      <c r="E801" s="854"/>
      <c r="F801" s="854"/>
      <c r="G801" s="854"/>
      <c r="H801" s="854"/>
      <c r="I801" s="854"/>
      <c r="J801" s="854"/>
      <c r="K801" s="854"/>
      <c r="L801" s="854"/>
      <c r="M801" s="854"/>
      <c r="N801" s="854"/>
      <c r="O801" s="854"/>
      <c r="P801" s="854"/>
      <c r="Q801" s="854"/>
      <c r="R801" s="854"/>
      <c r="S801" s="854"/>
      <c r="T801" s="854"/>
      <c r="U801" s="854"/>
      <c r="V801" s="854"/>
      <c r="W801" s="854"/>
      <c r="X801" s="854"/>
      <c r="Y801" s="854"/>
      <c r="Z801" s="854"/>
      <c r="AA801" s="854"/>
      <c r="AB801" s="854"/>
      <c r="AC801" s="854"/>
      <c r="AD801" s="854"/>
      <c r="AE801" s="854"/>
      <c r="AF801" s="854"/>
      <c r="AG801" s="854"/>
      <c r="AH801" s="854"/>
      <c r="AI801" s="854"/>
      <c r="AJ801" s="854"/>
      <c r="AK801" s="854"/>
      <c r="AL801" s="854"/>
      <c r="AM801" s="854"/>
      <c r="AN801" s="854"/>
      <c r="AO801" s="854"/>
      <c r="AP801" s="854"/>
      <c r="AQ801" s="854"/>
      <c r="AR801" s="854"/>
      <c r="AS801" s="854"/>
      <c r="AT801" s="854"/>
      <c r="AU801" s="854"/>
      <c r="AV801" s="854"/>
      <c r="AW801" s="854"/>
      <c r="AX801" s="854"/>
      <c r="AY801" s="854"/>
      <c r="AZ801" s="854"/>
      <c r="BA801" s="854"/>
      <c r="BB801" s="854"/>
      <c r="BC801" s="854"/>
      <c r="BD801" s="854"/>
      <c r="BE801" s="854"/>
      <c r="BF801" s="854"/>
      <c r="BG801" s="854"/>
      <c r="BH801" s="854"/>
      <c r="BI801" s="854"/>
      <c r="BJ801" s="854"/>
      <c r="BK801" s="854"/>
      <c r="BL801" s="854"/>
      <c r="BM801" s="854"/>
      <c r="BN801" s="854"/>
      <c r="BO801" s="854"/>
      <c r="BP801" s="854"/>
      <c r="BQ801" s="854"/>
      <c r="BR801" s="854"/>
      <c r="BS801" s="854"/>
      <c r="BT801" s="854"/>
      <c r="BU801" s="854"/>
      <c r="BV801" s="854"/>
      <c r="BW801" s="854"/>
      <c r="BX801" s="854"/>
      <c r="BY801" s="854"/>
      <c r="BZ801" s="854"/>
      <c r="CA801" s="571">
        <f>IF(OR(I801="",I801&lt;'Configs &amp; Procedures'!$L$29),0,IF(I801&gt;'Configs &amp; Procedures'!$L$30,1,IF(F801&gt;'Configs &amp; Procedures'!$L$31,0,1)))</f>
        <v>0</v>
      </c>
    </row>
    <row r="802" spans="2:79">
      <c r="B802" s="854"/>
      <c r="C802" s="854"/>
      <c r="D802" s="854"/>
      <c r="E802" s="854"/>
      <c r="F802" s="854"/>
      <c r="G802" s="854"/>
      <c r="H802" s="854"/>
      <c r="I802" s="854"/>
      <c r="J802" s="854"/>
      <c r="K802" s="854"/>
      <c r="L802" s="854"/>
      <c r="M802" s="854"/>
      <c r="N802" s="854"/>
      <c r="O802" s="854"/>
      <c r="P802" s="854"/>
      <c r="Q802" s="854"/>
      <c r="R802" s="854"/>
      <c r="S802" s="854"/>
      <c r="T802" s="854"/>
      <c r="U802" s="854"/>
      <c r="V802" s="854"/>
      <c r="W802" s="854"/>
      <c r="X802" s="854"/>
      <c r="Y802" s="854"/>
      <c r="Z802" s="854"/>
      <c r="AA802" s="854"/>
      <c r="AB802" s="854"/>
      <c r="AC802" s="854"/>
      <c r="AD802" s="854"/>
      <c r="AE802" s="854"/>
      <c r="AF802" s="854"/>
      <c r="AG802" s="854"/>
      <c r="AH802" s="854"/>
      <c r="AI802" s="854"/>
      <c r="AJ802" s="854"/>
      <c r="AK802" s="854"/>
      <c r="AL802" s="854"/>
      <c r="AM802" s="854"/>
      <c r="AN802" s="854"/>
      <c r="AO802" s="854"/>
      <c r="AP802" s="854"/>
      <c r="AQ802" s="854"/>
      <c r="AR802" s="854"/>
      <c r="AS802" s="854"/>
      <c r="AT802" s="854"/>
      <c r="AU802" s="854"/>
      <c r="AV802" s="854"/>
      <c r="AW802" s="854"/>
      <c r="AX802" s="854"/>
      <c r="AY802" s="854"/>
      <c r="AZ802" s="854"/>
      <c r="BA802" s="854"/>
      <c r="BB802" s="854"/>
      <c r="BC802" s="854"/>
      <c r="BD802" s="854"/>
      <c r="BE802" s="854"/>
      <c r="BF802" s="854"/>
      <c r="BG802" s="854"/>
      <c r="BH802" s="854"/>
      <c r="BI802" s="854"/>
      <c r="BJ802" s="854"/>
      <c r="BK802" s="854"/>
      <c r="BL802" s="854"/>
      <c r="BM802" s="854"/>
      <c r="BN802" s="854"/>
      <c r="BO802" s="854"/>
      <c r="BP802" s="854"/>
      <c r="BQ802" s="854"/>
      <c r="BR802" s="854"/>
      <c r="BS802" s="854"/>
      <c r="BT802" s="854"/>
      <c r="BU802" s="854"/>
      <c r="BV802" s="854"/>
      <c r="BW802" s="854"/>
      <c r="BX802" s="854"/>
      <c r="BY802" s="854"/>
      <c r="BZ802" s="854"/>
      <c r="CA802" s="571">
        <f>IF(OR(I802="",I802&lt;'Configs &amp; Procedures'!$L$29),0,IF(I802&gt;'Configs &amp; Procedures'!$L$30,1,IF(F802&gt;'Configs &amp; Procedures'!$L$31,0,1)))</f>
        <v>0</v>
      </c>
    </row>
    <row r="803" spans="2:79">
      <c r="B803" s="854"/>
      <c r="C803" s="854"/>
      <c r="D803" s="854"/>
      <c r="E803" s="854"/>
      <c r="F803" s="854"/>
      <c r="G803" s="854"/>
      <c r="H803" s="854"/>
      <c r="I803" s="854"/>
      <c r="J803" s="854"/>
      <c r="K803" s="854"/>
      <c r="L803" s="854"/>
      <c r="M803" s="854"/>
      <c r="N803" s="854"/>
      <c r="O803" s="854"/>
      <c r="P803" s="854"/>
      <c r="Q803" s="854"/>
      <c r="R803" s="854"/>
      <c r="S803" s="854"/>
      <c r="T803" s="854"/>
      <c r="U803" s="854"/>
      <c r="V803" s="854"/>
      <c r="W803" s="854"/>
      <c r="X803" s="854"/>
      <c r="Y803" s="854"/>
      <c r="Z803" s="854"/>
      <c r="AA803" s="854"/>
      <c r="AB803" s="854"/>
      <c r="AC803" s="854"/>
      <c r="AD803" s="854"/>
      <c r="AE803" s="854"/>
      <c r="AF803" s="854"/>
      <c r="AG803" s="854"/>
      <c r="AH803" s="854"/>
      <c r="AI803" s="854"/>
      <c r="AJ803" s="854"/>
      <c r="AK803" s="854"/>
      <c r="AL803" s="854"/>
      <c r="AM803" s="854"/>
      <c r="AN803" s="854"/>
      <c r="AO803" s="854"/>
      <c r="AP803" s="854"/>
      <c r="AQ803" s="854"/>
      <c r="AR803" s="854"/>
      <c r="AS803" s="854"/>
      <c r="AT803" s="854"/>
      <c r="AU803" s="854"/>
      <c r="AV803" s="854"/>
      <c r="AW803" s="854"/>
      <c r="AX803" s="854"/>
      <c r="AY803" s="854"/>
      <c r="AZ803" s="854"/>
      <c r="BA803" s="854"/>
      <c r="BB803" s="854"/>
      <c r="BC803" s="854"/>
      <c r="BD803" s="854"/>
      <c r="BE803" s="854"/>
      <c r="BF803" s="854"/>
      <c r="BG803" s="854"/>
      <c r="BH803" s="854"/>
      <c r="BI803" s="854"/>
      <c r="BJ803" s="854"/>
      <c r="BK803" s="854"/>
      <c r="BL803" s="854"/>
      <c r="BM803" s="854"/>
      <c r="BN803" s="854"/>
      <c r="BO803" s="854"/>
      <c r="BP803" s="854"/>
      <c r="BQ803" s="854"/>
      <c r="BR803" s="854"/>
      <c r="BS803" s="854"/>
      <c r="BT803" s="854"/>
      <c r="BU803" s="854"/>
      <c r="BV803" s="854"/>
      <c r="BW803" s="854"/>
      <c r="BX803" s="854"/>
      <c r="BY803" s="854"/>
      <c r="BZ803" s="854"/>
      <c r="CA803" s="571">
        <f>IF(OR(I803="",I803&lt;'Configs &amp; Procedures'!$L$29),0,IF(I803&gt;'Configs &amp; Procedures'!$L$30,1,IF(F803&gt;'Configs &amp; Procedures'!$L$31,0,1)))</f>
        <v>0</v>
      </c>
    </row>
    <row r="804" spans="2:79">
      <c r="B804" s="854"/>
      <c r="C804" s="854"/>
      <c r="D804" s="854"/>
      <c r="E804" s="854"/>
      <c r="F804" s="854"/>
      <c r="G804" s="854"/>
      <c r="H804" s="854"/>
      <c r="I804" s="854"/>
      <c r="J804" s="854"/>
      <c r="K804" s="854"/>
      <c r="L804" s="854"/>
      <c r="M804" s="854"/>
      <c r="N804" s="854"/>
      <c r="O804" s="854"/>
      <c r="P804" s="854"/>
      <c r="Q804" s="854"/>
      <c r="R804" s="854"/>
      <c r="S804" s="854"/>
      <c r="T804" s="854"/>
      <c r="U804" s="854"/>
      <c r="V804" s="854"/>
      <c r="W804" s="854"/>
      <c r="X804" s="854"/>
      <c r="Y804" s="854"/>
      <c r="Z804" s="854"/>
      <c r="AA804" s="854"/>
      <c r="AB804" s="854"/>
      <c r="AC804" s="854"/>
      <c r="AD804" s="854"/>
      <c r="AE804" s="854"/>
      <c r="AF804" s="854"/>
      <c r="AG804" s="854"/>
      <c r="AH804" s="854"/>
      <c r="AI804" s="854"/>
      <c r="AJ804" s="854"/>
      <c r="AK804" s="854"/>
      <c r="AL804" s="854"/>
      <c r="AM804" s="854"/>
      <c r="AN804" s="854"/>
      <c r="AO804" s="854"/>
      <c r="AP804" s="854"/>
      <c r="AQ804" s="854"/>
      <c r="AR804" s="854"/>
      <c r="AS804" s="854"/>
      <c r="AT804" s="854"/>
      <c r="AU804" s="854"/>
      <c r="AV804" s="854"/>
      <c r="AW804" s="854"/>
      <c r="AX804" s="854"/>
      <c r="AY804" s="854"/>
      <c r="AZ804" s="854"/>
      <c r="BA804" s="854"/>
      <c r="BB804" s="854"/>
      <c r="BC804" s="854"/>
      <c r="BD804" s="854"/>
      <c r="BE804" s="854"/>
      <c r="BF804" s="854"/>
      <c r="BG804" s="854"/>
      <c r="BH804" s="854"/>
      <c r="BI804" s="854"/>
      <c r="BJ804" s="854"/>
      <c r="BK804" s="854"/>
      <c r="BL804" s="854"/>
      <c r="BM804" s="854"/>
      <c r="BN804" s="854"/>
      <c r="BO804" s="854"/>
      <c r="BP804" s="854"/>
      <c r="BQ804" s="854"/>
      <c r="BR804" s="854"/>
      <c r="BS804" s="854"/>
      <c r="BT804" s="854"/>
      <c r="BU804" s="854"/>
      <c r="BV804" s="854"/>
      <c r="BW804" s="854"/>
      <c r="BX804" s="854"/>
      <c r="BY804" s="854"/>
      <c r="BZ804" s="854"/>
      <c r="CA804" s="571">
        <f>IF(OR(I804="",I804&lt;'Configs &amp; Procedures'!$L$29),0,IF(I804&gt;'Configs &amp; Procedures'!$L$30,1,IF(F804&gt;'Configs &amp; Procedures'!$L$31,0,1)))</f>
        <v>0</v>
      </c>
    </row>
    <row r="805" spans="2:79">
      <c r="B805" s="854"/>
      <c r="C805" s="854"/>
      <c r="D805" s="854"/>
      <c r="E805" s="854"/>
      <c r="F805" s="854"/>
      <c r="G805" s="854"/>
      <c r="H805" s="854"/>
      <c r="I805" s="854"/>
      <c r="J805" s="854"/>
      <c r="K805" s="854"/>
      <c r="L805" s="854"/>
      <c r="M805" s="854"/>
      <c r="N805" s="854"/>
      <c r="O805" s="854"/>
      <c r="P805" s="854"/>
      <c r="Q805" s="854"/>
      <c r="R805" s="854"/>
      <c r="S805" s="854"/>
      <c r="T805" s="854"/>
      <c r="U805" s="854"/>
      <c r="V805" s="854"/>
      <c r="W805" s="854"/>
      <c r="X805" s="854"/>
      <c r="Y805" s="854"/>
      <c r="Z805" s="854"/>
      <c r="AA805" s="854"/>
      <c r="AB805" s="854"/>
      <c r="AC805" s="854"/>
      <c r="AD805" s="854"/>
      <c r="AE805" s="854"/>
      <c r="AF805" s="854"/>
      <c r="AG805" s="854"/>
      <c r="AH805" s="854"/>
      <c r="AI805" s="854"/>
      <c r="AJ805" s="854"/>
      <c r="AK805" s="854"/>
      <c r="AL805" s="854"/>
      <c r="AM805" s="854"/>
      <c r="AN805" s="854"/>
      <c r="AO805" s="854"/>
      <c r="AP805" s="854"/>
      <c r="AQ805" s="854"/>
      <c r="AR805" s="854"/>
      <c r="AS805" s="854"/>
      <c r="AT805" s="854"/>
      <c r="AU805" s="854"/>
      <c r="AV805" s="854"/>
      <c r="AW805" s="854"/>
      <c r="AX805" s="854"/>
      <c r="AY805" s="854"/>
      <c r="AZ805" s="854"/>
      <c r="BA805" s="854"/>
      <c r="BB805" s="854"/>
      <c r="BC805" s="854"/>
      <c r="BD805" s="854"/>
      <c r="BE805" s="854"/>
      <c r="BF805" s="854"/>
      <c r="BG805" s="854"/>
      <c r="BH805" s="854"/>
      <c r="BI805" s="854"/>
      <c r="BJ805" s="854"/>
      <c r="BK805" s="854"/>
      <c r="BL805" s="854"/>
      <c r="BM805" s="854"/>
      <c r="BN805" s="854"/>
      <c r="BO805" s="854"/>
      <c r="BP805" s="854"/>
      <c r="BQ805" s="854"/>
      <c r="BR805" s="854"/>
      <c r="BS805" s="854"/>
      <c r="BT805" s="854"/>
      <c r="BU805" s="854"/>
      <c r="BV805" s="854"/>
      <c r="BW805" s="854"/>
      <c r="BX805" s="854"/>
      <c r="BY805" s="854"/>
      <c r="BZ805" s="854"/>
      <c r="CA805" s="571">
        <f>IF(OR(I805="",I805&lt;'Configs &amp; Procedures'!$L$29),0,IF(I805&gt;'Configs &amp; Procedures'!$L$30,1,IF(F805&gt;'Configs &amp; Procedures'!$L$31,0,1)))</f>
        <v>0</v>
      </c>
    </row>
    <row r="806" spans="2:79">
      <c r="B806" s="854"/>
      <c r="C806" s="854"/>
      <c r="D806" s="854"/>
      <c r="E806" s="854"/>
      <c r="F806" s="854"/>
      <c r="G806" s="854"/>
      <c r="H806" s="854"/>
      <c r="I806" s="854"/>
      <c r="J806" s="854"/>
      <c r="K806" s="854"/>
      <c r="L806" s="854"/>
      <c r="M806" s="854"/>
      <c r="N806" s="854"/>
      <c r="O806" s="854"/>
      <c r="P806" s="854"/>
      <c r="Q806" s="854"/>
      <c r="R806" s="854"/>
      <c r="S806" s="854"/>
      <c r="T806" s="854"/>
      <c r="U806" s="854"/>
      <c r="V806" s="854"/>
      <c r="W806" s="854"/>
      <c r="X806" s="854"/>
      <c r="Y806" s="854"/>
      <c r="Z806" s="854"/>
      <c r="AA806" s="854"/>
      <c r="AB806" s="854"/>
      <c r="AC806" s="854"/>
      <c r="AD806" s="854"/>
      <c r="AE806" s="854"/>
      <c r="AF806" s="854"/>
      <c r="AG806" s="854"/>
      <c r="AH806" s="854"/>
      <c r="AI806" s="854"/>
      <c r="AJ806" s="854"/>
      <c r="AK806" s="854"/>
      <c r="AL806" s="854"/>
      <c r="AM806" s="854"/>
      <c r="AN806" s="854"/>
      <c r="AO806" s="854"/>
      <c r="AP806" s="854"/>
      <c r="AQ806" s="854"/>
      <c r="AR806" s="854"/>
      <c r="AS806" s="854"/>
      <c r="AT806" s="854"/>
      <c r="AU806" s="854"/>
      <c r="AV806" s="854"/>
      <c r="AW806" s="854"/>
      <c r="AX806" s="854"/>
      <c r="AY806" s="854"/>
      <c r="AZ806" s="854"/>
      <c r="BA806" s="854"/>
      <c r="BB806" s="854"/>
      <c r="BC806" s="854"/>
      <c r="BD806" s="854"/>
      <c r="BE806" s="854"/>
      <c r="BF806" s="854"/>
      <c r="BG806" s="854"/>
      <c r="BH806" s="854"/>
      <c r="BI806" s="854"/>
      <c r="BJ806" s="854"/>
      <c r="BK806" s="854"/>
      <c r="BL806" s="854"/>
      <c r="BM806" s="854"/>
      <c r="BN806" s="854"/>
      <c r="BO806" s="854"/>
      <c r="BP806" s="854"/>
      <c r="BQ806" s="854"/>
      <c r="BR806" s="854"/>
      <c r="BS806" s="854"/>
      <c r="BT806" s="854"/>
      <c r="BU806" s="854"/>
      <c r="BV806" s="854"/>
      <c r="BW806" s="854"/>
      <c r="BX806" s="854"/>
      <c r="BY806" s="854"/>
      <c r="BZ806" s="854"/>
      <c r="CA806" s="571">
        <f>IF(OR(I806="",I806&lt;'Configs &amp; Procedures'!$L$29),0,IF(I806&gt;'Configs &amp; Procedures'!$L$30,1,IF(F806&gt;'Configs &amp; Procedures'!$L$31,0,1)))</f>
        <v>0</v>
      </c>
    </row>
    <row r="807" spans="2:79">
      <c r="B807" s="854"/>
      <c r="C807" s="854"/>
      <c r="D807" s="854"/>
      <c r="E807" s="854"/>
      <c r="F807" s="854"/>
      <c r="G807" s="854"/>
      <c r="H807" s="854"/>
      <c r="I807" s="854"/>
      <c r="J807" s="854"/>
      <c r="K807" s="854"/>
      <c r="L807" s="854"/>
      <c r="M807" s="854"/>
      <c r="N807" s="854"/>
      <c r="O807" s="854"/>
      <c r="P807" s="854"/>
      <c r="Q807" s="854"/>
      <c r="R807" s="854"/>
      <c r="S807" s="854"/>
      <c r="T807" s="854"/>
      <c r="U807" s="854"/>
      <c r="V807" s="854"/>
      <c r="W807" s="854"/>
      <c r="X807" s="854"/>
      <c r="Y807" s="854"/>
      <c r="Z807" s="854"/>
      <c r="AA807" s="854"/>
      <c r="AB807" s="854"/>
      <c r="AC807" s="854"/>
      <c r="AD807" s="854"/>
      <c r="AE807" s="854"/>
      <c r="AF807" s="854"/>
      <c r="AG807" s="854"/>
      <c r="AH807" s="854"/>
      <c r="AI807" s="854"/>
      <c r="AJ807" s="854"/>
      <c r="AK807" s="854"/>
      <c r="AL807" s="854"/>
      <c r="AM807" s="854"/>
      <c r="AN807" s="854"/>
      <c r="AO807" s="854"/>
      <c r="AP807" s="854"/>
      <c r="AQ807" s="854"/>
      <c r="AR807" s="854"/>
      <c r="AS807" s="854"/>
      <c r="AT807" s="854"/>
      <c r="AU807" s="854"/>
      <c r="AV807" s="854"/>
      <c r="AW807" s="854"/>
      <c r="AX807" s="854"/>
      <c r="AY807" s="854"/>
      <c r="AZ807" s="854"/>
      <c r="BA807" s="854"/>
      <c r="BB807" s="854"/>
      <c r="BC807" s="854"/>
      <c r="BD807" s="854"/>
      <c r="BE807" s="854"/>
      <c r="BF807" s="854"/>
      <c r="BG807" s="854"/>
      <c r="BH807" s="854"/>
      <c r="BI807" s="854"/>
      <c r="BJ807" s="854"/>
      <c r="BK807" s="854"/>
      <c r="BL807" s="854"/>
      <c r="BM807" s="854"/>
      <c r="BN807" s="854"/>
      <c r="BO807" s="854"/>
      <c r="BP807" s="854"/>
      <c r="BQ807" s="854"/>
      <c r="BR807" s="854"/>
      <c r="BS807" s="854"/>
      <c r="BT807" s="854"/>
      <c r="BU807" s="854"/>
      <c r="BV807" s="854"/>
      <c r="BW807" s="854"/>
      <c r="BX807" s="854"/>
      <c r="BY807" s="854"/>
      <c r="BZ807" s="854"/>
      <c r="CA807" s="571">
        <f>IF(OR(I807="",I807&lt;'Configs &amp; Procedures'!$L$29),0,IF(I807&gt;'Configs &amp; Procedures'!$L$30,1,IF(F807&gt;'Configs &amp; Procedures'!$L$31,0,1)))</f>
        <v>0</v>
      </c>
    </row>
    <row r="808" spans="2:79">
      <c r="B808" s="854"/>
      <c r="C808" s="854"/>
      <c r="D808" s="854"/>
      <c r="E808" s="854"/>
      <c r="F808" s="854"/>
      <c r="G808" s="854"/>
      <c r="H808" s="854"/>
      <c r="I808" s="854"/>
      <c r="J808" s="854"/>
      <c r="K808" s="854"/>
      <c r="L808" s="854"/>
      <c r="M808" s="854"/>
      <c r="N808" s="854"/>
      <c r="O808" s="854"/>
      <c r="P808" s="854"/>
      <c r="Q808" s="854"/>
      <c r="R808" s="854"/>
      <c r="S808" s="854"/>
      <c r="T808" s="854"/>
      <c r="U808" s="854"/>
      <c r="V808" s="854"/>
      <c r="W808" s="854"/>
      <c r="X808" s="854"/>
      <c r="Y808" s="854"/>
      <c r="Z808" s="854"/>
      <c r="AA808" s="854"/>
      <c r="AB808" s="854"/>
      <c r="AC808" s="854"/>
      <c r="AD808" s="854"/>
      <c r="AE808" s="854"/>
      <c r="AF808" s="854"/>
      <c r="AG808" s="854"/>
      <c r="AH808" s="854"/>
      <c r="AI808" s="854"/>
      <c r="AJ808" s="854"/>
      <c r="AK808" s="854"/>
      <c r="AL808" s="854"/>
      <c r="AM808" s="854"/>
      <c r="AN808" s="854"/>
      <c r="AO808" s="854"/>
      <c r="AP808" s="854"/>
      <c r="AQ808" s="854"/>
      <c r="AR808" s="854"/>
      <c r="AS808" s="854"/>
      <c r="AT808" s="854"/>
      <c r="AU808" s="854"/>
      <c r="AV808" s="854"/>
      <c r="AW808" s="854"/>
      <c r="AX808" s="854"/>
      <c r="AY808" s="854"/>
      <c r="AZ808" s="854"/>
      <c r="BA808" s="854"/>
      <c r="BB808" s="854"/>
      <c r="BC808" s="854"/>
      <c r="BD808" s="854"/>
      <c r="BE808" s="854"/>
      <c r="BF808" s="854"/>
      <c r="BG808" s="854"/>
      <c r="BH808" s="854"/>
      <c r="BI808" s="854"/>
      <c r="BJ808" s="854"/>
      <c r="BK808" s="854"/>
      <c r="BL808" s="854"/>
      <c r="BM808" s="854"/>
      <c r="BN808" s="854"/>
      <c r="BO808" s="854"/>
      <c r="BP808" s="854"/>
      <c r="BQ808" s="854"/>
      <c r="BR808" s="854"/>
      <c r="BS808" s="854"/>
      <c r="BT808" s="854"/>
      <c r="BU808" s="854"/>
      <c r="BV808" s="854"/>
      <c r="BW808" s="854"/>
      <c r="BX808" s="854"/>
      <c r="BY808" s="854"/>
      <c r="BZ808" s="854"/>
      <c r="CA808" s="571">
        <f>IF(OR(I808="",I808&lt;'Configs &amp; Procedures'!$L$29),0,IF(I808&gt;'Configs &amp; Procedures'!$L$30,1,IF(F808&gt;'Configs &amp; Procedures'!$L$31,0,1)))</f>
        <v>0</v>
      </c>
    </row>
    <row r="809" spans="2:79">
      <c r="B809" s="854"/>
      <c r="C809" s="854"/>
      <c r="D809" s="854"/>
      <c r="E809" s="854"/>
      <c r="F809" s="854"/>
      <c r="G809" s="854"/>
      <c r="H809" s="854"/>
      <c r="I809" s="854"/>
      <c r="J809" s="854"/>
      <c r="K809" s="854"/>
      <c r="L809" s="854"/>
      <c r="M809" s="854"/>
      <c r="N809" s="854"/>
      <c r="O809" s="854"/>
      <c r="P809" s="854"/>
      <c r="Q809" s="854"/>
      <c r="R809" s="854"/>
      <c r="S809" s="854"/>
      <c r="T809" s="854"/>
      <c r="U809" s="854"/>
      <c r="V809" s="854"/>
      <c r="W809" s="854"/>
      <c r="X809" s="854"/>
      <c r="Y809" s="854"/>
      <c r="Z809" s="854"/>
      <c r="AA809" s="854"/>
      <c r="AB809" s="854"/>
      <c r="AC809" s="854"/>
      <c r="AD809" s="854"/>
      <c r="AE809" s="854"/>
      <c r="AF809" s="854"/>
      <c r="AG809" s="854"/>
      <c r="AH809" s="854"/>
      <c r="AI809" s="854"/>
      <c r="AJ809" s="854"/>
      <c r="AK809" s="854"/>
      <c r="AL809" s="854"/>
      <c r="AM809" s="854"/>
      <c r="AN809" s="854"/>
      <c r="AO809" s="854"/>
      <c r="AP809" s="854"/>
      <c r="AQ809" s="854"/>
      <c r="AR809" s="854"/>
      <c r="AS809" s="854"/>
      <c r="AT809" s="854"/>
      <c r="AU809" s="854"/>
      <c r="AV809" s="854"/>
      <c r="AW809" s="854"/>
      <c r="AX809" s="854"/>
      <c r="AY809" s="854"/>
      <c r="AZ809" s="854"/>
      <c r="BA809" s="854"/>
      <c r="BB809" s="854"/>
      <c r="BC809" s="854"/>
      <c r="BD809" s="854"/>
      <c r="BE809" s="854"/>
      <c r="BF809" s="854"/>
      <c r="BG809" s="854"/>
      <c r="BH809" s="854"/>
      <c r="BI809" s="854"/>
      <c r="BJ809" s="854"/>
      <c r="BK809" s="854"/>
      <c r="BL809" s="854"/>
      <c r="BM809" s="854"/>
      <c r="BN809" s="854"/>
      <c r="BO809" s="854"/>
      <c r="BP809" s="854"/>
      <c r="BQ809" s="854"/>
      <c r="BR809" s="854"/>
      <c r="BS809" s="854"/>
      <c r="BT809" s="854"/>
      <c r="BU809" s="854"/>
      <c r="BV809" s="854"/>
      <c r="BW809" s="854"/>
      <c r="BX809" s="854"/>
      <c r="BY809" s="854"/>
      <c r="BZ809" s="854"/>
      <c r="CA809" s="571">
        <f>IF(OR(I809="",I809&lt;'Configs &amp; Procedures'!$L$29),0,IF(I809&gt;'Configs &amp; Procedures'!$L$30,1,IF(F809&gt;'Configs &amp; Procedures'!$L$31,0,1)))</f>
        <v>0</v>
      </c>
    </row>
    <row r="810" spans="2:79">
      <c r="B810" s="854"/>
      <c r="C810" s="854"/>
      <c r="D810" s="854"/>
      <c r="E810" s="854"/>
      <c r="F810" s="854"/>
      <c r="G810" s="854"/>
      <c r="H810" s="854"/>
      <c r="I810" s="854"/>
      <c r="J810" s="854"/>
      <c r="K810" s="854"/>
      <c r="L810" s="854"/>
      <c r="M810" s="854"/>
      <c r="N810" s="854"/>
      <c r="O810" s="854"/>
      <c r="P810" s="854"/>
      <c r="Q810" s="854"/>
      <c r="R810" s="854"/>
      <c r="S810" s="854"/>
      <c r="T810" s="854"/>
      <c r="U810" s="854"/>
      <c r="V810" s="854"/>
      <c r="W810" s="854"/>
      <c r="X810" s="854"/>
      <c r="Y810" s="854"/>
      <c r="Z810" s="854"/>
      <c r="AA810" s="854"/>
      <c r="AB810" s="854"/>
      <c r="AC810" s="854"/>
      <c r="AD810" s="854"/>
      <c r="AE810" s="854"/>
      <c r="AF810" s="854"/>
      <c r="AG810" s="854"/>
      <c r="AH810" s="854"/>
      <c r="AI810" s="854"/>
      <c r="AJ810" s="854"/>
      <c r="AK810" s="854"/>
      <c r="AL810" s="854"/>
      <c r="AM810" s="854"/>
      <c r="AN810" s="854"/>
      <c r="AO810" s="854"/>
      <c r="AP810" s="854"/>
      <c r="AQ810" s="854"/>
      <c r="AR810" s="854"/>
      <c r="AS810" s="854"/>
      <c r="AT810" s="854"/>
      <c r="AU810" s="854"/>
      <c r="AV810" s="854"/>
      <c r="AW810" s="854"/>
      <c r="AX810" s="854"/>
      <c r="AY810" s="854"/>
      <c r="AZ810" s="854"/>
      <c r="BA810" s="854"/>
      <c r="BB810" s="854"/>
      <c r="BC810" s="854"/>
      <c r="BD810" s="854"/>
      <c r="BE810" s="854"/>
      <c r="BF810" s="854"/>
      <c r="BG810" s="854"/>
      <c r="BH810" s="854"/>
      <c r="BI810" s="854"/>
      <c r="BJ810" s="854"/>
      <c r="BK810" s="854"/>
      <c r="BL810" s="854"/>
      <c r="BM810" s="854"/>
      <c r="BN810" s="854"/>
      <c r="BO810" s="854"/>
      <c r="BP810" s="854"/>
      <c r="BQ810" s="854"/>
      <c r="BR810" s="854"/>
      <c r="BS810" s="854"/>
      <c r="BT810" s="854"/>
      <c r="BU810" s="854"/>
      <c r="BV810" s="854"/>
      <c r="BW810" s="854"/>
      <c r="BX810" s="854"/>
      <c r="BY810" s="854"/>
      <c r="BZ810" s="854"/>
      <c r="CA810" s="571">
        <f>IF(OR(I810="",I810&lt;'Configs &amp; Procedures'!$L$29),0,IF(I810&gt;'Configs &amp; Procedures'!$L$30,1,IF(F810&gt;'Configs &amp; Procedures'!$L$31,0,1)))</f>
        <v>0</v>
      </c>
    </row>
    <row r="811" spans="2:79">
      <c r="B811" s="854"/>
      <c r="C811" s="854"/>
      <c r="D811" s="854"/>
      <c r="E811" s="854"/>
      <c r="F811" s="854"/>
      <c r="G811" s="854"/>
      <c r="H811" s="854"/>
      <c r="I811" s="854"/>
      <c r="J811" s="854"/>
      <c r="K811" s="854"/>
      <c r="L811" s="854"/>
      <c r="M811" s="854"/>
      <c r="N811" s="854"/>
      <c r="O811" s="854"/>
      <c r="P811" s="854"/>
      <c r="Q811" s="854"/>
      <c r="R811" s="854"/>
      <c r="S811" s="854"/>
      <c r="T811" s="854"/>
      <c r="U811" s="854"/>
      <c r="V811" s="854"/>
      <c r="W811" s="854"/>
      <c r="X811" s="854"/>
      <c r="Y811" s="854"/>
      <c r="Z811" s="854"/>
      <c r="AA811" s="854"/>
      <c r="AB811" s="854"/>
      <c r="AC811" s="854"/>
      <c r="AD811" s="854"/>
      <c r="AE811" s="854"/>
      <c r="AF811" s="854"/>
      <c r="AG811" s="854"/>
      <c r="AH811" s="854"/>
      <c r="AI811" s="854"/>
      <c r="AJ811" s="854"/>
      <c r="AK811" s="854"/>
      <c r="AL811" s="854"/>
      <c r="AM811" s="854"/>
      <c r="AN811" s="854"/>
      <c r="AO811" s="854"/>
      <c r="AP811" s="854"/>
      <c r="AQ811" s="854"/>
      <c r="AR811" s="854"/>
      <c r="AS811" s="854"/>
      <c r="AT811" s="854"/>
      <c r="AU811" s="854"/>
      <c r="AV811" s="854"/>
      <c r="AW811" s="854"/>
      <c r="AX811" s="854"/>
      <c r="AY811" s="854"/>
      <c r="AZ811" s="854"/>
      <c r="BA811" s="854"/>
      <c r="BB811" s="854"/>
      <c r="BC811" s="854"/>
      <c r="BD811" s="854"/>
      <c r="BE811" s="854"/>
      <c r="BF811" s="854"/>
      <c r="BG811" s="854"/>
      <c r="BH811" s="854"/>
      <c r="BI811" s="854"/>
      <c r="BJ811" s="854"/>
      <c r="BK811" s="854"/>
      <c r="BL811" s="854"/>
      <c r="BM811" s="854"/>
      <c r="BN811" s="854"/>
      <c r="BO811" s="854"/>
      <c r="BP811" s="854"/>
      <c r="BQ811" s="854"/>
      <c r="BR811" s="854"/>
      <c r="BS811" s="854"/>
      <c r="BT811" s="854"/>
      <c r="BU811" s="854"/>
      <c r="BV811" s="854"/>
      <c r="BW811" s="854"/>
      <c r="BX811" s="854"/>
      <c r="BY811" s="854"/>
      <c r="BZ811" s="854"/>
      <c r="CA811" s="571">
        <f>IF(OR(I811="",I811&lt;'Configs &amp; Procedures'!$L$29),0,IF(I811&gt;'Configs &amp; Procedures'!$L$30,1,IF(F811&gt;'Configs &amp; Procedures'!$L$31,0,1)))</f>
        <v>0</v>
      </c>
    </row>
    <row r="812" spans="2:79">
      <c r="B812" s="854"/>
      <c r="C812" s="854"/>
      <c r="D812" s="854"/>
      <c r="E812" s="854"/>
      <c r="F812" s="854"/>
      <c r="G812" s="854"/>
      <c r="H812" s="854"/>
      <c r="I812" s="854"/>
      <c r="J812" s="854"/>
      <c r="K812" s="854"/>
      <c r="L812" s="854"/>
      <c r="M812" s="854"/>
      <c r="N812" s="854"/>
      <c r="O812" s="854"/>
      <c r="P812" s="854"/>
      <c r="Q812" s="854"/>
      <c r="R812" s="854"/>
      <c r="S812" s="854"/>
      <c r="T812" s="854"/>
      <c r="U812" s="854"/>
      <c r="V812" s="854"/>
      <c r="W812" s="854"/>
      <c r="X812" s="854"/>
      <c r="Y812" s="854"/>
      <c r="Z812" s="854"/>
      <c r="AA812" s="854"/>
      <c r="AB812" s="854"/>
      <c r="AC812" s="854"/>
      <c r="AD812" s="854"/>
      <c r="AE812" s="854"/>
      <c r="AF812" s="854"/>
      <c r="AG812" s="854"/>
      <c r="AH812" s="854"/>
      <c r="AI812" s="854"/>
      <c r="AJ812" s="854"/>
      <c r="AK812" s="854"/>
      <c r="AL812" s="854"/>
      <c r="AM812" s="854"/>
      <c r="AN812" s="854"/>
      <c r="AO812" s="854"/>
      <c r="AP812" s="854"/>
      <c r="AQ812" s="854"/>
      <c r="AR812" s="854"/>
      <c r="AS812" s="854"/>
      <c r="AT812" s="854"/>
      <c r="AU812" s="854"/>
      <c r="AV812" s="854"/>
      <c r="AW812" s="854"/>
      <c r="AX812" s="854"/>
      <c r="AY812" s="854"/>
      <c r="AZ812" s="854"/>
      <c r="BA812" s="854"/>
      <c r="BB812" s="854"/>
      <c r="BC812" s="854"/>
      <c r="BD812" s="854"/>
      <c r="BE812" s="854"/>
      <c r="BF812" s="854"/>
      <c r="BG812" s="854"/>
      <c r="BH812" s="854"/>
      <c r="BI812" s="854"/>
      <c r="BJ812" s="854"/>
      <c r="BK812" s="854"/>
      <c r="BL812" s="854"/>
      <c r="BM812" s="854"/>
      <c r="BN812" s="854"/>
      <c r="BO812" s="854"/>
      <c r="BP812" s="854"/>
      <c r="BQ812" s="854"/>
      <c r="BR812" s="854"/>
      <c r="BS812" s="854"/>
      <c r="BT812" s="854"/>
      <c r="BU812" s="854"/>
      <c r="BV812" s="854"/>
      <c r="BW812" s="854"/>
      <c r="BX812" s="854"/>
      <c r="BY812" s="854"/>
      <c r="BZ812" s="854"/>
      <c r="CA812" s="571">
        <f>IF(OR(I812="",I812&lt;'Configs &amp; Procedures'!$L$29),0,IF(I812&gt;'Configs &amp; Procedures'!$L$30,1,IF(F812&gt;'Configs &amp; Procedures'!$L$31,0,1)))</f>
        <v>0</v>
      </c>
    </row>
    <row r="813" spans="2:79">
      <c r="B813" s="854"/>
      <c r="C813" s="854"/>
      <c r="D813" s="854"/>
      <c r="E813" s="854"/>
      <c r="F813" s="854"/>
      <c r="G813" s="854"/>
      <c r="H813" s="854"/>
      <c r="I813" s="854"/>
      <c r="J813" s="854"/>
      <c r="K813" s="854"/>
      <c r="L813" s="854"/>
      <c r="M813" s="854"/>
      <c r="N813" s="854"/>
      <c r="O813" s="854"/>
      <c r="P813" s="854"/>
      <c r="Q813" s="854"/>
      <c r="R813" s="854"/>
      <c r="S813" s="854"/>
      <c r="T813" s="854"/>
      <c r="U813" s="854"/>
      <c r="V813" s="854"/>
      <c r="W813" s="854"/>
      <c r="X813" s="854"/>
      <c r="Y813" s="854"/>
      <c r="Z813" s="854"/>
      <c r="AA813" s="854"/>
      <c r="AB813" s="854"/>
      <c r="AC813" s="854"/>
      <c r="AD813" s="854"/>
      <c r="AE813" s="854"/>
      <c r="AF813" s="854"/>
      <c r="AG813" s="854"/>
      <c r="AH813" s="854"/>
      <c r="AI813" s="854"/>
      <c r="AJ813" s="854"/>
      <c r="AK813" s="854"/>
      <c r="AL813" s="854"/>
      <c r="AM813" s="854"/>
      <c r="AN813" s="854"/>
      <c r="AO813" s="854"/>
      <c r="AP813" s="854"/>
      <c r="AQ813" s="854"/>
      <c r="AR813" s="854"/>
      <c r="AS813" s="854"/>
      <c r="AT813" s="854"/>
      <c r="AU813" s="854"/>
      <c r="AV813" s="854"/>
      <c r="AW813" s="854"/>
      <c r="AX813" s="854"/>
      <c r="AY813" s="854"/>
      <c r="AZ813" s="854"/>
      <c r="BA813" s="854"/>
      <c r="BB813" s="854"/>
      <c r="BC813" s="854"/>
      <c r="BD813" s="854"/>
      <c r="BE813" s="854"/>
      <c r="BF813" s="854"/>
      <c r="BG813" s="854"/>
      <c r="BH813" s="854"/>
      <c r="BI813" s="854"/>
      <c r="BJ813" s="854"/>
      <c r="BK813" s="854"/>
      <c r="BL813" s="854"/>
      <c r="BM813" s="854"/>
      <c r="BN813" s="854"/>
      <c r="BO813" s="854"/>
      <c r="BP813" s="854"/>
      <c r="BQ813" s="854"/>
      <c r="BR813" s="854"/>
      <c r="BS813" s="854"/>
      <c r="BT813" s="854"/>
      <c r="BU813" s="854"/>
      <c r="BV813" s="854"/>
      <c r="BW813" s="854"/>
      <c r="BX813" s="854"/>
      <c r="BY813" s="854"/>
      <c r="BZ813" s="854"/>
      <c r="CA813" s="571">
        <f>IF(OR(I813="",I813&lt;'Configs &amp; Procedures'!$L$29),0,IF(I813&gt;'Configs &amp; Procedures'!$L$30,1,IF(F813&gt;'Configs &amp; Procedures'!$L$31,0,1)))</f>
        <v>0</v>
      </c>
    </row>
    <row r="814" spans="2:79">
      <c r="B814" s="854"/>
      <c r="C814" s="854"/>
      <c r="D814" s="854"/>
      <c r="E814" s="854"/>
      <c r="F814" s="854"/>
      <c r="G814" s="854"/>
      <c r="H814" s="854"/>
      <c r="I814" s="854"/>
      <c r="J814" s="854"/>
      <c r="K814" s="854"/>
      <c r="L814" s="854"/>
      <c r="M814" s="854"/>
      <c r="N814" s="854"/>
      <c r="O814" s="854"/>
      <c r="P814" s="854"/>
      <c r="Q814" s="854"/>
      <c r="R814" s="854"/>
      <c r="S814" s="854"/>
      <c r="T814" s="854"/>
      <c r="U814" s="854"/>
      <c r="V814" s="854"/>
      <c r="W814" s="854"/>
      <c r="X814" s="854"/>
      <c r="Y814" s="854"/>
      <c r="Z814" s="854"/>
      <c r="AA814" s="854"/>
      <c r="AB814" s="854"/>
      <c r="AC814" s="854"/>
      <c r="AD814" s="854"/>
      <c r="AE814" s="854"/>
      <c r="AF814" s="854"/>
      <c r="AG814" s="854"/>
      <c r="AH814" s="854"/>
      <c r="AI814" s="854"/>
      <c r="AJ814" s="854"/>
      <c r="AK814" s="854"/>
      <c r="AL814" s="854"/>
      <c r="AM814" s="854"/>
      <c r="AN814" s="854"/>
      <c r="AO814" s="854"/>
      <c r="AP814" s="854"/>
      <c r="AQ814" s="854"/>
      <c r="AR814" s="854"/>
      <c r="AS814" s="854"/>
      <c r="AT814" s="854"/>
      <c r="AU814" s="854"/>
      <c r="AV814" s="854"/>
      <c r="AW814" s="854"/>
      <c r="AX814" s="854"/>
      <c r="AY814" s="854"/>
      <c r="AZ814" s="854"/>
      <c r="BA814" s="854"/>
      <c r="BB814" s="854"/>
      <c r="BC814" s="854"/>
      <c r="BD814" s="854"/>
      <c r="BE814" s="854"/>
      <c r="BF814" s="854"/>
      <c r="BG814" s="854"/>
      <c r="BH814" s="854"/>
      <c r="BI814" s="854"/>
      <c r="BJ814" s="854"/>
      <c r="BK814" s="854"/>
      <c r="BL814" s="854"/>
      <c r="BM814" s="854"/>
      <c r="BN814" s="854"/>
      <c r="BO814" s="854"/>
      <c r="BP814" s="854"/>
      <c r="BQ814" s="854"/>
      <c r="BR814" s="854"/>
      <c r="BS814" s="854"/>
      <c r="BT814" s="854"/>
      <c r="BU814" s="854"/>
      <c r="BV814" s="854"/>
      <c r="BW814" s="854"/>
      <c r="BX814" s="854"/>
      <c r="BY814" s="854"/>
      <c r="BZ814" s="854"/>
      <c r="CA814" s="571">
        <f>IF(OR(I814="",I814&lt;'Configs &amp; Procedures'!$L$29),0,IF(I814&gt;'Configs &amp; Procedures'!$L$30,1,IF(F814&gt;'Configs &amp; Procedures'!$L$31,0,1)))</f>
        <v>0</v>
      </c>
    </row>
    <row r="815" spans="2:79">
      <c r="B815" s="854"/>
      <c r="C815" s="854"/>
      <c r="D815" s="854"/>
      <c r="E815" s="854"/>
      <c r="F815" s="854"/>
      <c r="G815" s="854"/>
      <c r="H815" s="854"/>
      <c r="I815" s="854"/>
      <c r="J815" s="854"/>
      <c r="K815" s="854"/>
      <c r="L815" s="854"/>
      <c r="M815" s="854"/>
      <c r="N815" s="854"/>
      <c r="O815" s="854"/>
      <c r="P815" s="854"/>
      <c r="Q815" s="854"/>
      <c r="R815" s="854"/>
      <c r="S815" s="854"/>
      <c r="T815" s="854"/>
      <c r="U815" s="854"/>
      <c r="V815" s="854"/>
      <c r="W815" s="854"/>
      <c r="X815" s="854"/>
      <c r="Y815" s="854"/>
      <c r="Z815" s="854"/>
      <c r="AA815" s="854"/>
      <c r="AB815" s="854"/>
      <c r="AC815" s="854"/>
      <c r="AD815" s="854"/>
      <c r="AE815" s="854"/>
      <c r="AF815" s="854"/>
      <c r="AG815" s="854"/>
      <c r="AH815" s="854"/>
      <c r="AI815" s="854"/>
      <c r="AJ815" s="854"/>
      <c r="AK815" s="854"/>
      <c r="AL815" s="854"/>
      <c r="AM815" s="854"/>
      <c r="AN815" s="854"/>
      <c r="AO815" s="854"/>
      <c r="AP815" s="854"/>
      <c r="AQ815" s="854"/>
      <c r="AR815" s="854"/>
      <c r="AS815" s="854"/>
      <c r="AT815" s="854"/>
      <c r="AU815" s="854"/>
      <c r="AV815" s="854"/>
      <c r="AW815" s="854"/>
      <c r="AX815" s="854"/>
      <c r="AY815" s="854"/>
      <c r="AZ815" s="854"/>
      <c r="BA815" s="854"/>
      <c r="BB815" s="854"/>
      <c r="BC815" s="854"/>
      <c r="BD815" s="854"/>
      <c r="BE815" s="854"/>
      <c r="BF815" s="854"/>
      <c r="BG815" s="854"/>
      <c r="BH815" s="854"/>
      <c r="BI815" s="854"/>
      <c r="BJ815" s="854"/>
      <c r="BK815" s="854"/>
      <c r="BL815" s="854"/>
      <c r="BM815" s="854"/>
      <c r="BN815" s="854"/>
      <c r="BO815" s="854"/>
      <c r="BP815" s="854"/>
      <c r="BQ815" s="854"/>
      <c r="BR815" s="854"/>
      <c r="BS815" s="854"/>
      <c r="BT815" s="854"/>
      <c r="BU815" s="854"/>
      <c r="BV815" s="854"/>
      <c r="BW815" s="854"/>
      <c r="BX815" s="854"/>
      <c r="BY815" s="854"/>
      <c r="BZ815" s="854"/>
      <c r="CA815" s="571">
        <f>IF(OR(I815="",I815&lt;'Configs &amp; Procedures'!$L$29),0,IF(I815&gt;'Configs &amp; Procedures'!$L$30,1,IF(F815&gt;'Configs &amp; Procedures'!$L$31,0,1)))</f>
        <v>0</v>
      </c>
    </row>
    <row r="816" spans="2:79">
      <c r="B816" s="854"/>
      <c r="C816" s="854"/>
      <c r="D816" s="854"/>
      <c r="E816" s="854"/>
      <c r="F816" s="854"/>
      <c r="G816" s="854"/>
      <c r="H816" s="854"/>
      <c r="I816" s="854"/>
      <c r="J816" s="854"/>
      <c r="K816" s="854"/>
      <c r="L816" s="854"/>
      <c r="M816" s="854"/>
      <c r="N816" s="854"/>
      <c r="O816" s="854"/>
      <c r="P816" s="854"/>
      <c r="Q816" s="854"/>
      <c r="R816" s="854"/>
      <c r="S816" s="854"/>
      <c r="T816" s="854"/>
      <c r="U816" s="854"/>
      <c r="V816" s="854"/>
      <c r="W816" s="854"/>
      <c r="X816" s="854"/>
      <c r="Y816" s="854"/>
      <c r="Z816" s="854"/>
      <c r="AA816" s="854"/>
      <c r="AB816" s="854"/>
      <c r="AC816" s="854"/>
      <c r="AD816" s="854"/>
      <c r="AE816" s="854"/>
      <c r="AF816" s="854"/>
      <c r="AG816" s="854"/>
      <c r="AH816" s="854"/>
      <c r="AI816" s="854"/>
      <c r="AJ816" s="854"/>
      <c r="AK816" s="854"/>
      <c r="AL816" s="854"/>
      <c r="AM816" s="854"/>
      <c r="AN816" s="854"/>
      <c r="AO816" s="854"/>
      <c r="AP816" s="854"/>
      <c r="AQ816" s="854"/>
      <c r="AR816" s="854"/>
      <c r="AS816" s="854"/>
      <c r="AT816" s="854"/>
      <c r="AU816" s="854"/>
      <c r="AV816" s="854"/>
      <c r="AW816" s="854"/>
      <c r="AX816" s="854"/>
      <c r="AY816" s="854"/>
      <c r="AZ816" s="854"/>
      <c r="BA816" s="854"/>
      <c r="BB816" s="854"/>
      <c r="BC816" s="854"/>
      <c r="BD816" s="854"/>
      <c r="BE816" s="854"/>
      <c r="BF816" s="854"/>
      <c r="BG816" s="854"/>
      <c r="BH816" s="854"/>
      <c r="BI816" s="854"/>
      <c r="BJ816" s="854"/>
      <c r="BK816" s="854"/>
      <c r="BL816" s="854"/>
      <c r="BM816" s="854"/>
      <c r="BN816" s="854"/>
      <c r="BO816" s="854"/>
      <c r="BP816" s="854"/>
      <c r="BQ816" s="854"/>
      <c r="BR816" s="854"/>
      <c r="BS816" s="854"/>
      <c r="BT816" s="854"/>
      <c r="BU816" s="854"/>
      <c r="BV816" s="854"/>
      <c r="BW816" s="854"/>
      <c r="BX816" s="854"/>
      <c r="BY816" s="854"/>
      <c r="BZ816" s="854"/>
      <c r="CA816" s="571">
        <f>IF(OR(I816="",I816&lt;'Configs &amp; Procedures'!$L$29),0,IF(I816&gt;'Configs &amp; Procedures'!$L$30,1,IF(F816&gt;'Configs &amp; Procedures'!$L$31,0,1)))</f>
        <v>0</v>
      </c>
    </row>
    <row r="817" spans="2:79">
      <c r="B817" s="854"/>
      <c r="C817" s="854"/>
      <c r="D817" s="854"/>
      <c r="E817" s="854"/>
      <c r="F817" s="854"/>
      <c r="G817" s="854"/>
      <c r="H817" s="854"/>
      <c r="I817" s="854"/>
      <c r="J817" s="854"/>
      <c r="K817" s="854"/>
      <c r="L817" s="854"/>
      <c r="M817" s="854"/>
      <c r="N817" s="854"/>
      <c r="O817" s="854"/>
      <c r="P817" s="854"/>
      <c r="Q817" s="854"/>
      <c r="R817" s="854"/>
      <c r="S817" s="854"/>
      <c r="T817" s="854"/>
      <c r="U817" s="854"/>
      <c r="V817" s="854"/>
      <c r="W817" s="854"/>
      <c r="X817" s="854"/>
      <c r="Y817" s="854"/>
      <c r="Z817" s="854"/>
      <c r="AA817" s="854"/>
      <c r="AB817" s="854"/>
      <c r="AC817" s="854"/>
      <c r="AD817" s="854"/>
      <c r="AE817" s="854"/>
      <c r="AF817" s="854"/>
      <c r="AG817" s="854"/>
      <c r="AH817" s="854"/>
      <c r="AI817" s="854"/>
      <c r="AJ817" s="854"/>
      <c r="AK817" s="854"/>
      <c r="AL817" s="854"/>
      <c r="AM817" s="854"/>
      <c r="AN817" s="854"/>
      <c r="AO817" s="854"/>
      <c r="AP817" s="854"/>
      <c r="AQ817" s="854"/>
      <c r="AR817" s="854"/>
      <c r="AS817" s="854"/>
      <c r="AT817" s="854"/>
      <c r="AU817" s="854"/>
      <c r="AV817" s="854"/>
      <c r="AW817" s="854"/>
      <c r="AX817" s="854"/>
      <c r="AY817" s="854"/>
      <c r="AZ817" s="854"/>
      <c r="BA817" s="854"/>
      <c r="BB817" s="854"/>
      <c r="BC817" s="854"/>
      <c r="BD817" s="854"/>
      <c r="BE817" s="854"/>
      <c r="BF817" s="854"/>
      <c r="BG817" s="854"/>
      <c r="BH817" s="854"/>
      <c r="BI817" s="854"/>
      <c r="BJ817" s="854"/>
      <c r="BK817" s="854"/>
      <c r="BL817" s="854"/>
      <c r="BM817" s="854"/>
      <c r="BN817" s="854"/>
      <c r="BO817" s="854"/>
      <c r="BP817" s="854"/>
      <c r="BQ817" s="854"/>
      <c r="BR817" s="854"/>
      <c r="BS817" s="854"/>
      <c r="BT817" s="854"/>
      <c r="BU817" s="854"/>
      <c r="BV817" s="854"/>
      <c r="BW817" s="854"/>
      <c r="BX817" s="854"/>
      <c r="BY817" s="854"/>
      <c r="BZ817" s="854"/>
      <c r="CA817" s="571">
        <f>IF(OR(I817="",I817&lt;'Configs &amp; Procedures'!$L$29),0,IF(I817&gt;'Configs &amp; Procedures'!$L$30,1,IF(F817&gt;'Configs &amp; Procedures'!$L$31,0,1)))</f>
        <v>0</v>
      </c>
    </row>
    <row r="818" spans="2:79">
      <c r="B818" s="854"/>
      <c r="C818" s="854"/>
      <c r="D818" s="854"/>
      <c r="E818" s="854"/>
      <c r="F818" s="854"/>
      <c r="G818" s="854"/>
      <c r="H818" s="854"/>
      <c r="I818" s="854"/>
      <c r="J818" s="854"/>
      <c r="K818" s="854"/>
      <c r="L818" s="854"/>
      <c r="M818" s="854"/>
      <c r="N818" s="854"/>
      <c r="O818" s="854"/>
      <c r="P818" s="854"/>
      <c r="Q818" s="854"/>
      <c r="R818" s="854"/>
      <c r="S818" s="854"/>
      <c r="T818" s="854"/>
      <c r="U818" s="854"/>
      <c r="V818" s="854"/>
      <c r="W818" s="854"/>
      <c r="X818" s="854"/>
      <c r="Y818" s="854"/>
      <c r="Z818" s="854"/>
      <c r="AA818" s="854"/>
      <c r="AB818" s="854"/>
      <c r="AC818" s="854"/>
      <c r="AD818" s="854"/>
      <c r="AE818" s="854"/>
      <c r="AF818" s="854"/>
      <c r="AG818" s="854"/>
      <c r="AH818" s="854"/>
      <c r="AI818" s="854"/>
      <c r="AJ818" s="854"/>
      <c r="AK818" s="854"/>
      <c r="AL818" s="854"/>
      <c r="AM818" s="854"/>
      <c r="AN818" s="854"/>
      <c r="AO818" s="854"/>
      <c r="AP818" s="854"/>
      <c r="AQ818" s="854"/>
      <c r="AR818" s="854"/>
      <c r="AS818" s="854"/>
      <c r="AT818" s="854"/>
      <c r="AU818" s="854"/>
      <c r="AV818" s="854"/>
      <c r="AW818" s="854"/>
      <c r="AX818" s="854"/>
      <c r="AY818" s="854"/>
      <c r="AZ818" s="854"/>
      <c r="BA818" s="854"/>
      <c r="BB818" s="854"/>
      <c r="BC818" s="854"/>
      <c r="BD818" s="854"/>
      <c r="BE818" s="854"/>
      <c r="BF818" s="854"/>
      <c r="BG818" s="854"/>
      <c r="BH818" s="854"/>
      <c r="BI818" s="854"/>
      <c r="BJ818" s="854"/>
      <c r="BK818" s="854"/>
      <c r="BL818" s="854"/>
      <c r="BM818" s="854"/>
      <c r="BN818" s="854"/>
      <c r="BO818" s="854"/>
      <c r="BP818" s="854"/>
      <c r="BQ818" s="854"/>
      <c r="BR818" s="854"/>
      <c r="BS818" s="854"/>
      <c r="BT818" s="854"/>
      <c r="BU818" s="854"/>
      <c r="BV818" s="854"/>
      <c r="BW818" s="854"/>
      <c r="BX818" s="854"/>
      <c r="BY818" s="854"/>
      <c r="BZ818" s="854"/>
      <c r="CA818" s="571">
        <f>IF(OR(I818="",I818&lt;'Configs &amp; Procedures'!$L$29),0,IF(I818&gt;'Configs &amp; Procedures'!$L$30,1,IF(F818&gt;'Configs &amp; Procedures'!$L$31,0,1)))</f>
        <v>0</v>
      </c>
    </row>
    <row r="819" spans="2:79">
      <c r="B819" s="854"/>
      <c r="C819" s="854"/>
      <c r="D819" s="854"/>
      <c r="E819" s="854"/>
      <c r="F819" s="854"/>
      <c r="G819" s="854"/>
      <c r="H819" s="854"/>
      <c r="I819" s="854"/>
      <c r="J819" s="854"/>
      <c r="K819" s="854"/>
      <c r="L819" s="854"/>
      <c r="M819" s="854"/>
      <c r="N819" s="854"/>
      <c r="O819" s="854"/>
      <c r="P819" s="854"/>
      <c r="Q819" s="854"/>
      <c r="R819" s="854"/>
      <c r="S819" s="854"/>
      <c r="T819" s="854"/>
      <c r="U819" s="854"/>
      <c r="V819" s="854"/>
      <c r="W819" s="854"/>
      <c r="X819" s="854"/>
      <c r="Y819" s="854"/>
      <c r="Z819" s="854"/>
      <c r="AA819" s="854"/>
      <c r="AB819" s="854"/>
      <c r="AC819" s="854"/>
      <c r="AD819" s="854"/>
      <c r="AE819" s="854"/>
      <c r="AF819" s="854"/>
      <c r="AG819" s="854"/>
      <c r="AH819" s="854"/>
      <c r="AI819" s="854"/>
      <c r="AJ819" s="854"/>
      <c r="AK819" s="854"/>
      <c r="AL819" s="854"/>
      <c r="AM819" s="854"/>
      <c r="AN819" s="854"/>
      <c r="AO819" s="854"/>
      <c r="AP819" s="854"/>
      <c r="AQ819" s="854"/>
      <c r="AR819" s="854"/>
      <c r="AS819" s="854"/>
      <c r="AT819" s="854"/>
      <c r="AU819" s="854"/>
      <c r="AV819" s="854"/>
      <c r="AW819" s="854"/>
      <c r="AX819" s="854"/>
      <c r="AY819" s="854"/>
      <c r="AZ819" s="854"/>
      <c r="BA819" s="854"/>
      <c r="BB819" s="854"/>
      <c r="BC819" s="854"/>
      <c r="BD819" s="854"/>
      <c r="BE819" s="854"/>
      <c r="BF819" s="854"/>
      <c r="BG819" s="854"/>
      <c r="BH819" s="854"/>
      <c r="BI819" s="854"/>
      <c r="BJ819" s="854"/>
      <c r="BK819" s="854"/>
      <c r="BL819" s="854"/>
      <c r="BM819" s="854"/>
      <c r="BN819" s="854"/>
      <c r="BO819" s="854"/>
      <c r="BP819" s="854"/>
      <c r="BQ819" s="854"/>
      <c r="BR819" s="854"/>
      <c r="BS819" s="854"/>
      <c r="BT819" s="854"/>
      <c r="BU819" s="854"/>
      <c r="BV819" s="854"/>
      <c r="BW819" s="854"/>
      <c r="BX819" s="854"/>
      <c r="BY819" s="854"/>
      <c r="BZ819" s="854"/>
      <c r="CA819" s="571">
        <f>IF(OR(I819="",I819&lt;'Configs &amp; Procedures'!$L$29),0,IF(I819&gt;'Configs &amp; Procedures'!$L$30,1,IF(F819&gt;'Configs &amp; Procedures'!$L$31,0,1)))</f>
        <v>0</v>
      </c>
    </row>
    <row r="820" spans="2:79">
      <c r="B820" s="854"/>
      <c r="C820" s="854"/>
      <c r="D820" s="854"/>
      <c r="E820" s="854"/>
      <c r="F820" s="854"/>
      <c r="G820" s="854"/>
      <c r="H820" s="854"/>
      <c r="I820" s="854"/>
      <c r="J820" s="854"/>
      <c r="K820" s="854"/>
      <c r="L820" s="854"/>
      <c r="M820" s="854"/>
      <c r="N820" s="854"/>
      <c r="O820" s="854"/>
      <c r="P820" s="854"/>
      <c r="Q820" s="854"/>
      <c r="R820" s="854"/>
      <c r="S820" s="854"/>
      <c r="T820" s="854"/>
      <c r="U820" s="854"/>
      <c r="V820" s="854"/>
      <c r="W820" s="854"/>
      <c r="X820" s="854"/>
      <c r="Y820" s="854"/>
      <c r="Z820" s="854"/>
      <c r="AA820" s="854"/>
      <c r="AB820" s="854"/>
      <c r="AC820" s="854"/>
      <c r="AD820" s="854"/>
      <c r="AE820" s="854"/>
      <c r="AF820" s="854"/>
      <c r="AG820" s="854"/>
      <c r="AH820" s="854"/>
      <c r="AI820" s="854"/>
      <c r="AJ820" s="854"/>
      <c r="AK820" s="854"/>
      <c r="AL820" s="854"/>
      <c r="AM820" s="854"/>
      <c r="AN820" s="854"/>
      <c r="AO820" s="854"/>
      <c r="AP820" s="854"/>
      <c r="AQ820" s="854"/>
      <c r="AR820" s="854"/>
      <c r="AS820" s="854"/>
      <c r="AT820" s="854"/>
      <c r="AU820" s="854"/>
      <c r="AV820" s="854"/>
      <c r="AW820" s="854"/>
      <c r="AX820" s="854"/>
      <c r="AY820" s="854"/>
      <c r="AZ820" s="854"/>
      <c r="BA820" s="854"/>
      <c r="BB820" s="854"/>
      <c r="BC820" s="854"/>
      <c r="BD820" s="854"/>
      <c r="BE820" s="854"/>
      <c r="BF820" s="854"/>
      <c r="BG820" s="854"/>
      <c r="BH820" s="854"/>
      <c r="BI820" s="854"/>
      <c r="BJ820" s="854"/>
      <c r="BK820" s="854"/>
      <c r="BL820" s="854"/>
      <c r="BM820" s="854"/>
      <c r="BN820" s="854"/>
      <c r="BO820" s="854"/>
      <c r="BP820" s="854"/>
      <c r="BQ820" s="854"/>
      <c r="BR820" s="854"/>
      <c r="BS820" s="854"/>
      <c r="BT820" s="854"/>
      <c r="BU820" s="854"/>
      <c r="BV820" s="854"/>
      <c r="BW820" s="854"/>
      <c r="BX820" s="854"/>
      <c r="BY820" s="854"/>
      <c r="BZ820" s="854"/>
      <c r="CA820" s="571">
        <f>IF(OR(I820="",I820&lt;'Configs &amp; Procedures'!$L$29),0,IF(I820&gt;'Configs &amp; Procedures'!$L$30,1,IF(F820&gt;'Configs &amp; Procedures'!$L$31,0,1)))</f>
        <v>0</v>
      </c>
    </row>
    <row r="821" spans="2:79">
      <c r="B821" s="854"/>
      <c r="C821" s="854"/>
      <c r="D821" s="854"/>
      <c r="E821" s="854"/>
      <c r="F821" s="854"/>
      <c r="G821" s="854"/>
      <c r="H821" s="854"/>
      <c r="I821" s="854"/>
      <c r="J821" s="854"/>
      <c r="K821" s="854"/>
      <c r="L821" s="854"/>
      <c r="M821" s="854"/>
      <c r="N821" s="854"/>
      <c r="O821" s="854"/>
      <c r="P821" s="854"/>
      <c r="Q821" s="854"/>
      <c r="R821" s="854"/>
      <c r="S821" s="854"/>
      <c r="T821" s="854"/>
      <c r="U821" s="854"/>
      <c r="V821" s="854"/>
      <c r="W821" s="854"/>
      <c r="X821" s="854"/>
      <c r="Y821" s="854"/>
      <c r="Z821" s="854"/>
      <c r="AA821" s="854"/>
      <c r="AB821" s="854"/>
      <c r="AC821" s="854"/>
      <c r="AD821" s="854"/>
      <c r="AE821" s="854"/>
      <c r="AF821" s="854"/>
      <c r="AG821" s="854"/>
      <c r="AH821" s="854"/>
      <c r="AI821" s="854"/>
      <c r="AJ821" s="854"/>
      <c r="AK821" s="854"/>
      <c r="AL821" s="854"/>
      <c r="AM821" s="854"/>
      <c r="AN821" s="854"/>
      <c r="AO821" s="854"/>
      <c r="AP821" s="854"/>
      <c r="AQ821" s="854"/>
      <c r="AR821" s="854"/>
      <c r="AS821" s="854"/>
      <c r="AT821" s="854"/>
      <c r="AU821" s="854"/>
      <c r="AV821" s="854"/>
      <c r="AW821" s="854"/>
      <c r="AX821" s="854"/>
      <c r="AY821" s="854"/>
      <c r="AZ821" s="854"/>
      <c r="BA821" s="854"/>
      <c r="BB821" s="854"/>
      <c r="BC821" s="854"/>
      <c r="BD821" s="854"/>
      <c r="BE821" s="854"/>
      <c r="BF821" s="854"/>
      <c r="BG821" s="854"/>
      <c r="BH821" s="854"/>
      <c r="BI821" s="854"/>
      <c r="BJ821" s="854"/>
      <c r="BK821" s="854"/>
      <c r="BL821" s="854"/>
      <c r="BM821" s="854"/>
      <c r="BN821" s="854"/>
      <c r="BO821" s="854"/>
      <c r="BP821" s="854"/>
      <c r="BQ821" s="854"/>
      <c r="BR821" s="854"/>
      <c r="BS821" s="854"/>
      <c r="BT821" s="854"/>
      <c r="BU821" s="854"/>
      <c r="BV821" s="854"/>
      <c r="BW821" s="854"/>
      <c r="BX821" s="854"/>
      <c r="BY821" s="854"/>
      <c r="BZ821" s="854"/>
      <c r="CA821" s="571">
        <f>IF(OR(I821="",I821&lt;'Configs &amp; Procedures'!$L$29),0,IF(I821&gt;'Configs &amp; Procedures'!$L$30,1,IF(F821&gt;'Configs &amp; Procedures'!$L$31,0,1)))</f>
        <v>0</v>
      </c>
    </row>
    <row r="822" spans="2:79">
      <c r="B822" s="854"/>
      <c r="C822" s="854"/>
      <c r="D822" s="854"/>
      <c r="E822" s="854"/>
      <c r="F822" s="854"/>
      <c r="G822" s="854"/>
      <c r="H822" s="854"/>
      <c r="I822" s="854"/>
      <c r="J822" s="854"/>
      <c r="K822" s="854"/>
      <c r="L822" s="854"/>
      <c r="M822" s="854"/>
      <c r="N822" s="854"/>
      <c r="O822" s="854"/>
      <c r="P822" s="854"/>
      <c r="Q822" s="854"/>
      <c r="R822" s="854"/>
      <c r="S822" s="854"/>
      <c r="T822" s="854"/>
      <c r="U822" s="854"/>
      <c r="V822" s="854"/>
      <c r="W822" s="854"/>
      <c r="X822" s="854"/>
      <c r="Y822" s="854"/>
      <c r="Z822" s="854"/>
      <c r="AA822" s="854"/>
      <c r="AB822" s="854"/>
      <c r="AC822" s="854"/>
      <c r="AD822" s="854"/>
      <c r="AE822" s="854"/>
      <c r="AF822" s="854"/>
      <c r="AG822" s="854"/>
      <c r="AH822" s="854"/>
      <c r="AI822" s="854"/>
      <c r="AJ822" s="854"/>
      <c r="AK822" s="854"/>
      <c r="AL822" s="854"/>
      <c r="AM822" s="854"/>
      <c r="AN822" s="854"/>
      <c r="AO822" s="854"/>
      <c r="AP822" s="854"/>
      <c r="AQ822" s="854"/>
      <c r="AR822" s="854"/>
      <c r="AS822" s="854"/>
      <c r="AT822" s="854"/>
      <c r="AU822" s="854"/>
      <c r="AV822" s="854"/>
      <c r="AW822" s="854"/>
      <c r="AX822" s="854"/>
      <c r="AY822" s="854"/>
      <c r="AZ822" s="854"/>
      <c r="BA822" s="854"/>
      <c r="BB822" s="854"/>
      <c r="BC822" s="854"/>
      <c r="BD822" s="854"/>
      <c r="BE822" s="854"/>
      <c r="BF822" s="854"/>
      <c r="BG822" s="854"/>
      <c r="BH822" s="854"/>
      <c r="BI822" s="854"/>
      <c r="BJ822" s="854"/>
      <c r="BK822" s="854"/>
      <c r="BL822" s="854"/>
      <c r="BM822" s="854"/>
      <c r="BN822" s="854"/>
      <c r="BO822" s="854"/>
      <c r="BP822" s="854"/>
      <c r="BQ822" s="854"/>
      <c r="BR822" s="854"/>
      <c r="BS822" s="854"/>
      <c r="BT822" s="854"/>
      <c r="BU822" s="854"/>
      <c r="BV822" s="854"/>
      <c r="BW822" s="854"/>
      <c r="BX822" s="854"/>
      <c r="BY822" s="854"/>
      <c r="BZ822" s="854"/>
      <c r="CA822" s="571">
        <f>IF(OR(I822="",I822&lt;'Configs &amp; Procedures'!$L$29),0,IF(I822&gt;'Configs &amp; Procedures'!$L$30,1,IF(F822&gt;'Configs &amp; Procedures'!$L$31,0,1)))</f>
        <v>0</v>
      </c>
    </row>
    <row r="823" spans="2:79">
      <c r="B823" s="854"/>
      <c r="C823" s="854"/>
      <c r="D823" s="854"/>
      <c r="E823" s="854"/>
      <c r="F823" s="854"/>
      <c r="G823" s="854"/>
      <c r="H823" s="854"/>
      <c r="I823" s="854"/>
      <c r="J823" s="854"/>
      <c r="K823" s="854"/>
      <c r="L823" s="854"/>
      <c r="M823" s="854"/>
      <c r="N823" s="854"/>
      <c r="O823" s="854"/>
      <c r="P823" s="854"/>
      <c r="Q823" s="854"/>
      <c r="R823" s="854"/>
      <c r="S823" s="854"/>
      <c r="T823" s="854"/>
      <c r="U823" s="854"/>
      <c r="V823" s="854"/>
      <c r="W823" s="854"/>
      <c r="X823" s="854"/>
      <c r="Y823" s="854"/>
      <c r="Z823" s="854"/>
      <c r="AA823" s="854"/>
      <c r="AB823" s="854"/>
      <c r="AC823" s="854"/>
      <c r="AD823" s="854"/>
      <c r="AE823" s="854"/>
      <c r="AF823" s="854"/>
      <c r="AG823" s="854"/>
      <c r="AH823" s="854"/>
      <c r="AI823" s="854"/>
      <c r="AJ823" s="854"/>
      <c r="AK823" s="854"/>
      <c r="AL823" s="854"/>
      <c r="AM823" s="854"/>
      <c r="AN823" s="854"/>
      <c r="AO823" s="854"/>
      <c r="AP823" s="854"/>
      <c r="AQ823" s="854"/>
      <c r="AR823" s="854"/>
      <c r="AS823" s="854"/>
      <c r="AT823" s="854"/>
      <c r="AU823" s="854"/>
      <c r="AV823" s="854"/>
      <c r="AW823" s="854"/>
      <c r="AX823" s="854"/>
      <c r="AY823" s="854"/>
      <c r="AZ823" s="854"/>
      <c r="BA823" s="854"/>
      <c r="BB823" s="854"/>
      <c r="BC823" s="854"/>
      <c r="BD823" s="854"/>
      <c r="BE823" s="854"/>
      <c r="BF823" s="854"/>
      <c r="BG823" s="854"/>
      <c r="BH823" s="854"/>
      <c r="BI823" s="854"/>
      <c r="BJ823" s="854"/>
      <c r="BK823" s="854"/>
      <c r="BL823" s="854"/>
      <c r="BM823" s="854"/>
      <c r="BN823" s="854"/>
      <c r="BO823" s="854"/>
      <c r="BP823" s="854"/>
      <c r="BQ823" s="854"/>
      <c r="BR823" s="854"/>
      <c r="BS823" s="854"/>
      <c r="BT823" s="854"/>
      <c r="BU823" s="854"/>
      <c r="BV823" s="854"/>
      <c r="BW823" s="854"/>
      <c r="BX823" s="854"/>
      <c r="BY823" s="854"/>
      <c r="BZ823" s="854"/>
      <c r="CA823" s="571">
        <f>IF(OR(I823="",I823&lt;'Configs &amp; Procedures'!$L$29),0,IF(I823&gt;'Configs &amp; Procedures'!$L$30,1,IF(F823&gt;'Configs &amp; Procedures'!$L$31,0,1)))</f>
        <v>0</v>
      </c>
    </row>
    <row r="824" spans="2:79">
      <c r="B824" s="854"/>
      <c r="C824" s="854"/>
      <c r="D824" s="854"/>
      <c r="E824" s="854"/>
      <c r="F824" s="854"/>
      <c r="G824" s="854"/>
      <c r="H824" s="854"/>
      <c r="I824" s="854"/>
      <c r="J824" s="854"/>
      <c r="K824" s="854"/>
      <c r="L824" s="854"/>
      <c r="M824" s="854"/>
      <c r="N824" s="854"/>
      <c r="O824" s="854"/>
      <c r="P824" s="854"/>
      <c r="Q824" s="854"/>
      <c r="R824" s="854"/>
      <c r="S824" s="854"/>
      <c r="T824" s="854"/>
      <c r="U824" s="854"/>
      <c r="V824" s="854"/>
      <c r="W824" s="854"/>
      <c r="X824" s="854"/>
      <c r="Y824" s="854"/>
      <c r="Z824" s="854"/>
      <c r="AA824" s="854"/>
      <c r="AB824" s="854"/>
      <c r="AC824" s="854"/>
      <c r="AD824" s="854"/>
      <c r="AE824" s="854"/>
      <c r="AF824" s="854"/>
      <c r="AG824" s="854"/>
      <c r="AH824" s="854"/>
      <c r="AI824" s="854"/>
      <c r="AJ824" s="854"/>
      <c r="AK824" s="854"/>
      <c r="AL824" s="854"/>
      <c r="AM824" s="854"/>
      <c r="AN824" s="854"/>
      <c r="AO824" s="854"/>
      <c r="AP824" s="854"/>
      <c r="AQ824" s="854"/>
      <c r="AR824" s="854"/>
      <c r="AS824" s="854"/>
      <c r="AT824" s="854"/>
      <c r="AU824" s="854"/>
      <c r="AV824" s="854"/>
      <c r="AW824" s="854"/>
      <c r="AX824" s="854"/>
      <c r="AY824" s="854"/>
      <c r="AZ824" s="854"/>
      <c r="BA824" s="854"/>
      <c r="BB824" s="854"/>
      <c r="BC824" s="854"/>
      <c r="BD824" s="854"/>
      <c r="BE824" s="854"/>
      <c r="BF824" s="854"/>
      <c r="BG824" s="854"/>
      <c r="BH824" s="854"/>
      <c r="BI824" s="854"/>
      <c r="BJ824" s="854"/>
      <c r="BK824" s="854"/>
      <c r="BL824" s="854"/>
      <c r="BM824" s="854"/>
      <c r="BN824" s="854"/>
      <c r="BO824" s="854"/>
      <c r="BP824" s="854"/>
      <c r="BQ824" s="854"/>
      <c r="BR824" s="854"/>
      <c r="BS824" s="854"/>
      <c r="BT824" s="854"/>
      <c r="BU824" s="854"/>
      <c r="BV824" s="854"/>
      <c r="BW824" s="854"/>
      <c r="BX824" s="854"/>
      <c r="BY824" s="854"/>
      <c r="BZ824" s="854"/>
      <c r="CA824" s="571">
        <f>IF(OR(I824="",I824&lt;'Configs &amp; Procedures'!$L$29),0,IF(I824&gt;'Configs &amp; Procedures'!$L$30,1,IF(F824&gt;'Configs &amp; Procedures'!$L$31,0,1)))</f>
        <v>0</v>
      </c>
    </row>
    <row r="825" spans="2:79">
      <c r="B825" s="854"/>
      <c r="C825" s="854"/>
      <c r="D825" s="854"/>
      <c r="E825" s="854"/>
      <c r="F825" s="854"/>
      <c r="G825" s="854"/>
      <c r="H825" s="854"/>
      <c r="I825" s="854"/>
      <c r="J825" s="854"/>
      <c r="K825" s="854"/>
      <c r="L825" s="854"/>
      <c r="M825" s="854"/>
      <c r="N825" s="854"/>
      <c r="O825" s="854"/>
      <c r="P825" s="854"/>
      <c r="Q825" s="854"/>
      <c r="R825" s="854"/>
      <c r="S825" s="854"/>
      <c r="T825" s="854"/>
      <c r="U825" s="854"/>
      <c r="V825" s="854"/>
      <c r="W825" s="854"/>
      <c r="X825" s="854"/>
      <c r="Y825" s="854"/>
      <c r="Z825" s="854"/>
      <c r="AA825" s="854"/>
      <c r="AB825" s="854"/>
      <c r="AC825" s="854"/>
      <c r="AD825" s="854"/>
      <c r="AE825" s="854"/>
      <c r="AF825" s="854"/>
      <c r="AG825" s="854"/>
      <c r="AH825" s="854"/>
      <c r="AI825" s="854"/>
      <c r="AJ825" s="854"/>
      <c r="AK825" s="854"/>
      <c r="AL825" s="854"/>
      <c r="AM825" s="854"/>
      <c r="AN825" s="854"/>
      <c r="AO825" s="854"/>
      <c r="AP825" s="854"/>
      <c r="AQ825" s="854"/>
      <c r="AR825" s="854"/>
      <c r="AS825" s="854"/>
      <c r="AT825" s="854"/>
      <c r="AU825" s="854"/>
      <c r="AV825" s="854"/>
      <c r="AW825" s="854"/>
      <c r="AX825" s="854"/>
      <c r="AY825" s="854"/>
      <c r="AZ825" s="854"/>
      <c r="BA825" s="854"/>
      <c r="BB825" s="854"/>
      <c r="BC825" s="854"/>
      <c r="BD825" s="854"/>
      <c r="BE825" s="854"/>
      <c r="BF825" s="854"/>
      <c r="BG825" s="854"/>
      <c r="BH825" s="854"/>
      <c r="BI825" s="854"/>
      <c r="BJ825" s="854"/>
      <c r="BK825" s="854"/>
      <c r="BL825" s="854"/>
      <c r="BM825" s="854"/>
      <c r="BN825" s="854"/>
      <c r="BO825" s="854"/>
      <c r="BP825" s="854"/>
      <c r="BQ825" s="854"/>
      <c r="BR825" s="854"/>
      <c r="BS825" s="854"/>
      <c r="BT825" s="854"/>
      <c r="BU825" s="854"/>
      <c r="BV825" s="854"/>
      <c r="BW825" s="854"/>
      <c r="BX825" s="854"/>
      <c r="BY825" s="854"/>
      <c r="BZ825" s="854"/>
      <c r="CA825" s="571">
        <f>IF(OR(I825="",I825&lt;'Configs &amp; Procedures'!$L$29),0,IF(I825&gt;'Configs &amp; Procedures'!$L$30,1,IF(F825&gt;'Configs &amp; Procedures'!$L$31,0,1)))</f>
        <v>0</v>
      </c>
    </row>
    <row r="826" spans="2:79">
      <c r="B826" s="854"/>
      <c r="C826" s="854"/>
      <c r="D826" s="854"/>
      <c r="E826" s="854"/>
      <c r="F826" s="854"/>
      <c r="G826" s="854"/>
      <c r="H826" s="854"/>
      <c r="I826" s="854"/>
      <c r="J826" s="854"/>
      <c r="K826" s="854"/>
      <c r="L826" s="854"/>
      <c r="M826" s="854"/>
      <c r="N826" s="854"/>
      <c r="O826" s="854"/>
      <c r="P826" s="854"/>
      <c r="Q826" s="854"/>
      <c r="R826" s="854"/>
      <c r="S826" s="854"/>
      <c r="T826" s="854"/>
      <c r="U826" s="854"/>
      <c r="V826" s="854"/>
      <c r="W826" s="854"/>
      <c r="X826" s="854"/>
      <c r="Y826" s="854"/>
      <c r="Z826" s="854"/>
      <c r="AA826" s="854"/>
      <c r="AB826" s="854"/>
      <c r="AC826" s="854"/>
      <c r="AD826" s="854"/>
      <c r="AE826" s="854"/>
      <c r="AF826" s="854"/>
      <c r="AG826" s="854"/>
      <c r="AH826" s="854"/>
      <c r="AI826" s="854"/>
      <c r="AJ826" s="854"/>
      <c r="AK826" s="854"/>
      <c r="AL826" s="854"/>
      <c r="AM826" s="854"/>
      <c r="AN826" s="854"/>
      <c r="AO826" s="854"/>
      <c r="AP826" s="854"/>
      <c r="AQ826" s="854"/>
      <c r="AR826" s="854"/>
      <c r="AS826" s="854"/>
      <c r="AT826" s="854"/>
      <c r="AU826" s="854"/>
      <c r="AV826" s="854"/>
      <c r="AW826" s="854"/>
      <c r="AX826" s="854"/>
      <c r="AY826" s="854"/>
      <c r="AZ826" s="854"/>
      <c r="BA826" s="854"/>
      <c r="BB826" s="854"/>
      <c r="BC826" s="854"/>
      <c r="BD826" s="854"/>
      <c r="BE826" s="854"/>
      <c r="BF826" s="854"/>
      <c r="BG826" s="854"/>
      <c r="BH826" s="854"/>
      <c r="BI826" s="854"/>
      <c r="BJ826" s="854"/>
      <c r="BK826" s="854"/>
      <c r="BL826" s="854"/>
      <c r="BM826" s="854"/>
      <c r="BN826" s="854"/>
      <c r="BO826" s="854"/>
      <c r="BP826" s="854"/>
      <c r="BQ826" s="854"/>
      <c r="BR826" s="854"/>
      <c r="BS826" s="854"/>
      <c r="BT826" s="854"/>
      <c r="BU826" s="854"/>
      <c r="BV826" s="854"/>
      <c r="BW826" s="854"/>
      <c r="BX826" s="854"/>
      <c r="BY826" s="854"/>
      <c r="BZ826" s="854"/>
      <c r="CA826" s="571">
        <f>IF(OR(I826="",I826&lt;'Configs &amp; Procedures'!$L$29),0,IF(I826&gt;'Configs &amp; Procedures'!$L$30,1,IF(F826&gt;'Configs &amp; Procedures'!$L$31,0,1)))</f>
        <v>0</v>
      </c>
    </row>
    <row r="827" spans="2:79">
      <c r="B827" s="854"/>
      <c r="C827" s="854"/>
      <c r="D827" s="854"/>
      <c r="E827" s="854"/>
      <c r="F827" s="854"/>
      <c r="G827" s="854"/>
      <c r="H827" s="854"/>
      <c r="I827" s="854"/>
      <c r="J827" s="854"/>
      <c r="K827" s="854"/>
      <c r="L827" s="854"/>
      <c r="M827" s="854"/>
      <c r="N827" s="854"/>
      <c r="O827" s="854"/>
      <c r="P827" s="854"/>
      <c r="Q827" s="854"/>
      <c r="R827" s="854"/>
      <c r="S827" s="854"/>
      <c r="T827" s="854"/>
      <c r="U827" s="854"/>
      <c r="V827" s="854"/>
      <c r="W827" s="854"/>
      <c r="X827" s="854"/>
      <c r="Y827" s="854"/>
      <c r="Z827" s="854"/>
      <c r="AA827" s="854"/>
      <c r="AB827" s="854"/>
      <c r="AC827" s="854"/>
      <c r="AD827" s="854"/>
      <c r="AE827" s="854"/>
      <c r="AF827" s="854"/>
      <c r="AG827" s="854"/>
      <c r="AH827" s="854"/>
      <c r="AI827" s="854"/>
      <c r="AJ827" s="854"/>
      <c r="AK827" s="854"/>
      <c r="AL827" s="854"/>
      <c r="AM827" s="854"/>
      <c r="AN827" s="854"/>
      <c r="AO827" s="854"/>
      <c r="AP827" s="854"/>
      <c r="AQ827" s="854"/>
      <c r="AR827" s="854"/>
      <c r="AS827" s="854"/>
      <c r="AT827" s="854"/>
      <c r="AU827" s="854"/>
      <c r="AV827" s="854"/>
      <c r="AW827" s="854"/>
      <c r="AX827" s="854"/>
      <c r="AY827" s="854"/>
      <c r="AZ827" s="854"/>
      <c r="BA827" s="854"/>
      <c r="BB827" s="854"/>
      <c r="BC827" s="854"/>
      <c r="BD827" s="854"/>
      <c r="BE827" s="854"/>
      <c r="BF827" s="854"/>
      <c r="BG827" s="854"/>
      <c r="BH827" s="854"/>
      <c r="BI827" s="854"/>
      <c r="BJ827" s="854"/>
      <c r="BK827" s="854"/>
      <c r="BL827" s="854"/>
      <c r="BM827" s="854"/>
      <c r="BN827" s="854"/>
      <c r="BO827" s="854"/>
      <c r="BP827" s="854"/>
      <c r="BQ827" s="854"/>
      <c r="BR827" s="854"/>
      <c r="BS827" s="854"/>
      <c r="BT827" s="854"/>
      <c r="BU827" s="854"/>
      <c r="BV827" s="854"/>
      <c r="BW827" s="854"/>
      <c r="BX827" s="854"/>
      <c r="BY827" s="854"/>
      <c r="BZ827" s="854"/>
      <c r="CA827" s="571">
        <f>IF(OR(I827="",I827&lt;'Configs &amp; Procedures'!$L$29),0,IF(I827&gt;'Configs &amp; Procedures'!$L$30,1,IF(F827&gt;'Configs &amp; Procedures'!$L$31,0,1)))</f>
        <v>0</v>
      </c>
    </row>
    <row r="828" spans="2:79">
      <c r="B828" s="854"/>
      <c r="C828" s="854"/>
      <c r="D828" s="854"/>
      <c r="E828" s="854"/>
      <c r="F828" s="854"/>
      <c r="G828" s="854"/>
      <c r="H828" s="854"/>
      <c r="I828" s="854"/>
      <c r="J828" s="854"/>
      <c r="K828" s="854"/>
      <c r="L828" s="854"/>
      <c r="M828" s="854"/>
      <c r="N828" s="854"/>
      <c r="O828" s="854"/>
      <c r="P828" s="854"/>
      <c r="Q828" s="854"/>
      <c r="R828" s="854"/>
      <c r="S828" s="854"/>
      <c r="T828" s="854"/>
      <c r="U828" s="854"/>
      <c r="V828" s="854"/>
      <c r="W828" s="854"/>
      <c r="X828" s="854"/>
      <c r="Y828" s="854"/>
      <c r="Z828" s="854"/>
      <c r="AA828" s="854"/>
      <c r="AB828" s="854"/>
      <c r="AC828" s="854"/>
      <c r="AD828" s="854"/>
      <c r="AE828" s="854"/>
      <c r="AF828" s="854"/>
      <c r="AG828" s="854"/>
      <c r="AH828" s="854"/>
      <c r="AI828" s="854"/>
      <c r="AJ828" s="854"/>
      <c r="AK828" s="854"/>
      <c r="AL828" s="854"/>
      <c r="AM828" s="854"/>
      <c r="AN828" s="854"/>
      <c r="AO828" s="854"/>
      <c r="AP828" s="854"/>
      <c r="AQ828" s="854"/>
      <c r="AR828" s="854"/>
      <c r="AS828" s="854"/>
      <c r="AT828" s="854"/>
      <c r="AU828" s="854"/>
      <c r="AV828" s="854"/>
      <c r="AW828" s="854"/>
      <c r="AX828" s="854"/>
      <c r="AY828" s="854"/>
      <c r="AZ828" s="854"/>
      <c r="BA828" s="854"/>
      <c r="BB828" s="854"/>
      <c r="BC828" s="854"/>
      <c r="BD828" s="854"/>
      <c r="BE828" s="854"/>
      <c r="BF828" s="854"/>
      <c r="BG828" s="854"/>
      <c r="BH828" s="854"/>
      <c r="BI828" s="854"/>
      <c r="BJ828" s="854"/>
      <c r="BK828" s="854"/>
      <c r="BL828" s="854"/>
      <c r="BM828" s="854"/>
      <c r="BN828" s="854"/>
      <c r="BO828" s="854"/>
      <c r="BP828" s="854"/>
      <c r="BQ828" s="854"/>
      <c r="BR828" s="854"/>
      <c r="BS828" s="854"/>
      <c r="BT828" s="854"/>
      <c r="BU828" s="854"/>
      <c r="BV828" s="854"/>
      <c r="BW828" s="854"/>
      <c r="BX828" s="854"/>
      <c r="BY828" s="854"/>
      <c r="BZ828" s="854"/>
      <c r="CA828" s="571">
        <f>IF(OR(I828="",I828&lt;'Configs &amp; Procedures'!$L$29),0,IF(I828&gt;'Configs &amp; Procedures'!$L$30,1,IF(F828&gt;'Configs &amp; Procedures'!$L$31,0,1)))</f>
        <v>0</v>
      </c>
    </row>
    <row r="829" spans="2:79">
      <c r="B829" s="854"/>
      <c r="C829" s="854"/>
      <c r="D829" s="854"/>
      <c r="E829" s="854"/>
      <c r="F829" s="854"/>
      <c r="G829" s="854"/>
      <c r="H829" s="854"/>
      <c r="I829" s="854"/>
      <c r="J829" s="854"/>
      <c r="K829" s="854"/>
      <c r="L829" s="854"/>
      <c r="M829" s="854"/>
      <c r="N829" s="854"/>
      <c r="O829" s="854"/>
      <c r="P829" s="854"/>
      <c r="Q829" s="854"/>
      <c r="R829" s="854"/>
      <c r="S829" s="854"/>
      <c r="T829" s="854"/>
      <c r="U829" s="854"/>
      <c r="V829" s="854"/>
      <c r="W829" s="854"/>
      <c r="X829" s="854"/>
      <c r="Y829" s="854"/>
      <c r="Z829" s="854"/>
      <c r="AA829" s="854"/>
      <c r="AB829" s="854"/>
      <c r="AC829" s="854"/>
      <c r="AD829" s="854"/>
      <c r="AE829" s="854"/>
      <c r="AF829" s="854"/>
      <c r="AG829" s="854"/>
      <c r="AH829" s="854"/>
      <c r="AI829" s="854"/>
      <c r="AJ829" s="854"/>
      <c r="AK829" s="854"/>
      <c r="AL829" s="854"/>
      <c r="AM829" s="854"/>
      <c r="AN829" s="854"/>
      <c r="AO829" s="854"/>
      <c r="AP829" s="854"/>
      <c r="AQ829" s="854"/>
      <c r="AR829" s="854"/>
      <c r="AS829" s="854"/>
      <c r="AT829" s="854"/>
      <c r="AU829" s="854"/>
      <c r="AV829" s="854"/>
      <c r="AW829" s="854"/>
      <c r="AX829" s="854"/>
      <c r="AY829" s="854"/>
      <c r="AZ829" s="854"/>
      <c r="BA829" s="854"/>
      <c r="BB829" s="854"/>
      <c r="BC829" s="854"/>
      <c r="BD829" s="854"/>
      <c r="BE829" s="854"/>
      <c r="BF829" s="854"/>
      <c r="BG829" s="854"/>
      <c r="BH829" s="854"/>
      <c r="BI829" s="854"/>
      <c r="BJ829" s="854"/>
      <c r="BK829" s="854"/>
      <c r="BL829" s="854"/>
      <c r="BM829" s="854"/>
      <c r="BN829" s="854"/>
      <c r="BO829" s="854"/>
      <c r="BP829" s="854"/>
      <c r="BQ829" s="854"/>
      <c r="BR829" s="854"/>
      <c r="BS829" s="854"/>
      <c r="BT829" s="854"/>
      <c r="BU829" s="854"/>
      <c r="BV829" s="854"/>
      <c r="BW829" s="854"/>
      <c r="BX829" s="854"/>
      <c r="BY829" s="854"/>
      <c r="BZ829" s="854"/>
      <c r="CA829" s="571">
        <f>IF(OR(I829="",I829&lt;'Configs &amp; Procedures'!$L$29),0,IF(I829&gt;'Configs &amp; Procedures'!$L$30,1,IF(F829&gt;'Configs &amp; Procedures'!$L$31,0,1)))</f>
        <v>0</v>
      </c>
    </row>
    <row r="830" spans="2:79">
      <c r="B830" s="854"/>
      <c r="C830" s="854"/>
      <c r="D830" s="854"/>
      <c r="E830" s="854"/>
      <c r="F830" s="854"/>
      <c r="G830" s="854"/>
      <c r="H830" s="854"/>
      <c r="I830" s="854"/>
      <c r="J830" s="854"/>
      <c r="K830" s="854"/>
      <c r="L830" s="854"/>
      <c r="M830" s="854"/>
      <c r="N830" s="854"/>
      <c r="O830" s="854"/>
      <c r="P830" s="854"/>
      <c r="Q830" s="854"/>
      <c r="R830" s="854"/>
      <c r="S830" s="854"/>
      <c r="T830" s="854"/>
      <c r="U830" s="854"/>
      <c r="V830" s="854"/>
      <c r="W830" s="854"/>
      <c r="X830" s="854"/>
      <c r="Y830" s="854"/>
      <c r="Z830" s="854"/>
      <c r="AA830" s="854"/>
      <c r="AB830" s="854"/>
      <c r="AC830" s="854"/>
      <c r="AD830" s="854"/>
      <c r="AE830" s="854"/>
      <c r="AF830" s="854"/>
      <c r="AG830" s="854"/>
      <c r="AH830" s="854"/>
      <c r="AI830" s="854"/>
      <c r="AJ830" s="854"/>
      <c r="AK830" s="854"/>
      <c r="AL830" s="854"/>
      <c r="AM830" s="854"/>
      <c r="AN830" s="854"/>
      <c r="AO830" s="854"/>
      <c r="AP830" s="854"/>
      <c r="AQ830" s="854"/>
      <c r="AR830" s="854"/>
      <c r="AS830" s="854"/>
      <c r="AT830" s="854"/>
      <c r="AU830" s="854"/>
      <c r="AV830" s="854"/>
      <c r="AW830" s="854"/>
      <c r="AX830" s="854"/>
      <c r="AY830" s="854"/>
      <c r="AZ830" s="854"/>
      <c r="BA830" s="854"/>
      <c r="BB830" s="854"/>
      <c r="BC830" s="854"/>
      <c r="BD830" s="854"/>
      <c r="BE830" s="854"/>
      <c r="BF830" s="854"/>
      <c r="BG830" s="854"/>
      <c r="BH830" s="854"/>
      <c r="BI830" s="854"/>
      <c r="BJ830" s="854"/>
      <c r="BK830" s="854"/>
      <c r="BL830" s="854"/>
      <c r="BM830" s="854"/>
      <c r="BN830" s="854"/>
      <c r="BO830" s="854"/>
      <c r="BP830" s="854"/>
      <c r="BQ830" s="854"/>
      <c r="BR830" s="854"/>
      <c r="BS830" s="854"/>
      <c r="BT830" s="854"/>
      <c r="BU830" s="854"/>
      <c r="BV830" s="854"/>
      <c r="BW830" s="854"/>
      <c r="BX830" s="854"/>
      <c r="BY830" s="854"/>
      <c r="BZ830" s="854"/>
      <c r="CA830" s="571">
        <f>IF(OR(I830="",I830&lt;'Configs &amp; Procedures'!$L$29),0,IF(I830&gt;'Configs &amp; Procedures'!$L$30,1,IF(F830&gt;'Configs &amp; Procedures'!$L$31,0,1)))</f>
        <v>0</v>
      </c>
    </row>
    <row r="831" spans="2:79">
      <c r="B831" s="854"/>
      <c r="C831" s="854"/>
      <c r="D831" s="854"/>
      <c r="E831" s="854"/>
      <c r="F831" s="854"/>
      <c r="G831" s="854"/>
      <c r="H831" s="854"/>
      <c r="I831" s="854"/>
      <c r="J831" s="854"/>
      <c r="K831" s="854"/>
      <c r="L831" s="854"/>
      <c r="M831" s="854"/>
      <c r="N831" s="854"/>
      <c r="O831" s="854"/>
      <c r="P831" s="854"/>
      <c r="Q831" s="854"/>
      <c r="R831" s="854"/>
      <c r="S831" s="854"/>
      <c r="T831" s="854"/>
      <c r="U831" s="854"/>
      <c r="V831" s="854"/>
      <c r="W831" s="854"/>
      <c r="X831" s="854"/>
      <c r="Y831" s="854"/>
      <c r="Z831" s="854"/>
      <c r="AA831" s="854"/>
      <c r="AB831" s="854"/>
      <c r="AC831" s="854"/>
      <c r="AD831" s="854"/>
      <c r="AE831" s="854"/>
      <c r="AF831" s="854"/>
      <c r="AG831" s="854"/>
      <c r="AH831" s="854"/>
      <c r="AI831" s="854"/>
      <c r="AJ831" s="854"/>
      <c r="AK831" s="854"/>
      <c r="AL831" s="854"/>
      <c r="AM831" s="854"/>
      <c r="AN831" s="854"/>
      <c r="AO831" s="854"/>
      <c r="AP831" s="854"/>
      <c r="AQ831" s="854"/>
      <c r="AR831" s="854"/>
      <c r="AS831" s="854"/>
      <c r="AT831" s="854"/>
      <c r="AU831" s="854"/>
      <c r="AV831" s="854"/>
      <c r="AW831" s="854"/>
      <c r="AX831" s="854"/>
      <c r="AY831" s="854"/>
      <c r="AZ831" s="854"/>
      <c r="BA831" s="854"/>
      <c r="BB831" s="854"/>
      <c r="BC831" s="854"/>
      <c r="BD831" s="854"/>
      <c r="BE831" s="854"/>
      <c r="BF831" s="854"/>
      <c r="BG831" s="854"/>
      <c r="BH831" s="854"/>
      <c r="BI831" s="854"/>
      <c r="BJ831" s="854"/>
      <c r="BK831" s="854"/>
      <c r="BL831" s="854"/>
      <c r="BM831" s="854"/>
      <c r="BN831" s="854"/>
      <c r="BO831" s="854"/>
      <c r="BP831" s="854"/>
      <c r="BQ831" s="854"/>
      <c r="BR831" s="854"/>
      <c r="BS831" s="854"/>
      <c r="BT831" s="854"/>
      <c r="BU831" s="854"/>
      <c r="BV831" s="854"/>
      <c r="BW831" s="854"/>
      <c r="BX831" s="854"/>
      <c r="BY831" s="854"/>
      <c r="BZ831" s="854"/>
      <c r="CA831" s="571">
        <f>IF(OR(I831="",I831&lt;'Configs &amp; Procedures'!$L$29),0,IF(I831&gt;'Configs &amp; Procedures'!$L$30,1,IF(F831&gt;'Configs &amp; Procedures'!$L$31,0,1)))</f>
        <v>0</v>
      </c>
    </row>
    <row r="832" spans="2:79">
      <c r="B832" s="854"/>
      <c r="C832" s="854"/>
      <c r="D832" s="854"/>
      <c r="E832" s="854"/>
      <c r="F832" s="854"/>
      <c r="G832" s="854"/>
      <c r="H832" s="854"/>
      <c r="I832" s="854"/>
      <c r="J832" s="854"/>
      <c r="K832" s="854"/>
      <c r="L832" s="854"/>
      <c r="M832" s="854"/>
      <c r="N832" s="854"/>
      <c r="O832" s="854"/>
      <c r="P832" s="854"/>
      <c r="Q832" s="854"/>
      <c r="R832" s="854"/>
      <c r="S832" s="854"/>
      <c r="T832" s="854"/>
      <c r="U832" s="854"/>
      <c r="V832" s="854"/>
      <c r="W832" s="854"/>
      <c r="X832" s="854"/>
      <c r="Y832" s="854"/>
      <c r="Z832" s="854"/>
      <c r="AA832" s="854"/>
      <c r="AB832" s="854"/>
      <c r="AC832" s="854"/>
      <c r="AD832" s="854"/>
      <c r="AE832" s="854"/>
      <c r="AF832" s="854"/>
      <c r="AG832" s="854"/>
      <c r="AH832" s="854"/>
      <c r="AI832" s="854"/>
      <c r="AJ832" s="854"/>
      <c r="AK832" s="854"/>
      <c r="AL832" s="854"/>
      <c r="AM832" s="854"/>
      <c r="AN832" s="854"/>
      <c r="AO832" s="854"/>
      <c r="AP832" s="854"/>
      <c r="AQ832" s="854"/>
      <c r="AR832" s="854"/>
      <c r="AS832" s="854"/>
      <c r="AT832" s="854"/>
      <c r="AU832" s="854"/>
      <c r="AV832" s="854"/>
      <c r="AW832" s="854"/>
      <c r="AX832" s="854"/>
      <c r="AY832" s="854"/>
      <c r="AZ832" s="854"/>
      <c r="BA832" s="854"/>
      <c r="BB832" s="854"/>
      <c r="BC832" s="854"/>
      <c r="BD832" s="854"/>
      <c r="BE832" s="854"/>
      <c r="BF832" s="854"/>
      <c r="BG832" s="854"/>
      <c r="BH832" s="854"/>
      <c r="BI832" s="854"/>
      <c r="BJ832" s="854"/>
      <c r="BK832" s="854"/>
      <c r="BL832" s="854"/>
      <c r="BM832" s="854"/>
      <c r="BN832" s="854"/>
      <c r="BO832" s="854"/>
      <c r="BP832" s="854"/>
      <c r="BQ832" s="854"/>
      <c r="BR832" s="854"/>
      <c r="BS832" s="854"/>
      <c r="BT832" s="854"/>
      <c r="BU832" s="854"/>
      <c r="BV832" s="854"/>
      <c r="BW832" s="854"/>
      <c r="BX832" s="854"/>
      <c r="BY832" s="854"/>
      <c r="BZ832" s="854"/>
      <c r="CA832" s="571">
        <f>IF(OR(I832="",I832&lt;'Configs &amp; Procedures'!$L$29),0,IF(I832&gt;'Configs &amp; Procedures'!$L$30,1,IF(F832&gt;'Configs &amp; Procedures'!$L$31,0,1)))</f>
        <v>0</v>
      </c>
    </row>
    <row r="833" spans="2:79">
      <c r="B833" s="854"/>
      <c r="C833" s="854"/>
      <c r="D833" s="854"/>
      <c r="E833" s="854"/>
      <c r="F833" s="854"/>
      <c r="G833" s="854"/>
      <c r="H833" s="854"/>
      <c r="I833" s="854"/>
      <c r="J833" s="854"/>
      <c r="K833" s="854"/>
      <c r="L833" s="854"/>
      <c r="M833" s="854"/>
      <c r="N833" s="854"/>
      <c r="O833" s="854"/>
      <c r="P833" s="854"/>
      <c r="Q833" s="854"/>
      <c r="R833" s="854"/>
      <c r="S833" s="854"/>
      <c r="T833" s="854"/>
      <c r="U833" s="854"/>
      <c r="V833" s="854"/>
      <c r="W833" s="854"/>
      <c r="X833" s="854"/>
      <c r="Y833" s="854"/>
      <c r="Z833" s="854"/>
      <c r="AA833" s="854"/>
      <c r="AB833" s="854"/>
      <c r="AC833" s="854"/>
      <c r="AD833" s="854"/>
      <c r="AE833" s="854"/>
      <c r="AF833" s="854"/>
      <c r="AG833" s="854"/>
      <c r="AH833" s="854"/>
      <c r="AI833" s="854"/>
      <c r="AJ833" s="854"/>
      <c r="AK833" s="854"/>
      <c r="AL833" s="854"/>
      <c r="AM833" s="854"/>
      <c r="AN833" s="854"/>
      <c r="AO833" s="854"/>
      <c r="AP833" s="854"/>
      <c r="AQ833" s="854"/>
      <c r="AR833" s="854"/>
      <c r="AS833" s="854"/>
      <c r="AT833" s="854"/>
      <c r="AU833" s="854"/>
      <c r="AV833" s="854"/>
      <c r="AW833" s="854"/>
      <c r="AX833" s="854"/>
      <c r="AY833" s="854"/>
      <c r="AZ833" s="854"/>
      <c r="BA833" s="854"/>
      <c r="BB833" s="854"/>
      <c r="BC833" s="854"/>
      <c r="BD833" s="854"/>
      <c r="BE833" s="854"/>
      <c r="BF833" s="854"/>
      <c r="BG833" s="854"/>
      <c r="BH833" s="854"/>
      <c r="BI833" s="854"/>
      <c r="BJ833" s="854"/>
      <c r="BK833" s="854"/>
      <c r="BL833" s="854"/>
      <c r="BM833" s="854"/>
      <c r="BN833" s="854"/>
      <c r="BO833" s="854"/>
      <c r="BP833" s="854"/>
      <c r="BQ833" s="854"/>
      <c r="BR833" s="854"/>
      <c r="BS833" s="854"/>
      <c r="BT833" s="854"/>
      <c r="BU833" s="854"/>
      <c r="BV833" s="854"/>
      <c r="BW833" s="854"/>
      <c r="BX833" s="854"/>
      <c r="BY833" s="854"/>
      <c r="BZ833" s="854"/>
      <c r="CA833" s="571">
        <f>IF(OR(I833="",I833&lt;'Configs &amp; Procedures'!$L$29),0,IF(I833&gt;'Configs &amp; Procedures'!$L$30,1,IF(F833&gt;'Configs &amp; Procedures'!$L$31,0,1)))</f>
        <v>0</v>
      </c>
    </row>
    <row r="834" spans="2:79">
      <c r="B834" s="854"/>
      <c r="C834" s="854"/>
      <c r="D834" s="854"/>
      <c r="E834" s="854"/>
      <c r="F834" s="854"/>
      <c r="G834" s="854"/>
      <c r="H834" s="854"/>
      <c r="I834" s="854"/>
      <c r="J834" s="854"/>
      <c r="K834" s="854"/>
      <c r="L834" s="854"/>
      <c r="M834" s="854"/>
      <c r="N834" s="854"/>
      <c r="O834" s="854"/>
      <c r="P834" s="854"/>
      <c r="Q834" s="854"/>
      <c r="R834" s="854"/>
      <c r="S834" s="854"/>
      <c r="T834" s="854"/>
      <c r="U834" s="854"/>
      <c r="V834" s="854"/>
      <c r="W834" s="854"/>
      <c r="X834" s="854"/>
      <c r="Y834" s="854"/>
      <c r="Z834" s="854"/>
      <c r="AA834" s="854"/>
      <c r="AB834" s="854"/>
      <c r="AC834" s="854"/>
      <c r="AD834" s="854"/>
      <c r="AE834" s="854"/>
      <c r="AF834" s="854"/>
      <c r="AG834" s="854"/>
      <c r="AH834" s="854"/>
      <c r="AI834" s="854"/>
      <c r="AJ834" s="854"/>
      <c r="AK834" s="854"/>
      <c r="AL834" s="854"/>
      <c r="AM834" s="854"/>
      <c r="AN834" s="854"/>
      <c r="AO834" s="854"/>
      <c r="AP834" s="854"/>
      <c r="AQ834" s="854"/>
      <c r="AR834" s="854"/>
      <c r="AS834" s="854"/>
      <c r="AT834" s="854"/>
      <c r="AU834" s="854"/>
      <c r="AV834" s="854"/>
      <c r="AW834" s="854"/>
      <c r="AX834" s="854"/>
      <c r="AY834" s="854"/>
      <c r="AZ834" s="854"/>
      <c r="BA834" s="854"/>
      <c r="BB834" s="854"/>
      <c r="BC834" s="854"/>
      <c r="BD834" s="854"/>
      <c r="BE834" s="854"/>
      <c r="BF834" s="854"/>
      <c r="BG834" s="854"/>
      <c r="BH834" s="854"/>
      <c r="BI834" s="854"/>
      <c r="BJ834" s="854"/>
      <c r="BK834" s="854"/>
      <c r="BL834" s="854"/>
      <c r="BM834" s="854"/>
      <c r="BN834" s="854"/>
      <c r="BO834" s="854"/>
      <c r="BP834" s="854"/>
      <c r="BQ834" s="854"/>
      <c r="BR834" s="854"/>
      <c r="BS834" s="854"/>
      <c r="BT834" s="854"/>
      <c r="BU834" s="854"/>
      <c r="BV834" s="854"/>
      <c r="BW834" s="854"/>
      <c r="BX834" s="854"/>
      <c r="BY834" s="854"/>
      <c r="BZ834" s="854"/>
      <c r="CA834" s="571">
        <f>IF(OR(I834="",I834&lt;'Configs &amp; Procedures'!$L$29),0,IF(I834&gt;'Configs &amp; Procedures'!$L$30,1,IF(F834&gt;'Configs &amp; Procedures'!$L$31,0,1)))</f>
        <v>0</v>
      </c>
    </row>
    <row r="835" spans="2:79">
      <c r="B835" s="854"/>
      <c r="C835" s="854"/>
      <c r="D835" s="854"/>
      <c r="E835" s="854"/>
      <c r="F835" s="854"/>
      <c r="G835" s="854"/>
      <c r="H835" s="854"/>
      <c r="I835" s="854"/>
      <c r="J835" s="854"/>
      <c r="K835" s="854"/>
      <c r="L835" s="854"/>
      <c r="M835" s="854"/>
      <c r="N835" s="854"/>
      <c r="O835" s="854"/>
      <c r="P835" s="854"/>
      <c r="Q835" s="854"/>
      <c r="R835" s="854"/>
      <c r="S835" s="854"/>
      <c r="T835" s="854"/>
      <c r="U835" s="854"/>
      <c r="V835" s="854"/>
      <c r="W835" s="854"/>
      <c r="X835" s="854"/>
      <c r="Y835" s="854"/>
      <c r="Z835" s="854"/>
      <c r="AA835" s="854"/>
      <c r="AB835" s="854"/>
      <c r="AC835" s="854"/>
      <c r="AD835" s="854"/>
      <c r="AE835" s="854"/>
      <c r="AF835" s="854"/>
      <c r="AG835" s="854"/>
      <c r="AH835" s="854"/>
      <c r="AI835" s="854"/>
      <c r="AJ835" s="854"/>
      <c r="AK835" s="854"/>
      <c r="AL835" s="854"/>
      <c r="AM835" s="854"/>
      <c r="AN835" s="854"/>
      <c r="AO835" s="854"/>
      <c r="AP835" s="854"/>
      <c r="AQ835" s="854"/>
      <c r="AR835" s="854"/>
      <c r="AS835" s="854"/>
      <c r="AT835" s="854"/>
      <c r="AU835" s="854"/>
      <c r="AV835" s="854"/>
      <c r="AW835" s="854"/>
      <c r="AX835" s="854"/>
      <c r="AY835" s="854"/>
      <c r="AZ835" s="854"/>
      <c r="BA835" s="854"/>
      <c r="BB835" s="854"/>
      <c r="BC835" s="854"/>
      <c r="BD835" s="854"/>
      <c r="BE835" s="854"/>
      <c r="BF835" s="854"/>
      <c r="BG835" s="854"/>
      <c r="BH835" s="854"/>
      <c r="BI835" s="854"/>
      <c r="BJ835" s="854"/>
      <c r="BK835" s="854"/>
      <c r="BL835" s="854"/>
      <c r="BM835" s="854"/>
      <c r="BN835" s="854"/>
      <c r="BO835" s="854"/>
      <c r="BP835" s="854"/>
      <c r="BQ835" s="854"/>
      <c r="BR835" s="854"/>
      <c r="BS835" s="854"/>
      <c r="BT835" s="854"/>
      <c r="BU835" s="854"/>
      <c r="BV835" s="854"/>
      <c r="BW835" s="854"/>
      <c r="BX835" s="854"/>
      <c r="BY835" s="854"/>
      <c r="BZ835" s="854"/>
      <c r="CA835" s="571">
        <f>IF(OR(I835="",I835&lt;'Configs &amp; Procedures'!$L$29),0,IF(I835&gt;'Configs &amp; Procedures'!$L$30,1,IF(F835&gt;'Configs &amp; Procedures'!$L$31,0,1)))</f>
        <v>0</v>
      </c>
    </row>
    <row r="836" spans="2:79">
      <c r="B836" s="854"/>
      <c r="C836" s="854"/>
      <c r="D836" s="854"/>
      <c r="E836" s="854"/>
      <c r="F836" s="854"/>
      <c r="G836" s="854"/>
      <c r="H836" s="854"/>
      <c r="I836" s="854"/>
      <c r="J836" s="854"/>
      <c r="K836" s="854"/>
      <c r="L836" s="854"/>
      <c r="M836" s="854"/>
      <c r="N836" s="854"/>
      <c r="O836" s="854"/>
      <c r="P836" s="854"/>
      <c r="Q836" s="854"/>
      <c r="R836" s="854"/>
      <c r="S836" s="854"/>
      <c r="T836" s="854"/>
      <c r="U836" s="854"/>
      <c r="V836" s="854"/>
      <c r="W836" s="854"/>
      <c r="X836" s="854"/>
      <c r="Y836" s="854"/>
      <c r="Z836" s="854"/>
      <c r="AA836" s="854"/>
      <c r="AB836" s="854"/>
      <c r="AC836" s="854"/>
      <c r="AD836" s="854"/>
      <c r="AE836" s="854"/>
      <c r="AF836" s="854"/>
      <c r="AG836" s="854"/>
      <c r="AH836" s="854"/>
      <c r="AI836" s="854"/>
      <c r="AJ836" s="854"/>
      <c r="AK836" s="854"/>
      <c r="AL836" s="854"/>
      <c r="AM836" s="854"/>
      <c r="AN836" s="854"/>
      <c r="AO836" s="854"/>
      <c r="AP836" s="854"/>
      <c r="AQ836" s="854"/>
      <c r="AR836" s="854"/>
      <c r="AS836" s="854"/>
      <c r="AT836" s="854"/>
      <c r="AU836" s="854"/>
      <c r="AV836" s="854"/>
      <c r="AW836" s="854"/>
      <c r="AX836" s="854"/>
      <c r="AY836" s="854"/>
      <c r="AZ836" s="854"/>
      <c r="BA836" s="854"/>
      <c r="BB836" s="854"/>
      <c r="BC836" s="854"/>
      <c r="BD836" s="854"/>
      <c r="BE836" s="854"/>
      <c r="BF836" s="854"/>
      <c r="BG836" s="854"/>
      <c r="BH836" s="854"/>
      <c r="BI836" s="854"/>
      <c r="BJ836" s="854"/>
      <c r="BK836" s="854"/>
      <c r="BL836" s="854"/>
      <c r="BM836" s="854"/>
      <c r="BN836" s="854"/>
      <c r="BO836" s="854"/>
      <c r="BP836" s="854"/>
      <c r="BQ836" s="854"/>
      <c r="BR836" s="854"/>
      <c r="BS836" s="854"/>
      <c r="BT836" s="854"/>
      <c r="BU836" s="854"/>
      <c r="BV836" s="854"/>
      <c r="BW836" s="854"/>
      <c r="BX836" s="854"/>
      <c r="BY836" s="854"/>
      <c r="BZ836" s="854"/>
      <c r="CA836" s="571">
        <f>IF(OR(I836="",I836&lt;'Configs &amp; Procedures'!$L$29),0,IF(I836&gt;'Configs &amp; Procedures'!$L$30,1,IF(F836&gt;'Configs &amp; Procedures'!$L$31,0,1)))</f>
        <v>0</v>
      </c>
    </row>
    <row r="837" spans="2:79">
      <c r="B837" s="854"/>
      <c r="C837" s="854"/>
      <c r="D837" s="854"/>
      <c r="E837" s="854"/>
      <c r="F837" s="854"/>
      <c r="G837" s="854"/>
      <c r="H837" s="854"/>
      <c r="I837" s="854"/>
      <c r="J837" s="854"/>
      <c r="K837" s="854"/>
      <c r="L837" s="854"/>
      <c r="M837" s="854"/>
      <c r="N837" s="854"/>
      <c r="O837" s="854"/>
      <c r="P837" s="854"/>
      <c r="Q837" s="854"/>
      <c r="R837" s="854"/>
      <c r="S837" s="854"/>
      <c r="T837" s="854"/>
      <c r="U837" s="854"/>
      <c r="V837" s="854"/>
      <c r="W837" s="854"/>
      <c r="X837" s="854"/>
      <c r="Y837" s="854"/>
      <c r="Z837" s="854"/>
      <c r="AA837" s="854"/>
      <c r="AB837" s="854"/>
      <c r="AC837" s="854"/>
      <c r="AD837" s="854"/>
      <c r="AE837" s="854"/>
      <c r="AF837" s="854"/>
      <c r="AG837" s="854"/>
      <c r="AH837" s="854"/>
      <c r="AI837" s="854"/>
      <c r="AJ837" s="854"/>
      <c r="AK837" s="854"/>
      <c r="AL837" s="854"/>
      <c r="AM837" s="854"/>
      <c r="AN837" s="854"/>
      <c r="AO837" s="854"/>
      <c r="AP837" s="854"/>
      <c r="AQ837" s="854"/>
      <c r="AR837" s="854"/>
      <c r="AS837" s="854"/>
      <c r="AT837" s="854"/>
      <c r="AU837" s="854"/>
      <c r="AV837" s="854"/>
      <c r="AW837" s="854"/>
      <c r="AX837" s="854"/>
      <c r="AY837" s="854"/>
      <c r="AZ837" s="854"/>
      <c r="BA837" s="854"/>
      <c r="BB837" s="854"/>
      <c r="BC837" s="854"/>
      <c r="BD837" s="854"/>
      <c r="BE837" s="854"/>
      <c r="BF837" s="854"/>
      <c r="BG837" s="854"/>
      <c r="BH837" s="854"/>
      <c r="BI837" s="854"/>
      <c r="BJ837" s="854"/>
      <c r="BK837" s="854"/>
      <c r="BL837" s="854"/>
      <c r="BM837" s="854"/>
      <c r="BN837" s="854"/>
      <c r="BO837" s="854"/>
      <c r="BP837" s="854"/>
      <c r="BQ837" s="854"/>
      <c r="BR837" s="854"/>
      <c r="BS837" s="854"/>
      <c r="BT837" s="854"/>
      <c r="BU837" s="854"/>
      <c r="BV837" s="854"/>
      <c r="BW837" s="854"/>
      <c r="BX837" s="854"/>
      <c r="BY837" s="854"/>
      <c r="BZ837" s="854"/>
      <c r="CA837" s="571">
        <f>IF(OR(I837="",I837&lt;'Configs &amp; Procedures'!$L$29),0,IF(I837&gt;'Configs &amp; Procedures'!$L$30,1,IF(F837&gt;'Configs &amp; Procedures'!$L$31,0,1)))</f>
        <v>0</v>
      </c>
    </row>
    <row r="838" spans="2:79">
      <c r="B838" s="854"/>
      <c r="C838" s="854"/>
      <c r="D838" s="854"/>
      <c r="E838" s="854"/>
      <c r="F838" s="854"/>
      <c r="G838" s="854"/>
      <c r="H838" s="854"/>
      <c r="I838" s="854"/>
      <c r="J838" s="854"/>
      <c r="K838" s="854"/>
      <c r="L838" s="854"/>
      <c r="M838" s="854"/>
      <c r="N838" s="854"/>
      <c r="O838" s="854"/>
      <c r="P838" s="854"/>
      <c r="Q838" s="854"/>
      <c r="R838" s="854"/>
      <c r="S838" s="854"/>
      <c r="T838" s="854"/>
      <c r="U838" s="854"/>
      <c r="V838" s="854"/>
      <c r="W838" s="854"/>
      <c r="X838" s="854"/>
      <c r="Y838" s="854"/>
      <c r="Z838" s="854"/>
      <c r="AA838" s="854"/>
      <c r="AB838" s="854"/>
      <c r="AC838" s="854"/>
      <c r="AD838" s="854"/>
      <c r="AE838" s="854"/>
      <c r="AF838" s="854"/>
      <c r="AG838" s="854"/>
      <c r="AH838" s="854"/>
      <c r="AI838" s="854"/>
      <c r="AJ838" s="854"/>
      <c r="AK838" s="854"/>
      <c r="AL838" s="854"/>
      <c r="AM838" s="854"/>
      <c r="AN838" s="854"/>
      <c r="AO838" s="854"/>
      <c r="AP838" s="854"/>
      <c r="AQ838" s="854"/>
      <c r="AR838" s="854"/>
      <c r="AS838" s="854"/>
      <c r="AT838" s="854"/>
      <c r="AU838" s="854"/>
      <c r="AV838" s="854"/>
      <c r="AW838" s="854"/>
      <c r="AX838" s="854"/>
      <c r="AY838" s="854"/>
      <c r="AZ838" s="854"/>
      <c r="BA838" s="854"/>
      <c r="BB838" s="854"/>
      <c r="BC838" s="854"/>
      <c r="BD838" s="854"/>
      <c r="BE838" s="854"/>
      <c r="BF838" s="854"/>
      <c r="BG838" s="854"/>
      <c r="BH838" s="854"/>
      <c r="BI838" s="854"/>
      <c r="BJ838" s="854"/>
      <c r="BK838" s="854"/>
      <c r="BL838" s="854"/>
      <c r="BM838" s="854"/>
      <c r="BN838" s="854"/>
      <c r="BO838" s="854"/>
      <c r="BP838" s="854"/>
      <c r="BQ838" s="854"/>
      <c r="BR838" s="854"/>
      <c r="BS838" s="854"/>
      <c r="BT838" s="854"/>
      <c r="BU838" s="854"/>
      <c r="BV838" s="854"/>
      <c r="BW838" s="854"/>
      <c r="BX838" s="854"/>
      <c r="BY838" s="854"/>
      <c r="BZ838" s="854"/>
      <c r="CA838" s="571">
        <f>IF(OR(I838="",I838&lt;'Configs &amp; Procedures'!$L$29),0,IF(I838&gt;'Configs &amp; Procedures'!$L$30,1,IF(F838&gt;'Configs &amp; Procedures'!$L$31,0,1)))</f>
        <v>0</v>
      </c>
    </row>
    <row r="839" spans="2:79">
      <c r="B839" s="854"/>
      <c r="C839" s="854"/>
      <c r="D839" s="854"/>
      <c r="E839" s="854"/>
      <c r="F839" s="854"/>
      <c r="G839" s="854"/>
      <c r="H839" s="854"/>
      <c r="I839" s="854"/>
      <c r="J839" s="854"/>
      <c r="K839" s="854"/>
      <c r="L839" s="854"/>
      <c r="M839" s="854"/>
      <c r="N839" s="854"/>
      <c r="O839" s="854"/>
      <c r="P839" s="854"/>
      <c r="Q839" s="854"/>
      <c r="R839" s="854"/>
      <c r="S839" s="854"/>
      <c r="T839" s="854"/>
      <c r="U839" s="854"/>
      <c r="V839" s="854"/>
      <c r="W839" s="854"/>
      <c r="X839" s="854"/>
      <c r="Y839" s="854"/>
      <c r="Z839" s="854"/>
      <c r="AA839" s="854"/>
      <c r="AB839" s="854"/>
      <c r="AC839" s="854"/>
      <c r="AD839" s="854"/>
      <c r="AE839" s="854"/>
      <c r="AF839" s="854"/>
      <c r="AG839" s="854"/>
      <c r="AH839" s="854"/>
      <c r="AI839" s="854"/>
      <c r="AJ839" s="854"/>
      <c r="AK839" s="854"/>
      <c r="AL839" s="854"/>
      <c r="AM839" s="854"/>
      <c r="AN839" s="854"/>
      <c r="AO839" s="854"/>
      <c r="AP839" s="854"/>
      <c r="AQ839" s="854"/>
      <c r="AR839" s="854"/>
      <c r="AS839" s="854"/>
      <c r="AT839" s="854"/>
      <c r="AU839" s="854"/>
      <c r="AV839" s="854"/>
      <c r="AW839" s="854"/>
      <c r="AX839" s="854"/>
      <c r="AY839" s="854"/>
      <c r="AZ839" s="854"/>
      <c r="BA839" s="854"/>
      <c r="BB839" s="854"/>
      <c r="BC839" s="854"/>
      <c r="BD839" s="854"/>
      <c r="BE839" s="854"/>
      <c r="BF839" s="854"/>
      <c r="BG839" s="854"/>
      <c r="BH839" s="854"/>
      <c r="BI839" s="854"/>
      <c r="BJ839" s="854"/>
      <c r="BK839" s="854"/>
      <c r="BL839" s="854"/>
      <c r="BM839" s="854"/>
      <c r="BN839" s="854"/>
      <c r="BO839" s="854"/>
      <c r="BP839" s="854"/>
      <c r="BQ839" s="854"/>
      <c r="BR839" s="854"/>
      <c r="BS839" s="854"/>
      <c r="BT839" s="854"/>
      <c r="BU839" s="854"/>
      <c r="BV839" s="854"/>
      <c r="BW839" s="854"/>
      <c r="BX839" s="854"/>
      <c r="BY839" s="854"/>
      <c r="BZ839" s="854"/>
      <c r="CA839" s="571">
        <f>IF(OR(I839="",I839&lt;'Configs &amp; Procedures'!$L$29),0,IF(I839&gt;'Configs &amp; Procedures'!$L$30,1,IF(F839&gt;'Configs &amp; Procedures'!$L$31,0,1)))</f>
        <v>0</v>
      </c>
    </row>
    <row r="840" spans="2:79">
      <c r="B840" s="854"/>
      <c r="C840" s="854"/>
      <c r="D840" s="854"/>
      <c r="E840" s="854"/>
      <c r="F840" s="854"/>
      <c r="G840" s="854"/>
      <c r="H840" s="854"/>
      <c r="I840" s="854"/>
      <c r="J840" s="854"/>
      <c r="K840" s="854"/>
      <c r="L840" s="854"/>
      <c r="M840" s="854"/>
      <c r="N840" s="854"/>
      <c r="O840" s="854"/>
      <c r="P840" s="854"/>
      <c r="Q840" s="854"/>
      <c r="R840" s="854"/>
      <c r="S840" s="854"/>
      <c r="T840" s="854"/>
      <c r="U840" s="854"/>
      <c r="V840" s="854"/>
      <c r="W840" s="854"/>
      <c r="X840" s="854"/>
      <c r="Y840" s="854"/>
      <c r="Z840" s="854"/>
      <c r="AA840" s="854"/>
      <c r="AB840" s="854"/>
      <c r="AC840" s="854"/>
      <c r="AD840" s="854"/>
      <c r="AE840" s="854"/>
      <c r="AF840" s="854"/>
      <c r="AG840" s="854"/>
      <c r="AH840" s="854"/>
      <c r="AI840" s="854"/>
      <c r="AJ840" s="854"/>
      <c r="AK840" s="854"/>
      <c r="AL840" s="854"/>
      <c r="AM840" s="854"/>
      <c r="AN840" s="854"/>
      <c r="AO840" s="854"/>
      <c r="AP840" s="854"/>
      <c r="AQ840" s="854"/>
      <c r="AR840" s="854"/>
      <c r="AS840" s="854"/>
      <c r="AT840" s="854"/>
      <c r="AU840" s="854"/>
      <c r="AV840" s="854"/>
      <c r="AW840" s="854"/>
      <c r="AX840" s="854"/>
      <c r="AY840" s="854"/>
      <c r="AZ840" s="854"/>
      <c r="BA840" s="854"/>
      <c r="BB840" s="854"/>
      <c r="BC840" s="854"/>
      <c r="BD840" s="854"/>
      <c r="BE840" s="854"/>
      <c r="BF840" s="854"/>
      <c r="BG840" s="854"/>
      <c r="BH840" s="854"/>
      <c r="BI840" s="854"/>
      <c r="BJ840" s="854"/>
      <c r="BK840" s="854"/>
      <c r="BL840" s="854"/>
      <c r="BM840" s="854"/>
      <c r="BN840" s="854"/>
      <c r="BO840" s="854"/>
      <c r="BP840" s="854"/>
      <c r="BQ840" s="854"/>
      <c r="BR840" s="854"/>
      <c r="BS840" s="854"/>
      <c r="BT840" s="854"/>
      <c r="BU840" s="854"/>
      <c r="BV840" s="854"/>
      <c r="BW840" s="854"/>
      <c r="BX840" s="854"/>
      <c r="BY840" s="854"/>
      <c r="BZ840" s="854"/>
      <c r="CA840" s="571">
        <f>IF(OR(I840="",I840&lt;'Configs &amp; Procedures'!$L$29),0,IF(I840&gt;'Configs &amp; Procedures'!$L$30,1,IF(F840&gt;'Configs &amp; Procedures'!$L$31,0,1)))</f>
        <v>0</v>
      </c>
    </row>
    <row r="841" spans="2:79">
      <c r="B841" s="854"/>
      <c r="C841" s="854"/>
      <c r="D841" s="854"/>
      <c r="E841" s="854"/>
      <c r="F841" s="854"/>
      <c r="G841" s="854"/>
      <c r="H841" s="854"/>
      <c r="I841" s="854"/>
      <c r="J841" s="854"/>
      <c r="K841" s="854"/>
      <c r="L841" s="854"/>
      <c r="M841" s="854"/>
      <c r="N841" s="854"/>
      <c r="O841" s="854"/>
      <c r="P841" s="854"/>
      <c r="Q841" s="854"/>
      <c r="R841" s="854"/>
      <c r="S841" s="854"/>
      <c r="T841" s="854"/>
      <c r="U841" s="854"/>
      <c r="V841" s="854"/>
      <c r="W841" s="854"/>
      <c r="X841" s="854"/>
      <c r="Y841" s="854"/>
      <c r="Z841" s="854"/>
      <c r="AA841" s="854"/>
      <c r="AB841" s="854"/>
      <c r="AC841" s="854"/>
      <c r="AD841" s="854"/>
      <c r="AE841" s="854"/>
      <c r="AF841" s="854"/>
      <c r="AG841" s="854"/>
      <c r="AH841" s="854"/>
      <c r="AI841" s="854"/>
      <c r="AJ841" s="854"/>
      <c r="AK841" s="854"/>
      <c r="AL841" s="854"/>
      <c r="AM841" s="854"/>
      <c r="AN841" s="854"/>
      <c r="AO841" s="854"/>
      <c r="AP841" s="854"/>
      <c r="AQ841" s="854"/>
      <c r="AR841" s="854"/>
      <c r="AS841" s="854"/>
      <c r="AT841" s="854"/>
      <c r="AU841" s="854"/>
      <c r="AV841" s="854"/>
      <c r="AW841" s="854"/>
      <c r="AX841" s="854"/>
      <c r="AY841" s="854"/>
      <c r="AZ841" s="854"/>
      <c r="BA841" s="854"/>
      <c r="BB841" s="854"/>
      <c r="BC841" s="854"/>
      <c r="BD841" s="854"/>
      <c r="BE841" s="854"/>
      <c r="BF841" s="854"/>
      <c r="BG841" s="854"/>
      <c r="BH841" s="854"/>
      <c r="BI841" s="854"/>
      <c r="BJ841" s="854"/>
      <c r="BK841" s="854"/>
      <c r="BL841" s="854"/>
      <c r="BM841" s="854"/>
      <c r="BN841" s="854"/>
      <c r="BO841" s="854"/>
      <c r="BP841" s="854"/>
      <c r="BQ841" s="854"/>
      <c r="BR841" s="854"/>
      <c r="BS841" s="854"/>
      <c r="BT841" s="854"/>
      <c r="BU841" s="854"/>
      <c r="BV841" s="854"/>
      <c r="BW841" s="854"/>
      <c r="BX841" s="854"/>
      <c r="BY841" s="854"/>
      <c r="BZ841" s="854"/>
      <c r="CA841" s="571">
        <f>IF(OR(I841="",I841&lt;'Configs &amp; Procedures'!$L$29),0,IF(I841&gt;'Configs &amp; Procedures'!$L$30,1,IF(F841&gt;'Configs &amp; Procedures'!$L$31,0,1)))</f>
        <v>0</v>
      </c>
    </row>
    <row r="842" spans="2:79">
      <c r="B842" s="854"/>
      <c r="C842" s="854"/>
      <c r="D842" s="854"/>
      <c r="E842" s="854"/>
      <c r="F842" s="854"/>
      <c r="G842" s="854"/>
      <c r="H842" s="854"/>
      <c r="I842" s="854"/>
      <c r="J842" s="854"/>
      <c r="K842" s="854"/>
      <c r="L842" s="854"/>
      <c r="M842" s="854"/>
      <c r="N842" s="854"/>
      <c r="O842" s="854"/>
      <c r="P842" s="854"/>
      <c r="Q842" s="854"/>
      <c r="R842" s="854"/>
      <c r="S842" s="854"/>
      <c r="T842" s="854"/>
      <c r="U842" s="854"/>
      <c r="V842" s="854"/>
      <c r="W842" s="854"/>
      <c r="X842" s="854"/>
      <c r="Y842" s="854"/>
      <c r="Z842" s="854"/>
      <c r="AA842" s="854"/>
      <c r="AB842" s="854"/>
      <c r="AC842" s="854"/>
      <c r="AD842" s="854"/>
      <c r="AE842" s="854"/>
      <c r="AF842" s="854"/>
      <c r="AG842" s="854"/>
      <c r="AH842" s="854"/>
      <c r="AI842" s="854"/>
      <c r="AJ842" s="854"/>
      <c r="AK842" s="854"/>
      <c r="AL842" s="854"/>
      <c r="AM842" s="854"/>
      <c r="AN842" s="854"/>
      <c r="AO842" s="854"/>
      <c r="AP842" s="854"/>
      <c r="AQ842" s="854"/>
      <c r="AR842" s="854"/>
      <c r="AS842" s="854"/>
      <c r="AT842" s="854"/>
      <c r="AU842" s="854"/>
      <c r="AV842" s="854"/>
      <c r="AW842" s="854"/>
      <c r="AX842" s="854"/>
      <c r="AY842" s="854"/>
      <c r="AZ842" s="854"/>
      <c r="BA842" s="854"/>
      <c r="BB842" s="854"/>
      <c r="BC842" s="854"/>
      <c r="BD842" s="854"/>
      <c r="BE842" s="854"/>
      <c r="BF842" s="854"/>
      <c r="BG842" s="854"/>
      <c r="BH842" s="854"/>
      <c r="BI842" s="854"/>
      <c r="BJ842" s="854"/>
      <c r="BK842" s="854"/>
      <c r="BL842" s="854"/>
      <c r="BM842" s="854"/>
      <c r="BN842" s="854"/>
      <c r="BO842" s="854"/>
      <c r="BP842" s="854"/>
      <c r="BQ842" s="854"/>
      <c r="BR842" s="854"/>
      <c r="BS842" s="854"/>
      <c r="BT842" s="854"/>
      <c r="BU842" s="854"/>
      <c r="BV842" s="854"/>
      <c r="BW842" s="854"/>
      <c r="BX842" s="854"/>
      <c r="BY842" s="854"/>
      <c r="BZ842" s="854"/>
      <c r="CA842" s="571">
        <f>IF(OR(I842="",I842&lt;'Configs &amp; Procedures'!$L$29),0,IF(I842&gt;'Configs &amp; Procedures'!$L$30,1,IF(F842&gt;'Configs &amp; Procedures'!$L$31,0,1)))</f>
        <v>0</v>
      </c>
    </row>
    <row r="843" spans="2:79">
      <c r="B843" s="854"/>
      <c r="C843" s="854"/>
      <c r="D843" s="854"/>
      <c r="E843" s="854"/>
      <c r="F843" s="854"/>
      <c r="G843" s="854"/>
      <c r="H843" s="854"/>
      <c r="I843" s="854"/>
      <c r="J843" s="854"/>
      <c r="K843" s="854"/>
      <c r="L843" s="854"/>
      <c r="M843" s="854"/>
      <c r="N843" s="854"/>
      <c r="O843" s="854"/>
      <c r="P843" s="854"/>
      <c r="Q843" s="854"/>
      <c r="R843" s="854"/>
      <c r="S843" s="854"/>
      <c r="T843" s="854"/>
      <c r="U843" s="854"/>
      <c r="V843" s="854"/>
      <c r="W843" s="854"/>
      <c r="X843" s="854"/>
      <c r="Y843" s="854"/>
      <c r="Z843" s="854"/>
      <c r="AA843" s="854"/>
      <c r="AB843" s="854"/>
      <c r="AC843" s="854"/>
      <c r="AD843" s="854"/>
      <c r="AE843" s="854"/>
      <c r="AF843" s="854"/>
      <c r="AG843" s="854"/>
      <c r="AH843" s="854"/>
      <c r="AI843" s="854"/>
      <c r="AJ843" s="854"/>
      <c r="AK843" s="854"/>
      <c r="AL843" s="854"/>
      <c r="AM843" s="854"/>
      <c r="AN843" s="854"/>
      <c r="AO843" s="854"/>
      <c r="AP843" s="854"/>
      <c r="AQ843" s="854"/>
      <c r="AR843" s="854"/>
      <c r="AS843" s="854"/>
      <c r="AT843" s="854"/>
      <c r="AU843" s="854"/>
      <c r="AV843" s="854"/>
      <c r="AW843" s="854"/>
      <c r="AX843" s="854"/>
      <c r="AY843" s="854"/>
      <c r="AZ843" s="854"/>
      <c r="BA843" s="854"/>
      <c r="BB843" s="854"/>
      <c r="BC843" s="854"/>
      <c r="BD843" s="854"/>
      <c r="BE843" s="854"/>
      <c r="BF843" s="854"/>
      <c r="BG843" s="854"/>
      <c r="BH843" s="854"/>
      <c r="BI843" s="854"/>
      <c r="BJ843" s="854"/>
      <c r="BK843" s="854"/>
      <c r="BL843" s="854"/>
      <c r="BM843" s="854"/>
      <c r="BN843" s="854"/>
      <c r="BO843" s="854"/>
      <c r="BP843" s="854"/>
      <c r="BQ843" s="854"/>
      <c r="BR843" s="854"/>
      <c r="BS843" s="854"/>
      <c r="BT843" s="854"/>
      <c r="BU843" s="854"/>
      <c r="BV843" s="854"/>
      <c r="BW843" s="854"/>
      <c r="BX843" s="854"/>
      <c r="BY843" s="854"/>
      <c r="BZ843" s="854"/>
      <c r="CA843" s="571">
        <f>IF(OR(I843="",I843&lt;'Configs &amp; Procedures'!$L$29),0,IF(I843&gt;'Configs &amp; Procedures'!$L$30,1,IF(F843&gt;'Configs &amp; Procedures'!$L$31,0,1)))</f>
        <v>0</v>
      </c>
    </row>
    <row r="844" spans="2:79">
      <c r="B844" s="854"/>
      <c r="C844" s="854"/>
      <c r="D844" s="854"/>
      <c r="E844" s="854"/>
      <c r="F844" s="854"/>
      <c r="G844" s="854"/>
      <c r="H844" s="854"/>
      <c r="I844" s="854"/>
      <c r="J844" s="854"/>
      <c r="K844" s="854"/>
      <c r="L844" s="854"/>
      <c r="M844" s="854"/>
      <c r="N844" s="854"/>
      <c r="O844" s="854"/>
      <c r="P844" s="854"/>
      <c r="Q844" s="854"/>
      <c r="R844" s="854"/>
      <c r="S844" s="854"/>
      <c r="T844" s="854"/>
      <c r="U844" s="854"/>
      <c r="V844" s="854"/>
      <c r="W844" s="854"/>
      <c r="X844" s="854"/>
      <c r="Y844" s="854"/>
      <c r="Z844" s="854"/>
      <c r="AA844" s="854"/>
      <c r="AB844" s="854"/>
      <c r="AC844" s="854"/>
      <c r="AD844" s="854"/>
      <c r="AE844" s="854"/>
      <c r="AF844" s="854"/>
      <c r="AG844" s="854"/>
      <c r="AH844" s="854"/>
      <c r="AI844" s="854"/>
      <c r="AJ844" s="854"/>
      <c r="AK844" s="854"/>
      <c r="AL844" s="854"/>
      <c r="AM844" s="854"/>
      <c r="AN844" s="854"/>
      <c r="AO844" s="854"/>
      <c r="AP844" s="854"/>
      <c r="AQ844" s="854"/>
      <c r="AR844" s="854"/>
      <c r="AS844" s="854"/>
      <c r="AT844" s="854"/>
      <c r="AU844" s="854"/>
      <c r="AV844" s="854"/>
      <c r="AW844" s="854"/>
      <c r="AX844" s="854"/>
      <c r="AY844" s="854"/>
      <c r="AZ844" s="854"/>
      <c r="BA844" s="854"/>
      <c r="BB844" s="854"/>
      <c r="BC844" s="854"/>
      <c r="BD844" s="854"/>
      <c r="BE844" s="854"/>
      <c r="BF844" s="854"/>
      <c r="BG844" s="854"/>
      <c r="BH844" s="854"/>
      <c r="BI844" s="854"/>
      <c r="BJ844" s="854"/>
      <c r="BK844" s="854"/>
      <c r="BL844" s="854"/>
      <c r="BM844" s="854"/>
      <c r="BN844" s="854"/>
      <c r="BO844" s="854"/>
      <c r="BP844" s="854"/>
      <c r="BQ844" s="854"/>
      <c r="BR844" s="854"/>
      <c r="BS844" s="854"/>
      <c r="BT844" s="854"/>
      <c r="BU844" s="854"/>
      <c r="BV844" s="854"/>
      <c r="BW844" s="854"/>
      <c r="BX844" s="854"/>
      <c r="BY844" s="854"/>
      <c r="BZ844" s="854"/>
      <c r="CA844" s="571">
        <f>IF(OR(I844="",I844&lt;'Configs &amp; Procedures'!$L$29),0,IF(I844&gt;'Configs &amp; Procedures'!$L$30,1,IF(F844&gt;'Configs &amp; Procedures'!$L$31,0,1)))</f>
        <v>0</v>
      </c>
    </row>
    <row r="845" spans="2:79">
      <c r="B845" s="854"/>
      <c r="C845" s="854"/>
      <c r="D845" s="854"/>
      <c r="E845" s="854"/>
      <c r="F845" s="854"/>
      <c r="G845" s="854"/>
      <c r="H845" s="854"/>
      <c r="I845" s="854"/>
      <c r="J845" s="854"/>
      <c r="K845" s="854"/>
      <c r="L845" s="854"/>
      <c r="M845" s="854"/>
      <c r="N845" s="854"/>
      <c r="O845" s="854"/>
      <c r="P845" s="854"/>
      <c r="Q845" s="854"/>
      <c r="R845" s="854"/>
      <c r="S845" s="854"/>
      <c r="T845" s="854"/>
      <c r="U845" s="854"/>
      <c r="V845" s="854"/>
      <c r="W845" s="854"/>
      <c r="X845" s="854"/>
      <c r="Y845" s="854"/>
      <c r="Z845" s="854"/>
      <c r="AA845" s="854"/>
      <c r="AB845" s="854"/>
      <c r="AC845" s="854"/>
      <c r="AD845" s="854"/>
      <c r="AE845" s="854"/>
      <c r="AF845" s="854"/>
      <c r="AG845" s="854"/>
      <c r="AH845" s="854"/>
      <c r="AI845" s="854"/>
      <c r="AJ845" s="854"/>
      <c r="AK845" s="854"/>
      <c r="AL845" s="854"/>
      <c r="AM845" s="854"/>
      <c r="AN845" s="854"/>
      <c r="AO845" s="854"/>
      <c r="AP845" s="854"/>
      <c r="AQ845" s="854"/>
      <c r="AR845" s="854"/>
      <c r="AS845" s="854"/>
      <c r="AT845" s="854"/>
      <c r="AU845" s="854"/>
      <c r="AV845" s="854"/>
      <c r="AW845" s="854"/>
      <c r="AX845" s="854"/>
      <c r="AY845" s="854"/>
      <c r="AZ845" s="854"/>
      <c r="BA845" s="854"/>
      <c r="BB845" s="854"/>
      <c r="BC845" s="854"/>
      <c r="BD845" s="854"/>
      <c r="BE845" s="854"/>
      <c r="BF845" s="854"/>
      <c r="BG845" s="854"/>
      <c r="BH845" s="854"/>
      <c r="BI845" s="854"/>
      <c r="BJ845" s="854"/>
      <c r="BK845" s="854"/>
      <c r="BL845" s="854"/>
      <c r="BM845" s="854"/>
      <c r="BN845" s="854"/>
      <c r="BO845" s="854"/>
      <c r="BP845" s="854"/>
      <c r="BQ845" s="854"/>
      <c r="BR845" s="854"/>
      <c r="BS845" s="854"/>
      <c r="BT845" s="854"/>
      <c r="BU845" s="854"/>
      <c r="BV845" s="854"/>
      <c r="BW845" s="854"/>
      <c r="BX845" s="854"/>
      <c r="BY845" s="854"/>
      <c r="BZ845" s="854"/>
      <c r="CA845" s="571">
        <f>IF(OR(I845="",I845&lt;'Configs &amp; Procedures'!$L$29),0,IF(I845&gt;'Configs &amp; Procedures'!$L$30,1,IF(F845&gt;'Configs &amp; Procedures'!$L$31,0,1)))</f>
        <v>0</v>
      </c>
    </row>
    <row r="846" spans="2:79">
      <c r="B846" s="854"/>
      <c r="C846" s="854"/>
      <c r="D846" s="854"/>
      <c r="E846" s="854"/>
      <c r="F846" s="854"/>
      <c r="G846" s="854"/>
      <c r="H846" s="854"/>
      <c r="I846" s="854"/>
      <c r="J846" s="854"/>
      <c r="K846" s="854"/>
      <c r="L846" s="854"/>
      <c r="M846" s="854"/>
      <c r="N846" s="854"/>
      <c r="O846" s="854"/>
      <c r="P846" s="854"/>
      <c r="Q846" s="854"/>
      <c r="R846" s="854"/>
      <c r="S846" s="854"/>
      <c r="T846" s="854"/>
      <c r="U846" s="854"/>
      <c r="V846" s="854"/>
      <c r="W846" s="854"/>
      <c r="X846" s="854"/>
      <c r="Y846" s="854"/>
      <c r="Z846" s="854"/>
      <c r="AA846" s="854"/>
      <c r="AB846" s="854"/>
      <c r="AC846" s="854"/>
      <c r="AD846" s="854"/>
      <c r="AE846" s="854"/>
      <c r="AF846" s="854"/>
      <c r="AG846" s="854"/>
      <c r="AH846" s="854"/>
      <c r="AI846" s="854"/>
      <c r="AJ846" s="854"/>
      <c r="AK846" s="854"/>
      <c r="AL846" s="854"/>
      <c r="AM846" s="854"/>
      <c r="AN846" s="854"/>
      <c r="AO846" s="854"/>
      <c r="AP846" s="854"/>
      <c r="AQ846" s="854"/>
      <c r="AR846" s="854"/>
      <c r="AS846" s="854"/>
      <c r="AT846" s="854"/>
      <c r="AU846" s="854"/>
      <c r="AV846" s="854"/>
      <c r="AW846" s="854"/>
      <c r="AX846" s="854"/>
      <c r="AY846" s="854"/>
      <c r="AZ846" s="854"/>
      <c r="BA846" s="854"/>
      <c r="BB846" s="854"/>
      <c r="BC846" s="854"/>
      <c r="BD846" s="854"/>
      <c r="BE846" s="854"/>
      <c r="BF846" s="854"/>
      <c r="BG846" s="854"/>
      <c r="BH846" s="854"/>
      <c r="BI846" s="854"/>
      <c r="BJ846" s="854"/>
      <c r="BK846" s="854"/>
      <c r="BL846" s="854"/>
      <c r="BM846" s="854"/>
      <c r="BN846" s="854"/>
      <c r="BO846" s="854"/>
      <c r="BP846" s="854"/>
      <c r="BQ846" s="854"/>
      <c r="BR846" s="854"/>
      <c r="BS846" s="854"/>
      <c r="BT846" s="854"/>
      <c r="BU846" s="854"/>
      <c r="BV846" s="854"/>
      <c r="BW846" s="854"/>
      <c r="BX846" s="854"/>
      <c r="BY846" s="854"/>
      <c r="BZ846" s="854"/>
      <c r="CA846" s="571">
        <f>IF(OR(I846="",I846&lt;'Configs &amp; Procedures'!$L$29),0,IF(I846&gt;'Configs &amp; Procedures'!$L$30,1,IF(F846&gt;'Configs &amp; Procedures'!$L$31,0,1)))</f>
        <v>0</v>
      </c>
    </row>
    <row r="847" spans="2:79">
      <c r="B847" s="854"/>
      <c r="C847" s="854"/>
      <c r="D847" s="854"/>
      <c r="E847" s="854"/>
      <c r="F847" s="854"/>
      <c r="G847" s="854"/>
      <c r="H847" s="854"/>
      <c r="I847" s="854"/>
      <c r="J847" s="854"/>
      <c r="K847" s="854"/>
      <c r="L847" s="854"/>
      <c r="M847" s="854"/>
      <c r="N847" s="854"/>
      <c r="O847" s="854"/>
      <c r="P847" s="854"/>
      <c r="Q847" s="854"/>
      <c r="R847" s="854"/>
      <c r="S847" s="854"/>
      <c r="T847" s="854"/>
      <c r="U847" s="854"/>
      <c r="V847" s="854"/>
      <c r="W847" s="854"/>
      <c r="X847" s="854"/>
      <c r="Y847" s="854"/>
      <c r="Z847" s="854"/>
      <c r="AA847" s="854"/>
      <c r="AB847" s="854"/>
      <c r="AC847" s="854"/>
      <c r="AD847" s="854"/>
      <c r="AE847" s="854"/>
      <c r="AF847" s="854"/>
      <c r="AG847" s="854"/>
      <c r="AH847" s="854"/>
      <c r="AI847" s="854"/>
      <c r="AJ847" s="854"/>
      <c r="AK847" s="854"/>
      <c r="AL847" s="854"/>
      <c r="AM847" s="854"/>
      <c r="AN847" s="854"/>
      <c r="AO847" s="854"/>
      <c r="AP847" s="854"/>
      <c r="AQ847" s="854"/>
      <c r="AR847" s="854"/>
      <c r="AS847" s="854"/>
      <c r="AT847" s="854"/>
      <c r="AU847" s="854"/>
      <c r="AV847" s="854"/>
      <c r="AW847" s="854"/>
      <c r="AX847" s="854"/>
      <c r="AY847" s="854"/>
      <c r="AZ847" s="854"/>
      <c r="BA847" s="854"/>
      <c r="BB847" s="854"/>
      <c r="BC847" s="854"/>
      <c r="BD847" s="854"/>
      <c r="BE847" s="854"/>
      <c r="BF847" s="854"/>
      <c r="BG847" s="854"/>
      <c r="BH847" s="854"/>
      <c r="BI847" s="854"/>
      <c r="BJ847" s="854"/>
      <c r="BK847" s="854"/>
      <c r="BL847" s="854"/>
      <c r="BM847" s="854"/>
      <c r="BN847" s="854"/>
      <c r="BO847" s="854"/>
      <c r="BP847" s="854"/>
      <c r="BQ847" s="854"/>
      <c r="BR847" s="854"/>
      <c r="BS847" s="854"/>
      <c r="BT847" s="854"/>
      <c r="BU847" s="854"/>
      <c r="BV847" s="854"/>
      <c r="BW847" s="854"/>
      <c r="BX847" s="854"/>
      <c r="BY847" s="854"/>
      <c r="BZ847" s="854"/>
      <c r="CA847" s="571">
        <f>IF(OR(I847="",I847&lt;'Configs &amp; Procedures'!$L$29),0,IF(I847&gt;'Configs &amp; Procedures'!$L$30,1,IF(F847&gt;'Configs &amp; Procedures'!$L$31,0,1)))</f>
        <v>0</v>
      </c>
    </row>
    <row r="848" spans="2:79">
      <c r="B848" s="854"/>
      <c r="C848" s="854"/>
      <c r="D848" s="854"/>
      <c r="E848" s="854"/>
      <c r="F848" s="854"/>
      <c r="G848" s="854"/>
      <c r="H848" s="854"/>
      <c r="I848" s="854"/>
      <c r="J848" s="854"/>
      <c r="K848" s="854"/>
      <c r="L848" s="854"/>
      <c r="M848" s="854"/>
      <c r="N848" s="854"/>
      <c r="O848" s="854"/>
      <c r="P848" s="854"/>
      <c r="Q848" s="854"/>
      <c r="R848" s="854"/>
      <c r="S848" s="854"/>
      <c r="T848" s="854"/>
      <c r="U848" s="854"/>
      <c r="V848" s="854"/>
      <c r="W848" s="854"/>
      <c r="X848" s="854"/>
      <c r="Y848" s="854"/>
      <c r="Z848" s="854"/>
      <c r="AA848" s="854"/>
      <c r="AB848" s="854"/>
      <c r="AC848" s="854"/>
      <c r="AD848" s="854"/>
      <c r="AE848" s="854"/>
      <c r="AF848" s="854"/>
      <c r="AG848" s="854"/>
      <c r="AH848" s="854"/>
      <c r="AI848" s="854"/>
      <c r="AJ848" s="854"/>
      <c r="AK848" s="854"/>
      <c r="AL848" s="854"/>
      <c r="AM848" s="854"/>
      <c r="AN848" s="854"/>
      <c r="AO848" s="854"/>
      <c r="AP848" s="854"/>
      <c r="AQ848" s="854"/>
      <c r="AR848" s="854"/>
      <c r="AS848" s="854"/>
      <c r="AT848" s="854"/>
      <c r="AU848" s="854"/>
      <c r="AV848" s="854"/>
      <c r="AW848" s="854"/>
      <c r="AX848" s="854"/>
      <c r="AY848" s="854"/>
      <c r="AZ848" s="854"/>
      <c r="BA848" s="854"/>
      <c r="BB848" s="854"/>
      <c r="BC848" s="854"/>
      <c r="BD848" s="854"/>
      <c r="BE848" s="854"/>
      <c r="BF848" s="854"/>
      <c r="BG848" s="854"/>
      <c r="BH848" s="854"/>
      <c r="BI848" s="854"/>
      <c r="BJ848" s="854"/>
      <c r="BK848" s="854"/>
      <c r="BL848" s="854"/>
      <c r="BM848" s="854"/>
      <c r="BN848" s="854"/>
      <c r="BO848" s="854"/>
      <c r="BP848" s="854"/>
      <c r="BQ848" s="854"/>
      <c r="BR848" s="854"/>
      <c r="BS848" s="854"/>
      <c r="BT848" s="854"/>
      <c r="BU848" s="854"/>
      <c r="BV848" s="854"/>
      <c r="BW848" s="854"/>
      <c r="BX848" s="854"/>
      <c r="BY848" s="854"/>
      <c r="BZ848" s="854"/>
      <c r="CA848" s="571">
        <f>IF(OR(I848="",I848&lt;'Configs &amp; Procedures'!$L$29),0,IF(I848&gt;'Configs &amp; Procedures'!$L$30,1,IF(F848&gt;'Configs &amp; Procedures'!$L$31,0,1)))</f>
        <v>0</v>
      </c>
    </row>
    <row r="849" spans="2:79">
      <c r="B849" s="854"/>
      <c r="C849" s="854"/>
      <c r="D849" s="854"/>
      <c r="E849" s="854"/>
      <c r="F849" s="854"/>
      <c r="G849" s="854"/>
      <c r="H849" s="854"/>
      <c r="I849" s="854"/>
      <c r="J849" s="854"/>
      <c r="K849" s="854"/>
      <c r="L849" s="854"/>
      <c r="M849" s="854"/>
      <c r="N849" s="854"/>
      <c r="O849" s="854"/>
      <c r="P849" s="854"/>
      <c r="Q849" s="854"/>
      <c r="R849" s="854"/>
      <c r="S849" s="854"/>
      <c r="T849" s="854"/>
      <c r="U849" s="854"/>
      <c r="V849" s="854"/>
      <c r="W849" s="854"/>
      <c r="X849" s="854"/>
      <c r="Y849" s="854"/>
      <c r="Z849" s="854"/>
      <c r="AA849" s="854"/>
      <c r="AB849" s="854"/>
      <c r="AC849" s="854"/>
      <c r="AD849" s="854"/>
      <c r="AE849" s="854"/>
      <c r="AF849" s="854"/>
      <c r="AG849" s="854"/>
      <c r="AH849" s="854"/>
      <c r="AI849" s="854"/>
      <c r="AJ849" s="854"/>
      <c r="AK849" s="854"/>
      <c r="AL849" s="854"/>
      <c r="AM849" s="854"/>
      <c r="AN849" s="854"/>
      <c r="AO849" s="854"/>
      <c r="AP849" s="854"/>
      <c r="AQ849" s="854"/>
      <c r="AR849" s="854"/>
      <c r="AS849" s="854"/>
      <c r="AT849" s="854"/>
      <c r="AU849" s="854"/>
      <c r="AV849" s="854"/>
      <c r="AW849" s="854"/>
      <c r="AX849" s="854"/>
      <c r="AY849" s="854"/>
      <c r="AZ849" s="854"/>
      <c r="BA849" s="854"/>
      <c r="BB849" s="854"/>
      <c r="BC849" s="854"/>
      <c r="BD849" s="854"/>
      <c r="BE849" s="854"/>
      <c r="BF849" s="854"/>
      <c r="BG849" s="854"/>
      <c r="BH849" s="854"/>
      <c r="BI849" s="854"/>
      <c r="BJ849" s="854"/>
      <c r="BK849" s="854"/>
      <c r="BL849" s="854"/>
      <c r="BM849" s="854"/>
      <c r="BN849" s="854"/>
      <c r="BO849" s="854"/>
      <c r="BP849" s="854"/>
      <c r="BQ849" s="854"/>
      <c r="BR849" s="854"/>
      <c r="BS849" s="854"/>
      <c r="BT849" s="854"/>
      <c r="BU849" s="854"/>
      <c r="BV849" s="854"/>
      <c r="BW849" s="854"/>
      <c r="BX849" s="854"/>
      <c r="BY849" s="854"/>
      <c r="BZ849" s="854"/>
      <c r="CA849" s="571">
        <f>IF(OR(I849="",I849&lt;'Configs &amp; Procedures'!$L$29),0,IF(I849&gt;'Configs &amp; Procedures'!$L$30,1,IF(F849&gt;'Configs &amp; Procedures'!$L$31,0,1)))</f>
        <v>0</v>
      </c>
    </row>
    <row r="850" spans="2:79">
      <c r="B850" s="854"/>
      <c r="C850" s="854"/>
      <c r="D850" s="854"/>
      <c r="E850" s="854"/>
      <c r="F850" s="854"/>
      <c r="G850" s="854"/>
      <c r="H850" s="854"/>
      <c r="I850" s="854"/>
      <c r="J850" s="854"/>
      <c r="K850" s="854"/>
      <c r="L850" s="854"/>
      <c r="M850" s="854"/>
      <c r="N850" s="854"/>
      <c r="O850" s="854"/>
      <c r="P850" s="854"/>
      <c r="Q850" s="854"/>
      <c r="R850" s="854"/>
      <c r="S850" s="854"/>
      <c r="T850" s="854"/>
      <c r="U850" s="854"/>
      <c r="V850" s="854"/>
      <c r="W850" s="854"/>
      <c r="X850" s="854"/>
      <c r="Y850" s="854"/>
      <c r="Z850" s="854"/>
      <c r="AA850" s="854"/>
      <c r="AB850" s="854"/>
      <c r="AC850" s="854"/>
      <c r="AD850" s="854"/>
      <c r="AE850" s="854"/>
      <c r="AF850" s="854"/>
      <c r="AG850" s="854"/>
      <c r="AH850" s="854"/>
      <c r="AI850" s="854"/>
      <c r="AJ850" s="854"/>
      <c r="AK850" s="854"/>
      <c r="AL850" s="854"/>
      <c r="AM850" s="854"/>
      <c r="AN850" s="854"/>
      <c r="AO850" s="854"/>
      <c r="AP850" s="854"/>
      <c r="AQ850" s="854"/>
      <c r="AR850" s="854"/>
      <c r="AS850" s="854"/>
      <c r="AT850" s="854"/>
      <c r="AU850" s="854"/>
      <c r="AV850" s="854"/>
      <c r="AW850" s="854"/>
      <c r="AX850" s="854"/>
      <c r="AY850" s="854"/>
      <c r="AZ850" s="854"/>
      <c r="BA850" s="854"/>
      <c r="BB850" s="854"/>
      <c r="BC850" s="854"/>
      <c r="BD850" s="854"/>
      <c r="BE850" s="854"/>
      <c r="BF850" s="854"/>
      <c r="BG850" s="854"/>
      <c r="BH850" s="854"/>
      <c r="BI850" s="854"/>
      <c r="BJ850" s="854"/>
      <c r="BK850" s="854"/>
      <c r="BL850" s="854"/>
      <c r="BM850" s="854"/>
      <c r="BN850" s="854"/>
      <c r="BO850" s="854"/>
      <c r="BP850" s="854"/>
      <c r="BQ850" s="854"/>
      <c r="BR850" s="854"/>
      <c r="BS850" s="854"/>
      <c r="BT850" s="854"/>
      <c r="BU850" s="854"/>
      <c r="BV850" s="854"/>
      <c r="BW850" s="854"/>
      <c r="BX850" s="854"/>
      <c r="BY850" s="854"/>
      <c r="BZ850" s="854"/>
      <c r="CA850" s="571">
        <f>IF(OR(I850="",I850&lt;'Configs &amp; Procedures'!$L$29),0,IF(I850&gt;'Configs &amp; Procedures'!$L$30,1,IF(F850&gt;'Configs &amp; Procedures'!$L$31,0,1)))</f>
        <v>0</v>
      </c>
    </row>
    <row r="851" spans="2:79">
      <c r="B851" s="854"/>
      <c r="C851" s="854"/>
      <c r="D851" s="854"/>
      <c r="E851" s="854"/>
      <c r="F851" s="854"/>
      <c r="G851" s="854"/>
      <c r="H851" s="854"/>
      <c r="I851" s="854"/>
      <c r="J851" s="854"/>
      <c r="K851" s="854"/>
      <c r="L851" s="854"/>
      <c r="M851" s="854"/>
      <c r="N851" s="854"/>
      <c r="O851" s="854"/>
      <c r="P851" s="854"/>
      <c r="Q851" s="854"/>
      <c r="R851" s="854"/>
      <c r="S851" s="854"/>
      <c r="T851" s="854"/>
      <c r="U851" s="854"/>
      <c r="V851" s="854"/>
      <c r="W851" s="854"/>
      <c r="X851" s="854"/>
      <c r="Y851" s="854"/>
      <c r="Z851" s="854"/>
      <c r="AA851" s="854"/>
      <c r="AB851" s="854"/>
      <c r="AC851" s="854"/>
      <c r="AD851" s="854"/>
      <c r="AE851" s="854"/>
      <c r="AF851" s="854"/>
      <c r="AG851" s="854"/>
      <c r="AH851" s="854"/>
      <c r="AI851" s="854"/>
      <c r="AJ851" s="854"/>
      <c r="AK851" s="854"/>
      <c r="AL851" s="854"/>
      <c r="AM851" s="854"/>
      <c r="AN851" s="854"/>
      <c r="AO851" s="854"/>
      <c r="AP851" s="854"/>
      <c r="AQ851" s="854"/>
      <c r="AR851" s="854"/>
      <c r="AS851" s="854"/>
      <c r="AT851" s="854"/>
      <c r="AU851" s="854"/>
      <c r="AV851" s="854"/>
      <c r="AW851" s="854"/>
      <c r="AX851" s="854"/>
      <c r="AY851" s="854"/>
      <c r="AZ851" s="854"/>
      <c r="BA851" s="854"/>
      <c r="BB851" s="854"/>
      <c r="BC851" s="854"/>
      <c r="BD851" s="854"/>
      <c r="BE851" s="854"/>
      <c r="BF851" s="854"/>
      <c r="BG851" s="854"/>
      <c r="BH851" s="854"/>
      <c r="BI851" s="854"/>
      <c r="BJ851" s="854"/>
      <c r="BK851" s="854"/>
      <c r="BL851" s="854"/>
      <c r="BM851" s="854"/>
      <c r="BN851" s="854"/>
      <c r="BO851" s="854"/>
      <c r="BP851" s="854"/>
      <c r="BQ851" s="854"/>
      <c r="BR851" s="854"/>
      <c r="BS851" s="854"/>
      <c r="BT851" s="854"/>
      <c r="BU851" s="854"/>
      <c r="BV851" s="854"/>
      <c r="BW851" s="854"/>
      <c r="BX851" s="854"/>
      <c r="BY851" s="854"/>
      <c r="BZ851" s="854"/>
      <c r="CA851" s="571">
        <f>IF(OR(I851="",I851&lt;'Configs &amp; Procedures'!$L$29),0,IF(I851&gt;'Configs &amp; Procedures'!$L$30,1,IF(F851&gt;'Configs &amp; Procedures'!$L$31,0,1)))</f>
        <v>0</v>
      </c>
    </row>
    <row r="852" spans="2:79">
      <c r="B852" s="854"/>
      <c r="C852" s="854"/>
      <c r="D852" s="854"/>
      <c r="E852" s="854"/>
      <c r="F852" s="854"/>
      <c r="G852" s="854"/>
      <c r="H852" s="854"/>
      <c r="I852" s="854"/>
      <c r="J852" s="854"/>
      <c r="K852" s="854"/>
      <c r="L852" s="854"/>
      <c r="M852" s="854"/>
      <c r="N852" s="854"/>
      <c r="O852" s="854"/>
      <c r="P852" s="854"/>
      <c r="Q852" s="854"/>
      <c r="R852" s="854"/>
      <c r="S852" s="854"/>
      <c r="T852" s="854"/>
      <c r="U852" s="854"/>
      <c r="V852" s="854"/>
      <c r="W852" s="854"/>
      <c r="X852" s="854"/>
      <c r="Y852" s="854"/>
      <c r="Z852" s="854"/>
      <c r="AA852" s="854"/>
      <c r="AB852" s="854"/>
      <c r="AC852" s="854"/>
      <c r="AD852" s="854"/>
      <c r="AE852" s="854"/>
      <c r="AF852" s="854"/>
      <c r="AG852" s="854"/>
      <c r="AH852" s="854"/>
      <c r="AI852" s="854"/>
      <c r="AJ852" s="854"/>
      <c r="AK852" s="854"/>
      <c r="AL852" s="854"/>
      <c r="AM852" s="854"/>
      <c r="AN852" s="854"/>
      <c r="AO852" s="854"/>
      <c r="AP852" s="854"/>
      <c r="AQ852" s="854"/>
      <c r="AR852" s="854"/>
      <c r="AS852" s="854"/>
      <c r="AT852" s="854"/>
      <c r="AU852" s="854"/>
      <c r="AV852" s="854"/>
      <c r="AW852" s="854"/>
      <c r="AX852" s="854"/>
      <c r="AY852" s="854"/>
      <c r="AZ852" s="854"/>
      <c r="BA852" s="854"/>
      <c r="BB852" s="854"/>
      <c r="BC852" s="854"/>
      <c r="BD852" s="854"/>
      <c r="BE852" s="854"/>
      <c r="BF852" s="854"/>
      <c r="BG852" s="854"/>
      <c r="BH852" s="854"/>
      <c r="BI852" s="854"/>
      <c r="BJ852" s="854"/>
      <c r="BK852" s="854"/>
      <c r="BL852" s="854"/>
      <c r="BM852" s="854"/>
      <c r="BN852" s="854"/>
      <c r="BO852" s="854"/>
      <c r="BP852" s="854"/>
      <c r="BQ852" s="854"/>
      <c r="BR852" s="854"/>
      <c r="BS852" s="854"/>
      <c r="BT852" s="854"/>
      <c r="BU852" s="854"/>
      <c r="BV852" s="854"/>
      <c r="BW852" s="854"/>
      <c r="BX852" s="854"/>
      <c r="BY852" s="854"/>
      <c r="BZ852" s="854"/>
      <c r="CA852" s="571">
        <f>IF(OR(I852="",I852&lt;'Configs &amp; Procedures'!$L$29),0,IF(I852&gt;'Configs &amp; Procedures'!$L$30,1,IF(F852&gt;'Configs &amp; Procedures'!$L$31,0,1)))</f>
        <v>0</v>
      </c>
    </row>
    <row r="853" spans="2:79">
      <c r="B853" s="854"/>
      <c r="C853" s="854"/>
      <c r="D853" s="854"/>
      <c r="E853" s="854"/>
      <c r="F853" s="854"/>
      <c r="G853" s="854"/>
      <c r="H853" s="854"/>
      <c r="I853" s="854"/>
      <c r="J853" s="854"/>
      <c r="K853" s="854"/>
      <c r="L853" s="854"/>
      <c r="M853" s="854"/>
      <c r="N853" s="854"/>
      <c r="O853" s="854"/>
      <c r="P853" s="854"/>
      <c r="Q853" s="854"/>
      <c r="R853" s="854"/>
      <c r="S853" s="854"/>
      <c r="T853" s="854"/>
      <c r="U853" s="854"/>
      <c r="V853" s="854"/>
      <c r="W853" s="854"/>
      <c r="X853" s="854"/>
      <c r="Y853" s="854"/>
      <c r="Z853" s="854"/>
      <c r="AA853" s="854"/>
      <c r="AB853" s="854"/>
      <c r="AC853" s="854"/>
      <c r="AD853" s="854"/>
      <c r="AE853" s="854"/>
      <c r="AF853" s="854"/>
      <c r="AG853" s="854"/>
      <c r="AH853" s="854"/>
      <c r="AI853" s="854"/>
      <c r="AJ853" s="854"/>
      <c r="AK853" s="854"/>
      <c r="AL853" s="854"/>
      <c r="AM853" s="854"/>
      <c r="AN853" s="854"/>
      <c r="AO853" s="854"/>
      <c r="AP853" s="854"/>
      <c r="AQ853" s="854"/>
      <c r="AR853" s="854"/>
      <c r="AS853" s="854"/>
      <c r="AT853" s="854"/>
      <c r="AU853" s="854"/>
      <c r="AV853" s="854"/>
      <c r="AW853" s="854"/>
      <c r="AX853" s="854"/>
      <c r="AY853" s="854"/>
      <c r="AZ853" s="854"/>
      <c r="BA853" s="854"/>
      <c r="BB853" s="854"/>
      <c r="BC853" s="854"/>
      <c r="BD853" s="854"/>
      <c r="BE853" s="854"/>
      <c r="BF853" s="854"/>
      <c r="BG853" s="854"/>
      <c r="BH853" s="854"/>
      <c r="BI853" s="854"/>
      <c r="BJ853" s="854"/>
      <c r="BK853" s="854"/>
      <c r="BL853" s="854"/>
      <c r="BM853" s="854"/>
      <c r="BN853" s="854"/>
      <c r="BO853" s="854"/>
      <c r="BP853" s="854"/>
      <c r="BQ853" s="854"/>
      <c r="BR853" s="854"/>
      <c r="BS853" s="854"/>
      <c r="BT853" s="854"/>
      <c r="BU853" s="854"/>
      <c r="BV853" s="854"/>
      <c r="BW853" s="854"/>
      <c r="BX853" s="854"/>
      <c r="BY853" s="854"/>
      <c r="BZ853" s="854"/>
      <c r="CA853" s="571">
        <f>IF(OR(I853="",I853&lt;'Configs &amp; Procedures'!$L$29),0,IF(I853&gt;'Configs &amp; Procedures'!$L$30,1,IF(F853&gt;'Configs &amp; Procedures'!$L$31,0,1)))</f>
        <v>0</v>
      </c>
    </row>
    <row r="854" spans="2:79">
      <c r="B854" s="854"/>
      <c r="C854" s="854"/>
      <c r="D854" s="854"/>
      <c r="E854" s="854"/>
      <c r="F854" s="854"/>
      <c r="G854" s="854"/>
      <c r="H854" s="854"/>
      <c r="I854" s="854"/>
      <c r="J854" s="854"/>
      <c r="K854" s="854"/>
      <c r="L854" s="854"/>
      <c r="M854" s="854"/>
      <c r="N854" s="854"/>
      <c r="O854" s="854"/>
      <c r="P854" s="854"/>
      <c r="Q854" s="854"/>
      <c r="R854" s="854"/>
      <c r="S854" s="854"/>
      <c r="T854" s="854"/>
      <c r="U854" s="854"/>
      <c r="V854" s="854"/>
      <c r="W854" s="854"/>
      <c r="X854" s="854"/>
      <c r="Y854" s="854"/>
      <c r="Z854" s="854"/>
      <c r="AA854" s="854"/>
      <c r="AB854" s="854"/>
      <c r="AC854" s="854"/>
      <c r="AD854" s="854"/>
      <c r="AE854" s="854"/>
      <c r="AF854" s="854"/>
      <c r="AG854" s="854"/>
      <c r="AH854" s="854"/>
      <c r="AI854" s="854"/>
      <c r="AJ854" s="854"/>
      <c r="AK854" s="854"/>
      <c r="AL854" s="854"/>
      <c r="AM854" s="854"/>
      <c r="AN854" s="854"/>
      <c r="AO854" s="854"/>
      <c r="AP854" s="854"/>
      <c r="AQ854" s="854"/>
      <c r="AR854" s="854"/>
      <c r="AS854" s="854"/>
      <c r="AT854" s="854"/>
      <c r="AU854" s="854"/>
      <c r="AV854" s="854"/>
      <c r="AW854" s="854"/>
      <c r="AX854" s="854"/>
      <c r="AY854" s="854"/>
      <c r="AZ854" s="854"/>
      <c r="BA854" s="854"/>
      <c r="BB854" s="854"/>
      <c r="BC854" s="854"/>
      <c r="BD854" s="854"/>
      <c r="BE854" s="854"/>
      <c r="BF854" s="854"/>
      <c r="BG854" s="854"/>
      <c r="BH854" s="854"/>
      <c r="BI854" s="854"/>
      <c r="BJ854" s="854"/>
      <c r="BK854" s="854"/>
      <c r="BL854" s="854"/>
      <c r="BM854" s="854"/>
      <c r="BN854" s="854"/>
      <c r="BO854" s="854"/>
      <c r="BP854" s="854"/>
      <c r="BQ854" s="854"/>
      <c r="BR854" s="854"/>
      <c r="BS854" s="854"/>
      <c r="BT854" s="854"/>
      <c r="BU854" s="854"/>
      <c r="BV854" s="854"/>
      <c r="BW854" s="854"/>
      <c r="BX854" s="854"/>
      <c r="BY854" s="854"/>
      <c r="BZ854" s="854"/>
      <c r="CA854" s="571">
        <f>IF(OR(I854="",I854&lt;'Configs &amp; Procedures'!$L$29),0,IF(I854&gt;'Configs &amp; Procedures'!$L$30,1,IF(F854&gt;'Configs &amp; Procedures'!$L$31,0,1)))</f>
        <v>0</v>
      </c>
    </row>
    <row r="855" spans="2:79">
      <c r="B855" s="854"/>
      <c r="C855" s="854"/>
      <c r="D855" s="854"/>
      <c r="E855" s="854"/>
      <c r="F855" s="854"/>
      <c r="G855" s="854"/>
      <c r="H855" s="854"/>
      <c r="I855" s="854"/>
      <c r="J855" s="854"/>
      <c r="K855" s="854"/>
      <c r="L855" s="854"/>
      <c r="M855" s="854"/>
      <c r="N855" s="854"/>
      <c r="O855" s="854"/>
      <c r="P855" s="854"/>
      <c r="Q855" s="854"/>
      <c r="R855" s="854"/>
      <c r="S855" s="854"/>
      <c r="T855" s="854"/>
      <c r="U855" s="854"/>
      <c r="V855" s="854"/>
      <c r="W855" s="854"/>
      <c r="X855" s="854"/>
      <c r="Y855" s="854"/>
      <c r="Z855" s="854"/>
      <c r="AA855" s="854"/>
      <c r="AB855" s="854"/>
      <c r="AC855" s="854"/>
      <c r="AD855" s="854"/>
      <c r="AE855" s="854"/>
      <c r="AF855" s="854"/>
      <c r="AG855" s="854"/>
      <c r="AH855" s="854"/>
      <c r="AI855" s="854"/>
      <c r="AJ855" s="854"/>
      <c r="AK855" s="854"/>
      <c r="AL855" s="854"/>
      <c r="AM855" s="854"/>
      <c r="AN855" s="854"/>
      <c r="AO855" s="854"/>
      <c r="AP855" s="854"/>
      <c r="AQ855" s="854"/>
      <c r="AR855" s="854"/>
      <c r="AS855" s="854"/>
      <c r="AT855" s="854"/>
      <c r="AU855" s="854"/>
      <c r="AV855" s="854"/>
      <c r="AW855" s="854"/>
      <c r="AX855" s="854"/>
      <c r="AY855" s="854"/>
      <c r="AZ855" s="854"/>
      <c r="BA855" s="854"/>
      <c r="BB855" s="854"/>
      <c r="BC855" s="854"/>
      <c r="BD855" s="854"/>
      <c r="BE855" s="854"/>
      <c r="BF855" s="854"/>
      <c r="BG855" s="854"/>
      <c r="BH855" s="854"/>
      <c r="BI855" s="854"/>
      <c r="BJ855" s="854"/>
      <c r="BK855" s="854"/>
      <c r="BL855" s="854"/>
      <c r="BM855" s="854"/>
      <c r="BN855" s="854"/>
      <c r="BO855" s="854"/>
      <c r="BP855" s="854"/>
      <c r="BQ855" s="854"/>
      <c r="BR855" s="854"/>
      <c r="BS855" s="854"/>
      <c r="BT855" s="854"/>
      <c r="BU855" s="854"/>
      <c r="BV855" s="854"/>
      <c r="BW855" s="854"/>
      <c r="BX855" s="854"/>
      <c r="BY855" s="854"/>
      <c r="BZ855" s="854"/>
      <c r="CA855" s="571">
        <f>IF(OR(I855="",I855&lt;'Configs &amp; Procedures'!$L$29),0,IF(I855&gt;'Configs &amp; Procedures'!$L$30,1,IF(F855&gt;'Configs &amp; Procedures'!$L$31,0,1)))</f>
        <v>0</v>
      </c>
    </row>
    <row r="856" spans="2:79">
      <c r="B856" s="854"/>
      <c r="C856" s="854"/>
      <c r="D856" s="854"/>
      <c r="E856" s="854"/>
      <c r="F856" s="854"/>
      <c r="G856" s="854"/>
      <c r="H856" s="854"/>
      <c r="I856" s="854"/>
      <c r="J856" s="854"/>
      <c r="K856" s="854"/>
      <c r="L856" s="854"/>
      <c r="M856" s="854"/>
      <c r="N856" s="854"/>
      <c r="O856" s="854"/>
      <c r="P856" s="854"/>
      <c r="Q856" s="854"/>
      <c r="R856" s="854"/>
      <c r="S856" s="854"/>
      <c r="T856" s="854"/>
      <c r="U856" s="854"/>
      <c r="V856" s="854"/>
      <c r="W856" s="854"/>
      <c r="X856" s="854"/>
      <c r="Y856" s="854"/>
      <c r="Z856" s="854"/>
      <c r="AA856" s="854"/>
      <c r="AB856" s="854"/>
      <c r="AC856" s="854"/>
      <c r="AD856" s="854"/>
      <c r="AE856" s="854"/>
      <c r="AF856" s="854"/>
      <c r="AG856" s="854"/>
      <c r="AH856" s="854"/>
      <c r="AI856" s="854"/>
      <c r="AJ856" s="854"/>
      <c r="AK856" s="854"/>
      <c r="AL856" s="854"/>
      <c r="AM856" s="854"/>
      <c r="AN856" s="854"/>
      <c r="AO856" s="854"/>
      <c r="AP856" s="854"/>
      <c r="AQ856" s="854"/>
      <c r="AR856" s="854"/>
      <c r="AS856" s="854"/>
      <c r="AT856" s="854"/>
      <c r="AU856" s="854"/>
      <c r="AV856" s="854"/>
      <c r="AW856" s="854"/>
      <c r="AX856" s="854"/>
      <c r="AY856" s="854"/>
      <c r="AZ856" s="854"/>
      <c r="BA856" s="854"/>
      <c r="BB856" s="854"/>
      <c r="BC856" s="854"/>
      <c r="BD856" s="854"/>
      <c r="BE856" s="854"/>
      <c r="BF856" s="854"/>
      <c r="BG856" s="854"/>
      <c r="BH856" s="854"/>
      <c r="BI856" s="854"/>
      <c r="BJ856" s="854"/>
      <c r="BK856" s="854"/>
      <c r="BL856" s="854"/>
      <c r="BM856" s="854"/>
      <c r="BN856" s="854"/>
      <c r="BO856" s="854"/>
      <c r="BP856" s="854"/>
      <c r="BQ856" s="854"/>
      <c r="BR856" s="854"/>
      <c r="BS856" s="854"/>
      <c r="BT856" s="854"/>
      <c r="BU856" s="854"/>
      <c r="BV856" s="854"/>
      <c r="BW856" s="854"/>
      <c r="BX856" s="854"/>
      <c r="BY856" s="854"/>
      <c r="BZ856" s="854"/>
      <c r="CA856" s="571">
        <f>IF(OR(I856="",I856&lt;'Configs &amp; Procedures'!$L$29),0,IF(I856&gt;'Configs &amp; Procedures'!$L$30,1,IF(F856&gt;'Configs &amp; Procedures'!$L$31,0,1)))</f>
        <v>0</v>
      </c>
    </row>
    <row r="857" spans="2:79">
      <c r="B857" s="854"/>
      <c r="C857" s="854"/>
      <c r="D857" s="854"/>
      <c r="E857" s="854"/>
      <c r="F857" s="854"/>
      <c r="G857" s="854"/>
      <c r="H857" s="854"/>
      <c r="I857" s="854"/>
      <c r="J857" s="854"/>
      <c r="K857" s="854"/>
      <c r="L857" s="854"/>
      <c r="M857" s="854"/>
      <c r="N857" s="854"/>
      <c r="O857" s="854"/>
      <c r="P857" s="854"/>
      <c r="Q857" s="854"/>
      <c r="R857" s="854"/>
      <c r="S857" s="854"/>
      <c r="T857" s="854"/>
      <c r="U857" s="854"/>
      <c r="V857" s="854"/>
      <c r="W857" s="854"/>
      <c r="X857" s="854"/>
      <c r="Y857" s="854"/>
      <c r="Z857" s="854"/>
      <c r="AA857" s="854"/>
      <c r="AB857" s="854"/>
      <c r="AC857" s="854"/>
      <c r="AD857" s="854"/>
      <c r="AE857" s="854"/>
      <c r="AF857" s="854"/>
      <c r="AG857" s="854"/>
      <c r="AH857" s="854"/>
      <c r="AI857" s="854"/>
      <c r="AJ857" s="854"/>
      <c r="AK857" s="854"/>
      <c r="AL857" s="854"/>
      <c r="AM857" s="854"/>
      <c r="AN857" s="854"/>
      <c r="AO857" s="854"/>
      <c r="AP857" s="854"/>
      <c r="AQ857" s="854"/>
      <c r="AR857" s="854"/>
      <c r="AS857" s="854"/>
      <c r="AT857" s="854"/>
      <c r="AU857" s="854"/>
      <c r="AV857" s="854"/>
      <c r="AW857" s="854"/>
      <c r="AX857" s="854"/>
      <c r="AY857" s="854"/>
      <c r="AZ857" s="854"/>
      <c r="BA857" s="854"/>
      <c r="BB857" s="854"/>
      <c r="BC857" s="854"/>
      <c r="BD857" s="854"/>
      <c r="BE857" s="854"/>
      <c r="BF857" s="854"/>
      <c r="BG857" s="854"/>
      <c r="BH857" s="854"/>
      <c r="BI857" s="854"/>
      <c r="BJ857" s="854"/>
      <c r="BK857" s="854"/>
      <c r="BL857" s="854"/>
      <c r="BM857" s="854"/>
      <c r="BN857" s="854"/>
      <c r="BO857" s="854"/>
      <c r="BP857" s="854"/>
      <c r="BQ857" s="854"/>
      <c r="BR857" s="854"/>
      <c r="BS857" s="854"/>
      <c r="BT857" s="854"/>
      <c r="BU857" s="854"/>
      <c r="BV857" s="854"/>
      <c r="BW857" s="854"/>
      <c r="BX857" s="854"/>
      <c r="BY857" s="854"/>
      <c r="BZ857" s="854"/>
      <c r="CA857" s="571">
        <f>IF(OR(I857="",I857&lt;'Configs &amp; Procedures'!$L$29),0,IF(I857&gt;'Configs &amp; Procedures'!$L$30,1,IF(F857&gt;'Configs &amp; Procedures'!$L$31,0,1)))</f>
        <v>0</v>
      </c>
    </row>
    <row r="858" spans="2:79">
      <c r="B858" s="854"/>
      <c r="C858" s="854"/>
      <c r="D858" s="854"/>
      <c r="E858" s="854"/>
      <c r="F858" s="854"/>
      <c r="G858" s="854"/>
      <c r="H858" s="854"/>
      <c r="I858" s="854"/>
      <c r="J858" s="854"/>
      <c r="K858" s="854"/>
      <c r="L858" s="854"/>
      <c r="M858" s="854"/>
      <c r="N858" s="854"/>
      <c r="O858" s="854"/>
      <c r="P858" s="854"/>
      <c r="Q858" s="854"/>
      <c r="R858" s="854"/>
      <c r="S858" s="854"/>
      <c r="T858" s="854"/>
      <c r="U858" s="854"/>
      <c r="V858" s="854"/>
      <c r="W858" s="854"/>
      <c r="X858" s="854"/>
      <c r="Y858" s="854"/>
      <c r="Z858" s="854"/>
      <c r="AA858" s="854"/>
      <c r="AB858" s="854"/>
      <c r="AC858" s="854"/>
      <c r="AD858" s="854"/>
      <c r="AE858" s="854"/>
      <c r="AF858" s="854"/>
      <c r="AG858" s="854"/>
      <c r="AH858" s="854"/>
      <c r="AI858" s="854"/>
      <c r="AJ858" s="854"/>
      <c r="AK858" s="854"/>
      <c r="AL858" s="854"/>
      <c r="AM858" s="854"/>
      <c r="AN858" s="854"/>
      <c r="AO858" s="854"/>
      <c r="AP858" s="854"/>
      <c r="AQ858" s="854"/>
      <c r="AR858" s="854"/>
      <c r="AS858" s="854"/>
      <c r="AT858" s="854"/>
      <c r="AU858" s="854"/>
      <c r="AV858" s="854"/>
      <c r="AW858" s="854"/>
      <c r="AX858" s="854"/>
      <c r="AY858" s="854"/>
      <c r="AZ858" s="854"/>
      <c r="BA858" s="854"/>
      <c r="BB858" s="854"/>
      <c r="BC858" s="854"/>
      <c r="BD858" s="854"/>
      <c r="BE858" s="854"/>
      <c r="BF858" s="854"/>
      <c r="BG858" s="854"/>
      <c r="BH858" s="854"/>
      <c r="BI858" s="854"/>
      <c r="BJ858" s="854"/>
      <c r="BK858" s="854"/>
      <c r="BL858" s="854"/>
      <c r="BM858" s="854"/>
      <c r="BN858" s="854"/>
      <c r="BO858" s="854"/>
      <c r="BP858" s="854"/>
      <c r="BQ858" s="854"/>
      <c r="BR858" s="854"/>
      <c r="BS858" s="854"/>
      <c r="BT858" s="854"/>
      <c r="BU858" s="854"/>
      <c r="BV858" s="854"/>
      <c r="BW858" s="854"/>
      <c r="BX858" s="854"/>
      <c r="BY858" s="854"/>
      <c r="BZ858" s="854"/>
      <c r="CA858" s="571">
        <f>IF(OR(I858="",I858&lt;'Configs &amp; Procedures'!$L$29),0,IF(I858&gt;'Configs &amp; Procedures'!$L$30,1,IF(F858&gt;'Configs &amp; Procedures'!$L$31,0,1)))</f>
        <v>0</v>
      </c>
    </row>
    <row r="859" spans="2:79">
      <c r="B859" s="854"/>
      <c r="C859" s="854"/>
      <c r="D859" s="854"/>
      <c r="E859" s="854"/>
      <c r="F859" s="854"/>
      <c r="G859" s="854"/>
      <c r="H859" s="854"/>
      <c r="I859" s="854"/>
      <c r="J859" s="854"/>
      <c r="K859" s="854"/>
      <c r="L859" s="854"/>
      <c r="M859" s="854"/>
      <c r="N859" s="854"/>
      <c r="O859" s="854"/>
      <c r="P859" s="854"/>
      <c r="Q859" s="854"/>
      <c r="R859" s="854"/>
      <c r="S859" s="854"/>
      <c r="T859" s="854"/>
      <c r="U859" s="854"/>
      <c r="V859" s="854"/>
      <c r="W859" s="854"/>
      <c r="X859" s="854"/>
      <c r="Y859" s="854"/>
      <c r="Z859" s="854"/>
      <c r="AA859" s="854"/>
      <c r="AB859" s="854"/>
      <c r="AC859" s="854"/>
      <c r="AD859" s="854"/>
      <c r="AE859" s="854"/>
      <c r="AF859" s="854"/>
      <c r="AG859" s="854"/>
      <c r="AH859" s="854"/>
      <c r="AI859" s="854"/>
      <c r="AJ859" s="854"/>
      <c r="AK859" s="854"/>
      <c r="AL859" s="854"/>
      <c r="AM859" s="854"/>
      <c r="AN859" s="854"/>
      <c r="AO859" s="854"/>
      <c r="AP859" s="854"/>
      <c r="AQ859" s="854"/>
      <c r="AR859" s="854"/>
      <c r="AS859" s="854"/>
      <c r="AT859" s="854"/>
      <c r="AU859" s="854"/>
      <c r="AV859" s="854"/>
      <c r="AW859" s="854"/>
      <c r="AX859" s="854"/>
      <c r="AY859" s="854"/>
      <c r="AZ859" s="854"/>
      <c r="BA859" s="854"/>
      <c r="BB859" s="854"/>
      <c r="BC859" s="854"/>
      <c r="BD859" s="854"/>
      <c r="BE859" s="854"/>
      <c r="BF859" s="854"/>
      <c r="BG859" s="854"/>
      <c r="BH859" s="854"/>
      <c r="BI859" s="854"/>
      <c r="BJ859" s="854"/>
      <c r="BK859" s="854"/>
      <c r="BL859" s="854"/>
      <c r="BM859" s="854"/>
      <c r="BN859" s="854"/>
      <c r="BO859" s="854"/>
      <c r="BP859" s="854"/>
      <c r="BQ859" s="854"/>
      <c r="BR859" s="854"/>
      <c r="BS859" s="854"/>
      <c r="BT859" s="854"/>
      <c r="BU859" s="854"/>
      <c r="BV859" s="854"/>
      <c r="BW859" s="854"/>
      <c r="BX859" s="854"/>
      <c r="BY859" s="854"/>
      <c r="BZ859" s="854"/>
      <c r="CA859" s="571">
        <f>IF(OR(I859="",I859&lt;'Configs &amp; Procedures'!$L$29),0,IF(I859&gt;'Configs &amp; Procedures'!$L$30,1,IF(F859&gt;'Configs &amp; Procedures'!$L$31,0,1)))</f>
        <v>0</v>
      </c>
    </row>
    <row r="860" spans="2:79">
      <c r="B860" s="854"/>
      <c r="C860" s="854"/>
      <c r="D860" s="854"/>
      <c r="E860" s="854"/>
      <c r="F860" s="854"/>
      <c r="G860" s="854"/>
      <c r="H860" s="854"/>
      <c r="I860" s="854"/>
      <c r="J860" s="854"/>
      <c r="K860" s="854"/>
      <c r="L860" s="854"/>
      <c r="M860" s="854"/>
      <c r="N860" s="854"/>
      <c r="O860" s="854"/>
      <c r="P860" s="854"/>
      <c r="Q860" s="854"/>
      <c r="R860" s="854"/>
      <c r="S860" s="854"/>
      <c r="T860" s="854"/>
      <c r="U860" s="854"/>
      <c r="V860" s="854"/>
      <c r="W860" s="854"/>
      <c r="X860" s="854"/>
      <c r="Y860" s="854"/>
      <c r="Z860" s="854"/>
      <c r="AA860" s="854"/>
      <c r="AB860" s="854"/>
      <c r="AC860" s="854"/>
      <c r="AD860" s="854"/>
      <c r="AE860" s="854"/>
      <c r="AF860" s="854"/>
      <c r="AG860" s="854"/>
      <c r="AH860" s="854"/>
      <c r="AI860" s="854"/>
      <c r="AJ860" s="854"/>
      <c r="AK860" s="854"/>
      <c r="AL860" s="854"/>
      <c r="AM860" s="854"/>
      <c r="AN860" s="854"/>
      <c r="AO860" s="854"/>
      <c r="AP860" s="854"/>
      <c r="AQ860" s="854"/>
      <c r="AR860" s="854"/>
      <c r="AS860" s="854"/>
      <c r="AT860" s="854"/>
      <c r="AU860" s="854"/>
      <c r="AV860" s="854"/>
      <c r="AW860" s="854"/>
      <c r="AX860" s="854"/>
      <c r="AY860" s="854"/>
      <c r="AZ860" s="854"/>
      <c r="BA860" s="854"/>
      <c r="BB860" s="854"/>
      <c r="BC860" s="854"/>
      <c r="BD860" s="854"/>
      <c r="BE860" s="854"/>
      <c r="BF860" s="854"/>
      <c r="BG860" s="854"/>
      <c r="BH860" s="854"/>
      <c r="BI860" s="854"/>
      <c r="BJ860" s="854"/>
      <c r="BK860" s="854"/>
      <c r="BL860" s="854"/>
      <c r="BM860" s="854"/>
      <c r="BN860" s="854"/>
      <c r="BO860" s="854"/>
      <c r="BP860" s="854"/>
      <c r="BQ860" s="854"/>
      <c r="BR860" s="854"/>
      <c r="BS860" s="854"/>
      <c r="BT860" s="854"/>
      <c r="BU860" s="854"/>
      <c r="BV860" s="854"/>
      <c r="BW860" s="854"/>
      <c r="BX860" s="854"/>
      <c r="BY860" s="854"/>
      <c r="BZ860" s="854"/>
      <c r="CA860" s="571">
        <f>IF(OR(I860="",I860&lt;'Configs &amp; Procedures'!$L$29),0,IF(I860&gt;'Configs &amp; Procedures'!$L$30,1,IF(F860&gt;'Configs &amp; Procedures'!$L$31,0,1)))</f>
        <v>0</v>
      </c>
    </row>
    <row r="861" spans="2:79">
      <c r="B861" s="854"/>
      <c r="C861" s="854"/>
      <c r="D861" s="854"/>
      <c r="E861" s="854"/>
      <c r="F861" s="854"/>
      <c r="G861" s="854"/>
      <c r="H861" s="854"/>
      <c r="I861" s="854"/>
      <c r="J861" s="854"/>
      <c r="K861" s="854"/>
      <c r="L861" s="854"/>
      <c r="M861" s="854"/>
      <c r="N861" s="854"/>
      <c r="O861" s="854"/>
      <c r="P861" s="854"/>
      <c r="Q861" s="854"/>
      <c r="R861" s="854"/>
      <c r="S861" s="854"/>
      <c r="T861" s="854"/>
      <c r="U861" s="854"/>
      <c r="V861" s="854"/>
      <c r="W861" s="854"/>
      <c r="X861" s="854"/>
      <c r="Y861" s="854"/>
      <c r="Z861" s="854"/>
      <c r="AA861" s="854"/>
      <c r="AB861" s="854"/>
      <c r="AC861" s="854"/>
      <c r="AD861" s="854"/>
      <c r="AE861" s="854"/>
      <c r="AF861" s="854"/>
      <c r="AG861" s="854"/>
      <c r="AH861" s="854"/>
      <c r="AI861" s="854"/>
      <c r="AJ861" s="854"/>
      <c r="AK861" s="854"/>
      <c r="AL861" s="854"/>
      <c r="AM861" s="854"/>
      <c r="AN861" s="854"/>
      <c r="AO861" s="854"/>
      <c r="AP861" s="854"/>
      <c r="AQ861" s="854"/>
      <c r="AR861" s="854"/>
      <c r="AS861" s="854"/>
      <c r="AT861" s="854"/>
      <c r="AU861" s="854"/>
      <c r="AV861" s="854"/>
      <c r="AW861" s="854"/>
      <c r="AX861" s="854"/>
      <c r="AY861" s="854"/>
      <c r="AZ861" s="854"/>
      <c r="BA861" s="854"/>
      <c r="BB861" s="854"/>
      <c r="BC861" s="854"/>
      <c r="BD861" s="854"/>
      <c r="BE861" s="854"/>
      <c r="BF861" s="854"/>
      <c r="BG861" s="854"/>
      <c r="BH861" s="854"/>
      <c r="BI861" s="854"/>
      <c r="BJ861" s="854"/>
      <c r="BK861" s="854"/>
      <c r="BL861" s="854"/>
      <c r="BM861" s="854"/>
      <c r="BN861" s="854"/>
      <c r="BO861" s="854"/>
      <c r="BP861" s="854"/>
      <c r="BQ861" s="854"/>
      <c r="BR861" s="854"/>
      <c r="BS861" s="854"/>
      <c r="BT861" s="854"/>
      <c r="BU861" s="854"/>
      <c r="BV861" s="854"/>
      <c r="BW861" s="854"/>
      <c r="BX861" s="854"/>
      <c r="BY861" s="854"/>
      <c r="BZ861" s="854"/>
      <c r="CA861" s="571">
        <f>IF(OR(I861="",I861&lt;'Configs &amp; Procedures'!$L$29),0,IF(I861&gt;'Configs &amp; Procedures'!$L$30,1,IF(F861&gt;'Configs &amp; Procedures'!$L$31,0,1)))</f>
        <v>0</v>
      </c>
    </row>
    <row r="862" spans="2:79">
      <c r="B862" s="854"/>
      <c r="C862" s="854"/>
      <c r="D862" s="854"/>
      <c r="E862" s="854"/>
      <c r="F862" s="854"/>
      <c r="G862" s="854"/>
      <c r="H862" s="854"/>
      <c r="I862" s="854"/>
      <c r="J862" s="854"/>
      <c r="K862" s="854"/>
      <c r="L862" s="854"/>
      <c r="M862" s="854"/>
      <c r="N862" s="854"/>
      <c r="O862" s="854"/>
      <c r="P862" s="854"/>
      <c r="Q862" s="854"/>
      <c r="R862" s="854"/>
      <c r="S862" s="854"/>
      <c r="T862" s="854"/>
      <c r="U862" s="854"/>
      <c r="V862" s="854"/>
      <c r="W862" s="854"/>
      <c r="X862" s="854"/>
      <c r="Y862" s="854"/>
      <c r="Z862" s="854"/>
      <c r="AA862" s="854"/>
      <c r="AB862" s="854"/>
      <c r="AC862" s="854"/>
      <c r="AD862" s="854"/>
      <c r="AE862" s="854"/>
      <c r="AF862" s="854"/>
      <c r="AG862" s="854"/>
      <c r="AH862" s="854"/>
      <c r="AI862" s="854"/>
      <c r="AJ862" s="854"/>
      <c r="AK862" s="854"/>
      <c r="AL862" s="854"/>
      <c r="AM862" s="854"/>
      <c r="AN862" s="854"/>
      <c r="AO862" s="854"/>
      <c r="AP862" s="854"/>
      <c r="AQ862" s="854"/>
      <c r="AR862" s="854"/>
      <c r="AS862" s="854"/>
      <c r="AT862" s="854"/>
      <c r="AU862" s="854"/>
      <c r="AV862" s="854"/>
      <c r="AW862" s="854"/>
      <c r="AX862" s="854"/>
      <c r="AY862" s="854"/>
      <c r="AZ862" s="854"/>
      <c r="BA862" s="854"/>
      <c r="BB862" s="854"/>
      <c r="BC862" s="854"/>
      <c r="BD862" s="854"/>
      <c r="BE862" s="854"/>
      <c r="BF862" s="854"/>
      <c r="BG862" s="854"/>
      <c r="BH862" s="854"/>
      <c r="BI862" s="854"/>
      <c r="BJ862" s="854"/>
      <c r="BK862" s="854"/>
      <c r="BL862" s="854"/>
      <c r="BM862" s="854"/>
      <c r="BN862" s="854"/>
      <c r="BO862" s="854"/>
      <c r="BP862" s="854"/>
      <c r="BQ862" s="854"/>
      <c r="BR862" s="854"/>
      <c r="BS862" s="854"/>
      <c r="BT862" s="854"/>
      <c r="BU862" s="854"/>
      <c r="BV862" s="854"/>
      <c r="BW862" s="854"/>
      <c r="BX862" s="854"/>
      <c r="BY862" s="854"/>
      <c r="BZ862" s="854"/>
      <c r="CA862" s="571">
        <f>IF(OR(I862="",I862&lt;'Configs &amp; Procedures'!$L$29),0,IF(I862&gt;'Configs &amp; Procedures'!$L$30,1,IF(F862&gt;'Configs &amp; Procedures'!$L$31,0,1)))</f>
        <v>0</v>
      </c>
    </row>
    <row r="863" spans="2:79">
      <c r="B863" s="854"/>
      <c r="C863" s="854"/>
      <c r="D863" s="854"/>
      <c r="E863" s="854"/>
      <c r="F863" s="854"/>
      <c r="G863" s="854"/>
      <c r="H863" s="854"/>
      <c r="I863" s="854"/>
      <c r="J863" s="854"/>
      <c r="K863" s="854"/>
      <c r="L863" s="854"/>
      <c r="M863" s="854"/>
      <c r="N863" s="854"/>
      <c r="O863" s="854"/>
      <c r="P863" s="854"/>
      <c r="Q863" s="854"/>
      <c r="R863" s="854"/>
      <c r="S863" s="854"/>
      <c r="T863" s="854"/>
      <c r="U863" s="854"/>
      <c r="V863" s="854"/>
      <c r="W863" s="854"/>
      <c r="X863" s="854"/>
      <c r="Y863" s="854"/>
      <c r="Z863" s="854"/>
      <c r="AA863" s="854"/>
      <c r="AB863" s="854"/>
      <c r="AC863" s="854"/>
      <c r="AD863" s="854"/>
      <c r="AE863" s="854"/>
      <c r="AF863" s="854"/>
      <c r="AG863" s="854"/>
      <c r="AH863" s="854"/>
      <c r="AI863" s="854"/>
      <c r="AJ863" s="854"/>
      <c r="AK863" s="854"/>
      <c r="AL863" s="854"/>
      <c r="AM863" s="854"/>
      <c r="AN863" s="854"/>
      <c r="AO863" s="854"/>
      <c r="AP863" s="854"/>
      <c r="AQ863" s="854"/>
      <c r="AR863" s="854"/>
      <c r="AS863" s="854"/>
      <c r="AT863" s="854"/>
      <c r="AU863" s="854"/>
      <c r="AV863" s="854"/>
      <c r="AW863" s="854"/>
      <c r="AX863" s="854"/>
      <c r="AY863" s="854"/>
      <c r="AZ863" s="854"/>
      <c r="BA863" s="854"/>
      <c r="BB863" s="854"/>
      <c r="BC863" s="854"/>
      <c r="BD863" s="854"/>
      <c r="BE863" s="854"/>
      <c r="BF863" s="854"/>
      <c r="BG863" s="854"/>
      <c r="BH863" s="854"/>
      <c r="BI863" s="854"/>
      <c r="BJ863" s="854"/>
      <c r="BK863" s="854"/>
      <c r="BL863" s="854"/>
      <c r="BM863" s="854"/>
      <c r="BN863" s="854"/>
      <c r="BO863" s="854"/>
      <c r="BP863" s="854"/>
      <c r="BQ863" s="854"/>
      <c r="BR863" s="854"/>
      <c r="BS863" s="854"/>
      <c r="BT863" s="854"/>
      <c r="BU863" s="854"/>
      <c r="BV863" s="854"/>
      <c r="BW863" s="854"/>
      <c r="BX863" s="854"/>
      <c r="BY863" s="854"/>
      <c r="BZ863" s="854"/>
      <c r="CA863" s="571">
        <f>IF(OR(I863="",I863&lt;'Configs &amp; Procedures'!$L$29),0,IF(I863&gt;'Configs &amp; Procedures'!$L$30,1,IF(F863&gt;'Configs &amp; Procedures'!$L$31,0,1)))</f>
        <v>0</v>
      </c>
    </row>
    <row r="864" spans="2:79">
      <c r="B864" s="854"/>
      <c r="C864" s="854"/>
      <c r="D864" s="854"/>
      <c r="E864" s="854"/>
      <c r="F864" s="854"/>
      <c r="G864" s="854"/>
      <c r="H864" s="854"/>
      <c r="I864" s="854"/>
      <c r="J864" s="854"/>
      <c r="K864" s="854"/>
      <c r="L864" s="854"/>
      <c r="M864" s="854"/>
      <c r="N864" s="854"/>
      <c r="O864" s="854"/>
      <c r="P864" s="854"/>
      <c r="Q864" s="854"/>
      <c r="R864" s="854"/>
      <c r="S864" s="854"/>
      <c r="T864" s="854"/>
      <c r="U864" s="854"/>
      <c r="V864" s="854"/>
      <c r="W864" s="854"/>
      <c r="X864" s="854"/>
      <c r="Y864" s="854"/>
      <c r="Z864" s="854"/>
      <c r="AA864" s="854"/>
      <c r="AB864" s="854"/>
      <c r="AC864" s="854"/>
      <c r="AD864" s="854"/>
      <c r="AE864" s="854"/>
      <c r="AF864" s="854"/>
      <c r="AG864" s="854"/>
      <c r="AH864" s="854"/>
      <c r="AI864" s="854"/>
      <c r="AJ864" s="854"/>
      <c r="AK864" s="854"/>
      <c r="AL864" s="854"/>
      <c r="AM864" s="854"/>
      <c r="AN864" s="854"/>
      <c r="AO864" s="854"/>
      <c r="AP864" s="854"/>
      <c r="AQ864" s="854"/>
      <c r="AR864" s="854"/>
      <c r="AS864" s="854"/>
      <c r="AT864" s="854"/>
      <c r="AU864" s="854"/>
      <c r="AV864" s="854"/>
      <c r="AW864" s="854"/>
      <c r="AX864" s="854"/>
      <c r="AY864" s="854"/>
      <c r="AZ864" s="854"/>
      <c r="BA864" s="854"/>
      <c r="BB864" s="854"/>
      <c r="BC864" s="854"/>
      <c r="BD864" s="854"/>
      <c r="BE864" s="854"/>
      <c r="BF864" s="854"/>
      <c r="BG864" s="854"/>
      <c r="BH864" s="854"/>
      <c r="BI864" s="854"/>
      <c r="BJ864" s="854"/>
      <c r="BK864" s="854"/>
      <c r="BL864" s="854"/>
      <c r="BM864" s="854"/>
      <c r="BN864" s="854"/>
      <c r="BO864" s="854"/>
      <c r="BP864" s="854"/>
      <c r="BQ864" s="854"/>
      <c r="BR864" s="854"/>
      <c r="BS864" s="854"/>
      <c r="BT864" s="854"/>
      <c r="BU864" s="854"/>
      <c r="BV864" s="854"/>
      <c r="BW864" s="854"/>
      <c r="BX864" s="854"/>
      <c r="BY864" s="854"/>
      <c r="BZ864" s="854"/>
      <c r="CA864" s="571">
        <f>IF(OR(I864="",I864&lt;'Configs &amp; Procedures'!$L$29),0,IF(I864&gt;'Configs &amp; Procedures'!$L$30,1,IF(F864&gt;'Configs &amp; Procedures'!$L$31,0,1)))</f>
        <v>0</v>
      </c>
    </row>
    <row r="865" spans="2:79">
      <c r="B865" s="854"/>
      <c r="C865" s="854"/>
      <c r="D865" s="854"/>
      <c r="E865" s="854"/>
      <c r="F865" s="854"/>
      <c r="G865" s="854"/>
      <c r="H865" s="854"/>
      <c r="I865" s="854"/>
      <c r="J865" s="854"/>
      <c r="K865" s="854"/>
      <c r="L865" s="854"/>
      <c r="M865" s="854"/>
      <c r="N865" s="854"/>
      <c r="O865" s="854"/>
      <c r="P865" s="854"/>
      <c r="Q865" s="854"/>
      <c r="R865" s="854"/>
      <c r="S865" s="854"/>
      <c r="T865" s="854"/>
      <c r="U865" s="854"/>
      <c r="V865" s="854"/>
      <c r="W865" s="854"/>
      <c r="X865" s="854"/>
      <c r="Y865" s="854"/>
      <c r="Z865" s="854"/>
      <c r="AA865" s="854"/>
      <c r="AB865" s="854"/>
      <c r="AC865" s="854"/>
      <c r="AD865" s="854"/>
      <c r="AE865" s="854"/>
      <c r="AF865" s="854"/>
      <c r="AG865" s="854"/>
      <c r="AH865" s="854"/>
      <c r="AI865" s="854"/>
      <c r="AJ865" s="854"/>
      <c r="AK865" s="854"/>
      <c r="AL865" s="854"/>
      <c r="AM865" s="854"/>
      <c r="AN865" s="854"/>
      <c r="AO865" s="854"/>
      <c r="AP865" s="854"/>
      <c r="AQ865" s="854"/>
      <c r="AR865" s="854"/>
      <c r="AS865" s="854"/>
      <c r="AT865" s="854"/>
      <c r="AU865" s="854"/>
      <c r="AV865" s="854"/>
      <c r="AW865" s="854"/>
      <c r="AX865" s="854"/>
      <c r="AY865" s="854"/>
      <c r="AZ865" s="854"/>
      <c r="BA865" s="854"/>
      <c r="BB865" s="854"/>
      <c r="BC865" s="854"/>
      <c r="BD865" s="854"/>
      <c r="BE865" s="854"/>
      <c r="BF865" s="854"/>
      <c r="BG865" s="854"/>
      <c r="BH865" s="854"/>
      <c r="BI865" s="854"/>
      <c r="BJ865" s="854"/>
      <c r="BK865" s="854"/>
      <c r="BL865" s="854"/>
      <c r="BM865" s="854"/>
      <c r="BN865" s="854"/>
      <c r="BO865" s="854"/>
      <c r="BP865" s="854"/>
      <c r="BQ865" s="854"/>
      <c r="BR865" s="854"/>
      <c r="BS865" s="854"/>
      <c r="BT865" s="854"/>
      <c r="BU865" s="854"/>
      <c r="BV865" s="854"/>
      <c r="BW865" s="854"/>
      <c r="BX865" s="854"/>
      <c r="BY865" s="854"/>
      <c r="BZ865" s="854"/>
      <c r="CA865" s="571">
        <f>IF(OR(I865="",I865&lt;'Configs &amp; Procedures'!$L$29),0,IF(I865&gt;'Configs &amp; Procedures'!$L$30,1,IF(F865&gt;'Configs &amp; Procedures'!$L$31,0,1)))</f>
        <v>0</v>
      </c>
    </row>
    <row r="866" spans="2:79">
      <c r="B866" s="854"/>
      <c r="C866" s="854"/>
      <c r="D866" s="854"/>
      <c r="E866" s="854"/>
      <c r="F866" s="854"/>
      <c r="G866" s="854"/>
      <c r="H866" s="854"/>
      <c r="I866" s="854"/>
      <c r="J866" s="854"/>
      <c r="K866" s="854"/>
      <c r="L866" s="854"/>
      <c r="M866" s="854"/>
      <c r="N866" s="854"/>
      <c r="O866" s="854"/>
      <c r="P866" s="854"/>
      <c r="Q866" s="854"/>
      <c r="R866" s="854"/>
      <c r="S866" s="854"/>
      <c r="T866" s="854"/>
      <c r="U866" s="854"/>
      <c r="V866" s="854"/>
      <c r="W866" s="854"/>
      <c r="X866" s="854"/>
      <c r="Y866" s="854"/>
      <c r="Z866" s="854"/>
      <c r="AA866" s="854"/>
      <c r="AB866" s="854"/>
      <c r="AC866" s="854"/>
      <c r="AD866" s="854"/>
      <c r="AE866" s="854"/>
      <c r="AF866" s="854"/>
      <c r="AG866" s="854"/>
      <c r="AH866" s="854"/>
      <c r="AI866" s="854"/>
      <c r="AJ866" s="854"/>
      <c r="AK866" s="854"/>
      <c r="AL866" s="854"/>
      <c r="AM866" s="854"/>
      <c r="AN866" s="854"/>
      <c r="AO866" s="854"/>
      <c r="AP866" s="854"/>
      <c r="AQ866" s="854"/>
      <c r="AR866" s="854"/>
      <c r="AS866" s="854"/>
      <c r="AT866" s="854"/>
      <c r="AU866" s="854"/>
      <c r="AV866" s="854"/>
      <c r="AW866" s="854"/>
      <c r="AX866" s="854"/>
      <c r="AY866" s="854"/>
      <c r="AZ866" s="854"/>
      <c r="BA866" s="854"/>
      <c r="BB866" s="854"/>
      <c r="BC866" s="854"/>
      <c r="BD866" s="854"/>
      <c r="BE866" s="854"/>
      <c r="BF866" s="854"/>
      <c r="BG866" s="854"/>
      <c r="BH866" s="854"/>
      <c r="BI866" s="854"/>
      <c r="BJ866" s="854"/>
      <c r="BK866" s="854"/>
      <c r="BL866" s="854"/>
      <c r="BM866" s="854"/>
      <c r="BN866" s="854"/>
      <c r="BO866" s="854"/>
      <c r="BP866" s="854"/>
      <c r="BQ866" s="854"/>
      <c r="BR866" s="854"/>
      <c r="BS866" s="854"/>
      <c r="BT866" s="854"/>
      <c r="BU866" s="854"/>
      <c r="BV866" s="854"/>
      <c r="BW866" s="854"/>
      <c r="BX866" s="854"/>
      <c r="BY866" s="854"/>
      <c r="BZ866" s="854"/>
      <c r="CA866" s="571">
        <f>IF(OR(I866="",I866&lt;'Configs &amp; Procedures'!$L$29),0,IF(I866&gt;'Configs &amp; Procedures'!$L$30,1,IF(F866&gt;'Configs &amp; Procedures'!$L$31,0,1)))</f>
        <v>0</v>
      </c>
    </row>
    <row r="867" spans="2:79">
      <c r="B867" s="854"/>
      <c r="C867" s="854"/>
      <c r="D867" s="854"/>
      <c r="E867" s="854"/>
      <c r="F867" s="854"/>
      <c r="G867" s="854"/>
      <c r="H867" s="854"/>
      <c r="I867" s="854"/>
      <c r="J867" s="854"/>
      <c r="K867" s="854"/>
      <c r="L867" s="854"/>
      <c r="M867" s="854"/>
      <c r="N867" s="854"/>
      <c r="O867" s="854"/>
      <c r="P867" s="854"/>
      <c r="Q867" s="854"/>
      <c r="R867" s="854"/>
      <c r="S867" s="854"/>
      <c r="T867" s="854"/>
      <c r="U867" s="854"/>
      <c r="V867" s="854"/>
      <c r="W867" s="854"/>
      <c r="X867" s="854"/>
      <c r="Y867" s="854"/>
      <c r="Z867" s="854"/>
      <c r="AA867" s="854"/>
      <c r="AB867" s="854"/>
      <c r="AC867" s="854"/>
      <c r="AD867" s="854"/>
      <c r="AE867" s="854"/>
      <c r="AF867" s="854"/>
      <c r="AG867" s="854"/>
      <c r="AH867" s="854"/>
      <c r="AI867" s="854"/>
      <c r="AJ867" s="854"/>
      <c r="AK867" s="854"/>
      <c r="AL867" s="854"/>
      <c r="AM867" s="854"/>
      <c r="AN867" s="854"/>
      <c r="AO867" s="854"/>
      <c r="AP867" s="854"/>
      <c r="AQ867" s="854"/>
      <c r="AR867" s="854"/>
      <c r="AS867" s="854"/>
      <c r="AT867" s="854"/>
      <c r="AU867" s="854"/>
      <c r="AV867" s="854"/>
      <c r="AW867" s="854"/>
      <c r="AX867" s="854"/>
      <c r="AY867" s="854"/>
      <c r="AZ867" s="854"/>
      <c r="BA867" s="854"/>
      <c r="BB867" s="854"/>
      <c r="BC867" s="854"/>
      <c r="BD867" s="854"/>
      <c r="BE867" s="854"/>
      <c r="BF867" s="854"/>
      <c r="BG867" s="854"/>
      <c r="BH867" s="854"/>
      <c r="BI867" s="854"/>
      <c r="BJ867" s="854"/>
      <c r="BK867" s="854"/>
      <c r="BL867" s="854"/>
      <c r="BM867" s="854"/>
      <c r="BN867" s="854"/>
      <c r="BO867" s="854"/>
      <c r="BP867" s="854"/>
      <c r="BQ867" s="854"/>
      <c r="BR867" s="854"/>
      <c r="BS867" s="854"/>
      <c r="BT867" s="854"/>
      <c r="BU867" s="854"/>
      <c r="BV867" s="854"/>
      <c r="BW867" s="854"/>
      <c r="BX867" s="854"/>
      <c r="BY867" s="854"/>
      <c r="BZ867" s="854"/>
      <c r="CA867" s="571">
        <f>IF(OR(I867="",I867&lt;'Configs &amp; Procedures'!$L$29),0,IF(I867&gt;'Configs &amp; Procedures'!$L$30,1,IF(F867&gt;'Configs &amp; Procedures'!$L$31,0,1)))</f>
        <v>0</v>
      </c>
    </row>
    <row r="868" spans="2:79">
      <c r="B868" s="854"/>
      <c r="C868" s="854"/>
      <c r="D868" s="854"/>
      <c r="E868" s="854"/>
      <c r="F868" s="854"/>
      <c r="G868" s="854"/>
      <c r="H868" s="854"/>
      <c r="I868" s="854"/>
      <c r="J868" s="854"/>
      <c r="K868" s="854"/>
      <c r="L868" s="854"/>
      <c r="M868" s="854"/>
      <c r="N868" s="854"/>
      <c r="O868" s="854"/>
      <c r="P868" s="854"/>
      <c r="Q868" s="854"/>
      <c r="R868" s="854"/>
      <c r="S868" s="854"/>
      <c r="T868" s="854"/>
      <c r="U868" s="854"/>
      <c r="V868" s="854"/>
      <c r="W868" s="854"/>
      <c r="X868" s="854"/>
      <c r="Y868" s="854"/>
      <c r="Z868" s="854"/>
      <c r="AA868" s="854"/>
      <c r="AB868" s="854"/>
      <c r="AC868" s="854"/>
      <c r="AD868" s="854"/>
      <c r="AE868" s="854"/>
      <c r="AF868" s="854"/>
      <c r="AG868" s="854"/>
      <c r="AH868" s="854"/>
      <c r="AI868" s="854"/>
      <c r="AJ868" s="854"/>
      <c r="AK868" s="854"/>
      <c r="AL868" s="854"/>
      <c r="AM868" s="854"/>
      <c r="AN868" s="854"/>
      <c r="AO868" s="854"/>
      <c r="AP868" s="854"/>
      <c r="AQ868" s="854"/>
      <c r="AR868" s="854"/>
      <c r="AS868" s="854"/>
      <c r="AT868" s="854"/>
      <c r="AU868" s="854"/>
      <c r="AV868" s="854"/>
      <c r="AW868" s="854"/>
      <c r="AX868" s="854"/>
      <c r="AY868" s="854"/>
      <c r="AZ868" s="854"/>
      <c r="BA868" s="854"/>
      <c r="BB868" s="854"/>
      <c r="BC868" s="854"/>
      <c r="BD868" s="854"/>
      <c r="BE868" s="854"/>
      <c r="BF868" s="854"/>
      <c r="BG868" s="854"/>
      <c r="BH868" s="854"/>
      <c r="BI868" s="854"/>
      <c r="BJ868" s="854"/>
      <c r="BK868" s="854"/>
      <c r="BL868" s="854"/>
      <c r="BM868" s="854"/>
      <c r="BN868" s="854"/>
      <c r="BO868" s="854"/>
      <c r="BP868" s="854"/>
      <c r="BQ868" s="854"/>
      <c r="BR868" s="854"/>
      <c r="BS868" s="854"/>
      <c r="BT868" s="854"/>
      <c r="BU868" s="854"/>
      <c r="BV868" s="854"/>
      <c r="BW868" s="854"/>
      <c r="BX868" s="854"/>
      <c r="BY868" s="854"/>
      <c r="BZ868" s="854"/>
      <c r="CA868" s="571">
        <f>IF(OR(I868="",I868&lt;'Configs &amp; Procedures'!$L$29),0,IF(I868&gt;'Configs &amp; Procedures'!$L$30,1,IF(F868&gt;'Configs &amp; Procedures'!$L$31,0,1)))</f>
        <v>0</v>
      </c>
    </row>
    <row r="869" spans="2:79">
      <c r="B869" s="854"/>
      <c r="C869" s="854"/>
      <c r="D869" s="854"/>
      <c r="E869" s="854"/>
      <c r="F869" s="854"/>
      <c r="G869" s="854"/>
      <c r="H869" s="854"/>
      <c r="I869" s="854"/>
      <c r="J869" s="854"/>
      <c r="K869" s="854"/>
      <c r="L869" s="854"/>
      <c r="M869" s="854"/>
      <c r="N869" s="854"/>
      <c r="O869" s="854"/>
      <c r="P869" s="854"/>
      <c r="Q869" s="854"/>
      <c r="R869" s="854"/>
      <c r="S869" s="854"/>
      <c r="T869" s="854"/>
      <c r="U869" s="854"/>
      <c r="V869" s="854"/>
      <c r="W869" s="854"/>
      <c r="X869" s="854"/>
      <c r="Y869" s="854"/>
      <c r="Z869" s="854"/>
      <c r="AA869" s="854"/>
      <c r="AB869" s="854"/>
      <c r="AC869" s="854"/>
      <c r="AD869" s="854"/>
      <c r="AE869" s="854"/>
      <c r="AF869" s="854"/>
      <c r="AG869" s="854"/>
      <c r="AH869" s="854"/>
      <c r="AI869" s="854"/>
      <c r="AJ869" s="854"/>
      <c r="AK869" s="854"/>
      <c r="AL869" s="854"/>
      <c r="AM869" s="854"/>
      <c r="AN869" s="854"/>
      <c r="AO869" s="854"/>
      <c r="AP869" s="854"/>
      <c r="AQ869" s="854"/>
      <c r="AR869" s="854"/>
      <c r="AS869" s="854"/>
      <c r="AT869" s="854"/>
      <c r="AU869" s="854"/>
      <c r="AV869" s="854"/>
      <c r="AW869" s="854"/>
      <c r="AX869" s="854"/>
      <c r="AY869" s="854"/>
      <c r="AZ869" s="854"/>
      <c r="BA869" s="854"/>
      <c r="BB869" s="854"/>
      <c r="BC869" s="854"/>
      <c r="BD869" s="854"/>
      <c r="BE869" s="854"/>
      <c r="BF869" s="854"/>
      <c r="BG869" s="854"/>
      <c r="BH869" s="854"/>
      <c r="BI869" s="854"/>
      <c r="BJ869" s="854"/>
      <c r="BK869" s="854"/>
      <c r="BL869" s="854"/>
      <c r="BM869" s="854"/>
      <c r="BN869" s="854"/>
      <c r="BO869" s="854"/>
      <c r="BP869" s="854"/>
      <c r="BQ869" s="854"/>
      <c r="BR869" s="854"/>
      <c r="BS869" s="854"/>
      <c r="BT869" s="854"/>
      <c r="BU869" s="854"/>
      <c r="BV869" s="854"/>
      <c r="BW869" s="854"/>
      <c r="BX869" s="854"/>
      <c r="BY869" s="854"/>
      <c r="BZ869" s="854"/>
      <c r="CA869" s="571">
        <f>IF(OR(I869="",I869&lt;'Configs &amp; Procedures'!$L$29),0,IF(I869&gt;'Configs &amp; Procedures'!$L$30,1,IF(F869&gt;'Configs &amp; Procedures'!$L$31,0,1)))</f>
        <v>0</v>
      </c>
    </row>
    <row r="870" spans="2:79">
      <c r="B870" s="854"/>
      <c r="C870" s="854"/>
      <c r="D870" s="854"/>
      <c r="E870" s="854"/>
      <c r="F870" s="854"/>
      <c r="G870" s="854"/>
      <c r="H870" s="854"/>
      <c r="I870" s="854"/>
      <c r="J870" s="854"/>
      <c r="K870" s="854"/>
      <c r="L870" s="854"/>
      <c r="M870" s="854"/>
      <c r="N870" s="854"/>
      <c r="O870" s="854"/>
      <c r="P870" s="854"/>
      <c r="Q870" s="854"/>
      <c r="R870" s="854"/>
      <c r="S870" s="854"/>
      <c r="T870" s="854"/>
      <c r="U870" s="854"/>
      <c r="V870" s="854"/>
      <c r="W870" s="854"/>
      <c r="X870" s="854"/>
      <c r="Y870" s="854"/>
      <c r="Z870" s="854"/>
      <c r="AA870" s="854"/>
      <c r="AB870" s="854"/>
      <c r="AC870" s="854"/>
      <c r="AD870" s="854"/>
      <c r="AE870" s="854"/>
      <c r="AF870" s="854"/>
      <c r="AG870" s="854"/>
      <c r="AH870" s="854"/>
      <c r="AI870" s="854"/>
      <c r="AJ870" s="854"/>
      <c r="AK870" s="854"/>
      <c r="AL870" s="854"/>
      <c r="AM870" s="854"/>
      <c r="AN870" s="854"/>
      <c r="AO870" s="854"/>
      <c r="AP870" s="854"/>
      <c r="AQ870" s="854"/>
      <c r="AR870" s="854"/>
      <c r="AS870" s="854"/>
      <c r="AT870" s="854"/>
      <c r="AU870" s="854"/>
      <c r="AV870" s="854"/>
      <c r="AW870" s="854"/>
      <c r="AX870" s="854"/>
      <c r="AY870" s="854"/>
      <c r="AZ870" s="854"/>
      <c r="BA870" s="854"/>
      <c r="BB870" s="854"/>
      <c r="BC870" s="854"/>
      <c r="BD870" s="854"/>
      <c r="BE870" s="854"/>
      <c r="BF870" s="854"/>
      <c r="BG870" s="854"/>
      <c r="BH870" s="854"/>
      <c r="BI870" s="854"/>
      <c r="BJ870" s="854"/>
      <c r="BK870" s="854"/>
      <c r="BL870" s="854"/>
      <c r="BM870" s="854"/>
      <c r="BN870" s="854"/>
      <c r="BO870" s="854"/>
      <c r="BP870" s="854"/>
      <c r="BQ870" s="854"/>
      <c r="BR870" s="854"/>
      <c r="BS870" s="854"/>
      <c r="BT870" s="854"/>
      <c r="BU870" s="854"/>
      <c r="BV870" s="854"/>
      <c r="BW870" s="854"/>
      <c r="BX870" s="854"/>
      <c r="BY870" s="854"/>
      <c r="BZ870" s="854"/>
      <c r="CA870" s="571">
        <f>IF(OR(I870="",I870&lt;'Configs &amp; Procedures'!$L$29),0,IF(I870&gt;'Configs &amp; Procedures'!$L$30,1,IF(F870&gt;'Configs &amp; Procedures'!$L$31,0,1)))</f>
        <v>0</v>
      </c>
    </row>
    <row r="871" spans="2:79">
      <c r="B871" s="854"/>
      <c r="C871" s="854"/>
      <c r="D871" s="854"/>
      <c r="E871" s="854"/>
      <c r="F871" s="854"/>
      <c r="G871" s="854"/>
      <c r="H871" s="854"/>
      <c r="I871" s="854"/>
      <c r="J871" s="854"/>
      <c r="K871" s="854"/>
      <c r="L871" s="854"/>
      <c r="M871" s="854"/>
      <c r="N871" s="854"/>
      <c r="O871" s="854"/>
      <c r="P871" s="854"/>
      <c r="Q871" s="854"/>
      <c r="R871" s="854"/>
      <c r="S871" s="854"/>
      <c r="T871" s="854"/>
      <c r="U871" s="854"/>
      <c r="V871" s="854"/>
      <c r="W871" s="854"/>
      <c r="X871" s="854"/>
      <c r="Y871" s="854"/>
      <c r="Z871" s="854"/>
      <c r="AA871" s="854"/>
      <c r="AB871" s="854"/>
      <c r="AC871" s="854"/>
      <c r="AD871" s="854"/>
      <c r="AE871" s="854"/>
      <c r="AF871" s="854"/>
      <c r="AG871" s="854"/>
      <c r="AH871" s="854"/>
      <c r="AI871" s="854"/>
      <c r="AJ871" s="854"/>
      <c r="AK871" s="854"/>
      <c r="AL871" s="854"/>
      <c r="AM871" s="854"/>
      <c r="AN871" s="854"/>
      <c r="AO871" s="854"/>
      <c r="AP871" s="854"/>
      <c r="AQ871" s="854"/>
      <c r="AR871" s="854"/>
      <c r="AS871" s="854"/>
      <c r="AT871" s="854"/>
      <c r="AU871" s="854"/>
      <c r="AV871" s="854"/>
      <c r="AW871" s="854"/>
      <c r="AX871" s="854"/>
      <c r="AY871" s="854"/>
      <c r="AZ871" s="854"/>
      <c r="BA871" s="854"/>
      <c r="BB871" s="854"/>
      <c r="BC871" s="854"/>
      <c r="BD871" s="854"/>
      <c r="BE871" s="854"/>
      <c r="BF871" s="854"/>
      <c r="BG871" s="854"/>
      <c r="BH871" s="854"/>
      <c r="BI871" s="854"/>
      <c r="BJ871" s="854"/>
      <c r="BK871" s="854"/>
      <c r="BL871" s="854"/>
      <c r="BM871" s="854"/>
      <c r="BN871" s="854"/>
      <c r="BO871" s="854"/>
      <c r="BP871" s="854"/>
      <c r="BQ871" s="854"/>
      <c r="BR871" s="854"/>
      <c r="BS871" s="854"/>
      <c r="BT871" s="854"/>
      <c r="BU871" s="854"/>
      <c r="BV871" s="854"/>
      <c r="BW871" s="854"/>
      <c r="BX871" s="854"/>
      <c r="BY871" s="854"/>
      <c r="BZ871" s="854"/>
      <c r="CA871" s="571">
        <f>IF(OR(I871="",I871&lt;'Configs &amp; Procedures'!$L$29),0,IF(I871&gt;'Configs &amp; Procedures'!$L$30,1,IF(F871&gt;'Configs &amp; Procedures'!$L$31,0,1)))</f>
        <v>0</v>
      </c>
    </row>
    <row r="872" spans="2:79">
      <c r="B872" s="854"/>
      <c r="C872" s="854"/>
      <c r="D872" s="854"/>
      <c r="E872" s="854"/>
      <c r="F872" s="854"/>
      <c r="G872" s="854"/>
      <c r="H872" s="854"/>
      <c r="I872" s="854"/>
      <c r="J872" s="854"/>
      <c r="K872" s="854"/>
      <c r="L872" s="854"/>
      <c r="M872" s="854"/>
      <c r="N872" s="854"/>
      <c r="O872" s="854"/>
      <c r="P872" s="854"/>
      <c r="Q872" s="854"/>
      <c r="R872" s="854"/>
      <c r="S872" s="854"/>
      <c r="T872" s="854"/>
      <c r="U872" s="854"/>
      <c r="V872" s="854"/>
      <c r="W872" s="854"/>
      <c r="X872" s="854"/>
      <c r="Y872" s="854"/>
      <c r="Z872" s="854"/>
      <c r="AA872" s="854"/>
      <c r="AB872" s="854"/>
      <c r="AC872" s="854"/>
      <c r="AD872" s="854"/>
      <c r="AE872" s="854"/>
      <c r="AF872" s="854"/>
      <c r="AG872" s="854"/>
      <c r="AH872" s="854"/>
      <c r="AI872" s="854"/>
      <c r="AJ872" s="854"/>
      <c r="AK872" s="854"/>
      <c r="AL872" s="854"/>
      <c r="AM872" s="854"/>
      <c r="AN872" s="854"/>
      <c r="AO872" s="854"/>
      <c r="AP872" s="854"/>
      <c r="AQ872" s="854"/>
      <c r="AR872" s="854"/>
      <c r="AS872" s="854"/>
      <c r="AT872" s="854"/>
      <c r="AU872" s="854"/>
      <c r="AV872" s="854"/>
      <c r="AW872" s="854"/>
      <c r="AX872" s="854"/>
      <c r="AY872" s="854"/>
      <c r="AZ872" s="854"/>
      <c r="BA872" s="854"/>
      <c r="BB872" s="854"/>
      <c r="BC872" s="854"/>
      <c r="BD872" s="854"/>
      <c r="BE872" s="854"/>
      <c r="BF872" s="854"/>
      <c r="BG872" s="854"/>
      <c r="BH872" s="854"/>
      <c r="BI872" s="854"/>
      <c r="BJ872" s="854"/>
      <c r="BK872" s="854"/>
      <c r="BL872" s="854"/>
      <c r="BM872" s="854"/>
      <c r="BN872" s="854"/>
      <c r="BO872" s="854"/>
      <c r="BP872" s="854"/>
      <c r="BQ872" s="854"/>
      <c r="BR872" s="854"/>
      <c r="BS872" s="854"/>
      <c r="BT872" s="854"/>
      <c r="BU872" s="854"/>
      <c r="BV872" s="854"/>
      <c r="BW872" s="854"/>
      <c r="BX872" s="854"/>
      <c r="BY872" s="854"/>
      <c r="BZ872" s="854"/>
      <c r="CA872" s="571">
        <f>IF(OR(I872="",I872&lt;'Configs &amp; Procedures'!$L$29),0,IF(I872&gt;'Configs &amp; Procedures'!$L$30,1,IF(F872&gt;'Configs &amp; Procedures'!$L$31,0,1)))</f>
        <v>0</v>
      </c>
    </row>
    <row r="873" spans="2:79">
      <c r="B873" s="854"/>
      <c r="C873" s="854"/>
      <c r="D873" s="854"/>
      <c r="E873" s="854"/>
      <c r="F873" s="854"/>
      <c r="G873" s="854"/>
      <c r="H873" s="854"/>
      <c r="I873" s="854"/>
      <c r="J873" s="854"/>
      <c r="K873" s="854"/>
      <c r="L873" s="854"/>
      <c r="M873" s="854"/>
      <c r="N873" s="854"/>
      <c r="O873" s="854"/>
      <c r="P873" s="854"/>
      <c r="Q873" s="854"/>
      <c r="R873" s="854"/>
      <c r="S873" s="854"/>
      <c r="T873" s="854"/>
      <c r="U873" s="854"/>
      <c r="V873" s="854"/>
      <c r="W873" s="854"/>
      <c r="X873" s="854"/>
      <c r="Y873" s="854"/>
      <c r="Z873" s="854"/>
      <c r="AA873" s="854"/>
      <c r="AB873" s="854"/>
      <c r="AC873" s="854"/>
      <c r="AD873" s="854"/>
      <c r="AE873" s="854"/>
      <c r="AF873" s="854"/>
      <c r="AG873" s="854"/>
      <c r="AH873" s="854"/>
      <c r="AI873" s="854"/>
      <c r="AJ873" s="854"/>
      <c r="AK873" s="854"/>
      <c r="AL873" s="854"/>
      <c r="AM873" s="854"/>
      <c r="AN873" s="854"/>
      <c r="AO873" s="854"/>
      <c r="AP873" s="854"/>
      <c r="AQ873" s="854"/>
      <c r="AR873" s="854"/>
      <c r="AS873" s="854"/>
      <c r="AT873" s="854"/>
      <c r="AU873" s="854"/>
      <c r="AV873" s="854"/>
      <c r="AW873" s="854"/>
      <c r="AX873" s="854"/>
      <c r="AY873" s="854"/>
      <c r="AZ873" s="854"/>
      <c r="BA873" s="854"/>
      <c r="BB873" s="854"/>
      <c r="BC873" s="854"/>
      <c r="BD873" s="854"/>
      <c r="BE873" s="854"/>
      <c r="BF873" s="854"/>
      <c r="BG873" s="854"/>
      <c r="BH873" s="854"/>
      <c r="BI873" s="854"/>
      <c r="BJ873" s="854"/>
      <c r="BK873" s="854"/>
      <c r="BL873" s="854"/>
      <c r="BM873" s="854"/>
      <c r="BN873" s="854"/>
      <c r="BO873" s="854"/>
      <c r="BP873" s="854"/>
      <c r="BQ873" s="854"/>
      <c r="BR873" s="854"/>
      <c r="BS873" s="854"/>
      <c r="BT873" s="854"/>
      <c r="BU873" s="854"/>
      <c r="BV873" s="854"/>
      <c r="BW873" s="854"/>
      <c r="BX873" s="854"/>
      <c r="BY873" s="854"/>
      <c r="BZ873" s="854"/>
      <c r="CA873" s="571">
        <f>IF(OR(I873="",I873&lt;'Configs &amp; Procedures'!$L$29),0,IF(I873&gt;'Configs &amp; Procedures'!$L$30,1,IF(F873&gt;'Configs &amp; Procedures'!$L$31,0,1)))</f>
        <v>0</v>
      </c>
    </row>
    <row r="874" spans="2:79">
      <c r="B874" s="854"/>
      <c r="C874" s="854"/>
      <c r="D874" s="854"/>
      <c r="E874" s="854"/>
      <c r="F874" s="854"/>
      <c r="G874" s="854"/>
      <c r="H874" s="854"/>
      <c r="I874" s="854"/>
      <c r="J874" s="854"/>
      <c r="K874" s="854"/>
      <c r="L874" s="854"/>
      <c r="M874" s="854"/>
      <c r="N874" s="854"/>
      <c r="O874" s="854"/>
      <c r="P874" s="854"/>
      <c r="Q874" s="854"/>
      <c r="R874" s="854"/>
      <c r="S874" s="854"/>
      <c r="T874" s="854"/>
      <c r="U874" s="854"/>
      <c r="V874" s="854"/>
      <c r="W874" s="854"/>
      <c r="X874" s="854"/>
      <c r="Y874" s="854"/>
      <c r="Z874" s="854"/>
      <c r="AA874" s="854"/>
      <c r="AB874" s="854"/>
      <c r="AC874" s="854"/>
      <c r="AD874" s="854"/>
      <c r="AE874" s="854"/>
      <c r="AF874" s="854"/>
      <c r="AG874" s="854"/>
      <c r="AH874" s="854"/>
      <c r="AI874" s="854"/>
      <c r="AJ874" s="854"/>
      <c r="AK874" s="854"/>
      <c r="AL874" s="854"/>
      <c r="AM874" s="854"/>
      <c r="AN874" s="854"/>
      <c r="AO874" s="854"/>
      <c r="AP874" s="854"/>
      <c r="AQ874" s="854"/>
      <c r="AR874" s="854"/>
      <c r="AS874" s="854"/>
      <c r="AT874" s="854"/>
      <c r="AU874" s="854"/>
      <c r="AV874" s="854"/>
      <c r="AW874" s="854"/>
      <c r="AX874" s="854"/>
      <c r="AY874" s="854"/>
      <c r="AZ874" s="854"/>
      <c r="BA874" s="854"/>
      <c r="BB874" s="854"/>
      <c r="BC874" s="854"/>
      <c r="BD874" s="854"/>
      <c r="BE874" s="854"/>
      <c r="BF874" s="854"/>
      <c r="BG874" s="854"/>
      <c r="BH874" s="854"/>
      <c r="BI874" s="854"/>
      <c r="BJ874" s="854"/>
      <c r="BK874" s="854"/>
      <c r="BL874" s="854"/>
      <c r="BM874" s="854"/>
      <c r="BN874" s="854"/>
      <c r="BO874" s="854"/>
      <c r="BP874" s="854"/>
      <c r="BQ874" s="854"/>
      <c r="BR874" s="854"/>
      <c r="BS874" s="854"/>
      <c r="BT874" s="854"/>
      <c r="BU874" s="854"/>
      <c r="BV874" s="854"/>
      <c r="BW874" s="854"/>
      <c r="BX874" s="854"/>
      <c r="BY874" s="854"/>
      <c r="BZ874" s="854"/>
      <c r="CA874" s="571">
        <f>IF(OR(I874="",I874&lt;'Configs &amp; Procedures'!$L$29),0,IF(I874&gt;'Configs &amp; Procedures'!$L$30,1,IF(F874&gt;'Configs &amp; Procedures'!$L$31,0,1)))</f>
        <v>0</v>
      </c>
    </row>
    <row r="875" spans="2:79">
      <c r="B875" s="854"/>
      <c r="C875" s="854"/>
      <c r="D875" s="854"/>
      <c r="E875" s="854"/>
      <c r="F875" s="854"/>
      <c r="G875" s="854"/>
      <c r="H875" s="854"/>
      <c r="I875" s="854"/>
      <c r="J875" s="854"/>
      <c r="K875" s="854"/>
      <c r="L875" s="854"/>
      <c r="M875" s="854"/>
      <c r="N875" s="854"/>
      <c r="O875" s="854"/>
      <c r="P875" s="854"/>
      <c r="Q875" s="854"/>
      <c r="R875" s="854"/>
      <c r="S875" s="854"/>
      <c r="T875" s="854"/>
      <c r="U875" s="854"/>
      <c r="V875" s="854"/>
      <c r="W875" s="854"/>
      <c r="X875" s="854"/>
      <c r="Y875" s="854"/>
      <c r="Z875" s="854"/>
      <c r="AA875" s="854"/>
      <c r="AB875" s="854"/>
      <c r="AC875" s="854"/>
      <c r="AD875" s="854"/>
      <c r="AE875" s="854"/>
      <c r="AF875" s="854"/>
      <c r="AG875" s="854"/>
      <c r="AH875" s="854"/>
      <c r="AI875" s="854"/>
      <c r="AJ875" s="854"/>
      <c r="AK875" s="854"/>
      <c r="AL875" s="854"/>
      <c r="AM875" s="854"/>
      <c r="AN875" s="854"/>
      <c r="AO875" s="854"/>
      <c r="AP875" s="854"/>
      <c r="AQ875" s="854"/>
      <c r="AR875" s="854"/>
      <c r="AS875" s="854"/>
      <c r="AT875" s="854"/>
      <c r="AU875" s="854"/>
      <c r="AV875" s="854"/>
      <c r="AW875" s="854"/>
      <c r="AX875" s="854"/>
      <c r="AY875" s="854"/>
      <c r="AZ875" s="854"/>
      <c r="BA875" s="854"/>
      <c r="BB875" s="854"/>
      <c r="BC875" s="854"/>
      <c r="BD875" s="854"/>
      <c r="BE875" s="854"/>
      <c r="BF875" s="854"/>
      <c r="BG875" s="854"/>
      <c r="BH875" s="854"/>
      <c r="BI875" s="854"/>
      <c r="BJ875" s="854"/>
      <c r="BK875" s="854"/>
      <c r="BL875" s="854"/>
      <c r="BM875" s="854"/>
      <c r="BN875" s="854"/>
      <c r="BO875" s="854"/>
      <c r="BP875" s="854"/>
      <c r="BQ875" s="854"/>
      <c r="BR875" s="854"/>
      <c r="BS875" s="854"/>
      <c r="BT875" s="854"/>
      <c r="BU875" s="854"/>
      <c r="BV875" s="854"/>
      <c r="BW875" s="854"/>
      <c r="BX875" s="854"/>
      <c r="BY875" s="854"/>
      <c r="BZ875" s="854"/>
      <c r="CA875" s="571">
        <f>IF(OR(I875="",I875&lt;'Configs &amp; Procedures'!$L$29),0,IF(I875&gt;'Configs &amp; Procedures'!$L$30,1,IF(F875&gt;'Configs &amp; Procedures'!$L$31,0,1)))</f>
        <v>0</v>
      </c>
    </row>
    <row r="876" spans="2:79">
      <c r="B876" s="854"/>
      <c r="C876" s="854"/>
      <c r="D876" s="854"/>
      <c r="E876" s="854"/>
      <c r="F876" s="854"/>
      <c r="G876" s="854"/>
      <c r="H876" s="854"/>
      <c r="I876" s="854"/>
      <c r="J876" s="854"/>
      <c r="K876" s="854"/>
      <c r="L876" s="854"/>
      <c r="M876" s="854"/>
      <c r="N876" s="854"/>
      <c r="O876" s="854"/>
      <c r="P876" s="854"/>
      <c r="Q876" s="854"/>
      <c r="R876" s="854"/>
      <c r="S876" s="854"/>
      <c r="T876" s="854"/>
      <c r="U876" s="854"/>
      <c r="V876" s="854"/>
      <c r="W876" s="854"/>
      <c r="X876" s="854"/>
      <c r="Y876" s="854"/>
      <c r="Z876" s="854"/>
      <c r="AA876" s="854"/>
      <c r="AB876" s="854"/>
      <c r="AC876" s="854"/>
      <c r="AD876" s="854"/>
      <c r="AE876" s="854"/>
      <c r="AF876" s="854"/>
      <c r="AG876" s="854"/>
      <c r="AH876" s="854"/>
      <c r="AI876" s="854"/>
      <c r="AJ876" s="854"/>
      <c r="AK876" s="854"/>
      <c r="AL876" s="854"/>
      <c r="AM876" s="854"/>
      <c r="AN876" s="854"/>
      <c r="AO876" s="854"/>
      <c r="AP876" s="854"/>
      <c r="AQ876" s="854"/>
      <c r="AR876" s="854"/>
      <c r="AS876" s="854"/>
      <c r="AT876" s="854"/>
      <c r="AU876" s="854"/>
      <c r="AV876" s="854"/>
      <c r="AW876" s="854"/>
      <c r="AX876" s="854"/>
      <c r="AY876" s="854"/>
      <c r="AZ876" s="854"/>
      <c r="BA876" s="854"/>
      <c r="BB876" s="854"/>
      <c r="BC876" s="854"/>
      <c r="BD876" s="854"/>
      <c r="BE876" s="854"/>
      <c r="BF876" s="854"/>
      <c r="BG876" s="854"/>
      <c r="BH876" s="854"/>
      <c r="BI876" s="854"/>
      <c r="BJ876" s="854"/>
      <c r="BK876" s="854"/>
      <c r="BL876" s="854"/>
      <c r="BM876" s="854"/>
      <c r="BN876" s="854"/>
      <c r="BO876" s="854"/>
      <c r="BP876" s="854"/>
      <c r="BQ876" s="854"/>
      <c r="BR876" s="854"/>
      <c r="BS876" s="854"/>
      <c r="BT876" s="854"/>
      <c r="BU876" s="854"/>
      <c r="BV876" s="854"/>
      <c r="BW876" s="854"/>
      <c r="BX876" s="854"/>
      <c r="BY876" s="854"/>
      <c r="BZ876" s="854"/>
      <c r="CA876" s="571">
        <f>IF(OR(I876="",I876&lt;'Configs &amp; Procedures'!$L$29),0,IF(I876&gt;'Configs &amp; Procedures'!$L$30,1,IF(F876&gt;'Configs &amp; Procedures'!$L$31,0,1)))</f>
        <v>0</v>
      </c>
    </row>
    <row r="877" spans="2:79">
      <c r="B877" s="854"/>
      <c r="C877" s="854"/>
      <c r="D877" s="854"/>
      <c r="E877" s="854"/>
      <c r="F877" s="854"/>
      <c r="G877" s="854"/>
      <c r="H877" s="854"/>
      <c r="I877" s="854"/>
      <c r="J877" s="854"/>
      <c r="K877" s="854"/>
      <c r="L877" s="854"/>
      <c r="M877" s="854"/>
      <c r="N877" s="854"/>
      <c r="O877" s="854"/>
      <c r="P877" s="854"/>
      <c r="Q877" s="854"/>
      <c r="R877" s="854"/>
      <c r="S877" s="854"/>
      <c r="T877" s="854"/>
      <c r="U877" s="854"/>
      <c r="V877" s="854"/>
      <c r="W877" s="854"/>
      <c r="X877" s="854"/>
      <c r="Y877" s="854"/>
      <c r="Z877" s="854"/>
      <c r="AA877" s="854"/>
      <c r="AB877" s="854"/>
      <c r="AC877" s="854"/>
      <c r="AD877" s="854"/>
      <c r="AE877" s="854"/>
      <c r="AF877" s="854"/>
      <c r="AG877" s="854"/>
      <c r="AH877" s="854"/>
      <c r="AI877" s="854"/>
      <c r="AJ877" s="854"/>
      <c r="AK877" s="854"/>
      <c r="AL877" s="854"/>
      <c r="AM877" s="854"/>
      <c r="AN877" s="854"/>
      <c r="AO877" s="854"/>
      <c r="AP877" s="854"/>
      <c r="AQ877" s="854"/>
      <c r="AR877" s="854"/>
      <c r="AS877" s="854"/>
      <c r="AT877" s="854"/>
      <c r="AU877" s="854"/>
      <c r="AV877" s="854"/>
      <c r="AW877" s="854"/>
      <c r="AX877" s="854"/>
      <c r="AY877" s="854"/>
      <c r="AZ877" s="854"/>
      <c r="BA877" s="854"/>
      <c r="BB877" s="854"/>
      <c r="BC877" s="854"/>
      <c r="BD877" s="854"/>
      <c r="BE877" s="854"/>
      <c r="BF877" s="854"/>
      <c r="BG877" s="854"/>
      <c r="BH877" s="854"/>
      <c r="BI877" s="854"/>
      <c r="BJ877" s="854"/>
      <c r="BK877" s="854"/>
      <c r="BL877" s="854"/>
      <c r="BM877" s="854"/>
      <c r="BN877" s="854"/>
      <c r="BO877" s="854"/>
      <c r="BP877" s="854"/>
      <c r="BQ877" s="854"/>
      <c r="BR877" s="854"/>
      <c r="BS877" s="854"/>
      <c r="BT877" s="854"/>
      <c r="BU877" s="854"/>
      <c r="BV877" s="854"/>
      <c r="BW877" s="854"/>
      <c r="BX877" s="854"/>
      <c r="BY877" s="854"/>
      <c r="BZ877" s="854"/>
      <c r="CA877" s="571">
        <f>IF(OR(I877="",I877&lt;'Configs &amp; Procedures'!$L$29),0,IF(I877&gt;'Configs &amp; Procedures'!$L$30,1,IF(F877&gt;'Configs &amp; Procedures'!$L$31,0,1)))</f>
        <v>0</v>
      </c>
    </row>
    <row r="878" spans="2:79">
      <c r="B878" s="854"/>
      <c r="C878" s="854"/>
      <c r="D878" s="854"/>
      <c r="E878" s="854"/>
      <c r="F878" s="854"/>
      <c r="G878" s="854"/>
      <c r="H878" s="854"/>
      <c r="I878" s="854"/>
      <c r="J878" s="854"/>
      <c r="K878" s="854"/>
      <c r="L878" s="854"/>
      <c r="M878" s="854"/>
      <c r="N878" s="854"/>
      <c r="O878" s="854"/>
      <c r="P878" s="854"/>
      <c r="Q878" s="854"/>
      <c r="R878" s="854"/>
      <c r="S878" s="854"/>
      <c r="T878" s="854"/>
      <c r="U878" s="854"/>
      <c r="V878" s="854"/>
      <c r="W878" s="854"/>
      <c r="X878" s="854"/>
      <c r="Y878" s="854"/>
      <c r="Z878" s="854"/>
      <c r="AA878" s="854"/>
      <c r="AB878" s="854"/>
      <c r="AC878" s="854"/>
      <c r="AD878" s="854"/>
      <c r="AE878" s="854"/>
      <c r="AF878" s="854"/>
      <c r="AG878" s="854"/>
      <c r="AH878" s="854"/>
      <c r="AI878" s="854"/>
      <c r="AJ878" s="854"/>
      <c r="AK878" s="854"/>
      <c r="AL878" s="854"/>
      <c r="AM878" s="854"/>
      <c r="AN878" s="854"/>
      <c r="AO878" s="854"/>
      <c r="AP878" s="854"/>
      <c r="AQ878" s="854"/>
      <c r="AR878" s="854"/>
      <c r="AS878" s="854"/>
      <c r="AT878" s="854"/>
      <c r="AU878" s="854"/>
      <c r="AV878" s="854"/>
      <c r="AW878" s="854"/>
      <c r="AX878" s="854"/>
      <c r="AY878" s="854"/>
      <c r="AZ878" s="854"/>
      <c r="BA878" s="854"/>
      <c r="BB878" s="854"/>
      <c r="BC878" s="854"/>
      <c r="BD878" s="854"/>
      <c r="BE878" s="854"/>
      <c r="BF878" s="854"/>
      <c r="BG878" s="854"/>
      <c r="BH878" s="854"/>
      <c r="BI878" s="854"/>
      <c r="BJ878" s="854"/>
      <c r="BK878" s="854"/>
      <c r="BL878" s="854"/>
      <c r="BM878" s="854"/>
      <c r="BN878" s="854"/>
      <c r="BO878" s="854"/>
      <c r="BP878" s="854"/>
      <c r="BQ878" s="854"/>
      <c r="BR878" s="854"/>
      <c r="BS878" s="854"/>
      <c r="BT878" s="854"/>
      <c r="BU878" s="854"/>
      <c r="BV878" s="854"/>
      <c r="BW878" s="854"/>
      <c r="BX878" s="854"/>
      <c r="BY878" s="854"/>
      <c r="BZ878" s="854"/>
      <c r="CA878" s="571">
        <f>IF(OR(I878="",I878&lt;'Configs &amp; Procedures'!$L$29),0,IF(I878&gt;'Configs &amp; Procedures'!$L$30,1,IF(F878&gt;'Configs &amp; Procedures'!$L$31,0,1)))</f>
        <v>0</v>
      </c>
    </row>
    <row r="879" spans="2:79">
      <c r="B879" s="854"/>
      <c r="C879" s="854"/>
      <c r="D879" s="854"/>
      <c r="E879" s="854"/>
      <c r="F879" s="854"/>
      <c r="G879" s="854"/>
      <c r="H879" s="854"/>
      <c r="I879" s="854"/>
      <c r="J879" s="854"/>
      <c r="K879" s="854"/>
      <c r="L879" s="854"/>
      <c r="M879" s="854"/>
      <c r="N879" s="854"/>
      <c r="O879" s="854"/>
      <c r="P879" s="854"/>
      <c r="Q879" s="854"/>
      <c r="R879" s="854"/>
      <c r="S879" s="854"/>
      <c r="T879" s="854"/>
      <c r="U879" s="854"/>
      <c r="V879" s="854"/>
      <c r="W879" s="854"/>
      <c r="X879" s="854"/>
      <c r="Y879" s="854"/>
      <c r="Z879" s="854"/>
      <c r="AA879" s="854"/>
      <c r="AB879" s="854"/>
      <c r="AC879" s="854"/>
      <c r="AD879" s="854"/>
      <c r="AE879" s="854"/>
      <c r="AF879" s="854"/>
      <c r="AG879" s="854"/>
      <c r="AH879" s="854"/>
      <c r="AI879" s="854"/>
      <c r="AJ879" s="854"/>
      <c r="AK879" s="854"/>
      <c r="AL879" s="854"/>
      <c r="AM879" s="854"/>
      <c r="AN879" s="854"/>
      <c r="AO879" s="854"/>
      <c r="AP879" s="854"/>
      <c r="AQ879" s="854"/>
      <c r="AR879" s="854"/>
      <c r="AS879" s="854"/>
      <c r="AT879" s="854"/>
      <c r="AU879" s="854"/>
      <c r="AV879" s="854"/>
      <c r="AW879" s="854"/>
      <c r="AX879" s="854"/>
      <c r="AY879" s="854"/>
      <c r="AZ879" s="854"/>
      <c r="BA879" s="854"/>
      <c r="BB879" s="854"/>
      <c r="BC879" s="854"/>
      <c r="BD879" s="854"/>
      <c r="BE879" s="854"/>
      <c r="BF879" s="854"/>
      <c r="BG879" s="854"/>
      <c r="BH879" s="854"/>
      <c r="BI879" s="854"/>
      <c r="BJ879" s="854"/>
      <c r="BK879" s="854"/>
      <c r="BL879" s="854"/>
      <c r="BM879" s="854"/>
      <c r="BN879" s="854"/>
      <c r="BO879" s="854"/>
      <c r="BP879" s="854"/>
      <c r="BQ879" s="854"/>
      <c r="BR879" s="854"/>
      <c r="BS879" s="854"/>
      <c r="BT879" s="854"/>
      <c r="BU879" s="854"/>
      <c r="BV879" s="854"/>
      <c r="BW879" s="854"/>
      <c r="BX879" s="854"/>
      <c r="BY879" s="854"/>
      <c r="BZ879" s="854"/>
      <c r="CA879" s="571">
        <f>IF(OR(I879="",I879&lt;'Configs &amp; Procedures'!$L$29),0,IF(I879&gt;'Configs &amp; Procedures'!$L$30,1,IF(F879&gt;'Configs &amp; Procedures'!$L$31,0,1)))</f>
        <v>0</v>
      </c>
    </row>
    <row r="880" spans="2:79">
      <c r="B880" s="854"/>
      <c r="C880" s="854"/>
      <c r="D880" s="854"/>
      <c r="E880" s="854"/>
      <c r="F880" s="854"/>
      <c r="G880" s="854"/>
      <c r="H880" s="854"/>
      <c r="I880" s="854"/>
      <c r="J880" s="854"/>
      <c r="K880" s="854"/>
      <c r="L880" s="854"/>
      <c r="M880" s="854"/>
      <c r="N880" s="854"/>
      <c r="O880" s="854"/>
      <c r="P880" s="854"/>
      <c r="Q880" s="854"/>
      <c r="R880" s="854"/>
      <c r="S880" s="854"/>
      <c r="T880" s="854"/>
      <c r="U880" s="854"/>
      <c r="V880" s="854"/>
      <c r="W880" s="854"/>
      <c r="X880" s="854"/>
      <c r="Y880" s="854"/>
      <c r="Z880" s="854"/>
      <c r="AA880" s="854"/>
      <c r="AB880" s="854"/>
      <c r="AC880" s="854"/>
      <c r="AD880" s="854"/>
      <c r="AE880" s="854"/>
      <c r="AF880" s="854"/>
      <c r="AG880" s="854"/>
      <c r="AH880" s="854"/>
      <c r="AI880" s="854"/>
      <c r="AJ880" s="854"/>
      <c r="AK880" s="854"/>
      <c r="AL880" s="854"/>
      <c r="AM880" s="854"/>
      <c r="AN880" s="854"/>
      <c r="AO880" s="854"/>
      <c r="AP880" s="854"/>
      <c r="AQ880" s="854"/>
      <c r="AR880" s="854"/>
      <c r="AS880" s="854"/>
      <c r="AT880" s="854"/>
      <c r="AU880" s="854"/>
      <c r="AV880" s="854"/>
      <c r="AW880" s="854"/>
      <c r="AX880" s="854"/>
      <c r="AY880" s="854"/>
      <c r="AZ880" s="854"/>
      <c r="BA880" s="854"/>
      <c r="BB880" s="854"/>
      <c r="BC880" s="854"/>
      <c r="BD880" s="854"/>
      <c r="BE880" s="854"/>
      <c r="BF880" s="854"/>
      <c r="BG880" s="854"/>
      <c r="BH880" s="854"/>
      <c r="BI880" s="854"/>
      <c r="BJ880" s="854"/>
      <c r="BK880" s="854"/>
      <c r="BL880" s="854"/>
      <c r="BM880" s="854"/>
      <c r="BN880" s="854"/>
      <c r="BO880" s="854"/>
      <c r="BP880" s="854"/>
      <c r="BQ880" s="854"/>
      <c r="BR880" s="854"/>
      <c r="BS880" s="854"/>
      <c r="BT880" s="854"/>
      <c r="BU880" s="854"/>
      <c r="BV880" s="854"/>
      <c r="BW880" s="854"/>
      <c r="BX880" s="854"/>
      <c r="BY880" s="854"/>
      <c r="BZ880" s="854"/>
      <c r="CA880" s="571">
        <f>IF(OR(I880="",I880&lt;'Configs &amp; Procedures'!$L$29),0,IF(I880&gt;'Configs &amp; Procedures'!$L$30,1,IF(F880&gt;'Configs &amp; Procedures'!$L$31,0,1)))</f>
        <v>0</v>
      </c>
    </row>
    <row r="881" spans="2:79">
      <c r="B881" s="854"/>
      <c r="C881" s="854"/>
      <c r="D881" s="854"/>
      <c r="E881" s="854"/>
      <c r="F881" s="854"/>
      <c r="G881" s="854"/>
      <c r="H881" s="854"/>
      <c r="I881" s="854"/>
      <c r="J881" s="854"/>
      <c r="K881" s="854"/>
      <c r="L881" s="854"/>
      <c r="M881" s="854"/>
      <c r="N881" s="854"/>
      <c r="O881" s="854"/>
      <c r="P881" s="854"/>
      <c r="Q881" s="854"/>
      <c r="R881" s="854"/>
      <c r="S881" s="854"/>
      <c r="T881" s="854"/>
      <c r="U881" s="854"/>
      <c r="V881" s="854"/>
      <c r="W881" s="854"/>
      <c r="X881" s="854"/>
      <c r="Y881" s="854"/>
      <c r="Z881" s="854"/>
      <c r="AA881" s="854"/>
      <c r="AB881" s="854"/>
      <c r="AC881" s="854"/>
      <c r="AD881" s="854"/>
      <c r="AE881" s="854"/>
      <c r="AF881" s="854"/>
      <c r="AG881" s="854"/>
      <c r="AH881" s="854"/>
      <c r="AI881" s="854"/>
      <c r="AJ881" s="854"/>
      <c r="AK881" s="854"/>
      <c r="AL881" s="854"/>
      <c r="AM881" s="854"/>
      <c r="AN881" s="854"/>
      <c r="AO881" s="854"/>
      <c r="AP881" s="854"/>
      <c r="AQ881" s="854"/>
      <c r="AR881" s="854"/>
      <c r="AS881" s="854"/>
      <c r="AT881" s="854"/>
      <c r="AU881" s="854"/>
      <c r="AV881" s="854"/>
      <c r="AW881" s="854"/>
      <c r="AX881" s="854"/>
      <c r="AY881" s="854"/>
      <c r="AZ881" s="854"/>
      <c r="BA881" s="854"/>
      <c r="BB881" s="854"/>
      <c r="BC881" s="854"/>
      <c r="BD881" s="854"/>
      <c r="BE881" s="854"/>
      <c r="BF881" s="854"/>
      <c r="BG881" s="854"/>
      <c r="BH881" s="854"/>
      <c r="BI881" s="854"/>
      <c r="BJ881" s="854"/>
      <c r="BK881" s="854"/>
      <c r="BL881" s="854"/>
      <c r="BM881" s="854"/>
      <c r="BN881" s="854"/>
      <c r="BO881" s="854"/>
      <c r="BP881" s="854"/>
      <c r="BQ881" s="854"/>
      <c r="BR881" s="854"/>
      <c r="BS881" s="854"/>
      <c r="BT881" s="854"/>
      <c r="BU881" s="854"/>
      <c r="BV881" s="854"/>
      <c r="BW881" s="854"/>
      <c r="BX881" s="854"/>
      <c r="BY881" s="854"/>
      <c r="BZ881" s="854"/>
      <c r="CA881" s="571">
        <f>IF(OR(I881="",I881&lt;'Configs &amp; Procedures'!$L$29),0,IF(I881&gt;'Configs &amp; Procedures'!$L$30,1,IF(F881&gt;'Configs &amp; Procedures'!$L$31,0,1)))</f>
        <v>0</v>
      </c>
    </row>
    <row r="882" spans="2:79">
      <c r="B882" s="854"/>
      <c r="C882" s="854"/>
      <c r="D882" s="854"/>
      <c r="E882" s="854"/>
      <c r="F882" s="854"/>
      <c r="G882" s="854"/>
      <c r="H882" s="854"/>
      <c r="I882" s="854"/>
      <c r="J882" s="854"/>
      <c r="K882" s="854"/>
      <c r="L882" s="854"/>
      <c r="M882" s="854"/>
      <c r="N882" s="854"/>
      <c r="O882" s="854"/>
      <c r="P882" s="854"/>
      <c r="Q882" s="854"/>
      <c r="R882" s="854"/>
      <c r="S882" s="854"/>
      <c r="T882" s="854"/>
      <c r="U882" s="854"/>
      <c r="V882" s="854"/>
      <c r="W882" s="854"/>
      <c r="X882" s="854"/>
      <c r="Y882" s="854"/>
      <c r="Z882" s="854"/>
      <c r="AA882" s="854"/>
      <c r="AB882" s="854"/>
      <c r="AC882" s="854"/>
      <c r="AD882" s="854"/>
      <c r="AE882" s="854"/>
      <c r="AF882" s="854"/>
      <c r="AG882" s="854"/>
      <c r="AH882" s="854"/>
      <c r="AI882" s="854"/>
      <c r="AJ882" s="854"/>
      <c r="AK882" s="854"/>
      <c r="AL882" s="854"/>
      <c r="AM882" s="854"/>
      <c r="AN882" s="854"/>
      <c r="AO882" s="854"/>
      <c r="AP882" s="854"/>
      <c r="AQ882" s="854"/>
      <c r="AR882" s="854"/>
      <c r="AS882" s="854"/>
      <c r="AT882" s="854"/>
      <c r="AU882" s="854"/>
      <c r="AV882" s="854"/>
      <c r="AW882" s="854"/>
      <c r="AX882" s="854"/>
      <c r="AY882" s="854"/>
      <c r="AZ882" s="854"/>
      <c r="BA882" s="854"/>
      <c r="BB882" s="854"/>
      <c r="BC882" s="854"/>
      <c r="BD882" s="854"/>
      <c r="BE882" s="854"/>
      <c r="BF882" s="854"/>
      <c r="BG882" s="854"/>
      <c r="BH882" s="854"/>
      <c r="BI882" s="854"/>
      <c r="BJ882" s="854"/>
      <c r="BK882" s="854"/>
      <c r="BL882" s="854"/>
      <c r="BM882" s="854"/>
      <c r="BN882" s="854"/>
      <c r="BO882" s="854"/>
      <c r="BP882" s="854"/>
      <c r="BQ882" s="854"/>
      <c r="BR882" s="854"/>
      <c r="BS882" s="854"/>
      <c r="BT882" s="854"/>
      <c r="BU882" s="854"/>
      <c r="BV882" s="854"/>
      <c r="BW882" s="854"/>
      <c r="BX882" s="854"/>
      <c r="BY882" s="854"/>
      <c r="BZ882" s="854"/>
      <c r="CA882" s="571">
        <f>IF(OR(I882="",I882&lt;'Configs &amp; Procedures'!$L$29),0,IF(I882&gt;'Configs &amp; Procedures'!$L$30,1,IF(F882&gt;'Configs &amp; Procedures'!$L$31,0,1)))</f>
        <v>0</v>
      </c>
    </row>
    <row r="883" spans="2:79">
      <c r="B883" s="854"/>
      <c r="C883" s="854"/>
      <c r="D883" s="854"/>
      <c r="E883" s="854"/>
      <c r="F883" s="854"/>
      <c r="G883" s="854"/>
      <c r="H883" s="854"/>
      <c r="I883" s="854"/>
      <c r="J883" s="854"/>
      <c r="K883" s="854"/>
      <c r="L883" s="854"/>
      <c r="M883" s="854"/>
      <c r="N883" s="854"/>
      <c r="O883" s="854"/>
      <c r="P883" s="854"/>
      <c r="Q883" s="854"/>
      <c r="R883" s="854"/>
      <c r="S883" s="854"/>
      <c r="T883" s="854"/>
      <c r="U883" s="854"/>
      <c r="V883" s="854"/>
      <c r="W883" s="854"/>
      <c r="X883" s="854"/>
      <c r="Y883" s="854"/>
      <c r="Z883" s="854"/>
      <c r="AA883" s="854"/>
      <c r="AB883" s="854"/>
      <c r="AC883" s="854"/>
      <c r="AD883" s="854"/>
      <c r="AE883" s="854"/>
      <c r="AF883" s="854"/>
      <c r="AG883" s="854"/>
      <c r="AH883" s="854"/>
      <c r="AI883" s="854"/>
      <c r="AJ883" s="854"/>
      <c r="AK883" s="854"/>
      <c r="AL883" s="854"/>
      <c r="AM883" s="854"/>
      <c r="AN883" s="854"/>
      <c r="AO883" s="854"/>
      <c r="AP883" s="854"/>
      <c r="AQ883" s="854"/>
      <c r="AR883" s="854"/>
      <c r="AS883" s="854"/>
      <c r="AT883" s="854"/>
      <c r="AU883" s="854"/>
      <c r="AV883" s="854"/>
      <c r="AW883" s="854"/>
      <c r="AX883" s="854"/>
      <c r="AY883" s="854"/>
      <c r="AZ883" s="854"/>
      <c r="BA883" s="854"/>
      <c r="BB883" s="854"/>
      <c r="BC883" s="854"/>
      <c r="BD883" s="854"/>
      <c r="BE883" s="854"/>
      <c r="BF883" s="854"/>
      <c r="BG883" s="854"/>
      <c r="BH883" s="854"/>
      <c r="BI883" s="854"/>
      <c r="BJ883" s="854"/>
      <c r="BK883" s="854"/>
      <c r="BL883" s="854"/>
      <c r="BM883" s="854"/>
      <c r="BN883" s="854"/>
      <c r="BO883" s="854"/>
      <c r="BP883" s="854"/>
      <c r="BQ883" s="854"/>
      <c r="BR883" s="854"/>
      <c r="BS883" s="854"/>
      <c r="BT883" s="854"/>
      <c r="BU883" s="854"/>
      <c r="BV883" s="854"/>
      <c r="BW883" s="854"/>
      <c r="BX883" s="854"/>
      <c r="BY883" s="854"/>
      <c r="BZ883" s="854"/>
      <c r="CA883" s="571">
        <f>IF(OR(I883="",I883&lt;'Configs &amp; Procedures'!$L$29),0,IF(I883&gt;'Configs &amp; Procedures'!$L$30,1,IF(F883&gt;'Configs &amp; Procedures'!$L$31,0,1)))</f>
        <v>0</v>
      </c>
    </row>
    <row r="884" spans="2:79">
      <c r="B884" s="854"/>
      <c r="C884" s="854"/>
      <c r="D884" s="854"/>
      <c r="E884" s="854"/>
      <c r="F884" s="854"/>
      <c r="G884" s="854"/>
      <c r="H884" s="854"/>
      <c r="I884" s="854"/>
      <c r="J884" s="854"/>
      <c r="K884" s="854"/>
      <c r="L884" s="854"/>
      <c r="M884" s="854"/>
      <c r="N884" s="854"/>
      <c r="O884" s="854"/>
      <c r="P884" s="854"/>
      <c r="Q884" s="854"/>
      <c r="R884" s="854"/>
      <c r="S884" s="854"/>
      <c r="T884" s="854"/>
      <c r="U884" s="854"/>
      <c r="V884" s="854"/>
      <c r="W884" s="854"/>
      <c r="X884" s="854"/>
      <c r="Y884" s="854"/>
      <c r="Z884" s="854"/>
      <c r="AA884" s="854"/>
      <c r="AB884" s="854"/>
      <c r="AC884" s="854"/>
      <c r="AD884" s="854"/>
      <c r="AE884" s="854"/>
      <c r="AF884" s="854"/>
      <c r="AG884" s="854"/>
      <c r="AH884" s="854"/>
      <c r="AI884" s="854"/>
      <c r="AJ884" s="854"/>
      <c r="AK884" s="854"/>
      <c r="AL884" s="854"/>
      <c r="AM884" s="854"/>
      <c r="AN884" s="854"/>
      <c r="AO884" s="854"/>
      <c r="AP884" s="854"/>
      <c r="AQ884" s="854"/>
      <c r="AR884" s="854"/>
      <c r="AS884" s="854"/>
      <c r="AT884" s="854"/>
      <c r="AU884" s="854"/>
      <c r="AV884" s="854"/>
      <c r="AW884" s="854"/>
      <c r="AX884" s="854"/>
      <c r="AY884" s="854"/>
      <c r="AZ884" s="854"/>
      <c r="BA884" s="854"/>
      <c r="BB884" s="854"/>
      <c r="BC884" s="854"/>
      <c r="BD884" s="854"/>
      <c r="BE884" s="854"/>
      <c r="BF884" s="854"/>
      <c r="BG884" s="854"/>
      <c r="BH884" s="854"/>
      <c r="BI884" s="854"/>
      <c r="BJ884" s="854"/>
      <c r="BK884" s="854"/>
      <c r="BL884" s="854"/>
      <c r="BM884" s="854"/>
      <c r="BN884" s="854"/>
      <c r="BO884" s="854"/>
      <c r="BP884" s="854"/>
      <c r="BQ884" s="854"/>
      <c r="BR884" s="854"/>
      <c r="BS884" s="854"/>
      <c r="BT884" s="854"/>
      <c r="BU884" s="854"/>
      <c r="BV884" s="854"/>
      <c r="BW884" s="854"/>
      <c r="BX884" s="854"/>
      <c r="BY884" s="854"/>
      <c r="BZ884" s="854"/>
      <c r="CA884" s="571">
        <f>IF(OR(I884="",I884&lt;'Configs &amp; Procedures'!$L$29),0,IF(I884&gt;'Configs &amp; Procedures'!$L$30,1,IF(F884&gt;'Configs &amp; Procedures'!$L$31,0,1)))</f>
        <v>0</v>
      </c>
    </row>
    <row r="885" spans="2:79">
      <c r="B885" s="854"/>
      <c r="C885" s="854"/>
      <c r="D885" s="854"/>
      <c r="E885" s="854"/>
      <c r="F885" s="854"/>
      <c r="G885" s="854"/>
      <c r="H885" s="854"/>
      <c r="I885" s="854"/>
      <c r="J885" s="854"/>
      <c r="K885" s="854"/>
      <c r="L885" s="854"/>
      <c r="M885" s="854"/>
      <c r="N885" s="854"/>
      <c r="O885" s="854"/>
      <c r="P885" s="854"/>
      <c r="Q885" s="854"/>
      <c r="R885" s="854"/>
      <c r="S885" s="854"/>
      <c r="T885" s="854"/>
      <c r="U885" s="854"/>
      <c r="V885" s="854"/>
      <c r="W885" s="854"/>
      <c r="X885" s="854"/>
      <c r="Y885" s="854"/>
      <c r="Z885" s="854"/>
      <c r="AA885" s="854"/>
      <c r="AB885" s="854"/>
      <c r="AC885" s="854"/>
      <c r="AD885" s="854"/>
      <c r="AE885" s="854"/>
      <c r="AF885" s="854"/>
      <c r="AG885" s="854"/>
      <c r="AH885" s="854"/>
      <c r="AI885" s="854"/>
      <c r="AJ885" s="854"/>
      <c r="AK885" s="854"/>
      <c r="AL885" s="854"/>
      <c r="AM885" s="854"/>
      <c r="AN885" s="854"/>
      <c r="AO885" s="854"/>
      <c r="AP885" s="854"/>
      <c r="AQ885" s="854"/>
      <c r="AR885" s="854"/>
      <c r="AS885" s="854"/>
      <c r="AT885" s="854"/>
      <c r="AU885" s="854"/>
      <c r="AV885" s="854"/>
      <c r="AW885" s="854"/>
      <c r="AX885" s="854"/>
      <c r="AY885" s="854"/>
      <c r="AZ885" s="854"/>
      <c r="BA885" s="854"/>
      <c r="BB885" s="854"/>
      <c r="BC885" s="854"/>
      <c r="BD885" s="854"/>
      <c r="BE885" s="854"/>
      <c r="BF885" s="854"/>
      <c r="BG885" s="854"/>
      <c r="BH885" s="854"/>
      <c r="BI885" s="854"/>
      <c r="BJ885" s="854"/>
      <c r="BK885" s="854"/>
      <c r="BL885" s="854"/>
      <c r="BM885" s="854"/>
      <c r="BN885" s="854"/>
      <c r="BO885" s="854"/>
      <c r="BP885" s="854"/>
      <c r="BQ885" s="854"/>
      <c r="BR885" s="854"/>
      <c r="BS885" s="854"/>
      <c r="BT885" s="854"/>
      <c r="BU885" s="854"/>
      <c r="BV885" s="854"/>
      <c r="BW885" s="854"/>
      <c r="BX885" s="854"/>
      <c r="BY885" s="854"/>
      <c r="BZ885" s="854"/>
      <c r="CA885" s="571">
        <f>IF(OR(I885="",I885&lt;'Configs &amp; Procedures'!$L$29),0,IF(I885&gt;'Configs &amp; Procedures'!$L$30,1,IF(F885&gt;'Configs &amp; Procedures'!$L$31,0,1)))</f>
        <v>0</v>
      </c>
    </row>
    <row r="886" spans="2:79">
      <c r="B886" s="854"/>
      <c r="C886" s="854"/>
      <c r="D886" s="854"/>
      <c r="E886" s="854"/>
      <c r="F886" s="854"/>
      <c r="G886" s="854"/>
      <c r="H886" s="854"/>
      <c r="I886" s="854"/>
      <c r="J886" s="854"/>
      <c r="K886" s="854"/>
      <c r="L886" s="854"/>
      <c r="M886" s="854"/>
      <c r="N886" s="854"/>
      <c r="O886" s="854"/>
      <c r="P886" s="854"/>
      <c r="Q886" s="854"/>
      <c r="R886" s="854"/>
      <c r="S886" s="854"/>
      <c r="T886" s="854"/>
      <c r="U886" s="854"/>
      <c r="V886" s="854"/>
      <c r="W886" s="854"/>
      <c r="X886" s="854"/>
      <c r="Y886" s="854"/>
      <c r="Z886" s="854"/>
      <c r="AA886" s="854"/>
      <c r="AB886" s="854"/>
      <c r="AC886" s="854"/>
      <c r="AD886" s="854"/>
      <c r="AE886" s="854"/>
      <c r="AF886" s="854"/>
      <c r="AG886" s="854"/>
      <c r="AH886" s="854"/>
      <c r="AI886" s="854"/>
      <c r="AJ886" s="854"/>
      <c r="AK886" s="854"/>
      <c r="AL886" s="854"/>
      <c r="AM886" s="854"/>
      <c r="AN886" s="854"/>
      <c r="AO886" s="854"/>
      <c r="AP886" s="854"/>
      <c r="AQ886" s="854"/>
      <c r="AR886" s="854"/>
      <c r="AS886" s="854"/>
      <c r="AT886" s="854"/>
      <c r="AU886" s="854"/>
      <c r="AV886" s="854"/>
      <c r="AW886" s="854"/>
      <c r="AX886" s="854"/>
      <c r="AY886" s="854"/>
      <c r="AZ886" s="854"/>
      <c r="BA886" s="854"/>
      <c r="BB886" s="854"/>
      <c r="BC886" s="854"/>
      <c r="BD886" s="854"/>
      <c r="BE886" s="854"/>
      <c r="BF886" s="854"/>
      <c r="BG886" s="854"/>
      <c r="BH886" s="854"/>
      <c r="BI886" s="854"/>
      <c r="BJ886" s="854"/>
      <c r="BK886" s="854"/>
      <c r="BL886" s="854"/>
      <c r="BM886" s="854"/>
      <c r="BN886" s="854"/>
      <c r="BO886" s="854"/>
      <c r="BP886" s="854"/>
      <c r="BQ886" s="854"/>
      <c r="BR886" s="854"/>
      <c r="BS886" s="854"/>
      <c r="BT886" s="854"/>
      <c r="BU886" s="854"/>
      <c r="BV886" s="854"/>
      <c r="BW886" s="854"/>
      <c r="BX886" s="854"/>
      <c r="BY886" s="854"/>
      <c r="BZ886" s="854"/>
      <c r="CA886" s="571">
        <f>IF(OR(I886="",I886&lt;'Configs &amp; Procedures'!$L$29),0,IF(I886&gt;'Configs &amp; Procedures'!$L$30,1,IF(F886&gt;'Configs &amp; Procedures'!$L$31,0,1)))</f>
        <v>0</v>
      </c>
    </row>
    <row r="887" spans="2:79">
      <c r="B887" s="854"/>
      <c r="C887" s="854"/>
      <c r="D887" s="854"/>
      <c r="E887" s="854"/>
      <c r="F887" s="854"/>
      <c r="G887" s="854"/>
      <c r="H887" s="854"/>
      <c r="I887" s="854"/>
      <c r="J887" s="854"/>
      <c r="K887" s="854"/>
      <c r="L887" s="854"/>
      <c r="M887" s="854"/>
      <c r="N887" s="854"/>
      <c r="O887" s="854"/>
      <c r="P887" s="854"/>
      <c r="Q887" s="854"/>
      <c r="R887" s="854"/>
      <c r="S887" s="854"/>
      <c r="T887" s="854"/>
      <c r="U887" s="854"/>
      <c r="V887" s="854"/>
      <c r="W887" s="854"/>
      <c r="X887" s="854"/>
      <c r="Y887" s="854"/>
      <c r="Z887" s="854"/>
      <c r="AA887" s="854"/>
      <c r="AB887" s="854"/>
      <c r="AC887" s="854"/>
      <c r="AD887" s="854"/>
      <c r="AE887" s="854"/>
      <c r="AF887" s="854"/>
      <c r="AG887" s="854"/>
      <c r="AH887" s="854"/>
      <c r="AI887" s="854"/>
      <c r="AJ887" s="854"/>
      <c r="AK887" s="854"/>
      <c r="AL887" s="854"/>
      <c r="AM887" s="854"/>
      <c r="AN887" s="854"/>
      <c r="AO887" s="854"/>
      <c r="AP887" s="854"/>
      <c r="AQ887" s="854"/>
      <c r="AR887" s="854"/>
      <c r="AS887" s="854"/>
      <c r="AT887" s="854"/>
      <c r="AU887" s="854"/>
      <c r="AV887" s="854"/>
      <c r="AW887" s="854"/>
      <c r="AX887" s="854"/>
      <c r="AY887" s="854"/>
      <c r="AZ887" s="854"/>
      <c r="BA887" s="854"/>
      <c r="BB887" s="854"/>
      <c r="BC887" s="854"/>
      <c r="BD887" s="854"/>
      <c r="BE887" s="854"/>
      <c r="BF887" s="854"/>
      <c r="BG887" s="854"/>
      <c r="BH887" s="854"/>
      <c r="BI887" s="854"/>
      <c r="BJ887" s="854"/>
      <c r="BK887" s="854"/>
      <c r="BL887" s="854"/>
      <c r="BM887" s="854"/>
      <c r="BN887" s="854"/>
      <c r="BO887" s="854"/>
      <c r="BP887" s="854"/>
      <c r="BQ887" s="854"/>
      <c r="BR887" s="854"/>
      <c r="BS887" s="854"/>
      <c r="BT887" s="854"/>
      <c r="BU887" s="854"/>
      <c r="BV887" s="854"/>
      <c r="BW887" s="854"/>
      <c r="BX887" s="854"/>
      <c r="BY887" s="854"/>
      <c r="BZ887" s="854"/>
      <c r="CA887" s="571">
        <f>IF(OR(I887="",I887&lt;'Configs &amp; Procedures'!$L$29),0,IF(I887&gt;'Configs &amp; Procedures'!$L$30,1,IF(F887&gt;'Configs &amp; Procedures'!$L$31,0,1)))</f>
        <v>0</v>
      </c>
    </row>
    <row r="888" spans="2:79">
      <c r="B888" s="854"/>
      <c r="C888" s="854"/>
      <c r="D888" s="854"/>
      <c r="E888" s="854"/>
      <c r="F888" s="854"/>
      <c r="G888" s="854"/>
      <c r="H888" s="854"/>
      <c r="I888" s="854"/>
      <c r="J888" s="854"/>
      <c r="K888" s="854"/>
      <c r="L888" s="854"/>
      <c r="M888" s="854"/>
      <c r="N888" s="854"/>
      <c r="O888" s="854"/>
      <c r="P888" s="854"/>
      <c r="Q888" s="854"/>
      <c r="R888" s="854"/>
      <c r="S888" s="854"/>
      <c r="T888" s="854"/>
      <c r="U888" s="854"/>
      <c r="V888" s="854"/>
      <c r="W888" s="854"/>
      <c r="X888" s="854"/>
      <c r="Y888" s="854"/>
      <c r="Z888" s="854"/>
      <c r="AA888" s="854"/>
      <c r="AB888" s="854"/>
      <c r="AC888" s="854"/>
      <c r="AD888" s="854"/>
      <c r="AE888" s="854"/>
      <c r="AF888" s="854"/>
      <c r="AG888" s="854"/>
      <c r="AH888" s="854"/>
      <c r="AI888" s="854"/>
      <c r="AJ888" s="854"/>
      <c r="AK888" s="854"/>
      <c r="AL888" s="854"/>
      <c r="AM888" s="854"/>
      <c r="AN888" s="854"/>
      <c r="AO888" s="854"/>
      <c r="AP888" s="854"/>
      <c r="AQ888" s="854"/>
      <c r="AR888" s="854"/>
      <c r="AS888" s="854"/>
      <c r="AT888" s="854"/>
      <c r="AU888" s="854"/>
      <c r="AV888" s="854"/>
      <c r="AW888" s="854"/>
      <c r="AX888" s="854"/>
      <c r="AY888" s="854"/>
      <c r="AZ888" s="854"/>
      <c r="BA888" s="854"/>
      <c r="BB888" s="854"/>
      <c r="BC888" s="854"/>
      <c r="BD888" s="854"/>
      <c r="BE888" s="854"/>
      <c r="BF888" s="854"/>
      <c r="BG888" s="854"/>
      <c r="BH888" s="854"/>
      <c r="BI888" s="854"/>
      <c r="BJ888" s="854"/>
      <c r="BK888" s="854"/>
      <c r="BL888" s="854"/>
      <c r="BM888" s="854"/>
      <c r="BN888" s="854"/>
      <c r="BO888" s="854"/>
      <c r="BP888" s="854"/>
      <c r="BQ888" s="854"/>
      <c r="BR888" s="854"/>
      <c r="BS888" s="854"/>
      <c r="BT888" s="854"/>
      <c r="BU888" s="854"/>
      <c r="BV888" s="854"/>
      <c r="BW888" s="854"/>
      <c r="BX888" s="854"/>
      <c r="BY888" s="854"/>
      <c r="BZ888" s="854"/>
      <c r="CA888" s="571">
        <f>IF(OR(I888="",I888&lt;'Configs &amp; Procedures'!$L$29),0,IF(I888&gt;'Configs &amp; Procedures'!$L$30,1,IF(F888&gt;'Configs &amp; Procedures'!$L$31,0,1)))</f>
        <v>0</v>
      </c>
    </row>
    <row r="889" spans="2:79">
      <c r="B889" s="854"/>
      <c r="C889" s="854"/>
      <c r="D889" s="854"/>
      <c r="E889" s="854"/>
      <c r="F889" s="854"/>
      <c r="G889" s="854"/>
      <c r="H889" s="854"/>
      <c r="I889" s="854"/>
      <c r="J889" s="854"/>
      <c r="K889" s="854"/>
      <c r="L889" s="854"/>
      <c r="M889" s="854"/>
      <c r="N889" s="854"/>
      <c r="O889" s="854"/>
      <c r="P889" s="854"/>
      <c r="Q889" s="854"/>
      <c r="R889" s="854"/>
      <c r="S889" s="854"/>
      <c r="T889" s="854"/>
      <c r="U889" s="854"/>
      <c r="V889" s="854"/>
      <c r="W889" s="854"/>
      <c r="X889" s="854"/>
      <c r="Y889" s="854"/>
      <c r="Z889" s="854"/>
      <c r="AA889" s="854"/>
      <c r="AB889" s="854"/>
      <c r="AC889" s="854"/>
      <c r="AD889" s="854"/>
      <c r="AE889" s="854"/>
      <c r="AF889" s="854"/>
      <c r="AG889" s="854"/>
      <c r="AH889" s="854"/>
      <c r="AI889" s="854"/>
      <c r="AJ889" s="854"/>
      <c r="AK889" s="854"/>
      <c r="AL889" s="854"/>
      <c r="AM889" s="854"/>
      <c r="AN889" s="854"/>
      <c r="AO889" s="854"/>
      <c r="AP889" s="854"/>
      <c r="AQ889" s="854"/>
      <c r="AR889" s="854"/>
      <c r="AS889" s="854"/>
      <c r="AT889" s="854"/>
      <c r="AU889" s="854"/>
      <c r="AV889" s="854"/>
      <c r="AW889" s="854"/>
      <c r="AX889" s="854"/>
      <c r="AY889" s="854"/>
      <c r="AZ889" s="854"/>
      <c r="BA889" s="854"/>
      <c r="BB889" s="854"/>
      <c r="BC889" s="854"/>
      <c r="BD889" s="854"/>
      <c r="BE889" s="854"/>
      <c r="BF889" s="854"/>
      <c r="BG889" s="854"/>
      <c r="BH889" s="854"/>
      <c r="BI889" s="854"/>
      <c r="BJ889" s="854"/>
      <c r="BK889" s="854"/>
      <c r="BL889" s="854"/>
      <c r="BM889" s="854"/>
      <c r="BN889" s="854"/>
      <c r="BO889" s="854"/>
      <c r="BP889" s="854"/>
      <c r="BQ889" s="854"/>
      <c r="BR889" s="854"/>
      <c r="BS889" s="854"/>
      <c r="BT889" s="854"/>
      <c r="BU889" s="854"/>
      <c r="BV889" s="854"/>
      <c r="BW889" s="854"/>
      <c r="BX889" s="854"/>
      <c r="BY889" s="854"/>
      <c r="BZ889" s="854"/>
      <c r="CA889" s="571">
        <f>IF(OR(I889="",I889&lt;'Configs &amp; Procedures'!$L$29),0,IF(I889&gt;'Configs &amp; Procedures'!$L$30,1,IF(F889&gt;'Configs &amp; Procedures'!$L$31,0,1)))</f>
        <v>0</v>
      </c>
    </row>
    <row r="890" spans="2:79">
      <c r="B890" s="854"/>
      <c r="C890" s="854"/>
      <c r="D890" s="854"/>
      <c r="E890" s="854"/>
      <c r="F890" s="854"/>
      <c r="G890" s="854"/>
      <c r="H890" s="854"/>
      <c r="I890" s="854"/>
      <c r="J890" s="854"/>
      <c r="K890" s="854"/>
      <c r="L890" s="854"/>
      <c r="M890" s="854"/>
      <c r="N890" s="854"/>
      <c r="O890" s="854"/>
      <c r="P890" s="854"/>
      <c r="Q890" s="854"/>
      <c r="R890" s="854"/>
      <c r="S890" s="854"/>
      <c r="T890" s="854"/>
      <c r="U890" s="854"/>
      <c r="V890" s="854"/>
      <c r="W890" s="854"/>
      <c r="X890" s="854"/>
      <c r="Y890" s="854"/>
      <c r="Z890" s="854"/>
      <c r="AA890" s="854"/>
      <c r="AB890" s="854"/>
      <c r="AC890" s="854"/>
      <c r="AD890" s="854"/>
      <c r="AE890" s="854"/>
      <c r="AF890" s="854"/>
      <c r="AG890" s="854"/>
      <c r="AH890" s="854"/>
      <c r="AI890" s="854"/>
      <c r="AJ890" s="854"/>
      <c r="AK890" s="854"/>
      <c r="AL890" s="854"/>
      <c r="AM890" s="854"/>
      <c r="AN890" s="854"/>
      <c r="AO890" s="854"/>
      <c r="AP890" s="854"/>
      <c r="AQ890" s="854"/>
      <c r="AR890" s="854"/>
      <c r="AS890" s="854"/>
      <c r="AT890" s="854"/>
      <c r="AU890" s="854"/>
      <c r="AV890" s="854"/>
      <c r="AW890" s="854"/>
      <c r="AX890" s="854"/>
      <c r="AY890" s="854"/>
      <c r="AZ890" s="854"/>
      <c r="BA890" s="854"/>
      <c r="BB890" s="854"/>
      <c r="BC890" s="854"/>
      <c r="BD890" s="854"/>
      <c r="BE890" s="854"/>
      <c r="BF890" s="854"/>
      <c r="BG890" s="854"/>
      <c r="BH890" s="854"/>
      <c r="BI890" s="854"/>
      <c r="BJ890" s="854"/>
      <c r="BK890" s="854"/>
      <c r="BL890" s="854"/>
      <c r="BM890" s="854"/>
      <c r="BN890" s="854"/>
      <c r="BO890" s="854"/>
      <c r="BP890" s="854"/>
      <c r="BQ890" s="854"/>
      <c r="BR890" s="854"/>
      <c r="BS890" s="854"/>
      <c r="BT890" s="854"/>
      <c r="BU890" s="854"/>
      <c r="BV890" s="854"/>
      <c r="BW890" s="854"/>
      <c r="BX890" s="854"/>
      <c r="BY890" s="854"/>
      <c r="BZ890" s="854"/>
      <c r="CA890" s="571">
        <f>IF(OR(I890="",I890&lt;'Configs &amp; Procedures'!$L$29),0,IF(I890&gt;'Configs &amp; Procedures'!$L$30,1,IF(F890&gt;'Configs &amp; Procedures'!$L$31,0,1)))</f>
        <v>0</v>
      </c>
    </row>
    <row r="891" spans="2:79">
      <c r="B891" s="854"/>
      <c r="C891" s="854"/>
      <c r="D891" s="854"/>
      <c r="E891" s="854"/>
      <c r="F891" s="854"/>
      <c r="G891" s="854"/>
      <c r="H891" s="854"/>
      <c r="I891" s="854"/>
      <c r="J891" s="854"/>
      <c r="K891" s="854"/>
      <c r="L891" s="854"/>
      <c r="M891" s="854"/>
      <c r="N891" s="854"/>
      <c r="O891" s="854"/>
      <c r="P891" s="854"/>
      <c r="Q891" s="854"/>
      <c r="R891" s="854"/>
      <c r="S891" s="854"/>
      <c r="T891" s="854"/>
      <c r="U891" s="854"/>
      <c r="V891" s="854"/>
      <c r="W891" s="854"/>
      <c r="X891" s="854"/>
      <c r="Y891" s="854"/>
      <c r="Z891" s="854"/>
      <c r="AA891" s="854"/>
      <c r="AB891" s="854"/>
      <c r="AC891" s="854"/>
      <c r="AD891" s="854"/>
      <c r="AE891" s="854"/>
      <c r="AF891" s="854"/>
      <c r="AG891" s="854"/>
      <c r="AH891" s="854"/>
      <c r="AI891" s="854"/>
      <c r="AJ891" s="854"/>
      <c r="AK891" s="854"/>
      <c r="AL891" s="854"/>
      <c r="AM891" s="854"/>
      <c r="AN891" s="854"/>
      <c r="AO891" s="854"/>
      <c r="AP891" s="854"/>
      <c r="AQ891" s="854"/>
      <c r="AR891" s="854"/>
      <c r="AS891" s="854"/>
      <c r="AT891" s="854"/>
      <c r="AU891" s="854"/>
      <c r="AV891" s="854"/>
      <c r="AW891" s="854"/>
      <c r="AX891" s="854"/>
      <c r="AY891" s="854"/>
      <c r="AZ891" s="854"/>
      <c r="BA891" s="854"/>
      <c r="BB891" s="854"/>
      <c r="BC891" s="854"/>
      <c r="BD891" s="854"/>
      <c r="BE891" s="854"/>
      <c r="BF891" s="854"/>
      <c r="BG891" s="854"/>
      <c r="BH891" s="854"/>
      <c r="BI891" s="854"/>
      <c r="BJ891" s="854"/>
      <c r="BK891" s="854"/>
      <c r="BL891" s="854"/>
      <c r="BM891" s="854"/>
      <c r="BN891" s="854"/>
      <c r="BO891" s="854"/>
      <c r="BP891" s="854"/>
      <c r="BQ891" s="854"/>
      <c r="BR891" s="854"/>
      <c r="BS891" s="854"/>
      <c r="BT891" s="854"/>
      <c r="BU891" s="854"/>
      <c r="BV891" s="854"/>
      <c r="BW891" s="854"/>
      <c r="BX891" s="854"/>
      <c r="BY891" s="854"/>
      <c r="BZ891" s="854"/>
      <c r="CA891" s="571">
        <f>IF(OR(I891="",I891&lt;'Configs &amp; Procedures'!$L$29),0,IF(I891&gt;'Configs &amp; Procedures'!$L$30,1,IF(F891&gt;'Configs &amp; Procedures'!$L$31,0,1)))</f>
        <v>0</v>
      </c>
    </row>
    <row r="892" spans="2:79">
      <c r="B892" s="854"/>
      <c r="C892" s="854"/>
      <c r="D892" s="854"/>
      <c r="E892" s="854"/>
      <c r="F892" s="854"/>
      <c r="G892" s="854"/>
      <c r="H892" s="854"/>
      <c r="I892" s="854"/>
      <c r="J892" s="854"/>
      <c r="K892" s="854"/>
      <c r="L892" s="854"/>
      <c r="M892" s="854"/>
      <c r="N892" s="854"/>
      <c r="O892" s="854"/>
      <c r="P892" s="854"/>
      <c r="Q892" s="854"/>
      <c r="R892" s="854"/>
      <c r="S892" s="854"/>
      <c r="T892" s="854"/>
      <c r="U892" s="854"/>
      <c r="V892" s="854"/>
      <c r="W892" s="854"/>
      <c r="X892" s="854"/>
      <c r="Y892" s="854"/>
      <c r="Z892" s="854"/>
      <c r="AA892" s="854"/>
      <c r="AB892" s="854"/>
      <c r="AC892" s="854"/>
      <c r="AD892" s="854"/>
      <c r="AE892" s="854"/>
      <c r="AF892" s="854"/>
      <c r="AG892" s="854"/>
      <c r="AH892" s="854"/>
      <c r="AI892" s="854"/>
      <c r="AJ892" s="854"/>
      <c r="AK892" s="854"/>
      <c r="AL892" s="854"/>
      <c r="AM892" s="854"/>
      <c r="AN892" s="854"/>
      <c r="AO892" s="854"/>
      <c r="AP892" s="854"/>
      <c r="AQ892" s="854"/>
      <c r="AR892" s="854"/>
      <c r="AS892" s="854"/>
      <c r="AT892" s="854"/>
      <c r="AU892" s="854"/>
      <c r="AV892" s="854"/>
      <c r="AW892" s="854"/>
      <c r="AX892" s="854"/>
      <c r="AY892" s="854"/>
      <c r="AZ892" s="854"/>
      <c r="BA892" s="854"/>
      <c r="BB892" s="854"/>
      <c r="BC892" s="854"/>
      <c r="BD892" s="854"/>
      <c r="BE892" s="854"/>
      <c r="BF892" s="854"/>
      <c r="BG892" s="854"/>
      <c r="BH892" s="854"/>
      <c r="BI892" s="854"/>
      <c r="BJ892" s="854"/>
      <c r="BK892" s="854"/>
      <c r="BL892" s="854"/>
      <c r="BM892" s="854"/>
      <c r="BN892" s="854"/>
      <c r="BO892" s="854"/>
      <c r="BP892" s="854"/>
      <c r="BQ892" s="854"/>
      <c r="BR892" s="854"/>
      <c r="BS892" s="854"/>
      <c r="BT892" s="854"/>
      <c r="BU892" s="854"/>
      <c r="BV892" s="854"/>
      <c r="BW892" s="854"/>
      <c r="BX892" s="854"/>
      <c r="BY892" s="854"/>
      <c r="BZ892" s="854"/>
      <c r="CA892" s="571">
        <f>IF(OR(I892="",I892&lt;'Configs &amp; Procedures'!$L$29),0,IF(I892&gt;'Configs &amp; Procedures'!$L$30,1,IF(F892&gt;'Configs &amp; Procedures'!$L$31,0,1)))</f>
        <v>0</v>
      </c>
    </row>
    <row r="893" spans="2:79">
      <c r="B893" s="854"/>
      <c r="C893" s="854"/>
      <c r="D893" s="854"/>
      <c r="E893" s="854"/>
      <c r="F893" s="854"/>
      <c r="G893" s="854"/>
      <c r="H893" s="854"/>
      <c r="I893" s="854"/>
      <c r="J893" s="854"/>
      <c r="K893" s="854"/>
      <c r="L893" s="854"/>
      <c r="M893" s="854"/>
      <c r="N893" s="854"/>
      <c r="O893" s="854"/>
      <c r="P893" s="854"/>
      <c r="Q893" s="854"/>
      <c r="R893" s="854"/>
      <c r="S893" s="854"/>
      <c r="T893" s="854"/>
      <c r="U893" s="854"/>
      <c r="V893" s="854"/>
      <c r="W893" s="854"/>
      <c r="X893" s="854"/>
      <c r="Y893" s="854"/>
      <c r="Z893" s="854"/>
      <c r="AA893" s="854"/>
      <c r="AB893" s="854"/>
      <c r="AC893" s="854"/>
      <c r="AD893" s="854"/>
      <c r="AE893" s="854"/>
      <c r="AF893" s="854"/>
      <c r="AG893" s="854"/>
      <c r="AH893" s="854"/>
      <c r="AI893" s="854"/>
      <c r="AJ893" s="854"/>
      <c r="AK893" s="854"/>
      <c r="AL893" s="854"/>
      <c r="AM893" s="854"/>
      <c r="AN893" s="854"/>
      <c r="AO893" s="854"/>
      <c r="AP893" s="854"/>
      <c r="AQ893" s="854"/>
      <c r="AR893" s="854"/>
      <c r="AS893" s="854"/>
      <c r="AT893" s="854"/>
      <c r="AU893" s="854"/>
      <c r="AV893" s="854"/>
      <c r="AW893" s="854"/>
      <c r="AX893" s="854"/>
      <c r="AY893" s="854"/>
      <c r="AZ893" s="854"/>
      <c r="BA893" s="854"/>
      <c r="BB893" s="854"/>
      <c r="BC893" s="854"/>
      <c r="BD893" s="854"/>
      <c r="BE893" s="854"/>
      <c r="BF893" s="854"/>
      <c r="BG893" s="854"/>
      <c r="BH893" s="854"/>
      <c r="BI893" s="854"/>
      <c r="BJ893" s="854"/>
      <c r="BK893" s="854"/>
      <c r="BL893" s="854"/>
      <c r="BM893" s="854"/>
      <c r="BN893" s="854"/>
      <c r="BO893" s="854"/>
      <c r="BP893" s="854"/>
      <c r="BQ893" s="854"/>
      <c r="BR893" s="854"/>
      <c r="BS893" s="854"/>
      <c r="BT893" s="854"/>
      <c r="BU893" s="854"/>
      <c r="BV893" s="854"/>
      <c r="BW893" s="854"/>
      <c r="BX893" s="854"/>
      <c r="BY893" s="854"/>
      <c r="BZ893" s="854"/>
      <c r="CA893" s="571">
        <f>IF(OR(I893="",I893&lt;'Configs &amp; Procedures'!$L$29),0,IF(I893&gt;'Configs &amp; Procedures'!$L$30,1,IF(F893&gt;'Configs &amp; Procedures'!$L$31,0,1)))</f>
        <v>0</v>
      </c>
    </row>
    <row r="894" spans="2:79">
      <c r="B894" s="854"/>
      <c r="C894" s="854"/>
      <c r="D894" s="854"/>
      <c r="E894" s="854"/>
      <c r="F894" s="854"/>
      <c r="G894" s="854"/>
      <c r="H894" s="854"/>
      <c r="I894" s="854"/>
      <c r="J894" s="854"/>
      <c r="K894" s="854"/>
      <c r="L894" s="854"/>
      <c r="M894" s="854"/>
      <c r="N894" s="854"/>
      <c r="O894" s="854"/>
      <c r="P894" s="854"/>
      <c r="Q894" s="854"/>
      <c r="R894" s="854"/>
      <c r="S894" s="854"/>
      <c r="T894" s="854"/>
      <c r="U894" s="854"/>
      <c r="V894" s="854"/>
      <c r="W894" s="854"/>
      <c r="X894" s="854"/>
      <c r="Y894" s="854"/>
      <c r="Z894" s="854"/>
      <c r="AA894" s="854"/>
      <c r="AB894" s="854"/>
      <c r="AC894" s="854"/>
      <c r="AD894" s="854"/>
      <c r="AE894" s="854"/>
      <c r="AF894" s="854"/>
      <c r="AG894" s="854"/>
      <c r="AH894" s="854"/>
      <c r="AI894" s="854"/>
      <c r="AJ894" s="854"/>
      <c r="AK894" s="854"/>
      <c r="AL894" s="854"/>
      <c r="AM894" s="854"/>
      <c r="AN894" s="854"/>
      <c r="AO894" s="854"/>
      <c r="AP894" s="854"/>
      <c r="AQ894" s="854"/>
      <c r="AR894" s="854"/>
      <c r="AS894" s="854"/>
      <c r="AT894" s="854"/>
      <c r="AU894" s="854"/>
      <c r="AV894" s="854"/>
      <c r="AW894" s="854"/>
      <c r="AX894" s="854"/>
      <c r="AY894" s="854"/>
      <c r="AZ894" s="854"/>
      <c r="BA894" s="854"/>
      <c r="BB894" s="854"/>
      <c r="BC894" s="854"/>
      <c r="BD894" s="854"/>
      <c r="BE894" s="854"/>
      <c r="BF894" s="854"/>
      <c r="BG894" s="854"/>
      <c r="BH894" s="854"/>
      <c r="BI894" s="854"/>
      <c r="BJ894" s="854"/>
      <c r="BK894" s="854"/>
      <c r="BL894" s="854"/>
      <c r="BM894" s="854"/>
      <c r="BN894" s="854"/>
      <c r="BO894" s="854"/>
      <c r="BP894" s="854"/>
      <c r="BQ894" s="854"/>
      <c r="BR894" s="854"/>
      <c r="BS894" s="854"/>
      <c r="BT894" s="854"/>
      <c r="BU894" s="854"/>
      <c r="BV894" s="854"/>
      <c r="BW894" s="854"/>
      <c r="BX894" s="854"/>
      <c r="BY894" s="854"/>
      <c r="BZ894" s="854"/>
      <c r="CA894" s="571">
        <f>IF(OR(I894="",I894&lt;'Configs &amp; Procedures'!$L$29),0,IF(I894&gt;'Configs &amp; Procedures'!$L$30,1,IF(F894&gt;'Configs &amp; Procedures'!$L$31,0,1)))</f>
        <v>0</v>
      </c>
    </row>
    <row r="895" spans="2:79">
      <c r="B895" s="854"/>
      <c r="C895" s="854"/>
      <c r="D895" s="854"/>
      <c r="E895" s="854"/>
      <c r="F895" s="854"/>
      <c r="G895" s="854"/>
      <c r="H895" s="854"/>
      <c r="I895" s="854"/>
      <c r="J895" s="854"/>
      <c r="K895" s="854"/>
      <c r="L895" s="854"/>
      <c r="M895" s="854"/>
      <c r="N895" s="854"/>
      <c r="O895" s="854"/>
      <c r="P895" s="854"/>
      <c r="Q895" s="854"/>
      <c r="R895" s="854"/>
      <c r="S895" s="854"/>
      <c r="T895" s="854"/>
      <c r="U895" s="854"/>
      <c r="V895" s="854"/>
      <c r="W895" s="854"/>
      <c r="X895" s="854"/>
      <c r="Y895" s="854"/>
      <c r="Z895" s="854"/>
      <c r="AA895" s="854"/>
      <c r="AB895" s="854"/>
      <c r="AC895" s="854"/>
      <c r="AD895" s="854"/>
      <c r="AE895" s="854"/>
      <c r="AF895" s="854"/>
      <c r="AG895" s="854"/>
      <c r="AH895" s="854"/>
      <c r="AI895" s="854"/>
      <c r="AJ895" s="854"/>
      <c r="AK895" s="854"/>
      <c r="AL895" s="854"/>
      <c r="AM895" s="854"/>
      <c r="AN895" s="854"/>
      <c r="AO895" s="854"/>
      <c r="AP895" s="854"/>
      <c r="AQ895" s="854"/>
      <c r="AR895" s="854"/>
      <c r="AS895" s="854"/>
      <c r="AT895" s="854"/>
      <c r="AU895" s="854"/>
      <c r="AV895" s="854"/>
      <c r="AW895" s="854"/>
      <c r="AX895" s="854"/>
      <c r="AY895" s="854"/>
      <c r="AZ895" s="854"/>
      <c r="BA895" s="854"/>
      <c r="BB895" s="854"/>
      <c r="BC895" s="854"/>
      <c r="BD895" s="854"/>
      <c r="BE895" s="854"/>
      <c r="BF895" s="854"/>
      <c r="BG895" s="854"/>
      <c r="BH895" s="854"/>
      <c r="BI895" s="854"/>
      <c r="BJ895" s="854"/>
      <c r="BK895" s="854"/>
      <c r="BL895" s="854"/>
      <c r="BM895" s="854"/>
      <c r="BN895" s="854"/>
      <c r="BO895" s="854"/>
      <c r="BP895" s="854"/>
      <c r="BQ895" s="854"/>
      <c r="BR895" s="854"/>
      <c r="BS895" s="854"/>
      <c r="BT895" s="854"/>
      <c r="BU895" s="854"/>
      <c r="BV895" s="854"/>
      <c r="BW895" s="854"/>
      <c r="BX895" s="854"/>
      <c r="BY895" s="854"/>
      <c r="BZ895" s="854"/>
      <c r="CA895" s="571">
        <f>IF(OR(I895="",I895&lt;'Configs &amp; Procedures'!$L$29),0,IF(I895&gt;'Configs &amp; Procedures'!$L$30,1,IF(F895&gt;'Configs &amp; Procedures'!$L$31,0,1)))</f>
        <v>0</v>
      </c>
    </row>
    <row r="896" spans="2:79">
      <c r="B896" s="854"/>
      <c r="C896" s="854"/>
      <c r="D896" s="854"/>
      <c r="E896" s="854"/>
      <c r="F896" s="854"/>
      <c r="G896" s="854"/>
      <c r="H896" s="854"/>
      <c r="I896" s="854"/>
      <c r="J896" s="854"/>
      <c r="K896" s="854"/>
      <c r="L896" s="854"/>
      <c r="M896" s="854"/>
      <c r="N896" s="854"/>
      <c r="O896" s="854"/>
      <c r="P896" s="854"/>
      <c r="Q896" s="854"/>
      <c r="R896" s="854"/>
      <c r="S896" s="854"/>
      <c r="T896" s="854"/>
      <c r="U896" s="854"/>
      <c r="V896" s="854"/>
      <c r="W896" s="854"/>
      <c r="X896" s="854"/>
      <c r="Y896" s="854"/>
      <c r="Z896" s="854"/>
      <c r="AA896" s="854"/>
      <c r="AB896" s="854"/>
      <c r="AC896" s="854"/>
      <c r="AD896" s="854"/>
      <c r="AE896" s="854"/>
      <c r="AF896" s="854"/>
      <c r="AG896" s="854"/>
      <c r="AH896" s="854"/>
      <c r="AI896" s="854"/>
      <c r="AJ896" s="854"/>
      <c r="AK896" s="854"/>
      <c r="AL896" s="854"/>
      <c r="AM896" s="854"/>
      <c r="AN896" s="854"/>
      <c r="AO896" s="854"/>
      <c r="AP896" s="854"/>
      <c r="AQ896" s="854"/>
      <c r="AR896" s="854"/>
      <c r="AS896" s="854"/>
      <c r="AT896" s="854"/>
      <c r="AU896" s="854"/>
      <c r="AV896" s="854"/>
      <c r="AW896" s="854"/>
      <c r="AX896" s="854"/>
      <c r="AY896" s="854"/>
      <c r="AZ896" s="854"/>
      <c r="BA896" s="854"/>
      <c r="BB896" s="854"/>
      <c r="BC896" s="854"/>
      <c r="BD896" s="854"/>
      <c r="BE896" s="854"/>
      <c r="BF896" s="854"/>
      <c r="BG896" s="854"/>
      <c r="BH896" s="854"/>
      <c r="BI896" s="854"/>
      <c r="BJ896" s="854"/>
      <c r="BK896" s="854"/>
      <c r="BL896" s="854"/>
      <c r="BM896" s="854"/>
      <c r="BN896" s="854"/>
      <c r="BO896" s="854"/>
      <c r="BP896" s="854"/>
      <c r="BQ896" s="854"/>
      <c r="BR896" s="854"/>
      <c r="BS896" s="854"/>
      <c r="BT896" s="854"/>
      <c r="BU896" s="854"/>
      <c r="BV896" s="854"/>
      <c r="BW896" s="854"/>
      <c r="BX896" s="854"/>
      <c r="BY896" s="854"/>
      <c r="BZ896" s="854"/>
      <c r="CA896" s="571">
        <f>IF(OR(I896="",I896&lt;'Configs &amp; Procedures'!$L$29),0,IF(I896&gt;'Configs &amp; Procedures'!$L$30,1,IF(F896&gt;'Configs &amp; Procedures'!$L$31,0,1)))</f>
        <v>0</v>
      </c>
    </row>
    <row r="897" spans="2:79">
      <c r="B897" s="854"/>
      <c r="C897" s="854"/>
      <c r="D897" s="854"/>
      <c r="E897" s="854"/>
      <c r="F897" s="854"/>
      <c r="G897" s="854"/>
      <c r="H897" s="854"/>
      <c r="I897" s="854"/>
      <c r="J897" s="854"/>
      <c r="K897" s="854"/>
      <c r="L897" s="854"/>
      <c r="M897" s="854"/>
      <c r="N897" s="854"/>
      <c r="O897" s="854"/>
      <c r="P897" s="854"/>
      <c r="Q897" s="854"/>
      <c r="R897" s="854"/>
      <c r="S897" s="854"/>
      <c r="T897" s="854"/>
      <c r="U897" s="854"/>
      <c r="V897" s="854"/>
      <c r="W897" s="854"/>
      <c r="X897" s="854"/>
      <c r="Y897" s="854"/>
      <c r="Z897" s="854"/>
      <c r="AA897" s="854"/>
      <c r="AB897" s="854"/>
      <c r="AC897" s="854"/>
      <c r="AD897" s="854"/>
      <c r="AE897" s="854"/>
      <c r="AF897" s="854"/>
      <c r="AG897" s="854"/>
      <c r="AH897" s="854"/>
      <c r="AI897" s="854"/>
      <c r="AJ897" s="854"/>
      <c r="AK897" s="854"/>
      <c r="AL897" s="854"/>
      <c r="AM897" s="854"/>
      <c r="AN897" s="854"/>
      <c r="AO897" s="854"/>
      <c r="AP897" s="854"/>
      <c r="AQ897" s="854"/>
      <c r="AR897" s="854"/>
      <c r="AS897" s="854"/>
      <c r="AT897" s="854"/>
      <c r="AU897" s="854"/>
      <c r="AV897" s="854"/>
      <c r="AW897" s="854"/>
      <c r="AX897" s="854"/>
      <c r="AY897" s="854"/>
      <c r="AZ897" s="854"/>
      <c r="BA897" s="854"/>
      <c r="BB897" s="854"/>
      <c r="BC897" s="854"/>
      <c r="BD897" s="854"/>
      <c r="BE897" s="854"/>
      <c r="BF897" s="854"/>
      <c r="BG897" s="854"/>
      <c r="BH897" s="854"/>
      <c r="BI897" s="854"/>
      <c r="BJ897" s="854"/>
      <c r="BK897" s="854"/>
      <c r="BL897" s="854"/>
      <c r="BM897" s="854"/>
      <c r="BN897" s="854"/>
      <c r="BO897" s="854"/>
      <c r="BP897" s="854"/>
      <c r="BQ897" s="854"/>
      <c r="BR897" s="854"/>
      <c r="BS897" s="854"/>
      <c r="BT897" s="854"/>
      <c r="BU897" s="854"/>
      <c r="BV897" s="854"/>
      <c r="BW897" s="854"/>
      <c r="BX897" s="854"/>
      <c r="BY897" s="854"/>
      <c r="BZ897" s="854"/>
      <c r="CA897" s="571">
        <f>IF(OR(I897="",I897&lt;'Configs &amp; Procedures'!$L$29),0,IF(I897&gt;'Configs &amp; Procedures'!$L$30,1,IF(F897&gt;'Configs &amp; Procedures'!$L$31,0,1)))</f>
        <v>0</v>
      </c>
    </row>
    <row r="898" spans="2:79">
      <c r="B898" s="854"/>
      <c r="C898" s="854"/>
      <c r="D898" s="854"/>
      <c r="E898" s="854"/>
      <c r="F898" s="854"/>
      <c r="G898" s="854"/>
      <c r="H898" s="854"/>
      <c r="I898" s="854"/>
      <c r="J898" s="854"/>
      <c r="K898" s="854"/>
      <c r="L898" s="854"/>
      <c r="M898" s="854"/>
      <c r="N898" s="854"/>
      <c r="O898" s="854"/>
      <c r="P898" s="854"/>
      <c r="Q898" s="854"/>
      <c r="R898" s="854"/>
      <c r="S898" s="854"/>
      <c r="T898" s="854"/>
      <c r="U898" s="854"/>
      <c r="V898" s="854"/>
      <c r="W898" s="854"/>
      <c r="X898" s="854"/>
      <c r="Y898" s="854"/>
      <c r="Z898" s="854"/>
      <c r="AA898" s="854"/>
      <c r="AB898" s="854"/>
      <c r="AC898" s="854"/>
      <c r="AD898" s="854"/>
      <c r="AE898" s="854"/>
      <c r="AF898" s="854"/>
      <c r="AG898" s="854"/>
      <c r="AH898" s="854"/>
      <c r="AI898" s="854"/>
      <c r="AJ898" s="854"/>
      <c r="AK898" s="854"/>
      <c r="AL898" s="854"/>
      <c r="AM898" s="854"/>
      <c r="AN898" s="854"/>
      <c r="AO898" s="854"/>
      <c r="AP898" s="854"/>
      <c r="AQ898" s="854"/>
      <c r="AR898" s="854"/>
      <c r="AS898" s="854"/>
      <c r="AT898" s="854"/>
      <c r="AU898" s="854"/>
      <c r="AV898" s="854"/>
      <c r="AW898" s="854"/>
      <c r="AX898" s="854"/>
      <c r="AY898" s="854"/>
      <c r="AZ898" s="854"/>
      <c r="BA898" s="854"/>
      <c r="BB898" s="854"/>
      <c r="BC898" s="854"/>
      <c r="BD898" s="854"/>
      <c r="BE898" s="854"/>
      <c r="BF898" s="854"/>
      <c r="BG898" s="854"/>
      <c r="BH898" s="854"/>
      <c r="BI898" s="854"/>
      <c r="BJ898" s="854"/>
      <c r="BK898" s="854"/>
      <c r="BL898" s="854"/>
      <c r="BM898" s="854"/>
      <c r="BN898" s="854"/>
      <c r="BO898" s="854"/>
      <c r="BP898" s="854"/>
      <c r="BQ898" s="854"/>
      <c r="BR898" s="854"/>
      <c r="BS898" s="854"/>
      <c r="BT898" s="854"/>
      <c r="BU898" s="854"/>
      <c r="BV898" s="854"/>
      <c r="BW898" s="854"/>
      <c r="BX898" s="854"/>
      <c r="BY898" s="854"/>
      <c r="BZ898" s="854"/>
      <c r="CA898" s="571">
        <f>IF(OR(I898="",I898&lt;'Configs &amp; Procedures'!$L$29),0,IF(I898&gt;'Configs &amp; Procedures'!$L$30,1,IF(F898&gt;'Configs &amp; Procedures'!$L$31,0,1)))</f>
        <v>0</v>
      </c>
    </row>
    <row r="899" spans="2:79">
      <c r="B899" s="854"/>
      <c r="C899" s="854"/>
      <c r="D899" s="854"/>
      <c r="E899" s="854"/>
      <c r="F899" s="854"/>
      <c r="G899" s="854"/>
      <c r="H899" s="854"/>
      <c r="I899" s="854"/>
      <c r="J899" s="854"/>
      <c r="K899" s="854"/>
      <c r="L899" s="854"/>
      <c r="M899" s="854"/>
      <c r="N899" s="854"/>
      <c r="O899" s="854"/>
      <c r="P899" s="854"/>
      <c r="Q899" s="854"/>
      <c r="R899" s="854"/>
      <c r="S899" s="854"/>
      <c r="T899" s="854"/>
      <c r="U899" s="854"/>
      <c r="V899" s="854"/>
      <c r="W899" s="854"/>
      <c r="X899" s="854"/>
      <c r="Y899" s="854"/>
      <c r="Z899" s="854"/>
      <c r="AA899" s="854"/>
      <c r="AB899" s="854"/>
      <c r="AC899" s="854"/>
      <c r="AD899" s="854"/>
      <c r="AE899" s="854"/>
      <c r="AF899" s="854"/>
      <c r="AG899" s="854"/>
      <c r="AH899" s="854"/>
      <c r="AI899" s="854"/>
      <c r="AJ899" s="854"/>
      <c r="AK899" s="854"/>
      <c r="AL899" s="854"/>
      <c r="AM899" s="854"/>
      <c r="AN899" s="854"/>
      <c r="AO899" s="854"/>
      <c r="AP899" s="854"/>
      <c r="AQ899" s="854"/>
      <c r="AR899" s="854"/>
      <c r="AS899" s="854"/>
      <c r="AT899" s="854"/>
      <c r="AU899" s="854"/>
      <c r="AV899" s="854"/>
      <c r="AW899" s="854"/>
      <c r="AX899" s="854"/>
      <c r="AY899" s="854"/>
      <c r="AZ899" s="854"/>
      <c r="BA899" s="854"/>
      <c r="BB899" s="854"/>
      <c r="BC899" s="854"/>
      <c r="BD899" s="854"/>
      <c r="BE899" s="854"/>
      <c r="BF899" s="854"/>
      <c r="BG899" s="854"/>
      <c r="BH899" s="854"/>
      <c r="BI899" s="854"/>
      <c r="BJ899" s="854"/>
      <c r="BK899" s="854"/>
      <c r="BL899" s="854"/>
      <c r="BM899" s="854"/>
      <c r="BN899" s="854"/>
      <c r="BO899" s="854"/>
      <c r="BP899" s="854"/>
      <c r="BQ899" s="854"/>
      <c r="BR899" s="854"/>
      <c r="BS899" s="854"/>
      <c r="BT899" s="854"/>
      <c r="BU899" s="854"/>
      <c r="BV899" s="854"/>
      <c r="BW899" s="854"/>
      <c r="BX899" s="854"/>
      <c r="BY899" s="854"/>
      <c r="BZ899" s="854"/>
      <c r="CA899" s="571">
        <f>IF(OR(I899="",I899&lt;'Configs &amp; Procedures'!$L$29),0,IF(I899&gt;'Configs &amp; Procedures'!$L$30,1,IF(F899&gt;'Configs &amp; Procedures'!$L$31,0,1)))</f>
        <v>0</v>
      </c>
    </row>
    <row r="900" spans="2:79">
      <c r="B900" s="854"/>
      <c r="C900" s="854"/>
      <c r="D900" s="854"/>
      <c r="E900" s="854"/>
      <c r="F900" s="854"/>
      <c r="G900" s="854"/>
      <c r="H900" s="854"/>
      <c r="I900" s="854"/>
      <c r="J900" s="854"/>
      <c r="K900" s="854"/>
      <c r="L900" s="854"/>
      <c r="M900" s="854"/>
      <c r="N900" s="854"/>
      <c r="O900" s="854"/>
      <c r="P900" s="854"/>
      <c r="Q900" s="854"/>
      <c r="R900" s="854"/>
      <c r="S900" s="854"/>
      <c r="T900" s="854"/>
      <c r="U900" s="854"/>
      <c r="V900" s="854"/>
      <c r="W900" s="854"/>
      <c r="X900" s="854"/>
      <c r="Y900" s="854"/>
      <c r="Z900" s="854"/>
      <c r="AA900" s="854"/>
      <c r="AB900" s="854"/>
      <c r="AC900" s="854"/>
      <c r="AD900" s="854"/>
      <c r="AE900" s="854"/>
      <c r="AF900" s="854"/>
      <c r="AG900" s="854"/>
      <c r="AH900" s="854"/>
      <c r="AI900" s="854"/>
      <c r="AJ900" s="854"/>
      <c r="AK900" s="854"/>
      <c r="AL900" s="854"/>
      <c r="AM900" s="854"/>
      <c r="AN900" s="854"/>
      <c r="AO900" s="854"/>
      <c r="AP900" s="854"/>
      <c r="AQ900" s="854"/>
      <c r="AR900" s="854"/>
      <c r="AS900" s="854"/>
      <c r="AT900" s="854"/>
      <c r="AU900" s="854"/>
      <c r="AV900" s="854"/>
      <c r="AW900" s="854"/>
      <c r="AX900" s="854"/>
      <c r="AY900" s="854"/>
      <c r="AZ900" s="854"/>
      <c r="BA900" s="854"/>
      <c r="BB900" s="854"/>
      <c r="BC900" s="854"/>
      <c r="BD900" s="854"/>
      <c r="BE900" s="854"/>
      <c r="BF900" s="854"/>
      <c r="BG900" s="854"/>
      <c r="BH900" s="854"/>
      <c r="BI900" s="854"/>
      <c r="BJ900" s="854"/>
      <c r="BK900" s="854"/>
      <c r="BL900" s="854"/>
      <c r="BM900" s="854"/>
      <c r="BN900" s="854"/>
      <c r="BO900" s="854"/>
      <c r="BP900" s="854"/>
      <c r="BQ900" s="854"/>
      <c r="BR900" s="854"/>
      <c r="BS900" s="854"/>
      <c r="BT900" s="854"/>
      <c r="BU900" s="854"/>
      <c r="BV900" s="854"/>
      <c r="BW900" s="854"/>
      <c r="BX900" s="854"/>
      <c r="BY900" s="854"/>
      <c r="BZ900" s="854"/>
      <c r="CA900" s="571">
        <f>IF(OR(I900="",I900&lt;'Configs &amp; Procedures'!$L$29),0,IF(I900&gt;'Configs &amp; Procedures'!$L$30,1,IF(F900&gt;'Configs &amp; Procedures'!$L$31,0,1)))</f>
        <v>0</v>
      </c>
    </row>
    <row r="901" spans="2:79">
      <c r="B901" s="854"/>
      <c r="C901" s="854"/>
      <c r="D901" s="854"/>
      <c r="E901" s="854"/>
      <c r="F901" s="854"/>
      <c r="G901" s="854"/>
      <c r="H901" s="854"/>
      <c r="I901" s="854"/>
      <c r="J901" s="854"/>
      <c r="K901" s="854"/>
      <c r="L901" s="854"/>
      <c r="M901" s="854"/>
      <c r="N901" s="854"/>
      <c r="O901" s="854"/>
      <c r="P901" s="854"/>
      <c r="Q901" s="854"/>
      <c r="R901" s="854"/>
      <c r="S901" s="854"/>
      <c r="T901" s="854"/>
      <c r="U901" s="854"/>
      <c r="V901" s="854"/>
      <c r="W901" s="854"/>
      <c r="X901" s="854"/>
      <c r="Y901" s="854"/>
      <c r="Z901" s="854"/>
      <c r="AA901" s="854"/>
      <c r="AB901" s="854"/>
      <c r="AC901" s="854"/>
      <c r="AD901" s="854"/>
      <c r="AE901" s="854"/>
      <c r="AF901" s="854"/>
      <c r="AG901" s="854"/>
      <c r="AH901" s="854"/>
      <c r="AI901" s="854"/>
      <c r="AJ901" s="854"/>
      <c r="AK901" s="854"/>
      <c r="AL901" s="854"/>
      <c r="AM901" s="854"/>
      <c r="AN901" s="854"/>
      <c r="AO901" s="854"/>
      <c r="AP901" s="854"/>
      <c r="AQ901" s="854"/>
      <c r="AR901" s="854"/>
      <c r="AS901" s="854"/>
      <c r="AT901" s="854"/>
      <c r="AU901" s="854"/>
      <c r="AV901" s="854"/>
      <c r="AW901" s="854"/>
      <c r="AX901" s="854"/>
      <c r="AY901" s="854"/>
      <c r="AZ901" s="854"/>
      <c r="BA901" s="854"/>
      <c r="BB901" s="854"/>
      <c r="BC901" s="854"/>
      <c r="BD901" s="854"/>
      <c r="BE901" s="854"/>
      <c r="BF901" s="854"/>
      <c r="BG901" s="854"/>
      <c r="BH901" s="854"/>
      <c r="BI901" s="854"/>
      <c r="BJ901" s="854"/>
      <c r="BK901" s="854"/>
      <c r="BL901" s="854"/>
      <c r="BM901" s="854"/>
      <c r="BN901" s="854"/>
      <c r="BO901" s="854"/>
      <c r="BP901" s="854"/>
      <c r="BQ901" s="854"/>
      <c r="BR901" s="854"/>
      <c r="BS901" s="854"/>
      <c r="BT901" s="854"/>
      <c r="BU901" s="854"/>
      <c r="BV901" s="854"/>
      <c r="BW901" s="854"/>
      <c r="BX901" s="854"/>
      <c r="BY901" s="854"/>
      <c r="BZ901" s="854"/>
      <c r="CA901" s="571">
        <f>IF(OR(I901="",I901&lt;'Configs &amp; Procedures'!$L$29),0,IF(I901&gt;'Configs &amp; Procedures'!$L$30,1,IF(F901&gt;'Configs &amp; Procedures'!$L$31,0,1)))</f>
        <v>0</v>
      </c>
    </row>
    <row r="902" spans="2:79">
      <c r="B902" s="854"/>
      <c r="C902" s="854"/>
      <c r="D902" s="854"/>
      <c r="E902" s="854"/>
      <c r="F902" s="854"/>
      <c r="G902" s="854"/>
      <c r="H902" s="854"/>
      <c r="I902" s="854"/>
      <c r="J902" s="854"/>
      <c r="K902" s="854"/>
      <c r="L902" s="854"/>
      <c r="M902" s="854"/>
      <c r="N902" s="854"/>
      <c r="O902" s="854"/>
      <c r="P902" s="854"/>
      <c r="Q902" s="854"/>
      <c r="R902" s="854"/>
      <c r="S902" s="854"/>
      <c r="T902" s="854"/>
      <c r="U902" s="854"/>
      <c r="V902" s="854"/>
      <c r="W902" s="854"/>
      <c r="X902" s="854"/>
      <c r="Y902" s="854"/>
      <c r="Z902" s="854"/>
      <c r="AA902" s="854"/>
      <c r="AB902" s="854"/>
      <c r="AC902" s="854"/>
      <c r="AD902" s="854"/>
      <c r="AE902" s="854"/>
      <c r="AF902" s="854"/>
      <c r="AG902" s="854"/>
      <c r="AH902" s="854"/>
      <c r="AI902" s="854"/>
      <c r="AJ902" s="854"/>
      <c r="AK902" s="854"/>
      <c r="AL902" s="854"/>
      <c r="AM902" s="854"/>
      <c r="AN902" s="854"/>
      <c r="AO902" s="854"/>
      <c r="AP902" s="854"/>
      <c r="AQ902" s="854"/>
      <c r="AR902" s="854"/>
      <c r="AS902" s="854"/>
      <c r="AT902" s="854"/>
      <c r="AU902" s="854"/>
      <c r="AV902" s="854"/>
      <c r="AW902" s="854"/>
      <c r="AX902" s="854"/>
      <c r="AY902" s="854"/>
      <c r="AZ902" s="854"/>
      <c r="BA902" s="854"/>
      <c r="BB902" s="854"/>
      <c r="BC902" s="854"/>
      <c r="BD902" s="854"/>
      <c r="BE902" s="854"/>
      <c r="BF902" s="854"/>
      <c r="BG902" s="854"/>
      <c r="BH902" s="854"/>
      <c r="BI902" s="854"/>
      <c r="BJ902" s="854"/>
      <c r="BK902" s="854"/>
      <c r="BL902" s="854"/>
      <c r="BM902" s="854"/>
      <c r="BN902" s="854"/>
      <c r="BO902" s="854"/>
      <c r="BP902" s="854"/>
      <c r="BQ902" s="854"/>
      <c r="BR902" s="854"/>
      <c r="BS902" s="854"/>
      <c r="BT902" s="854"/>
      <c r="BU902" s="854"/>
      <c r="BV902" s="854"/>
      <c r="BW902" s="854"/>
      <c r="BX902" s="854"/>
      <c r="BY902" s="854"/>
      <c r="BZ902" s="854"/>
      <c r="CA902" s="571">
        <f>IF(OR(I902="",I902&lt;'Configs &amp; Procedures'!$L$29),0,IF(I902&gt;'Configs &amp; Procedures'!$L$30,1,IF(F902&gt;'Configs &amp; Procedures'!$L$31,0,1)))</f>
        <v>0</v>
      </c>
    </row>
    <row r="903" spans="2:79">
      <c r="B903" s="854"/>
      <c r="C903" s="854"/>
      <c r="D903" s="854"/>
      <c r="E903" s="854"/>
      <c r="F903" s="854"/>
      <c r="G903" s="854"/>
      <c r="H903" s="854"/>
      <c r="I903" s="854"/>
      <c r="J903" s="854"/>
      <c r="K903" s="854"/>
      <c r="L903" s="854"/>
      <c r="M903" s="854"/>
      <c r="N903" s="854"/>
      <c r="O903" s="854"/>
      <c r="P903" s="854"/>
      <c r="Q903" s="854"/>
      <c r="R903" s="854"/>
      <c r="S903" s="854"/>
      <c r="T903" s="854"/>
      <c r="U903" s="854"/>
      <c r="V903" s="854"/>
      <c r="W903" s="854"/>
      <c r="X903" s="854"/>
      <c r="Y903" s="854"/>
      <c r="Z903" s="854"/>
      <c r="AA903" s="854"/>
      <c r="AB903" s="854"/>
      <c r="AC903" s="854"/>
      <c r="AD903" s="854"/>
      <c r="AE903" s="854"/>
      <c r="AF903" s="854"/>
      <c r="AG903" s="854"/>
      <c r="AH903" s="854"/>
      <c r="AI903" s="854"/>
      <c r="AJ903" s="854"/>
      <c r="AK903" s="854"/>
      <c r="AL903" s="854"/>
      <c r="AM903" s="854"/>
      <c r="AN903" s="854"/>
      <c r="AO903" s="854"/>
      <c r="AP903" s="854"/>
      <c r="AQ903" s="854"/>
      <c r="AR903" s="854"/>
      <c r="AS903" s="854"/>
      <c r="AT903" s="854"/>
      <c r="AU903" s="854"/>
      <c r="AV903" s="854"/>
      <c r="AW903" s="854"/>
      <c r="AX903" s="854"/>
      <c r="AY903" s="854"/>
      <c r="AZ903" s="854"/>
      <c r="BA903" s="854"/>
      <c r="BB903" s="854"/>
      <c r="BC903" s="854"/>
      <c r="BD903" s="854"/>
      <c r="BE903" s="854"/>
      <c r="BF903" s="854"/>
      <c r="BG903" s="854"/>
      <c r="BH903" s="854"/>
      <c r="BI903" s="854"/>
      <c r="BJ903" s="854"/>
      <c r="BK903" s="854"/>
      <c r="BL903" s="854"/>
      <c r="BM903" s="854"/>
      <c r="BN903" s="854"/>
      <c r="BO903" s="854"/>
      <c r="BP903" s="854"/>
      <c r="BQ903" s="854"/>
      <c r="BR903" s="854"/>
      <c r="BS903" s="854"/>
      <c r="BT903" s="854"/>
      <c r="BU903" s="854"/>
      <c r="BV903" s="854"/>
      <c r="BW903" s="854"/>
      <c r="BX903" s="854"/>
      <c r="BY903" s="854"/>
      <c r="BZ903" s="854"/>
      <c r="CA903" s="571">
        <f>IF(OR(I903="",I903&lt;'Configs &amp; Procedures'!$L$29),0,IF(I903&gt;'Configs &amp; Procedures'!$L$30,1,IF(F903&gt;'Configs &amp; Procedures'!$L$31,0,1)))</f>
        <v>0</v>
      </c>
    </row>
    <row r="904" spans="2:79">
      <c r="B904" s="854"/>
      <c r="C904" s="854"/>
      <c r="D904" s="854"/>
      <c r="E904" s="854"/>
      <c r="F904" s="854"/>
      <c r="G904" s="854"/>
      <c r="H904" s="854"/>
      <c r="I904" s="854"/>
      <c r="J904" s="854"/>
      <c r="K904" s="854"/>
      <c r="L904" s="854"/>
      <c r="M904" s="854"/>
      <c r="N904" s="854"/>
      <c r="O904" s="854"/>
      <c r="P904" s="854"/>
      <c r="Q904" s="854"/>
      <c r="R904" s="854"/>
      <c r="S904" s="854"/>
      <c r="T904" s="854"/>
      <c r="U904" s="854"/>
      <c r="V904" s="854"/>
      <c r="W904" s="854"/>
      <c r="X904" s="854"/>
      <c r="Y904" s="854"/>
      <c r="Z904" s="854"/>
      <c r="AA904" s="854"/>
      <c r="AB904" s="854"/>
      <c r="AC904" s="854"/>
      <c r="AD904" s="854"/>
      <c r="AE904" s="854"/>
      <c r="AF904" s="854"/>
      <c r="AG904" s="854"/>
      <c r="AH904" s="854"/>
      <c r="AI904" s="854"/>
      <c r="AJ904" s="854"/>
      <c r="AK904" s="854"/>
      <c r="AL904" s="854"/>
      <c r="AM904" s="854"/>
      <c r="AN904" s="854"/>
      <c r="AO904" s="854"/>
      <c r="AP904" s="854"/>
      <c r="AQ904" s="854"/>
      <c r="AR904" s="854"/>
      <c r="AS904" s="854"/>
      <c r="AT904" s="854"/>
      <c r="AU904" s="854"/>
      <c r="AV904" s="854"/>
      <c r="AW904" s="854"/>
      <c r="AX904" s="854"/>
      <c r="AY904" s="854"/>
      <c r="AZ904" s="854"/>
      <c r="BA904" s="854"/>
      <c r="BB904" s="854"/>
      <c r="BC904" s="854"/>
      <c r="BD904" s="854"/>
      <c r="BE904" s="854"/>
      <c r="BF904" s="854"/>
      <c r="BG904" s="854"/>
      <c r="BH904" s="854"/>
      <c r="BI904" s="854"/>
      <c r="BJ904" s="854"/>
      <c r="BK904" s="854"/>
      <c r="BL904" s="854"/>
      <c r="BM904" s="854"/>
      <c r="BN904" s="854"/>
      <c r="BO904" s="854"/>
      <c r="BP904" s="854"/>
      <c r="BQ904" s="854"/>
      <c r="BR904" s="854"/>
      <c r="BS904" s="854"/>
      <c r="BT904" s="854"/>
      <c r="BU904" s="854"/>
      <c r="BV904" s="854"/>
      <c r="BW904" s="854"/>
      <c r="BX904" s="854"/>
      <c r="BY904" s="854"/>
      <c r="BZ904" s="854"/>
      <c r="CA904" s="571">
        <f>IF(OR(I904="",I904&lt;'Configs &amp; Procedures'!$L$29),0,IF(I904&gt;'Configs &amp; Procedures'!$L$30,1,IF(F904&gt;'Configs &amp; Procedures'!$L$31,0,1)))</f>
        <v>0</v>
      </c>
    </row>
    <row r="905" spans="2:79">
      <c r="B905" s="854"/>
      <c r="C905" s="854"/>
      <c r="D905" s="854"/>
      <c r="E905" s="854"/>
      <c r="F905" s="854"/>
      <c r="G905" s="854"/>
      <c r="H905" s="854"/>
      <c r="I905" s="854"/>
      <c r="J905" s="854"/>
      <c r="K905" s="854"/>
      <c r="L905" s="854"/>
      <c r="M905" s="854"/>
      <c r="N905" s="854"/>
      <c r="O905" s="854"/>
      <c r="P905" s="854"/>
      <c r="Q905" s="854"/>
      <c r="R905" s="854"/>
      <c r="S905" s="854"/>
      <c r="T905" s="854"/>
      <c r="U905" s="854"/>
      <c r="V905" s="854"/>
      <c r="W905" s="854"/>
      <c r="X905" s="854"/>
      <c r="Y905" s="854"/>
      <c r="Z905" s="854"/>
      <c r="AA905" s="854"/>
      <c r="AB905" s="854"/>
      <c r="AC905" s="854"/>
      <c r="AD905" s="854"/>
      <c r="AE905" s="854"/>
      <c r="AF905" s="854"/>
      <c r="AG905" s="854"/>
      <c r="AH905" s="854"/>
      <c r="AI905" s="854"/>
      <c r="AJ905" s="854"/>
      <c r="AK905" s="854"/>
      <c r="AL905" s="854"/>
      <c r="AM905" s="854"/>
      <c r="AN905" s="854"/>
      <c r="AO905" s="854"/>
      <c r="AP905" s="854"/>
      <c r="AQ905" s="854"/>
      <c r="AR905" s="854"/>
      <c r="AS905" s="854"/>
      <c r="AT905" s="854"/>
      <c r="AU905" s="854"/>
      <c r="AV905" s="854"/>
      <c r="AW905" s="854"/>
      <c r="AX905" s="854"/>
      <c r="AY905" s="854"/>
      <c r="AZ905" s="854"/>
      <c r="BA905" s="854"/>
      <c r="BB905" s="854"/>
      <c r="BC905" s="854"/>
      <c r="BD905" s="854"/>
      <c r="BE905" s="854"/>
      <c r="BF905" s="854"/>
      <c r="BG905" s="854"/>
      <c r="BH905" s="854"/>
      <c r="BI905" s="854"/>
      <c r="BJ905" s="854"/>
      <c r="BK905" s="854"/>
      <c r="BL905" s="854"/>
      <c r="BM905" s="854"/>
      <c r="BN905" s="854"/>
      <c r="BO905" s="854"/>
      <c r="BP905" s="854"/>
      <c r="BQ905" s="854"/>
      <c r="BR905" s="854"/>
      <c r="BS905" s="854"/>
      <c r="BT905" s="854"/>
      <c r="BU905" s="854"/>
      <c r="BV905" s="854"/>
      <c r="BW905" s="854"/>
      <c r="BX905" s="854"/>
      <c r="BY905" s="854"/>
      <c r="BZ905" s="854"/>
      <c r="CA905" s="571">
        <f>IF(OR(I905="",I905&lt;'Configs &amp; Procedures'!$L$29),0,IF(I905&gt;'Configs &amp; Procedures'!$L$30,1,IF(F905&gt;'Configs &amp; Procedures'!$L$31,0,1)))</f>
        <v>0</v>
      </c>
    </row>
    <row r="906" spans="2:79">
      <c r="B906" s="854"/>
      <c r="C906" s="854"/>
      <c r="D906" s="854"/>
      <c r="E906" s="854"/>
      <c r="F906" s="854"/>
      <c r="G906" s="854"/>
      <c r="H906" s="854"/>
      <c r="I906" s="854"/>
      <c r="J906" s="854"/>
      <c r="K906" s="854"/>
      <c r="L906" s="854"/>
      <c r="M906" s="854"/>
      <c r="N906" s="854"/>
      <c r="O906" s="854"/>
      <c r="P906" s="854"/>
      <c r="Q906" s="854"/>
      <c r="R906" s="854"/>
      <c r="S906" s="854"/>
      <c r="T906" s="854"/>
      <c r="U906" s="854"/>
      <c r="V906" s="854"/>
      <c r="W906" s="854"/>
      <c r="X906" s="854"/>
      <c r="Y906" s="854"/>
      <c r="Z906" s="854"/>
      <c r="AA906" s="854"/>
      <c r="AB906" s="854"/>
      <c r="AC906" s="854"/>
      <c r="AD906" s="854"/>
      <c r="AE906" s="854"/>
      <c r="AF906" s="854"/>
      <c r="AG906" s="854"/>
      <c r="AH906" s="854"/>
      <c r="AI906" s="854"/>
      <c r="AJ906" s="854"/>
      <c r="AK906" s="854"/>
      <c r="AL906" s="854"/>
      <c r="AM906" s="854"/>
      <c r="AN906" s="854"/>
      <c r="AO906" s="854"/>
      <c r="AP906" s="854"/>
      <c r="AQ906" s="854"/>
      <c r="AR906" s="854"/>
      <c r="AS906" s="854"/>
      <c r="AT906" s="854"/>
      <c r="AU906" s="854"/>
      <c r="AV906" s="854"/>
      <c r="AW906" s="854"/>
      <c r="AX906" s="854"/>
      <c r="AY906" s="854"/>
      <c r="AZ906" s="854"/>
      <c r="BA906" s="854"/>
      <c r="BB906" s="854"/>
      <c r="BC906" s="854"/>
      <c r="BD906" s="854"/>
      <c r="BE906" s="854"/>
      <c r="BF906" s="854"/>
      <c r="BG906" s="854"/>
      <c r="BH906" s="854"/>
      <c r="BI906" s="854"/>
      <c r="BJ906" s="854"/>
      <c r="BK906" s="854"/>
      <c r="BL906" s="854"/>
      <c r="BM906" s="854"/>
      <c r="BN906" s="854"/>
      <c r="BO906" s="854"/>
      <c r="BP906" s="854"/>
      <c r="BQ906" s="854"/>
      <c r="BR906" s="854"/>
      <c r="BS906" s="854"/>
      <c r="BT906" s="854"/>
      <c r="BU906" s="854"/>
      <c r="BV906" s="854"/>
      <c r="BW906" s="854"/>
      <c r="BX906" s="854"/>
      <c r="BY906" s="854"/>
      <c r="BZ906" s="854"/>
      <c r="CA906" s="571">
        <f>IF(OR(I906="",I906&lt;'Configs &amp; Procedures'!$L$29),0,IF(I906&gt;'Configs &amp; Procedures'!$L$30,1,IF(F906&gt;'Configs &amp; Procedures'!$L$31,0,1)))</f>
        <v>0</v>
      </c>
    </row>
    <row r="907" spans="2:79">
      <c r="B907" s="854"/>
      <c r="C907" s="854"/>
      <c r="D907" s="854"/>
      <c r="E907" s="854"/>
      <c r="F907" s="854"/>
      <c r="G907" s="854"/>
      <c r="H907" s="854"/>
      <c r="I907" s="854"/>
      <c r="J907" s="854"/>
      <c r="K907" s="854"/>
      <c r="L907" s="854"/>
      <c r="M907" s="854"/>
      <c r="N907" s="854"/>
      <c r="O907" s="854"/>
      <c r="P907" s="854"/>
      <c r="Q907" s="854"/>
      <c r="R907" s="854"/>
      <c r="S907" s="854"/>
      <c r="T907" s="854"/>
      <c r="U907" s="854"/>
      <c r="V907" s="854"/>
      <c r="W907" s="854"/>
      <c r="X907" s="854"/>
      <c r="Y907" s="854"/>
      <c r="Z907" s="854"/>
      <c r="AA907" s="854"/>
      <c r="AB907" s="854"/>
      <c r="AC907" s="854"/>
      <c r="AD907" s="854"/>
      <c r="AE907" s="854"/>
      <c r="AF907" s="854"/>
      <c r="AG907" s="854"/>
      <c r="AH907" s="854"/>
      <c r="AI907" s="854"/>
      <c r="AJ907" s="854"/>
      <c r="AK907" s="854"/>
      <c r="AL907" s="854"/>
      <c r="AM907" s="854"/>
      <c r="AN907" s="854"/>
      <c r="AO907" s="854"/>
      <c r="AP907" s="854"/>
      <c r="AQ907" s="854"/>
      <c r="AR907" s="854"/>
      <c r="AS907" s="854"/>
      <c r="AT907" s="854"/>
      <c r="AU907" s="854"/>
      <c r="AV907" s="854"/>
      <c r="AW907" s="854"/>
      <c r="AX907" s="854"/>
      <c r="AY907" s="854"/>
      <c r="AZ907" s="854"/>
      <c r="BA907" s="854"/>
      <c r="BB907" s="854"/>
      <c r="BC907" s="854"/>
      <c r="BD907" s="854"/>
      <c r="BE907" s="854"/>
      <c r="BF907" s="854"/>
      <c r="BG907" s="854"/>
      <c r="BH907" s="854"/>
      <c r="BI907" s="854"/>
      <c r="BJ907" s="854"/>
      <c r="BK907" s="854"/>
      <c r="BL907" s="854"/>
      <c r="BM907" s="854"/>
      <c r="BN907" s="854"/>
      <c r="BO907" s="854"/>
      <c r="BP907" s="854"/>
      <c r="BQ907" s="854"/>
      <c r="BR907" s="854"/>
      <c r="BS907" s="854"/>
      <c r="BT907" s="854"/>
      <c r="BU907" s="854"/>
      <c r="BV907" s="854"/>
      <c r="BW907" s="854"/>
      <c r="BX907" s="854"/>
      <c r="BY907" s="854"/>
      <c r="BZ907" s="854"/>
      <c r="CA907" s="571">
        <f>IF(OR(I907="",I907&lt;'Configs &amp; Procedures'!$L$29),0,IF(I907&gt;'Configs &amp; Procedures'!$L$30,1,IF(F907&gt;'Configs &amp; Procedures'!$L$31,0,1)))</f>
        <v>0</v>
      </c>
    </row>
    <row r="908" spans="2:79">
      <c r="B908" s="854"/>
      <c r="C908" s="854"/>
      <c r="D908" s="854"/>
      <c r="E908" s="854"/>
      <c r="F908" s="854"/>
      <c r="G908" s="854"/>
      <c r="H908" s="854"/>
      <c r="I908" s="854"/>
      <c r="J908" s="854"/>
      <c r="K908" s="854"/>
      <c r="L908" s="854"/>
      <c r="M908" s="854"/>
      <c r="N908" s="854"/>
      <c r="O908" s="854"/>
      <c r="P908" s="854"/>
      <c r="Q908" s="854"/>
      <c r="R908" s="854"/>
      <c r="S908" s="854"/>
      <c r="T908" s="854"/>
      <c r="U908" s="854"/>
      <c r="V908" s="854"/>
      <c r="W908" s="854"/>
      <c r="X908" s="854"/>
      <c r="Y908" s="854"/>
      <c r="Z908" s="854"/>
      <c r="AA908" s="854"/>
      <c r="AB908" s="854"/>
      <c r="AC908" s="854"/>
      <c r="AD908" s="854"/>
      <c r="AE908" s="854"/>
      <c r="AF908" s="854"/>
      <c r="AG908" s="854"/>
      <c r="AH908" s="854"/>
      <c r="AI908" s="854"/>
      <c r="AJ908" s="854"/>
      <c r="AK908" s="854"/>
      <c r="AL908" s="854"/>
      <c r="AM908" s="854"/>
      <c r="AN908" s="854"/>
      <c r="AO908" s="854"/>
      <c r="AP908" s="854"/>
      <c r="AQ908" s="854"/>
      <c r="AR908" s="854"/>
      <c r="AS908" s="854"/>
      <c r="AT908" s="854"/>
      <c r="AU908" s="854"/>
      <c r="AV908" s="854"/>
      <c r="AW908" s="854"/>
      <c r="AX908" s="854"/>
      <c r="AY908" s="854"/>
      <c r="AZ908" s="854"/>
      <c r="BA908" s="854"/>
      <c r="BB908" s="854"/>
      <c r="BC908" s="854"/>
      <c r="BD908" s="854"/>
      <c r="BE908" s="854"/>
      <c r="BF908" s="854"/>
      <c r="BG908" s="854"/>
      <c r="BH908" s="854"/>
      <c r="BI908" s="854"/>
      <c r="BJ908" s="854"/>
      <c r="BK908" s="854"/>
      <c r="BL908" s="854"/>
      <c r="BM908" s="854"/>
      <c r="BN908" s="854"/>
      <c r="BO908" s="854"/>
      <c r="BP908" s="854"/>
      <c r="BQ908" s="854"/>
      <c r="BR908" s="854"/>
      <c r="BS908" s="854"/>
      <c r="BT908" s="854"/>
      <c r="BU908" s="854"/>
      <c r="BV908" s="854"/>
      <c r="BW908" s="854"/>
      <c r="BX908" s="854"/>
      <c r="BY908" s="854"/>
      <c r="BZ908" s="854"/>
      <c r="CA908" s="571">
        <f>IF(OR(I908="",I908&lt;'Configs &amp; Procedures'!$L$29),0,IF(I908&gt;'Configs &amp; Procedures'!$L$30,1,IF(F908&gt;'Configs &amp; Procedures'!$L$31,0,1)))</f>
        <v>0</v>
      </c>
    </row>
    <row r="909" spans="2:79">
      <c r="B909" s="854"/>
      <c r="C909" s="854"/>
      <c r="D909" s="854"/>
      <c r="E909" s="854"/>
      <c r="F909" s="854"/>
      <c r="G909" s="854"/>
      <c r="H909" s="854"/>
      <c r="I909" s="854"/>
      <c r="J909" s="854"/>
      <c r="K909" s="854"/>
      <c r="L909" s="854"/>
      <c r="M909" s="854"/>
      <c r="N909" s="854"/>
      <c r="O909" s="854"/>
      <c r="P909" s="854"/>
      <c r="Q909" s="854"/>
      <c r="R909" s="854"/>
      <c r="S909" s="854"/>
      <c r="T909" s="854"/>
      <c r="U909" s="854"/>
      <c r="V909" s="854"/>
      <c r="W909" s="854"/>
      <c r="X909" s="854"/>
      <c r="Y909" s="854"/>
      <c r="Z909" s="854"/>
      <c r="AA909" s="854"/>
      <c r="AB909" s="854"/>
      <c r="AC909" s="854"/>
      <c r="AD909" s="854"/>
      <c r="AE909" s="854"/>
      <c r="AF909" s="854"/>
      <c r="AG909" s="854"/>
      <c r="AH909" s="854"/>
      <c r="AI909" s="854"/>
      <c r="AJ909" s="854"/>
      <c r="AK909" s="854"/>
      <c r="AL909" s="854"/>
      <c r="AM909" s="854"/>
      <c r="AN909" s="854"/>
      <c r="AO909" s="854"/>
      <c r="AP909" s="854"/>
      <c r="AQ909" s="854"/>
      <c r="AR909" s="854"/>
      <c r="AS909" s="854"/>
      <c r="AT909" s="854"/>
      <c r="AU909" s="854"/>
      <c r="AV909" s="854"/>
      <c r="AW909" s="854"/>
      <c r="AX909" s="854"/>
      <c r="AY909" s="854"/>
      <c r="AZ909" s="854"/>
      <c r="BA909" s="854"/>
      <c r="BB909" s="854"/>
      <c r="BC909" s="854"/>
      <c r="BD909" s="854"/>
      <c r="BE909" s="854"/>
      <c r="BF909" s="854"/>
      <c r="BG909" s="854"/>
      <c r="BH909" s="854"/>
      <c r="BI909" s="854"/>
      <c r="BJ909" s="854"/>
      <c r="BK909" s="854"/>
      <c r="BL909" s="854"/>
      <c r="BM909" s="854"/>
      <c r="BN909" s="854"/>
      <c r="BO909" s="854"/>
      <c r="BP909" s="854"/>
      <c r="BQ909" s="854"/>
      <c r="BR909" s="854"/>
      <c r="BS909" s="854"/>
      <c r="BT909" s="854"/>
      <c r="BU909" s="854"/>
      <c r="BV909" s="854"/>
      <c r="BW909" s="854"/>
      <c r="BX909" s="854"/>
      <c r="BY909" s="854"/>
      <c r="BZ909" s="854"/>
      <c r="CA909" s="571">
        <f>IF(OR(I909="",I909&lt;'Configs &amp; Procedures'!$L$29),0,IF(I909&gt;'Configs &amp; Procedures'!$L$30,1,IF(F909&gt;'Configs &amp; Procedures'!$L$31,0,1)))</f>
        <v>0</v>
      </c>
    </row>
    <row r="910" spans="2:79">
      <c r="B910" s="854"/>
      <c r="C910" s="854"/>
      <c r="D910" s="854"/>
      <c r="E910" s="854"/>
      <c r="F910" s="854"/>
      <c r="G910" s="854"/>
      <c r="H910" s="854"/>
      <c r="I910" s="854"/>
      <c r="J910" s="854"/>
      <c r="K910" s="854"/>
      <c r="L910" s="854"/>
      <c r="M910" s="854"/>
      <c r="N910" s="854"/>
      <c r="O910" s="854"/>
      <c r="P910" s="854"/>
      <c r="Q910" s="854"/>
      <c r="R910" s="854"/>
      <c r="S910" s="854"/>
      <c r="T910" s="854"/>
      <c r="U910" s="854"/>
      <c r="V910" s="854"/>
      <c r="W910" s="854"/>
      <c r="X910" s="854"/>
      <c r="Y910" s="854"/>
      <c r="Z910" s="854"/>
      <c r="AA910" s="854"/>
      <c r="AB910" s="854"/>
      <c r="AC910" s="854"/>
      <c r="AD910" s="854"/>
      <c r="AE910" s="854"/>
      <c r="AF910" s="854"/>
      <c r="AG910" s="854"/>
      <c r="AH910" s="854"/>
      <c r="AI910" s="854"/>
      <c r="AJ910" s="854"/>
      <c r="AK910" s="854"/>
      <c r="AL910" s="854"/>
      <c r="AM910" s="854"/>
      <c r="AN910" s="854"/>
      <c r="AO910" s="854"/>
      <c r="AP910" s="854"/>
      <c r="AQ910" s="854"/>
      <c r="AR910" s="854"/>
      <c r="AS910" s="854"/>
      <c r="AT910" s="854"/>
      <c r="AU910" s="854"/>
      <c r="AV910" s="854"/>
      <c r="AW910" s="854"/>
      <c r="AX910" s="854"/>
      <c r="AY910" s="854"/>
      <c r="AZ910" s="854"/>
      <c r="BA910" s="854"/>
      <c r="BB910" s="854"/>
      <c r="BC910" s="854"/>
      <c r="BD910" s="854"/>
      <c r="BE910" s="854"/>
      <c r="BF910" s="854"/>
      <c r="BG910" s="854"/>
      <c r="BH910" s="854"/>
      <c r="BI910" s="854"/>
      <c r="BJ910" s="854"/>
      <c r="BK910" s="854"/>
      <c r="BL910" s="854"/>
      <c r="BM910" s="854"/>
      <c r="BN910" s="854"/>
      <c r="BO910" s="854"/>
      <c r="BP910" s="854"/>
      <c r="BQ910" s="854"/>
      <c r="BR910" s="854"/>
      <c r="BS910" s="854"/>
      <c r="BT910" s="854"/>
      <c r="BU910" s="854"/>
      <c r="BV910" s="854"/>
      <c r="BW910" s="854"/>
      <c r="BX910" s="854"/>
      <c r="BY910" s="854"/>
      <c r="BZ910" s="854"/>
      <c r="CA910" s="571">
        <f>IF(OR(I910="",I910&lt;'Configs &amp; Procedures'!$L$29),0,IF(I910&gt;'Configs &amp; Procedures'!$L$30,1,IF(F910&gt;'Configs &amp; Procedures'!$L$31,0,1)))</f>
        <v>0</v>
      </c>
    </row>
    <row r="911" spans="2:79">
      <c r="B911" s="854"/>
      <c r="C911" s="854"/>
      <c r="D911" s="854"/>
      <c r="E911" s="854"/>
      <c r="F911" s="854"/>
      <c r="G911" s="854"/>
      <c r="H911" s="854"/>
      <c r="I911" s="854"/>
      <c r="J911" s="854"/>
      <c r="K911" s="854"/>
      <c r="L911" s="854"/>
      <c r="M911" s="854"/>
      <c r="N911" s="854"/>
      <c r="O911" s="854"/>
      <c r="P911" s="854"/>
      <c r="Q911" s="854"/>
      <c r="R911" s="854"/>
      <c r="S911" s="854"/>
      <c r="T911" s="854"/>
      <c r="U911" s="854"/>
      <c r="V911" s="854"/>
      <c r="W911" s="854"/>
      <c r="X911" s="854"/>
      <c r="Y911" s="854"/>
      <c r="Z911" s="854"/>
      <c r="AA911" s="854"/>
      <c r="AB911" s="854"/>
      <c r="AC911" s="854"/>
      <c r="AD911" s="854"/>
      <c r="AE911" s="854"/>
      <c r="AF911" s="854"/>
      <c r="AG911" s="854"/>
      <c r="AH911" s="854"/>
      <c r="AI911" s="854"/>
      <c r="AJ911" s="854"/>
      <c r="AK911" s="854"/>
      <c r="AL911" s="854"/>
      <c r="AM911" s="854"/>
      <c r="AN911" s="854"/>
      <c r="AO911" s="854"/>
      <c r="AP911" s="854"/>
      <c r="AQ911" s="854"/>
      <c r="AR911" s="854"/>
      <c r="AS911" s="854"/>
      <c r="AT911" s="854"/>
      <c r="AU911" s="854"/>
      <c r="AV911" s="854"/>
      <c r="AW911" s="854"/>
      <c r="AX911" s="854"/>
      <c r="AY911" s="854"/>
      <c r="AZ911" s="854"/>
      <c r="BA911" s="854"/>
      <c r="BB911" s="854"/>
      <c r="BC911" s="854"/>
      <c r="BD911" s="854"/>
      <c r="BE911" s="854"/>
      <c r="BF911" s="854"/>
      <c r="BG911" s="854"/>
      <c r="BH911" s="854"/>
      <c r="BI911" s="854"/>
      <c r="BJ911" s="854"/>
      <c r="BK911" s="854"/>
      <c r="BL911" s="854"/>
      <c r="BM911" s="854"/>
      <c r="BN911" s="854"/>
      <c r="BO911" s="854"/>
      <c r="BP911" s="854"/>
      <c r="BQ911" s="854"/>
      <c r="BR911" s="854"/>
      <c r="BS911" s="854"/>
      <c r="BT911" s="854"/>
      <c r="BU911" s="854"/>
      <c r="BV911" s="854"/>
      <c r="BW911" s="854"/>
      <c r="BX911" s="854"/>
      <c r="BY911" s="854"/>
      <c r="BZ911" s="854"/>
      <c r="CA911" s="571">
        <f>IF(OR(I911="",I911&lt;'Configs &amp; Procedures'!$L$29),0,IF(I911&gt;'Configs &amp; Procedures'!$L$30,1,IF(F911&gt;'Configs &amp; Procedures'!$L$31,0,1)))</f>
        <v>0</v>
      </c>
    </row>
    <row r="912" spans="2:79">
      <c r="B912" s="854"/>
      <c r="C912" s="854"/>
      <c r="D912" s="854"/>
      <c r="E912" s="854"/>
      <c r="F912" s="854"/>
      <c r="G912" s="854"/>
      <c r="H912" s="854"/>
      <c r="I912" s="854"/>
      <c r="J912" s="854"/>
      <c r="K912" s="854"/>
      <c r="L912" s="854"/>
      <c r="M912" s="854"/>
      <c r="N912" s="854"/>
      <c r="O912" s="854"/>
      <c r="P912" s="854"/>
      <c r="Q912" s="854"/>
      <c r="R912" s="854"/>
      <c r="S912" s="854"/>
      <c r="T912" s="854"/>
      <c r="U912" s="854"/>
      <c r="V912" s="854"/>
      <c r="W912" s="854"/>
      <c r="X912" s="854"/>
      <c r="Y912" s="854"/>
      <c r="Z912" s="854"/>
      <c r="AA912" s="854"/>
      <c r="AB912" s="854"/>
      <c r="AC912" s="854"/>
      <c r="AD912" s="854"/>
      <c r="AE912" s="854"/>
      <c r="AF912" s="854"/>
      <c r="AG912" s="854"/>
      <c r="AH912" s="854"/>
      <c r="AI912" s="854"/>
      <c r="AJ912" s="854"/>
      <c r="AK912" s="854"/>
      <c r="AL912" s="854"/>
      <c r="AM912" s="854"/>
      <c r="AN912" s="854"/>
      <c r="AO912" s="854"/>
      <c r="AP912" s="854"/>
      <c r="AQ912" s="854"/>
      <c r="AR912" s="854"/>
      <c r="AS912" s="854"/>
      <c r="AT912" s="854"/>
      <c r="AU912" s="854"/>
      <c r="AV912" s="854"/>
      <c r="AW912" s="854"/>
      <c r="AX912" s="854"/>
      <c r="AY912" s="854"/>
      <c r="AZ912" s="854"/>
      <c r="BA912" s="854"/>
      <c r="BB912" s="854"/>
      <c r="BC912" s="854"/>
      <c r="BD912" s="854"/>
      <c r="BE912" s="854"/>
      <c r="BF912" s="854"/>
      <c r="BG912" s="854"/>
      <c r="BH912" s="854"/>
      <c r="BI912" s="854"/>
      <c r="BJ912" s="854"/>
      <c r="BK912" s="854"/>
      <c r="BL912" s="854"/>
      <c r="BM912" s="854"/>
      <c r="BN912" s="854"/>
      <c r="BO912" s="854"/>
      <c r="BP912" s="854"/>
      <c r="BQ912" s="854"/>
      <c r="BR912" s="854"/>
      <c r="BS912" s="854"/>
      <c r="BT912" s="854"/>
      <c r="BU912" s="854"/>
      <c r="BV912" s="854"/>
      <c r="BW912" s="854"/>
      <c r="BX912" s="854"/>
      <c r="BY912" s="854"/>
      <c r="BZ912" s="854"/>
      <c r="CA912" s="571">
        <f>IF(OR(I912="",I912&lt;'Configs &amp; Procedures'!$L$29),0,IF(I912&gt;'Configs &amp; Procedures'!$L$30,1,IF(F912&gt;'Configs &amp; Procedures'!$L$31,0,1)))</f>
        <v>0</v>
      </c>
    </row>
    <row r="913" spans="2:79">
      <c r="B913" s="854"/>
      <c r="C913" s="854"/>
      <c r="D913" s="854"/>
      <c r="E913" s="854"/>
      <c r="F913" s="854"/>
      <c r="G913" s="854"/>
      <c r="H913" s="854"/>
      <c r="I913" s="854"/>
      <c r="J913" s="854"/>
      <c r="K913" s="854"/>
      <c r="L913" s="854"/>
      <c r="M913" s="854"/>
      <c r="N913" s="854"/>
      <c r="O913" s="854"/>
      <c r="P913" s="854"/>
      <c r="Q913" s="854"/>
      <c r="R913" s="854"/>
      <c r="S913" s="854"/>
      <c r="T913" s="854"/>
      <c r="U913" s="854"/>
      <c r="V913" s="854"/>
      <c r="W913" s="854"/>
      <c r="X913" s="854"/>
      <c r="Y913" s="854"/>
      <c r="Z913" s="854"/>
      <c r="AA913" s="854"/>
      <c r="AB913" s="854"/>
      <c r="AC913" s="854"/>
      <c r="AD913" s="854"/>
      <c r="AE913" s="854"/>
      <c r="AF913" s="854"/>
      <c r="AG913" s="854"/>
      <c r="AH913" s="854"/>
      <c r="AI913" s="854"/>
      <c r="AJ913" s="854"/>
      <c r="AK913" s="854"/>
      <c r="AL913" s="854"/>
      <c r="AM913" s="854"/>
      <c r="AN913" s="854"/>
      <c r="AO913" s="854"/>
      <c r="AP913" s="854"/>
      <c r="AQ913" s="854"/>
      <c r="AR913" s="854"/>
      <c r="AS913" s="854"/>
      <c r="AT913" s="854"/>
      <c r="AU913" s="854"/>
      <c r="AV913" s="854"/>
      <c r="AW913" s="854"/>
      <c r="AX913" s="854"/>
      <c r="AY913" s="854"/>
      <c r="AZ913" s="854"/>
      <c r="BA913" s="854"/>
      <c r="BB913" s="854"/>
      <c r="BC913" s="854"/>
      <c r="BD913" s="854"/>
      <c r="BE913" s="854"/>
      <c r="BF913" s="854"/>
      <c r="BG913" s="854"/>
      <c r="BH913" s="854"/>
      <c r="BI913" s="854"/>
      <c r="BJ913" s="854"/>
      <c r="BK913" s="854"/>
      <c r="BL913" s="854"/>
      <c r="BM913" s="854"/>
      <c r="BN913" s="854"/>
      <c r="BO913" s="854"/>
      <c r="BP913" s="854"/>
      <c r="BQ913" s="854"/>
      <c r="BR913" s="854"/>
      <c r="BS913" s="854"/>
      <c r="BT913" s="854"/>
      <c r="BU913" s="854"/>
      <c r="BV913" s="854"/>
      <c r="BW913" s="854"/>
      <c r="BX913" s="854"/>
      <c r="BY913" s="854"/>
      <c r="BZ913" s="854"/>
      <c r="CA913" s="571">
        <f>IF(OR(I913="",I913&lt;'Configs &amp; Procedures'!$L$29),0,IF(I913&gt;'Configs &amp; Procedures'!$L$30,1,IF(F913&gt;'Configs &amp; Procedures'!$L$31,0,1)))</f>
        <v>0</v>
      </c>
    </row>
    <row r="914" spans="2:79">
      <c r="B914" s="854"/>
      <c r="C914" s="854"/>
      <c r="D914" s="854"/>
      <c r="E914" s="854"/>
      <c r="F914" s="854"/>
      <c r="G914" s="854"/>
      <c r="H914" s="854"/>
      <c r="I914" s="854"/>
      <c r="J914" s="854"/>
      <c r="K914" s="854"/>
      <c r="L914" s="854"/>
      <c r="M914" s="854"/>
      <c r="N914" s="854"/>
      <c r="O914" s="854"/>
      <c r="P914" s="854"/>
      <c r="Q914" s="854"/>
      <c r="R914" s="854"/>
      <c r="S914" s="854"/>
      <c r="T914" s="854"/>
      <c r="U914" s="854"/>
      <c r="V914" s="854"/>
      <c r="W914" s="854"/>
      <c r="X914" s="854"/>
      <c r="Y914" s="854"/>
      <c r="Z914" s="854"/>
      <c r="AA914" s="854"/>
      <c r="AB914" s="854"/>
      <c r="AC914" s="854"/>
      <c r="AD914" s="854"/>
      <c r="AE914" s="854"/>
      <c r="AF914" s="854"/>
      <c r="AG914" s="854"/>
      <c r="AH914" s="854"/>
      <c r="AI914" s="854"/>
      <c r="AJ914" s="854"/>
      <c r="AK914" s="854"/>
      <c r="AL914" s="854"/>
      <c r="AM914" s="854"/>
      <c r="AN914" s="854"/>
      <c r="AO914" s="854"/>
      <c r="AP914" s="854"/>
      <c r="AQ914" s="854"/>
      <c r="AR914" s="854"/>
      <c r="AS914" s="854"/>
      <c r="AT914" s="854"/>
      <c r="AU914" s="854"/>
      <c r="AV914" s="854"/>
      <c r="AW914" s="854"/>
      <c r="AX914" s="854"/>
      <c r="AY914" s="854"/>
      <c r="AZ914" s="854"/>
      <c r="BA914" s="854"/>
      <c r="BB914" s="854"/>
      <c r="BC914" s="854"/>
      <c r="BD914" s="854"/>
      <c r="BE914" s="854"/>
      <c r="BF914" s="854"/>
      <c r="BG914" s="854"/>
      <c r="BH914" s="854"/>
      <c r="BI914" s="854"/>
      <c r="BJ914" s="854"/>
      <c r="BK914" s="854"/>
      <c r="BL914" s="854"/>
      <c r="BM914" s="854"/>
      <c r="BN914" s="854"/>
      <c r="BO914" s="854"/>
      <c r="BP914" s="854"/>
      <c r="BQ914" s="854"/>
      <c r="BR914" s="854"/>
      <c r="BS914" s="854"/>
      <c r="BT914" s="854"/>
      <c r="BU914" s="854"/>
      <c r="BV914" s="854"/>
      <c r="BW914" s="854"/>
      <c r="BX914" s="854"/>
      <c r="BY914" s="854"/>
      <c r="BZ914" s="854"/>
      <c r="CA914" s="571">
        <f>IF(OR(I914="",I914&lt;'Configs &amp; Procedures'!$L$29),0,IF(I914&gt;'Configs &amp; Procedures'!$L$30,1,IF(F914&gt;'Configs &amp; Procedures'!$L$31,0,1)))</f>
        <v>0</v>
      </c>
    </row>
    <row r="915" spans="2:79">
      <c r="B915" s="854"/>
      <c r="C915" s="854"/>
      <c r="D915" s="854"/>
      <c r="E915" s="854"/>
      <c r="F915" s="854"/>
      <c r="G915" s="854"/>
      <c r="H915" s="854"/>
      <c r="I915" s="854"/>
      <c r="J915" s="854"/>
      <c r="K915" s="854"/>
      <c r="L915" s="854"/>
      <c r="M915" s="854"/>
      <c r="N915" s="854"/>
      <c r="O915" s="854"/>
      <c r="P915" s="854"/>
      <c r="Q915" s="854"/>
      <c r="R915" s="854"/>
      <c r="S915" s="854"/>
      <c r="T915" s="854"/>
      <c r="U915" s="854"/>
      <c r="V915" s="854"/>
      <c r="W915" s="854"/>
      <c r="X915" s="854"/>
      <c r="Y915" s="854"/>
      <c r="Z915" s="854"/>
      <c r="AA915" s="854"/>
      <c r="AB915" s="854"/>
      <c r="AC915" s="854"/>
      <c r="AD915" s="854"/>
      <c r="AE915" s="854"/>
      <c r="AF915" s="854"/>
      <c r="AG915" s="854"/>
      <c r="AH915" s="854"/>
      <c r="AI915" s="854"/>
      <c r="AJ915" s="854"/>
      <c r="AK915" s="854"/>
      <c r="AL915" s="854"/>
      <c r="AM915" s="854"/>
      <c r="AN915" s="854"/>
      <c r="AO915" s="854"/>
      <c r="AP915" s="854"/>
      <c r="AQ915" s="854"/>
      <c r="AR915" s="854"/>
      <c r="AS915" s="854"/>
      <c r="AT915" s="854"/>
      <c r="AU915" s="854"/>
      <c r="AV915" s="854"/>
      <c r="AW915" s="854"/>
      <c r="AX915" s="854"/>
      <c r="AY915" s="854"/>
      <c r="AZ915" s="854"/>
      <c r="BA915" s="854"/>
      <c r="BB915" s="854"/>
      <c r="BC915" s="854"/>
      <c r="BD915" s="854"/>
      <c r="BE915" s="854"/>
      <c r="BF915" s="854"/>
      <c r="BG915" s="854"/>
      <c r="BH915" s="854"/>
      <c r="BI915" s="854"/>
      <c r="BJ915" s="854"/>
      <c r="BK915" s="854"/>
      <c r="BL915" s="854"/>
      <c r="BM915" s="854"/>
      <c r="BN915" s="854"/>
      <c r="BO915" s="854"/>
      <c r="BP915" s="854"/>
      <c r="BQ915" s="854"/>
      <c r="BR915" s="854"/>
      <c r="BS915" s="854"/>
      <c r="BT915" s="854"/>
      <c r="BU915" s="854"/>
      <c r="BV915" s="854"/>
      <c r="BW915" s="854"/>
      <c r="BX915" s="854"/>
      <c r="BY915" s="854"/>
      <c r="BZ915" s="854"/>
      <c r="CA915" s="571">
        <f>IF(OR(I915="",I915&lt;'Configs &amp; Procedures'!$L$29),0,IF(I915&gt;'Configs &amp; Procedures'!$L$30,1,IF(F915&gt;'Configs &amp; Procedures'!$L$31,0,1)))</f>
        <v>0</v>
      </c>
    </row>
    <row r="916" spans="2:79">
      <c r="B916" s="854"/>
      <c r="C916" s="854"/>
      <c r="D916" s="854"/>
      <c r="E916" s="854"/>
      <c r="F916" s="854"/>
      <c r="G916" s="854"/>
      <c r="H916" s="854"/>
      <c r="I916" s="854"/>
      <c r="J916" s="854"/>
      <c r="K916" s="854"/>
      <c r="L916" s="854"/>
      <c r="M916" s="854"/>
      <c r="N916" s="854"/>
      <c r="O916" s="854"/>
      <c r="P916" s="854"/>
      <c r="Q916" s="854"/>
      <c r="R916" s="854"/>
      <c r="S916" s="854"/>
      <c r="T916" s="854"/>
      <c r="U916" s="854"/>
      <c r="V916" s="854"/>
      <c r="W916" s="854"/>
      <c r="X916" s="854"/>
      <c r="Y916" s="854"/>
      <c r="Z916" s="854"/>
      <c r="AA916" s="854"/>
      <c r="AB916" s="854"/>
      <c r="AC916" s="854"/>
      <c r="AD916" s="854"/>
      <c r="AE916" s="854"/>
      <c r="AF916" s="854"/>
      <c r="AG916" s="854"/>
      <c r="AH916" s="854"/>
      <c r="AI916" s="854"/>
      <c r="AJ916" s="854"/>
      <c r="AK916" s="854"/>
      <c r="AL916" s="854"/>
      <c r="AM916" s="854"/>
      <c r="AN916" s="854"/>
      <c r="AO916" s="854"/>
      <c r="AP916" s="854"/>
      <c r="AQ916" s="854"/>
      <c r="AR916" s="854"/>
      <c r="AS916" s="854"/>
      <c r="AT916" s="854"/>
      <c r="AU916" s="854"/>
      <c r="AV916" s="854"/>
      <c r="AW916" s="854"/>
      <c r="AX916" s="854"/>
      <c r="AY916" s="854"/>
      <c r="AZ916" s="854"/>
      <c r="BA916" s="854"/>
      <c r="BB916" s="854"/>
      <c r="BC916" s="854"/>
      <c r="BD916" s="854"/>
      <c r="BE916" s="854"/>
      <c r="BF916" s="854"/>
      <c r="BG916" s="854"/>
      <c r="BH916" s="854"/>
      <c r="BI916" s="854"/>
      <c r="BJ916" s="854"/>
      <c r="BK916" s="854"/>
      <c r="BL916" s="854"/>
      <c r="BM916" s="854"/>
      <c r="BN916" s="854"/>
      <c r="BO916" s="854"/>
      <c r="BP916" s="854"/>
      <c r="BQ916" s="854"/>
      <c r="BR916" s="854"/>
      <c r="BS916" s="854"/>
      <c r="BT916" s="854"/>
      <c r="BU916" s="854"/>
      <c r="BV916" s="854"/>
      <c r="BW916" s="854"/>
      <c r="BX916" s="854"/>
      <c r="BY916" s="854"/>
      <c r="BZ916" s="854"/>
      <c r="CA916" s="571">
        <f>IF(OR(I916="",I916&lt;'Configs &amp; Procedures'!$L$29),0,IF(I916&gt;'Configs &amp; Procedures'!$L$30,1,IF(F916&gt;'Configs &amp; Procedures'!$L$31,0,1)))</f>
        <v>0</v>
      </c>
    </row>
    <row r="917" spans="2:79">
      <c r="B917" s="854"/>
      <c r="C917" s="854"/>
      <c r="D917" s="854"/>
      <c r="E917" s="854"/>
      <c r="F917" s="854"/>
      <c r="G917" s="854"/>
      <c r="H917" s="854"/>
      <c r="I917" s="854"/>
      <c r="J917" s="854"/>
      <c r="K917" s="854"/>
      <c r="L917" s="854"/>
      <c r="M917" s="854"/>
      <c r="N917" s="854"/>
      <c r="O917" s="854"/>
      <c r="P917" s="854"/>
      <c r="Q917" s="854"/>
      <c r="R917" s="854"/>
      <c r="S917" s="854"/>
      <c r="T917" s="854"/>
      <c r="U917" s="854"/>
      <c r="V917" s="854"/>
      <c r="W917" s="854"/>
      <c r="X917" s="854"/>
      <c r="Y917" s="854"/>
      <c r="Z917" s="854"/>
      <c r="AA917" s="854"/>
      <c r="AB917" s="854"/>
      <c r="AC917" s="854"/>
      <c r="AD917" s="854"/>
      <c r="AE917" s="854"/>
      <c r="AF917" s="854"/>
      <c r="AG917" s="854"/>
      <c r="AH917" s="854"/>
      <c r="AI917" s="854"/>
      <c r="AJ917" s="854"/>
      <c r="AK917" s="854"/>
      <c r="AL917" s="854"/>
      <c r="AM917" s="854"/>
      <c r="AN917" s="854"/>
      <c r="AO917" s="854"/>
      <c r="AP917" s="854"/>
      <c r="AQ917" s="854"/>
      <c r="AR917" s="854"/>
      <c r="AS917" s="854"/>
      <c r="AT917" s="854"/>
      <c r="AU917" s="854"/>
      <c r="AV917" s="854"/>
      <c r="AW917" s="854"/>
      <c r="AX917" s="854"/>
      <c r="AY917" s="854"/>
      <c r="AZ917" s="854"/>
      <c r="BA917" s="854"/>
      <c r="BB917" s="854"/>
      <c r="BC917" s="854"/>
      <c r="BD917" s="854"/>
      <c r="BE917" s="854"/>
      <c r="BF917" s="854"/>
      <c r="BG917" s="854"/>
      <c r="BH917" s="854"/>
      <c r="BI917" s="854"/>
      <c r="BJ917" s="854"/>
      <c r="BK917" s="854"/>
      <c r="BL917" s="854"/>
      <c r="BM917" s="854"/>
      <c r="BN917" s="854"/>
      <c r="BO917" s="854"/>
      <c r="BP917" s="854"/>
      <c r="BQ917" s="854"/>
      <c r="BR917" s="854"/>
      <c r="BS917" s="854"/>
      <c r="BT917" s="854"/>
      <c r="BU917" s="854"/>
      <c r="BV917" s="854"/>
      <c r="BW917" s="854"/>
      <c r="BX917" s="854"/>
      <c r="BY917" s="854"/>
      <c r="BZ917" s="854"/>
      <c r="CA917" s="571">
        <f>IF(OR(I917="",I917&lt;'Configs &amp; Procedures'!$L$29),0,IF(I917&gt;'Configs &amp; Procedures'!$L$30,1,IF(F917&gt;'Configs &amp; Procedures'!$L$31,0,1)))</f>
        <v>0</v>
      </c>
    </row>
    <row r="918" spans="2:79">
      <c r="B918" s="854"/>
      <c r="C918" s="854"/>
      <c r="D918" s="854"/>
      <c r="E918" s="854"/>
      <c r="F918" s="854"/>
      <c r="G918" s="854"/>
      <c r="H918" s="854"/>
      <c r="I918" s="854"/>
      <c r="J918" s="854"/>
      <c r="K918" s="854"/>
      <c r="L918" s="854"/>
      <c r="M918" s="854"/>
      <c r="N918" s="854"/>
      <c r="O918" s="854"/>
      <c r="P918" s="854"/>
      <c r="Q918" s="854"/>
      <c r="R918" s="854"/>
      <c r="S918" s="854"/>
      <c r="T918" s="854"/>
      <c r="U918" s="854"/>
      <c r="V918" s="854"/>
      <c r="W918" s="854"/>
      <c r="X918" s="854"/>
      <c r="Y918" s="854"/>
      <c r="Z918" s="854"/>
      <c r="AA918" s="854"/>
      <c r="AB918" s="854"/>
      <c r="AC918" s="854"/>
      <c r="AD918" s="854"/>
      <c r="AE918" s="854"/>
      <c r="AF918" s="854"/>
      <c r="AG918" s="854"/>
      <c r="AH918" s="854"/>
      <c r="AI918" s="854"/>
      <c r="AJ918" s="854"/>
      <c r="AK918" s="854"/>
      <c r="AL918" s="854"/>
      <c r="AM918" s="854"/>
      <c r="AN918" s="854"/>
      <c r="AO918" s="854"/>
      <c r="AP918" s="854"/>
      <c r="AQ918" s="854"/>
      <c r="AR918" s="854"/>
      <c r="AS918" s="854"/>
      <c r="AT918" s="854"/>
      <c r="AU918" s="854"/>
      <c r="AV918" s="854"/>
      <c r="AW918" s="854"/>
      <c r="AX918" s="854"/>
      <c r="AY918" s="854"/>
      <c r="AZ918" s="854"/>
      <c r="BA918" s="854"/>
      <c r="BB918" s="854"/>
      <c r="BC918" s="854"/>
      <c r="BD918" s="854"/>
      <c r="BE918" s="854"/>
      <c r="BF918" s="854"/>
      <c r="BG918" s="854"/>
      <c r="BH918" s="854"/>
      <c r="BI918" s="854"/>
      <c r="BJ918" s="854"/>
      <c r="BK918" s="854"/>
      <c r="BL918" s="854"/>
      <c r="BM918" s="854"/>
      <c r="BN918" s="854"/>
      <c r="BO918" s="854"/>
      <c r="BP918" s="854"/>
      <c r="BQ918" s="854"/>
      <c r="BR918" s="854"/>
      <c r="BS918" s="854"/>
      <c r="BT918" s="854"/>
      <c r="BU918" s="854"/>
      <c r="BV918" s="854"/>
      <c r="BW918" s="854"/>
      <c r="BX918" s="854"/>
      <c r="BY918" s="854"/>
      <c r="BZ918" s="854"/>
      <c r="CA918" s="571">
        <f>IF(OR(I918="",I918&lt;'Configs &amp; Procedures'!$L$29),0,IF(I918&gt;'Configs &amp; Procedures'!$L$30,1,IF(F918&gt;'Configs &amp; Procedures'!$L$31,0,1)))</f>
        <v>0</v>
      </c>
    </row>
    <row r="919" spans="2:79">
      <c r="B919" s="854"/>
      <c r="C919" s="854"/>
      <c r="D919" s="854"/>
      <c r="E919" s="854"/>
      <c r="F919" s="854"/>
      <c r="G919" s="854"/>
      <c r="H919" s="854"/>
      <c r="I919" s="854"/>
      <c r="J919" s="854"/>
      <c r="K919" s="854"/>
      <c r="L919" s="854"/>
      <c r="M919" s="854"/>
      <c r="N919" s="854"/>
      <c r="O919" s="854"/>
      <c r="P919" s="854"/>
      <c r="Q919" s="854"/>
      <c r="R919" s="854"/>
      <c r="S919" s="854"/>
      <c r="T919" s="854"/>
      <c r="U919" s="854"/>
      <c r="V919" s="854"/>
      <c r="W919" s="854"/>
      <c r="X919" s="854"/>
      <c r="Y919" s="854"/>
      <c r="Z919" s="854"/>
      <c r="AA919" s="854"/>
      <c r="AB919" s="854"/>
      <c r="AC919" s="854"/>
      <c r="AD919" s="854"/>
      <c r="AE919" s="854"/>
      <c r="AF919" s="854"/>
      <c r="AG919" s="854"/>
      <c r="AH919" s="854"/>
      <c r="AI919" s="854"/>
      <c r="AJ919" s="854"/>
      <c r="AK919" s="854"/>
      <c r="AL919" s="854"/>
      <c r="AM919" s="854"/>
      <c r="AN919" s="854"/>
      <c r="AO919" s="854"/>
      <c r="AP919" s="854"/>
      <c r="AQ919" s="854"/>
      <c r="AR919" s="854"/>
      <c r="AS919" s="854"/>
      <c r="AT919" s="854"/>
      <c r="AU919" s="854"/>
      <c r="AV919" s="854"/>
      <c r="AW919" s="854"/>
      <c r="AX919" s="854"/>
      <c r="AY919" s="854"/>
      <c r="AZ919" s="854"/>
      <c r="BA919" s="854"/>
      <c r="BB919" s="854"/>
      <c r="BC919" s="854"/>
      <c r="BD919" s="854"/>
      <c r="BE919" s="854"/>
      <c r="BF919" s="854"/>
      <c r="BG919" s="854"/>
      <c r="BH919" s="854"/>
      <c r="BI919" s="854"/>
      <c r="BJ919" s="854"/>
      <c r="BK919" s="854"/>
      <c r="BL919" s="854"/>
      <c r="BM919" s="854"/>
      <c r="BN919" s="854"/>
      <c r="BO919" s="854"/>
      <c r="BP919" s="854"/>
      <c r="BQ919" s="854"/>
      <c r="BR919" s="854"/>
      <c r="BS919" s="854"/>
      <c r="BT919" s="854"/>
      <c r="BU919" s="854"/>
      <c r="BV919" s="854"/>
      <c r="BW919" s="854"/>
      <c r="BX919" s="854"/>
      <c r="BY919" s="854"/>
      <c r="BZ919" s="854"/>
      <c r="CA919" s="571">
        <f>IF(OR(I919="",I919&lt;'Configs &amp; Procedures'!$L$29),0,IF(I919&gt;'Configs &amp; Procedures'!$L$30,1,IF(F919&gt;'Configs &amp; Procedures'!$L$31,0,1)))</f>
        <v>0</v>
      </c>
    </row>
    <row r="920" spans="2:79">
      <c r="B920" s="854"/>
      <c r="C920" s="854"/>
      <c r="D920" s="854"/>
      <c r="E920" s="854"/>
      <c r="F920" s="854"/>
      <c r="G920" s="854"/>
      <c r="H920" s="854"/>
      <c r="I920" s="854"/>
      <c r="J920" s="854"/>
      <c r="K920" s="854"/>
      <c r="L920" s="854"/>
      <c r="M920" s="854"/>
      <c r="N920" s="854"/>
      <c r="O920" s="854"/>
      <c r="P920" s="854"/>
      <c r="Q920" s="854"/>
      <c r="R920" s="854"/>
      <c r="S920" s="854"/>
      <c r="T920" s="854"/>
      <c r="U920" s="854"/>
      <c r="V920" s="854"/>
      <c r="W920" s="854"/>
      <c r="X920" s="854"/>
      <c r="Y920" s="854"/>
      <c r="Z920" s="854"/>
      <c r="AA920" s="854"/>
      <c r="AB920" s="854"/>
      <c r="AC920" s="854"/>
      <c r="AD920" s="854"/>
      <c r="AE920" s="854"/>
      <c r="AF920" s="854"/>
      <c r="AG920" s="854"/>
      <c r="AH920" s="854"/>
      <c r="AI920" s="854"/>
      <c r="AJ920" s="854"/>
      <c r="AK920" s="854"/>
      <c r="AL920" s="854"/>
      <c r="AM920" s="854"/>
      <c r="AN920" s="854"/>
      <c r="AO920" s="854"/>
      <c r="AP920" s="854"/>
      <c r="AQ920" s="854"/>
      <c r="AR920" s="854"/>
      <c r="AS920" s="854"/>
      <c r="AT920" s="854"/>
      <c r="AU920" s="854"/>
      <c r="AV920" s="854"/>
      <c r="AW920" s="854"/>
      <c r="AX920" s="854"/>
      <c r="AY920" s="854"/>
      <c r="AZ920" s="854"/>
      <c r="BA920" s="854"/>
      <c r="BB920" s="854"/>
      <c r="BC920" s="854"/>
      <c r="BD920" s="854"/>
      <c r="BE920" s="854"/>
      <c r="BF920" s="854"/>
      <c r="BG920" s="854"/>
      <c r="BH920" s="854"/>
      <c r="BI920" s="854"/>
      <c r="BJ920" s="854"/>
      <c r="BK920" s="854"/>
      <c r="BL920" s="854"/>
      <c r="BM920" s="854"/>
      <c r="BN920" s="854"/>
      <c r="BO920" s="854"/>
      <c r="BP920" s="854"/>
      <c r="BQ920" s="854"/>
      <c r="BR920" s="854"/>
      <c r="BS920" s="854"/>
      <c r="BT920" s="854"/>
      <c r="BU920" s="854"/>
      <c r="BV920" s="854"/>
      <c r="BW920" s="854"/>
      <c r="BX920" s="854"/>
      <c r="BY920" s="854"/>
      <c r="BZ920" s="854"/>
      <c r="CA920" s="571">
        <f>IF(OR(I920="",I920&lt;'Configs &amp; Procedures'!$L$29),0,IF(I920&gt;'Configs &amp; Procedures'!$L$30,1,IF(F920&gt;'Configs &amp; Procedures'!$L$31,0,1)))</f>
        <v>0</v>
      </c>
    </row>
    <row r="921" spans="2:79">
      <c r="B921" s="854"/>
      <c r="C921" s="854"/>
      <c r="D921" s="854"/>
      <c r="E921" s="854"/>
      <c r="F921" s="854"/>
      <c r="G921" s="854"/>
      <c r="H921" s="854"/>
      <c r="I921" s="854"/>
      <c r="J921" s="854"/>
      <c r="K921" s="854"/>
      <c r="L921" s="854"/>
      <c r="M921" s="854"/>
      <c r="N921" s="854"/>
      <c r="O921" s="854"/>
      <c r="P921" s="854"/>
      <c r="Q921" s="854"/>
      <c r="R921" s="854"/>
      <c r="S921" s="854"/>
      <c r="T921" s="854"/>
      <c r="U921" s="854"/>
      <c r="V921" s="854"/>
      <c r="W921" s="854"/>
      <c r="X921" s="854"/>
      <c r="Y921" s="854"/>
      <c r="Z921" s="854"/>
      <c r="AA921" s="854"/>
      <c r="AB921" s="854"/>
      <c r="AC921" s="854"/>
      <c r="AD921" s="854"/>
      <c r="AE921" s="854"/>
      <c r="AF921" s="854"/>
      <c r="AG921" s="854"/>
      <c r="AH921" s="854"/>
      <c r="AI921" s="854"/>
      <c r="AJ921" s="854"/>
      <c r="AK921" s="854"/>
      <c r="AL921" s="854"/>
      <c r="AM921" s="854"/>
      <c r="AN921" s="854"/>
      <c r="AO921" s="854"/>
      <c r="AP921" s="854"/>
      <c r="AQ921" s="854"/>
      <c r="AR921" s="854"/>
      <c r="AS921" s="854"/>
      <c r="AT921" s="854"/>
      <c r="AU921" s="854"/>
      <c r="AV921" s="854"/>
      <c r="AW921" s="854"/>
      <c r="AX921" s="854"/>
      <c r="AY921" s="854"/>
      <c r="AZ921" s="854"/>
      <c r="BA921" s="854"/>
      <c r="BB921" s="854"/>
      <c r="BC921" s="854"/>
      <c r="BD921" s="854"/>
      <c r="BE921" s="854"/>
      <c r="BF921" s="854"/>
      <c r="BG921" s="854"/>
      <c r="BH921" s="854"/>
      <c r="BI921" s="854"/>
      <c r="BJ921" s="854"/>
      <c r="BK921" s="854"/>
      <c r="BL921" s="854"/>
      <c r="BM921" s="854"/>
      <c r="BN921" s="854"/>
      <c r="BO921" s="854"/>
      <c r="BP921" s="854"/>
      <c r="BQ921" s="854"/>
      <c r="BR921" s="854"/>
      <c r="BS921" s="854"/>
      <c r="BT921" s="854"/>
      <c r="BU921" s="854"/>
      <c r="BV921" s="854"/>
      <c r="BW921" s="854"/>
      <c r="BX921" s="854"/>
      <c r="BY921" s="854"/>
      <c r="BZ921" s="854"/>
      <c r="CA921" s="571">
        <f>IF(OR(I921="",I921&lt;'Configs &amp; Procedures'!$L$29),0,IF(I921&gt;'Configs &amp; Procedures'!$L$30,1,IF(F921&gt;'Configs &amp; Procedures'!$L$31,0,1)))</f>
        <v>0</v>
      </c>
    </row>
    <row r="922" spans="2:79">
      <c r="B922" s="854"/>
      <c r="C922" s="854"/>
      <c r="D922" s="854"/>
      <c r="E922" s="854"/>
      <c r="F922" s="854"/>
      <c r="G922" s="854"/>
      <c r="H922" s="854"/>
      <c r="I922" s="854"/>
      <c r="J922" s="854"/>
      <c r="K922" s="854"/>
      <c r="L922" s="854"/>
      <c r="M922" s="854"/>
      <c r="N922" s="854"/>
      <c r="O922" s="854"/>
      <c r="P922" s="854"/>
      <c r="Q922" s="854"/>
      <c r="R922" s="854"/>
      <c r="S922" s="854"/>
      <c r="T922" s="854"/>
      <c r="U922" s="854"/>
      <c r="V922" s="854"/>
      <c r="W922" s="854"/>
      <c r="X922" s="854"/>
      <c r="Y922" s="854"/>
      <c r="Z922" s="854"/>
      <c r="AA922" s="854"/>
      <c r="AB922" s="854"/>
      <c r="AC922" s="854"/>
      <c r="AD922" s="854"/>
      <c r="AE922" s="854"/>
      <c r="AF922" s="854"/>
      <c r="AG922" s="854"/>
      <c r="AH922" s="854"/>
      <c r="AI922" s="854"/>
      <c r="AJ922" s="854"/>
      <c r="AK922" s="854"/>
      <c r="AL922" s="854"/>
      <c r="AM922" s="854"/>
      <c r="AN922" s="854"/>
      <c r="AO922" s="854"/>
      <c r="AP922" s="854"/>
      <c r="AQ922" s="854"/>
      <c r="AR922" s="854"/>
      <c r="AS922" s="854"/>
      <c r="AT922" s="854"/>
      <c r="AU922" s="854"/>
      <c r="AV922" s="854"/>
      <c r="AW922" s="854"/>
      <c r="AX922" s="854"/>
      <c r="AY922" s="854"/>
      <c r="AZ922" s="854"/>
      <c r="BA922" s="854"/>
      <c r="BB922" s="854"/>
      <c r="BC922" s="854"/>
      <c r="BD922" s="854"/>
      <c r="BE922" s="854"/>
      <c r="BF922" s="854"/>
      <c r="BG922" s="854"/>
      <c r="BH922" s="854"/>
      <c r="BI922" s="854"/>
      <c r="BJ922" s="854"/>
      <c r="BK922" s="854"/>
      <c r="BL922" s="854"/>
      <c r="BM922" s="854"/>
      <c r="BN922" s="854"/>
      <c r="BO922" s="854"/>
      <c r="BP922" s="854"/>
      <c r="BQ922" s="854"/>
      <c r="BR922" s="854"/>
      <c r="BS922" s="854"/>
      <c r="BT922" s="854"/>
      <c r="BU922" s="854"/>
      <c r="BV922" s="854"/>
      <c r="BW922" s="854"/>
      <c r="BX922" s="854"/>
      <c r="BY922" s="854"/>
      <c r="BZ922" s="854"/>
      <c r="CA922" s="571">
        <f>IF(OR(I922="",I922&lt;'Configs &amp; Procedures'!$L$29),0,IF(I922&gt;'Configs &amp; Procedures'!$L$30,1,IF(F922&gt;'Configs &amp; Procedures'!$L$31,0,1)))</f>
        <v>0</v>
      </c>
    </row>
    <row r="923" spans="2:79">
      <c r="B923" s="854"/>
      <c r="C923" s="854"/>
      <c r="D923" s="854"/>
      <c r="E923" s="854"/>
      <c r="F923" s="854"/>
      <c r="G923" s="854"/>
      <c r="H923" s="854"/>
      <c r="I923" s="854"/>
      <c r="J923" s="854"/>
      <c r="K923" s="854"/>
      <c r="L923" s="854"/>
      <c r="M923" s="854"/>
      <c r="N923" s="854"/>
      <c r="O923" s="854"/>
      <c r="P923" s="854"/>
      <c r="Q923" s="854"/>
      <c r="R923" s="854"/>
      <c r="S923" s="854"/>
      <c r="T923" s="854"/>
      <c r="U923" s="854"/>
      <c r="V923" s="854"/>
      <c r="W923" s="854"/>
      <c r="X923" s="854"/>
      <c r="Y923" s="854"/>
      <c r="Z923" s="854"/>
      <c r="AA923" s="854"/>
      <c r="AB923" s="854"/>
      <c r="AC923" s="854"/>
      <c r="AD923" s="854"/>
      <c r="AE923" s="854"/>
      <c r="AF923" s="854"/>
      <c r="AG923" s="854"/>
      <c r="AH923" s="854"/>
      <c r="AI923" s="854"/>
      <c r="AJ923" s="854"/>
      <c r="AK923" s="854"/>
      <c r="AL923" s="854"/>
      <c r="AM923" s="854"/>
      <c r="AN923" s="854"/>
      <c r="AO923" s="854"/>
      <c r="AP923" s="854"/>
      <c r="AQ923" s="854"/>
      <c r="AR923" s="854"/>
      <c r="AS923" s="854"/>
      <c r="AT923" s="854"/>
      <c r="AU923" s="854"/>
      <c r="AV923" s="854"/>
      <c r="AW923" s="854"/>
      <c r="AX923" s="854"/>
      <c r="AY923" s="854"/>
      <c r="AZ923" s="854"/>
      <c r="BA923" s="854"/>
      <c r="BB923" s="854"/>
      <c r="BC923" s="854"/>
      <c r="BD923" s="854"/>
      <c r="BE923" s="854"/>
      <c r="BF923" s="854"/>
      <c r="BG923" s="854"/>
      <c r="BH923" s="854"/>
      <c r="BI923" s="854"/>
      <c r="BJ923" s="854"/>
      <c r="BK923" s="854"/>
      <c r="BL923" s="854"/>
      <c r="BM923" s="854"/>
      <c r="BN923" s="854"/>
      <c r="BO923" s="854"/>
      <c r="BP923" s="854"/>
      <c r="BQ923" s="854"/>
      <c r="BR923" s="854"/>
      <c r="BS923" s="854"/>
      <c r="BT923" s="854"/>
      <c r="BU923" s="854"/>
      <c r="BV923" s="854"/>
      <c r="BW923" s="854"/>
      <c r="BX923" s="854"/>
      <c r="BY923" s="854"/>
      <c r="BZ923" s="854"/>
      <c r="CA923" s="571">
        <f>IF(OR(I923="",I923&lt;'Configs &amp; Procedures'!$L$29),0,IF(I923&gt;'Configs &amp; Procedures'!$L$30,1,IF(F923&gt;'Configs &amp; Procedures'!$L$31,0,1)))</f>
        <v>0</v>
      </c>
    </row>
    <row r="924" spans="2:79">
      <c r="B924" s="854"/>
      <c r="C924" s="854"/>
      <c r="D924" s="854"/>
      <c r="E924" s="854"/>
      <c r="F924" s="854"/>
      <c r="G924" s="854"/>
      <c r="H924" s="854"/>
      <c r="I924" s="854"/>
      <c r="J924" s="854"/>
      <c r="K924" s="854"/>
      <c r="L924" s="854"/>
      <c r="M924" s="854"/>
      <c r="N924" s="854"/>
      <c r="O924" s="854"/>
      <c r="P924" s="854"/>
      <c r="Q924" s="854"/>
      <c r="R924" s="854"/>
      <c r="S924" s="854"/>
      <c r="T924" s="854"/>
      <c r="U924" s="854"/>
      <c r="V924" s="854"/>
      <c r="W924" s="854"/>
      <c r="X924" s="854"/>
      <c r="Y924" s="854"/>
      <c r="Z924" s="854"/>
      <c r="AA924" s="854"/>
      <c r="AB924" s="854"/>
      <c r="AC924" s="854"/>
      <c r="AD924" s="854"/>
      <c r="AE924" s="854"/>
      <c r="AF924" s="854"/>
      <c r="AG924" s="854"/>
      <c r="AH924" s="854"/>
      <c r="AI924" s="854"/>
      <c r="AJ924" s="854"/>
      <c r="AK924" s="854"/>
      <c r="AL924" s="854"/>
      <c r="AM924" s="854"/>
      <c r="AN924" s="854"/>
      <c r="AO924" s="854"/>
      <c r="AP924" s="854"/>
      <c r="AQ924" s="854"/>
      <c r="AR924" s="854"/>
      <c r="AS924" s="854"/>
      <c r="AT924" s="854"/>
      <c r="AU924" s="854"/>
      <c r="AV924" s="854"/>
      <c r="AW924" s="854"/>
      <c r="AX924" s="854"/>
      <c r="AY924" s="854"/>
      <c r="AZ924" s="854"/>
      <c r="BA924" s="854"/>
      <c r="BB924" s="854"/>
      <c r="BC924" s="854"/>
      <c r="BD924" s="854"/>
      <c r="BE924" s="854"/>
      <c r="BF924" s="854"/>
      <c r="BG924" s="854"/>
      <c r="BH924" s="854"/>
      <c r="BI924" s="854"/>
      <c r="BJ924" s="854"/>
      <c r="BK924" s="854"/>
      <c r="BL924" s="854"/>
      <c r="BM924" s="854"/>
      <c r="BN924" s="854"/>
      <c r="BO924" s="854"/>
      <c r="BP924" s="854"/>
      <c r="BQ924" s="854"/>
      <c r="BR924" s="854"/>
      <c r="BS924" s="854"/>
      <c r="BT924" s="854"/>
      <c r="BU924" s="854"/>
      <c r="BV924" s="854"/>
      <c r="BW924" s="854"/>
      <c r="BX924" s="854"/>
      <c r="BY924" s="854"/>
      <c r="BZ924" s="854"/>
      <c r="CA924" s="571">
        <f>IF(OR(I924="",I924&lt;'Configs &amp; Procedures'!$L$29),0,IF(I924&gt;'Configs &amp; Procedures'!$L$30,1,IF(F924&gt;'Configs &amp; Procedures'!$L$31,0,1)))</f>
        <v>0</v>
      </c>
    </row>
    <row r="925" spans="2:79">
      <c r="B925" s="854"/>
      <c r="C925" s="854"/>
      <c r="D925" s="854"/>
      <c r="E925" s="854"/>
      <c r="F925" s="854"/>
      <c r="G925" s="854"/>
      <c r="H925" s="854"/>
      <c r="I925" s="854"/>
      <c r="J925" s="854"/>
      <c r="K925" s="854"/>
      <c r="L925" s="854"/>
      <c r="M925" s="854"/>
      <c r="N925" s="854"/>
      <c r="O925" s="854"/>
      <c r="P925" s="854"/>
      <c r="Q925" s="854"/>
      <c r="R925" s="854"/>
      <c r="S925" s="854"/>
      <c r="T925" s="854"/>
      <c r="U925" s="854"/>
      <c r="V925" s="854"/>
      <c r="W925" s="854"/>
      <c r="X925" s="854"/>
      <c r="Y925" s="854"/>
      <c r="Z925" s="854"/>
      <c r="AA925" s="854"/>
      <c r="AB925" s="854"/>
      <c r="AC925" s="854"/>
      <c r="AD925" s="854"/>
      <c r="AE925" s="854"/>
      <c r="AF925" s="854"/>
      <c r="AG925" s="854"/>
      <c r="AH925" s="854"/>
      <c r="AI925" s="854"/>
      <c r="AJ925" s="854"/>
      <c r="AK925" s="854"/>
      <c r="AL925" s="854"/>
      <c r="AM925" s="854"/>
      <c r="AN925" s="854"/>
      <c r="AO925" s="854"/>
      <c r="AP925" s="854"/>
      <c r="AQ925" s="854"/>
      <c r="AR925" s="854"/>
      <c r="AS925" s="854"/>
      <c r="AT925" s="854"/>
      <c r="AU925" s="854"/>
      <c r="AV925" s="854"/>
      <c r="AW925" s="854"/>
      <c r="AX925" s="854"/>
      <c r="AY925" s="854"/>
      <c r="AZ925" s="854"/>
      <c r="BA925" s="854"/>
      <c r="BB925" s="854"/>
      <c r="BC925" s="854"/>
      <c r="BD925" s="854"/>
      <c r="BE925" s="854"/>
      <c r="BF925" s="854"/>
      <c r="BG925" s="854"/>
      <c r="BH925" s="854"/>
      <c r="BI925" s="854"/>
      <c r="BJ925" s="854"/>
      <c r="BK925" s="854"/>
      <c r="BL925" s="854"/>
      <c r="BM925" s="854"/>
      <c r="BN925" s="854"/>
      <c r="BO925" s="854"/>
      <c r="BP925" s="854"/>
      <c r="BQ925" s="854"/>
      <c r="BR925" s="854"/>
      <c r="BS925" s="854"/>
      <c r="BT925" s="854"/>
      <c r="BU925" s="854"/>
      <c r="BV925" s="854"/>
      <c r="BW925" s="854"/>
      <c r="BX925" s="854"/>
      <c r="BY925" s="854"/>
      <c r="BZ925" s="854"/>
      <c r="CA925" s="571">
        <f>IF(OR(I925="",I925&lt;'Configs &amp; Procedures'!$L$29),0,IF(I925&gt;'Configs &amp; Procedures'!$L$30,1,IF(F925&gt;'Configs &amp; Procedures'!$L$31,0,1)))</f>
        <v>0</v>
      </c>
    </row>
    <row r="926" spans="2:79">
      <c r="B926" s="854"/>
      <c r="C926" s="854"/>
      <c r="D926" s="854"/>
      <c r="E926" s="854"/>
      <c r="F926" s="854"/>
      <c r="G926" s="854"/>
      <c r="H926" s="854"/>
      <c r="I926" s="854"/>
      <c r="J926" s="854"/>
      <c r="K926" s="854"/>
      <c r="L926" s="854"/>
      <c r="M926" s="854"/>
      <c r="N926" s="854"/>
      <c r="O926" s="854"/>
      <c r="P926" s="854"/>
      <c r="Q926" s="854"/>
      <c r="R926" s="854"/>
      <c r="S926" s="854"/>
      <c r="T926" s="854"/>
      <c r="U926" s="854"/>
      <c r="V926" s="854"/>
      <c r="W926" s="854"/>
      <c r="X926" s="854"/>
      <c r="Y926" s="854"/>
      <c r="Z926" s="854"/>
      <c r="AA926" s="854"/>
      <c r="AB926" s="854"/>
      <c r="AC926" s="854"/>
      <c r="AD926" s="854"/>
      <c r="AE926" s="854"/>
      <c r="AF926" s="854"/>
      <c r="AG926" s="854"/>
      <c r="AH926" s="854"/>
      <c r="AI926" s="854"/>
      <c r="AJ926" s="854"/>
      <c r="AK926" s="854"/>
      <c r="AL926" s="854"/>
      <c r="AM926" s="854"/>
      <c r="AN926" s="854"/>
      <c r="AO926" s="854"/>
      <c r="AP926" s="854"/>
      <c r="AQ926" s="854"/>
      <c r="AR926" s="854"/>
      <c r="AS926" s="854"/>
      <c r="AT926" s="854"/>
      <c r="AU926" s="854"/>
      <c r="AV926" s="854"/>
      <c r="AW926" s="854"/>
      <c r="AX926" s="854"/>
      <c r="AY926" s="854"/>
      <c r="AZ926" s="854"/>
      <c r="BA926" s="854"/>
      <c r="BB926" s="854"/>
      <c r="BC926" s="854"/>
      <c r="BD926" s="854"/>
      <c r="BE926" s="854"/>
      <c r="BF926" s="854"/>
      <c r="BG926" s="854"/>
      <c r="BH926" s="854"/>
      <c r="BI926" s="854"/>
      <c r="BJ926" s="854"/>
      <c r="BK926" s="854"/>
      <c r="BL926" s="854"/>
      <c r="BM926" s="854"/>
      <c r="BN926" s="854"/>
      <c r="BO926" s="854"/>
      <c r="BP926" s="854"/>
      <c r="BQ926" s="854"/>
      <c r="BR926" s="854"/>
      <c r="BS926" s="854"/>
      <c r="BT926" s="854"/>
      <c r="BU926" s="854"/>
      <c r="BV926" s="854"/>
      <c r="BW926" s="854"/>
      <c r="BX926" s="854"/>
      <c r="BY926" s="854"/>
      <c r="BZ926" s="854"/>
      <c r="CA926" s="571">
        <f>IF(OR(I926="",I926&lt;'Configs &amp; Procedures'!$L$29),0,IF(I926&gt;'Configs &amp; Procedures'!$L$30,1,IF(F926&gt;'Configs &amp; Procedures'!$L$31,0,1)))</f>
        <v>0</v>
      </c>
    </row>
    <row r="927" spans="2:79">
      <c r="B927" s="854"/>
      <c r="C927" s="854"/>
      <c r="D927" s="854"/>
      <c r="E927" s="854"/>
      <c r="F927" s="854"/>
      <c r="G927" s="854"/>
      <c r="H927" s="854"/>
      <c r="I927" s="854"/>
      <c r="J927" s="854"/>
      <c r="K927" s="854"/>
      <c r="L927" s="854"/>
      <c r="M927" s="854"/>
      <c r="N927" s="854"/>
      <c r="O927" s="854"/>
      <c r="P927" s="854"/>
      <c r="Q927" s="854"/>
      <c r="R927" s="854"/>
      <c r="S927" s="854"/>
      <c r="T927" s="854"/>
      <c r="U927" s="854"/>
      <c r="V927" s="854"/>
      <c r="W927" s="854"/>
      <c r="X927" s="854"/>
      <c r="Y927" s="854"/>
      <c r="Z927" s="854"/>
      <c r="AA927" s="854"/>
      <c r="AB927" s="854"/>
      <c r="AC927" s="854"/>
      <c r="AD927" s="854"/>
      <c r="AE927" s="854"/>
      <c r="AF927" s="854"/>
      <c r="AG927" s="854"/>
      <c r="AH927" s="854"/>
      <c r="AI927" s="854"/>
      <c r="AJ927" s="854"/>
      <c r="AK927" s="854"/>
      <c r="AL927" s="854"/>
      <c r="AM927" s="854"/>
      <c r="AN927" s="854"/>
      <c r="AO927" s="854"/>
      <c r="AP927" s="854"/>
      <c r="AQ927" s="854"/>
      <c r="AR927" s="854"/>
      <c r="AS927" s="854"/>
      <c r="AT927" s="854"/>
      <c r="AU927" s="854"/>
      <c r="AV927" s="854"/>
      <c r="AW927" s="854"/>
      <c r="AX927" s="854"/>
      <c r="AY927" s="854"/>
      <c r="AZ927" s="854"/>
      <c r="BA927" s="854"/>
      <c r="BB927" s="854"/>
      <c r="BC927" s="854"/>
      <c r="BD927" s="854"/>
      <c r="BE927" s="854"/>
      <c r="BF927" s="854"/>
      <c r="BG927" s="854"/>
      <c r="BH927" s="854"/>
      <c r="BI927" s="854"/>
      <c r="BJ927" s="854"/>
      <c r="BK927" s="854"/>
      <c r="BL927" s="854"/>
      <c r="BM927" s="854"/>
      <c r="BN927" s="854"/>
      <c r="BO927" s="854"/>
      <c r="BP927" s="854"/>
      <c r="BQ927" s="854"/>
      <c r="BR927" s="854"/>
      <c r="BS927" s="854"/>
      <c r="BT927" s="854"/>
      <c r="BU927" s="854"/>
      <c r="BV927" s="854"/>
      <c r="BW927" s="854"/>
      <c r="BX927" s="854"/>
      <c r="BY927" s="854"/>
      <c r="BZ927" s="854"/>
      <c r="CA927" s="571">
        <f>IF(OR(I927="",I927&lt;'Configs &amp; Procedures'!$L$29),0,IF(I927&gt;'Configs &amp; Procedures'!$L$30,1,IF(F927&gt;'Configs &amp; Procedures'!$L$31,0,1)))</f>
        <v>0</v>
      </c>
    </row>
    <row r="928" spans="2:79">
      <c r="B928" s="854"/>
      <c r="C928" s="854"/>
      <c r="D928" s="854"/>
      <c r="E928" s="854"/>
      <c r="F928" s="854"/>
      <c r="G928" s="854"/>
      <c r="H928" s="854"/>
      <c r="I928" s="854"/>
      <c r="J928" s="854"/>
      <c r="K928" s="854"/>
      <c r="L928" s="854"/>
      <c r="M928" s="854"/>
      <c r="N928" s="854"/>
      <c r="O928" s="854"/>
      <c r="P928" s="854"/>
      <c r="Q928" s="854"/>
      <c r="R928" s="854"/>
      <c r="S928" s="854"/>
      <c r="T928" s="854"/>
      <c r="U928" s="854"/>
      <c r="V928" s="854"/>
      <c r="W928" s="854"/>
      <c r="X928" s="854"/>
      <c r="Y928" s="854"/>
      <c r="Z928" s="854"/>
      <c r="AA928" s="854"/>
      <c r="AB928" s="854"/>
      <c r="AC928" s="854"/>
      <c r="AD928" s="854"/>
      <c r="AE928" s="854"/>
      <c r="AF928" s="854"/>
      <c r="AG928" s="854"/>
      <c r="AH928" s="854"/>
      <c r="AI928" s="854"/>
      <c r="AJ928" s="854"/>
      <c r="AK928" s="854"/>
      <c r="AL928" s="854"/>
      <c r="AM928" s="854"/>
      <c r="AN928" s="854"/>
      <c r="AO928" s="854"/>
      <c r="AP928" s="854"/>
      <c r="AQ928" s="854"/>
      <c r="AR928" s="854"/>
      <c r="AS928" s="854"/>
      <c r="AT928" s="854"/>
      <c r="AU928" s="854"/>
      <c r="AV928" s="854"/>
      <c r="AW928" s="854"/>
      <c r="AX928" s="854"/>
      <c r="AY928" s="854"/>
      <c r="AZ928" s="854"/>
      <c r="BA928" s="854"/>
      <c r="BB928" s="854"/>
      <c r="BC928" s="854"/>
      <c r="BD928" s="854"/>
      <c r="BE928" s="854"/>
      <c r="BF928" s="854"/>
      <c r="BG928" s="854"/>
      <c r="BH928" s="854"/>
      <c r="BI928" s="854"/>
      <c r="BJ928" s="854"/>
      <c r="BK928" s="854"/>
      <c r="BL928" s="854"/>
      <c r="BM928" s="854"/>
      <c r="BN928" s="854"/>
      <c r="BO928" s="854"/>
      <c r="BP928" s="854"/>
      <c r="BQ928" s="854"/>
      <c r="BR928" s="854"/>
      <c r="BS928" s="854"/>
      <c r="BT928" s="854"/>
      <c r="BU928" s="854"/>
      <c r="BV928" s="854"/>
      <c r="BW928" s="854"/>
      <c r="BX928" s="854"/>
      <c r="BY928" s="854"/>
      <c r="BZ928" s="854"/>
      <c r="CA928" s="571">
        <f>IF(OR(I928="",I928&lt;'Configs &amp; Procedures'!$L$29),0,IF(I928&gt;'Configs &amp; Procedures'!$L$30,1,IF(F928&gt;'Configs &amp; Procedures'!$L$31,0,1)))</f>
        <v>0</v>
      </c>
    </row>
    <row r="929" spans="2:79">
      <c r="B929" s="854"/>
      <c r="C929" s="854"/>
      <c r="D929" s="854"/>
      <c r="E929" s="854"/>
      <c r="F929" s="854"/>
      <c r="G929" s="854"/>
      <c r="H929" s="854"/>
      <c r="I929" s="854"/>
      <c r="J929" s="854"/>
      <c r="K929" s="854"/>
      <c r="L929" s="854"/>
      <c r="M929" s="854"/>
      <c r="N929" s="854"/>
      <c r="O929" s="854"/>
      <c r="P929" s="854"/>
      <c r="Q929" s="854"/>
      <c r="R929" s="854"/>
      <c r="S929" s="854"/>
      <c r="T929" s="854"/>
      <c r="U929" s="854"/>
      <c r="V929" s="854"/>
      <c r="W929" s="854"/>
      <c r="X929" s="854"/>
      <c r="Y929" s="854"/>
      <c r="Z929" s="854"/>
      <c r="AA929" s="854"/>
      <c r="AB929" s="854"/>
      <c r="AC929" s="854"/>
      <c r="AD929" s="854"/>
      <c r="AE929" s="854"/>
      <c r="AF929" s="854"/>
      <c r="AG929" s="854"/>
      <c r="AH929" s="854"/>
      <c r="AI929" s="854"/>
      <c r="AJ929" s="854"/>
      <c r="AK929" s="854"/>
      <c r="AL929" s="854"/>
      <c r="AM929" s="854"/>
      <c r="AN929" s="854"/>
      <c r="AO929" s="854"/>
      <c r="AP929" s="854"/>
      <c r="AQ929" s="854"/>
      <c r="AR929" s="854"/>
      <c r="AS929" s="854"/>
      <c r="AT929" s="854"/>
      <c r="AU929" s="854"/>
      <c r="AV929" s="854"/>
      <c r="AW929" s="854"/>
      <c r="AX929" s="854"/>
      <c r="AY929" s="854"/>
      <c r="AZ929" s="854"/>
      <c r="BA929" s="854"/>
      <c r="BB929" s="854"/>
      <c r="BC929" s="854"/>
      <c r="BD929" s="854"/>
      <c r="BE929" s="854"/>
      <c r="BF929" s="854"/>
      <c r="BG929" s="854"/>
      <c r="BH929" s="854"/>
      <c r="BI929" s="854"/>
      <c r="BJ929" s="854"/>
      <c r="BK929" s="854"/>
      <c r="BL929" s="854"/>
      <c r="BM929" s="854"/>
      <c r="BN929" s="854"/>
      <c r="BO929" s="854"/>
      <c r="BP929" s="854"/>
      <c r="BQ929" s="854"/>
      <c r="BR929" s="854"/>
      <c r="BS929" s="854"/>
      <c r="BT929" s="854"/>
      <c r="BU929" s="854"/>
      <c r="BV929" s="854"/>
      <c r="BW929" s="854"/>
      <c r="BX929" s="854"/>
      <c r="BY929" s="854"/>
      <c r="BZ929" s="854"/>
      <c r="CA929" s="571">
        <f>IF(OR(I929="",I929&lt;'Configs &amp; Procedures'!$L$29),0,IF(I929&gt;'Configs &amp; Procedures'!$L$30,1,IF(F929&gt;'Configs &amp; Procedures'!$L$31,0,1)))</f>
        <v>0</v>
      </c>
    </row>
    <row r="930" spans="2:79">
      <c r="B930" s="854"/>
      <c r="C930" s="854"/>
      <c r="D930" s="854"/>
      <c r="E930" s="854"/>
      <c r="F930" s="854"/>
      <c r="G930" s="854"/>
      <c r="H930" s="854"/>
      <c r="I930" s="854"/>
      <c r="J930" s="854"/>
      <c r="K930" s="854"/>
      <c r="L930" s="854"/>
      <c r="M930" s="854"/>
      <c r="N930" s="854"/>
      <c r="O930" s="854"/>
      <c r="P930" s="854"/>
      <c r="Q930" s="854"/>
      <c r="R930" s="854"/>
      <c r="S930" s="854"/>
      <c r="T930" s="854"/>
      <c r="U930" s="854"/>
      <c r="V930" s="854"/>
      <c r="W930" s="854"/>
      <c r="X930" s="854"/>
      <c r="Y930" s="854"/>
      <c r="Z930" s="854"/>
      <c r="AA930" s="854"/>
      <c r="AB930" s="854"/>
      <c r="AC930" s="854"/>
      <c r="AD930" s="854"/>
      <c r="AE930" s="854"/>
      <c r="AF930" s="854"/>
      <c r="AG930" s="854"/>
      <c r="AH930" s="854"/>
      <c r="AI930" s="854"/>
      <c r="AJ930" s="854"/>
      <c r="AK930" s="854"/>
      <c r="AL930" s="854"/>
      <c r="AM930" s="854"/>
      <c r="AN930" s="854"/>
      <c r="AO930" s="854"/>
      <c r="AP930" s="854"/>
      <c r="AQ930" s="854"/>
      <c r="AR930" s="854"/>
      <c r="AS930" s="854"/>
      <c r="AT930" s="854"/>
      <c r="AU930" s="854"/>
      <c r="AV930" s="854"/>
      <c r="AW930" s="854"/>
      <c r="AX930" s="854"/>
      <c r="AY930" s="854"/>
      <c r="AZ930" s="854"/>
      <c r="BA930" s="854"/>
      <c r="BB930" s="854"/>
      <c r="BC930" s="854"/>
      <c r="BD930" s="854"/>
      <c r="BE930" s="854"/>
      <c r="BF930" s="854"/>
      <c r="BG930" s="854"/>
      <c r="BH930" s="854"/>
      <c r="BI930" s="854"/>
      <c r="BJ930" s="854"/>
      <c r="BK930" s="854"/>
      <c r="BL930" s="854"/>
      <c r="BM930" s="854"/>
      <c r="BN930" s="854"/>
      <c r="BO930" s="854"/>
      <c r="BP930" s="854"/>
      <c r="BQ930" s="854"/>
      <c r="BR930" s="854"/>
      <c r="BS930" s="854"/>
      <c r="BT930" s="854"/>
      <c r="BU930" s="854"/>
      <c r="BV930" s="854"/>
      <c r="BW930" s="854"/>
      <c r="BX930" s="854"/>
      <c r="BY930" s="854"/>
      <c r="BZ930" s="854"/>
      <c r="CA930" s="571">
        <f>IF(OR(I930="",I930&lt;'Configs &amp; Procedures'!$L$29),0,IF(I930&gt;'Configs &amp; Procedures'!$L$30,1,IF(F930&gt;'Configs &amp; Procedures'!$L$31,0,1)))</f>
        <v>0</v>
      </c>
    </row>
    <row r="931" spans="2:79">
      <c r="B931" s="854"/>
      <c r="C931" s="854"/>
      <c r="D931" s="854"/>
      <c r="E931" s="854"/>
      <c r="F931" s="854"/>
      <c r="G931" s="854"/>
      <c r="H931" s="854"/>
      <c r="I931" s="854"/>
      <c r="J931" s="854"/>
      <c r="K931" s="854"/>
      <c r="L931" s="854"/>
      <c r="M931" s="854"/>
      <c r="N931" s="854"/>
      <c r="O931" s="854"/>
      <c r="P931" s="854"/>
      <c r="Q931" s="854"/>
      <c r="R931" s="854"/>
      <c r="S931" s="854"/>
      <c r="T931" s="854"/>
      <c r="U931" s="854"/>
      <c r="V931" s="854"/>
      <c r="W931" s="854"/>
      <c r="X931" s="854"/>
      <c r="Y931" s="854"/>
      <c r="Z931" s="854"/>
      <c r="AA931" s="854"/>
      <c r="AB931" s="854"/>
      <c r="AC931" s="854"/>
      <c r="AD931" s="854"/>
      <c r="AE931" s="854"/>
      <c r="AF931" s="854"/>
      <c r="AG931" s="854"/>
      <c r="AH931" s="854"/>
      <c r="AI931" s="854"/>
      <c r="AJ931" s="854"/>
      <c r="AK931" s="854"/>
      <c r="AL931" s="854"/>
      <c r="AM931" s="854"/>
      <c r="AN931" s="854"/>
      <c r="AO931" s="854"/>
      <c r="AP931" s="854"/>
      <c r="AQ931" s="854"/>
      <c r="AR931" s="854"/>
      <c r="AS931" s="854"/>
      <c r="AT931" s="854"/>
      <c r="AU931" s="854"/>
      <c r="AV931" s="854"/>
      <c r="AW931" s="854"/>
      <c r="AX931" s="854"/>
      <c r="AY931" s="854"/>
      <c r="AZ931" s="854"/>
      <c r="BA931" s="854"/>
      <c r="BB931" s="854"/>
      <c r="BC931" s="854"/>
      <c r="BD931" s="854"/>
      <c r="BE931" s="854"/>
      <c r="BF931" s="854"/>
      <c r="BG931" s="854"/>
      <c r="BH931" s="854"/>
      <c r="BI931" s="854"/>
      <c r="BJ931" s="854"/>
      <c r="BK931" s="854"/>
      <c r="BL931" s="854"/>
      <c r="BM931" s="854"/>
      <c r="BN931" s="854"/>
      <c r="BO931" s="854"/>
      <c r="BP931" s="854"/>
      <c r="BQ931" s="854"/>
      <c r="BR931" s="854"/>
      <c r="BS931" s="854"/>
      <c r="BT931" s="854"/>
      <c r="BU931" s="854"/>
      <c r="BV931" s="854"/>
      <c r="BW931" s="854"/>
      <c r="BX931" s="854"/>
      <c r="BY931" s="854"/>
      <c r="BZ931" s="854"/>
      <c r="CA931" s="571">
        <f>IF(OR(I931="",I931&lt;'Configs &amp; Procedures'!$L$29),0,IF(I931&gt;'Configs &amp; Procedures'!$L$30,1,IF(F931&gt;'Configs &amp; Procedures'!$L$31,0,1)))</f>
        <v>0</v>
      </c>
    </row>
    <row r="932" spans="2:79">
      <c r="B932" s="854"/>
      <c r="C932" s="854"/>
      <c r="D932" s="854"/>
      <c r="E932" s="854"/>
      <c r="F932" s="854"/>
      <c r="G932" s="854"/>
      <c r="H932" s="854"/>
      <c r="I932" s="854"/>
      <c r="J932" s="854"/>
      <c r="K932" s="854"/>
      <c r="L932" s="854"/>
      <c r="M932" s="854"/>
      <c r="N932" s="854"/>
      <c r="O932" s="854"/>
      <c r="P932" s="854"/>
      <c r="Q932" s="854"/>
      <c r="R932" s="854"/>
      <c r="S932" s="854"/>
      <c r="T932" s="854"/>
      <c r="U932" s="854"/>
      <c r="V932" s="854"/>
      <c r="W932" s="854"/>
      <c r="X932" s="854"/>
      <c r="Y932" s="854"/>
      <c r="Z932" s="854"/>
      <c r="AA932" s="854"/>
      <c r="AB932" s="854"/>
      <c r="AC932" s="854"/>
      <c r="AD932" s="854"/>
      <c r="AE932" s="854"/>
      <c r="AF932" s="854"/>
      <c r="AG932" s="854"/>
      <c r="AH932" s="854"/>
      <c r="AI932" s="854"/>
      <c r="AJ932" s="854"/>
      <c r="AK932" s="854"/>
      <c r="AL932" s="854"/>
      <c r="AM932" s="854"/>
      <c r="AN932" s="854"/>
      <c r="AO932" s="854"/>
      <c r="AP932" s="854"/>
      <c r="AQ932" s="854"/>
      <c r="AR932" s="854"/>
      <c r="AS932" s="854"/>
      <c r="AT932" s="854"/>
      <c r="AU932" s="854"/>
      <c r="AV932" s="854"/>
      <c r="AW932" s="854"/>
      <c r="AX932" s="854"/>
      <c r="AY932" s="854"/>
      <c r="AZ932" s="854"/>
      <c r="BA932" s="854"/>
      <c r="BB932" s="854"/>
      <c r="BC932" s="854"/>
      <c r="BD932" s="854"/>
      <c r="BE932" s="854"/>
      <c r="BF932" s="854"/>
      <c r="BG932" s="854"/>
      <c r="BH932" s="854"/>
      <c r="BI932" s="854"/>
      <c r="BJ932" s="854"/>
      <c r="BK932" s="854"/>
      <c r="BL932" s="854"/>
      <c r="BM932" s="854"/>
      <c r="BN932" s="854"/>
      <c r="BO932" s="854"/>
      <c r="BP932" s="854"/>
      <c r="BQ932" s="854"/>
      <c r="BR932" s="854"/>
      <c r="BS932" s="854"/>
      <c r="BT932" s="854"/>
      <c r="BU932" s="854"/>
      <c r="BV932" s="854"/>
      <c r="BW932" s="854"/>
      <c r="BX932" s="854"/>
      <c r="BY932" s="854"/>
      <c r="BZ932" s="854"/>
      <c r="CA932" s="571">
        <f>IF(OR(I932="",I932&lt;'Configs &amp; Procedures'!$L$29),0,IF(I932&gt;'Configs &amp; Procedures'!$L$30,1,IF(F932&gt;'Configs &amp; Procedures'!$L$31,0,1)))</f>
        <v>0</v>
      </c>
    </row>
    <row r="933" spans="2:79">
      <c r="B933" s="854"/>
      <c r="C933" s="854"/>
      <c r="D933" s="854"/>
      <c r="E933" s="854"/>
      <c r="F933" s="854"/>
      <c r="G933" s="854"/>
      <c r="H933" s="854"/>
      <c r="I933" s="854"/>
      <c r="J933" s="854"/>
      <c r="K933" s="854"/>
      <c r="L933" s="854"/>
      <c r="M933" s="854"/>
      <c r="N933" s="854"/>
      <c r="O933" s="854"/>
      <c r="P933" s="854"/>
      <c r="Q933" s="854"/>
      <c r="R933" s="854"/>
      <c r="S933" s="854"/>
      <c r="T933" s="854"/>
      <c r="U933" s="854"/>
      <c r="V933" s="854"/>
      <c r="W933" s="854"/>
      <c r="X933" s="854"/>
      <c r="Y933" s="854"/>
      <c r="Z933" s="854"/>
      <c r="AA933" s="854"/>
      <c r="AB933" s="854"/>
      <c r="AC933" s="854"/>
      <c r="AD933" s="854"/>
      <c r="AE933" s="854"/>
      <c r="AF933" s="854"/>
      <c r="AG933" s="854"/>
      <c r="AH933" s="854"/>
      <c r="AI933" s="854"/>
      <c r="AJ933" s="854"/>
      <c r="AK933" s="854"/>
      <c r="AL933" s="854"/>
      <c r="AM933" s="854"/>
      <c r="AN933" s="854"/>
      <c r="AO933" s="854"/>
      <c r="AP933" s="854"/>
      <c r="AQ933" s="854"/>
      <c r="AR933" s="854"/>
      <c r="AS933" s="854"/>
      <c r="AT933" s="854"/>
      <c r="AU933" s="854"/>
      <c r="AV933" s="854"/>
      <c r="AW933" s="854"/>
      <c r="AX933" s="854"/>
      <c r="AY933" s="854"/>
      <c r="AZ933" s="854"/>
      <c r="BA933" s="854"/>
      <c r="BB933" s="854"/>
      <c r="BC933" s="854"/>
      <c r="BD933" s="854"/>
      <c r="BE933" s="854"/>
      <c r="BF933" s="854"/>
      <c r="BG933" s="854"/>
      <c r="BH933" s="854"/>
      <c r="BI933" s="854"/>
      <c r="BJ933" s="854"/>
      <c r="BK933" s="854"/>
      <c r="BL933" s="854"/>
      <c r="BM933" s="854"/>
      <c r="BN933" s="854"/>
      <c r="BO933" s="854"/>
      <c r="BP933" s="854"/>
      <c r="BQ933" s="854"/>
      <c r="BR933" s="854"/>
      <c r="BS933" s="854"/>
      <c r="BT933" s="854"/>
      <c r="BU933" s="854"/>
      <c r="BV933" s="854"/>
      <c r="BW933" s="854"/>
      <c r="BX933" s="854"/>
      <c r="BY933" s="854"/>
      <c r="BZ933" s="854"/>
      <c r="CA933" s="571">
        <f>IF(OR(I933="",I933&lt;'Configs &amp; Procedures'!$L$29),0,IF(I933&gt;'Configs &amp; Procedures'!$L$30,1,IF(F933&gt;'Configs &amp; Procedures'!$L$31,0,1)))</f>
        <v>0</v>
      </c>
    </row>
    <row r="934" spans="2:79">
      <c r="B934" s="854"/>
      <c r="C934" s="854"/>
      <c r="D934" s="854"/>
      <c r="E934" s="854"/>
      <c r="F934" s="854"/>
      <c r="G934" s="854"/>
      <c r="H934" s="854"/>
      <c r="I934" s="854"/>
      <c r="J934" s="854"/>
      <c r="K934" s="854"/>
      <c r="L934" s="854"/>
      <c r="M934" s="854"/>
      <c r="N934" s="854"/>
      <c r="O934" s="854"/>
      <c r="P934" s="854"/>
      <c r="Q934" s="854"/>
      <c r="R934" s="854"/>
      <c r="S934" s="854"/>
      <c r="T934" s="854"/>
      <c r="U934" s="854"/>
      <c r="V934" s="854"/>
      <c r="W934" s="854"/>
      <c r="X934" s="854"/>
      <c r="Y934" s="854"/>
      <c r="Z934" s="854"/>
      <c r="AA934" s="854"/>
      <c r="AB934" s="854"/>
      <c r="AC934" s="854"/>
      <c r="AD934" s="854"/>
      <c r="AE934" s="854"/>
      <c r="AF934" s="854"/>
      <c r="AG934" s="854"/>
      <c r="AH934" s="854"/>
      <c r="AI934" s="854"/>
      <c r="AJ934" s="854"/>
      <c r="AK934" s="854"/>
      <c r="AL934" s="854"/>
      <c r="AM934" s="854"/>
      <c r="AN934" s="854"/>
      <c r="AO934" s="854"/>
      <c r="AP934" s="854"/>
      <c r="AQ934" s="854"/>
      <c r="AR934" s="854"/>
      <c r="AS934" s="854"/>
      <c r="AT934" s="854"/>
      <c r="AU934" s="854"/>
      <c r="AV934" s="854"/>
      <c r="AW934" s="854"/>
      <c r="AX934" s="854"/>
      <c r="AY934" s="854"/>
      <c r="AZ934" s="854"/>
      <c r="BA934" s="854"/>
      <c r="BB934" s="854"/>
      <c r="BC934" s="854"/>
      <c r="BD934" s="854"/>
      <c r="BE934" s="854"/>
      <c r="BF934" s="854"/>
      <c r="BG934" s="854"/>
      <c r="BH934" s="854"/>
      <c r="BI934" s="854"/>
      <c r="BJ934" s="854"/>
      <c r="BK934" s="854"/>
      <c r="BL934" s="854"/>
      <c r="BM934" s="854"/>
      <c r="BN934" s="854"/>
      <c r="BO934" s="854"/>
      <c r="BP934" s="854"/>
      <c r="BQ934" s="854"/>
      <c r="BR934" s="854"/>
      <c r="BS934" s="854"/>
      <c r="BT934" s="854"/>
      <c r="BU934" s="854"/>
      <c r="BV934" s="854"/>
      <c r="BW934" s="854"/>
      <c r="BX934" s="854"/>
      <c r="BY934" s="854"/>
      <c r="BZ934" s="854"/>
      <c r="CA934" s="571">
        <f>IF(OR(I934="",I934&lt;'Configs &amp; Procedures'!$L$29),0,IF(I934&gt;'Configs &amp; Procedures'!$L$30,1,IF(F934&gt;'Configs &amp; Procedures'!$L$31,0,1)))</f>
        <v>0</v>
      </c>
    </row>
    <row r="935" spans="2:79">
      <c r="B935" s="854"/>
      <c r="C935" s="854"/>
      <c r="D935" s="854"/>
      <c r="E935" s="854"/>
      <c r="F935" s="854"/>
      <c r="G935" s="854"/>
      <c r="H935" s="854"/>
      <c r="I935" s="854"/>
      <c r="J935" s="854"/>
      <c r="K935" s="854"/>
      <c r="L935" s="854"/>
      <c r="M935" s="854"/>
      <c r="N935" s="854"/>
      <c r="O935" s="854"/>
      <c r="P935" s="854"/>
      <c r="Q935" s="854"/>
      <c r="R935" s="854"/>
      <c r="S935" s="854"/>
      <c r="T935" s="854"/>
      <c r="U935" s="854"/>
      <c r="V935" s="854"/>
      <c r="W935" s="854"/>
      <c r="X935" s="854"/>
      <c r="Y935" s="854"/>
      <c r="Z935" s="854"/>
      <c r="AA935" s="854"/>
      <c r="AB935" s="854"/>
      <c r="AC935" s="854"/>
      <c r="AD935" s="854"/>
      <c r="AE935" s="854"/>
      <c r="AF935" s="854"/>
      <c r="AG935" s="854"/>
      <c r="AH935" s="854"/>
      <c r="AI935" s="854"/>
      <c r="AJ935" s="854"/>
      <c r="AK935" s="854"/>
      <c r="AL935" s="854"/>
      <c r="AM935" s="854"/>
      <c r="AN935" s="854"/>
      <c r="AO935" s="854"/>
      <c r="AP935" s="854"/>
      <c r="AQ935" s="854"/>
      <c r="AR935" s="854"/>
      <c r="AS935" s="854"/>
      <c r="AT935" s="854"/>
      <c r="AU935" s="854"/>
      <c r="AV935" s="854"/>
      <c r="AW935" s="854"/>
      <c r="AX935" s="854"/>
      <c r="AY935" s="854"/>
      <c r="AZ935" s="854"/>
      <c r="BA935" s="854"/>
      <c r="BB935" s="854"/>
      <c r="BC935" s="854"/>
      <c r="BD935" s="854"/>
      <c r="BE935" s="854"/>
      <c r="BF935" s="854"/>
      <c r="BG935" s="854"/>
      <c r="BH935" s="854"/>
      <c r="BI935" s="854"/>
      <c r="BJ935" s="854"/>
      <c r="BK935" s="854"/>
      <c r="BL935" s="854"/>
      <c r="BM935" s="854"/>
      <c r="BN935" s="854"/>
      <c r="BO935" s="854"/>
      <c r="BP935" s="854"/>
      <c r="BQ935" s="854"/>
      <c r="BR935" s="854"/>
      <c r="BS935" s="854"/>
      <c r="BT935" s="854"/>
      <c r="BU935" s="854"/>
      <c r="BV935" s="854"/>
      <c r="BW935" s="854"/>
      <c r="BX935" s="854"/>
      <c r="BY935" s="854"/>
      <c r="BZ935" s="854"/>
      <c r="CA935" s="571">
        <f>IF(OR(I935="",I935&lt;'Configs &amp; Procedures'!$L$29),0,IF(I935&gt;'Configs &amp; Procedures'!$L$30,1,IF(F935&gt;'Configs &amp; Procedures'!$L$31,0,1)))</f>
        <v>0</v>
      </c>
    </row>
    <row r="936" spans="2:79">
      <c r="B936" s="854"/>
      <c r="C936" s="854"/>
      <c r="D936" s="854"/>
      <c r="E936" s="854"/>
      <c r="F936" s="854"/>
      <c r="G936" s="854"/>
      <c r="H936" s="854"/>
      <c r="I936" s="854"/>
      <c r="J936" s="854"/>
      <c r="K936" s="854"/>
      <c r="L936" s="854"/>
      <c r="M936" s="854"/>
      <c r="N936" s="854"/>
      <c r="O936" s="854"/>
      <c r="P936" s="854"/>
      <c r="Q936" s="854"/>
      <c r="R936" s="854"/>
      <c r="S936" s="854"/>
      <c r="T936" s="854"/>
      <c r="U936" s="854"/>
      <c r="V936" s="854"/>
      <c r="W936" s="854"/>
      <c r="X936" s="854"/>
      <c r="Y936" s="854"/>
      <c r="Z936" s="854"/>
      <c r="AA936" s="854"/>
      <c r="AB936" s="854"/>
      <c r="AC936" s="854"/>
      <c r="AD936" s="854"/>
      <c r="AE936" s="854"/>
      <c r="AF936" s="854"/>
      <c r="AG936" s="854"/>
      <c r="AH936" s="854"/>
      <c r="AI936" s="854"/>
      <c r="AJ936" s="854"/>
      <c r="AK936" s="854"/>
      <c r="AL936" s="854"/>
      <c r="AM936" s="854"/>
      <c r="AN936" s="854"/>
      <c r="AO936" s="854"/>
      <c r="AP936" s="854"/>
      <c r="AQ936" s="854"/>
      <c r="AR936" s="854"/>
      <c r="AS936" s="854"/>
      <c r="AT936" s="854"/>
      <c r="AU936" s="854"/>
      <c r="AV936" s="854"/>
      <c r="AW936" s="854"/>
      <c r="AX936" s="854"/>
      <c r="AY936" s="854"/>
      <c r="AZ936" s="854"/>
      <c r="BA936" s="854"/>
      <c r="BB936" s="854"/>
      <c r="BC936" s="854"/>
      <c r="BD936" s="854"/>
      <c r="BE936" s="854"/>
      <c r="BF936" s="854"/>
      <c r="BG936" s="854"/>
      <c r="BH936" s="854"/>
      <c r="BI936" s="854"/>
      <c r="BJ936" s="854"/>
      <c r="BK936" s="854"/>
      <c r="BL936" s="854"/>
      <c r="BM936" s="854"/>
      <c r="BN936" s="854"/>
      <c r="BO936" s="854"/>
      <c r="BP936" s="854"/>
      <c r="BQ936" s="854"/>
      <c r="BR936" s="854"/>
      <c r="BS936" s="854"/>
      <c r="BT936" s="854"/>
      <c r="BU936" s="854"/>
      <c r="BV936" s="854"/>
      <c r="BW936" s="854"/>
      <c r="BX936" s="854"/>
      <c r="BY936" s="854"/>
      <c r="BZ936" s="854"/>
      <c r="CA936" s="571">
        <f>IF(OR(I936="",I936&lt;'Configs &amp; Procedures'!$L$29),0,IF(I936&gt;'Configs &amp; Procedures'!$L$30,1,IF(F936&gt;'Configs &amp; Procedures'!$L$31,0,1)))</f>
        <v>0</v>
      </c>
    </row>
    <row r="937" spans="2:79">
      <c r="B937" s="854"/>
      <c r="C937" s="854"/>
      <c r="D937" s="854"/>
      <c r="E937" s="854"/>
      <c r="F937" s="854"/>
      <c r="G937" s="854"/>
      <c r="H937" s="854"/>
      <c r="I937" s="854"/>
      <c r="J937" s="854"/>
      <c r="K937" s="854"/>
      <c r="L937" s="854"/>
      <c r="M937" s="854"/>
      <c r="N937" s="854"/>
      <c r="O937" s="854"/>
      <c r="P937" s="854"/>
      <c r="Q937" s="854"/>
      <c r="R937" s="854"/>
      <c r="S937" s="854"/>
      <c r="T937" s="854"/>
      <c r="U937" s="854"/>
      <c r="V937" s="854"/>
      <c r="W937" s="854"/>
      <c r="X937" s="854"/>
      <c r="Y937" s="854"/>
      <c r="Z937" s="854"/>
      <c r="AA937" s="854"/>
      <c r="AB937" s="854"/>
      <c r="AC937" s="854"/>
      <c r="AD937" s="854"/>
      <c r="AE937" s="854"/>
      <c r="AF937" s="854"/>
      <c r="AG937" s="854"/>
      <c r="AH937" s="854"/>
      <c r="AI937" s="854"/>
      <c r="AJ937" s="854"/>
      <c r="AK937" s="854"/>
      <c r="AL937" s="854"/>
      <c r="AM937" s="854"/>
      <c r="AN937" s="854"/>
      <c r="AO937" s="854"/>
      <c r="AP937" s="854"/>
      <c r="AQ937" s="854"/>
      <c r="AR937" s="854"/>
      <c r="AS937" s="854"/>
      <c r="AT937" s="854"/>
      <c r="AU937" s="854"/>
      <c r="AV937" s="854"/>
      <c r="AW937" s="854"/>
      <c r="AX937" s="854"/>
      <c r="AY937" s="854"/>
      <c r="AZ937" s="854"/>
      <c r="BA937" s="854"/>
      <c r="BB937" s="854"/>
      <c r="BC937" s="854"/>
      <c r="BD937" s="854"/>
      <c r="BE937" s="854"/>
      <c r="BF937" s="854"/>
      <c r="BG937" s="854"/>
      <c r="BH937" s="854"/>
      <c r="BI937" s="854"/>
      <c r="BJ937" s="854"/>
      <c r="BK937" s="854"/>
      <c r="BL937" s="854"/>
      <c r="BM937" s="854"/>
      <c r="BN937" s="854"/>
      <c r="BO937" s="854"/>
      <c r="BP937" s="854"/>
      <c r="BQ937" s="854"/>
      <c r="BR937" s="854"/>
      <c r="BS937" s="854"/>
      <c r="BT937" s="854"/>
      <c r="BU937" s="854"/>
      <c r="BV937" s="854"/>
      <c r="BW937" s="854"/>
      <c r="BX937" s="854"/>
      <c r="BY937" s="854"/>
      <c r="BZ937" s="854"/>
      <c r="CA937" s="571">
        <f>IF(OR(I937="",I937&lt;'Configs &amp; Procedures'!$L$29),0,IF(I937&gt;'Configs &amp; Procedures'!$L$30,1,IF(F937&gt;'Configs &amp; Procedures'!$L$31,0,1)))</f>
        <v>0</v>
      </c>
    </row>
    <row r="938" spans="2:79">
      <c r="B938" s="854"/>
      <c r="C938" s="854"/>
      <c r="D938" s="854"/>
      <c r="E938" s="854"/>
      <c r="F938" s="854"/>
      <c r="G938" s="854"/>
      <c r="H938" s="854"/>
      <c r="I938" s="854"/>
      <c r="J938" s="854"/>
      <c r="K938" s="854"/>
      <c r="L938" s="854"/>
      <c r="M938" s="854"/>
      <c r="N938" s="854"/>
      <c r="O938" s="854"/>
      <c r="P938" s="854"/>
      <c r="Q938" s="854"/>
      <c r="R938" s="854"/>
      <c r="S938" s="854"/>
      <c r="T938" s="854"/>
      <c r="U938" s="854"/>
      <c r="V938" s="854"/>
      <c r="W938" s="854"/>
      <c r="X938" s="854"/>
      <c r="Y938" s="854"/>
      <c r="Z938" s="854"/>
      <c r="AA938" s="854"/>
      <c r="AB938" s="854"/>
      <c r="AC938" s="854"/>
      <c r="AD938" s="854"/>
      <c r="AE938" s="854"/>
      <c r="AF938" s="854"/>
      <c r="AG938" s="854"/>
      <c r="AH938" s="854"/>
      <c r="AI938" s="854"/>
      <c r="AJ938" s="854"/>
      <c r="AK938" s="854"/>
      <c r="AL938" s="854"/>
      <c r="AM938" s="854"/>
      <c r="AN938" s="854"/>
      <c r="AO938" s="854"/>
      <c r="AP938" s="854"/>
      <c r="AQ938" s="854"/>
      <c r="AR938" s="854"/>
      <c r="AS938" s="854"/>
      <c r="AT938" s="854"/>
      <c r="AU938" s="854"/>
      <c r="AV938" s="854"/>
      <c r="AW938" s="854"/>
      <c r="AX938" s="854"/>
      <c r="AY938" s="854"/>
      <c r="AZ938" s="854"/>
      <c r="BA938" s="854"/>
      <c r="BB938" s="854"/>
      <c r="BC938" s="854"/>
      <c r="BD938" s="854"/>
      <c r="BE938" s="854"/>
      <c r="BF938" s="854"/>
      <c r="BG938" s="854"/>
      <c r="BH938" s="854"/>
      <c r="BI938" s="854"/>
      <c r="BJ938" s="854"/>
      <c r="BK938" s="854"/>
      <c r="BL938" s="854"/>
      <c r="BM938" s="854"/>
      <c r="BN938" s="854"/>
      <c r="BO938" s="854"/>
      <c r="BP938" s="854"/>
      <c r="BQ938" s="854"/>
      <c r="BR938" s="854"/>
      <c r="BS938" s="854"/>
      <c r="BT938" s="854"/>
      <c r="BU938" s="854"/>
      <c r="BV938" s="854"/>
      <c r="BW938" s="854"/>
      <c r="BX938" s="854"/>
      <c r="BY938" s="854"/>
      <c r="BZ938" s="854"/>
      <c r="CA938" s="571">
        <f>IF(OR(I938="",I938&lt;'Configs &amp; Procedures'!$L$29),0,IF(I938&gt;'Configs &amp; Procedures'!$L$30,1,IF(F938&gt;'Configs &amp; Procedures'!$L$31,0,1)))</f>
        <v>0</v>
      </c>
    </row>
    <row r="939" spans="2:79">
      <c r="B939" s="854"/>
      <c r="C939" s="854"/>
      <c r="D939" s="854"/>
      <c r="E939" s="854"/>
      <c r="F939" s="854"/>
      <c r="G939" s="854"/>
      <c r="H939" s="854"/>
      <c r="I939" s="854"/>
      <c r="J939" s="854"/>
      <c r="K939" s="854"/>
      <c r="L939" s="854"/>
      <c r="M939" s="854"/>
      <c r="N939" s="854"/>
      <c r="O939" s="854"/>
      <c r="P939" s="854"/>
      <c r="Q939" s="854"/>
      <c r="R939" s="854"/>
      <c r="S939" s="854"/>
      <c r="T939" s="854"/>
      <c r="U939" s="854"/>
      <c r="V939" s="854"/>
      <c r="W939" s="854"/>
      <c r="X939" s="854"/>
      <c r="Y939" s="854"/>
      <c r="Z939" s="854"/>
      <c r="AA939" s="854"/>
      <c r="AB939" s="854"/>
      <c r="AC939" s="854"/>
      <c r="AD939" s="854"/>
      <c r="AE939" s="854"/>
      <c r="AF939" s="854"/>
      <c r="AG939" s="854"/>
      <c r="AH939" s="854"/>
      <c r="AI939" s="854"/>
      <c r="AJ939" s="854"/>
      <c r="AK939" s="854"/>
      <c r="AL939" s="854"/>
      <c r="AM939" s="854"/>
      <c r="AN939" s="854"/>
      <c r="AO939" s="854"/>
      <c r="AP939" s="854"/>
      <c r="AQ939" s="854"/>
      <c r="AR939" s="854"/>
      <c r="AS939" s="854"/>
      <c r="AT939" s="854"/>
      <c r="AU939" s="854"/>
      <c r="AV939" s="854"/>
      <c r="AW939" s="854"/>
      <c r="AX939" s="854"/>
      <c r="AY939" s="854"/>
      <c r="AZ939" s="854"/>
      <c r="BA939" s="854"/>
      <c r="BB939" s="854"/>
      <c r="BC939" s="854"/>
      <c r="BD939" s="854"/>
      <c r="BE939" s="854"/>
      <c r="BF939" s="854"/>
      <c r="BG939" s="854"/>
      <c r="BH939" s="854"/>
      <c r="BI939" s="854"/>
      <c r="BJ939" s="854"/>
      <c r="BK939" s="854"/>
      <c r="BL939" s="854"/>
      <c r="BM939" s="854"/>
      <c r="BN939" s="854"/>
      <c r="BO939" s="854"/>
      <c r="BP939" s="854"/>
      <c r="BQ939" s="854"/>
      <c r="BR939" s="854"/>
      <c r="BS939" s="854"/>
      <c r="BT939" s="854"/>
      <c r="BU939" s="854"/>
      <c r="BV939" s="854"/>
      <c r="BW939" s="854"/>
      <c r="BX939" s="854"/>
      <c r="BY939" s="854"/>
      <c r="BZ939" s="854"/>
      <c r="CA939" s="571">
        <f>IF(OR(I939="",I939&lt;'Configs &amp; Procedures'!$L$29),0,IF(I939&gt;'Configs &amp; Procedures'!$L$30,1,IF(F939&gt;'Configs &amp; Procedures'!$L$31,0,1)))</f>
        <v>0</v>
      </c>
    </row>
    <row r="940" spans="2:79">
      <c r="B940" s="854"/>
      <c r="C940" s="854"/>
      <c r="D940" s="854"/>
      <c r="E940" s="854"/>
      <c r="F940" s="854"/>
      <c r="G940" s="854"/>
      <c r="H940" s="854"/>
      <c r="I940" s="854"/>
      <c r="J940" s="854"/>
      <c r="K940" s="854"/>
      <c r="L940" s="854"/>
      <c r="M940" s="854"/>
      <c r="N940" s="854"/>
      <c r="O940" s="854"/>
      <c r="P940" s="854"/>
      <c r="Q940" s="854"/>
      <c r="R940" s="854"/>
      <c r="S940" s="854"/>
      <c r="T940" s="854"/>
      <c r="U940" s="854"/>
      <c r="V940" s="854"/>
      <c r="W940" s="854"/>
      <c r="X940" s="854"/>
      <c r="Y940" s="854"/>
      <c r="Z940" s="854"/>
      <c r="AA940" s="854"/>
      <c r="AB940" s="854"/>
      <c r="AC940" s="854"/>
      <c r="AD940" s="854"/>
      <c r="AE940" s="854"/>
      <c r="AF940" s="854"/>
      <c r="AG940" s="854"/>
      <c r="AH940" s="854"/>
      <c r="AI940" s="854"/>
      <c r="AJ940" s="854"/>
      <c r="AK940" s="854"/>
      <c r="AL940" s="854"/>
      <c r="AM940" s="854"/>
      <c r="AN940" s="854"/>
      <c r="AO940" s="854"/>
      <c r="AP940" s="854"/>
      <c r="AQ940" s="854"/>
      <c r="AR940" s="854"/>
      <c r="AS940" s="854"/>
      <c r="AT940" s="854"/>
      <c r="AU940" s="854"/>
      <c r="AV940" s="854"/>
      <c r="AW940" s="854"/>
      <c r="AX940" s="854"/>
      <c r="AY940" s="854"/>
      <c r="AZ940" s="854"/>
      <c r="BA940" s="854"/>
      <c r="BB940" s="854"/>
      <c r="BC940" s="854"/>
      <c r="BD940" s="854"/>
      <c r="BE940" s="854"/>
      <c r="BF940" s="854"/>
      <c r="BG940" s="854"/>
      <c r="BH940" s="854"/>
      <c r="BI940" s="854"/>
      <c r="BJ940" s="854"/>
      <c r="BK940" s="854"/>
      <c r="BL940" s="854"/>
      <c r="BM940" s="854"/>
      <c r="BN940" s="854"/>
      <c r="BO940" s="854"/>
      <c r="BP940" s="854"/>
      <c r="BQ940" s="854"/>
      <c r="BR940" s="854"/>
      <c r="BS940" s="854"/>
      <c r="BT940" s="854"/>
      <c r="BU940" s="854"/>
      <c r="BV940" s="854"/>
      <c r="BW940" s="854"/>
      <c r="BX940" s="854"/>
      <c r="BY940" s="854"/>
      <c r="BZ940" s="854"/>
      <c r="CA940" s="571">
        <f>IF(OR(I940="",I940&lt;'Configs &amp; Procedures'!$L$29),0,IF(I940&gt;'Configs &amp; Procedures'!$L$30,1,IF(F940&gt;'Configs &amp; Procedures'!$L$31,0,1)))</f>
        <v>0</v>
      </c>
    </row>
    <row r="941" spans="2:79">
      <c r="B941" s="854"/>
      <c r="C941" s="854"/>
      <c r="D941" s="854"/>
      <c r="E941" s="854"/>
      <c r="F941" s="854"/>
      <c r="G941" s="854"/>
      <c r="H941" s="854"/>
      <c r="I941" s="854"/>
      <c r="J941" s="854"/>
      <c r="K941" s="854"/>
      <c r="L941" s="854"/>
      <c r="M941" s="854"/>
      <c r="N941" s="854"/>
      <c r="O941" s="854"/>
      <c r="P941" s="854"/>
      <c r="Q941" s="854"/>
      <c r="R941" s="854"/>
      <c r="S941" s="854"/>
      <c r="T941" s="854"/>
      <c r="U941" s="854"/>
      <c r="V941" s="854"/>
      <c r="W941" s="854"/>
      <c r="X941" s="854"/>
      <c r="Y941" s="854"/>
      <c r="Z941" s="854"/>
      <c r="AA941" s="854"/>
      <c r="AB941" s="854"/>
      <c r="AC941" s="854"/>
      <c r="AD941" s="854"/>
      <c r="AE941" s="854"/>
      <c r="AF941" s="854"/>
      <c r="AG941" s="854"/>
      <c r="AH941" s="854"/>
      <c r="AI941" s="854"/>
      <c r="AJ941" s="854"/>
      <c r="AK941" s="854"/>
      <c r="AL941" s="854"/>
      <c r="AM941" s="854"/>
      <c r="AN941" s="854"/>
      <c r="AO941" s="854"/>
      <c r="AP941" s="854"/>
      <c r="AQ941" s="854"/>
      <c r="AR941" s="854"/>
      <c r="AS941" s="854"/>
      <c r="AT941" s="854"/>
      <c r="AU941" s="854"/>
      <c r="AV941" s="854"/>
      <c r="AW941" s="854"/>
      <c r="AX941" s="854"/>
      <c r="AY941" s="854"/>
      <c r="AZ941" s="854"/>
      <c r="BA941" s="854"/>
      <c r="BB941" s="854"/>
      <c r="BC941" s="854"/>
      <c r="BD941" s="854"/>
      <c r="BE941" s="854"/>
      <c r="BF941" s="854"/>
      <c r="BG941" s="854"/>
      <c r="BH941" s="854"/>
      <c r="BI941" s="854"/>
      <c r="BJ941" s="854"/>
      <c r="BK941" s="854"/>
      <c r="BL941" s="854"/>
      <c r="BM941" s="854"/>
      <c r="BN941" s="854"/>
      <c r="BO941" s="854"/>
      <c r="BP941" s="854"/>
      <c r="BQ941" s="854"/>
      <c r="BR941" s="854"/>
      <c r="BS941" s="854"/>
      <c r="BT941" s="854"/>
      <c r="BU941" s="854"/>
      <c r="BV941" s="854"/>
      <c r="BW941" s="854"/>
      <c r="BX941" s="854"/>
      <c r="BY941" s="854"/>
      <c r="BZ941" s="854"/>
      <c r="CA941" s="571">
        <f>IF(OR(I941="",I941&lt;'Configs &amp; Procedures'!$L$29),0,IF(I941&gt;'Configs &amp; Procedures'!$L$30,1,IF(F941&gt;'Configs &amp; Procedures'!$L$31,0,1)))</f>
        <v>0</v>
      </c>
    </row>
    <row r="942" spans="2:79">
      <c r="B942" s="854"/>
      <c r="C942" s="854"/>
      <c r="D942" s="854"/>
      <c r="E942" s="854"/>
      <c r="F942" s="854"/>
      <c r="G942" s="854"/>
      <c r="H942" s="854"/>
      <c r="I942" s="854"/>
      <c r="J942" s="854"/>
      <c r="K942" s="854"/>
      <c r="L942" s="854"/>
      <c r="M942" s="854"/>
      <c r="N942" s="854"/>
      <c r="O942" s="854"/>
      <c r="P942" s="854"/>
      <c r="Q942" s="854"/>
      <c r="R942" s="854"/>
      <c r="S942" s="854"/>
      <c r="T942" s="854"/>
      <c r="U942" s="854"/>
      <c r="V942" s="854"/>
      <c r="W942" s="854"/>
      <c r="X942" s="854"/>
      <c r="Y942" s="854"/>
      <c r="Z942" s="854"/>
      <c r="AA942" s="854"/>
      <c r="AB942" s="854"/>
      <c r="AC942" s="854"/>
      <c r="AD942" s="854"/>
      <c r="AE942" s="854"/>
      <c r="AF942" s="854"/>
      <c r="AG942" s="854"/>
      <c r="AH942" s="854"/>
      <c r="AI942" s="854"/>
      <c r="AJ942" s="854"/>
      <c r="AK942" s="854"/>
      <c r="AL942" s="854"/>
      <c r="AM942" s="854"/>
      <c r="AN942" s="854"/>
      <c r="AO942" s="854"/>
      <c r="AP942" s="854"/>
      <c r="AQ942" s="854"/>
      <c r="AR942" s="854"/>
      <c r="AS942" s="854"/>
      <c r="AT942" s="854"/>
      <c r="AU942" s="854"/>
      <c r="AV942" s="854"/>
      <c r="AW942" s="854"/>
      <c r="AX942" s="854"/>
      <c r="AY942" s="854"/>
      <c r="AZ942" s="854"/>
      <c r="BA942" s="854"/>
      <c r="BB942" s="854"/>
      <c r="BC942" s="854"/>
      <c r="BD942" s="854"/>
      <c r="BE942" s="854"/>
      <c r="BF942" s="854"/>
      <c r="BG942" s="854"/>
      <c r="BH942" s="854"/>
      <c r="BI942" s="854"/>
      <c r="BJ942" s="854"/>
      <c r="BK942" s="854"/>
      <c r="BL942" s="854"/>
      <c r="BM942" s="854"/>
      <c r="BN942" s="854"/>
      <c r="BO942" s="854"/>
      <c r="BP942" s="854"/>
      <c r="BQ942" s="854"/>
      <c r="BR942" s="854"/>
      <c r="BS942" s="854"/>
      <c r="BT942" s="854"/>
      <c r="BU942" s="854"/>
      <c r="BV942" s="854"/>
      <c r="BW942" s="854"/>
      <c r="BX942" s="854"/>
      <c r="BY942" s="854"/>
      <c r="BZ942" s="854"/>
      <c r="CA942" s="571">
        <f>IF(OR(I942="",I942&lt;'Configs &amp; Procedures'!$L$29),0,IF(I942&gt;'Configs &amp; Procedures'!$L$30,1,IF(F942&gt;'Configs &amp; Procedures'!$L$31,0,1)))</f>
        <v>0</v>
      </c>
    </row>
    <row r="943" spans="2:79">
      <c r="B943" s="854"/>
      <c r="C943" s="854"/>
      <c r="D943" s="854"/>
      <c r="E943" s="854"/>
      <c r="F943" s="854"/>
      <c r="G943" s="854"/>
      <c r="H943" s="854"/>
      <c r="I943" s="854"/>
      <c r="J943" s="854"/>
      <c r="K943" s="854"/>
      <c r="L943" s="854"/>
      <c r="M943" s="854"/>
      <c r="N943" s="854"/>
      <c r="O943" s="854"/>
      <c r="P943" s="854"/>
      <c r="Q943" s="854"/>
      <c r="R943" s="854"/>
      <c r="S943" s="854"/>
      <c r="T943" s="854"/>
      <c r="U943" s="854"/>
      <c r="V943" s="854"/>
      <c r="W943" s="854"/>
      <c r="X943" s="854"/>
      <c r="Y943" s="854"/>
      <c r="Z943" s="854"/>
      <c r="AA943" s="854"/>
      <c r="AB943" s="854"/>
      <c r="AC943" s="854"/>
      <c r="AD943" s="854"/>
      <c r="AE943" s="854"/>
      <c r="AF943" s="854"/>
      <c r="AG943" s="854"/>
      <c r="AH943" s="854"/>
      <c r="AI943" s="854"/>
      <c r="AJ943" s="854"/>
      <c r="AK943" s="854"/>
      <c r="AL943" s="854"/>
      <c r="AM943" s="854"/>
      <c r="AN943" s="854"/>
      <c r="AO943" s="854"/>
      <c r="AP943" s="854"/>
      <c r="AQ943" s="854"/>
      <c r="AR943" s="854"/>
      <c r="AS943" s="854"/>
      <c r="AT943" s="854"/>
      <c r="AU943" s="854"/>
      <c r="AV943" s="854"/>
      <c r="AW943" s="854"/>
      <c r="AX943" s="854"/>
      <c r="AY943" s="854"/>
      <c r="AZ943" s="854"/>
      <c r="BA943" s="854"/>
      <c r="BB943" s="854"/>
      <c r="BC943" s="854"/>
      <c r="BD943" s="854"/>
      <c r="BE943" s="854"/>
      <c r="BF943" s="854"/>
      <c r="BG943" s="854"/>
      <c r="BH943" s="854"/>
      <c r="BI943" s="854"/>
      <c r="BJ943" s="854"/>
      <c r="BK943" s="854"/>
      <c r="BL943" s="854"/>
      <c r="BM943" s="854"/>
      <c r="BN943" s="854"/>
      <c r="BO943" s="854"/>
      <c r="BP943" s="854"/>
      <c r="BQ943" s="854"/>
      <c r="BR943" s="854"/>
      <c r="BS943" s="854"/>
      <c r="BT943" s="854"/>
      <c r="BU943" s="854"/>
      <c r="BV943" s="854"/>
      <c r="BW943" s="854"/>
      <c r="BX943" s="854"/>
      <c r="BY943" s="854"/>
      <c r="BZ943" s="854"/>
      <c r="CA943" s="571">
        <f>IF(OR(I943="",I943&lt;'Configs &amp; Procedures'!$L$29),0,IF(I943&gt;'Configs &amp; Procedures'!$L$30,1,IF(F943&gt;'Configs &amp; Procedures'!$L$31,0,1)))</f>
        <v>0</v>
      </c>
    </row>
    <row r="944" spans="2:79">
      <c r="B944" s="854"/>
      <c r="C944" s="854"/>
      <c r="D944" s="854"/>
      <c r="E944" s="854"/>
      <c r="F944" s="854"/>
      <c r="G944" s="854"/>
      <c r="H944" s="854"/>
      <c r="I944" s="854"/>
      <c r="J944" s="854"/>
      <c r="K944" s="854"/>
      <c r="L944" s="854"/>
      <c r="M944" s="854"/>
      <c r="N944" s="854"/>
      <c r="O944" s="854"/>
      <c r="P944" s="854"/>
      <c r="Q944" s="854"/>
      <c r="R944" s="854"/>
      <c r="S944" s="854"/>
      <c r="T944" s="854"/>
      <c r="U944" s="854"/>
      <c r="V944" s="854"/>
      <c r="W944" s="854"/>
      <c r="X944" s="854"/>
      <c r="Y944" s="854"/>
      <c r="Z944" s="854"/>
      <c r="AA944" s="854"/>
      <c r="AB944" s="854"/>
      <c r="AC944" s="854"/>
      <c r="AD944" s="854"/>
      <c r="AE944" s="854"/>
      <c r="AF944" s="854"/>
      <c r="AG944" s="854"/>
      <c r="AH944" s="854"/>
      <c r="AI944" s="854"/>
      <c r="AJ944" s="854"/>
      <c r="AK944" s="854"/>
      <c r="AL944" s="854"/>
      <c r="AM944" s="854"/>
      <c r="AN944" s="854"/>
      <c r="AO944" s="854"/>
      <c r="AP944" s="854"/>
      <c r="AQ944" s="854"/>
      <c r="AR944" s="854"/>
      <c r="AS944" s="854"/>
      <c r="AT944" s="854"/>
      <c r="AU944" s="854"/>
      <c r="AV944" s="854"/>
      <c r="AW944" s="854"/>
      <c r="AX944" s="854"/>
      <c r="AY944" s="854"/>
      <c r="AZ944" s="854"/>
      <c r="BA944" s="854"/>
      <c r="BB944" s="854"/>
      <c r="BC944" s="854"/>
      <c r="BD944" s="854"/>
      <c r="BE944" s="854"/>
      <c r="BF944" s="854"/>
      <c r="BG944" s="854"/>
      <c r="BH944" s="854"/>
      <c r="BI944" s="854"/>
      <c r="BJ944" s="854"/>
      <c r="BK944" s="854"/>
      <c r="BL944" s="854"/>
      <c r="BM944" s="854"/>
      <c r="BN944" s="854"/>
      <c r="BO944" s="854"/>
      <c r="BP944" s="854"/>
      <c r="BQ944" s="854"/>
      <c r="BR944" s="854"/>
      <c r="BS944" s="854"/>
      <c r="BT944" s="854"/>
      <c r="BU944" s="854"/>
      <c r="BV944" s="854"/>
      <c r="BW944" s="854"/>
      <c r="BX944" s="854"/>
      <c r="BY944" s="854"/>
      <c r="BZ944" s="854"/>
      <c r="CA944" s="571">
        <f>IF(OR(I944="",I944&lt;'Configs &amp; Procedures'!$L$29),0,IF(I944&gt;'Configs &amp; Procedures'!$L$30,1,IF(F944&gt;'Configs &amp; Procedures'!$L$31,0,1)))</f>
        <v>0</v>
      </c>
    </row>
    <row r="945" spans="2:79">
      <c r="B945" s="854"/>
      <c r="C945" s="854"/>
      <c r="D945" s="854"/>
      <c r="E945" s="854"/>
      <c r="F945" s="854"/>
      <c r="G945" s="854"/>
      <c r="H945" s="854"/>
      <c r="I945" s="854"/>
      <c r="J945" s="854"/>
      <c r="K945" s="854"/>
      <c r="L945" s="854"/>
      <c r="M945" s="854"/>
      <c r="N945" s="854"/>
      <c r="O945" s="854"/>
      <c r="P945" s="854"/>
      <c r="Q945" s="854"/>
      <c r="R945" s="854"/>
      <c r="S945" s="854"/>
      <c r="T945" s="854"/>
      <c r="U945" s="854"/>
      <c r="V945" s="854"/>
      <c r="W945" s="854"/>
      <c r="X945" s="854"/>
      <c r="Y945" s="854"/>
      <c r="Z945" s="854"/>
      <c r="AA945" s="854"/>
      <c r="AB945" s="854"/>
      <c r="AC945" s="854"/>
      <c r="AD945" s="854"/>
      <c r="AE945" s="854"/>
      <c r="AF945" s="854"/>
      <c r="AG945" s="854"/>
      <c r="AH945" s="854"/>
      <c r="AI945" s="854"/>
      <c r="AJ945" s="854"/>
      <c r="AK945" s="854"/>
      <c r="AL945" s="854"/>
      <c r="AM945" s="854"/>
      <c r="AN945" s="854"/>
      <c r="AO945" s="854"/>
      <c r="AP945" s="854"/>
      <c r="AQ945" s="854"/>
      <c r="AR945" s="854"/>
      <c r="AS945" s="854"/>
      <c r="AT945" s="854"/>
      <c r="AU945" s="854"/>
      <c r="AV945" s="854"/>
      <c r="AW945" s="854"/>
      <c r="AX945" s="854"/>
      <c r="AY945" s="854"/>
      <c r="AZ945" s="854"/>
      <c r="BA945" s="854"/>
      <c r="BB945" s="854"/>
      <c r="BC945" s="854"/>
      <c r="BD945" s="854"/>
      <c r="BE945" s="854"/>
      <c r="BF945" s="854"/>
      <c r="BG945" s="854"/>
      <c r="BH945" s="854"/>
      <c r="BI945" s="854"/>
      <c r="BJ945" s="854"/>
      <c r="BK945" s="854"/>
      <c r="BL945" s="854"/>
      <c r="BM945" s="854"/>
      <c r="BN945" s="854"/>
      <c r="BO945" s="854"/>
      <c r="BP945" s="854"/>
      <c r="BQ945" s="854"/>
      <c r="BR945" s="854"/>
      <c r="BS945" s="854"/>
      <c r="BT945" s="854"/>
      <c r="BU945" s="854"/>
      <c r="BV945" s="854"/>
      <c r="BW945" s="854"/>
      <c r="BX945" s="854"/>
      <c r="BY945" s="854"/>
      <c r="BZ945" s="854"/>
      <c r="CA945" s="571">
        <f>IF(OR(I945="",I945&lt;'Configs &amp; Procedures'!$L$29),0,IF(I945&gt;'Configs &amp; Procedures'!$L$30,1,IF(F945&gt;'Configs &amp; Procedures'!$L$31,0,1)))</f>
        <v>0</v>
      </c>
    </row>
    <row r="946" spans="2:79">
      <c r="B946" s="854"/>
      <c r="C946" s="854"/>
      <c r="D946" s="854"/>
      <c r="E946" s="854"/>
      <c r="F946" s="854"/>
      <c r="G946" s="854"/>
      <c r="H946" s="854"/>
      <c r="I946" s="854"/>
      <c r="J946" s="854"/>
      <c r="K946" s="854"/>
      <c r="L946" s="854"/>
      <c r="M946" s="854"/>
      <c r="N946" s="854"/>
      <c r="O946" s="854"/>
      <c r="P946" s="854"/>
      <c r="Q946" s="854"/>
      <c r="R946" s="854"/>
      <c r="S946" s="854"/>
      <c r="T946" s="854"/>
      <c r="U946" s="854"/>
      <c r="V946" s="854"/>
      <c r="W946" s="854"/>
      <c r="X946" s="854"/>
      <c r="Y946" s="854"/>
      <c r="Z946" s="854"/>
      <c r="AA946" s="854"/>
      <c r="AB946" s="854"/>
      <c r="AC946" s="854"/>
      <c r="AD946" s="854"/>
      <c r="AE946" s="854"/>
      <c r="AF946" s="854"/>
      <c r="AG946" s="854"/>
      <c r="AH946" s="854"/>
      <c r="AI946" s="854"/>
      <c r="AJ946" s="854"/>
      <c r="AK946" s="854"/>
      <c r="AL946" s="854"/>
      <c r="AM946" s="854"/>
      <c r="AN946" s="854"/>
      <c r="AO946" s="854"/>
      <c r="AP946" s="854"/>
      <c r="AQ946" s="854"/>
      <c r="AR946" s="854"/>
      <c r="AS946" s="854"/>
      <c r="AT946" s="854"/>
      <c r="AU946" s="854"/>
      <c r="AV946" s="854"/>
      <c r="AW946" s="854"/>
      <c r="AX946" s="854"/>
      <c r="AY946" s="854"/>
      <c r="AZ946" s="854"/>
      <c r="BA946" s="854"/>
      <c r="BB946" s="854"/>
      <c r="BC946" s="854"/>
      <c r="BD946" s="854"/>
      <c r="BE946" s="854"/>
      <c r="BF946" s="854"/>
      <c r="BG946" s="854"/>
      <c r="BH946" s="854"/>
      <c r="BI946" s="854"/>
      <c r="BJ946" s="854"/>
      <c r="BK946" s="854"/>
      <c r="BL946" s="854"/>
      <c r="BM946" s="854"/>
      <c r="BN946" s="854"/>
      <c r="BO946" s="854"/>
      <c r="BP946" s="854"/>
      <c r="BQ946" s="854"/>
      <c r="BR946" s="854"/>
      <c r="BS946" s="854"/>
      <c r="BT946" s="854"/>
      <c r="BU946" s="854"/>
      <c r="BV946" s="854"/>
      <c r="BW946" s="854"/>
      <c r="BX946" s="854"/>
      <c r="BY946" s="854"/>
      <c r="BZ946" s="854"/>
      <c r="CA946" s="571">
        <f>IF(OR(I946="",I946&lt;'Configs &amp; Procedures'!$L$29),0,IF(I946&gt;'Configs &amp; Procedures'!$L$30,1,IF(F946&gt;'Configs &amp; Procedures'!$L$31,0,1)))</f>
        <v>0</v>
      </c>
    </row>
    <row r="947" spans="2:79">
      <c r="B947" s="854"/>
      <c r="C947" s="854"/>
      <c r="D947" s="854"/>
      <c r="E947" s="854"/>
      <c r="F947" s="854"/>
      <c r="G947" s="854"/>
      <c r="H947" s="854"/>
      <c r="I947" s="854"/>
      <c r="J947" s="854"/>
      <c r="K947" s="854"/>
      <c r="L947" s="854"/>
      <c r="M947" s="854"/>
      <c r="N947" s="854"/>
      <c r="O947" s="854"/>
      <c r="P947" s="854"/>
      <c r="Q947" s="854"/>
      <c r="R947" s="854"/>
      <c r="S947" s="854"/>
      <c r="T947" s="854"/>
      <c r="U947" s="854"/>
      <c r="V947" s="854"/>
      <c r="W947" s="854"/>
      <c r="X947" s="854"/>
      <c r="Y947" s="854"/>
      <c r="Z947" s="854"/>
      <c r="AA947" s="854"/>
      <c r="AB947" s="854"/>
      <c r="AC947" s="854"/>
      <c r="AD947" s="854"/>
      <c r="AE947" s="854"/>
      <c r="AF947" s="854"/>
      <c r="AG947" s="854"/>
      <c r="AH947" s="854"/>
      <c r="AI947" s="854"/>
      <c r="AJ947" s="854"/>
      <c r="AK947" s="854"/>
      <c r="AL947" s="854"/>
      <c r="AM947" s="854"/>
      <c r="AN947" s="854"/>
      <c r="AO947" s="854"/>
      <c r="AP947" s="854"/>
      <c r="AQ947" s="854"/>
      <c r="AR947" s="854"/>
      <c r="AS947" s="854"/>
      <c r="AT947" s="854"/>
      <c r="AU947" s="854"/>
      <c r="AV947" s="854"/>
      <c r="AW947" s="854"/>
      <c r="AX947" s="854"/>
      <c r="AY947" s="854"/>
      <c r="AZ947" s="854"/>
      <c r="BA947" s="854"/>
      <c r="BB947" s="854"/>
      <c r="BC947" s="854"/>
      <c r="BD947" s="854"/>
      <c r="BE947" s="854"/>
      <c r="BF947" s="854"/>
      <c r="BG947" s="854"/>
      <c r="BH947" s="854"/>
      <c r="BI947" s="854"/>
      <c r="BJ947" s="854"/>
      <c r="BK947" s="854"/>
      <c r="BL947" s="854"/>
      <c r="BM947" s="854"/>
      <c r="BN947" s="854"/>
      <c r="BO947" s="854"/>
      <c r="BP947" s="854"/>
      <c r="BQ947" s="854"/>
      <c r="BR947" s="854"/>
      <c r="BS947" s="854"/>
      <c r="BT947" s="854"/>
      <c r="BU947" s="854"/>
      <c r="BV947" s="854"/>
      <c r="BW947" s="854"/>
      <c r="BX947" s="854"/>
      <c r="BY947" s="854"/>
      <c r="BZ947" s="854"/>
      <c r="CA947" s="571">
        <f>IF(OR(I947="",I947&lt;'Configs &amp; Procedures'!$L$29),0,IF(I947&gt;'Configs &amp; Procedures'!$L$30,1,IF(F947&gt;'Configs &amp; Procedures'!$L$31,0,1)))</f>
        <v>0</v>
      </c>
    </row>
    <row r="948" spans="2:79">
      <c r="B948" s="854"/>
      <c r="C948" s="854"/>
      <c r="D948" s="854"/>
      <c r="E948" s="854"/>
      <c r="F948" s="854"/>
      <c r="G948" s="854"/>
      <c r="H948" s="854"/>
      <c r="I948" s="854"/>
      <c r="J948" s="854"/>
      <c r="K948" s="854"/>
      <c r="L948" s="854"/>
      <c r="M948" s="854"/>
      <c r="N948" s="854"/>
      <c r="O948" s="854"/>
      <c r="P948" s="854"/>
      <c r="Q948" s="854"/>
      <c r="R948" s="854"/>
      <c r="S948" s="854"/>
      <c r="T948" s="854"/>
      <c r="U948" s="854"/>
      <c r="V948" s="854"/>
      <c r="W948" s="854"/>
      <c r="X948" s="854"/>
      <c r="Y948" s="854"/>
      <c r="Z948" s="854"/>
      <c r="AA948" s="854"/>
      <c r="AB948" s="854"/>
      <c r="AC948" s="854"/>
      <c r="AD948" s="854"/>
      <c r="AE948" s="854"/>
      <c r="AF948" s="854"/>
      <c r="AG948" s="854"/>
      <c r="AH948" s="854"/>
      <c r="AI948" s="854"/>
      <c r="AJ948" s="854"/>
      <c r="AK948" s="854"/>
      <c r="AL948" s="854"/>
      <c r="AM948" s="854"/>
      <c r="AN948" s="854"/>
      <c r="AO948" s="854"/>
      <c r="AP948" s="854"/>
      <c r="AQ948" s="854"/>
      <c r="AR948" s="854"/>
      <c r="AS948" s="854"/>
      <c r="AT948" s="854"/>
      <c r="AU948" s="854"/>
      <c r="AV948" s="854"/>
      <c r="AW948" s="854"/>
      <c r="AX948" s="854"/>
      <c r="AY948" s="854"/>
      <c r="AZ948" s="854"/>
      <c r="BA948" s="854"/>
      <c r="BB948" s="854"/>
      <c r="BC948" s="854"/>
      <c r="BD948" s="854"/>
      <c r="BE948" s="854"/>
      <c r="BF948" s="854"/>
      <c r="BG948" s="854"/>
      <c r="BH948" s="854"/>
      <c r="BI948" s="854"/>
      <c r="BJ948" s="854"/>
      <c r="BK948" s="854"/>
      <c r="BL948" s="854"/>
      <c r="BM948" s="854"/>
      <c r="BN948" s="854"/>
      <c r="BO948" s="854"/>
      <c r="BP948" s="854"/>
      <c r="BQ948" s="854"/>
      <c r="BR948" s="854"/>
      <c r="BS948" s="854"/>
      <c r="BT948" s="854"/>
      <c r="BU948" s="854"/>
      <c r="BV948" s="854"/>
      <c r="BW948" s="854"/>
      <c r="BX948" s="854"/>
      <c r="BY948" s="854"/>
      <c r="BZ948" s="854"/>
      <c r="CA948" s="571">
        <f>IF(OR(I948="",I948&lt;'Configs &amp; Procedures'!$L$29),0,IF(I948&gt;'Configs &amp; Procedures'!$L$30,1,IF(F948&gt;'Configs &amp; Procedures'!$L$31,0,1)))</f>
        <v>0</v>
      </c>
    </row>
    <row r="949" spans="2:79">
      <c r="B949" s="854"/>
      <c r="C949" s="854"/>
      <c r="D949" s="854"/>
      <c r="E949" s="854"/>
      <c r="F949" s="854"/>
      <c r="G949" s="854"/>
      <c r="H949" s="854"/>
      <c r="I949" s="854"/>
      <c r="J949" s="854"/>
      <c r="K949" s="854"/>
      <c r="L949" s="854"/>
      <c r="M949" s="854"/>
      <c r="N949" s="854"/>
      <c r="O949" s="854"/>
      <c r="P949" s="854"/>
      <c r="Q949" s="854"/>
      <c r="R949" s="854"/>
      <c r="S949" s="854"/>
      <c r="T949" s="854"/>
      <c r="U949" s="854"/>
      <c r="V949" s="854"/>
      <c r="W949" s="854"/>
      <c r="X949" s="854"/>
      <c r="Y949" s="854"/>
      <c r="Z949" s="854"/>
      <c r="AA949" s="854"/>
      <c r="AB949" s="854"/>
      <c r="AC949" s="854"/>
      <c r="AD949" s="854"/>
      <c r="AE949" s="854"/>
      <c r="AF949" s="854"/>
      <c r="AG949" s="854"/>
      <c r="AH949" s="854"/>
      <c r="AI949" s="854"/>
      <c r="AJ949" s="854"/>
      <c r="AK949" s="854"/>
      <c r="AL949" s="854"/>
      <c r="AM949" s="854"/>
      <c r="AN949" s="854"/>
      <c r="AO949" s="854"/>
      <c r="AP949" s="854"/>
      <c r="AQ949" s="854"/>
      <c r="AR949" s="854"/>
      <c r="AS949" s="854"/>
      <c r="AT949" s="854"/>
      <c r="AU949" s="854"/>
      <c r="AV949" s="854"/>
      <c r="AW949" s="854"/>
      <c r="AX949" s="854"/>
      <c r="AY949" s="854"/>
      <c r="AZ949" s="854"/>
      <c r="BA949" s="854"/>
      <c r="BB949" s="854"/>
      <c r="BC949" s="854"/>
      <c r="BD949" s="854"/>
      <c r="BE949" s="854"/>
      <c r="BF949" s="854"/>
      <c r="BG949" s="854"/>
      <c r="BH949" s="854"/>
      <c r="BI949" s="854"/>
      <c r="BJ949" s="854"/>
      <c r="BK949" s="854"/>
      <c r="BL949" s="854"/>
      <c r="BM949" s="854"/>
      <c r="BN949" s="854"/>
      <c r="BO949" s="854"/>
      <c r="BP949" s="854"/>
      <c r="BQ949" s="854"/>
      <c r="BR949" s="854"/>
      <c r="BS949" s="854"/>
      <c r="BT949" s="854"/>
      <c r="BU949" s="854"/>
      <c r="BV949" s="854"/>
      <c r="BW949" s="854"/>
      <c r="BX949" s="854"/>
      <c r="BY949" s="854"/>
      <c r="BZ949" s="854"/>
      <c r="CA949" s="571">
        <f>IF(OR(I949="",I949&lt;'Configs &amp; Procedures'!$L$29),0,IF(I949&gt;'Configs &amp; Procedures'!$L$30,1,IF(F949&gt;'Configs &amp; Procedures'!$L$31,0,1)))</f>
        <v>0</v>
      </c>
    </row>
    <row r="950" spans="2:79">
      <c r="B950" s="854"/>
      <c r="C950" s="854"/>
      <c r="D950" s="854"/>
      <c r="E950" s="854"/>
      <c r="F950" s="854"/>
      <c r="G950" s="854"/>
      <c r="H950" s="854"/>
      <c r="I950" s="854"/>
      <c r="J950" s="854"/>
      <c r="K950" s="854"/>
      <c r="L950" s="854"/>
      <c r="M950" s="854"/>
      <c r="N950" s="854"/>
      <c r="O950" s="854"/>
      <c r="P950" s="854"/>
      <c r="Q950" s="854"/>
      <c r="R950" s="854"/>
      <c r="S950" s="854"/>
      <c r="T950" s="854"/>
      <c r="U950" s="854"/>
      <c r="V950" s="854"/>
      <c r="W950" s="854"/>
      <c r="X950" s="854"/>
      <c r="Y950" s="854"/>
      <c r="Z950" s="854"/>
      <c r="AA950" s="854"/>
      <c r="AB950" s="854"/>
      <c r="AC950" s="854"/>
      <c r="AD950" s="854"/>
      <c r="AE950" s="854"/>
      <c r="AF950" s="854"/>
      <c r="AG950" s="854"/>
      <c r="AH950" s="854"/>
      <c r="AI950" s="854"/>
      <c r="AJ950" s="854"/>
      <c r="AK950" s="854"/>
      <c r="AL950" s="854"/>
      <c r="AM950" s="854"/>
      <c r="AN950" s="854"/>
      <c r="AO950" s="854"/>
      <c r="AP950" s="854"/>
      <c r="AQ950" s="854"/>
      <c r="AR950" s="854"/>
      <c r="AS950" s="854"/>
      <c r="AT950" s="854"/>
      <c r="AU950" s="854"/>
      <c r="AV950" s="854"/>
      <c r="AW950" s="854"/>
      <c r="AX950" s="854"/>
      <c r="AY950" s="854"/>
      <c r="AZ950" s="854"/>
      <c r="BA950" s="854"/>
      <c r="BB950" s="854"/>
      <c r="BC950" s="854"/>
      <c r="BD950" s="854"/>
      <c r="BE950" s="854"/>
      <c r="BF950" s="854"/>
      <c r="BG950" s="854"/>
      <c r="BH950" s="854"/>
      <c r="BI950" s="854"/>
      <c r="BJ950" s="854"/>
      <c r="BK950" s="854"/>
      <c r="BL950" s="854"/>
      <c r="BM950" s="854"/>
      <c r="BN950" s="854"/>
      <c r="BO950" s="854"/>
      <c r="BP950" s="854"/>
      <c r="BQ950" s="854"/>
      <c r="BR950" s="854"/>
      <c r="BS950" s="854"/>
      <c r="BT950" s="854"/>
      <c r="BU950" s="854"/>
      <c r="BV950" s="854"/>
      <c r="BW950" s="854"/>
      <c r="BX950" s="854"/>
      <c r="BY950" s="854"/>
      <c r="BZ950" s="854"/>
      <c r="CA950" s="571">
        <f>IF(OR(I950="",I950&lt;'Configs &amp; Procedures'!$L$29),0,IF(I950&gt;'Configs &amp; Procedures'!$L$30,1,IF(F950&gt;'Configs &amp; Procedures'!$L$31,0,1)))</f>
        <v>0</v>
      </c>
    </row>
    <row r="951" spans="2:79">
      <c r="B951" s="854"/>
      <c r="C951" s="854"/>
      <c r="D951" s="854"/>
      <c r="E951" s="854"/>
      <c r="F951" s="854"/>
      <c r="G951" s="854"/>
      <c r="H951" s="854"/>
      <c r="I951" s="854"/>
      <c r="J951" s="854"/>
      <c r="K951" s="854"/>
      <c r="L951" s="854"/>
      <c r="M951" s="854"/>
      <c r="N951" s="854"/>
      <c r="O951" s="854"/>
      <c r="P951" s="854"/>
      <c r="Q951" s="854"/>
      <c r="R951" s="854"/>
      <c r="S951" s="854"/>
      <c r="T951" s="854"/>
      <c r="U951" s="854"/>
      <c r="V951" s="854"/>
      <c r="W951" s="854"/>
      <c r="X951" s="854"/>
      <c r="Y951" s="854"/>
      <c r="Z951" s="854"/>
      <c r="AA951" s="854"/>
      <c r="AB951" s="854"/>
      <c r="AC951" s="854"/>
      <c r="AD951" s="854"/>
      <c r="AE951" s="854"/>
      <c r="AF951" s="854"/>
      <c r="AG951" s="854"/>
      <c r="AH951" s="854"/>
      <c r="AI951" s="854"/>
      <c r="AJ951" s="854"/>
      <c r="AK951" s="854"/>
      <c r="AL951" s="854"/>
      <c r="AM951" s="854"/>
      <c r="AN951" s="854"/>
      <c r="AO951" s="854"/>
      <c r="AP951" s="854"/>
      <c r="AQ951" s="854"/>
      <c r="AR951" s="854"/>
      <c r="AS951" s="854"/>
      <c r="AT951" s="854"/>
      <c r="AU951" s="854"/>
      <c r="AV951" s="854"/>
      <c r="AW951" s="854"/>
      <c r="AX951" s="854"/>
      <c r="AY951" s="854"/>
      <c r="AZ951" s="854"/>
      <c r="BA951" s="854"/>
      <c r="BB951" s="854"/>
      <c r="BC951" s="854"/>
      <c r="BD951" s="854"/>
      <c r="BE951" s="854"/>
      <c r="BF951" s="854"/>
      <c r="BG951" s="854"/>
      <c r="BH951" s="854"/>
      <c r="BI951" s="854"/>
      <c r="BJ951" s="854"/>
      <c r="BK951" s="854"/>
      <c r="BL951" s="854"/>
      <c r="BM951" s="854"/>
      <c r="BN951" s="854"/>
      <c r="BO951" s="854"/>
      <c r="BP951" s="854"/>
      <c r="BQ951" s="854"/>
      <c r="BR951" s="854"/>
      <c r="BS951" s="854"/>
      <c r="BT951" s="854"/>
      <c r="BU951" s="854"/>
      <c r="BV951" s="854"/>
      <c r="BW951" s="854"/>
      <c r="BX951" s="854"/>
      <c r="BY951" s="854"/>
      <c r="BZ951" s="854"/>
      <c r="CA951" s="571">
        <f>IF(OR(I951="",I951&lt;'Configs &amp; Procedures'!$L$29),0,IF(I951&gt;'Configs &amp; Procedures'!$L$30,1,IF(F951&gt;'Configs &amp; Procedures'!$L$31,0,1)))</f>
        <v>0</v>
      </c>
    </row>
    <row r="952" spans="2:79">
      <c r="B952" s="854"/>
      <c r="C952" s="854"/>
      <c r="D952" s="854"/>
      <c r="E952" s="854"/>
      <c r="F952" s="854"/>
      <c r="G952" s="854"/>
      <c r="H952" s="854"/>
      <c r="I952" s="854"/>
      <c r="J952" s="854"/>
      <c r="K952" s="854"/>
      <c r="L952" s="854"/>
      <c r="M952" s="854"/>
      <c r="N952" s="854"/>
      <c r="O952" s="854"/>
      <c r="P952" s="854"/>
      <c r="Q952" s="854"/>
      <c r="R952" s="854"/>
      <c r="S952" s="854"/>
      <c r="T952" s="854"/>
      <c r="U952" s="854"/>
      <c r="V952" s="854"/>
      <c r="W952" s="854"/>
      <c r="X952" s="854"/>
      <c r="Y952" s="854"/>
      <c r="Z952" s="854"/>
      <c r="AA952" s="854"/>
      <c r="AB952" s="854"/>
      <c r="AC952" s="854"/>
      <c r="AD952" s="854"/>
      <c r="AE952" s="854"/>
      <c r="AF952" s="854"/>
      <c r="AG952" s="854"/>
      <c r="AH952" s="854"/>
      <c r="AI952" s="854"/>
      <c r="AJ952" s="854"/>
      <c r="AK952" s="854"/>
      <c r="AL952" s="854"/>
      <c r="AM952" s="854"/>
      <c r="AN952" s="854"/>
      <c r="AO952" s="854"/>
      <c r="AP952" s="854"/>
      <c r="AQ952" s="854"/>
      <c r="AR952" s="854"/>
      <c r="AS952" s="854"/>
      <c r="AT952" s="854"/>
      <c r="AU952" s="854"/>
      <c r="AV952" s="854"/>
      <c r="AW952" s="854"/>
      <c r="AX952" s="854"/>
      <c r="AY952" s="854"/>
      <c r="AZ952" s="854"/>
      <c r="BA952" s="854"/>
      <c r="BB952" s="854"/>
      <c r="BC952" s="854"/>
      <c r="BD952" s="854"/>
      <c r="BE952" s="854"/>
      <c r="BF952" s="854"/>
      <c r="BG952" s="854"/>
      <c r="BH952" s="854"/>
      <c r="BI952" s="854"/>
      <c r="BJ952" s="854"/>
      <c r="BK952" s="854"/>
      <c r="BL952" s="854"/>
      <c r="BM952" s="854"/>
      <c r="BN952" s="854"/>
      <c r="BO952" s="854"/>
      <c r="BP952" s="854"/>
      <c r="BQ952" s="854"/>
      <c r="BR952" s="854"/>
      <c r="BS952" s="854"/>
      <c r="BT952" s="854"/>
      <c r="BU952" s="854"/>
      <c r="BV952" s="854"/>
      <c r="BW952" s="854"/>
      <c r="BX952" s="854"/>
      <c r="BY952" s="854"/>
      <c r="BZ952" s="854"/>
      <c r="CA952" s="571">
        <f>IF(OR(I952="",I952&lt;'Configs &amp; Procedures'!$L$29),0,IF(I952&gt;'Configs &amp; Procedures'!$L$30,1,IF(F952&gt;'Configs &amp; Procedures'!$L$31,0,1)))</f>
        <v>0</v>
      </c>
    </row>
    <row r="953" spans="2:79">
      <c r="B953" s="854"/>
      <c r="C953" s="854"/>
      <c r="D953" s="854"/>
      <c r="E953" s="854"/>
      <c r="F953" s="854"/>
      <c r="G953" s="854"/>
      <c r="H953" s="854"/>
      <c r="I953" s="854"/>
      <c r="J953" s="854"/>
      <c r="K953" s="854"/>
      <c r="L953" s="854"/>
      <c r="M953" s="854"/>
      <c r="N953" s="854"/>
      <c r="O953" s="854"/>
      <c r="P953" s="854"/>
      <c r="Q953" s="854"/>
      <c r="R953" s="854"/>
      <c r="S953" s="854"/>
      <c r="T953" s="854"/>
      <c r="U953" s="854"/>
      <c r="V953" s="854"/>
      <c r="W953" s="854"/>
      <c r="X953" s="854"/>
      <c r="Y953" s="854"/>
      <c r="Z953" s="854"/>
      <c r="AA953" s="854"/>
      <c r="AB953" s="854"/>
      <c r="AC953" s="854"/>
      <c r="AD953" s="854"/>
      <c r="AE953" s="854"/>
      <c r="AF953" s="854"/>
      <c r="AG953" s="854"/>
      <c r="AH953" s="854"/>
      <c r="AI953" s="854"/>
      <c r="AJ953" s="854"/>
      <c r="AK953" s="854"/>
      <c r="AL953" s="854"/>
      <c r="AM953" s="854"/>
      <c r="AN953" s="854"/>
      <c r="AO953" s="854"/>
      <c r="AP953" s="854"/>
      <c r="AQ953" s="854"/>
      <c r="AR953" s="854"/>
      <c r="AS953" s="854"/>
      <c r="AT953" s="854"/>
      <c r="AU953" s="854"/>
      <c r="AV953" s="854"/>
      <c r="AW953" s="854"/>
      <c r="AX953" s="854"/>
      <c r="AY953" s="854"/>
      <c r="AZ953" s="854"/>
      <c r="BA953" s="854"/>
      <c r="BB953" s="854"/>
      <c r="BC953" s="854"/>
      <c r="BD953" s="854"/>
      <c r="BE953" s="854"/>
      <c r="BF953" s="854"/>
      <c r="BG953" s="854"/>
      <c r="BH953" s="854"/>
      <c r="BI953" s="854"/>
      <c r="BJ953" s="854"/>
      <c r="BK953" s="854"/>
      <c r="BL953" s="854"/>
      <c r="BM953" s="854"/>
      <c r="BN953" s="854"/>
      <c r="BO953" s="854"/>
      <c r="BP953" s="854"/>
      <c r="BQ953" s="854"/>
      <c r="BR953" s="854"/>
      <c r="BS953" s="854"/>
      <c r="BT953" s="854"/>
      <c r="BU953" s="854"/>
      <c r="BV953" s="854"/>
      <c r="BW953" s="854"/>
      <c r="BX953" s="854"/>
      <c r="BY953" s="854"/>
      <c r="BZ953" s="854"/>
      <c r="CA953" s="571">
        <f>IF(OR(I953="",I953&lt;'Configs &amp; Procedures'!$L$29),0,IF(I953&gt;'Configs &amp; Procedures'!$L$30,1,IF(F953&gt;'Configs &amp; Procedures'!$L$31,0,1)))</f>
        <v>0</v>
      </c>
    </row>
    <row r="954" spans="2:79">
      <c r="B954" s="854"/>
      <c r="C954" s="854"/>
      <c r="D954" s="854"/>
      <c r="E954" s="854"/>
      <c r="F954" s="854"/>
      <c r="G954" s="854"/>
      <c r="H954" s="854"/>
      <c r="I954" s="854"/>
      <c r="J954" s="854"/>
      <c r="K954" s="854"/>
      <c r="L954" s="854"/>
      <c r="M954" s="854"/>
      <c r="N954" s="854"/>
      <c r="O954" s="854"/>
      <c r="P954" s="854"/>
      <c r="Q954" s="854"/>
      <c r="R954" s="854"/>
      <c r="S954" s="854"/>
      <c r="T954" s="854"/>
      <c r="U954" s="854"/>
      <c r="V954" s="854"/>
      <c r="W954" s="854"/>
      <c r="X954" s="854"/>
      <c r="Y954" s="854"/>
      <c r="Z954" s="854"/>
      <c r="AA954" s="854"/>
      <c r="AB954" s="854"/>
      <c r="AC954" s="854"/>
      <c r="AD954" s="854"/>
      <c r="AE954" s="854"/>
      <c r="AF954" s="854"/>
      <c r="AG954" s="854"/>
      <c r="AH954" s="854"/>
      <c r="AI954" s="854"/>
      <c r="AJ954" s="854"/>
      <c r="AK954" s="854"/>
      <c r="AL954" s="854"/>
      <c r="AM954" s="854"/>
      <c r="AN954" s="854"/>
      <c r="AO954" s="854"/>
      <c r="AP954" s="854"/>
      <c r="AQ954" s="854"/>
      <c r="AR954" s="854"/>
      <c r="AS954" s="854"/>
      <c r="AT954" s="854"/>
      <c r="AU954" s="854"/>
      <c r="AV954" s="854"/>
      <c r="AW954" s="854"/>
      <c r="AX954" s="854"/>
      <c r="AY954" s="854"/>
      <c r="AZ954" s="854"/>
      <c r="BA954" s="854"/>
      <c r="BB954" s="854"/>
      <c r="BC954" s="854"/>
      <c r="BD954" s="854"/>
      <c r="BE954" s="854"/>
      <c r="BF954" s="854"/>
      <c r="BG954" s="854"/>
      <c r="BH954" s="854"/>
      <c r="BI954" s="854"/>
      <c r="BJ954" s="854"/>
      <c r="BK954" s="854"/>
      <c r="BL954" s="854"/>
      <c r="BM954" s="854"/>
      <c r="BN954" s="854"/>
      <c r="BO954" s="854"/>
      <c r="BP954" s="854"/>
      <c r="BQ954" s="854"/>
      <c r="BR954" s="854"/>
      <c r="BS954" s="854"/>
      <c r="BT954" s="854"/>
      <c r="BU954" s="854"/>
      <c r="BV954" s="854"/>
      <c r="BW954" s="854"/>
      <c r="BX954" s="854"/>
      <c r="BY954" s="854"/>
      <c r="BZ954" s="854"/>
      <c r="CA954" s="571">
        <f>IF(OR(I954="",I954&lt;'Configs &amp; Procedures'!$L$29),0,IF(I954&gt;'Configs &amp; Procedures'!$L$30,1,IF(F954&gt;'Configs &amp; Procedures'!$L$31,0,1)))</f>
        <v>0</v>
      </c>
    </row>
    <row r="955" spans="2:79">
      <c r="B955" s="854"/>
      <c r="C955" s="854"/>
      <c r="D955" s="854"/>
      <c r="E955" s="854"/>
      <c r="F955" s="854"/>
      <c r="G955" s="854"/>
      <c r="H955" s="854"/>
      <c r="I955" s="854"/>
      <c r="J955" s="854"/>
      <c r="K955" s="854"/>
      <c r="L955" s="854"/>
      <c r="M955" s="854"/>
      <c r="N955" s="854"/>
      <c r="O955" s="854"/>
      <c r="P955" s="854"/>
      <c r="Q955" s="854"/>
      <c r="R955" s="854"/>
      <c r="S955" s="854"/>
      <c r="T955" s="854"/>
      <c r="U955" s="854"/>
      <c r="V955" s="854"/>
      <c r="W955" s="854"/>
      <c r="X955" s="854"/>
      <c r="Y955" s="854"/>
      <c r="Z955" s="854"/>
      <c r="AA955" s="854"/>
      <c r="AB955" s="854"/>
      <c r="AC955" s="854"/>
      <c r="AD955" s="854"/>
      <c r="AE955" s="854"/>
      <c r="AF955" s="854"/>
      <c r="AG955" s="854"/>
      <c r="AH955" s="854"/>
      <c r="AI955" s="854"/>
      <c r="AJ955" s="854"/>
      <c r="AK955" s="854"/>
      <c r="AL955" s="854"/>
      <c r="AM955" s="854"/>
      <c r="AN955" s="854"/>
      <c r="AO955" s="854"/>
      <c r="AP955" s="854"/>
      <c r="AQ955" s="854"/>
      <c r="AR955" s="854"/>
      <c r="AS955" s="854"/>
      <c r="AT955" s="854"/>
      <c r="AU955" s="854"/>
      <c r="AV955" s="854"/>
      <c r="AW955" s="854"/>
      <c r="AX955" s="854"/>
      <c r="AY955" s="854"/>
      <c r="AZ955" s="854"/>
      <c r="BA955" s="854"/>
      <c r="BB955" s="854"/>
      <c r="BC955" s="854"/>
      <c r="BD955" s="854"/>
      <c r="BE955" s="854"/>
      <c r="BF955" s="854"/>
      <c r="BG955" s="854"/>
      <c r="BH955" s="854"/>
      <c r="BI955" s="854"/>
      <c r="BJ955" s="854"/>
      <c r="BK955" s="854"/>
      <c r="BL955" s="854"/>
      <c r="BM955" s="854"/>
      <c r="BN955" s="854"/>
      <c r="BO955" s="854"/>
      <c r="BP955" s="854"/>
      <c r="BQ955" s="854"/>
      <c r="BR955" s="854"/>
      <c r="BS955" s="854"/>
      <c r="BT955" s="854"/>
      <c r="BU955" s="854"/>
      <c r="BV955" s="854"/>
      <c r="BW955" s="854"/>
      <c r="BX955" s="854"/>
      <c r="BY955" s="854"/>
      <c r="BZ955" s="854"/>
      <c r="CA955" s="571">
        <f>IF(OR(I955="",I955&lt;'Configs &amp; Procedures'!$L$29),0,IF(I955&gt;'Configs &amp; Procedures'!$L$30,1,IF(F955&gt;'Configs &amp; Procedures'!$L$31,0,1)))</f>
        <v>0</v>
      </c>
    </row>
    <row r="956" spans="2:79">
      <c r="B956" s="854"/>
      <c r="C956" s="854"/>
      <c r="D956" s="854"/>
      <c r="E956" s="854"/>
      <c r="F956" s="854"/>
      <c r="G956" s="854"/>
      <c r="H956" s="854"/>
      <c r="I956" s="854"/>
      <c r="J956" s="854"/>
      <c r="K956" s="854"/>
      <c r="L956" s="854"/>
      <c r="M956" s="854"/>
      <c r="N956" s="854"/>
      <c r="O956" s="854"/>
      <c r="P956" s="854"/>
      <c r="Q956" s="854"/>
      <c r="R956" s="854"/>
      <c r="S956" s="854"/>
      <c r="T956" s="854"/>
      <c r="U956" s="854"/>
      <c r="V956" s="854"/>
      <c r="W956" s="854"/>
      <c r="X956" s="854"/>
      <c r="Y956" s="854"/>
      <c r="Z956" s="854"/>
      <c r="AA956" s="854"/>
      <c r="AB956" s="854"/>
      <c r="AC956" s="854"/>
      <c r="AD956" s="854"/>
      <c r="AE956" s="854"/>
      <c r="AF956" s="854"/>
      <c r="AG956" s="854"/>
      <c r="AH956" s="854"/>
      <c r="AI956" s="854"/>
      <c r="AJ956" s="854"/>
      <c r="AK956" s="854"/>
      <c r="AL956" s="854"/>
      <c r="AM956" s="854"/>
      <c r="AN956" s="854"/>
      <c r="AO956" s="854"/>
      <c r="AP956" s="854"/>
      <c r="AQ956" s="854"/>
      <c r="AR956" s="854"/>
      <c r="AS956" s="854"/>
      <c r="AT956" s="854"/>
      <c r="AU956" s="854"/>
      <c r="AV956" s="854"/>
      <c r="AW956" s="854"/>
      <c r="AX956" s="854"/>
      <c r="AY956" s="854"/>
      <c r="AZ956" s="854"/>
      <c r="BA956" s="854"/>
      <c r="BB956" s="854"/>
      <c r="BC956" s="854"/>
      <c r="BD956" s="854"/>
      <c r="BE956" s="854"/>
      <c r="BF956" s="854"/>
      <c r="BG956" s="854"/>
      <c r="BH956" s="854"/>
      <c r="BI956" s="854"/>
      <c r="BJ956" s="854"/>
      <c r="BK956" s="854"/>
      <c r="BL956" s="854"/>
      <c r="BM956" s="854"/>
      <c r="BN956" s="854"/>
      <c r="BO956" s="854"/>
      <c r="BP956" s="854"/>
      <c r="BQ956" s="854"/>
      <c r="BR956" s="854"/>
      <c r="BS956" s="854"/>
      <c r="BT956" s="854"/>
      <c r="BU956" s="854"/>
      <c r="BV956" s="854"/>
      <c r="BW956" s="854"/>
      <c r="BX956" s="854"/>
      <c r="BY956" s="854"/>
      <c r="BZ956" s="854"/>
      <c r="CA956" s="571">
        <f>IF(OR(I956="",I956&lt;'Configs &amp; Procedures'!$L$29),0,IF(I956&gt;'Configs &amp; Procedures'!$L$30,1,IF(F956&gt;'Configs &amp; Procedures'!$L$31,0,1)))</f>
        <v>0</v>
      </c>
    </row>
    <row r="957" spans="2:79">
      <c r="B957" s="854"/>
      <c r="C957" s="854"/>
      <c r="D957" s="854"/>
      <c r="E957" s="854"/>
      <c r="F957" s="854"/>
      <c r="G957" s="854"/>
      <c r="H957" s="854"/>
      <c r="I957" s="854"/>
      <c r="J957" s="854"/>
      <c r="K957" s="854"/>
      <c r="L957" s="854"/>
      <c r="M957" s="854"/>
      <c r="N957" s="854"/>
      <c r="O957" s="854"/>
      <c r="P957" s="854"/>
      <c r="Q957" s="854"/>
      <c r="R957" s="854"/>
      <c r="S957" s="854"/>
      <c r="T957" s="854"/>
      <c r="U957" s="854"/>
      <c r="V957" s="854"/>
      <c r="W957" s="854"/>
      <c r="X957" s="854"/>
      <c r="Y957" s="854"/>
      <c r="Z957" s="854"/>
      <c r="AA957" s="854"/>
      <c r="AB957" s="854"/>
      <c r="AC957" s="854"/>
      <c r="AD957" s="854"/>
      <c r="AE957" s="854"/>
      <c r="AF957" s="854"/>
      <c r="AG957" s="854"/>
      <c r="AH957" s="854"/>
      <c r="AI957" s="854"/>
      <c r="AJ957" s="854"/>
      <c r="AK957" s="854"/>
      <c r="AL957" s="854"/>
      <c r="AM957" s="854"/>
      <c r="AN957" s="854"/>
      <c r="AO957" s="854"/>
      <c r="AP957" s="854"/>
      <c r="AQ957" s="854"/>
      <c r="AR957" s="854"/>
      <c r="AS957" s="854"/>
      <c r="AT957" s="854"/>
      <c r="AU957" s="854"/>
      <c r="AV957" s="854"/>
      <c r="AW957" s="854"/>
      <c r="AX957" s="854"/>
      <c r="AY957" s="854"/>
      <c r="AZ957" s="854"/>
      <c r="BA957" s="854"/>
      <c r="BB957" s="854"/>
      <c r="BC957" s="854"/>
      <c r="BD957" s="854"/>
      <c r="BE957" s="854"/>
      <c r="BF957" s="854"/>
      <c r="BG957" s="854"/>
      <c r="BH957" s="854"/>
      <c r="BI957" s="854"/>
      <c r="BJ957" s="854"/>
      <c r="BK957" s="854"/>
      <c r="BL957" s="854"/>
      <c r="BM957" s="854"/>
      <c r="BN957" s="854"/>
      <c r="BO957" s="854"/>
      <c r="BP957" s="854"/>
      <c r="BQ957" s="854"/>
      <c r="BR957" s="854"/>
      <c r="BS957" s="854"/>
      <c r="BT957" s="854"/>
      <c r="BU957" s="854"/>
      <c r="BV957" s="854"/>
      <c r="BW957" s="854"/>
      <c r="BX957" s="854"/>
      <c r="BY957" s="854"/>
      <c r="BZ957" s="854"/>
      <c r="CA957" s="571">
        <f>IF(OR(I957="",I957&lt;'Configs &amp; Procedures'!$L$29),0,IF(I957&gt;'Configs &amp; Procedures'!$L$30,1,IF(F957&gt;'Configs &amp; Procedures'!$L$31,0,1)))</f>
        <v>0</v>
      </c>
    </row>
    <row r="958" spans="2:79">
      <c r="B958" s="854"/>
      <c r="C958" s="854"/>
      <c r="D958" s="854"/>
      <c r="E958" s="854"/>
      <c r="F958" s="854"/>
      <c r="G958" s="854"/>
      <c r="H958" s="854"/>
      <c r="I958" s="854"/>
      <c r="J958" s="854"/>
      <c r="K958" s="854"/>
      <c r="L958" s="854"/>
      <c r="M958" s="854"/>
      <c r="N958" s="854"/>
      <c r="O958" s="854"/>
      <c r="P958" s="854"/>
      <c r="Q958" s="854"/>
      <c r="R958" s="854"/>
      <c r="S958" s="854"/>
      <c r="T958" s="854"/>
      <c r="U958" s="854"/>
      <c r="V958" s="854"/>
      <c r="W958" s="854"/>
      <c r="X958" s="854"/>
      <c r="Y958" s="854"/>
      <c r="Z958" s="854"/>
      <c r="AA958" s="854"/>
      <c r="AB958" s="854"/>
      <c r="AC958" s="854"/>
      <c r="AD958" s="854"/>
      <c r="AE958" s="854"/>
      <c r="AF958" s="854"/>
      <c r="AG958" s="854"/>
      <c r="AH958" s="854"/>
      <c r="AI958" s="854"/>
      <c r="AJ958" s="854"/>
      <c r="AK958" s="854"/>
      <c r="AL958" s="854"/>
      <c r="AM958" s="854"/>
      <c r="AN958" s="854"/>
      <c r="AO958" s="854"/>
      <c r="AP958" s="854"/>
      <c r="AQ958" s="854"/>
      <c r="AR958" s="854"/>
      <c r="AS958" s="854"/>
      <c r="AT958" s="854"/>
      <c r="AU958" s="854"/>
      <c r="AV958" s="854"/>
      <c r="AW958" s="854"/>
      <c r="AX958" s="854"/>
      <c r="AY958" s="854"/>
      <c r="AZ958" s="854"/>
      <c r="BA958" s="854"/>
      <c r="BB958" s="854"/>
      <c r="BC958" s="854"/>
      <c r="BD958" s="854"/>
      <c r="BE958" s="854"/>
      <c r="BF958" s="854"/>
      <c r="BG958" s="854"/>
      <c r="BH958" s="854"/>
      <c r="BI958" s="854"/>
      <c r="BJ958" s="854"/>
      <c r="BK958" s="854"/>
      <c r="BL958" s="854"/>
      <c r="BM958" s="854"/>
      <c r="BN958" s="854"/>
      <c r="BO958" s="854"/>
      <c r="BP958" s="854"/>
      <c r="BQ958" s="854"/>
      <c r="BR958" s="854"/>
      <c r="BS958" s="854"/>
      <c r="BT958" s="854"/>
      <c r="BU958" s="854"/>
      <c r="BV958" s="854"/>
      <c r="BW958" s="854"/>
      <c r="BX958" s="854"/>
      <c r="BY958" s="854"/>
      <c r="BZ958" s="854"/>
      <c r="CA958" s="571">
        <f>IF(OR(I958="",I958&lt;'Configs &amp; Procedures'!$L$29),0,IF(I958&gt;'Configs &amp; Procedures'!$L$30,1,IF(F958&gt;'Configs &amp; Procedures'!$L$31,0,1)))</f>
        <v>0</v>
      </c>
    </row>
    <row r="959" spans="2:79">
      <c r="B959" s="854"/>
      <c r="C959" s="854"/>
      <c r="D959" s="854"/>
      <c r="E959" s="854"/>
      <c r="F959" s="854"/>
      <c r="G959" s="854"/>
      <c r="H959" s="854"/>
      <c r="I959" s="854"/>
      <c r="J959" s="854"/>
      <c r="K959" s="854"/>
      <c r="L959" s="854"/>
      <c r="M959" s="854"/>
      <c r="N959" s="854"/>
      <c r="O959" s="854"/>
      <c r="P959" s="854"/>
      <c r="Q959" s="854"/>
      <c r="R959" s="854"/>
      <c r="S959" s="854"/>
      <c r="T959" s="854"/>
      <c r="U959" s="854"/>
      <c r="V959" s="854"/>
      <c r="W959" s="854"/>
      <c r="X959" s="854"/>
      <c r="Y959" s="854"/>
      <c r="Z959" s="854"/>
      <c r="AA959" s="854"/>
      <c r="AB959" s="854"/>
      <c r="AC959" s="854"/>
      <c r="AD959" s="854"/>
      <c r="AE959" s="854"/>
      <c r="AF959" s="854"/>
      <c r="AG959" s="854"/>
      <c r="AH959" s="854"/>
      <c r="AI959" s="854"/>
      <c r="AJ959" s="854"/>
      <c r="AK959" s="854"/>
      <c r="AL959" s="854"/>
      <c r="AM959" s="854"/>
      <c r="AN959" s="854"/>
      <c r="AO959" s="854"/>
      <c r="AP959" s="854"/>
      <c r="AQ959" s="854"/>
      <c r="AR959" s="854"/>
      <c r="AS959" s="854"/>
      <c r="AT959" s="854"/>
      <c r="AU959" s="854"/>
      <c r="AV959" s="854"/>
      <c r="AW959" s="854"/>
      <c r="AX959" s="854"/>
      <c r="AY959" s="854"/>
      <c r="AZ959" s="854"/>
      <c r="BA959" s="854"/>
      <c r="BB959" s="854"/>
      <c r="BC959" s="854"/>
      <c r="BD959" s="854"/>
      <c r="BE959" s="854"/>
      <c r="BF959" s="854"/>
      <c r="BG959" s="854"/>
      <c r="BH959" s="854"/>
      <c r="BI959" s="854"/>
      <c r="BJ959" s="854"/>
      <c r="BK959" s="854"/>
      <c r="BL959" s="854"/>
      <c r="BM959" s="854"/>
      <c r="BN959" s="854"/>
      <c r="BO959" s="854"/>
      <c r="BP959" s="854"/>
      <c r="BQ959" s="854"/>
      <c r="BR959" s="854"/>
      <c r="BS959" s="854"/>
      <c r="BT959" s="854"/>
      <c r="BU959" s="854"/>
      <c r="BV959" s="854"/>
      <c r="BW959" s="854"/>
      <c r="BX959" s="854"/>
      <c r="BY959" s="854"/>
      <c r="BZ959" s="854"/>
      <c r="CA959" s="571">
        <f>IF(OR(I959="",I959&lt;'Configs &amp; Procedures'!$L$29),0,IF(I959&gt;'Configs &amp; Procedures'!$L$30,1,IF(F959&gt;'Configs &amp; Procedures'!$L$31,0,1)))</f>
        <v>0</v>
      </c>
    </row>
    <row r="960" spans="2:79">
      <c r="B960" s="854"/>
      <c r="C960" s="854"/>
      <c r="D960" s="854"/>
      <c r="E960" s="854"/>
      <c r="F960" s="854"/>
      <c r="G960" s="854"/>
      <c r="H960" s="854"/>
      <c r="I960" s="854"/>
      <c r="J960" s="854"/>
      <c r="K960" s="854"/>
      <c r="L960" s="854"/>
      <c r="M960" s="854"/>
      <c r="N960" s="854"/>
      <c r="O960" s="854"/>
      <c r="P960" s="854"/>
      <c r="Q960" s="854"/>
      <c r="R960" s="854"/>
      <c r="S960" s="854"/>
      <c r="T960" s="854"/>
      <c r="U960" s="854"/>
      <c r="V960" s="854"/>
      <c r="W960" s="854"/>
      <c r="X960" s="854"/>
      <c r="Y960" s="854"/>
      <c r="Z960" s="854"/>
      <c r="AA960" s="854"/>
      <c r="AB960" s="854"/>
      <c r="AC960" s="854"/>
      <c r="AD960" s="854"/>
      <c r="AE960" s="854"/>
      <c r="AF960" s="854"/>
      <c r="AG960" s="854"/>
      <c r="AH960" s="854"/>
      <c r="AI960" s="854"/>
      <c r="AJ960" s="854"/>
      <c r="AK960" s="854"/>
      <c r="AL960" s="854"/>
      <c r="AM960" s="854"/>
      <c r="AN960" s="854"/>
      <c r="AO960" s="854"/>
      <c r="AP960" s="854"/>
      <c r="AQ960" s="854"/>
      <c r="AR960" s="854"/>
      <c r="AS960" s="854"/>
      <c r="AT960" s="854"/>
      <c r="AU960" s="854"/>
      <c r="AV960" s="854"/>
      <c r="AW960" s="854"/>
      <c r="AX960" s="854"/>
      <c r="AY960" s="854"/>
      <c r="AZ960" s="854"/>
      <c r="BA960" s="854"/>
      <c r="BB960" s="854"/>
      <c r="BC960" s="854"/>
      <c r="BD960" s="854"/>
      <c r="BE960" s="854"/>
      <c r="BF960" s="854"/>
      <c r="BG960" s="854"/>
      <c r="BH960" s="854"/>
      <c r="BI960" s="854"/>
      <c r="BJ960" s="854"/>
      <c r="BK960" s="854"/>
      <c r="BL960" s="854"/>
      <c r="BM960" s="854"/>
      <c r="BN960" s="854"/>
      <c r="BO960" s="854"/>
      <c r="BP960" s="854"/>
      <c r="BQ960" s="854"/>
      <c r="BR960" s="854"/>
      <c r="BS960" s="854"/>
      <c r="BT960" s="854"/>
      <c r="BU960" s="854"/>
      <c r="BV960" s="854"/>
      <c r="BW960" s="854"/>
      <c r="BX960" s="854"/>
      <c r="BY960" s="854"/>
      <c r="BZ960" s="854"/>
      <c r="CA960" s="571">
        <f>IF(OR(I960="",I960&lt;'Configs &amp; Procedures'!$L$29),0,IF(I960&gt;'Configs &amp; Procedures'!$L$30,1,IF(F960&gt;'Configs &amp; Procedures'!$L$31,0,1)))</f>
        <v>0</v>
      </c>
    </row>
    <row r="961" spans="2:79">
      <c r="B961" s="854"/>
      <c r="C961" s="854"/>
      <c r="D961" s="854"/>
      <c r="E961" s="854"/>
      <c r="F961" s="854"/>
      <c r="G961" s="854"/>
      <c r="H961" s="854"/>
      <c r="I961" s="854"/>
      <c r="J961" s="854"/>
      <c r="K961" s="854"/>
      <c r="L961" s="854"/>
      <c r="M961" s="854"/>
      <c r="N961" s="854"/>
      <c r="O961" s="854"/>
      <c r="P961" s="854"/>
      <c r="Q961" s="854"/>
      <c r="R961" s="854"/>
      <c r="S961" s="854"/>
      <c r="T961" s="854"/>
      <c r="U961" s="854"/>
      <c r="V961" s="854"/>
      <c r="W961" s="854"/>
      <c r="X961" s="854"/>
      <c r="Y961" s="854"/>
      <c r="Z961" s="854"/>
      <c r="AA961" s="854"/>
      <c r="AB961" s="854"/>
      <c r="AC961" s="854"/>
      <c r="AD961" s="854"/>
      <c r="AE961" s="854"/>
      <c r="AF961" s="854"/>
      <c r="AG961" s="854"/>
      <c r="AH961" s="854"/>
      <c r="AI961" s="854"/>
      <c r="AJ961" s="854"/>
      <c r="AK961" s="854"/>
      <c r="AL961" s="854"/>
      <c r="AM961" s="854"/>
      <c r="AN961" s="854"/>
      <c r="AO961" s="854"/>
      <c r="AP961" s="854"/>
      <c r="AQ961" s="854"/>
      <c r="AR961" s="854"/>
      <c r="AS961" s="854"/>
      <c r="AT961" s="854"/>
      <c r="AU961" s="854"/>
      <c r="AV961" s="854"/>
      <c r="AW961" s="854"/>
      <c r="AX961" s="854"/>
      <c r="AY961" s="854"/>
      <c r="AZ961" s="854"/>
      <c r="BA961" s="854"/>
      <c r="BB961" s="854"/>
      <c r="BC961" s="854"/>
      <c r="BD961" s="854"/>
      <c r="BE961" s="854"/>
      <c r="BF961" s="854"/>
      <c r="BG961" s="854"/>
      <c r="BH961" s="854"/>
      <c r="BI961" s="854"/>
      <c r="BJ961" s="854"/>
      <c r="BK961" s="854"/>
      <c r="BL961" s="854"/>
      <c r="BM961" s="854"/>
      <c r="BN961" s="854"/>
      <c r="BO961" s="854"/>
      <c r="BP961" s="854"/>
      <c r="BQ961" s="854"/>
      <c r="BR961" s="854"/>
      <c r="BS961" s="854"/>
      <c r="BT961" s="854"/>
      <c r="BU961" s="854"/>
      <c r="BV961" s="854"/>
      <c r="BW961" s="854"/>
      <c r="BX961" s="854"/>
      <c r="BY961" s="854"/>
      <c r="BZ961" s="854"/>
      <c r="CA961" s="571">
        <f>IF(OR(I961="",I961&lt;'Configs &amp; Procedures'!$L$29),0,IF(I961&gt;'Configs &amp; Procedures'!$L$30,1,IF(F961&gt;'Configs &amp; Procedures'!$L$31,0,1)))</f>
        <v>0</v>
      </c>
    </row>
    <row r="962" spans="2:79">
      <c r="B962" s="854"/>
      <c r="C962" s="854"/>
      <c r="D962" s="854"/>
      <c r="E962" s="854"/>
      <c r="F962" s="854"/>
      <c r="G962" s="854"/>
      <c r="H962" s="854"/>
      <c r="I962" s="854"/>
      <c r="J962" s="854"/>
      <c r="K962" s="854"/>
      <c r="L962" s="854"/>
      <c r="M962" s="854"/>
      <c r="N962" s="854"/>
      <c r="O962" s="854"/>
      <c r="P962" s="854"/>
      <c r="Q962" s="854"/>
      <c r="R962" s="854"/>
      <c r="S962" s="854"/>
      <c r="T962" s="854"/>
      <c r="U962" s="854"/>
      <c r="V962" s="854"/>
      <c r="W962" s="854"/>
      <c r="X962" s="854"/>
      <c r="Y962" s="854"/>
      <c r="Z962" s="854"/>
      <c r="AA962" s="854"/>
      <c r="AB962" s="854"/>
      <c r="AC962" s="854"/>
      <c r="AD962" s="854"/>
      <c r="AE962" s="854"/>
      <c r="AF962" s="854"/>
      <c r="AG962" s="854"/>
      <c r="AH962" s="854"/>
      <c r="AI962" s="854"/>
      <c r="AJ962" s="854"/>
      <c r="AK962" s="854"/>
      <c r="AL962" s="854"/>
      <c r="AM962" s="854"/>
      <c r="AN962" s="854"/>
      <c r="AO962" s="854"/>
      <c r="AP962" s="854"/>
      <c r="AQ962" s="854"/>
      <c r="AR962" s="854"/>
      <c r="AS962" s="854"/>
      <c r="AT962" s="854"/>
      <c r="AU962" s="854"/>
      <c r="AV962" s="854"/>
      <c r="AW962" s="854"/>
      <c r="AX962" s="854"/>
      <c r="AY962" s="854"/>
      <c r="AZ962" s="854"/>
      <c r="BA962" s="854"/>
      <c r="BB962" s="854"/>
      <c r="BC962" s="854"/>
      <c r="BD962" s="854"/>
      <c r="BE962" s="854"/>
      <c r="BF962" s="854"/>
      <c r="BG962" s="854"/>
      <c r="BH962" s="854"/>
      <c r="BI962" s="854"/>
      <c r="BJ962" s="854"/>
      <c r="BK962" s="854"/>
      <c r="BL962" s="854"/>
      <c r="BM962" s="854"/>
      <c r="BN962" s="854"/>
      <c r="BO962" s="854"/>
      <c r="BP962" s="854"/>
      <c r="BQ962" s="854"/>
      <c r="BR962" s="854"/>
      <c r="BS962" s="854"/>
      <c r="BT962" s="854"/>
      <c r="BU962" s="854"/>
      <c r="BV962" s="854"/>
      <c r="BW962" s="854"/>
      <c r="BX962" s="854"/>
      <c r="BY962" s="854"/>
      <c r="BZ962" s="854"/>
      <c r="CA962" s="571">
        <f>IF(OR(I962="",I962&lt;'Configs &amp; Procedures'!$L$29),0,IF(I962&gt;'Configs &amp; Procedures'!$L$30,1,IF(F962&gt;'Configs &amp; Procedures'!$L$31,0,1)))</f>
        <v>0</v>
      </c>
    </row>
    <row r="963" spans="2:79">
      <c r="B963" s="854"/>
      <c r="C963" s="854"/>
      <c r="D963" s="854"/>
      <c r="E963" s="854"/>
      <c r="F963" s="854"/>
      <c r="G963" s="854"/>
      <c r="H963" s="854"/>
      <c r="I963" s="854"/>
      <c r="J963" s="854"/>
      <c r="K963" s="854"/>
      <c r="L963" s="854"/>
      <c r="M963" s="854"/>
      <c r="N963" s="854"/>
      <c r="O963" s="854"/>
      <c r="P963" s="854"/>
      <c r="Q963" s="854"/>
      <c r="R963" s="854"/>
      <c r="S963" s="854"/>
      <c r="T963" s="854"/>
      <c r="U963" s="854"/>
      <c r="V963" s="854"/>
      <c r="W963" s="854"/>
      <c r="X963" s="854"/>
      <c r="Y963" s="854"/>
      <c r="Z963" s="854"/>
      <c r="AA963" s="854"/>
      <c r="AB963" s="854"/>
      <c r="AC963" s="854"/>
      <c r="AD963" s="854"/>
      <c r="AE963" s="854"/>
      <c r="AF963" s="854"/>
      <c r="AG963" s="854"/>
      <c r="AH963" s="854"/>
      <c r="AI963" s="854"/>
      <c r="AJ963" s="854"/>
      <c r="AK963" s="854"/>
      <c r="AL963" s="854"/>
      <c r="AM963" s="854"/>
      <c r="AN963" s="854"/>
      <c r="AO963" s="854"/>
      <c r="AP963" s="854"/>
      <c r="AQ963" s="854"/>
      <c r="AR963" s="854"/>
      <c r="AS963" s="854"/>
      <c r="AT963" s="854"/>
      <c r="AU963" s="854"/>
      <c r="AV963" s="854"/>
      <c r="AW963" s="854"/>
      <c r="AX963" s="854"/>
      <c r="AY963" s="854"/>
      <c r="AZ963" s="854"/>
      <c r="BA963" s="854"/>
      <c r="BB963" s="854"/>
      <c r="BC963" s="854"/>
      <c r="BD963" s="854"/>
      <c r="BE963" s="854"/>
      <c r="BF963" s="854"/>
      <c r="BG963" s="854"/>
      <c r="BH963" s="854"/>
      <c r="BI963" s="854"/>
      <c r="BJ963" s="854"/>
      <c r="BK963" s="854"/>
      <c r="BL963" s="854"/>
      <c r="BM963" s="854"/>
      <c r="BN963" s="854"/>
      <c r="BO963" s="854"/>
      <c r="BP963" s="854"/>
      <c r="BQ963" s="854"/>
      <c r="BR963" s="854"/>
      <c r="BS963" s="854"/>
      <c r="BT963" s="854"/>
      <c r="BU963" s="854"/>
      <c r="BV963" s="854"/>
      <c r="BW963" s="854"/>
      <c r="BX963" s="854"/>
      <c r="BY963" s="854"/>
      <c r="BZ963" s="854"/>
      <c r="CA963" s="571">
        <f>IF(OR(I963="",I963&lt;'Configs &amp; Procedures'!$L$29),0,IF(I963&gt;'Configs &amp; Procedures'!$L$30,1,IF(F963&gt;'Configs &amp; Procedures'!$L$31,0,1)))</f>
        <v>0</v>
      </c>
    </row>
    <row r="964" spans="2:79">
      <c r="B964" s="854"/>
      <c r="C964" s="854"/>
      <c r="D964" s="854"/>
      <c r="E964" s="854"/>
      <c r="F964" s="854"/>
      <c r="G964" s="854"/>
      <c r="H964" s="854"/>
      <c r="I964" s="854"/>
      <c r="J964" s="854"/>
      <c r="K964" s="854"/>
      <c r="L964" s="854"/>
      <c r="M964" s="854"/>
      <c r="N964" s="854"/>
      <c r="O964" s="854"/>
      <c r="P964" s="854"/>
      <c r="Q964" s="854"/>
      <c r="R964" s="854"/>
      <c r="S964" s="854"/>
      <c r="T964" s="854"/>
      <c r="U964" s="854"/>
      <c r="V964" s="854"/>
      <c r="W964" s="854"/>
      <c r="X964" s="854"/>
      <c r="Y964" s="854"/>
      <c r="Z964" s="854"/>
      <c r="AA964" s="854"/>
      <c r="AB964" s="854"/>
      <c r="AC964" s="854"/>
      <c r="AD964" s="854"/>
      <c r="AE964" s="854"/>
      <c r="AF964" s="854"/>
      <c r="AG964" s="854"/>
      <c r="AH964" s="854"/>
      <c r="AI964" s="854"/>
      <c r="AJ964" s="854"/>
      <c r="AK964" s="854"/>
      <c r="AL964" s="854"/>
      <c r="AM964" s="854"/>
      <c r="AN964" s="854"/>
      <c r="AO964" s="854"/>
      <c r="AP964" s="854"/>
      <c r="AQ964" s="854"/>
      <c r="AR964" s="854"/>
      <c r="AS964" s="854"/>
      <c r="AT964" s="854"/>
      <c r="AU964" s="854"/>
      <c r="AV964" s="854"/>
      <c r="AW964" s="854"/>
      <c r="AX964" s="854"/>
      <c r="AY964" s="854"/>
      <c r="AZ964" s="854"/>
      <c r="BA964" s="854"/>
      <c r="BB964" s="854"/>
      <c r="BC964" s="854"/>
      <c r="BD964" s="854"/>
      <c r="BE964" s="854"/>
      <c r="BF964" s="854"/>
      <c r="BG964" s="854"/>
      <c r="BH964" s="854"/>
      <c r="BI964" s="854"/>
      <c r="BJ964" s="854"/>
      <c r="BK964" s="854"/>
      <c r="BL964" s="854"/>
      <c r="BM964" s="854"/>
      <c r="BN964" s="854"/>
      <c r="BO964" s="854"/>
      <c r="BP964" s="854"/>
      <c r="BQ964" s="854"/>
      <c r="BR964" s="854"/>
      <c r="BS964" s="854"/>
      <c r="BT964" s="854"/>
      <c r="BU964" s="854"/>
      <c r="BV964" s="854"/>
      <c r="BW964" s="854"/>
      <c r="BX964" s="854"/>
      <c r="BY964" s="854"/>
      <c r="BZ964" s="854"/>
      <c r="CA964" s="571">
        <f>IF(OR(I964="",I964&lt;'Configs &amp; Procedures'!$L$29),0,IF(I964&gt;'Configs &amp; Procedures'!$L$30,1,IF(F964&gt;'Configs &amp; Procedures'!$L$31,0,1)))</f>
        <v>0</v>
      </c>
    </row>
    <row r="965" spans="2:79">
      <c r="B965" s="854"/>
      <c r="C965" s="854"/>
      <c r="D965" s="854"/>
      <c r="E965" s="854"/>
      <c r="F965" s="854"/>
      <c r="G965" s="854"/>
      <c r="H965" s="854"/>
      <c r="I965" s="854"/>
      <c r="J965" s="854"/>
      <c r="K965" s="854"/>
      <c r="L965" s="854"/>
      <c r="M965" s="854"/>
      <c r="N965" s="854"/>
      <c r="O965" s="854"/>
      <c r="P965" s="854"/>
      <c r="Q965" s="854"/>
      <c r="R965" s="854"/>
      <c r="S965" s="854"/>
      <c r="T965" s="854"/>
      <c r="U965" s="854"/>
      <c r="V965" s="854"/>
      <c r="W965" s="854"/>
      <c r="X965" s="854"/>
      <c r="Y965" s="854"/>
      <c r="Z965" s="854"/>
      <c r="AA965" s="854"/>
      <c r="AB965" s="854"/>
      <c r="AC965" s="854"/>
      <c r="AD965" s="854"/>
      <c r="AE965" s="854"/>
      <c r="AF965" s="854"/>
      <c r="AG965" s="854"/>
      <c r="AH965" s="854"/>
      <c r="AI965" s="854"/>
      <c r="AJ965" s="854"/>
      <c r="AK965" s="854"/>
      <c r="AL965" s="854"/>
      <c r="AM965" s="854"/>
      <c r="AN965" s="854"/>
      <c r="AO965" s="854"/>
      <c r="AP965" s="854"/>
      <c r="AQ965" s="854"/>
      <c r="AR965" s="854"/>
      <c r="AS965" s="854"/>
      <c r="AT965" s="854"/>
      <c r="AU965" s="854"/>
      <c r="AV965" s="854"/>
      <c r="AW965" s="854"/>
      <c r="AX965" s="854"/>
      <c r="AY965" s="854"/>
      <c r="AZ965" s="854"/>
      <c r="BA965" s="854"/>
      <c r="BB965" s="854"/>
      <c r="BC965" s="854"/>
      <c r="BD965" s="854"/>
      <c r="BE965" s="854"/>
      <c r="BF965" s="854"/>
      <c r="BG965" s="854"/>
      <c r="BH965" s="854"/>
      <c r="BI965" s="854"/>
      <c r="BJ965" s="854"/>
      <c r="BK965" s="854"/>
      <c r="BL965" s="854"/>
      <c r="BM965" s="854"/>
      <c r="BN965" s="854"/>
      <c r="BO965" s="854"/>
      <c r="BP965" s="854"/>
      <c r="BQ965" s="854"/>
      <c r="BR965" s="854"/>
      <c r="BS965" s="854"/>
      <c r="BT965" s="854"/>
      <c r="BU965" s="854"/>
      <c r="BV965" s="854"/>
      <c r="BW965" s="854"/>
      <c r="BX965" s="854"/>
      <c r="BY965" s="854"/>
      <c r="BZ965" s="854"/>
      <c r="CA965" s="571">
        <f>IF(OR(I965="",I965&lt;'Configs &amp; Procedures'!$L$29),0,IF(I965&gt;'Configs &amp; Procedures'!$L$30,1,IF(F965&gt;'Configs &amp; Procedures'!$L$31,0,1)))</f>
        <v>0</v>
      </c>
    </row>
    <row r="966" spans="2:79">
      <c r="B966" s="854"/>
      <c r="C966" s="854"/>
      <c r="D966" s="854"/>
      <c r="E966" s="854"/>
      <c r="F966" s="854"/>
      <c r="G966" s="854"/>
      <c r="H966" s="854"/>
      <c r="I966" s="854"/>
      <c r="J966" s="854"/>
      <c r="K966" s="854"/>
      <c r="L966" s="854"/>
      <c r="M966" s="854"/>
      <c r="N966" s="854"/>
      <c r="O966" s="854"/>
      <c r="P966" s="854"/>
      <c r="Q966" s="854"/>
      <c r="R966" s="854"/>
      <c r="S966" s="854"/>
      <c r="T966" s="854"/>
      <c r="U966" s="854"/>
      <c r="V966" s="854"/>
      <c r="W966" s="854"/>
      <c r="X966" s="854"/>
      <c r="Y966" s="854"/>
      <c r="Z966" s="854"/>
      <c r="AA966" s="854"/>
      <c r="AB966" s="854"/>
      <c r="AC966" s="854"/>
      <c r="AD966" s="854"/>
      <c r="AE966" s="854"/>
      <c r="AF966" s="854"/>
      <c r="AG966" s="854"/>
      <c r="AH966" s="854"/>
      <c r="AI966" s="854"/>
      <c r="AJ966" s="854"/>
      <c r="AK966" s="854"/>
      <c r="AL966" s="854"/>
      <c r="AM966" s="854"/>
      <c r="AN966" s="854"/>
      <c r="AO966" s="854"/>
      <c r="AP966" s="854"/>
      <c r="AQ966" s="854"/>
      <c r="AR966" s="854"/>
      <c r="AS966" s="854"/>
      <c r="AT966" s="854"/>
      <c r="AU966" s="854"/>
      <c r="AV966" s="854"/>
      <c r="AW966" s="854"/>
      <c r="AX966" s="854"/>
      <c r="AY966" s="854"/>
      <c r="AZ966" s="854"/>
      <c r="BA966" s="854"/>
      <c r="BB966" s="854"/>
      <c r="BC966" s="854"/>
      <c r="BD966" s="854"/>
      <c r="BE966" s="854"/>
      <c r="BF966" s="854"/>
      <c r="BG966" s="854"/>
      <c r="BH966" s="854"/>
      <c r="BI966" s="854"/>
      <c r="BJ966" s="854"/>
      <c r="BK966" s="854"/>
      <c r="BL966" s="854"/>
      <c r="BM966" s="854"/>
      <c r="BN966" s="854"/>
      <c r="BO966" s="854"/>
      <c r="BP966" s="854"/>
      <c r="BQ966" s="854"/>
      <c r="BR966" s="854"/>
      <c r="BS966" s="854"/>
      <c r="BT966" s="854"/>
      <c r="BU966" s="854"/>
      <c r="BV966" s="854"/>
      <c r="BW966" s="854"/>
      <c r="BX966" s="854"/>
      <c r="BY966" s="854"/>
      <c r="BZ966" s="854"/>
      <c r="CA966" s="571">
        <f>IF(OR(I966="",I966&lt;'Configs &amp; Procedures'!$L$29),0,IF(I966&gt;'Configs &amp; Procedures'!$L$30,1,IF(F966&gt;'Configs &amp; Procedures'!$L$31,0,1)))</f>
        <v>0</v>
      </c>
    </row>
    <row r="967" spans="2:79">
      <c r="B967" s="854"/>
      <c r="C967" s="854"/>
      <c r="D967" s="854"/>
      <c r="E967" s="854"/>
      <c r="F967" s="854"/>
      <c r="G967" s="854"/>
      <c r="H967" s="854"/>
      <c r="I967" s="854"/>
      <c r="J967" s="854"/>
      <c r="K967" s="854"/>
      <c r="L967" s="854"/>
      <c r="M967" s="854"/>
      <c r="N967" s="854"/>
      <c r="O967" s="854"/>
      <c r="P967" s="854"/>
      <c r="Q967" s="854"/>
      <c r="R967" s="854"/>
      <c r="S967" s="854"/>
      <c r="T967" s="854"/>
      <c r="U967" s="854"/>
      <c r="V967" s="854"/>
      <c r="W967" s="854"/>
      <c r="X967" s="854"/>
      <c r="Y967" s="854"/>
      <c r="Z967" s="854"/>
      <c r="AA967" s="854"/>
      <c r="AB967" s="854"/>
      <c r="AC967" s="854"/>
      <c r="AD967" s="854"/>
      <c r="AE967" s="854"/>
      <c r="AF967" s="854"/>
      <c r="AG967" s="854"/>
      <c r="AH967" s="854"/>
      <c r="AI967" s="854"/>
      <c r="AJ967" s="854"/>
      <c r="AK967" s="854"/>
      <c r="AL967" s="854"/>
      <c r="AM967" s="854"/>
      <c r="AN967" s="854"/>
      <c r="AO967" s="854"/>
      <c r="AP967" s="854"/>
      <c r="AQ967" s="854"/>
      <c r="AR967" s="854"/>
      <c r="AS967" s="854"/>
      <c r="AT967" s="854"/>
      <c r="AU967" s="854"/>
      <c r="AV967" s="854"/>
      <c r="AW967" s="854"/>
      <c r="AX967" s="854"/>
      <c r="AY967" s="854"/>
      <c r="AZ967" s="854"/>
      <c r="BA967" s="854"/>
      <c r="BB967" s="854"/>
      <c r="BC967" s="854"/>
      <c r="BD967" s="854"/>
      <c r="BE967" s="854"/>
      <c r="BF967" s="854"/>
      <c r="BG967" s="854"/>
      <c r="BH967" s="854"/>
      <c r="BI967" s="854"/>
      <c r="BJ967" s="854"/>
      <c r="BK967" s="854"/>
      <c r="BL967" s="854"/>
      <c r="BM967" s="854"/>
      <c r="BN967" s="854"/>
      <c r="BO967" s="854"/>
      <c r="BP967" s="854"/>
      <c r="BQ967" s="854"/>
      <c r="BR967" s="854"/>
      <c r="BS967" s="854"/>
      <c r="BT967" s="854"/>
      <c r="BU967" s="854"/>
      <c r="BV967" s="854"/>
      <c r="BW967" s="854"/>
      <c r="BX967" s="854"/>
      <c r="BY967" s="854"/>
      <c r="BZ967" s="854"/>
      <c r="CA967" s="571">
        <f>IF(OR(I967="",I967&lt;'Configs &amp; Procedures'!$L$29),0,IF(I967&gt;'Configs &amp; Procedures'!$L$30,1,IF(F967&gt;'Configs &amp; Procedures'!$L$31,0,1)))</f>
        <v>0</v>
      </c>
    </row>
    <row r="968" spans="2:79">
      <c r="B968" s="854"/>
      <c r="C968" s="854"/>
      <c r="D968" s="854"/>
      <c r="E968" s="854"/>
      <c r="F968" s="854"/>
      <c r="G968" s="854"/>
      <c r="H968" s="854"/>
      <c r="I968" s="854"/>
      <c r="J968" s="854"/>
      <c r="K968" s="854"/>
      <c r="L968" s="854"/>
      <c r="M968" s="854"/>
      <c r="N968" s="854"/>
      <c r="O968" s="854"/>
      <c r="P968" s="854"/>
      <c r="Q968" s="854"/>
      <c r="R968" s="854"/>
      <c r="S968" s="854"/>
      <c r="T968" s="854"/>
      <c r="U968" s="854"/>
      <c r="V968" s="854"/>
      <c r="W968" s="854"/>
      <c r="X968" s="854"/>
      <c r="Y968" s="854"/>
      <c r="Z968" s="854"/>
      <c r="AA968" s="854"/>
      <c r="AB968" s="854"/>
      <c r="AC968" s="854"/>
      <c r="AD968" s="854"/>
      <c r="AE968" s="854"/>
      <c r="AF968" s="854"/>
      <c r="AG968" s="854"/>
      <c r="AH968" s="854"/>
      <c r="AI968" s="854"/>
      <c r="AJ968" s="854"/>
      <c r="AK968" s="854"/>
      <c r="AL968" s="854"/>
      <c r="AM968" s="854"/>
      <c r="AN968" s="854"/>
      <c r="AO968" s="854"/>
      <c r="AP968" s="854"/>
      <c r="AQ968" s="854"/>
      <c r="AR968" s="854"/>
      <c r="AS968" s="854"/>
      <c r="AT968" s="854"/>
      <c r="AU968" s="854"/>
      <c r="AV968" s="854"/>
      <c r="AW968" s="854"/>
      <c r="AX968" s="854"/>
      <c r="AY968" s="854"/>
      <c r="AZ968" s="854"/>
      <c r="BA968" s="854"/>
      <c r="BB968" s="854"/>
      <c r="BC968" s="854"/>
      <c r="BD968" s="854"/>
      <c r="BE968" s="854"/>
      <c r="BF968" s="854"/>
      <c r="BG968" s="854"/>
      <c r="BH968" s="854"/>
      <c r="BI968" s="854"/>
      <c r="BJ968" s="854"/>
      <c r="BK968" s="854"/>
      <c r="BL968" s="854"/>
      <c r="BM968" s="854"/>
      <c r="BN968" s="854"/>
      <c r="BO968" s="854"/>
      <c r="BP968" s="854"/>
      <c r="BQ968" s="854"/>
      <c r="BR968" s="854"/>
      <c r="BS968" s="854"/>
      <c r="BT968" s="854"/>
      <c r="BU968" s="854"/>
      <c r="BV968" s="854"/>
      <c r="BW968" s="854"/>
      <c r="BX968" s="854"/>
      <c r="BY968" s="854"/>
      <c r="BZ968" s="854"/>
      <c r="CA968" s="571">
        <f>IF(OR(I968="",I968&lt;'Configs &amp; Procedures'!$L$29),0,IF(I968&gt;'Configs &amp; Procedures'!$L$30,1,IF(F968&gt;'Configs &amp; Procedures'!$L$31,0,1)))</f>
        <v>0</v>
      </c>
    </row>
    <row r="969" spans="2:79">
      <c r="B969" s="854"/>
      <c r="C969" s="854"/>
      <c r="D969" s="854"/>
      <c r="E969" s="854"/>
      <c r="F969" s="854"/>
      <c r="G969" s="854"/>
      <c r="H969" s="854"/>
      <c r="I969" s="854"/>
      <c r="J969" s="854"/>
      <c r="K969" s="854"/>
      <c r="L969" s="854"/>
      <c r="M969" s="854"/>
      <c r="N969" s="854"/>
      <c r="O969" s="854"/>
      <c r="P969" s="854"/>
      <c r="Q969" s="854"/>
      <c r="R969" s="854"/>
      <c r="S969" s="854"/>
      <c r="T969" s="854"/>
      <c r="U969" s="854"/>
      <c r="V969" s="854"/>
      <c r="W969" s="854"/>
      <c r="X969" s="854"/>
      <c r="Y969" s="854"/>
      <c r="Z969" s="854"/>
      <c r="AA969" s="854"/>
      <c r="AB969" s="854"/>
      <c r="AC969" s="854"/>
      <c r="AD969" s="854"/>
      <c r="AE969" s="854"/>
      <c r="AF969" s="854"/>
      <c r="AG969" s="854"/>
      <c r="AH969" s="854"/>
      <c r="AI969" s="854"/>
      <c r="AJ969" s="854"/>
      <c r="AK969" s="854"/>
      <c r="AL969" s="854"/>
      <c r="AM969" s="854"/>
      <c r="AN969" s="854"/>
      <c r="AO969" s="854"/>
      <c r="AP969" s="854"/>
      <c r="AQ969" s="854"/>
      <c r="AR969" s="854"/>
      <c r="AS969" s="854"/>
      <c r="AT969" s="854"/>
      <c r="AU969" s="854"/>
      <c r="AV969" s="854"/>
      <c r="AW969" s="854"/>
      <c r="AX969" s="854"/>
      <c r="AY969" s="854"/>
      <c r="AZ969" s="854"/>
      <c r="BA969" s="854"/>
      <c r="BB969" s="854"/>
      <c r="BC969" s="854"/>
      <c r="BD969" s="854"/>
      <c r="BE969" s="854"/>
      <c r="BF969" s="854"/>
      <c r="BG969" s="854"/>
      <c r="BH969" s="854"/>
      <c r="BI969" s="854"/>
      <c r="BJ969" s="854"/>
      <c r="BK969" s="854"/>
      <c r="BL969" s="854"/>
      <c r="BM969" s="854"/>
      <c r="BN969" s="854"/>
      <c r="BO969" s="854"/>
      <c r="BP969" s="854"/>
      <c r="BQ969" s="854"/>
      <c r="BR969" s="854"/>
      <c r="BS969" s="854"/>
      <c r="BT969" s="854"/>
      <c r="BU969" s="854"/>
      <c r="BV969" s="854"/>
      <c r="BW969" s="854"/>
      <c r="BX969" s="854"/>
      <c r="BY969" s="854"/>
      <c r="BZ969" s="854"/>
      <c r="CA969" s="571">
        <f>IF(OR(I969="",I969&lt;'Configs &amp; Procedures'!$L$29),0,IF(I969&gt;'Configs &amp; Procedures'!$L$30,1,IF(F969&gt;'Configs &amp; Procedures'!$L$31,0,1)))</f>
        <v>0</v>
      </c>
    </row>
    <row r="970" spans="2:79">
      <c r="B970" s="854"/>
      <c r="C970" s="854"/>
      <c r="D970" s="854"/>
      <c r="E970" s="854"/>
      <c r="F970" s="854"/>
      <c r="G970" s="854"/>
      <c r="H970" s="854"/>
      <c r="I970" s="854"/>
      <c r="J970" s="854"/>
      <c r="K970" s="854"/>
      <c r="L970" s="854"/>
      <c r="M970" s="854"/>
      <c r="N970" s="854"/>
      <c r="O970" s="854"/>
      <c r="P970" s="854"/>
      <c r="Q970" s="854"/>
      <c r="R970" s="854"/>
      <c r="S970" s="854"/>
      <c r="T970" s="854"/>
      <c r="U970" s="854"/>
      <c r="V970" s="854"/>
      <c r="W970" s="854"/>
      <c r="X970" s="854"/>
      <c r="Y970" s="854"/>
      <c r="Z970" s="854"/>
      <c r="AA970" s="854"/>
      <c r="AB970" s="854"/>
      <c r="AC970" s="854"/>
      <c r="AD970" s="854"/>
      <c r="AE970" s="854"/>
      <c r="AF970" s="854"/>
      <c r="AG970" s="854"/>
      <c r="AH970" s="854"/>
      <c r="AI970" s="854"/>
      <c r="AJ970" s="854"/>
      <c r="AK970" s="854"/>
      <c r="AL970" s="854"/>
      <c r="AM970" s="854"/>
      <c r="AN970" s="854"/>
      <c r="AO970" s="854"/>
      <c r="AP970" s="854"/>
      <c r="AQ970" s="854"/>
      <c r="AR970" s="854"/>
      <c r="AS970" s="854"/>
      <c r="AT970" s="854"/>
      <c r="AU970" s="854"/>
      <c r="AV970" s="854"/>
      <c r="AW970" s="854"/>
      <c r="AX970" s="854"/>
      <c r="AY970" s="854"/>
      <c r="AZ970" s="854"/>
      <c r="BA970" s="854"/>
      <c r="BB970" s="854"/>
      <c r="BC970" s="854"/>
      <c r="BD970" s="854"/>
      <c r="BE970" s="854"/>
      <c r="BF970" s="854"/>
      <c r="BG970" s="854"/>
      <c r="BH970" s="854"/>
      <c r="BI970" s="854"/>
      <c r="BJ970" s="854"/>
      <c r="BK970" s="854"/>
      <c r="BL970" s="854"/>
      <c r="BM970" s="854"/>
      <c r="BN970" s="854"/>
      <c r="BO970" s="854"/>
      <c r="BP970" s="854"/>
      <c r="BQ970" s="854"/>
      <c r="BR970" s="854"/>
      <c r="BS970" s="854"/>
      <c r="BT970" s="854"/>
      <c r="BU970" s="854"/>
      <c r="BV970" s="854"/>
      <c r="BW970" s="854"/>
      <c r="BX970" s="854"/>
      <c r="BY970" s="854"/>
      <c r="BZ970" s="854"/>
      <c r="CA970" s="571">
        <f>IF(OR(I970="",I970&lt;'Configs &amp; Procedures'!$L$29),0,IF(I970&gt;'Configs &amp; Procedures'!$L$30,1,IF(F970&gt;'Configs &amp; Procedures'!$L$31,0,1)))</f>
        <v>0</v>
      </c>
    </row>
    <row r="971" spans="2:79">
      <c r="B971" s="854"/>
      <c r="C971" s="854"/>
      <c r="D971" s="854"/>
      <c r="E971" s="854"/>
      <c r="F971" s="854"/>
      <c r="G971" s="854"/>
      <c r="H971" s="854"/>
      <c r="I971" s="854"/>
      <c r="J971" s="854"/>
      <c r="K971" s="854"/>
      <c r="L971" s="854"/>
      <c r="M971" s="854"/>
      <c r="N971" s="854"/>
      <c r="O971" s="854"/>
      <c r="P971" s="854"/>
      <c r="Q971" s="854"/>
      <c r="R971" s="854"/>
      <c r="S971" s="854"/>
      <c r="T971" s="854"/>
      <c r="U971" s="854"/>
      <c r="V971" s="854"/>
      <c r="W971" s="854"/>
      <c r="X971" s="854"/>
      <c r="Y971" s="854"/>
      <c r="Z971" s="854"/>
      <c r="AA971" s="854"/>
      <c r="AB971" s="854"/>
      <c r="AC971" s="854"/>
      <c r="AD971" s="854"/>
      <c r="AE971" s="854"/>
      <c r="AF971" s="854"/>
      <c r="AG971" s="854"/>
      <c r="AH971" s="854"/>
      <c r="AI971" s="854"/>
      <c r="AJ971" s="854"/>
      <c r="AK971" s="854"/>
      <c r="AL971" s="854"/>
      <c r="AM971" s="854"/>
      <c r="AN971" s="854"/>
      <c r="AO971" s="854"/>
      <c r="AP971" s="854"/>
      <c r="AQ971" s="854"/>
      <c r="AR971" s="854"/>
      <c r="AS971" s="854"/>
      <c r="AT971" s="854"/>
      <c r="AU971" s="854"/>
      <c r="AV971" s="854"/>
      <c r="AW971" s="854"/>
      <c r="AX971" s="854"/>
      <c r="AY971" s="854"/>
      <c r="AZ971" s="854"/>
      <c r="BA971" s="854"/>
      <c r="BB971" s="854"/>
      <c r="BC971" s="854"/>
      <c r="BD971" s="854"/>
      <c r="BE971" s="854"/>
      <c r="BF971" s="854"/>
      <c r="BG971" s="854"/>
      <c r="BH971" s="854"/>
      <c r="BI971" s="854"/>
      <c r="BJ971" s="854"/>
      <c r="BK971" s="854"/>
      <c r="BL971" s="854"/>
      <c r="BM971" s="854"/>
      <c r="BN971" s="854"/>
      <c r="BO971" s="854"/>
      <c r="BP971" s="854"/>
      <c r="BQ971" s="854"/>
      <c r="BR971" s="854"/>
      <c r="BS971" s="854"/>
      <c r="BT971" s="854"/>
      <c r="BU971" s="854"/>
      <c r="BV971" s="854"/>
      <c r="BW971" s="854"/>
      <c r="BX971" s="854"/>
      <c r="BY971" s="854"/>
      <c r="BZ971" s="854"/>
      <c r="CA971" s="571">
        <f>IF(OR(I971="",I971&lt;'Configs &amp; Procedures'!$L$29),0,IF(I971&gt;'Configs &amp; Procedures'!$L$30,1,IF(F971&gt;'Configs &amp; Procedures'!$L$31,0,1)))</f>
        <v>0</v>
      </c>
    </row>
    <row r="972" spans="2:79">
      <c r="B972" s="854"/>
      <c r="C972" s="854"/>
      <c r="D972" s="854"/>
      <c r="E972" s="854"/>
      <c r="F972" s="854"/>
      <c r="G972" s="854"/>
      <c r="H972" s="854"/>
      <c r="I972" s="854"/>
      <c r="J972" s="854"/>
      <c r="K972" s="854"/>
      <c r="L972" s="854"/>
      <c r="M972" s="854"/>
      <c r="N972" s="854"/>
      <c r="O972" s="854"/>
      <c r="P972" s="854"/>
      <c r="Q972" s="854"/>
      <c r="R972" s="854"/>
      <c r="S972" s="854"/>
      <c r="T972" s="854"/>
      <c r="U972" s="854"/>
      <c r="V972" s="854"/>
      <c r="W972" s="854"/>
      <c r="X972" s="854"/>
      <c r="Y972" s="854"/>
      <c r="Z972" s="854"/>
      <c r="AA972" s="854"/>
      <c r="AB972" s="854"/>
      <c r="AC972" s="854"/>
      <c r="AD972" s="854"/>
      <c r="AE972" s="854"/>
      <c r="AF972" s="854"/>
      <c r="AG972" s="854"/>
      <c r="AH972" s="854"/>
      <c r="AI972" s="854"/>
      <c r="AJ972" s="854"/>
      <c r="AK972" s="854"/>
      <c r="AL972" s="854"/>
      <c r="AM972" s="854"/>
      <c r="AN972" s="854"/>
      <c r="AO972" s="854"/>
      <c r="AP972" s="854"/>
      <c r="AQ972" s="854"/>
      <c r="AR972" s="854"/>
      <c r="AS972" s="854"/>
      <c r="AT972" s="854"/>
      <c r="AU972" s="854"/>
      <c r="AV972" s="854"/>
      <c r="AW972" s="854"/>
      <c r="AX972" s="854"/>
      <c r="AY972" s="854"/>
      <c r="AZ972" s="854"/>
      <c r="BA972" s="854"/>
      <c r="BB972" s="854"/>
      <c r="BC972" s="854"/>
      <c r="BD972" s="854"/>
      <c r="BE972" s="854"/>
      <c r="BF972" s="854"/>
      <c r="BG972" s="854"/>
      <c r="BH972" s="854"/>
      <c r="BI972" s="854"/>
      <c r="BJ972" s="854"/>
      <c r="BK972" s="854"/>
      <c r="BL972" s="854"/>
      <c r="BM972" s="854"/>
      <c r="BN972" s="854"/>
      <c r="BO972" s="854"/>
      <c r="BP972" s="854"/>
      <c r="BQ972" s="854"/>
      <c r="BR972" s="854"/>
      <c r="BS972" s="854"/>
      <c r="BT972" s="854"/>
      <c r="BU972" s="854"/>
      <c r="BV972" s="854"/>
      <c r="BW972" s="854"/>
      <c r="BX972" s="854"/>
      <c r="BY972" s="854"/>
      <c r="BZ972" s="854"/>
      <c r="CA972" s="571">
        <f>IF(OR(I972="",I972&lt;'Configs &amp; Procedures'!$L$29),0,IF(I972&gt;'Configs &amp; Procedures'!$L$30,1,IF(F972&gt;'Configs &amp; Procedures'!$L$31,0,1)))</f>
        <v>0</v>
      </c>
    </row>
    <row r="973" spans="2:79">
      <c r="B973" s="854"/>
      <c r="C973" s="854"/>
      <c r="D973" s="854"/>
      <c r="E973" s="854"/>
      <c r="F973" s="854"/>
      <c r="G973" s="854"/>
      <c r="H973" s="854"/>
      <c r="I973" s="854"/>
      <c r="J973" s="854"/>
      <c r="K973" s="854"/>
      <c r="L973" s="854"/>
      <c r="M973" s="854"/>
      <c r="N973" s="854"/>
      <c r="O973" s="854"/>
      <c r="P973" s="854"/>
      <c r="Q973" s="854"/>
      <c r="R973" s="854"/>
      <c r="S973" s="854"/>
      <c r="T973" s="854"/>
      <c r="U973" s="854"/>
      <c r="V973" s="854"/>
      <c r="W973" s="854"/>
      <c r="X973" s="854"/>
      <c r="Y973" s="854"/>
      <c r="Z973" s="854"/>
      <c r="AA973" s="854"/>
      <c r="AB973" s="854"/>
      <c r="AC973" s="854"/>
      <c r="AD973" s="854"/>
      <c r="AE973" s="854"/>
      <c r="AF973" s="854"/>
      <c r="AG973" s="854"/>
      <c r="AH973" s="854"/>
      <c r="AI973" s="854"/>
      <c r="AJ973" s="854"/>
      <c r="AK973" s="854"/>
      <c r="AL973" s="854"/>
      <c r="AM973" s="854"/>
      <c r="AN973" s="854"/>
      <c r="AO973" s="854"/>
      <c r="AP973" s="854"/>
      <c r="AQ973" s="854"/>
      <c r="AR973" s="854"/>
      <c r="AS973" s="854"/>
      <c r="AT973" s="854"/>
      <c r="AU973" s="854"/>
      <c r="AV973" s="854"/>
      <c r="AW973" s="854"/>
      <c r="AX973" s="854"/>
      <c r="AY973" s="854"/>
      <c r="AZ973" s="854"/>
      <c r="BA973" s="854"/>
      <c r="BB973" s="854"/>
      <c r="BC973" s="854"/>
      <c r="BD973" s="854"/>
      <c r="BE973" s="854"/>
      <c r="BF973" s="854"/>
      <c r="BG973" s="854"/>
      <c r="BH973" s="854"/>
      <c r="BI973" s="854"/>
      <c r="BJ973" s="854"/>
      <c r="BK973" s="854"/>
      <c r="BL973" s="854"/>
      <c r="BM973" s="854"/>
      <c r="BN973" s="854"/>
      <c r="BO973" s="854"/>
      <c r="BP973" s="854"/>
      <c r="BQ973" s="854"/>
      <c r="BR973" s="854"/>
      <c r="BS973" s="854"/>
      <c r="BT973" s="854"/>
      <c r="BU973" s="854"/>
      <c r="BV973" s="854"/>
      <c r="BW973" s="854"/>
      <c r="BX973" s="854"/>
      <c r="BY973" s="854"/>
      <c r="BZ973" s="854"/>
      <c r="CA973" s="571">
        <f>IF(OR(I973="",I973&lt;'Configs &amp; Procedures'!$L$29),0,IF(I973&gt;'Configs &amp; Procedures'!$L$30,1,IF(F973&gt;'Configs &amp; Procedures'!$L$31,0,1)))</f>
        <v>0</v>
      </c>
    </row>
    <row r="974" spans="2:79">
      <c r="B974" s="854"/>
      <c r="C974" s="854"/>
      <c r="D974" s="854"/>
      <c r="E974" s="854"/>
      <c r="F974" s="854"/>
      <c r="G974" s="854"/>
      <c r="H974" s="854"/>
      <c r="I974" s="854"/>
      <c r="J974" s="854"/>
      <c r="K974" s="854"/>
      <c r="L974" s="854"/>
      <c r="M974" s="854"/>
      <c r="N974" s="854"/>
      <c r="O974" s="854"/>
      <c r="P974" s="854"/>
      <c r="Q974" s="854"/>
      <c r="R974" s="854"/>
      <c r="S974" s="854"/>
      <c r="T974" s="854"/>
      <c r="U974" s="854"/>
      <c r="V974" s="854"/>
      <c r="W974" s="854"/>
      <c r="X974" s="854"/>
      <c r="Y974" s="854"/>
      <c r="Z974" s="854"/>
      <c r="AA974" s="854"/>
      <c r="AB974" s="854"/>
      <c r="AC974" s="854"/>
      <c r="AD974" s="854"/>
      <c r="AE974" s="854"/>
      <c r="AF974" s="854"/>
      <c r="AG974" s="854"/>
      <c r="AH974" s="854"/>
      <c r="AI974" s="854"/>
      <c r="AJ974" s="854"/>
      <c r="AK974" s="854"/>
      <c r="AL974" s="854"/>
      <c r="AM974" s="854"/>
      <c r="AN974" s="854"/>
      <c r="AO974" s="854"/>
      <c r="AP974" s="854"/>
      <c r="AQ974" s="854"/>
      <c r="AR974" s="854"/>
      <c r="AS974" s="854"/>
      <c r="AT974" s="854"/>
      <c r="AU974" s="854"/>
      <c r="AV974" s="854"/>
      <c r="AW974" s="854"/>
      <c r="AX974" s="854"/>
      <c r="AY974" s="854"/>
      <c r="AZ974" s="854"/>
      <c r="BA974" s="854"/>
      <c r="BB974" s="854"/>
      <c r="BC974" s="854"/>
      <c r="BD974" s="854"/>
      <c r="BE974" s="854"/>
      <c r="BF974" s="854"/>
      <c r="BG974" s="854"/>
      <c r="BH974" s="854"/>
      <c r="BI974" s="854"/>
      <c r="BJ974" s="854"/>
      <c r="BK974" s="854"/>
      <c r="BL974" s="854"/>
      <c r="BM974" s="854"/>
      <c r="BN974" s="854"/>
      <c r="BO974" s="854"/>
      <c r="BP974" s="854"/>
      <c r="BQ974" s="854"/>
      <c r="BR974" s="854"/>
      <c r="BS974" s="854"/>
      <c r="BT974" s="854"/>
      <c r="BU974" s="854"/>
      <c r="BV974" s="854"/>
      <c r="BW974" s="854"/>
      <c r="BX974" s="854"/>
      <c r="BY974" s="854"/>
      <c r="BZ974" s="854"/>
      <c r="CA974" s="571">
        <f>IF(OR(I974="",I974&lt;'Configs &amp; Procedures'!$L$29),0,IF(I974&gt;'Configs &amp; Procedures'!$L$30,1,IF(F974&gt;'Configs &amp; Procedures'!$L$31,0,1)))</f>
        <v>0</v>
      </c>
    </row>
    <row r="975" spans="2:79">
      <c r="B975" s="854"/>
      <c r="C975" s="854"/>
      <c r="D975" s="854"/>
      <c r="E975" s="854"/>
      <c r="F975" s="854"/>
      <c r="G975" s="854"/>
      <c r="H975" s="854"/>
      <c r="I975" s="854"/>
      <c r="J975" s="854"/>
      <c r="K975" s="854"/>
      <c r="L975" s="854"/>
      <c r="M975" s="854"/>
      <c r="N975" s="854"/>
      <c r="O975" s="854"/>
      <c r="P975" s="854"/>
      <c r="Q975" s="854"/>
      <c r="R975" s="854"/>
      <c r="S975" s="854"/>
      <c r="T975" s="854"/>
      <c r="U975" s="854"/>
      <c r="V975" s="854"/>
      <c r="W975" s="854"/>
      <c r="X975" s="854"/>
      <c r="Y975" s="854"/>
      <c r="Z975" s="854"/>
      <c r="AA975" s="854"/>
      <c r="AB975" s="854"/>
      <c r="AC975" s="854"/>
      <c r="AD975" s="854"/>
      <c r="AE975" s="854"/>
      <c r="AF975" s="854"/>
      <c r="AG975" s="854"/>
      <c r="AH975" s="854"/>
      <c r="AI975" s="854"/>
      <c r="AJ975" s="854"/>
      <c r="AK975" s="854"/>
      <c r="AL975" s="854"/>
      <c r="AM975" s="854"/>
      <c r="AN975" s="854"/>
      <c r="AO975" s="854"/>
      <c r="AP975" s="854"/>
      <c r="AQ975" s="854"/>
      <c r="AR975" s="854"/>
      <c r="AS975" s="854"/>
      <c r="AT975" s="854"/>
      <c r="AU975" s="854"/>
      <c r="AV975" s="854"/>
      <c r="AW975" s="854"/>
      <c r="AX975" s="854"/>
      <c r="AY975" s="854"/>
      <c r="AZ975" s="854"/>
      <c r="BA975" s="854"/>
      <c r="BB975" s="854"/>
      <c r="BC975" s="854"/>
      <c r="BD975" s="854"/>
      <c r="BE975" s="854"/>
      <c r="BF975" s="854"/>
      <c r="BG975" s="854"/>
      <c r="BH975" s="854"/>
      <c r="BI975" s="854"/>
      <c r="BJ975" s="854"/>
      <c r="BK975" s="854"/>
      <c r="BL975" s="854"/>
      <c r="BM975" s="854"/>
      <c r="BN975" s="854"/>
      <c r="BO975" s="854"/>
      <c r="BP975" s="854"/>
      <c r="BQ975" s="854"/>
      <c r="BR975" s="854"/>
      <c r="BS975" s="854"/>
      <c r="BT975" s="854"/>
      <c r="BU975" s="854"/>
      <c r="BV975" s="854"/>
      <c r="BW975" s="854"/>
      <c r="BX975" s="854"/>
      <c r="BY975" s="854"/>
      <c r="BZ975" s="854"/>
      <c r="CA975" s="571">
        <f>IF(OR(I975="",I975&lt;'Configs &amp; Procedures'!$L$29),0,IF(I975&gt;'Configs &amp; Procedures'!$L$30,1,IF(F975&gt;'Configs &amp; Procedures'!$L$31,0,1)))</f>
        <v>0</v>
      </c>
    </row>
    <row r="976" spans="2:79">
      <c r="B976" s="854"/>
      <c r="C976" s="854"/>
      <c r="D976" s="854"/>
      <c r="E976" s="854"/>
      <c r="F976" s="854"/>
      <c r="G976" s="854"/>
      <c r="H976" s="854"/>
      <c r="I976" s="854"/>
      <c r="J976" s="854"/>
      <c r="K976" s="854"/>
      <c r="L976" s="854"/>
      <c r="M976" s="854"/>
      <c r="N976" s="854"/>
      <c r="O976" s="854"/>
      <c r="P976" s="854"/>
      <c r="Q976" s="854"/>
      <c r="R976" s="854"/>
      <c r="S976" s="854"/>
      <c r="T976" s="854"/>
      <c r="U976" s="854"/>
      <c r="V976" s="854"/>
      <c r="W976" s="854"/>
      <c r="X976" s="854"/>
      <c r="Y976" s="854"/>
      <c r="Z976" s="854"/>
      <c r="AA976" s="854"/>
      <c r="AB976" s="854"/>
      <c r="AC976" s="854"/>
      <c r="AD976" s="854"/>
      <c r="AE976" s="854"/>
      <c r="AF976" s="854"/>
      <c r="AG976" s="854"/>
      <c r="AH976" s="854"/>
      <c r="AI976" s="854"/>
      <c r="AJ976" s="854"/>
      <c r="AK976" s="854"/>
      <c r="AL976" s="854"/>
      <c r="AM976" s="854"/>
      <c r="AN976" s="854"/>
      <c r="AO976" s="854"/>
      <c r="AP976" s="854"/>
      <c r="AQ976" s="854"/>
      <c r="AR976" s="854"/>
      <c r="AS976" s="854"/>
      <c r="AT976" s="854"/>
      <c r="AU976" s="854"/>
      <c r="AV976" s="854"/>
      <c r="AW976" s="854"/>
      <c r="AX976" s="854"/>
      <c r="AY976" s="854"/>
      <c r="AZ976" s="854"/>
      <c r="BA976" s="854"/>
      <c r="BB976" s="854"/>
      <c r="BC976" s="854"/>
      <c r="BD976" s="854"/>
      <c r="BE976" s="854"/>
      <c r="BF976" s="854"/>
      <c r="BG976" s="854"/>
      <c r="BH976" s="854"/>
      <c r="BI976" s="854"/>
      <c r="BJ976" s="854"/>
      <c r="BK976" s="854"/>
      <c r="BL976" s="854"/>
      <c r="BM976" s="854"/>
      <c r="BN976" s="854"/>
      <c r="BO976" s="854"/>
      <c r="BP976" s="854"/>
      <c r="BQ976" s="854"/>
      <c r="BR976" s="854"/>
      <c r="BS976" s="854"/>
      <c r="BT976" s="854"/>
      <c r="BU976" s="854"/>
      <c r="BV976" s="854"/>
      <c r="BW976" s="854"/>
      <c r="BX976" s="854"/>
      <c r="BY976" s="854"/>
      <c r="BZ976" s="854"/>
      <c r="CA976" s="571">
        <f>IF(OR(I976="",I976&lt;'Configs &amp; Procedures'!$L$29),0,IF(I976&gt;'Configs &amp; Procedures'!$L$30,1,IF(F976&gt;'Configs &amp; Procedures'!$L$31,0,1)))</f>
        <v>0</v>
      </c>
    </row>
    <row r="977" spans="2:79">
      <c r="B977" s="854"/>
      <c r="C977" s="854"/>
      <c r="D977" s="854"/>
      <c r="E977" s="854"/>
      <c r="F977" s="854"/>
      <c r="G977" s="854"/>
      <c r="H977" s="854"/>
      <c r="I977" s="854"/>
      <c r="J977" s="854"/>
      <c r="K977" s="854"/>
      <c r="L977" s="854"/>
      <c r="M977" s="854"/>
      <c r="N977" s="854"/>
      <c r="O977" s="854"/>
      <c r="P977" s="854"/>
      <c r="Q977" s="854"/>
      <c r="R977" s="854"/>
      <c r="S977" s="854"/>
      <c r="T977" s="854"/>
      <c r="U977" s="854"/>
      <c r="V977" s="854"/>
      <c r="W977" s="854"/>
      <c r="X977" s="854"/>
      <c r="Y977" s="854"/>
      <c r="Z977" s="854"/>
      <c r="AA977" s="854"/>
      <c r="AB977" s="854"/>
      <c r="AC977" s="854"/>
      <c r="AD977" s="854"/>
      <c r="AE977" s="854"/>
      <c r="AF977" s="854"/>
      <c r="AG977" s="854"/>
      <c r="AH977" s="854"/>
      <c r="AI977" s="854"/>
      <c r="AJ977" s="854"/>
      <c r="AK977" s="854"/>
      <c r="AL977" s="854"/>
      <c r="AM977" s="854"/>
      <c r="AN977" s="854"/>
      <c r="AO977" s="854"/>
      <c r="AP977" s="854"/>
      <c r="AQ977" s="854"/>
      <c r="AR977" s="854"/>
      <c r="AS977" s="854"/>
      <c r="AT977" s="854"/>
      <c r="AU977" s="854"/>
      <c r="AV977" s="854"/>
      <c r="AW977" s="854"/>
      <c r="AX977" s="854"/>
      <c r="AY977" s="854"/>
      <c r="AZ977" s="854"/>
      <c r="BA977" s="854"/>
      <c r="BB977" s="854"/>
      <c r="BC977" s="854"/>
      <c r="BD977" s="854"/>
      <c r="BE977" s="854"/>
      <c r="BF977" s="854"/>
      <c r="BG977" s="854"/>
      <c r="BH977" s="854"/>
      <c r="BI977" s="854"/>
      <c r="BJ977" s="854"/>
      <c r="BK977" s="854"/>
      <c r="BL977" s="854"/>
      <c r="BM977" s="854"/>
      <c r="BN977" s="854"/>
      <c r="BO977" s="854"/>
      <c r="BP977" s="854"/>
      <c r="BQ977" s="854"/>
      <c r="BR977" s="854"/>
      <c r="BS977" s="854"/>
      <c r="BT977" s="854"/>
      <c r="BU977" s="854"/>
      <c r="BV977" s="854"/>
      <c r="BW977" s="854"/>
      <c r="BX977" s="854"/>
      <c r="BY977" s="854"/>
      <c r="BZ977" s="854"/>
      <c r="CA977" s="571">
        <f>IF(OR(I977="",I977&lt;'Configs &amp; Procedures'!$L$29),0,IF(I977&gt;'Configs &amp; Procedures'!$L$30,1,IF(F977&gt;'Configs &amp; Procedures'!$L$31,0,1)))</f>
        <v>0</v>
      </c>
    </row>
    <row r="978" spans="2:79">
      <c r="B978" s="854"/>
      <c r="C978" s="854"/>
      <c r="D978" s="854"/>
      <c r="E978" s="854"/>
      <c r="F978" s="854"/>
      <c r="G978" s="854"/>
      <c r="H978" s="854"/>
      <c r="I978" s="854"/>
      <c r="J978" s="854"/>
      <c r="K978" s="854"/>
      <c r="L978" s="854"/>
      <c r="M978" s="854"/>
      <c r="N978" s="854"/>
      <c r="O978" s="854"/>
      <c r="P978" s="854"/>
      <c r="Q978" s="854"/>
      <c r="R978" s="854"/>
      <c r="S978" s="854"/>
      <c r="T978" s="854"/>
      <c r="U978" s="854"/>
      <c r="V978" s="854"/>
      <c r="W978" s="854"/>
      <c r="X978" s="854"/>
      <c r="Y978" s="854"/>
      <c r="Z978" s="854"/>
      <c r="AA978" s="854"/>
      <c r="AB978" s="854"/>
      <c r="AC978" s="854"/>
      <c r="AD978" s="854"/>
      <c r="AE978" s="854"/>
      <c r="AF978" s="854"/>
      <c r="AG978" s="854"/>
      <c r="AH978" s="854"/>
      <c r="AI978" s="854"/>
      <c r="AJ978" s="854"/>
      <c r="AK978" s="854"/>
      <c r="AL978" s="854"/>
      <c r="AM978" s="854"/>
      <c r="AN978" s="854"/>
      <c r="AO978" s="854"/>
      <c r="AP978" s="854"/>
      <c r="AQ978" s="854"/>
      <c r="AR978" s="854"/>
      <c r="AS978" s="854"/>
      <c r="AT978" s="854"/>
      <c r="AU978" s="854"/>
      <c r="AV978" s="854"/>
      <c r="AW978" s="854"/>
      <c r="AX978" s="854"/>
      <c r="AY978" s="854"/>
      <c r="AZ978" s="854"/>
      <c r="BA978" s="854"/>
      <c r="BB978" s="854"/>
      <c r="BC978" s="854"/>
      <c r="BD978" s="854"/>
      <c r="BE978" s="854"/>
      <c r="BF978" s="854"/>
      <c r="BG978" s="854"/>
      <c r="BH978" s="854"/>
      <c r="BI978" s="854"/>
      <c r="BJ978" s="854"/>
      <c r="BK978" s="854"/>
      <c r="BL978" s="854"/>
      <c r="BM978" s="854"/>
      <c r="BN978" s="854"/>
      <c r="BO978" s="854"/>
      <c r="BP978" s="854"/>
      <c r="BQ978" s="854"/>
      <c r="BR978" s="854"/>
      <c r="BS978" s="854"/>
      <c r="BT978" s="854"/>
      <c r="BU978" s="854"/>
      <c r="BV978" s="854"/>
      <c r="BW978" s="854"/>
      <c r="BX978" s="854"/>
      <c r="BY978" s="854"/>
      <c r="BZ978" s="854"/>
      <c r="CA978" s="571">
        <f>IF(OR(I978="",I978&lt;'Configs &amp; Procedures'!$L$29),0,IF(I978&gt;'Configs &amp; Procedures'!$L$30,1,IF(F978&gt;'Configs &amp; Procedures'!$L$31,0,1)))</f>
        <v>0</v>
      </c>
    </row>
    <row r="979" spans="2:79">
      <c r="B979" s="854"/>
      <c r="C979" s="854"/>
      <c r="D979" s="854"/>
      <c r="E979" s="854"/>
      <c r="F979" s="854"/>
      <c r="G979" s="854"/>
      <c r="H979" s="854"/>
      <c r="I979" s="854"/>
      <c r="J979" s="854"/>
      <c r="K979" s="854"/>
      <c r="L979" s="854"/>
      <c r="M979" s="854"/>
      <c r="N979" s="854"/>
      <c r="O979" s="854"/>
      <c r="P979" s="854"/>
      <c r="Q979" s="854"/>
      <c r="R979" s="854"/>
      <c r="S979" s="854"/>
      <c r="T979" s="854"/>
      <c r="U979" s="854"/>
      <c r="V979" s="854"/>
      <c r="W979" s="854"/>
      <c r="X979" s="854"/>
      <c r="Y979" s="854"/>
      <c r="Z979" s="854"/>
      <c r="AA979" s="854"/>
      <c r="AB979" s="854"/>
      <c r="AC979" s="854"/>
      <c r="AD979" s="854"/>
      <c r="AE979" s="854"/>
      <c r="AF979" s="854"/>
      <c r="AG979" s="854"/>
      <c r="AH979" s="854"/>
      <c r="AI979" s="854"/>
      <c r="AJ979" s="854"/>
      <c r="AK979" s="854"/>
      <c r="AL979" s="854"/>
      <c r="AM979" s="854"/>
      <c r="AN979" s="854"/>
      <c r="AO979" s="854"/>
      <c r="AP979" s="854"/>
      <c r="AQ979" s="854"/>
      <c r="AR979" s="854"/>
      <c r="AS979" s="854"/>
      <c r="AT979" s="854"/>
      <c r="AU979" s="854"/>
      <c r="AV979" s="854"/>
      <c r="AW979" s="854"/>
      <c r="AX979" s="854"/>
      <c r="AY979" s="854"/>
      <c r="AZ979" s="854"/>
      <c r="BA979" s="854"/>
      <c r="BB979" s="854"/>
      <c r="BC979" s="854"/>
      <c r="BD979" s="854"/>
      <c r="BE979" s="854"/>
      <c r="BF979" s="854"/>
      <c r="BG979" s="854"/>
      <c r="BH979" s="854"/>
      <c r="BI979" s="854"/>
      <c r="BJ979" s="854"/>
      <c r="BK979" s="854"/>
      <c r="BL979" s="854"/>
      <c r="BM979" s="854"/>
      <c r="BN979" s="854"/>
      <c r="BO979" s="854"/>
      <c r="BP979" s="854"/>
      <c r="BQ979" s="854"/>
      <c r="BR979" s="854"/>
      <c r="BS979" s="854"/>
      <c r="BT979" s="854"/>
      <c r="BU979" s="854"/>
      <c r="BV979" s="854"/>
      <c r="BW979" s="854"/>
      <c r="BX979" s="854"/>
      <c r="BY979" s="854"/>
      <c r="BZ979" s="854"/>
      <c r="CA979" s="571">
        <f>IF(OR(I979="",I979&lt;'Configs &amp; Procedures'!$L$29),0,IF(I979&gt;'Configs &amp; Procedures'!$L$30,1,IF(F979&gt;'Configs &amp; Procedures'!$L$31,0,1)))</f>
        <v>0</v>
      </c>
    </row>
    <row r="980" spans="2:79">
      <c r="B980" s="854"/>
      <c r="C980" s="854"/>
      <c r="D980" s="854"/>
      <c r="E980" s="854"/>
      <c r="F980" s="854"/>
      <c r="G980" s="854"/>
      <c r="H980" s="854"/>
      <c r="I980" s="854"/>
      <c r="J980" s="854"/>
      <c r="K980" s="854"/>
      <c r="L980" s="854"/>
      <c r="M980" s="854"/>
      <c r="N980" s="854"/>
      <c r="O980" s="854"/>
      <c r="P980" s="854"/>
      <c r="Q980" s="854"/>
      <c r="R980" s="854"/>
      <c r="S980" s="854"/>
      <c r="T980" s="854"/>
      <c r="U980" s="854"/>
      <c r="V980" s="854"/>
      <c r="W980" s="854"/>
      <c r="X980" s="854"/>
      <c r="Y980" s="854"/>
      <c r="Z980" s="854"/>
      <c r="AA980" s="854"/>
      <c r="AB980" s="854"/>
      <c r="AC980" s="854"/>
      <c r="AD980" s="854"/>
      <c r="AE980" s="854"/>
      <c r="AF980" s="854"/>
      <c r="AG980" s="854"/>
      <c r="AH980" s="854"/>
      <c r="AI980" s="854"/>
      <c r="AJ980" s="854"/>
      <c r="AK980" s="854"/>
      <c r="AL980" s="854"/>
      <c r="AM980" s="854"/>
      <c r="AN980" s="854"/>
      <c r="AO980" s="854"/>
      <c r="AP980" s="854"/>
      <c r="AQ980" s="854"/>
      <c r="AR980" s="854"/>
      <c r="AS980" s="854"/>
      <c r="AT980" s="854"/>
      <c r="AU980" s="854"/>
      <c r="AV980" s="854"/>
      <c r="AW980" s="854"/>
      <c r="AX980" s="854"/>
      <c r="AY980" s="854"/>
      <c r="AZ980" s="854"/>
      <c r="BA980" s="854"/>
      <c r="BB980" s="854"/>
      <c r="BC980" s="854"/>
      <c r="BD980" s="854"/>
      <c r="BE980" s="854"/>
      <c r="BF980" s="854"/>
      <c r="BG980" s="854"/>
      <c r="BH980" s="854"/>
      <c r="BI980" s="854"/>
      <c r="BJ980" s="854"/>
      <c r="BK980" s="854"/>
      <c r="BL980" s="854"/>
      <c r="BM980" s="854"/>
      <c r="BN980" s="854"/>
      <c r="BO980" s="854"/>
      <c r="BP980" s="854"/>
      <c r="BQ980" s="854"/>
      <c r="BR980" s="854"/>
      <c r="BS980" s="854"/>
      <c r="BT980" s="854"/>
      <c r="BU980" s="854"/>
      <c r="BV980" s="854"/>
      <c r="BW980" s="854"/>
      <c r="BX980" s="854"/>
      <c r="BY980" s="854"/>
      <c r="BZ980" s="854"/>
      <c r="CA980" s="571">
        <f>IF(OR(I980="",I980&lt;'Configs &amp; Procedures'!$L$29),0,IF(I980&gt;'Configs &amp; Procedures'!$L$30,1,IF(F980&gt;'Configs &amp; Procedures'!$L$31,0,1)))</f>
        <v>0</v>
      </c>
    </row>
    <row r="981" spans="2:79">
      <c r="B981" s="854"/>
      <c r="C981" s="854"/>
      <c r="D981" s="854"/>
      <c r="E981" s="854"/>
      <c r="F981" s="854"/>
      <c r="G981" s="854"/>
      <c r="H981" s="854"/>
      <c r="I981" s="854"/>
      <c r="J981" s="854"/>
      <c r="K981" s="854"/>
      <c r="L981" s="854"/>
      <c r="M981" s="854"/>
      <c r="N981" s="854"/>
      <c r="O981" s="854"/>
      <c r="P981" s="854"/>
      <c r="Q981" s="854"/>
      <c r="R981" s="854"/>
      <c r="S981" s="854"/>
      <c r="T981" s="854"/>
      <c r="U981" s="854"/>
      <c r="V981" s="854"/>
      <c r="W981" s="854"/>
      <c r="X981" s="854"/>
      <c r="Y981" s="854"/>
      <c r="Z981" s="854"/>
      <c r="AA981" s="854"/>
      <c r="AB981" s="854"/>
      <c r="AC981" s="854"/>
      <c r="AD981" s="854"/>
      <c r="AE981" s="854"/>
      <c r="AF981" s="854"/>
      <c r="AG981" s="854"/>
      <c r="AH981" s="854"/>
      <c r="AI981" s="854"/>
      <c r="AJ981" s="854"/>
      <c r="AK981" s="854"/>
      <c r="AL981" s="854"/>
      <c r="AM981" s="854"/>
      <c r="AN981" s="854"/>
      <c r="AO981" s="854"/>
      <c r="AP981" s="854"/>
      <c r="AQ981" s="854"/>
      <c r="AR981" s="854"/>
      <c r="AS981" s="854"/>
      <c r="AT981" s="854"/>
      <c r="AU981" s="854"/>
      <c r="AV981" s="854"/>
      <c r="AW981" s="854"/>
      <c r="AX981" s="854"/>
      <c r="AY981" s="854"/>
      <c r="AZ981" s="854"/>
      <c r="BA981" s="854"/>
      <c r="BB981" s="854"/>
      <c r="BC981" s="854"/>
      <c r="BD981" s="854"/>
      <c r="BE981" s="854"/>
      <c r="BF981" s="854"/>
      <c r="BG981" s="854"/>
      <c r="BH981" s="854"/>
      <c r="BI981" s="854"/>
      <c r="BJ981" s="854"/>
      <c r="BK981" s="854"/>
      <c r="BL981" s="854"/>
      <c r="BM981" s="854"/>
      <c r="BN981" s="854"/>
      <c r="BO981" s="854"/>
      <c r="BP981" s="854"/>
      <c r="BQ981" s="854"/>
      <c r="BR981" s="854"/>
      <c r="BS981" s="854"/>
      <c r="BT981" s="854"/>
      <c r="BU981" s="854"/>
      <c r="BV981" s="854"/>
      <c r="BW981" s="854"/>
      <c r="BX981" s="854"/>
      <c r="BY981" s="854"/>
      <c r="BZ981" s="854"/>
      <c r="CA981" s="571">
        <f>IF(OR(I981="",I981&lt;'Configs &amp; Procedures'!$L$29),0,IF(I981&gt;'Configs &amp; Procedures'!$L$30,1,IF(F981&gt;'Configs &amp; Procedures'!$L$31,0,1)))</f>
        <v>0</v>
      </c>
    </row>
    <row r="982" spans="2:79">
      <c r="B982" s="854"/>
      <c r="C982" s="854"/>
      <c r="D982" s="854"/>
      <c r="E982" s="854"/>
      <c r="F982" s="854"/>
      <c r="G982" s="854"/>
      <c r="H982" s="854"/>
      <c r="I982" s="854"/>
      <c r="J982" s="854"/>
      <c r="K982" s="854"/>
      <c r="L982" s="854"/>
      <c r="M982" s="854"/>
      <c r="N982" s="854"/>
      <c r="O982" s="854"/>
      <c r="P982" s="854"/>
      <c r="Q982" s="854"/>
      <c r="R982" s="854"/>
      <c r="S982" s="854"/>
      <c r="T982" s="854"/>
      <c r="U982" s="854"/>
      <c r="V982" s="854"/>
      <c r="W982" s="854"/>
      <c r="X982" s="854"/>
      <c r="Y982" s="854"/>
      <c r="Z982" s="854"/>
      <c r="AA982" s="854"/>
      <c r="AB982" s="854"/>
      <c r="AC982" s="854"/>
      <c r="AD982" s="854"/>
      <c r="AE982" s="854"/>
      <c r="AF982" s="854"/>
      <c r="AG982" s="854"/>
      <c r="AH982" s="854"/>
      <c r="AI982" s="854"/>
      <c r="AJ982" s="854"/>
      <c r="AK982" s="854"/>
      <c r="AL982" s="854"/>
      <c r="AM982" s="854"/>
      <c r="AN982" s="854"/>
      <c r="AO982" s="854"/>
      <c r="AP982" s="854"/>
      <c r="AQ982" s="854"/>
      <c r="AR982" s="854"/>
      <c r="AS982" s="854"/>
      <c r="AT982" s="854"/>
      <c r="AU982" s="854"/>
      <c r="AV982" s="854"/>
      <c r="AW982" s="854"/>
      <c r="AX982" s="854"/>
      <c r="AY982" s="854"/>
      <c r="AZ982" s="854"/>
      <c r="BA982" s="854"/>
      <c r="BB982" s="854"/>
      <c r="BC982" s="854"/>
      <c r="BD982" s="854"/>
      <c r="BE982" s="854"/>
      <c r="BF982" s="854"/>
      <c r="BG982" s="854"/>
      <c r="BH982" s="854"/>
      <c r="BI982" s="854"/>
      <c r="BJ982" s="854"/>
      <c r="BK982" s="854"/>
      <c r="BL982" s="854"/>
      <c r="BM982" s="854"/>
      <c r="BN982" s="854"/>
      <c r="BO982" s="854"/>
      <c r="BP982" s="854"/>
      <c r="BQ982" s="854"/>
      <c r="BR982" s="854"/>
      <c r="BS982" s="854"/>
      <c r="BT982" s="854"/>
      <c r="BU982" s="854"/>
      <c r="BV982" s="854"/>
      <c r="BW982" s="854"/>
      <c r="BX982" s="854"/>
      <c r="BY982" s="854"/>
      <c r="BZ982" s="854"/>
      <c r="CA982" s="571">
        <f>IF(OR(I982="",I982&lt;'Configs &amp; Procedures'!$L$29),0,IF(I982&gt;'Configs &amp; Procedures'!$L$30,1,IF(F982&gt;'Configs &amp; Procedures'!$L$31,0,1)))</f>
        <v>0</v>
      </c>
    </row>
    <row r="983" spans="2:79">
      <c r="B983" s="854"/>
      <c r="C983" s="854"/>
      <c r="D983" s="854"/>
      <c r="E983" s="854"/>
      <c r="F983" s="854"/>
      <c r="G983" s="854"/>
      <c r="H983" s="854"/>
      <c r="I983" s="854"/>
      <c r="J983" s="854"/>
      <c r="K983" s="854"/>
      <c r="L983" s="854"/>
      <c r="M983" s="854"/>
      <c r="N983" s="854"/>
      <c r="O983" s="854"/>
      <c r="P983" s="854"/>
      <c r="Q983" s="854"/>
      <c r="R983" s="854"/>
      <c r="S983" s="854"/>
      <c r="T983" s="854"/>
      <c r="U983" s="854"/>
      <c r="V983" s="854"/>
      <c r="W983" s="854"/>
      <c r="X983" s="854"/>
      <c r="Y983" s="854"/>
      <c r="Z983" s="854"/>
      <c r="AA983" s="854"/>
      <c r="AB983" s="854"/>
      <c r="AC983" s="854"/>
      <c r="AD983" s="854"/>
      <c r="AE983" s="854"/>
      <c r="AF983" s="854"/>
      <c r="AG983" s="854"/>
      <c r="AH983" s="854"/>
      <c r="AI983" s="854"/>
      <c r="AJ983" s="854"/>
      <c r="AK983" s="854"/>
      <c r="AL983" s="854"/>
      <c r="AM983" s="854"/>
      <c r="AN983" s="854"/>
      <c r="AO983" s="854"/>
      <c r="AP983" s="854"/>
      <c r="AQ983" s="854"/>
      <c r="AR983" s="854"/>
      <c r="AS983" s="854"/>
      <c r="AT983" s="854"/>
      <c r="AU983" s="854"/>
      <c r="AV983" s="854"/>
      <c r="AW983" s="854"/>
      <c r="AX983" s="854"/>
      <c r="AY983" s="854"/>
      <c r="AZ983" s="854"/>
      <c r="BA983" s="854"/>
      <c r="BB983" s="854"/>
      <c r="BC983" s="854"/>
      <c r="BD983" s="854"/>
      <c r="BE983" s="854"/>
      <c r="BF983" s="854"/>
      <c r="BG983" s="854"/>
      <c r="BH983" s="854"/>
      <c r="BI983" s="854"/>
      <c r="BJ983" s="854"/>
      <c r="BK983" s="854"/>
      <c r="BL983" s="854"/>
      <c r="BM983" s="854"/>
      <c r="BN983" s="854"/>
      <c r="BO983" s="854"/>
      <c r="BP983" s="854"/>
      <c r="BQ983" s="854"/>
      <c r="BR983" s="854"/>
      <c r="BS983" s="854"/>
      <c r="BT983" s="854"/>
      <c r="BU983" s="854"/>
      <c r="BV983" s="854"/>
      <c r="BW983" s="854"/>
      <c r="BX983" s="854"/>
      <c r="BY983" s="854"/>
      <c r="BZ983" s="854"/>
      <c r="CA983" s="571">
        <f>IF(OR(I983="",I983&lt;'Configs &amp; Procedures'!$L$29),0,IF(I983&gt;'Configs &amp; Procedures'!$L$30,1,IF(F983&gt;'Configs &amp; Procedures'!$L$31,0,1)))</f>
        <v>0</v>
      </c>
    </row>
    <row r="984" spans="2:79">
      <c r="B984" s="854"/>
      <c r="C984" s="854"/>
      <c r="D984" s="854"/>
      <c r="E984" s="854"/>
      <c r="F984" s="854"/>
      <c r="G984" s="854"/>
      <c r="H984" s="854"/>
      <c r="I984" s="854"/>
      <c r="J984" s="854"/>
      <c r="K984" s="854"/>
      <c r="L984" s="854"/>
      <c r="M984" s="854"/>
      <c r="N984" s="854"/>
      <c r="O984" s="854"/>
      <c r="P984" s="854"/>
      <c r="Q984" s="854"/>
      <c r="R984" s="854"/>
      <c r="S984" s="854"/>
      <c r="T984" s="854"/>
      <c r="U984" s="854"/>
      <c r="V984" s="854"/>
      <c r="W984" s="854"/>
      <c r="X984" s="854"/>
      <c r="Y984" s="854"/>
      <c r="Z984" s="854"/>
      <c r="AA984" s="854"/>
      <c r="AB984" s="854"/>
      <c r="AC984" s="854"/>
      <c r="AD984" s="854"/>
      <c r="AE984" s="854"/>
      <c r="AF984" s="854"/>
      <c r="AG984" s="854"/>
      <c r="AH984" s="854"/>
      <c r="AI984" s="854"/>
      <c r="AJ984" s="854"/>
      <c r="AK984" s="854"/>
      <c r="AL984" s="854"/>
      <c r="AM984" s="854"/>
      <c r="AN984" s="854"/>
      <c r="AO984" s="854"/>
      <c r="AP984" s="854"/>
      <c r="AQ984" s="854"/>
      <c r="AR984" s="854"/>
      <c r="AS984" s="854"/>
      <c r="AT984" s="854"/>
      <c r="AU984" s="854"/>
      <c r="AV984" s="854"/>
      <c r="AW984" s="854"/>
      <c r="AX984" s="854"/>
      <c r="AY984" s="854"/>
      <c r="AZ984" s="854"/>
      <c r="BA984" s="854"/>
      <c r="BB984" s="854"/>
      <c r="BC984" s="854"/>
      <c r="BD984" s="854"/>
      <c r="BE984" s="854"/>
      <c r="BF984" s="854"/>
      <c r="BG984" s="854"/>
      <c r="BH984" s="854"/>
      <c r="BI984" s="854"/>
      <c r="BJ984" s="854"/>
      <c r="BK984" s="854"/>
      <c r="BL984" s="854"/>
      <c r="BM984" s="854"/>
      <c r="BN984" s="854"/>
      <c r="BO984" s="854"/>
      <c r="BP984" s="854"/>
      <c r="BQ984" s="854"/>
      <c r="BR984" s="854"/>
      <c r="BS984" s="854"/>
      <c r="BT984" s="854"/>
      <c r="BU984" s="854"/>
      <c r="BV984" s="854"/>
      <c r="BW984" s="854"/>
      <c r="BX984" s="854"/>
      <c r="BY984" s="854"/>
      <c r="BZ984" s="854"/>
      <c r="CA984" s="571">
        <f>IF(OR(I984="",I984&lt;'Configs &amp; Procedures'!$L$29),0,IF(I984&gt;'Configs &amp; Procedures'!$L$30,1,IF(F984&gt;'Configs &amp; Procedures'!$L$31,0,1)))</f>
        <v>0</v>
      </c>
    </row>
    <row r="985" spans="2:79">
      <c r="B985" s="854"/>
      <c r="C985" s="854"/>
      <c r="D985" s="854"/>
      <c r="E985" s="854"/>
      <c r="F985" s="854"/>
      <c r="G985" s="854"/>
      <c r="H985" s="854"/>
      <c r="I985" s="854"/>
      <c r="J985" s="854"/>
      <c r="K985" s="854"/>
      <c r="L985" s="854"/>
      <c r="M985" s="854"/>
      <c r="N985" s="854"/>
      <c r="O985" s="854"/>
      <c r="P985" s="854"/>
      <c r="Q985" s="854"/>
      <c r="R985" s="854"/>
      <c r="S985" s="854"/>
      <c r="T985" s="854"/>
      <c r="U985" s="854"/>
      <c r="V985" s="854"/>
      <c r="W985" s="854"/>
      <c r="X985" s="854"/>
      <c r="Y985" s="854"/>
      <c r="Z985" s="854"/>
      <c r="AA985" s="854"/>
      <c r="AB985" s="854"/>
      <c r="AC985" s="854"/>
      <c r="AD985" s="854"/>
      <c r="AE985" s="854"/>
      <c r="AF985" s="854"/>
      <c r="AG985" s="854"/>
      <c r="AH985" s="854"/>
      <c r="AI985" s="854"/>
      <c r="AJ985" s="854"/>
      <c r="AK985" s="854"/>
      <c r="AL985" s="854"/>
      <c r="AM985" s="854"/>
      <c r="AN985" s="854"/>
      <c r="AO985" s="854"/>
      <c r="AP985" s="854"/>
      <c r="AQ985" s="854"/>
      <c r="AR985" s="854"/>
      <c r="AS985" s="854"/>
      <c r="AT985" s="854"/>
      <c r="AU985" s="854"/>
      <c r="AV985" s="854"/>
      <c r="AW985" s="854"/>
      <c r="AX985" s="854"/>
      <c r="AY985" s="854"/>
      <c r="AZ985" s="854"/>
      <c r="BA985" s="854"/>
      <c r="BB985" s="854"/>
      <c r="BC985" s="854"/>
      <c r="BD985" s="854"/>
      <c r="BE985" s="854"/>
      <c r="BF985" s="854"/>
      <c r="BG985" s="854"/>
      <c r="BH985" s="854"/>
      <c r="BI985" s="854"/>
      <c r="BJ985" s="854"/>
      <c r="BK985" s="854"/>
      <c r="BL985" s="854"/>
      <c r="BM985" s="854"/>
      <c r="BN985" s="854"/>
      <c r="BO985" s="854"/>
      <c r="BP985" s="854"/>
      <c r="BQ985" s="854"/>
      <c r="BR985" s="854"/>
      <c r="BS985" s="854"/>
      <c r="BT985" s="854"/>
      <c r="BU985" s="854"/>
      <c r="BV985" s="854"/>
      <c r="BW985" s="854"/>
      <c r="BX985" s="854"/>
      <c r="BY985" s="854"/>
      <c r="BZ985" s="854"/>
      <c r="CA985" s="571">
        <f>IF(OR(I985="",I985&lt;'Configs &amp; Procedures'!$L$29),0,IF(I985&gt;'Configs &amp; Procedures'!$L$30,1,IF(F985&gt;'Configs &amp; Procedures'!$L$31,0,1)))</f>
        <v>0</v>
      </c>
    </row>
    <row r="986" spans="2:79">
      <c r="B986" s="854"/>
      <c r="C986" s="854"/>
      <c r="D986" s="854"/>
      <c r="E986" s="854"/>
      <c r="F986" s="854"/>
      <c r="G986" s="854"/>
      <c r="H986" s="854"/>
      <c r="I986" s="854"/>
      <c r="J986" s="854"/>
      <c r="K986" s="854"/>
      <c r="L986" s="854"/>
      <c r="M986" s="854"/>
      <c r="N986" s="854"/>
      <c r="O986" s="854"/>
      <c r="P986" s="854"/>
      <c r="Q986" s="854"/>
      <c r="R986" s="854"/>
      <c r="S986" s="854"/>
      <c r="T986" s="854"/>
      <c r="U986" s="854"/>
      <c r="V986" s="854"/>
      <c r="W986" s="854"/>
      <c r="X986" s="854"/>
      <c r="Y986" s="854"/>
      <c r="Z986" s="854"/>
      <c r="AA986" s="854"/>
      <c r="AB986" s="854"/>
      <c r="AC986" s="854"/>
      <c r="AD986" s="854"/>
      <c r="AE986" s="854"/>
      <c r="AF986" s="854"/>
      <c r="AG986" s="854"/>
      <c r="AH986" s="854"/>
      <c r="AI986" s="854"/>
      <c r="AJ986" s="854"/>
      <c r="AK986" s="854"/>
      <c r="AL986" s="854"/>
      <c r="AM986" s="854"/>
      <c r="AN986" s="854"/>
      <c r="AO986" s="854"/>
      <c r="AP986" s="854"/>
      <c r="AQ986" s="854"/>
      <c r="AR986" s="854"/>
      <c r="AS986" s="854"/>
      <c r="AT986" s="854"/>
      <c r="AU986" s="854"/>
      <c r="AV986" s="854"/>
      <c r="AW986" s="854"/>
      <c r="AX986" s="854"/>
      <c r="AY986" s="854"/>
      <c r="AZ986" s="854"/>
      <c r="BA986" s="854"/>
      <c r="BB986" s="854"/>
      <c r="BC986" s="854"/>
      <c r="BD986" s="854"/>
      <c r="BE986" s="854"/>
      <c r="BF986" s="854"/>
      <c r="BG986" s="854"/>
      <c r="BH986" s="854"/>
      <c r="BI986" s="854"/>
      <c r="BJ986" s="854"/>
      <c r="BK986" s="854"/>
      <c r="BL986" s="854"/>
      <c r="BM986" s="854"/>
      <c r="BN986" s="854"/>
      <c r="BO986" s="854"/>
      <c r="BP986" s="854"/>
      <c r="BQ986" s="854"/>
      <c r="BR986" s="854"/>
      <c r="BS986" s="854"/>
      <c r="BT986" s="854"/>
      <c r="BU986" s="854"/>
      <c r="BV986" s="854"/>
      <c r="BW986" s="854"/>
      <c r="BX986" s="854"/>
      <c r="BY986" s="854"/>
      <c r="BZ986" s="854"/>
      <c r="CA986" s="571">
        <f>IF(OR(I986="",I986&lt;'Configs &amp; Procedures'!$L$29),0,IF(I986&gt;'Configs &amp; Procedures'!$L$30,1,IF(F986&gt;'Configs &amp; Procedures'!$L$31,0,1)))</f>
        <v>0</v>
      </c>
    </row>
    <row r="987" spans="2:79">
      <c r="B987" s="854"/>
      <c r="C987" s="854"/>
      <c r="D987" s="854"/>
      <c r="E987" s="854"/>
      <c r="F987" s="854"/>
      <c r="G987" s="854"/>
      <c r="H987" s="854"/>
      <c r="I987" s="854"/>
      <c r="J987" s="854"/>
      <c r="K987" s="854"/>
      <c r="L987" s="854"/>
      <c r="M987" s="854"/>
      <c r="N987" s="854"/>
      <c r="O987" s="854"/>
      <c r="P987" s="854"/>
      <c r="Q987" s="854"/>
      <c r="R987" s="854"/>
      <c r="S987" s="854"/>
      <c r="T987" s="854"/>
      <c r="U987" s="854"/>
      <c r="V987" s="854"/>
      <c r="W987" s="854"/>
      <c r="X987" s="854"/>
      <c r="Y987" s="854"/>
      <c r="Z987" s="854"/>
      <c r="AA987" s="854"/>
      <c r="AB987" s="854"/>
      <c r="AC987" s="854"/>
      <c r="AD987" s="854"/>
      <c r="AE987" s="854"/>
      <c r="AF987" s="854"/>
      <c r="AG987" s="854"/>
      <c r="AH987" s="854"/>
      <c r="AI987" s="854"/>
      <c r="AJ987" s="854"/>
      <c r="AK987" s="854"/>
      <c r="AL987" s="854"/>
      <c r="AM987" s="854"/>
      <c r="AN987" s="854"/>
      <c r="AO987" s="854"/>
      <c r="AP987" s="854"/>
      <c r="AQ987" s="854"/>
      <c r="AR987" s="854"/>
      <c r="AS987" s="854"/>
      <c r="AT987" s="854"/>
      <c r="AU987" s="854"/>
      <c r="AV987" s="854"/>
      <c r="AW987" s="854"/>
      <c r="AX987" s="854"/>
      <c r="AY987" s="854"/>
      <c r="AZ987" s="854"/>
      <c r="BA987" s="854"/>
      <c r="BB987" s="854"/>
      <c r="BC987" s="854"/>
      <c r="BD987" s="854"/>
      <c r="BE987" s="854"/>
      <c r="BF987" s="854"/>
      <c r="BG987" s="854"/>
      <c r="BH987" s="854"/>
      <c r="BI987" s="854"/>
      <c r="BJ987" s="854"/>
      <c r="BK987" s="854"/>
      <c r="BL987" s="854"/>
      <c r="BM987" s="854"/>
      <c r="BN987" s="854"/>
      <c r="BO987" s="854"/>
      <c r="BP987" s="854"/>
      <c r="BQ987" s="854"/>
      <c r="BR987" s="854"/>
      <c r="BS987" s="854"/>
      <c r="BT987" s="854"/>
      <c r="BU987" s="854"/>
      <c r="BV987" s="854"/>
      <c r="BW987" s="854"/>
      <c r="BX987" s="854"/>
      <c r="BY987" s="854"/>
      <c r="BZ987" s="854"/>
      <c r="CA987" s="571">
        <f>IF(OR(I987="",I987&lt;'Configs &amp; Procedures'!$L$29),0,IF(I987&gt;'Configs &amp; Procedures'!$L$30,1,IF(F987&gt;'Configs &amp; Procedures'!$L$31,0,1)))</f>
        <v>0</v>
      </c>
    </row>
    <row r="988" spans="2:79">
      <c r="B988" s="854"/>
      <c r="C988" s="854"/>
      <c r="D988" s="854"/>
      <c r="E988" s="854"/>
      <c r="F988" s="854"/>
      <c r="G988" s="854"/>
      <c r="H988" s="854"/>
      <c r="I988" s="854"/>
      <c r="J988" s="854"/>
      <c r="K988" s="854"/>
      <c r="L988" s="854"/>
      <c r="M988" s="854"/>
      <c r="N988" s="854"/>
      <c r="O988" s="854"/>
      <c r="P988" s="854"/>
      <c r="Q988" s="854"/>
      <c r="R988" s="854"/>
      <c r="S988" s="854"/>
      <c r="T988" s="854"/>
      <c r="U988" s="854"/>
      <c r="V988" s="854"/>
      <c r="W988" s="854"/>
      <c r="X988" s="854"/>
      <c r="Y988" s="854"/>
      <c r="Z988" s="854"/>
      <c r="AA988" s="854"/>
      <c r="AB988" s="854"/>
      <c r="AC988" s="854"/>
      <c r="AD988" s="854"/>
      <c r="AE988" s="854"/>
      <c r="AF988" s="854"/>
      <c r="AG988" s="854"/>
      <c r="AH988" s="854"/>
      <c r="AI988" s="854"/>
      <c r="AJ988" s="854"/>
      <c r="AK988" s="854"/>
      <c r="AL988" s="854"/>
      <c r="AM988" s="854"/>
      <c r="AN988" s="854"/>
      <c r="AO988" s="854"/>
      <c r="AP988" s="854"/>
      <c r="AQ988" s="854"/>
      <c r="AR988" s="854"/>
      <c r="AS988" s="854"/>
      <c r="AT988" s="854"/>
      <c r="AU988" s="854"/>
      <c r="AV988" s="854"/>
      <c r="AW988" s="854"/>
      <c r="AX988" s="854"/>
      <c r="AY988" s="854"/>
      <c r="AZ988" s="854"/>
      <c r="BA988" s="854"/>
      <c r="BB988" s="854"/>
      <c r="BC988" s="854"/>
      <c r="BD988" s="854"/>
      <c r="BE988" s="854"/>
      <c r="BF988" s="854"/>
      <c r="BG988" s="854"/>
      <c r="BH988" s="854"/>
      <c r="BI988" s="854"/>
      <c r="BJ988" s="854"/>
      <c r="BK988" s="854"/>
      <c r="BL988" s="854"/>
      <c r="BM988" s="854"/>
      <c r="BN988" s="854"/>
      <c r="BO988" s="854"/>
      <c r="BP988" s="854"/>
      <c r="BQ988" s="854"/>
      <c r="BR988" s="854"/>
      <c r="BS988" s="854"/>
      <c r="BT988" s="854"/>
      <c r="BU988" s="854"/>
      <c r="BV988" s="854"/>
      <c r="BW988" s="854"/>
      <c r="BX988" s="854"/>
      <c r="BY988" s="854"/>
      <c r="BZ988" s="854"/>
      <c r="CA988" s="571">
        <f>IF(OR(I988="",I988&lt;'Configs &amp; Procedures'!$L$29),0,IF(I988&gt;'Configs &amp; Procedures'!$L$30,1,IF(F988&gt;'Configs &amp; Procedures'!$L$31,0,1)))</f>
        <v>0</v>
      </c>
    </row>
    <row r="989" spans="2:79">
      <c r="B989" s="854"/>
      <c r="C989" s="854"/>
      <c r="D989" s="854"/>
      <c r="E989" s="854"/>
      <c r="F989" s="854"/>
      <c r="G989" s="854"/>
      <c r="H989" s="854"/>
      <c r="I989" s="854"/>
      <c r="J989" s="854"/>
      <c r="K989" s="854"/>
      <c r="L989" s="854"/>
      <c r="M989" s="854"/>
      <c r="N989" s="854"/>
      <c r="O989" s="854"/>
      <c r="P989" s="854"/>
      <c r="Q989" s="854"/>
      <c r="R989" s="854"/>
      <c r="S989" s="854"/>
      <c r="T989" s="854"/>
      <c r="U989" s="854"/>
      <c r="V989" s="854"/>
      <c r="W989" s="854"/>
      <c r="X989" s="854"/>
      <c r="Y989" s="854"/>
      <c r="Z989" s="854"/>
      <c r="AA989" s="854"/>
      <c r="AB989" s="854"/>
      <c r="AC989" s="854"/>
      <c r="AD989" s="854"/>
      <c r="AE989" s="854"/>
      <c r="AF989" s="854"/>
      <c r="AG989" s="854"/>
      <c r="AH989" s="854"/>
      <c r="AI989" s="854"/>
      <c r="AJ989" s="854"/>
      <c r="AK989" s="854"/>
      <c r="AL989" s="854"/>
      <c r="AM989" s="854"/>
      <c r="AN989" s="854"/>
      <c r="AO989" s="854"/>
      <c r="AP989" s="854"/>
      <c r="AQ989" s="854"/>
      <c r="AR989" s="854"/>
      <c r="AS989" s="854"/>
      <c r="AT989" s="854"/>
      <c r="AU989" s="854"/>
      <c r="AV989" s="854"/>
      <c r="AW989" s="854"/>
      <c r="AX989" s="854"/>
      <c r="AY989" s="854"/>
      <c r="AZ989" s="854"/>
      <c r="BA989" s="854"/>
      <c r="BB989" s="854"/>
      <c r="BC989" s="854"/>
      <c r="BD989" s="854"/>
      <c r="BE989" s="854"/>
      <c r="BF989" s="854"/>
      <c r="BG989" s="854"/>
      <c r="BH989" s="854"/>
      <c r="BI989" s="854"/>
      <c r="BJ989" s="854"/>
      <c r="BK989" s="854"/>
      <c r="BL989" s="854"/>
      <c r="BM989" s="854"/>
      <c r="BN989" s="854"/>
      <c r="BO989" s="854"/>
      <c r="BP989" s="854"/>
      <c r="BQ989" s="854"/>
      <c r="BR989" s="854"/>
      <c r="BS989" s="854"/>
      <c r="BT989" s="854"/>
      <c r="BU989" s="854"/>
      <c r="BV989" s="854"/>
      <c r="BW989" s="854"/>
      <c r="BX989" s="854"/>
      <c r="BY989" s="854"/>
      <c r="BZ989" s="854"/>
      <c r="CA989" s="571">
        <f>IF(OR(I989="",I989&lt;'Configs &amp; Procedures'!$L$29),0,IF(I989&gt;'Configs &amp; Procedures'!$L$30,1,IF(F989&gt;'Configs &amp; Procedures'!$L$31,0,1)))</f>
        <v>0</v>
      </c>
    </row>
    <row r="990" spans="2:79">
      <c r="B990" s="854"/>
      <c r="C990" s="854"/>
      <c r="D990" s="854"/>
      <c r="E990" s="854"/>
      <c r="F990" s="854"/>
      <c r="G990" s="854"/>
      <c r="H990" s="854"/>
      <c r="I990" s="854"/>
      <c r="J990" s="854"/>
      <c r="K990" s="854"/>
      <c r="L990" s="854"/>
      <c r="M990" s="854"/>
      <c r="N990" s="854"/>
      <c r="O990" s="854"/>
      <c r="P990" s="854"/>
      <c r="Q990" s="854"/>
      <c r="R990" s="854"/>
      <c r="S990" s="854"/>
      <c r="T990" s="854"/>
      <c r="U990" s="854"/>
      <c r="V990" s="854"/>
      <c r="W990" s="854"/>
      <c r="X990" s="854"/>
      <c r="Y990" s="854"/>
      <c r="Z990" s="854"/>
      <c r="AA990" s="854"/>
      <c r="AB990" s="854"/>
      <c r="AC990" s="854"/>
      <c r="AD990" s="854"/>
      <c r="AE990" s="854"/>
      <c r="AF990" s="854"/>
      <c r="AG990" s="854"/>
      <c r="AH990" s="854"/>
      <c r="AI990" s="854"/>
      <c r="AJ990" s="854"/>
      <c r="AK990" s="854"/>
      <c r="AL990" s="854"/>
      <c r="AM990" s="854"/>
      <c r="AN990" s="854"/>
      <c r="AO990" s="854"/>
      <c r="AP990" s="854"/>
      <c r="AQ990" s="854"/>
      <c r="AR990" s="854"/>
      <c r="AS990" s="854"/>
      <c r="AT990" s="854"/>
      <c r="AU990" s="854"/>
      <c r="AV990" s="854"/>
      <c r="AW990" s="854"/>
      <c r="AX990" s="854"/>
      <c r="AY990" s="854"/>
      <c r="AZ990" s="854"/>
      <c r="BA990" s="854"/>
      <c r="BB990" s="854"/>
      <c r="BC990" s="854"/>
      <c r="BD990" s="854"/>
      <c r="BE990" s="854"/>
      <c r="BF990" s="854"/>
      <c r="BG990" s="854"/>
      <c r="BH990" s="854"/>
      <c r="BI990" s="854"/>
      <c r="BJ990" s="854"/>
      <c r="BK990" s="854"/>
      <c r="BL990" s="854"/>
      <c r="BM990" s="854"/>
      <c r="BN990" s="854"/>
      <c r="BO990" s="854"/>
      <c r="BP990" s="854"/>
      <c r="BQ990" s="854"/>
      <c r="BR990" s="854"/>
      <c r="BS990" s="854"/>
      <c r="BT990" s="854"/>
      <c r="BU990" s="854"/>
      <c r="BV990" s="854"/>
      <c r="BW990" s="854"/>
      <c r="BX990" s="854"/>
      <c r="BY990" s="854"/>
      <c r="BZ990" s="854"/>
      <c r="CA990" s="571">
        <f>IF(OR(I990="",I990&lt;'Configs &amp; Procedures'!$L$29),0,IF(I990&gt;'Configs &amp; Procedures'!$L$30,1,IF(F990&gt;'Configs &amp; Procedures'!$L$31,0,1)))</f>
        <v>0</v>
      </c>
    </row>
    <row r="991" spans="2:79">
      <c r="B991" s="854"/>
      <c r="C991" s="854"/>
      <c r="D991" s="854"/>
      <c r="E991" s="854"/>
      <c r="F991" s="854"/>
      <c r="G991" s="854"/>
      <c r="H991" s="854"/>
      <c r="I991" s="854"/>
      <c r="J991" s="854"/>
      <c r="K991" s="854"/>
      <c r="L991" s="854"/>
      <c r="M991" s="854"/>
      <c r="N991" s="854"/>
      <c r="O991" s="854"/>
      <c r="P991" s="854"/>
      <c r="Q991" s="854"/>
      <c r="R991" s="854"/>
      <c r="S991" s="854"/>
      <c r="T991" s="854"/>
      <c r="U991" s="854"/>
      <c r="V991" s="854"/>
      <c r="W991" s="854"/>
      <c r="X991" s="854"/>
      <c r="Y991" s="854"/>
      <c r="Z991" s="854"/>
      <c r="AA991" s="854"/>
      <c r="AB991" s="854"/>
      <c r="AC991" s="854"/>
      <c r="AD991" s="854"/>
      <c r="AE991" s="854"/>
      <c r="AF991" s="854"/>
      <c r="AG991" s="854"/>
      <c r="AH991" s="854"/>
      <c r="AI991" s="854"/>
      <c r="AJ991" s="854"/>
      <c r="AK991" s="854"/>
      <c r="AL991" s="854"/>
      <c r="AM991" s="854"/>
      <c r="AN991" s="854"/>
      <c r="AO991" s="854"/>
      <c r="AP991" s="854"/>
      <c r="AQ991" s="854"/>
      <c r="AR991" s="854"/>
      <c r="AS991" s="854"/>
      <c r="AT991" s="854"/>
      <c r="AU991" s="854"/>
      <c r="AV991" s="854"/>
      <c r="AW991" s="854"/>
      <c r="AX991" s="854"/>
      <c r="AY991" s="854"/>
      <c r="AZ991" s="854"/>
      <c r="BA991" s="854"/>
      <c r="BB991" s="854"/>
      <c r="BC991" s="854"/>
      <c r="BD991" s="854"/>
      <c r="BE991" s="854"/>
      <c r="BF991" s="854"/>
      <c r="BG991" s="854"/>
      <c r="BH991" s="854"/>
      <c r="BI991" s="854"/>
      <c r="BJ991" s="854"/>
      <c r="BK991" s="854"/>
      <c r="BL991" s="854"/>
      <c r="BM991" s="854"/>
      <c r="BN991" s="854"/>
      <c r="BO991" s="854"/>
      <c r="BP991" s="854"/>
      <c r="BQ991" s="854"/>
      <c r="BR991" s="854"/>
      <c r="BS991" s="854"/>
      <c r="BT991" s="854"/>
      <c r="BU991" s="854"/>
      <c r="BV991" s="854"/>
      <c r="BW991" s="854"/>
      <c r="BX991" s="854"/>
      <c r="BY991" s="854"/>
      <c r="BZ991" s="854"/>
      <c r="CA991" s="571">
        <f>IF(OR(I991="",I991&lt;'Configs &amp; Procedures'!$L$29),0,IF(I991&gt;'Configs &amp; Procedures'!$L$30,1,IF(F991&gt;'Configs &amp; Procedures'!$L$31,0,1)))</f>
        <v>0</v>
      </c>
    </row>
    <row r="992" spans="2:79">
      <c r="B992" s="854"/>
      <c r="C992" s="854"/>
      <c r="D992" s="854"/>
      <c r="E992" s="854"/>
      <c r="F992" s="854"/>
      <c r="G992" s="854"/>
      <c r="H992" s="854"/>
      <c r="I992" s="854"/>
      <c r="J992" s="854"/>
      <c r="K992" s="854"/>
      <c r="L992" s="854"/>
      <c r="M992" s="854"/>
      <c r="N992" s="854"/>
      <c r="O992" s="854"/>
      <c r="P992" s="854"/>
      <c r="Q992" s="854"/>
      <c r="R992" s="854"/>
      <c r="S992" s="854"/>
      <c r="T992" s="854"/>
      <c r="U992" s="854"/>
      <c r="V992" s="854"/>
      <c r="W992" s="854"/>
      <c r="X992" s="854"/>
      <c r="Y992" s="854"/>
      <c r="Z992" s="854"/>
      <c r="AA992" s="854"/>
      <c r="AB992" s="854"/>
      <c r="AC992" s="854"/>
      <c r="AD992" s="854"/>
      <c r="AE992" s="854"/>
      <c r="AF992" s="854"/>
      <c r="AG992" s="854"/>
      <c r="AH992" s="854"/>
      <c r="AI992" s="854"/>
      <c r="AJ992" s="854"/>
      <c r="AK992" s="854"/>
      <c r="AL992" s="854"/>
      <c r="AM992" s="854"/>
      <c r="AN992" s="854"/>
      <c r="AO992" s="854"/>
      <c r="AP992" s="854"/>
      <c r="AQ992" s="854"/>
      <c r="AR992" s="854"/>
      <c r="AS992" s="854"/>
      <c r="AT992" s="854"/>
      <c r="AU992" s="854"/>
      <c r="AV992" s="854"/>
      <c r="AW992" s="854"/>
      <c r="AX992" s="854"/>
      <c r="AY992" s="854"/>
      <c r="AZ992" s="854"/>
      <c r="BA992" s="854"/>
      <c r="BB992" s="854"/>
      <c r="BC992" s="854"/>
      <c r="BD992" s="854"/>
      <c r="BE992" s="854"/>
      <c r="BF992" s="854"/>
      <c r="BG992" s="854"/>
      <c r="BH992" s="854"/>
      <c r="BI992" s="854"/>
      <c r="BJ992" s="854"/>
      <c r="BK992" s="854"/>
      <c r="BL992" s="854"/>
      <c r="BM992" s="854"/>
      <c r="BN992" s="854"/>
      <c r="BO992" s="854"/>
      <c r="BP992" s="854"/>
      <c r="BQ992" s="854"/>
      <c r="BR992" s="854"/>
      <c r="BS992" s="854"/>
      <c r="BT992" s="854"/>
      <c r="BU992" s="854"/>
      <c r="BV992" s="854"/>
      <c r="BW992" s="854"/>
      <c r="BX992" s="854"/>
      <c r="BY992" s="854"/>
      <c r="BZ992" s="854"/>
      <c r="CA992" s="571">
        <f>IF(OR(I992="",I992&lt;'Configs &amp; Procedures'!$L$29),0,IF(I992&gt;'Configs &amp; Procedures'!$L$30,1,IF(F992&gt;'Configs &amp; Procedures'!$L$31,0,1)))</f>
        <v>0</v>
      </c>
    </row>
    <row r="993" spans="2:79">
      <c r="B993" s="854"/>
      <c r="C993" s="854"/>
      <c r="D993" s="854"/>
      <c r="E993" s="854"/>
      <c r="F993" s="854"/>
      <c r="G993" s="854"/>
      <c r="H993" s="854"/>
      <c r="I993" s="854"/>
      <c r="J993" s="854"/>
      <c r="K993" s="854"/>
      <c r="L993" s="854"/>
      <c r="M993" s="854"/>
      <c r="N993" s="854"/>
      <c r="O993" s="854"/>
      <c r="P993" s="854"/>
      <c r="Q993" s="854"/>
      <c r="R993" s="854"/>
      <c r="S993" s="854"/>
      <c r="T993" s="854"/>
      <c r="U993" s="854"/>
      <c r="V993" s="854"/>
      <c r="W993" s="854"/>
      <c r="X993" s="854"/>
      <c r="Y993" s="854"/>
      <c r="Z993" s="854"/>
      <c r="AA993" s="854"/>
      <c r="AB993" s="854"/>
      <c r="AC993" s="854"/>
      <c r="AD993" s="854"/>
      <c r="AE993" s="854"/>
      <c r="AF993" s="854"/>
      <c r="AG993" s="854"/>
      <c r="AH993" s="854"/>
      <c r="AI993" s="854"/>
      <c r="AJ993" s="854"/>
      <c r="AK993" s="854"/>
      <c r="AL993" s="854"/>
      <c r="AM993" s="854"/>
      <c r="AN993" s="854"/>
      <c r="AO993" s="854"/>
      <c r="AP993" s="854"/>
      <c r="AQ993" s="854"/>
      <c r="AR993" s="854"/>
      <c r="AS993" s="854"/>
      <c r="AT993" s="854"/>
      <c r="AU993" s="854"/>
      <c r="AV993" s="854"/>
      <c r="AW993" s="854"/>
      <c r="AX993" s="854"/>
      <c r="AY993" s="854"/>
      <c r="AZ993" s="854"/>
      <c r="BA993" s="854"/>
      <c r="BB993" s="854"/>
      <c r="BC993" s="854"/>
      <c r="BD993" s="854"/>
      <c r="BE993" s="854"/>
      <c r="BF993" s="854"/>
      <c r="BG993" s="854"/>
      <c r="BH993" s="854"/>
      <c r="BI993" s="854"/>
      <c r="BJ993" s="854"/>
      <c r="BK993" s="854"/>
      <c r="BL993" s="854"/>
      <c r="BM993" s="854"/>
      <c r="BN993" s="854"/>
      <c r="BO993" s="854"/>
      <c r="BP993" s="854"/>
      <c r="BQ993" s="854"/>
      <c r="BR993" s="854"/>
      <c r="BS993" s="854"/>
      <c r="BT993" s="854"/>
      <c r="BU993" s="854"/>
      <c r="BV993" s="854"/>
      <c r="BW993" s="854"/>
      <c r="BX993" s="854"/>
      <c r="BY993" s="854"/>
      <c r="BZ993" s="854"/>
      <c r="CA993" s="571">
        <f>IF(OR(I993="",I993&lt;'Configs &amp; Procedures'!$L$29),0,IF(I993&gt;'Configs &amp; Procedures'!$L$30,1,IF(F993&gt;'Configs &amp; Procedures'!$L$31,0,1)))</f>
        <v>0</v>
      </c>
    </row>
    <row r="994" spans="2:79">
      <c r="B994" s="854"/>
      <c r="C994" s="854"/>
      <c r="D994" s="854"/>
      <c r="E994" s="854"/>
      <c r="F994" s="854"/>
      <c r="G994" s="854"/>
      <c r="H994" s="854"/>
      <c r="I994" s="854"/>
      <c r="J994" s="854"/>
      <c r="K994" s="854"/>
      <c r="L994" s="854"/>
      <c r="M994" s="854"/>
      <c r="N994" s="854"/>
      <c r="O994" s="854"/>
      <c r="P994" s="854"/>
      <c r="Q994" s="854"/>
      <c r="R994" s="854"/>
      <c r="S994" s="854"/>
      <c r="T994" s="854"/>
      <c r="U994" s="854"/>
      <c r="V994" s="854"/>
      <c r="W994" s="854"/>
      <c r="X994" s="854"/>
      <c r="Y994" s="854"/>
      <c r="Z994" s="854"/>
      <c r="AA994" s="854"/>
      <c r="AB994" s="854"/>
      <c r="AC994" s="854"/>
      <c r="AD994" s="854"/>
      <c r="AE994" s="854"/>
      <c r="AF994" s="854"/>
      <c r="AG994" s="854"/>
      <c r="AH994" s="854"/>
      <c r="AI994" s="854"/>
      <c r="AJ994" s="854"/>
      <c r="AK994" s="854"/>
      <c r="AL994" s="854"/>
      <c r="AM994" s="854"/>
      <c r="AN994" s="854"/>
      <c r="AO994" s="854"/>
      <c r="AP994" s="854"/>
      <c r="AQ994" s="854"/>
      <c r="AR994" s="854"/>
      <c r="AS994" s="854"/>
      <c r="AT994" s="854"/>
      <c r="AU994" s="854"/>
      <c r="AV994" s="854"/>
      <c r="AW994" s="854"/>
      <c r="AX994" s="854"/>
      <c r="AY994" s="854"/>
      <c r="AZ994" s="854"/>
      <c r="BA994" s="854"/>
      <c r="BB994" s="854"/>
      <c r="BC994" s="854"/>
      <c r="BD994" s="854"/>
      <c r="BE994" s="854"/>
      <c r="BF994" s="854"/>
      <c r="BG994" s="854"/>
      <c r="BH994" s="854"/>
      <c r="BI994" s="854"/>
      <c r="BJ994" s="854"/>
      <c r="BK994" s="854"/>
      <c r="BL994" s="854"/>
      <c r="BM994" s="854"/>
      <c r="BN994" s="854"/>
      <c r="BO994" s="854"/>
      <c r="BP994" s="854"/>
      <c r="BQ994" s="854"/>
      <c r="BR994" s="854"/>
      <c r="BS994" s="854"/>
      <c r="BT994" s="854"/>
      <c r="BU994" s="854"/>
      <c r="BV994" s="854"/>
      <c r="BW994" s="854"/>
      <c r="BX994" s="854"/>
      <c r="BY994" s="854"/>
      <c r="BZ994" s="854"/>
      <c r="CA994" s="571">
        <f>IF(OR(I994="",I994&lt;'Configs &amp; Procedures'!$L$29),0,IF(I994&gt;'Configs &amp; Procedures'!$L$30,1,IF(F994&gt;'Configs &amp; Procedures'!$L$31,0,1)))</f>
        <v>0</v>
      </c>
    </row>
    <row r="995" spans="2:79">
      <c r="B995" s="854"/>
      <c r="C995" s="854"/>
      <c r="D995" s="854"/>
      <c r="E995" s="854"/>
      <c r="F995" s="854"/>
      <c r="G995" s="854"/>
      <c r="H995" s="854"/>
      <c r="I995" s="854"/>
      <c r="J995" s="854"/>
      <c r="K995" s="854"/>
      <c r="L995" s="854"/>
      <c r="M995" s="854"/>
      <c r="N995" s="854"/>
      <c r="O995" s="854"/>
      <c r="P995" s="854"/>
      <c r="Q995" s="854"/>
      <c r="R995" s="854"/>
      <c r="S995" s="854"/>
      <c r="T995" s="854"/>
      <c r="U995" s="854"/>
      <c r="V995" s="854"/>
      <c r="W995" s="854"/>
      <c r="X995" s="854"/>
      <c r="Y995" s="854"/>
      <c r="Z995" s="854"/>
      <c r="AA995" s="854"/>
      <c r="AB995" s="854"/>
      <c r="AC995" s="854"/>
      <c r="AD995" s="854"/>
      <c r="AE995" s="854"/>
      <c r="AF995" s="854"/>
      <c r="AG995" s="854"/>
      <c r="AH995" s="854"/>
      <c r="AI995" s="854"/>
      <c r="AJ995" s="854"/>
      <c r="AK995" s="854"/>
      <c r="AL995" s="854"/>
      <c r="AM995" s="854"/>
      <c r="AN995" s="854"/>
      <c r="AO995" s="854"/>
      <c r="AP995" s="854"/>
      <c r="AQ995" s="854"/>
      <c r="AR995" s="854"/>
      <c r="AS995" s="854"/>
      <c r="AT995" s="854"/>
      <c r="AU995" s="854"/>
      <c r="AV995" s="854"/>
      <c r="AW995" s="854"/>
      <c r="AX995" s="854"/>
      <c r="AY995" s="854"/>
      <c r="AZ995" s="854"/>
      <c r="BA995" s="854"/>
      <c r="BB995" s="854"/>
      <c r="BC995" s="854"/>
      <c r="BD995" s="854"/>
      <c r="BE995" s="854"/>
      <c r="BF995" s="854"/>
      <c r="BG995" s="854"/>
      <c r="BH995" s="854"/>
      <c r="BI995" s="854"/>
      <c r="BJ995" s="854"/>
      <c r="BK995" s="854"/>
      <c r="BL995" s="854"/>
      <c r="BM995" s="854"/>
      <c r="BN995" s="854"/>
      <c r="BO995" s="854"/>
      <c r="BP995" s="854"/>
      <c r="BQ995" s="854"/>
      <c r="BR995" s="854"/>
      <c r="BS995" s="854"/>
      <c r="BT995" s="854"/>
      <c r="BU995" s="854"/>
      <c r="BV995" s="854"/>
      <c r="BW995" s="854"/>
      <c r="BX995" s="854"/>
      <c r="BY995" s="854"/>
      <c r="BZ995" s="854"/>
      <c r="CA995" s="571">
        <f>IF(OR(I995="",I995&lt;'Configs &amp; Procedures'!$L$29),0,IF(I995&gt;'Configs &amp; Procedures'!$L$30,1,IF(F995&gt;'Configs &amp; Procedures'!$L$31,0,1)))</f>
        <v>0</v>
      </c>
    </row>
    <row r="996" spans="2:79">
      <c r="B996" s="854"/>
      <c r="C996" s="854"/>
      <c r="D996" s="854"/>
      <c r="E996" s="854"/>
      <c r="F996" s="854"/>
      <c r="G996" s="854"/>
      <c r="H996" s="854"/>
      <c r="I996" s="854"/>
      <c r="J996" s="854"/>
      <c r="K996" s="854"/>
      <c r="L996" s="854"/>
      <c r="M996" s="854"/>
      <c r="N996" s="854"/>
      <c r="O996" s="854"/>
      <c r="P996" s="854"/>
      <c r="Q996" s="854"/>
      <c r="R996" s="854"/>
      <c r="S996" s="854"/>
      <c r="T996" s="854"/>
      <c r="U996" s="854"/>
      <c r="V996" s="854"/>
      <c r="W996" s="854"/>
      <c r="X996" s="854"/>
      <c r="Y996" s="854"/>
      <c r="Z996" s="854"/>
      <c r="AA996" s="854"/>
      <c r="AB996" s="854"/>
      <c r="AC996" s="854"/>
      <c r="AD996" s="854"/>
      <c r="AE996" s="854"/>
      <c r="AF996" s="854"/>
      <c r="AG996" s="854"/>
      <c r="AH996" s="854"/>
      <c r="AI996" s="854"/>
      <c r="AJ996" s="854"/>
      <c r="AK996" s="854"/>
      <c r="AL996" s="854"/>
      <c r="AM996" s="854"/>
      <c r="AN996" s="854"/>
      <c r="AO996" s="854"/>
      <c r="AP996" s="854"/>
      <c r="AQ996" s="854"/>
      <c r="AR996" s="854"/>
      <c r="AS996" s="854"/>
      <c r="AT996" s="854"/>
      <c r="AU996" s="854"/>
      <c r="AV996" s="854"/>
      <c r="AW996" s="854"/>
      <c r="AX996" s="854"/>
      <c r="AY996" s="854"/>
      <c r="AZ996" s="854"/>
      <c r="BA996" s="854"/>
      <c r="BB996" s="854"/>
      <c r="BC996" s="854"/>
      <c r="BD996" s="854"/>
      <c r="BE996" s="854"/>
      <c r="BF996" s="854"/>
      <c r="BG996" s="854"/>
      <c r="BH996" s="854"/>
      <c r="BI996" s="854"/>
      <c r="BJ996" s="854"/>
      <c r="BK996" s="854"/>
      <c r="BL996" s="854"/>
      <c r="BM996" s="854"/>
      <c r="BN996" s="854"/>
      <c r="BO996" s="854"/>
      <c r="BP996" s="854"/>
      <c r="BQ996" s="854"/>
      <c r="BR996" s="854"/>
      <c r="BS996" s="854"/>
      <c r="BT996" s="854"/>
      <c r="BU996" s="854"/>
      <c r="BV996" s="854"/>
      <c r="BW996" s="854"/>
      <c r="BX996" s="854"/>
      <c r="BY996" s="854"/>
      <c r="BZ996" s="854"/>
      <c r="CA996" s="571">
        <f>IF(OR(I996="",I996&lt;'Configs &amp; Procedures'!$L$29),0,IF(I996&gt;'Configs &amp; Procedures'!$L$30,1,IF(F996&gt;'Configs &amp; Procedures'!$L$31,0,1)))</f>
        <v>0</v>
      </c>
    </row>
    <row r="997" spans="2:79">
      <c r="B997" s="854"/>
      <c r="C997" s="854"/>
      <c r="D997" s="854"/>
      <c r="E997" s="854"/>
      <c r="F997" s="854"/>
      <c r="G997" s="854"/>
      <c r="H997" s="854"/>
      <c r="I997" s="854"/>
      <c r="J997" s="854"/>
      <c r="K997" s="854"/>
      <c r="L997" s="854"/>
      <c r="M997" s="854"/>
      <c r="N997" s="854"/>
      <c r="O997" s="854"/>
      <c r="P997" s="854"/>
      <c r="Q997" s="854"/>
      <c r="R997" s="854"/>
      <c r="S997" s="854"/>
      <c r="T997" s="854"/>
      <c r="U997" s="854"/>
      <c r="V997" s="854"/>
      <c r="W997" s="854"/>
      <c r="X997" s="854"/>
      <c r="Y997" s="854"/>
      <c r="Z997" s="854"/>
      <c r="AA997" s="854"/>
      <c r="AB997" s="854"/>
      <c r="AC997" s="854"/>
      <c r="AD997" s="854"/>
      <c r="AE997" s="854"/>
      <c r="AF997" s="854"/>
      <c r="AG997" s="854"/>
      <c r="AH997" s="854"/>
      <c r="AI997" s="854"/>
      <c r="AJ997" s="854"/>
      <c r="AK997" s="854"/>
      <c r="AL997" s="854"/>
      <c r="AM997" s="854"/>
      <c r="AN997" s="854"/>
      <c r="AO997" s="854"/>
      <c r="AP997" s="854"/>
      <c r="AQ997" s="854"/>
      <c r="AR997" s="854"/>
      <c r="AS997" s="854"/>
      <c r="AT997" s="854"/>
      <c r="AU997" s="854"/>
      <c r="AV997" s="854"/>
      <c r="AW997" s="854"/>
      <c r="AX997" s="854"/>
      <c r="AY997" s="854"/>
      <c r="AZ997" s="854"/>
      <c r="BA997" s="854"/>
      <c r="BB997" s="854"/>
      <c r="BC997" s="854"/>
      <c r="BD997" s="854"/>
      <c r="BE997" s="854"/>
      <c r="BF997" s="854"/>
      <c r="BG997" s="854"/>
      <c r="BH997" s="854"/>
      <c r="BI997" s="854"/>
      <c r="BJ997" s="854"/>
      <c r="BK997" s="854"/>
      <c r="BL997" s="854"/>
      <c r="BM997" s="854"/>
      <c r="BN997" s="854"/>
      <c r="BO997" s="854"/>
      <c r="BP997" s="854"/>
      <c r="BQ997" s="854"/>
      <c r="BR997" s="854"/>
      <c r="BS997" s="854"/>
      <c r="BT997" s="854"/>
      <c r="BU997" s="854"/>
      <c r="BV997" s="854"/>
      <c r="BW997" s="854"/>
      <c r="BX997" s="854"/>
      <c r="BY997" s="854"/>
      <c r="BZ997" s="854"/>
      <c r="CA997" s="571">
        <f>IF(OR(I997="",I997&lt;'Configs &amp; Procedures'!$L$29),0,IF(I997&gt;'Configs &amp; Procedures'!$L$30,1,IF(F997&gt;'Configs &amp; Procedures'!$L$31,0,1)))</f>
        <v>0</v>
      </c>
    </row>
    <row r="998" spans="2:79">
      <c r="B998" s="854"/>
      <c r="C998" s="854"/>
      <c r="D998" s="854"/>
      <c r="E998" s="854"/>
      <c r="F998" s="854"/>
      <c r="G998" s="854"/>
      <c r="H998" s="854"/>
      <c r="I998" s="854"/>
      <c r="J998" s="854"/>
      <c r="K998" s="854"/>
      <c r="L998" s="854"/>
      <c r="M998" s="854"/>
      <c r="N998" s="854"/>
      <c r="O998" s="854"/>
      <c r="P998" s="854"/>
      <c r="Q998" s="854"/>
      <c r="R998" s="854"/>
      <c r="S998" s="854"/>
      <c r="T998" s="854"/>
      <c r="U998" s="854"/>
      <c r="V998" s="854"/>
      <c r="W998" s="854"/>
      <c r="X998" s="854"/>
      <c r="Y998" s="854"/>
      <c r="Z998" s="854"/>
      <c r="AA998" s="854"/>
      <c r="AB998" s="854"/>
      <c r="AC998" s="854"/>
      <c r="AD998" s="854"/>
      <c r="AE998" s="854"/>
      <c r="AF998" s="854"/>
      <c r="AG998" s="854"/>
      <c r="AH998" s="854"/>
      <c r="AI998" s="854"/>
      <c r="AJ998" s="854"/>
      <c r="AK998" s="854"/>
      <c r="AL998" s="854"/>
      <c r="AM998" s="854"/>
      <c r="AN998" s="854"/>
      <c r="AO998" s="854"/>
      <c r="AP998" s="854"/>
      <c r="AQ998" s="854"/>
      <c r="AR998" s="854"/>
      <c r="AS998" s="854"/>
      <c r="AT998" s="854"/>
      <c r="AU998" s="854"/>
      <c r="AV998" s="854"/>
      <c r="AW998" s="854"/>
      <c r="AX998" s="854"/>
      <c r="AY998" s="854"/>
      <c r="AZ998" s="854"/>
      <c r="BA998" s="854"/>
      <c r="BB998" s="854"/>
      <c r="BC998" s="854"/>
      <c r="BD998" s="854"/>
      <c r="BE998" s="854"/>
      <c r="BF998" s="854"/>
      <c r="BG998" s="854"/>
      <c r="BH998" s="854"/>
      <c r="BI998" s="854"/>
      <c r="BJ998" s="854"/>
      <c r="BK998" s="854"/>
      <c r="BL998" s="854"/>
      <c r="BM998" s="854"/>
      <c r="BN998" s="854"/>
      <c r="BO998" s="854"/>
      <c r="BP998" s="854"/>
      <c r="BQ998" s="854"/>
      <c r="BR998" s="854"/>
      <c r="BS998" s="854"/>
      <c r="BT998" s="854"/>
      <c r="BU998" s="854"/>
      <c r="BV998" s="854"/>
      <c r="BW998" s="854"/>
      <c r="BX998" s="854"/>
      <c r="BY998" s="854"/>
      <c r="BZ998" s="854"/>
      <c r="CA998" s="571">
        <f>IF(OR(I998="",I998&lt;'Configs &amp; Procedures'!$L$29),0,IF(I998&gt;'Configs &amp; Procedures'!$L$30,1,IF(F998&gt;'Configs &amp; Procedures'!$L$31,0,1)))</f>
        <v>0</v>
      </c>
    </row>
    <row r="999" spans="2:79">
      <c r="B999" s="854"/>
      <c r="C999" s="854"/>
      <c r="D999" s="854"/>
      <c r="E999" s="854"/>
      <c r="F999" s="854"/>
      <c r="G999" s="854"/>
      <c r="H999" s="854"/>
      <c r="I999" s="854"/>
      <c r="J999" s="854"/>
      <c r="K999" s="854"/>
      <c r="L999" s="854"/>
      <c r="M999" s="854"/>
      <c r="N999" s="854"/>
      <c r="O999" s="854"/>
      <c r="P999" s="854"/>
      <c r="Q999" s="854"/>
      <c r="R999" s="854"/>
      <c r="S999" s="854"/>
      <c r="T999" s="854"/>
      <c r="U999" s="854"/>
      <c r="V999" s="854"/>
      <c r="W999" s="854"/>
      <c r="X999" s="854"/>
      <c r="Y999" s="854"/>
      <c r="Z999" s="854"/>
      <c r="AA999" s="854"/>
      <c r="AB999" s="854"/>
      <c r="AC999" s="854"/>
      <c r="AD999" s="854"/>
      <c r="AE999" s="854"/>
      <c r="AF999" s="854"/>
      <c r="AG999" s="854"/>
      <c r="AH999" s="854"/>
      <c r="AI999" s="854"/>
      <c r="AJ999" s="854"/>
      <c r="AK999" s="854"/>
      <c r="AL999" s="854"/>
      <c r="AM999" s="854"/>
      <c r="AN999" s="854"/>
      <c r="AO999" s="854"/>
      <c r="AP999" s="854"/>
      <c r="AQ999" s="854"/>
      <c r="AR999" s="854"/>
      <c r="AS999" s="854"/>
      <c r="AT999" s="854"/>
      <c r="AU999" s="854"/>
      <c r="AV999" s="854"/>
      <c r="AW999" s="854"/>
      <c r="AX999" s="854"/>
      <c r="AY999" s="854"/>
      <c r="AZ999" s="854"/>
      <c r="BA999" s="854"/>
      <c r="BB999" s="854"/>
      <c r="BC999" s="854"/>
      <c r="BD999" s="854"/>
      <c r="BE999" s="854"/>
      <c r="BF999" s="854"/>
      <c r="BG999" s="854"/>
      <c r="BH999" s="854"/>
      <c r="BI999" s="854"/>
      <c r="BJ999" s="854"/>
      <c r="BK999" s="854"/>
      <c r="BL999" s="854"/>
      <c r="BM999" s="854"/>
      <c r="BN999" s="854"/>
      <c r="BO999" s="854"/>
      <c r="BP999" s="854"/>
      <c r="BQ999" s="854"/>
      <c r="BR999" s="854"/>
      <c r="BS999" s="854"/>
      <c r="BT999" s="854"/>
      <c r="BU999" s="854"/>
      <c r="BV999" s="854"/>
      <c r="BW999" s="854"/>
      <c r="BX999" s="854"/>
      <c r="BY999" s="854"/>
      <c r="BZ999" s="854"/>
      <c r="CA999" s="571">
        <f>IF(OR(I999="",I999&lt;'Configs &amp; Procedures'!$L$29),0,IF(I999&gt;'Configs &amp; Procedures'!$L$30,1,IF(F999&gt;'Configs &amp; Procedures'!$L$31,0,1)))</f>
        <v>0</v>
      </c>
    </row>
    <row r="1000" spans="2:79">
      <c r="B1000" s="854"/>
      <c r="C1000" s="854"/>
      <c r="D1000" s="854"/>
      <c r="E1000" s="854"/>
      <c r="F1000" s="854"/>
      <c r="G1000" s="854"/>
      <c r="H1000" s="854"/>
      <c r="I1000" s="854"/>
      <c r="J1000" s="854"/>
      <c r="K1000" s="854"/>
      <c r="L1000" s="854"/>
      <c r="M1000" s="854"/>
      <c r="N1000" s="854"/>
      <c r="O1000" s="854"/>
      <c r="P1000" s="854"/>
      <c r="Q1000" s="854"/>
      <c r="R1000" s="854"/>
      <c r="S1000" s="854"/>
      <c r="T1000" s="854"/>
      <c r="U1000" s="854"/>
      <c r="V1000" s="854"/>
      <c r="W1000" s="854"/>
      <c r="X1000" s="854"/>
      <c r="Y1000" s="854"/>
      <c r="Z1000" s="854"/>
      <c r="AA1000" s="854"/>
      <c r="AB1000" s="854"/>
      <c r="AC1000" s="854"/>
      <c r="AD1000" s="854"/>
      <c r="AE1000" s="854"/>
      <c r="AF1000" s="854"/>
      <c r="AG1000" s="854"/>
      <c r="AH1000" s="854"/>
      <c r="AI1000" s="854"/>
      <c r="AJ1000" s="854"/>
      <c r="AK1000" s="854"/>
      <c r="AL1000" s="854"/>
      <c r="AM1000" s="854"/>
      <c r="AN1000" s="854"/>
      <c r="AO1000" s="854"/>
      <c r="AP1000" s="854"/>
      <c r="AQ1000" s="854"/>
      <c r="AR1000" s="854"/>
      <c r="AS1000" s="854"/>
      <c r="AT1000" s="854"/>
      <c r="AU1000" s="854"/>
      <c r="AV1000" s="854"/>
      <c r="AW1000" s="854"/>
      <c r="AX1000" s="854"/>
      <c r="AY1000" s="854"/>
      <c r="AZ1000" s="854"/>
      <c r="BA1000" s="854"/>
      <c r="BB1000" s="854"/>
      <c r="BC1000" s="854"/>
      <c r="BD1000" s="854"/>
      <c r="BE1000" s="854"/>
      <c r="BF1000" s="854"/>
      <c r="BG1000" s="854"/>
      <c r="BH1000" s="854"/>
      <c r="BI1000" s="854"/>
      <c r="BJ1000" s="854"/>
      <c r="BK1000" s="854"/>
      <c r="BL1000" s="854"/>
      <c r="BM1000" s="854"/>
      <c r="BN1000" s="854"/>
      <c r="BO1000" s="854"/>
      <c r="BP1000" s="854"/>
      <c r="BQ1000" s="854"/>
      <c r="BR1000" s="854"/>
      <c r="BS1000" s="854"/>
      <c r="BT1000" s="854"/>
      <c r="BU1000" s="854"/>
      <c r="BV1000" s="854"/>
      <c r="BW1000" s="854"/>
      <c r="BX1000" s="854"/>
      <c r="BY1000" s="854"/>
      <c r="BZ1000" s="854"/>
      <c r="CA1000" s="571">
        <f>IF(OR(I1000="",I1000&lt;'Configs &amp; Procedures'!$L$29),0,IF(I1000&gt;'Configs &amp; Procedures'!$L$30,1,IF(F1000&gt;'Configs &amp; Procedures'!$L$31,0,1)))</f>
        <v>0</v>
      </c>
    </row>
    <row r="1001" spans="2:79">
      <c r="B1001" s="854"/>
      <c r="C1001" s="854"/>
      <c r="D1001" s="854"/>
      <c r="E1001" s="854"/>
      <c r="F1001" s="854"/>
      <c r="G1001" s="854"/>
      <c r="H1001" s="854"/>
      <c r="I1001" s="854"/>
      <c r="J1001" s="854"/>
      <c r="K1001" s="854"/>
      <c r="L1001" s="854"/>
      <c r="M1001" s="854"/>
      <c r="N1001" s="854"/>
      <c r="O1001" s="854"/>
      <c r="P1001" s="854"/>
      <c r="Q1001" s="854"/>
      <c r="R1001" s="854"/>
      <c r="S1001" s="854"/>
      <c r="T1001" s="854"/>
      <c r="U1001" s="854"/>
      <c r="V1001" s="854"/>
      <c r="W1001" s="854"/>
      <c r="X1001" s="854"/>
      <c r="Y1001" s="854"/>
      <c r="Z1001" s="854"/>
      <c r="AA1001" s="854"/>
      <c r="AB1001" s="854"/>
      <c r="AC1001" s="854"/>
      <c r="AD1001" s="854"/>
      <c r="AE1001" s="854"/>
      <c r="AF1001" s="854"/>
      <c r="AG1001" s="854"/>
      <c r="AH1001" s="854"/>
      <c r="AI1001" s="854"/>
      <c r="AJ1001" s="854"/>
      <c r="AK1001" s="854"/>
      <c r="AL1001" s="854"/>
      <c r="AM1001" s="854"/>
      <c r="AN1001" s="854"/>
      <c r="AO1001" s="854"/>
      <c r="AP1001" s="854"/>
      <c r="AQ1001" s="854"/>
      <c r="AR1001" s="854"/>
      <c r="AS1001" s="854"/>
      <c r="AT1001" s="854"/>
      <c r="AU1001" s="854"/>
      <c r="AV1001" s="854"/>
      <c r="AW1001" s="854"/>
      <c r="AX1001" s="854"/>
      <c r="AY1001" s="854"/>
      <c r="AZ1001" s="854"/>
      <c r="BA1001" s="854"/>
      <c r="BB1001" s="854"/>
      <c r="BC1001" s="854"/>
      <c r="BD1001" s="854"/>
      <c r="BE1001" s="854"/>
      <c r="BF1001" s="854"/>
      <c r="BG1001" s="854"/>
      <c r="BH1001" s="854"/>
      <c r="BI1001" s="854"/>
      <c r="BJ1001" s="854"/>
      <c r="BK1001" s="854"/>
      <c r="BL1001" s="854"/>
      <c r="BM1001" s="854"/>
      <c r="BN1001" s="854"/>
      <c r="BO1001" s="854"/>
      <c r="BP1001" s="854"/>
      <c r="BQ1001" s="854"/>
      <c r="BR1001" s="854"/>
      <c r="BS1001" s="854"/>
      <c r="BT1001" s="854"/>
      <c r="BU1001" s="854"/>
      <c r="BV1001" s="854"/>
      <c r="BW1001" s="854"/>
      <c r="BX1001" s="854"/>
      <c r="BY1001" s="854"/>
      <c r="BZ1001" s="854"/>
      <c r="CA1001" s="571">
        <f>IF(OR(I1001="",I1001&lt;'Configs &amp; Procedures'!$L$29),0,IF(I1001&gt;'Configs &amp; Procedures'!$L$30,1,IF(F1001&gt;'Configs &amp; Procedures'!$L$31,0,1)))</f>
        <v>0</v>
      </c>
    </row>
    <row r="1002" spans="2:79">
      <c r="B1002" s="854"/>
      <c r="C1002" s="854"/>
      <c r="D1002" s="854"/>
      <c r="E1002" s="854"/>
      <c r="F1002" s="854"/>
      <c r="G1002" s="854"/>
      <c r="H1002" s="854"/>
      <c r="I1002" s="854"/>
      <c r="J1002" s="854"/>
      <c r="K1002" s="854"/>
      <c r="L1002" s="854"/>
      <c r="M1002" s="854"/>
      <c r="N1002" s="854"/>
      <c r="O1002" s="854"/>
      <c r="P1002" s="854"/>
      <c r="Q1002" s="854"/>
      <c r="R1002" s="854"/>
      <c r="S1002" s="854"/>
      <c r="T1002" s="854"/>
      <c r="U1002" s="854"/>
      <c r="V1002" s="854"/>
      <c r="W1002" s="854"/>
      <c r="X1002" s="854"/>
      <c r="Y1002" s="854"/>
      <c r="Z1002" s="854"/>
      <c r="AA1002" s="854"/>
      <c r="AB1002" s="854"/>
      <c r="AC1002" s="854"/>
      <c r="AD1002" s="854"/>
      <c r="AE1002" s="854"/>
      <c r="AF1002" s="854"/>
      <c r="AG1002" s="854"/>
      <c r="AH1002" s="854"/>
      <c r="AI1002" s="854"/>
      <c r="AJ1002" s="854"/>
      <c r="AK1002" s="854"/>
      <c r="AL1002" s="854"/>
      <c r="AM1002" s="854"/>
      <c r="AN1002" s="854"/>
      <c r="AO1002" s="854"/>
      <c r="AP1002" s="854"/>
      <c r="AQ1002" s="854"/>
      <c r="AR1002" s="854"/>
      <c r="AS1002" s="854"/>
      <c r="AT1002" s="854"/>
      <c r="AU1002" s="854"/>
      <c r="AV1002" s="854"/>
      <c r="AW1002" s="854"/>
      <c r="AX1002" s="854"/>
      <c r="AY1002" s="854"/>
      <c r="AZ1002" s="854"/>
      <c r="BA1002" s="854"/>
      <c r="BB1002" s="854"/>
      <c r="BC1002" s="854"/>
      <c r="BD1002" s="854"/>
      <c r="BE1002" s="854"/>
      <c r="BF1002" s="854"/>
      <c r="BG1002" s="854"/>
      <c r="BH1002" s="854"/>
      <c r="BI1002" s="854"/>
      <c r="BJ1002" s="854"/>
      <c r="BK1002" s="854"/>
      <c r="BL1002" s="854"/>
      <c r="BM1002" s="854"/>
      <c r="BN1002" s="854"/>
      <c r="BO1002" s="854"/>
      <c r="BP1002" s="854"/>
      <c r="BQ1002" s="854"/>
      <c r="BR1002" s="854"/>
      <c r="BS1002" s="854"/>
      <c r="BT1002" s="854"/>
      <c r="BU1002" s="854"/>
      <c r="BV1002" s="854"/>
      <c r="BW1002" s="854"/>
      <c r="BX1002" s="854"/>
      <c r="BY1002" s="854"/>
      <c r="BZ1002" s="854"/>
      <c r="CA1002" s="571">
        <f>IF(OR(I1002="",I1002&lt;'Configs &amp; Procedures'!$L$29),0,IF(I1002&gt;'Configs &amp; Procedures'!$L$30,1,IF(F1002&gt;'Configs &amp; Procedures'!$L$31,0,1)))</f>
        <v>0</v>
      </c>
    </row>
    <row r="1003" spans="2:79">
      <c r="B1003" s="854"/>
      <c r="C1003" s="854"/>
      <c r="D1003" s="854"/>
      <c r="E1003" s="854"/>
      <c r="F1003" s="854"/>
      <c r="G1003" s="854"/>
      <c r="H1003" s="854"/>
      <c r="I1003" s="854"/>
      <c r="J1003" s="854"/>
      <c r="K1003" s="854"/>
      <c r="L1003" s="854"/>
      <c r="M1003" s="854"/>
      <c r="N1003" s="854"/>
      <c r="O1003" s="854"/>
      <c r="P1003" s="854"/>
      <c r="Q1003" s="854"/>
      <c r="R1003" s="854"/>
      <c r="S1003" s="854"/>
      <c r="T1003" s="854"/>
      <c r="U1003" s="854"/>
      <c r="V1003" s="854"/>
      <c r="W1003" s="854"/>
      <c r="X1003" s="854"/>
      <c r="Y1003" s="854"/>
      <c r="Z1003" s="854"/>
      <c r="AA1003" s="854"/>
      <c r="AB1003" s="854"/>
      <c r="AC1003" s="854"/>
      <c r="AD1003" s="854"/>
      <c r="AE1003" s="854"/>
      <c r="AF1003" s="854"/>
      <c r="AG1003" s="854"/>
      <c r="AH1003" s="854"/>
      <c r="AI1003" s="854"/>
      <c r="AJ1003" s="854"/>
      <c r="AK1003" s="854"/>
      <c r="AL1003" s="854"/>
      <c r="AM1003" s="854"/>
      <c r="AN1003" s="854"/>
      <c r="AO1003" s="854"/>
      <c r="AP1003" s="854"/>
      <c r="AQ1003" s="854"/>
      <c r="AR1003" s="854"/>
      <c r="AS1003" s="854"/>
      <c r="AT1003" s="854"/>
      <c r="AU1003" s="854"/>
      <c r="AV1003" s="854"/>
      <c r="AW1003" s="854"/>
      <c r="AX1003" s="854"/>
      <c r="AY1003" s="854"/>
      <c r="AZ1003" s="854"/>
      <c r="BA1003" s="854"/>
      <c r="BB1003" s="854"/>
      <c r="BC1003" s="854"/>
      <c r="BD1003" s="854"/>
      <c r="BE1003" s="854"/>
      <c r="BF1003" s="854"/>
      <c r="BG1003" s="854"/>
      <c r="BH1003" s="854"/>
      <c r="BI1003" s="854"/>
      <c r="BJ1003" s="854"/>
      <c r="BK1003" s="854"/>
      <c r="BL1003" s="854"/>
      <c r="BM1003" s="854"/>
      <c r="BN1003" s="854"/>
      <c r="BO1003" s="854"/>
      <c r="BP1003" s="854"/>
      <c r="BQ1003" s="854"/>
      <c r="BR1003" s="854"/>
      <c r="BS1003" s="854"/>
      <c r="BT1003" s="854"/>
      <c r="BU1003" s="854"/>
      <c r="BV1003" s="854"/>
      <c r="BW1003" s="854"/>
      <c r="BX1003" s="854"/>
      <c r="BY1003" s="854"/>
      <c r="BZ1003" s="854"/>
      <c r="CA1003" s="571">
        <f>IF(OR(I1003="",I1003&lt;'Configs &amp; Procedures'!$L$29),0,IF(I1003&gt;'Configs &amp; Procedures'!$L$30,1,IF(F1003&gt;'Configs &amp; Procedures'!$L$31,0,1)))</f>
        <v>0</v>
      </c>
    </row>
    <row r="1004" spans="2:79">
      <c r="B1004" s="854"/>
      <c r="C1004" s="854"/>
      <c r="D1004" s="854"/>
      <c r="E1004" s="854"/>
      <c r="F1004" s="854"/>
      <c r="G1004" s="854"/>
      <c r="H1004" s="854"/>
      <c r="I1004" s="854"/>
      <c r="J1004" s="854"/>
      <c r="K1004" s="854"/>
      <c r="L1004" s="854"/>
      <c r="M1004" s="854"/>
      <c r="N1004" s="854"/>
      <c r="O1004" s="854"/>
      <c r="P1004" s="854"/>
      <c r="Q1004" s="854"/>
      <c r="R1004" s="854"/>
      <c r="S1004" s="854"/>
      <c r="T1004" s="854"/>
      <c r="U1004" s="854"/>
      <c r="V1004" s="854"/>
      <c r="W1004" s="854"/>
      <c r="X1004" s="854"/>
      <c r="Y1004" s="854"/>
      <c r="Z1004" s="854"/>
      <c r="AA1004" s="854"/>
      <c r="AB1004" s="854"/>
      <c r="AC1004" s="854"/>
      <c r="AD1004" s="854"/>
      <c r="AE1004" s="854"/>
      <c r="AF1004" s="854"/>
      <c r="AG1004" s="854"/>
      <c r="AH1004" s="854"/>
      <c r="AI1004" s="854"/>
      <c r="AJ1004" s="854"/>
      <c r="AK1004" s="854"/>
      <c r="AL1004" s="854"/>
      <c r="AM1004" s="854"/>
      <c r="AN1004" s="854"/>
      <c r="AO1004" s="854"/>
      <c r="AP1004" s="854"/>
      <c r="AQ1004" s="854"/>
      <c r="AR1004" s="854"/>
      <c r="AS1004" s="854"/>
      <c r="AT1004" s="854"/>
      <c r="AU1004" s="854"/>
      <c r="AV1004" s="854"/>
      <c r="AW1004" s="854"/>
      <c r="AX1004" s="854"/>
      <c r="AY1004" s="854"/>
      <c r="AZ1004" s="854"/>
      <c r="BA1004" s="854"/>
      <c r="BB1004" s="854"/>
      <c r="BC1004" s="854"/>
      <c r="BD1004" s="854"/>
      <c r="BE1004" s="854"/>
      <c r="BF1004" s="854"/>
      <c r="BG1004" s="854"/>
      <c r="BH1004" s="854"/>
      <c r="BI1004" s="854"/>
      <c r="BJ1004" s="854"/>
      <c r="BK1004" s="854"/>
      <c r="BL1004" s="854"/>
      <c r="BM1004" s="854"/>
      <c r="BN1004" s="854"/>
      <c r="BO1004" s="854"/>
      <c r="BP1004" s="854"/>
      <c r="BQ1004" s="854"/>
      <c r="BR1004" s="854"/>
      <c r="BS1004" s="854"/>
      <c r="BT1004" s="854"/>
      <c r="BU1004" s="854"/>
      <c r="BV1004" s="854"/>
      <c r="BW1004" s="854"/>
      <c r="BX1004" s="854"/>
      <c r="BY1004" s="854"/>
      <c r="BZ1004" s="854"/>
      <c r="CA1004" s="571">
        <f>IF(OR(I1004="",I1004&lt;'Configs &amp; Procedures'!$L$29),0,IF(I1004&gt;'Configs &amp; Procedures'!$L$30,1,IF(F1004&gt;'Configs &amp; Procedures'!$L$31,0,1)))</f>
        <v>0</v>
      </c>
    </row>
    <row r="1005" spans="2:79">
      <c r="B1005" s="854"/>
      <c r="C1005" s="854"/>
      <c r="D1005" s="854"/>
      <c r="E1005" s="854"/>
      <c r="F1005" s="854"/>
      <c r="G1005" s="854"/>
      <c r="H1005" s="854"/>
      <c r="I1005" s="854"/>
      <c r="J1005" s="854"/>
      <c r="K1005" s="854"/>
      <c r="L1005" s="854"/>
      <c r="M1005" s="854"/>
      <c r="N1005" s="854"/>
      <c r="O1005" s="854"/>
      <c r="P1005" s="854"/>
      <c r="Q1005" s="854"/>
      <c r="R1005" s="854"/>
      <c r="S1005" s="854"/>
      <c r="T1005" s="854"/>
      <c r="U1005" s="854"/>
      <c r="V1005" s="854"/>
      <c r="W1005" s="854"/>
      <c r="X1005" s="854"/>
      <c r="Y1005" s="854"/>
      <c r="Z1005" s="854"/>
      <c r="AA1005" s="854"/>
      <c r="AB1005" s="854"/>
      <c r="AC1005" s="854"/>
      <c r="AD1005" s="854"/>
      <c r="AE1005" s="854"/>
      <c r="AF1005" s="854"/>
      <c r="AG1005" s="854"/>
      <c r="AH1005" s="854"/>
      <c r="AI1005" s="854"/>
      <c r="AJ1005" s="854"/>
      <c r="AK1005" s="854"/>
      <c r="AL1005" s="854"/>
      <c r="AM1005" s="854"/>
      <c r="AN1005" s="854"/>
      <c r="AO1005" s="854"/>
      <c r="AP1005" s="854"/>
      <c r="AQ1005" s="854"/>
      <c r="AR1005" s="854"/>
      <c r="AS1005" s="854"/>
      <c r="AT1005" s="854"/>
      <c r="AU1005" s="854"/>
      <c r="AV1005" s="854"/>
      <c r="AW1005" s="854"/>
      <c r="AX1005" s="854"/>
      <c r="AY1005" s="854"/>
      <c r="AZ1005" s="854"/>
      <c r="BA1005" s="854"/>
      <c r="BB1005" s="854"/>
      <c r="BC1005" s="854"/>
      <c r="BD1005" s="854"/>
      <c r="BE1005" s="854"/>
      <c r="BF1005" s="854"/>
      <c r="BG1005" s="854"/>
      <c r="BH1005" s="854"/>
      <c r="BI1005" s="854"/>
      <c r="BJ1005" s="854"/>
      <c r="BK1005" s="854"/>
      <c r="BL1005" s="854"/>
      <c r="BM1005" s="854"/>
      <c r="BN1005" s="854"/>
      <c r="BO1005" s="854"/>
      <c r="BP1005" s="854"/>
      <c r="BQ1005" s="854"/>
      <c r="BR1005" s="854"/>
      <c r="BS1005" s="854"/>
      <c r="BT1005" s="854"/>
      <c r="BU1005" s="854"/>
      <c r="BV1005" s="854"/>
      <c r="BW1005" s="854"/>
      <c r="BX1005" s="854"/>
      <c r="BY1005" s="854"/>
      <c r="BZ1005" s="854"/>
      <c r="CA1005" s="571">
        <f>IF(OR(I1005="",I1005&lt;'Configs &amp; Procedures'!$L$29),0,IF(I1005&gt;'Configs &amp; Procedures'!$L$30,1,IF(F1005&gt;'Configs &amp; Procedures'!$L$31,0,1)))</f>
        <v>0</v>
      </c>
    </row>
    <row r="1006" spans="2:79">
      <c r="B1006" s="854"/>
      <c r="C1006" s="854"/>
      <c r="D1006" s="854"/>
      <c r="E1006" s="854"/>
      <c r="F1006" s="854"/>
      <c r="G1006" s="854"/>
      <c r="H1006" s="854"/>
      <c r="I1006" s="854"/>
      <c r="J1006" s="854"/>
      <c r="K1006" s="854"/>
      <c r="L1006" s="854"/>
      <c r="M1006" s="854"/>
      <c r="N1006" s="854"/>
      <c r="O1006" s="854"/>
      <c r="P1006" s="854"/>
      <c r="Q1006" s="854"/>
      <c r="R1006" s="854"/>
      <c r="S1006" s="854"/>
      <c r="T1006" s="854"/>
      <c r="U1006" s="854"/>
      <c r="V1006" s="854"/>
      <c r="W1006" s="854"/>
      <c r="X1006" s="854"/>
      <c r="Y1006" s="854"/>
      <c r="Z1006" s="854"/>
      <c r="AA1006" s="854"/>
      <c r="AB1006" s="854"/>
      <c r="AC1006" s="854"/>
      <c r="AD1006" s="854"/>
      <c r="AE1006" s="854"/>
      <c r="AF1006" s="854"/>
      <c r="AG1006" s="854"/>
      <c r="AH1006" s="854"/>
      <c r="AI1006" s="854"/>
      <c r="AJ1006" s="854"/>
      <c r="AK1006" s="854"/>
      <c r="AL1006" s="854"/>
      <c r="AM1006" s="854"/>
      <c r="AN1006" s="854"/>
      <c r="AO1006" s="854"/>
      <c r="AP1006" s="854"/>
      <c r="AQ1006" s="854"/>
      <c r="AR1006" s="854"/>
      <c r="AS1006" s="854"/>
      <c r="AT1006" s="854"/>
      <c r="AU1006" s="854"/>
      <c r="AV1006" s="854"/>
      <c r="AW1006" s="854"/>
      <c r="AX1006" s="854"/>
      <c r="AY1006" s="854"/>
      <c r="AZ1006" s="854"/>
      <c r="BA1006" s="854"/>
      <c r="BB1006" s="854"/>
      <c r="BC1006" s="854"/>
      <c r="BD1006" s="854"/>
      <c r="BE1006" s="854"/>
      <c r="BF1006" s="854"/>
      <c r="BG1006" s="854"/>
      <c r="BH1006" s="854"/>
      <c r="BI1006" s="854"/>
      <c r="BJ1006" s="854"/>
      <c r="BK1006" s="854"/>
      <c r="BL1006" s="854"/>
      <c r="BM1006" s="854"/>
      <c r="BN1006" s="854"/>
      <c r="BO1006" s="854"/>
      <c r="BP1006" s="854"/>
      <c r="BQ1006" s="854"/>
      <c r="BR1006" s="854"/>
      <c r="BS1006" s="854"/>
      <c r="BT1006" s="854"/>
      <c r="BU1006" s="854"/>
      <c r="BV1006" s="854"/>
      <c r="BW1006" s="854"/>
      <c r="BX1006" s="854"/>
      <c r="BY1006" s="854"/>
      <c r="BZ1006" s="854"/>
      <c r="CA1006" s="571">
        <f>IF(OR(I1006="",I1006&lt;'Configs &amp; Procedures'!$L$29),0,IF(I1006&gt;'Configs &amp; Procedures'!$L$30,1,IF(F1006&gt;'Configs &amp; Procedures'!$L$31,0,1)))</f>
        <v>0</v>
      </c>
    </row>
    <row r="1007" spans="2:79">
      <c r="B1007" s="854"/>
      <c r="C1007" s="854"/>
      <c r="D1007" s="854"/>
      <c r="E1007" s="854"/>
      <c r="F1007" s="854"/>
      <c r="G1007" s="854"/>
      <c r="H1007" s="854"/>
      <c r="I1007" s="854"/>
      <c r="J1007" s="854"/>
      <c r="K1007" s="854"/>
      <c r="L1007" s="854"/>
      <c r="M1007" s="854"/>
      <c r="N1007" s="854"/>
      <c r="O1007" s="854"/>
      <c r="P1007" s="854"/>
      <c r="Q1007" s="854"/>
      <c r="R1007" s="854"/>
      <c r="S1007" s="854"/>
      <c r="T1007" s="854"/>
      <c r="U1007" s="854"/>
      <c r="V1007" s="854"/>
      <c r="W1007" s="854"/>
      <c r="X1007" s="854"/>
      <c r="Y1007" s="854"/>
      <c r="Z1007" s="854"/>
      <c r="AA1007" s="854"/>
      <c r="AB1007" s="854"/>
      <c r="AC1007" s="854"/>
      <c r="AD1007" s="854"/>
      <c r="AE1007" s="854"/>
      <c r="AF1007" s="854"/>
      <c r="AG1007" s="854"/>
      <c r="AH1007" s="854"/>
      <c r="AI1007" s="854"/>
      <c r="AJ1007" s="854"/>
      <c r="AK1007" s="854"/>
      <c r="AL1007" s="854"/>
      <c r="AM1007" s="854"/>
      <c r="AN1007" s="854"/>
      <c r="AO1007" s="854"/>
      <c r="AP1007" s="854"/>
      <c r="AQ1007" s="854"/>
      <c r="AR1007" s="854"/>
      <c r="AS1007" s="854"/>
      <c r="AT1007" s="854"/>
      <c r="AU1007" s="854"/>
      <c r="AV1007" s="854"/>
      <c r="AW1007" s="854"/>
      <c r="AX1007" s="854"/>
      <c r="AY1007" s="854"/>
      <c r="AZ1007" s="854"/>
      <c r="BA1007" s="854"/>
      <c r="BB1007" s="854"/>
      <c r="BC1007" s="854"/>
      <c r="BD1007" s="854"/>
      <c r="BE1007" s="854"/>
      <c r="BF1007" s="854"/>
      <c r="BG1007" s="854"/>
      <c r="BH1007" s="854"/>
      <c r="BI1007" s="854"/>
      <c r="BJ1007" s="854"/>
      <c r="BK1007" s="854"/>
      <c r="BL1007" s="854"/>
      <c r="BM1007" s="854"/>
      <c r="BN1007" s="854"/>
      <c r="BO1007" s="854"/>
      <c r="BP1007" s="854"/>
      <c r="BQ1007" s="854"/>
      <c r="BR1007" s="854"/>
      <c r="BS1007" s="854"/>
      <c r="BT1007" s="854"/>
      <c r="BU1007" s="854"/>
      <c r="BV1007" s="854"/>
      <c r="BW1007" s="854"/>
      <c r="BX1007" s="854"/>
      <c r="BY1007" s="854"/>
      <c r="BZ1007" s="854"/>
      <c r="CA1007" s="571">
        <f>IF(OR(I1007="",I1007&lt;'Configs &amp; Procedures'!$L$29),0,IF(I1007&gt;'Configs &amp; Procedures'!$L$30,1,IF(F1007&gt;'Configs &amp; Procedures'!$L$31,0,1)))</f>
        <v>0</v>
      </c>
    </row>
    <row r="1008" spans="2:79">
      <c r="B1008" s="854"/>
      <c r="C1008" s="854"/>
      <c r="D1008" s="854"/>
      <c r="E1008" s="854"/>
      <c r="F1008" s="854"/>
      <c r="G1008" s="854"/>
      <c r="H1008" s="854"/>
      <c r="I1008" s="854"/>
      <c r="J1008" s="854"/>
      <c r="K1008" s="854"/>
      <c r="L1008" s="854"/>
      <c r="M1008" s="854"/>
      <c r="N1008" s="854"/>
      <c r="O1008" s="854"/>
      <c r="P1008" s="854"/>
      <c r="Q1008" s="854"/>
      <c r="R1008" s="854"/>
      <c r="S1008" s="854"/>
      <c r="T1008" s="854"/>
      <c r="U1008" s="854"/>
      <c r="V1008" s="854"/>
      <c r="W1008" s="854"/>
      <c r="X1008" s="854"/>
      <c r="Y1008" s="854"/>
      <c r="Z1008" s="854"/>
      <c r="AA1008" s="854"/>
      <c r="AB1008" s="854"/>
      <c r="AC1008" s="854"/>
      <c r="AD1008" s="854"/>
      <c r="AE1008" s="854"/>
      <c r="AF1008" s="854"/>
      <c r="AG1008" s="854"/>
      <c r="AH1008" s="854"/>
      <c r="AI1008" s="854"/>
      <c r="AJ1008" s="854"/>
      <c r="AK1008" s="854"/>
      <c r="AL1008" s="854"/>
      <c r="AM1008" s="854"/>
      <c r="AN1008" s="854"/>
      <c r="AO1008" s="854"/>
      <c r="AP1008" s="854"/>
      <c r="AQ1008" s="854"/>
      <c r="AR1008" s="854"/>
      <c r="AS1008" s="854"/>
      <c r="AT1008" s="854"/>
      <c r="AU1008" s="854"/>
      <c r="AV1008" s="854"/>
      <c r="AW1008" s="854"/>
      <c r="AX1008" s="854"/>
      <c r="AY1008" s="854"/>
      <c r="AZ1008" s="854"/>
      <c r="BA1008" s="854"/>
      <c r="BB1008" s="854"/>
      <c r="BC1008" s="854"/>
      <c r="BD1008" s="854"/>
      <c r="BE1008" s="854"/>
      <c r="BF1008" s="854"/>
      <c r="BG1008" s="854"/>
      <c r="BH1008" s="854"/>
      <c r="BI1008" s="854"/>
      <c r="BJ1008" s="854"/>
      <c r="BK1008" s="854"/>
      <c r="BL1008" s="854"/>
      <c r="BM1008" s="854"/>
      <c r="BN1008" s="854"/>
      <c r="BO1008" s="854"/>
      <c r="BP1008" s="854"/>
      <c r="BQ1008" s="854"/>
      <c r="BR1008" s="854"/>
      <c r="BS1008" s="854"/>
      <c r="BT1008" s="854"/>
      <c r="BU1008" s="854"/>
      <c r="BV1008" s="854"/>
      <c r="BW1008" s="854"/>
      <c r="BX1008" s="854"/>
      <c r="BY1008" s="854"/>
      <c r="BZ1008" s="854"/>
      <c r="CA1008" s="571">
        <f>IF(OR(I1008="",I1008&lt;'Configs &amp; Procedures'!$L$29),0,IF(I1008&gt;'Configs &amp; Procedures'!$L$30,1,IF(F1008&gt;'Configs &amp; Procedures'!$L$31,0,1)))</f>
        <v>0</v>
      </c>
    </row>
    <row r="1009" spans="2:79">
      <c r="B1009" s="854"/>
      <c r="C1009" s="854"/>
      <c r="D1009" s="854"/>
      <c r="E1009" s="854"/>
      <c r="F1009" s="854"/>
      <c r="G1009" s="854"/>
      <c r="H1009" s="854"/>
      <c r="I1009" s="854"/>
      <c r="J1009" s="854"/>
      <c r="K1009" s="854"/>
      <c r="L1009" s="854"/>
      <c r="M1009" s="854"/>
      <c r="N1009" s="854"/>
      <c r="O1009" s="854"/>
      <c r="P1009" s="854"/>
      <c r="Q1009" s="854"/>
      <c r="R1009" s="854"/>
      <c r="S1009" s="854"/>
      <c r="T1009" s="854"/>
      <c r="U1009" s="854"/>
      <c r="V1009" s="854"/>
      <c r="W1009" s="854"/>
      <c r="X1009" s="854"/>
      <c r="Y1009" s="854"/>
      <c r="Z1009" s="854"/>
      <c r="AA1009" s="854"/>
      <c r="AB1009" s="854"/>
      <c r="AC1009" s="854"/>
      <c r="AD1009" s="854"/>
      <c r="AE1009" s="854"/>
      <c r="AF1009" s="854"/>
      <c r="AG1009" s="854"/>
      <c r="AH1009" s="854"/>
      <c r="AI1009" s="854"/>
      <c r="AJ1009" s="854"/>
      <c r="AK1009" s="854"/>
      <c r="AL1009" s="854"/>
      <c r="AM1009" s="854"/>
      <c r="AN1009" s="854"/>
      <c r="AO1009" s="854"/>
      <c r="AP1009" s="854"/>
      <c r="AQ1009" s="854"/>
      <c r="AR1009" s="854"/>
      <c r="AS1009" s="854"/>
      <c r="AT1009" s="854"/>
      <c r="AU1009" s="854"/>
      <c r="AV1009" s="854"/>
      <c r="AW1009" s="854"/>
      <c r="AX1009" s="854"/>
      <c r="AY1009" s="854"/>
      <c r="AZ1009" s="854"/>
      <c r="BA1009" s="854"/>
      <c r="BB1009" s="854"/>
      <c r="BC1009" s="854"/>
      <c r="BD1009" s="854"/>
      <c r="BE1009" s="854"/>
      <c r="BF1009" s="854"/>
      <c r="BG1009" s="854"/>
      <c r="BH1009" s="854"/>
      <c r="BI1009" s="854"/>
      <c r="BJ1009" s="854"/>
      <c r="BK1009" s="854"/>
      <c r="BL1009" s="854"/>
      <c r="BM1009" s="854"/>
      <c r="BN1009" s="854"/>
      <c r="BO1009" s="854"/>
      <c r="BP1009" s="854"/>
      <c r="BQ1009" s="854"/>
      <c r="BR1009" s="854"/>
      <c r="BS1009" s="854"/>
      <c r="BT1009" s="854"/>
      <c r="BU1009" s="854"/>
      <c r="BV1009" s="854"/>
      <c r="BW1009" s="854"/>
      <c r="BX1009" s="854"/>
      <c r="BY1009" s="854"/>
      <c r="BZ1009" s="854"/>
      <c r="CA1009" s="571">
        <f>IF(OR(I1009="",I1009&lt;'Configs &amp; Procedures'!$L$29),0,IF(I1009&gt;'Configs &amp; Procedures'!$L$30,1,IF(F1009&gt;'Configs &amp; Procedures'!$L$31,0,1)))</f>
        <v>0</v>
      </c>
    </row>
    <row r="1010" spans="2:79">
      <c r="B1010" s="854"/>
      <c r="C1010" s="854"/>
      <c r="D1010" s="854"/>
      <c r="E1010" s="854"/>
      <c r="F1010" s="854"/>
      <c r="G1010" s="854"/>
      <c r="H1010" s="854"/>
      <c r="I1010" s="854"/>
      <c r="J1010" s="854"/>
      <c r="K1010" s="854"/>
      <c r="L1010" s="854"/>
      <c r="M1010" s="854"/>
      <c r="N1010" s="854"/>
      <c r="O1010" s="854"/>
      <c r="P1010" s="854"/>
      <c r="Q1010" s="854"/>
      <c r="R1010" s="854"/>
      <c r="S1010" s="854"/>
      <c r="T1010" s="854"/>
      <c r="U1010" s="854"/>
      <c r="V1010" s="854"/>
      <c r="W1010" s="854"/>
      <c r="X1010" s="854"/>
      <c r="Y1010" s="854"/>
      <c r="Z1010" s="854"/>
      <c r="AA1010" s="854"/>
      <c r="AB1010" s="854"/>
      <c r="AC1010" s="854"/>
      <c r="AD1010" s="854"/>
      <c r="AE1010" s="854"/>
      <c r="AF1010" s="854"/>
      <c r="AG1010" s="854"/>
      <c r="AH1010" s="854"/>
      <c r="AI1010" s="854"/>
      <c r="AJ1010" s="854"/>
      <c r="AK1010" s="854"/>
      <c r="AL1010" s="854"/>
      <c r="AM1010" s="854"/>
      <c r="AN1010" s="854"/>
      <c r="AO1010" s="854"/>
      <c r="AP1010" s="854"/>
      <c r="AQ1010" s="854"/>
      <c r="AR1010" s="854"/>
      <c r="AS1010" s="854"/>
      <c r="AT1010" s="854"/>
      <c r="AU1010" s="854"/>
      <c r="AV1010" s="854"/>
      <c r="AW1010" s="854"/>
      <c r="AX1010" s="854"/>
      <c r="AY1010" s="854"/>
      <c r="AZ1010" s="854"/>
      <c r="BA1010" s="854"/>
      <c r="BB1010" s="854"/>
      <c r="BC1010" s="854"/>
      <c r="BD1010" s="854"/>
      <c r="BE1010" s="854"/>
      <c r="BF1010" s="854"/>
      <c r="BG1010" s="854"/>
      <c r="BH1010" s="854"/>
      <c r="BI1010" s="854"/>
      <c r="BJ1010" s="854"/>
      <c r="BK1010" s="854"/>
      <c r="BL1010" s="854"/>
      <c r="BM1010" s="854"/>
      <c r="BN1010" s="854"/>
      <c r="BO1010" s="854"/>
      <c r="BP1010" s="854"/>
      <c r="BQ1010" s="854"/>
      <c r="BR1010" s="854"/>
      <c r="BS1010" s="854"/>
      <c r="BT1010" s="854"/>
      <c r="BU1010" s="854"/>
      <c r="BV1010" s="854"/>
      <c r="BW1010" s="854"/>
      <c r="BX1010" s="854"/>
      <c r="BY1010" s="854"/>
      <c r="BZ1010" s="854"/>
      <c r="CA1010" s="571">
        <f>IF(OR(I1010="",I1010&lt;'Configs &amp; Procedures'!$L$29),0,IF(I1010&gt;'Configs &amp; Procedures'!$L$30,1,IF(F1010&gt;'Configs &amp; Procedures'!$L$31,0,1)))</f>
        <v>0</v>
      </c>
    </row>
    <row r="1011" spans="2:79">
      <c r="B1011" s="854"/>
      <c r="C1011" s="854"/>
      <c r="D1011" s="854"/>
      <c r="E1011" s="854"/>
      <c r="F1011" s="854"/>
      <c r="G1011" s="854"/>
      <c r="H1011" s="854"/>
      <c r="I1011" s="854"/>
      <c r="J1011" s="854"/>
      <c r="K1011" s="854"/>
      <c r="L1011" s="854"/>
      <c r="M1011" s="854"/>
      <c r="N1011" s="854"/>
      <c r="O1011" s="854"/>
      <c r="P1011" s="854"/>
      <c r="Q1011" s="854"/>
      <c r="R1011" s="854"/>
      <c r="S1011" s="854"/>
      <c r="T1011" s="854"/>
      <c r="U1011" s="854"/>
      <c r="V1011" s="854"/>
      <c r="W1011" s="854"/>
      <c r="X1011" s="854"/>
      <c r="Y1011" s="854"/>
      <c r="Z1011" s="854"/>
      <c r="AA1011" s="854"/>
      <c r="AB1011" s="854"/>
      <c r="AC1011" s="854"/>
      <c r="AD1011" s="854"/>
      <c r="AE1011" s="854"/>
      <c r="AF1011" s="854"/>
      <c r="AG1011" s="854"/>
      <c r="AH1011" s="854"/>
      <c r="AI1011" s="854"/>
      <c r="AJ1011" s="854"/>
      <c r="AK1011" s="854"/>
      <c r="AL1011" s="854"/>
      <c r="AM1011" s="854"/>
      <c r="AN1011" s="854"/>
      <c r="AO1011" s="854"/>
      <c r="AP1011" s="854"/>
      <c r="AQ1011" s="854"/>
      <c r="AR1011" s="854"/>
      <c r="AS1011" s="854"/>
      <c r="AT1011" s="854"/>
      <c r="AU1011" s="854"/>
      <c r="AV1011" s="854"/>
      <c r="AW1011" s="854"/>
      <c r="AX1011" s="854"/>
      <c r="AY1011" s="854"/>
      <c r="AZ1011" s="854"/>
      <c r="BA1011" s="854"/>
      <c r="BB1011" s="854"/>
      <c r="BC1011" s="854"/>
      <c r="BD1011" s="854"/>
      <c r="BE1011" s="854"/>
      <c r="BF1011" s="854"/>
      <c r="BG1011" s="854"/>
      <c r="BH1011" s="854"/>
      <c r="BI1011" s="854"/>
      <c r="BJ1011" s="854"/>
      <c r="BK1011" s="854"/>
      <c r="BL1011" s="854"/>
      <c r="BM1011" s="854"/>
      <c r="BN1011" s="854"/>
      <c r="BO1011" s="854"/>
      <c r="BP1011" s="854"/>
      <c r="BQ1011" s="854"/>
      <c r="BR1011" s="854"/>
      <c r="BS1011" s="854"/>
      <c r="BT1011" s="854"/>
      <c r="BU1011" s="854"/>
      <c r="BV1011" s="854"/>
      <c r="BW1011" s="854"/>
      <c r="BX1011" s="854"/>
      <c r="BY1011" s="854"/>
      <c r="BZ1011" s="854"/>
      <c r="CA1011" s="571">
        <f>IF(OR(I1011="",I1011&lt;'Configs &amp; Procedures'!$L$29),0,IF(I1011&gt;'Configs &amp; Procedures'!$L$30,1,IF(F1011&gt;'Configs &amp; Procedures'!$L$31,0,1)))</f>
        <v>0</v>
      </c>
    </row>
    <row r="1012" spans="2:79">
      <c r="B1012" s="854"/>
      <c r="C1012" s="854"/>
      <c r="D1012" s="854"/>
      <c r="E1012" s="854"/>
      <c r="F1012" s="854"/>
      <c r="G1012" s="854"/>
      <c r="H1012" s="854"/>
      <c r="I1012" s="854"/>
      <c r="J1012" s="854"/>
      <c r="K1012" s="854"/>
      <c r="L1012" s="854"/>
      <c r="M1012" s="854"/>
      <c r="N1012" s="854"/>
      <c r="O1012" s="854"/>
      <c r="P1012" s="854"/>
      <c r="Q1012" s="854"/>
      <c r="R1012" s="854"/>
      <c r="S1012" s="854"/>
      <c r="T1012" s="854"/>
      <c r="U1012" s="854"/>
      <c r="V1012" s="854"/>
      <c r="W1012" s="854"/>
      <c r="X1012" s="854"/>
      <c r="Y1012" s="854"/>
      <c r="Z1012" s="854"/>
      <c r="AA1012" s="854"/>
      <c r="AB1012" s="854"/>
      <c r="AC1012" s="854"/>
      <c r="AD1012" s="854"/>
      <c r="AE1012" s="854"/>
      <c r="AF1012" s="854"/>
      <c r="AG1012" s="854"/>
      <c r="AH1012" s="854"/>
      <c r="AI1012" s="854"/>
      <c r="AJ1012" s="854"/>
      <c r="AK1012" s="854"/>
      <c r="AL1012" s="854"/>
      <c r="AM1012" s="854"/>
      <c r="AN1012" s="854"/>
      <c r="AO1012" s="854"/>
      <c r="AP1012" s="854"/>
      <c r="AQ1012" s="854"/>
      <c r="AR1012" s="854"/>
      <c r="AS1012" s="854"/>
      <c r="AT1012" s="854"/>
      <c r="AU1012" s="854"/>
      <c r="AV1012" s="854"/>
      <c r="AW1012" s="854"/>
      <c r="AX1012" s="854"/>
      <c r="AY1012" s="854"/>
      <c r="AZ1012" s="854"/>
      <c r="BA1012" s="854"/>
      <c r="BB1012" s="854"/>
      <c r="BC1012" s="854"/>
      <c r="BD1012" s="854"/>
      <c r="BE1012" s="854"/>
      <c r="BF1012" s="854"/>
      <c r="BG1012" s="854"/>
      <c r="BH1012" s="854"/>
      <c r="BI1012" s="854"/>
      <c r="BJ1012" s="854"/>
      <c r="BK1012" s="854"/>
      <c r="BL1012" s="854"/>
      <c r="BM1012" s="854"/>
      <c r="BN1012" s="854"/>
      <c r="BO1012" s="854"/>
      <c r="BP1012" s="854"/>
      <c r="BQ1012" s="854"/>
      <c r="BR1012" s="854"/>
      <c r="BS1012" s="854"/>
      <c r="BT1012" s="854"/>
      <c r="BU1012" s="854"/>
      <c r="BV1012" s="854"/>
      <c r="BW1012" s="854"/>
      <c r="BX1012" s="854"/>
      <c r="BY1012" s="854"/>
      <c r="BZ1012" s="854"/>
      <c r="CA1012" s="571">
        <f>IF(OR(I1012="",I1012&lt;'Configs &amp; Procedures'!$L$29),0,IF(I1012&gt;'Configs &amp; Procedures'!$L$30,1,IF(F1012&gt;'Configs &amp; Procedures'!$L$31,0,1)))</f>
        <v>0</v>
      </c>
    </row>
    <row r="1013" spans="2:79">
      <c r="B1013" s="854"/>
      <c r="C1013" s="854"/>
      <c r="D1013" s="854"/>
      <c r="E1013" s="854"/>
      <c r="F1013" s="854"/>
      <c r="G1013" s="854"/>
      <c r="H1013" s="854"/>
      <c r="I1013" s="854"/>
      <c r="J1013" s="854"/>
      <c r="K1013" s="854"/>
      <c r="L1013" s="854"/>
      <c r="M1013" s="854"/>
      <c r="N1013" s="854"/>
      <c r="O1013" s="854"/>
      <c r="P1013" s="854"/>
      <c r="Q1013" s="854"/>
      <c r="R1013" s="854"/>
      <c r="S1013" s="854"/>
      <c r="T1013" s="854"/>
      <c r="U1013" s="854"/>
      <c r="V1013" s="854"/>
      <c r="W1013" s="854"/>
      <c r="X1013" s="854"/>
      <c r="Y1013" s="854"/>
      <c r="Z1013" s="854"/>
      <c r="AA1013" s="854"/>
      <c r="AB1013" s="854"/>
      <c r="AC1013" s="854"/>
      <c r="AD1013" s="854"/>
      <c r="AE1013" s="854"/>
      <c r="AF1013" s="854"/>
      <c r="AG1013" s="854"/>
      <c r="AH1013" s="854"/>
      <c r="AI1013" s="854"/>
      <c r="AJ1013" s="854"/>
      <c r="AK1013" s="854"/>
      <c r="AL1013" s="854"/>
      <c r="AM1013" s="854"/>
      <c r="AN1013" s="854"/>
      <c r="AO1013" s="854"/>
      <c r="AP1013" s="854"/>
      <c r="AQ1013" s="854"/>
      <c r="AR1013" s="854"/>
      <c r="AS1013" s="854"/>
      <c r="AT1013" s="854"/>
      <c r="AU1013" s="854"/>
      <c r="AV1013" s="854"/>
      <c r="AW1013" s="854"/>
      <c r="AX1013" s="854"/>
      <c r="AY1013" s="854"/>
      <c r="AZ1013" s="854"/>
      <c r="BA1013" s="854"/>
      <c r="BB1013" s="854"/>
      <c r="BC1013" s="854"/>
      <c r="BD1013" s="854"/>
      <c r="BE1013" s="854"/>
      <c r="BF1013" s="854"/>
      <c r="BG1013" s="854"/>
      <c r="BH1013" s="854"/>
      <c r="BI1013" s="854"/>
      <c r="BJ1013" s="854"/>
      <c r="BK1013" s="854"/>
      <c r="BL1013" s="854"/>
      <c r="BM1013" s="854"/>
      <c r="BN1013" s="854"/>
      <c r="BO1013" s="854"/>
      <c r="BP1013" s="854"/>
      <c r="BQ1013" s="854"/>
      <c r="BR1013" s="854"/>
      <c r="BS1013" s="854"/>
      <c r="BT1013" s="854"/>
      <c r="BU1013" s="854"/>
      <c r="BV1013" s="854"/>
      <c r="BW1013" s="854"/>
      <c r="BX1013" s="854"/>
      <c r="BY1013" s="854"/>
      <c r="BZ1013" s="854"/>
      <c r="CA1013" s="571">
        <f>IF(OR(I1013="",I1013&lt;'Configs &amp; Procedures'!$L$29),0,IF(I1013&gt;'Configs &amp; Procedures'!$L$30,1,IF(F1013&gt;'Configs &amp; Procedures'!$L$31,0,1)))</f>
        <v>0</v>
      </c>
    </row>
    <row r="1014" spans="2:79">
      <c r="B1014" s="854"/>
      <c r="C1014" s="854"/>
      <c r="D1014" s="854"/>
      <c r="E1014" s="854"/>
      <c r="F1014" s="854"/>
      <c r="G1014" s="854"/>
      <c r="H1014" s="854"/>
      <c r="I1014" s="854"/>
      <c r="J1014" s="854"/>
      <c r="K1014" s="854"/>
      <c r="L1014" s="854"/>
      <c r="M1014" s="854"/>
      <c r="N1014" s="854"/>
      <c r="O1014" s="854"/>
      <c r="P1014" s="854"/>
      <c r="Q1014" s="854"/>
      <c r="R1014" s="854"/>
      <c r="S1014" s="854"/>
      <c r="T1014" s="854"/>
      <c r="U1014" s="854"/>
      <c r="V1014" s="854"/>
      <c r="W1014" s="854"/>
      <c r="X1014" s="854"/>
      <c r="Y1014" s="854"/>
      <c r="Z1014" s="854"/>
      <c r="AA1014" s="854"/>
      <c r="AB1014" s="854"/>
      <c r="AC1014" s="854"/>
      <c r="AD1014" s="854"/>
      <c r="AE1014" s="854"/>
      <c r="AF1014" s="854"/>
      <c r="AG1014" s="854"/>
      <c r="AH1014" s="854"/>
      <c r="AI1014" s="854"/>
      <c r="AJ1014" s="854"/>
      <c r="AK1014" s="854"/>
      <c r="AL1014" s="854"/>
      <c r="AM1014" s="854"/>
      <c r="AN1014" s="854"/>
      <c r="AO1014" s="854"/>
      <c r="AP1014" s="854"/>
      <c r="AQ1014" s="854"/>
      <c r="AR1014" s="854"/>
      <c r="AS1014" s="854"/>
      <c r="AT1014" s="854"/>
      <c r="AU1014" s="854"/>
      <c r="AV1014" s="854"/>
      <c r="AW1014" s="854"/>
      <c r="AX1014" s="854"/>
      <c r="AY1014" s="854"/>
      <c r="AZ1014" s="854"/>
      <c r="BA1014" s="854"/>
      <c r="BB1014" s="854"/>
      <c r="BC1014" s="854"/>
      <c r="BD1014" s="854"/>
      <c r="BE1014" s="854"/>
      <c r="BF1014" s="854"/>
      <c r="BG1014" s="854"/>
      <c r="BH1014" s="854"/>
      <c r="BI1014" s="854"/>
      <c r="BJ1014" s="854"/>
      <c r="BK1014" s="854"/>
      <c r="BL1014" s="854"/>
      <c r="BM1014" s="854"/>
      <c r="BN1014" s="854"/>
      <c r="BO1014" s="854"/>
      <c r="BP1014" s="854"/>
      <c r="BQ1014" s="854"/>
      <c r="BR1014" s="854"/>
      <c r="BS1014" s="854"/>
      <c r="BT1014" s="854"/>
      <c r="BU1014" s="854"/>
      <c r="BV1014" s="854"/>
      <c r="BW1014" s="854"/>
      <c r="BX1014" s="854"/>
      <c r="BY1014" s="854"/>
      <c r="BZ1014" s="854"/>
      <c r="CA1014" s="571">
        <f>IF(OR(I1014="",I1014&lt;'Configs &amp; Procedures'!$L$29),0,IF(I1014&gt;'Configs &amp; Procedures'!$L$30,1,IF(F1014&gt;'Configs &amp; Procedures'!$L$31,0,1)))</f>
        <v>0</v>
      </c>
    </row>
    <row r="1015" spans="2:79" ht="13.5" thickBot="1">
      <c r="B1015" s="854"/>
      <c r="C1015" s="854"/>
      <c r="D1015" s="854"/>
      <c r="E1015" s="854"/>
      <c r="F1015" s="854"/>
      <c r="G1015" s="854"/>
      <c r="H1015" s="854"/>
      <c r="I1015" s="854"/>
      <c r="J1015" s="854"/>
      <c r="K1015" s="854"/>
      <c r="L1015" s="854"/>
      <c r="M1015" s="854"/>
      <c r="N1015" s="854"/>
      <c r="O1015" s="854"/>
      <c r="P1015" s="854"/>
      <c r="Q1015" s="854"/>
      <c r="R1015" s="854"/>
      <c r="S1015" s="854"/>
      <c r="T1015" s="854"/>
      <c r="U1015" s="854"/>
      <c r="V1015" s="854"/>
      <c r="W1015" s="854"/>
      <c r="X1015" s="854"/>
      <c r="Y1015" s="854"/>
      <c r="Z1015" s="854"/>
      <c r="AA1015" s="854"/>
      <c r="AB1015" s="854"/>
      <c r="AC1015" s="854"/>
      <c r="AD1015" s="854"/>
      <c r="AE1015" s="854"/>
      <c r="AF1015" s="854"/>
      <c r="AG1015" s="854"/>
      <c r="AH1015" s="854"/>
      <c r="AI1015" s="854"/>
      <c r="AJ1015" s="854"/>
      <c r="AK1015" s="854"/>
      <c r="AL1015" s="854"/>
      <c r="AM1015" s="854"/>
      <c r="AN1015" s="854"/>
      <c r="AO1015" s="854"/>
      <c r="AP1015" s="854"/>
      <c r="AQ1015" s="854"/>
      <c r="AR1015" s="854"/>
      <c r="AS1015" s="854"/>
      <c r="AT1015" s="854"/>
      <c r="AU1015" s="854"/>
      <c r="AV1015" s="854"/>
      <c r="AW1015" s="854"/>
      <c r="AX1015" s="854"/>
      <c r="AY1015" s="854"/>
      <c r="AZ1015" s="854"/>
      <c r="BA1015" s="854"/>
      <c r="BB1015" s="854"/>
      <c r="BC1015" s="854"/>
      <c r="BD1015" s="854"/>
      <c r="BE1015" s="854"/>
      <c r="BF1015" s="854"/>
      <c r="BG1015" s="854"/>
      <c r="BH1015" s="854"/>
      <c r="BI1015" s="854"/>
      <c r="BJ1015" s="854"/>
      <c r="BK1015" s="854"/>
      <c r="BL1015" s="854"/>
      <c r="BM1015" s="854"/>
      <c r="BN1015" s="854"/>
      <c r="BO1015" s="854"/>
      <c r="BP1015" s="854"/>
      <c r="BQ1015" s="854"/>
      <c r="BR1015" s="854"/>
      <c r="BS1015" s="854"/>
      <c r="BT1015" s="854"/>
      <c r="BU1015" s="854"/>
      <c r="BV1015" s="854"/>
      <c r="BW1015" s="854"/>
      <c r="BX1015" s="854"/>
      <c r="BY1015" s="854"/>
      <c r="BZ1015" s="854"/>
      <c r="CA1015" s="589">
        <f>IF(OR(I1015="",I1015&lt;'Configs &amp; Procedures'!$L$29),0,IF(I1015&gt;'Configs &amp; Procedures'!$L$30,1,IF(F1015&gt;'Configs &amp; Procedures'!$L$31,0,1)))</f>
        <v>0</v>
      </c>
    </row>
  </sheetData>
  <sheetProtection sheet="1" objects="1" scenarios="1"/>
  <mergeCells count="25">
    <mergeCell ref="B2:H2"/>
    <mergeCell ref="B3:H3"/>
    <mergeCell ref="B4:H4"/>
    <mergeCell ref="S14:U14"/>
    <mergeCell ref="D10:G10"/>
    <mergeCell ref="D11:G11"/>
    <mergeCell ref="D12:G12"/>
    <mergeCell ref="P14:R14"/>
    <mergeCell ref="B6:G6"/>
    <mergeCell ref="AR12:AZ12"/>
    <mergeCell ref="D14:G14"/>
    <mergeCell ref="H14:I14"/>
    <mergeCell ref="J14:L14"/>
    <mergeCell ref="M14:O14"/>
    <mergeCell ref="D13:G13"/>
    <mergeCell ref="AR14:AY14"/>
    <mergeCell ref="AE14:AF14"/>
    <mergeCell ref="AG14:AH14"/>
    <mergeCell ref="AI14:AK14"/>
    <mergeCell ref="AL14:AN14"/>
    <mergeCell ref="AO14:AQ14"/>
    <mergeCell ref="V14:X14"/>
    <mergeCell ref="Y14:Z14"/>
    <mergeCell ref="AA14:AB14"/>
    <mergeCell ref="AC14:AD14"/>
  </mergeCells>
  <printOptions horizontalCentered="1"/>
  <pageMargins left="0.5" right="0.5" top="0.75" bottom="1" header="0.5" footer="0.5"/>
  <pageSetup orientation="portrait" horizontalDpi="4294967294" verticalDpi="1200" r:id="rId1"/>
  <headerFooter alignWithMargins="0">
    <oddFooter>&amp;R&amp;D</oddFooter>
  </headerFooter>
  <legacyDrawing r:id="rId2"/>
</worksheet>
</file>

<file path=xl/worksheets/sheet10.xml><?xml version="1.0" encoding="utf-8"?>
<worksheet xmlns="http://schemas.openxmlformats.org/spreadsheetml/2006/main" xmlns:r="http://schemas.openxmlformats.org/officeDocument/2006/relationships">
  <sheetPr codeName="Sheet1"/>
  <dimension ref="B1:DU1009"/>
  <sheetViews>
    <sheetView zoomScale="75" zoomScaleNormal="75" workbookViewId="0"/>
  </sheetViews>
  <sheetFormatPr defaultRowHeight="15"/>
  <cols>
    <col min="1" max="1" width="4" customWidth="1"/>
    <col min="2" max="2" width="12.7109375" bestFit="1" customWidth="1"/>
    <col min="3" max="3" width="8.85546875" customWidth="1"/>
    <col min="4" max="4" width="8.28515625" customWidth="1"/>
    <col min="5" max="5" width="6.28515625" bestFit="1" customWidth="1"/>
    <col min="6" max="6" width="5.7109375" bestFit="1" customWidth="1"/>
    <col min="7" max="7" width="5.140625" bestFit="1" customWidth="1"/>
    <col min="8" max="8" width="4.28515625" bestFit="1" customWidth="1"/>
    <col min="9" max="9" width="6.85546875" bestFit="1" customWidth="1"/>
    <col min="10" max="10" width="5.140625" bestFit="1" customWidth="1"/>
    <col min="11" max="11" width="5.42578125" bestFit="1" customWidth="1"/>
    <col min="12" max="12" width="6" bestFit="1" customWidth="1"/>
    <col min="13" max="14" width="6.42578125" bestFit="1" customWidth="1"/>
    <col min="15" max="15" width="10.28515625" customWidth="1"/>
    <col min="16" max="16" width="7.5703125" customWidth="1"/>
    <col min="17" max="17" width="9.42578125" bestFit="1" customWidth="1"/>
    <col min="18" max="18" width="8.5703125" bestFit="1" customWidth="1"/>
    <col min="19" max="19" width="8.28515625" customWidth="1"/>
    <col min="20" max="20" width="8.5703125" bestFit="1" customWidth="1"/>
    <col min="21" max="21" width="9.5703125" customWidth="1"/>
    <col min="22" max="22" width="8.5703125" bestFit="1" customWidth="1"/>
    <col min="23" max="23" width="8.7109375" bestFit="1" customWidth="1"/>
    <col min="24" max="24" width="5.28515625" bestFit="1" customWidth="1"/>
    <col min="25" max="25" width="5.85546875" bestFit="1" customWidth="1"/>
    <col min="26" max="27" width="7.5703125" bestFit="1" customWidth="1"/>
    <col min="28" max="28" width="6.28515625" bestFit="1" customWidth="1"/>
    <col min="29" max="29" width="8.5703125" bestFit="1" customWidth="1"/>
    <col min="30" max="30" width="6.28515625" bestFit="1" customWidth="1"/>
    <col min="31" max="31" width="6.42578125" bestFit="1" customWidth="1"/>
    <col min="32" max="32" width="6.5703125" customWidth="1"/>
    <col min="33" max="33" width="7.5703125" bestFit="1" customWidth="1"/>
    <col min="34" max="34" width="7.28515625" customWidth="1"/>
    <col min="35" max="35" width="6.28515625" bestFit="1" customWidth="1"/>
    <col min="36" max="36" width="8.5703125" bestFit="1" customWidth="1"/>
    <col min="37" max="37" width="7.140625" bestFit="1" customWidth="1"/>
    <col min="38" max="38" width="6.42578125" bestFit="1" customWidth="1"/>
    <col min="39" max="39" width="10" bestFit="1" customWidth="1"/>
    <col min="40" max="40" width="6.28515625" bestFit="1" customWidth="1"/>
    <col min="41" max="41" width="8.5703125" bestFit="1" customWidth="1"/>
    <col min="42" max="42" width="6.28515625" bestFit="1" customWidth="1"/>
    <col min="43" max="43" width="5.140625" bestFit="1" customWidth="1"/>
    <col min="44" max="44" width="5.28515625" bestFit="1" customWidth="1"/>
    <col min="45" max="45" width="7.5703125" bestFit="1" customWidth="1"/>
    <col min="46" max="46" width="6" bestFit="1" customWidth="1"/>
    <col min="47" max="48" width="6.28515625" bestFit="1" customWidth="1"/>
    <col min="49" max="49" width="8.5703125" bestFit="1" customWidth="1"/>
    <col min="50" max="50" width="6.28515625" bestFit="1" customWidth="1"/>
    <col min="51" max="51" width="5.140625" bestFit="1" customWidth="1"/>
    <col min="52" max="52" width="5.28515625" bestFit="1" customWidth="1"/>
    <col min="53" max="53" width="7.5703125" bestFit="1" customWidth="1"/>
    <col min="54" max="54" width="6" bestFit="1" customWidth="1"/>
    <col min="55" max="56" width="6.28515625" bestFit="1" customWidth="1"/>
    <col min="57" max="57" width="8.5703125" bestFit="1" customWidth="1"/>
    <col min="58" max="58" width="6.28515625" bestFit="1" customWidth="1"/>
    <col min="59" max="59" width="5.140625" bestFit="1" customWidth="1"/>
    <col min="60" max="60" width="5.28515625" bestFit="1" customWidth="1"/>
    <col min="61" max="61" width="7.5703125" bestFit="1" customWidth="1"/>
    <col min="62" max="62" width="8.140625" bestFit="1" customWidth="1"/>
    <col min="63" max="82" width="5.7109375" customWidth="1"/>
    <col min="83" max="83" width="3.7109375" customWidth="1"/>
    <col min="84" max="84" width="5.7109375" customWidth="1"/>
    <col min="85" max="85" width="44.28515625" bestFit="1" customWidth="1"/>
  </cols>
  <sheetData>
    <row r="1" spans="2:85" s="1" customFormat="1" ht="15.75" thickBot="1">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c r="AK1" s="49"/>
      <c r="AL1" s="49"/>
      <c r="AM1" s="49"/>
      <c r="AN1" s="49"/>
      <c r="AO1" s="49"/>
      <c r="AP1" s="49"/>
      <c r="AQ1" s="49"/>
      <c r="AR1" s="49"/>
      <c r="AS1" s="49"/>
      <c r="AT1" s="49"/>
      <c r="AU1" s="49"/>
      <c r="AV1" s="49"/>
      <c r="AW1" s="49"/>
      <c r="AX1" s="49"/>
      <c r="AY1" s="49"/>
      <c r="AZ1" s="49"/>
      <c r="BA1" s="49"/>
      <c r="BB1" s="49"/>
      <c r="BC1" s="49"/>
      <c r="BD1" s="49"/>
      <c r="BE1" s="49"/>
      <c r="BF1" s="49"/>
      <c r="BG1" s="49"/>
      <c r="BH1" s="49"/>
      <c r="BI1" s="49"/>
      <c r="BJ1" s="49"/>
      <c r="BK1" s="49"/>
      <c r="BL1" s="49"/>
      <c r="BM1" s="49"/>
      <c r="BN1" s="49"/>
      <c r="BO1" s="49"/>
      <c r="BP1" s="49"/>
      <c r="BQ1" s="49"/>
      <c r="BR1" s="49"/>
      <c r="BS1" s="49"/>
      <c r="BT1" s="49"/>
      <c r="BU1" s="49"/>
      <c r="BV1" s="49"/>
      <c r="BW1" s="49"/>
      <c r="BX1" s="49"/>
      <c r="BY1" s="49"/>
      <c r="BZ1" s="49"/>
      <c r="CA1" s="49"/>
      <c r="CB1" s="49"/>
      <c r="CC1" s="49"/>
      <c r="CD1" s="49"/>
    </row>
    <row r="2" spans="2:85" s="1" customFormat="1" ht="16.5" thickBot="1">
      <c r="C2"/>
      <c r="D2" s="1601" t="s">
        <v>1188</v>
      </c>
      <c r="E2" s="1602"/>
      <c r="F2" s="1602"/>
      <c r="G2" s="1602"/>
      <c r="H2" s="1602"/>
      <c r="I2" s="1602"/>
      <c r="J2" s="1602"/>
      <c r="K2" s="1602"/>
      <c r="L2" s="1603"/>
      <c r="M2"/>
      <c r="N2"/>
      <c r="P2" s="783" t="s">
        <v>1167</v>
      </c>
      <c r="Q2" s="134" t="s">
        <v>1327</v>
      </c>
      <c r="R2" s="2"/>
      <c r="S2" s="3"/>
      <c r="T2" s="3"/>
      <c r="U2" s="3"/>
      <c r="V2" s="2"/>
    </row>
    <row r="3" spans="2:85" s="1" customFormat="1" ht="16.5" thickBot="1">
      <c r="B3" s="1608" t="s">
        <v>1940</v>
      </c>
      <c r="C3" s="1609"/>
      <c r="D3" s="1610"/>
      <c r="E3" s="1604" t="s">
        <v>97</v>
      </c>
      <c r="F3" s="1589"/>
      <c r="G3" s="1589"/>
      <c r="H3" s="1589"/>
      <c r="I3" s="1589"/>
      <c r="J3" s="1589"/>
      <c r="K3" s="1589"/>
      <c r="L3" s="1589"/>
      <c r="M3" s="1589"/>
      <c r="N3" s="1589"/>
      <c r="O3" s="1589"/>
      <c r="P3" s="1589"/>
      <c r="Q3" s="1589"/>
      <c r="R3" s="1589"/>
      <c r="S3" s="1589"/>
      <c r="T3" s="1589"/>
      <c r="U3" s="1589"/>
      <c r="V3" s="1589"/>
      <c r="W3" s="1589"/>
      <c r="X3" s="1589"/>
      <c r="Y3" s="1589"/>
      <c r="Z3" s="1589"/>
      <c r="AA3" s="1589"/>
      <c r="AB3" s="1589"/>
      <c r="AC3" s="1589"/>
      <c r="AD3" s="1589"/>
      <c r="AE3" s="1589"/>
      <c r="AF3" s="1589"/>
      <c r="AG3" s="1589"/>
      <c r="AH3" s="1589"/>
      <c r="AI3" s="1589"/>
      <c r="AJ3" s="1589"/>
      <c r="AK3" s="1589"/>
      <c r="AL3" s="1589"/>
      <c r="AM3" s="1590"/>
    </row>
    <row r="4" spans="2:85" s="1" customFormat="1">
      <c r="B4" s="4" t="s">
        <v>1236</v>
      </c>
      <c r="C4" s="5" t="s">
        <v>890</v>
      </c>
      <c r="D4" s="6">
        <f t="shared" ref="D4:AA4" si="0">MIN(D10:D1048576)</f>
        <v>2502.3144544828265</v>
      </c>
      <c r="E4" s="7">
        <f t="shared" si="0"/>
        <v>151.53368687221229</v>
      </c>
      <c r="F4" s="7">
        <f t="shared" si="0"/>
        <v>0.35004759429663257</v>
      </c>
      <c r="G4" s="7">
        <f t="shared" si="0"/>
        <v>78.133362474059211</v>
      </c>
      <c r="H4" s="62">
        <f t="shared" si="0"/>
        <v>40.388000228168742</v>
      </c>
      <c r="I4" s="69">
        <f t="shared" si="0"/>
        <v>0</v>
      </c>
      <c r="J4" s="7">
        <f t="shared" si="0"/>
        <v>0</v>
      </c>
      <c r="K4" s="72">
        <f t="shared" si="0"/>
        <v>340</v>
      </c>
      <c r="L4" s="73">
        <f t="shared" si="0"/>
        <v>0</v>
      </c>
      <c r="M4" s="52">
        <f t="shared" si="0"/>
        <v>24.959964752197266</v>
      </c>
      <c r="N4" s="62">
        <f t="shared" si="0"/>
        <v>0</v>
      </c>
      <c r="O4" s="52">
        <f t="shared" si="0"/>
        <v>0</v>
      </c>
      <c r="P4" s="7">
        <f t="shared" si="0"/>
        <v>0</v>
      </c>
      <c r="Q4" s="62">
        <f>MIN(Q10:Q1048576)</f>
        <v>49.545825958251953</v>
      </c>
      <c r="R4" s="60">
        <f t="shared" si="0"/>
        <v>0</v>
      </c>
      <c r="S4" s="7">
        <f t="shared" si="0"/>
        <v>0</v>
      </c>
      <c r="T4" s="40">
        <f t="shared" si="0"/>
        <v>0</v>
      </c>
      <c r="U4" s="41">
        <f t="shared" si="0"/>
        <v>0</v>
      </c>
      <c r="V4" s="42">
        <f t="shared" si="0"/>
        <v>0</v>
      </c>
      <c r="W4" s="39">
        <f t="shared" si="0"/>
        <v>966.43621826171875</v>
      </c>
      <c r="X4" s="43">
        <f t="shared" si="0"/>
        <v>86.867897033691406</v>
      </c>
      <c r="Y4" s="42">
        <f t="shared" si="0"/>
        <v>0</v>
      </c>
      <c r="Z4" s="44">
        <f t="shared" si="0"/>
        <v>0</v>
      </c>
      <c r="AA4" s="749">
        <f t="shared" si="0"/>
        <v>0.33908081384208721</v>
      </c>
      <c r="AB4" s="753">
        <f t="shared" ref="AB4:AM4" si="1">MIN(AB10:AB1048576)</f>
        <v>0</v>
      </c>
      <c r="AC4" s="754">
        <f t="shared" si="1"/>
        <v>0</v>
      </c>
      <c r="AD4" s="754">
        <f t="shared" si="1"/>
        <v>0</v>
      </c>
      <c r="AE4" s="754">
        <f t="shared" si="1"/>
        <v>0</v>
      </c>
      <c r="AF4" s="754">
        <f t="shared" si="1"/>
        <v>0</v>
      </c>
      <c r="AG4" s="754">
        <f t="shared" si="1"/>
        <v>0</v>
      </c>
      <c r="AH4" s="754">
        <f t="shared" si="1"/>
        <v>0</v>
      </c>
      <c r="AI4" s="755">
        <f t="shared" si="1"/>
        <v>0</v>
      </c>
      <c r="AJ4" s="749">
        <f t="shared" si="1"/>
        <v>0</v>
      </c>
      <c r="AK4" s="753">
        <f t="shared" si="1"/>
        <v>0</v>
      </c>
      <c r="AL4" s="754">
        <f t="shared" si="1"/>
        <v>0</v>
      </c>
      <c r="AM4" s="755">
        <f t="shared" si="1"/>
        <v>0</v>
      </c>
    </row>
    <row r="5" spans="2:85" s="1" customFormat="1" ht="15.75" thickBot="1">
      <c r="B5" s="14" t="s">
        <v>1237</v>
      </c>
      <c r="C5" s="15" t="s">
        <v>891</v>
      </c>
      <c r="D5" s="16">
        <f t="shared" ref="D5:AA5" si="2">MAX(D10:D1048576)</f>
        <v>5162.0684031886794</v>
      </c>
      <c r="E5" s="17">
        <f t="shared" si="2"/>
        <v>350.46695199722666</v>
      </c>
      <c r="F5" s="17">
        <f t="shared" si="2"/>
        <v>0.53746660393039236</v>
      </c>
      <c r="G5" s="17">
        <f t="shared" si="2"/>
        <v>194.49964685730112</v>
      </c>
      <c r="H5" s="66">
        <f t="shared" si="2"/>
        <v>71.035017370864878</v>
      </c>
      <c r="I5" s="70">
        <f t="shared" si="2"/>
        <v>0</v>
      </c>
      <c r="J5" s="17">
        <f t="shared" si="2"/>
        <v>0</v>
      </c>
      <c r="K5" s="16">
        <f t="shared" si="2"/>
        <v>750</v>
      </c>
      <c r="L5" s="63">
        <f t="shared" si="2"/>
        <v>0</v>
      </c>
      <c r="M5" s="16">
        <f t="shared" si="2"/>
        <v>67.737297058105469</v>
      </c>
      <c r="N5" s="63">
        <f t="shared" si="2"/>
        <v>0</v>
      </c>
      <c r="O5" s="16">
        <f t="shared" si="2"/>
        <v>0</v>
      </c>
      <c r="P5" s="17">
        <f t="shared" si="2"/>
        <v>0</v>
      </c>
      <c r="Q5" s="63">
        <f>MAX(Q10:Q1048576)</f>
        <v>90</v>
      </c>
      <c r="R5" s="22">
        <f t="shared" si="2"/>
        <v>0</v>
      </c>
      <c r="S5" s="17">
        <f t="shared" si="2"/>
        <v>0</v>
      </c>
      <c r="T5" s="20">
        <f t="shared" si="2"/>
        <v>0</v>
      </c>
      <c r="U5" s="21">
        <f t="shared" si="2"/>
        <v>0</v>
      </c>
      <c r="V5" s="16">
        <f t="shared" si="2"/>
        <v>0</v>
      </c>
      <c r="W5" s="19">
        <f t="shared" si="2"/>
        <v>3048.146240234375</v>
      </c>
      <c r="X5" s="18">
        <f t="shared" si="2"/>
        <v>239.39590454101562</v>
      </c>
      <c r="Y5" s="16">
        <f t="shared" si="2"/>
        <v>0</v>
      </c>
      <c r="Z5" s="22">
        <f t="shared" si="2"/>
        <v>0</v>
      </c>
      <c r="AA5" s="750">
        <f t="shared" si="2"/>
        <v>0.52583257120615479</v>
      </c>
      <c r="AB5" s="30">
        <f t="shared" ref="AB5:AM5" si="3">MAX(AB10:AB1048576)</f>
        <v>0</v>
      </c>
      <c r="AC5" s="756">
        <f t="shared" si="3"/>
        <v>0</v>
      </c>
      <c r="AD5" s="756">
        <f t="shared" si="3"/>
        <v>0</v>
      </c>
      <c r="AE5" s="756">
        <f t="shared" si="3"/>
        <v>0</v>
      </c>
      <c r="AF5" s="756">
        <f t="shared" si="3"/>
        <v>0</v>
      </c>
      <c r="AG5" s="756">
        <f t="shared" si="3"/>
        <v>0</v>
      </c>
      <c r="AH5" s="756">
        <f t="shared" si="3"/>
        <v>0</v>
      </c>
      <c r="AI5" s="757">
        <f t="shared" si="3"/>
        <v>0</v>
      </c>
      <c r="AJ5" s="750">
        <f t="shared" si="3"/>
        <v>0</v>
      </c>
      <c r="AK5" s="30">
        <f t="shared" si="3"/>
        <v>0</v>
      </c>
      <c r="AL5" s="756">
        <f t="shared" si="3"/>
        <v>0</v>
      </c>
      <c r="AM5" s="757">
        <f t="shared" si="3"/>
        <v>0</v>
      </c>
    </row>
    <row r="6" spans="2:85" s="1" customFormat="1" ht="15.75" thickBot="1">
      <c r="B6" s="126">
        <f>COUNTIF(M10:M1048576,"&gt;0")/$B$8</f>
        <v>1</v>
      </c>
      <c r="C6" s="23" t="s">
        <v>3</v>
      </c>
      <c r="D6" s="6">
        <f t="shared" ref="D6:AA6" si="4">AVERAGE(D10:D1048576)</f>
        <v>3349.8220985395296</v>
      </c>
      <c r="E6" s="8">
        <f t="shared" si="4"/>
        <v>240.37156307133478</v>
      </c>
      <c r="F6" s="8">
        <f t="shared" si="4"/>
        <v>0.41553159276517343</v>
      </c>
      <c r="G6" s="8">
        <f t="shared" si="4"/>
        <v>120.39027112452742</v>
      </c>
      <c r="H6" s="67">
        <f t="shared" si="4"/>
        <v>55.883216349341616</v>
      </c>
      <c r="I6" s="71" t="e">
        <f t="shared" si="4"/>
        <v>#DIV/0!</v>
      </c>
      <c r="J6" s="8" t="e">
        <f t="shared" si="4"/>
        <v>#DIV/0!</v>
      </c>
      <c r="K6" s="6">
        <f t="shared" si="4"/>
        <v>493.99</v>
      </c>
      <c r="L6" s="64" t="e">
        <f t="shared" si="4"/>
        <v>#DIV/0!</v>
      </c>
      <c r="M6" s="6">
        <f t="shared" si="4"/>
        <v>35.0147058429718</v>
      </c>
      <c r="N6" s="64" t="e">
        <f t="shared" si="4"/>
        <v>#DIV/0!</v>
      </c>
      <c r="O6" s="6" t="e">
        <f t="shared" si="4"/>
        <v>#DIV/0!</v>
      </c>
      <c r="P6" s="8" t="e">
        <f t="shared" si="4"/>
        <v>#DIV/0!</v>
      </c>
      <c r="Q6" s="64">
        <f>AVERAGE(Q10:Q1048576)</f>
        <v>68.136190906524661</v>
      </c>
      <c r="R6" s="12" t="e">
        <f t="shared" si="4"/>
        <v>#DIV/0!</v>
      </c>
      <c r="S6" s="8" t="e">
        <f t="shared" si="4"/>
        <v>#DIV/0!</v>
      </c>
      <c r="T6" s="10" t="e">
        <f t="shared" si="4"/>
        <v>#DIV/0!</v>
      </c>
      <c r="U6" s="13" t="e">
        <f t="shared" si="4"/>
        <v>#DIV/0!</v>
      </c>
      <c r="V6" s="6" t="e">
        <f t="shared" si="4"/>
        <v>#DIV/0!</v>
      </c>
      <c r="W6" s="9">
        <f t="shared" si="4"/>
        <v>1555.690723022461</v>
      </c>
      <c r="X6" s="11">
        <f t="shared" si="4"/>
        <v>130.29127332305907</v>
      </c>
      <c r="Y6" s="6" t="e">
        <f t="shared" si="4"/>
        <v>#DIV/0!</v>
      </c>
      <c r="Z6" s="12" t="e">
        <f t="shared" si="4"/>
        <v>#DIV/0!</v>
      </c>
      <c r="AA6" s="751">
        <f t="shared" si="4"/>
        <v>0.40539971954160609</v>
      </c>
      <c r="AB6" s="758" t="e">
        <f t="shared" ref="AB6:AM6" si="5">AVERAGE(AB10:AB1048576)</f>
        <v>#DIV/0!</v>
      </c>
      <c r="AC6" s="759" t="e">
        <f t="shared" si="5"/>
        <v>#DIV/0!</v>
      </c>
      <c r="AD6" s="759" t="e">
        <f t="shared" si="5"/>
        <v>#DIV/0!</v>
      </c>
      <c r="AE6" s="759" t="e">
        <f t="shared" si="5"/>
        <v>#DIV/0!</v>
      </c>
      <c r="AF6" s="759" t="e">
        <f t="shared" si="5"/>
        <v>#DIV/0!</v>
      </c>
      <c r="AG6" s="759" t="e">
        <f t="shared" si="5"/>
        <v>#DIV/0!</v>
      </c>
      <c r="AH6" s="759" t="e">
        <f t="shared" si="5"/>
        <v>#DIV/0!</v>
      </c>
      <c r="AI6" s="760" t="e">
        <f t="shared" si="5"/>
        <v>#DIV/0!</v>
      </c>
      <c r="AJ6" s="751" t="e">
        <f t="shared" si="5"/>
        <v>#DIV/0!</v>
      </c>
      <c r="AK6" s="758" t="e">
        <f t="shared" si="5"/>
        <v>#DIV/0!</v>
      </c>
      <c r="AL6" s="759" t="e">
        <f t="shared" si="5"/>
        <v>#DIV/0!</v>
      </c>
      <c r="AM6" s="760" t="e">
        <f t="shared" si="5"/>
        <v>#DIV/0!</v>
      </c>
      <c r="BJ6" s="4" t="s">
        <v>98</v>
      </c>
      <c r="BK6" s="52">
        <f t="shared" ref="BK6:CD6" si="6">COUNTIF(BK10:BK19999,"&gt;0")</f>
        <v>0</v>
      </c>
      <c r="BL6" s="7">
        <f t="shared" si="6"/>
        <v>0</v>
      </c>
      <c r="BM6" s="7">
        <f t="shared" si="6"/>
        <v>0</v>
      </c>
      <c r="BN6" s="7">
        <f t="shared" si="6"/>
        <v>0</v>
      </c>
      <c r="BO6" s="7">
        <f t="shared" si="6"/>
        <v>0</v>
      </c>
      <c r="BP6" s="7">
        <f t="shared" si="6"/>
        <v>0</v>
      </c>
      <c r="BQ6" s="7">
        <f t="shared" si="6"/>
        <v>0</v>
      </c>
      <c r="BR6" s="7">
        <f t="shared" si="6"/>
        <v>0</v>
      </c>
      <c r="BS6" s="7">
        <f t="shared" si="6"/>
        <v>0</v>
      </c>
      <c r="BT6" s="7">
        <f t="shared" si="6"/>
        <v>0</v>
      </c>
      <c r="BU6" s="7">
        <f t="shared" si="6"/>
        <v>0</v>
      </c>
      <c r="BV6" s="7">
        <f t="shared" si="6"/>
        <v>0</v>
      </c>
      <c r="BW6" s="7">
        <f t="shared" si="6"/>
        <v>0</v>
      </c>
      <c r="BX6" s="7">
        <f t="shared" si="6"/>
        <v>0</v>
      </c>
      <c r="BY6" s="7">
        <f t="shared" si="6"/>
        <v>0</v>
      </c>
      <c r="BZ6" s="7">
        <f t="shared" si="6"/>
        <v>0</v>
      </c>
      <c r="CA6" s="7">
        <f t="shared" si="6"/>
        <v>0</v>
      </c>
      <c r="CB6" s="7">
        <f t="shared" si="6"/>
        <v>0</v>
      </c>
      <c r="CC6" s="7">
        <f t="shared" si="6"/>
        <v>0</v>
      </c>
      <c r="CD6" s="62">
        <f t="shared" si="6"/>
        <v>0</v>
      </c>
    </row>
    <row r="7" spans="2:85" s="1" customFormat="1" ht="16.5" thickBot="1">
      <c r="B7" s="25" t="s">
        <v>5</v>
      </c>
      <c r="C7" s="26" t="s">
        <v>892</v>
      </c>
      <c r="D7" s="50">
        <f t="shared" ref="D7:AA7" si="7">STDEV(D10:D1048576)/D6</f>
        <v>0.1378964083444863</v>
      </c>
      <c r="E7" s="51">
        <f t="shared" si="7"/>
        <v>0.1443586211609108</v>
      </c>
      <c r="F7" s="51">
        <f t="shared" si="7"/>
        <v>9.3387313437238023E-2</v>
      </c>
      <c r="G7" s="51">
        <f t="shared" si="7"/>
        <v>0.16531277058291363</v>
      </c>
      <c r="H7" s="68">
        <f t="shared" si="7"/>
        <v>0.10341095781030071</v>
      </c>
      <c r="I7" s="61" t="e">
        <f t="shared" si="7"/>
        <v>#DIV/0!</v>
      </c>
      <c r="J7" s="74" t="e">
        <f t="shared" si="7"/>
        <v>#DIV/0!</v>
      </c>
      <c r="K7" s="50">
        <f t="shared" si="7"/>
        <v>0.14358798895600985</v>
      </c>
      <c r="L7" s="65" t="e">
        <f t="shared" si="7"/>
        <v>#DIV/0!</v>
      </c>
      <c r="M7" s="50">
        <f t="shared" si="7"/>
        <v>0.18773235541006181</v>
      </c>
      <c r="N7" s="65" t="e">
        <f t="shared" si="7"/>
        <v>#DIV/0!</v>
      </c>
      <c r="O7" s="50" t="e">
        <f t="shared" si="7"/>
        <v>#DIV/0!</v>
      </c>
      <c r="P7" s="51" t="e">
        <f t="shared" si="7"/>
        <v>#DIV/0!</v>
      </c>
      <c r="Q7" s="65">
        <f>STDEV(Q10:Q1048576)/Q6</f>
        <v>0.14057441865157369</v>
      </c>
      <c r="R7" s="61" t="e">
        <f t="shared" si="7"/>
        <v>#DIV/0!</v>
      </c>
      <c r="S7" s="51" t="e">
        <f t="shared" si="7"/>
        <v>#DIV/0!</v>
      </c>
      <c r="T7" s="30" t="e">
        <f t="shared" si="7"/>
        <v>#DIV/0!</v>
      </c>
      <c r="U7" s="31" t="e">
        <f t="shared" si="7"/>
        <v>#DIV/0!</v>
      </c>
      <c r="V7" s="27" t="e">
        <f t="shared" si="7"/>
        <v>#DIV/0!</v>
      </c>
      <c r="W7" s="29">
        <f t="shared" si="7"/>
        <v>0.20457862573770036</v>
      </c>
      <c r="X7" s="28">
        <f t="shared" si="7"/>
        <v>0.17916035181271545</v>
      </c>
      <c r="Y7" s="484" t="e">
        <f t="shared" si="7"/>
        <v>#DIV/0!</v>
      </c>
      <c r="Z7" s="133" t="e">
        <f t="shared" si="7"/>
        <v>#DIV/0!</v>
      </c>
      <c r="AA7" s="752">
        <f t="shared" si="7"/>
        <v>9.5112728730137291E-2</v>
      </c>
      <c r="AB7" s="30" t="e">
        <f t="shared" ref="AB7:AM7" si="8">STDEV(AB10:AB1048576)/AB6</f>
        <v>#DIV/0!</v>
      </c>
      <c r="AC7" s="756" t="e">
        <f t="shared" si="8"/>
        <v>#DIV/0!</v>
      </c>
      <c r="AD7" s="756" t="e">
        <f t="shared" si="8"/>
        <v>#DIV/0!</v>
      </c>
      <c r="AE7" s="756" t="e">
        <f t="shared" si="8"/>
        <v>#DIV/0!</v>
      </c>
      <c r="AF7" s="756" t="e">
        <f t="shared" si="8"/>
        <v>#DIV/0!</v>
      </c>
      <c r="AG7" s="756" t="e">
        <f t="shared" si="8"/>
        <v>#DIV/0!</v>
      </c>
      <c r="AH7" s="756" t="e">
        <f t="shared" si="8"/>
        <v>#DIV/0!</v>
      </c>
      <c r="AI7" s="757" t="e">
        <f t="shared" si="8"/>
        <v>#DIV/0!</v>
      </c>
      <c r="AJ7" s="750" t="e">
        <f t="shared" si="8"/>
        <v>#DIV/0!</v>
      </c>
      <c r="AK7" s="30" t="e">
        <f t="shared" si="8"/>
        <v>#DIV/0!</v>
      </c>
      <c r="AL7" s="756" t="e">
        <f t="shared" si="8"/>
        <v>#DIV/0!</v>
      </c>
      <c r="AM7" s="757" t="e">
        <f t="shared" si="8"/>
        <v>#DIV/0!</v>
      </c>
      <c r="AN7" s="1589" t="s">
        <v>895</v>
      </c>
      <c r="AO7" s="1589"/>
      <c r="AP7" s="1589"/>
      <c r="AQ7" s="1589"/>
      <c r="AR7" s="1589"/>
      <c r="AS7" s="1589"/>
      <c r="AT7" s="1589"/>
      <c r="AU7" s="1589"/>
      <c r="AV7" s="1589"/>
      <c r="AW7" s="1589"/>
      <c r="AX7" s="1589"/>
      <c r="AY7" s="1589"/>
      <c r="AZ7" s="1589"/>
      <c r="BA7" s="1589"/>
      <c r="BB7" s="1589"/>
      <c r="BC7" s="1589"/>
      <c r="BD7" s="1589"/>
      <c r="BE7" s="1589"/>
      <c r="BF7" s="1589"/>
      <c r="BG7" s="1589"/>
      <c r="BH7" s="1589"/>
      <c r="BI7" s="1590"/>
      <c r="BJ7" s="123" t="s">
        <v>99</v>
      </c>
      <c r="BK7" s="50">
        <f>1-BK6/$B$8</f>
        <v>1</v>
      </c>
      <c r="BL7" s="51">
        <f t="shared" ref="BL7:CD7" si="9">1-BL6/$B$8</f>
        <v>1</v>
      </c>
      <c r="BM7" s="51">
        <f t="shared" si="9"/>
        <v>1</v>
      </c>
      <c r="BN7" s="51">
        <f t="shared" si="9"/>
        <v>1</v>
      </c>
      <c r="BO7" s="51">
        <f t="shared" si="9"/>
        <v>1</v>
      </c>
      <c r="BP7" s="51">
        <f t="shared" si="9"/>
        <v>1</v>
      </c>
      <c r="BQ7" s="51">
        <f t="shared" si="9"/>
        <v>1</v>
      </c>
      <c r="BR7" s="51">
        <f t="shared" si="9"/>
        <v>1</v>
      </c>
      <c r="BS7" s="51">
        <f t="shared" si="9"/>
        <v>1</v>
      </c>
      <c r="BT7" s="51">
        <f t="shared" si="9"/>
        <v>1</v>
      </c>
      <c r="BU7" s="51">
        <f t="shared" si="9"/>
        <v>1</v>
      </c>
      <c r="BV7" s="51">
        <f t="shared" si="9"/>
        <v>1</v>
      </c>
      <c r="BW7" s="51">
        <f t="shared" si="9"/>
        <v>1</v>
      </c>
      <c r="BX7" s="51">
        <f t="shared" si="9"/>
        <v>1</v>
      </c>
      <c r="BY7" s="51">
        <f t="shared" si="9"/>
        <v>1</v>
      </c>
      <c r="BZ7" s="51">
        <f t="shared" si="9"/>
        <v>1</v>
      </c>
      <c r="CA7" s="51">
        <f t="shared" si="9"/>
        <v>1</v>
      </c>
      <c r="CB7" s="51">
        <f t="shared" si="9"/>
        <v>1</v>
      </c>
      <c r="CC7" s="51">
        <f t="shared" si="9"/>
        <v>1</v>
      </c>
      <c r="CD7" s="65">
        <f t="shared" si="9"/>
        <v>1</v>
      </c>
    </row>
    <row r="8" spans="2:85" s="1" customFormat="1" ht="16.5" thickBot="1">
      <c r="B8" s="24">
        <f>MIN(COUNT(D10:D1048576),ConfigLoop!P7)</f>
        <v>1000</v>
      </c>
      <c r="C8" s="125" t="s">
        <v>1235</v>
      </c>
      <c r="D8" s="1594" t="s">
        <v>7</v>
      </c>
      <c r="E8" s="1595"/>
      <c r="F8" s="1595"/>
      <c r="G8" s="1595"/>
      <c r="H8" s="1596"/>
      <c r="I8" s="1594" t="s">
        <v>8</v>
      </c>
      <c r="J8" s="1595"/>
      <c r="K8" s="1595"/>
      <c r="L8" s="1596"/>
      <c r="M8" s="1594" t="s">
        <v>9</v>
      </c>
      <c r="N8" s="1596"/>
      <c r="O8" s="1594" t="s">
        <v>40</v>
      </c>
      <c r="P8" s="1595"/>
      <c r="Q8" s="1596"/>
      <c r="R8" s="1605" t="s">
        <v>10</v>
      </c>
      <c r="S8" s="1606"/>
      <c r="T8" s="1605" t="s">
        <v>11</v>
      </c>
      <c r="U8" s="1606"/>
      <c r="V8" s="1594" t="s">
        <v>12</v>
      </c>
      <c r="W8" s="1595"/>
      <c r="X8" s="1596"/>
      <c r="Y8" s="1594" t="s">
        <v>13</v>
      </c>
      <c r="Z8" s="1595"/>
      <c r="AA8" s="1596"/>
      <c r="AB8" s="1607" t="s">
        <v>888</v>
      </c>
      <c r="AC8" s="1599"/>
      <c r="AD8" s="1599"/>
      <c r="AE8" s="1599"/>
      <c r="AF8" s="1599"/>
      <c r="AG8" s="1599"/>
      <c r="AH8" s="1599"/>
      <c r="AI8" s="1599"/>
      <c r="AJ8" s="840" t="s">
        <v>1179</v>
      </c>
      <c r="AK8" s="1599" t="s">
        <v>14</v>
      </c>
      <c r="AL8" s="1599"/>
      <c r="AM8" s="1600"/>
      <c r="AN8" s="1594" t="s">
        <v>1162</v>
      </c>
      <c r="AO8" s="1595"/>
      <c r="AP8" s="1595"/>
      <c r="AQ8" s="1595"/>
      <c r="AR8" s="1595"/>
      <c r="AS8" s="1595"/>
      <c r="AT8" s="1595"/>
      <c r="AU8" s="1596"/>
      <c r="AV8" s="1594" t="s">
        <v>1189</v>
      </c>
      <c r="AW8" s="1595"/>
      <c r="AX8" s="1595"/>
      <c r="AY8" s="1595"/>
      <c r="AZ8" s="1595"/>
      <c r="BA8" s="1595"/>
      <c r="BB8" s="1595"/>
      <c r="BC8" s="1596"/>
      <c r="BD8" s="1594" t="s">
        <v>1190</v>
      </c>
      <c r="BE8" s="1595"/>
      <c r="BF8" s="1595"/>
      <c r="BG8" s="1595"/>
      <c r="BH8" s="1595"/>
      <c r="BI8" s="1595"/>
      <c r="BJ8" s="1596"/>
      <c r="BK8" s="1591" t="s">
        <v>1168</v>
      </c>
      <c r="BL8" s="1592"/>
      <c r="BM8" s="1592"/>
      <c r="BN8" s="1592"/>
      <c r="BO8" s="1592"/>
      <c r="BP8" s="1592"/>
      <c r="BQ8" s="1592"/>
      <c r="BR8" s="1592"/>
      <c r="BS8" s="1592"/>
      <c r="BT8" s="1592"/>
      <c r="BU8" s="1592"/>
      <c r="BV8" s="1592"/>
      <c r="BW8" s="1592"/>
      <c r="BX8" s="1592"/>
      <c r="BY8" s="1592"/>
      <c r="BZ8" s="1592"/>
      <c r="CA8" s="1592"/>
      <c r="CB8" s="1592"/>
      <c r="CC8" s="1592"/>
      <c r="CD8" s="1593"/>
      <c r="CF8" s="1597" t="s">
        <v>1161</v>
      </c>
      <c r="CG8" s="1598"/>
    </row>
    <row r="9" spans="2:85" s="1" customFormat="1" ht="15.75" thickBot="1">
      <c r="B9" s="945" t="s">
        <v>1234</v>
      </c>
      <c r="C9" s="128" t="s">
        <v>947</v>
      </c>
      <c r="D9" s="36" t="s">
        <v>15</v>
      </c>
      <c r="E9" s="37" t="s">
        <v>16</v>
      </c>
      <c r="F9" s="37" t="s">
        <v>17</v>
      </c>
      <c r="G9" s="55" t="s">
        <v>18</v>
      </c>
      <c r="H9" s="58" t="s">
        <v>36</v>
      </c>
      <c r="I9" s="36" t="s">
        <v>19</v>
      </c>
      <c r="J9" s="57" t="s">
        <v>28</v>
      </c>
      <c r="K9" s="37" t="s">
        <v>20</v>
      </c>
      <c r="L9" s="38" t="s">
        <v>21</v>
      </c>
      <c r="M9" s="36" t="s">
        <v>22</v>
      </c>
      <c r="N9" s="38" t="s">
        <v>23</v>
      </c>
      <c r="O9" s="56" t="s">
        <v>41</v>
      </c>
      <c r="P9" s="37" t="s">
        <v>38</v>
      </c>
      <c r="Q9" s="58" t="s">
        <v>39</v>
      </c>
      <c r="R9" s="32" t="s">
        <v>24</v>
      </c>
      <c r="S9" s="33" t="s">
        <v>25</v>
      </c>
      <c r="T9" s="34" t="s">
        <v>24</v>
      </c>
      <c r="U9" s="35" t="s">
        <v>25</v>
      </c>
      <c r="V9" s="32" t="s">
        <v>26</v>
      </c>
      <c r="W9" s="57" t="s">
        <v>896</v>
      </c>
      <c r="X9" s="38" t="s">
        <v>27</v>
      </c>
      <c r="Y9" s="32" t="s">
        <v>29</v>
      </c>
      <c r="Z9" s="781" t="s">
        <v>30</v>
      </c>
      <c r="AA9" s="782" t="s">
        <v>31</v>
      </c>
      <c r="AB9" s="56" t="s">
        <v>894</v>
      </c>
      <c r="AC9" s="37" t="s">
        <v>24</v>
      </c>
      <c r="AD9" s="37" t="s">
        <v>32</v>
      </c>
      <c r="AE9" s="37" t="s">
        <v>33</v>
      </c>
      <c r="AF9" s="55" t="s">
        <v>34</v>
      </c>
      <c r="AG9" s="55" t="s">
        <v>1046</v>
      </c>
      <c r="AH9" s="55" t="s">
        <v>1047</v>
      </c>
      <c r="AI9" s="839" t="s">
        <v>893</v>
      </c>
      <c r="AJ9" s="841" t="s">
        <v>37</v>
      </c>
      <c r="AK9" s="57" t="s">
        <v>42</v>
      </c>
      <c r="AL9" s="836" t="s">
        <v>43</v>
      </c>
      <c r="AM9" s="58" t="s">
        <v>44</v>
      </c>
      <c r="AN9" s="56" t="s">
        <v>894</v>
      </c>
      <c r="AO9" s="37" t="s">
        <v>24</v>
      </c>
      <c r="AP9" s="37" t="s">
        <v>32</v>
      </c>
      <c r="AQ9" s="37" t="s">
        <v>33</v>
      </c>
      <c r="AR9" s="37" t="s">
        <v>34</v>
      </c>
      <c r="AS9" s="55" t="s">
        <v>1046</v>
      </c>
      <c r="AT9" s="55" t="s">
        <v>1047</v>
      </c>
      <c r="AU9" s="59" t="s">
        <v>893</v>
      </c>
      <c r="AV9" s="56" t="s">
        <v>894</v>
      </c>
      <c r="AW9" s="37" t="s">
        <v>24</v>
      </c>
      <c r="AX9" s="37" t="s">
        <v>32</v>
      </c>
      <c r="AY9" s="37" t="s">
        <v>33</v>
      </c>
      <c r="AZ9" s="37" t="s">
        <v>34</v>
      </c>
      <c r="BA9" s="55" t="s">
        <v>1046</v>
      </c>
      <c r="BB9" s="55" t="s">
        <v>1047</v>
      </c>
      <c r="BC9" s="59" t="s">
        <v>893</v>
      </c>
      <c r="BD9" s="56" t="s">
        <v>894</v>
      </c>
      <c r="BE9" s="37" t="s">
        <v>24</v>
      </c>
      <c r="BF9" s="37" t="s">
        <v>32</v>
      </c>
      <c r="BG9" s="37" t="s">
        <v>33</v>
      </c>
      <c r="BH9" s="37" t="s">
        <v>34</v>
      </c>
      <c r="BI9" s="55" t="s">
        <v>1046</v>
      </c>
      <c r="BJ9" s="58" t="s">
        <v>1047</v>
      </c>
      <c r="BK9" s="36">
        <v>1</v>
      </c>
      <c r="BL9" s="37">
        <v>2</v>
      </c>
      <c r="BM9" s="37">
        <v>3</v>
      </c>
      <c r="BN9" s="37">
        <v>4</v>
      </c>
      <c r="BO9" s="37">
        <v>5</v>
      </c>
      <c r="BP9" s="37">
        <v>6</v>
      </c>
      <c r="BQ9" s="37">
        <v>7</v>
      </c>
      <c r="BR9" s="37">
        <v>8</v>
      </c>
      <c r="BS9" s="37">
        <v>9</v>
      </c>
      <c r="BT9" s="37">
        <v>10</v>
      </c>
      <c r="BU9" s="37">
        <v>11</v>
      </c>
      <c r="BV9" s="37">
        <v>12</v>
      </c>
      <c r="BW9" s="37">
        <v>13</v>
      </c>
      <c r="BX9" s="37">
        <v>14</v>
      </c>
      <c r="BY9" s="37">
        <v>15</v>
      </c>
      <c r="BZ9" s="37">
        <v>16</v>
      </c>
      <c r="CA9" s="37">
        <v>17</v>
      </c>
      <c r="CB9" s="37">
        <v>18</v>
      </c>
      <c r="CC9" s="37">
        <v>19</v>
      </c>
      <c r="CD9" s="38">
        <v>20</v>
      </c>
      <c r="CF9" s="741">
        <v>0</v>
      </c>
      <c r="CG9" s="727" t="s">
        <v>889</v>
      </c>
    </row>
    <row r="10" spans="2:85">
      <c r="B10" s="135">
        <v>1</v>
      </c>
      <c r="C10" s="137">
        <v>1</v>
      </c>
      <c r="D10" s="473">
        <v>4341.3767886030382</v>
      </c>
      <c r="E10" s="129">
        <v>267.50485350374407</v>
      </c>
      <c r="F10" s="446">
        <v>0.42352092010448561</v>
      </c>
      <c r="G10" s="129">
        <v>176.92845292710274</v>
      </c>
      <c r="H10" s="131">
        <v>57.688606312250407</v>
      </c>
      <c r="I10" s="454"/>
      <c r="J10" s="130"/>
      <c r="K10" s="130">
        <v>680</v>
      </c>
      <c r="L10" s="462"/>
      <c r="M10" s="461">
        <v>40.346519470214844</v>
      </c>
      <c r="N10" s="462"/>
      <c r="O10" s="461"/>
      <c r="P10" s="48"/>
      <c r="Q10" s="462">
        <v>85.959266662597656</v>
      </c>
      <c r="R10" s="471"/>
      <c r="S10" s="462"/>
      <c r="T10" s="479"/>
      <c r="U10" s="467"/>
      <c r="V10" s="461"/>
      <c r="W10" s="75">
        <v>2083.64013671875</v>
      </c>
      <c r="X10" s="462">
        <v>169.45095825195312</v>
      </c>
      <c r="Y10" s="471"/>
      <c r="Z10" s="130"/>
      <c r="AA10" s="467">
        <v>0.41581128787676552</v>
      </c>
      <c r="AB10" s="454"/>
      <c r="AC10" s="48"/>
      <c r="AD10" s="48"/>
      <c r="AE10" s="48"/>
      <c r="AF10" s="48"/>
      <c r="AG10" s="48"/>
      <c r="AH10" s="48"/>
      <c r="AI10" s="455"/>
      <c r="AJ10" s="747"/>
      <c r="AK10" s="744"/>
      <c r="AL10" s="53"/>
      <c r="AM10" s="467"/>
      <c r="AN10" s="461"/>
      <c r="AO10" s="75"/>
      <c r="AP10" s="75"/>
      <c r="AQ10" s="75"/>
      <c r="AR10" s="75"/>
      <c r="AS10" s="75"/>
      <c r="AT10" s="75"/>
      <c r="AU10" s="462"/>
      <c r="AV10" s="461"/>
      <c r="AW10" s="75"/>
      <c r="AX10" s="75"/>
      <c r="AY10" s="75"/>
      <c r="AZ10" s="75"/>
      <c r="BA10" s="75"/>
      <c r="BB10" s="75"/>
      <c r="BC10" s="462"/>
      <c r="BD10" s="454"/>
      <c r="BE10" s="48"/>
      <c r="BF10" s="48"/>
      <c r="BG10" s="48"/>
      <c r="BH10" s="48"/>
      <c r="BI10" s="48"/>
      <c r="BJ10" s="455"/>
      <c r="BK10" s="448">
        <v>0</v>
      </c>
      <c r="BL10" s="75"/>
      <c r="BM10" s="75"/>
      <c r="BN10" s="75"/>
      <c r="BO10" s="75"/>
      <c r="BP10" s="75"/>
      <c r="BQ10" s="75"/>
      <c r="BR10" s="75"/>
      <c r="BS10" s="75"/>
      <c r="BT10" s="75"/>
      <c r="BU10" s="75"/>
      <c r="BV10" s="75"/>
      <c r="BW10" s="75"/>
      <c r="BX10" s="75"/>
      <c r="BY10" s="75"/>
      <c r="BZ10" s="75"/>
      <c r="CA10" s="75"/>
      <c r="CB10" s="75"/>
      <c r="CC10" s="75"/>
      <c r="CD10" s="462"/>
      <c r="CF10" s="742">
        <v>1</v>
      </c>
      <c r="CG10" s="728" t="s">
        <v>1831</v>
      </c>
    </row>
    <row r="11" spans="2:85">
      <c r="B11" s="136">
        <v>2</v>
      </c>
      <c r="C11" s="138">
        <v>1</v>
      </c>
      <c r="D11" s="474">
        <v>3307.8189778216956</v>
      </c>
      <c r="E11" s="127">
        <v>230.29538795536163</v>
      </c>
      <c r="F11" s="447">
        <v>0.37147826428715047</v>
      </c>
      <c r="G11" s="127">
        <v>121.88789310354548</v>
      </c>
      <c r="H11" s="132">
        <v>60.568100223081231</v>
      </c>
      <c r="I11" s="456"/>
      <c r="J11" s="47"/>
      <c r="K11" s="47">
        <v>510</v>
      </c>
      <c r="L11" s="463"/>
      <c r="M11" s="449">
        <v>28.365848541259766</v>
      </c>
      <c r="N11" s="463"/>
      <c r="O11" s="449"/>
      <c r="P11" s="46"/>
      <c r="Q11" s="463">
        <v>73.643966674804688</v>
      </c>
      <c r="R11" s="472"/>
      <c r="S11" s="463"/>
      <c r="T11" s="480"/>
      <c r="U11" s="468"/>
      <c r="V11" s="449"/>
      <c r="W11" s="45">
        <v>1355.3441162109375</v>
      </c>
      <c r="X11" s="463">
        <v>115.78251647949219</v>
      </c>
      <c r="Y11" s="472"/>
      <c r="Z11" s="47"/>
      <c r="AA11" s="468">
        <v>0.36167435255462305</v>
      </c>
      <c r="AB11" s="456"/>
      <c r="AC11" s="46"/>
      <c r="AD11" s="46"/>
      <c r="AE11" s="46"/>
      <c r="AF11" s="46"/>
      <c r="AG11" s="46"/>
      <c r="AH11" s="46"/>
      <c r="AI11" s="457"/>
      <c r="AJ11" s="138"/>
      <c r="AK11" s="745"/>
      <c r="AL11" s="54"/>
      <c r="AM11" s="468"/>
      <c r="AN11" s="449"/>
      <c r="AO11" s="45"/>
      <c r="AP11" s="45"/>
      <c r="AQ11" s="45"/>
      <c r="AR11" s="45"/>
      <c r="AS11" s="45"/>
      <c r="AT11" s="45"/>
      <c r="AU11" s="463"/>
      <c r="AV11" s="449"/>
      <c r="AW11" s="45"/>
      <c r="AX11" s="45"/>
      <c r="AY11" s="45"/>
      <c r="AZ11" s="45"/>
      <c r="BA11" s="45"/>
      <c r="BB11" s="45"/>
      <c r="BC11" s="463"/>
      <c r="BD11" s="456"/>
      <c r="BE11" s="46"/>
      <c r="BF11" s="46"/>
      <c r="BG11" s="46"/>
      <c r="BH11" s="46"/>
      <c r="BI11" s="46"/>
      <c r="BJ11" s="457"/>
      <c r="BK11" s="449">
        <v>0</v>
      </c>
      <c r="BL11" s="45"/>
      <c r="BM11" s="45"/>
      <c r="BN11" s="45"/>
      <c r="BO11" s="45"/>
      <c r="BP11" s="45"/>
      <c r="BQ11" s="45"/>
      <c r="BR11" s="45"/>
      <c r="BS11" s="45"/>
      <c r="BT11" s="45"/>
      <c r="BU11" s="45"/>
      <c r="BV11" s="45"/>
      <c r="BW11" s="45"/>
      <c r="BX11" s="45"/>
      <c r="BY11" s="45"/>
      <c r="BZ11" s="45"/>
      <c r="CA11" s="45"/>
      <c r="CB11" s="45"/>
      <c r="CC11" s="45"/>
      <c r="CD11" s="463"/>
      <c r="CF11" s="742">
        <v>2</v>
      </c>
      <c r="CG11" s="728" t="s">
        <v>1832</v>
      </c>
    </row>
    <row r="12" spans="2:85">
      <c r="B12" s="136">
        <v>3</v>
      </c>
      <c r="C12" s="138">
        <v>1</v>
      </c>
      <c r="D12" s="474">
        <v>3381.7485058254742</v>
      </c>
      <c r="E12" s="127">
        <v>279.34865299337969</v>
      </c>
      <c r="F12" s="447">
        <v>0.39020496849021163</v>
      </c>
      <c r="G12" s="127">
        <v>118.96592787719747</v>
      </c>
      <c r="H12" s="132">
        <v>55.734292968750616</v>
      </c>
      <c r="I12" s="456"/>
      <c r="J12" s="47"/>
      <c r="K12" s="47">
        <v>480</v>
      </c>
      <c r="L12" s="463"/>
      <c r="M12" s="449">
        <v>30.762231826782227</v>
      </c>
      <c r="N12" s="463"/>
      <c r="O12" s="449"/>
      <c r="P12" s="46"/>
      <c r="Q12" s="463">
        <v>66.958625793457031</v>
      </c>
      <c r="R12" s="472"/>
      <c r="S12" s="463"/>
      <c r="T12" s="480"/>
      <c r="U12" s="468"/>
      <c r="V12" s="449"/>
      <c r="W12" s="45">
        <v>1376.2642822265625</v>
      </c>
      <c r="X12" s="463">
        <v>117.20169067382812</v>
      </c>
      <c r="Y12" s="472"/>
      <c r="Z12" s="47"/>
      <c r="AA12" s="468">
        <v>0.38050463172262083</v>
      </c>
      <c r="AB12" s="456"/>
      <c r="AC12" s="46"/>
      <c r="AD12" s="46"/>
      <c r="AE12" s="46"/>
      <c r="AF12" s="46"/>
      <c r="AG12" s="46"/>
      <c r="AH12" s="46"/>
      <c r="AI12" s="457"/>
      <c r="AJ12" s="138"/>
      <c r="AK12" s="745"/>
      <c r="AL12" s="54"/>
      <c r="AM12" s="468"/>
      <c r="AN12" s="449"/>
      <c r="AO12" s="45"/>
      <c r="AP12" s="45"/>
      <c r="AQ12" s="45"/>
      <c r="AR12" s="45"/>
      <c r="AS12" s="45"/>
      <c r="AT12" s="45"/>
      <c r="AU12" s="463"/>
      <c r="AV12" s="449"/>
      <c r="AW12" s="45"/>
      <c r="AX12" s="45"/>
      <c r="AY12" s="45"/>
      <c r="AZ12" s="45"/>
      <c r="BA12" s="45"/>
      <c r="BB12" s="45"/>
      <c r="BC12" s="463"/>
      <c r="BD12" s="456"/>
      <c r="BE12" s="46"/>
      <c r="BF12" s="46"/>
      <c r="BG12" s="46"/>
      <c r="BH12" s="46"/>
      <c r="BI12" s="46"/>
      <c r="BJ12" s="457"/>
      <c r="BK12" s="449">
        <v>0</v>
      </c>
      <c r="BL12" s="45"/>
      <c r="BM12" s="45"/>
      <c r="BN12" s="45"/>
      <c r="BO12" s="45"/>
      <c r="BP12" s="45"/>
      <c r="BQ12" s="45"/>
      <c r="BR12" s="45"/>
      <c r="BS12" s="45"/>
      <c r="BT12" s="45"/>
      <c r="BU12" s="45"/>
      <c r="BV12" s="45"/>
      <c r="BW12" s="45"/>
      <c r="BX12" s="45"/>
      <c r="BY12" s="45"/>
      <c r="BZ12" s="45"/>
      <c r="CA12" s="45"/>
      <c r="CB12" s="45"/>
      <c r="CC12" s="45"/>
      <c r="CD12" s="463"/>
      <c r="CF12" s="742">
        <v>3</v>
      </c>
      <c r="CG12" s="728" t="s">
        <v>1833</v>
      </c>
    </row>
    <row r="13" spans="2:85">
      <c r="B13" s="136">
        <v>4</v>
      </c>
      <c r="C13" s="138">
        <v>1</v>
      </c>
      <c r="D13" s="474">
        <v>2746.6331062342888</v>
      </c>
      <c r="E13" s="127">
        <v>295.80378160653174</v>
      </c>
      <c r="F13" s="447">
        <v>0.39298479328654135</v>
      </c>
      <c r="G13" s="127">
        <v>97.343730007556729</v>
      </c>
      <c r="H13" s="132">
        <v>49.323663717747337</v>
      </c>
      <c r="I13" s="456"/>
      <c r="J13" s="47"/>
      <c r="K13" s="47">
        <v>400</v>
      </c>
      <c r="L13" s="463"/>
      <c r="M13" s="449">
        <v>30.795413970947266</v>
      </c>
      <c r="N13" s="463"/>
      <c r="O13" s="449"/>
      <c r="P13" s="46"/>
      <c r="Q13" s="463">
        <v>54.383338928222656</v>
      </c>
      <c r="R13" s="472"/>
      <c r="S13" s="463"/>
      <c r="T13" s="480"/>
      <c r="U13" s="468"/>
      <c r="V13" s="449"/>
      <c r="W13" s="45">
        <v>1174.783935546875</v>
      </c>
      <c r="X13" s="463">
        <v>102.18534851074219</v>
      </c>
      <c r="Y13" s="472"/>
      <c r="Z13" s="47"/>
      <c r="AA13" s="468">
        <v>0.38102116560319838</v>
      </c>
      <c r="AB13" s="456"/>
      <c r="AC13" s="46"/>
      <c r="AD13" s="46"/>
      <c r="AE13" s="46"/>
      <c r="AF13" s="46"/>
      <c r="AG13" s="46"/>
      <c r="AH13" s="46"/>
      <c r="AI13" s="457"/>
      <c r="AJ13" s="138"/>
      <c r="AK13" s="745"/>
      <c r="AL13" s="54"/>
      <c r="AM13" s="468"/>
      <c r="AN13" s="449"/>
      <c r="AO13" s="45"/>
      <c r="AP13" s="45"/>
      <c r="AQ13" s="45"/>
      <c r="AR13" s="45"/>
      <c r="AS13" s="45"/>
      <c r="AT13" s="45"/>
      <c r="AU13" s="463"/>
      <c r="AV13" s="449"/>
      <c r="AW13" s="45"/>
      <c r="AX13" s="45"/>
      <c r="AY13" s="45"/>
      <c r="AZ13" s="45"/>
      <c r="BA13" s="45"/>
      <c r="BB13" s="45"/>
      <c r="BC13" s="463"/>
      <c r="BD13" s="456"/>
      <c r="BE13" s="46"/>
      <c r="BF13" s="46"/>
      <c r="BG13" s="46"/>
      <c r="BH13" s="46"/>
      <c r="BI13" s="46"/>
      <c r="BJ13" s="457"/>
      <c r="BK13" s="449">
        <v>0</v>
      </c>
      <c r="BL13" s="45"/>
      <c r="BM13" s="45"/>
      <c r="BN13" s="45"/>
      <c r="BO13" s="45"/>
      <c r="BP13" s="45"/>
      <c r="BQ13" s="45"/>
      <c r="BR13" s="45"/>
      <c r="BS13" s="45"/>
      <c r="BT13" s="45"/>
      <c r="BU13" s="45"/>
      <c r="BV13" s="45"/>
      <c r="BW13" s="45"/>
      <c r="BX13" s="45"/>
      <c r="BY13" s="45"/>
      <c r="BZ13" s="45"/>
      <c r="CA13" s="45"/>
      <c r="CB13" s="45"/>
      <c r="CC13" s="45"/>
      <c r="CD13" s="463"/>
      <c r="CF13" s="742">
        <v>4</v>
      </c>
      <c r="CG13" s="729" t="s">
        <v>1834</v>
      </c>
    </row>
    <row r="14" spans="2:85">
      <c r="B14" s="136">
        <v>5</v>
      </c>
      <c r="C14" s="138">
        <v>1</v>
      </c>
      <c r="D14" s="474">
        <v>3010.7253588597814</v>
      </c>
      <c r="E14" s="127">
        <v>210.54040896717163</v>
      </c>
      <c r="F14" s="447">
        <v>0.39428863324990038</v>
      </c>
      <c r="G14" s="127">
        <v>110.57360352160107</v>
      </c>
      <c r="H14" s="132">
        <v>50.890044817207809</v>
      </c>
      <c r="I14" s="456"/>
      <c r="J14" s="47"/>
      <c r="K14" s="47">
        <v>440</v>
      </c>
      <c r="L14" s="463"/>
      <c r="M14" s="449">
        <v>31.306978225708008</v>
      </c>
      <c r="N14" s="463"/>
      <c r="O14" s="449"/>
      <c r="P14" s="46"/>
      <c r="Q14" s="463">
        <v>59.612361907958984</v>
      </c>
      <c r="R14" s="472"/>
      <c r="S14" s="463"/>
      <c r="T14" s="480"/>
      <c r="U14" s="468"/>
      <c r="V14" s="449"/>
      <c r="W14" s="45">
        <v>1290.6790771484375</v>
      </c>
      <c r="X14" s="463">
        <v>110.80001068115234</v>
      </c>
      <c r="Y14" s="472"/>
      <c r="Z14" s="47"/>
      <c r="AA14" s="468">
        <v>0.38336575960809716</v>
      </c>
      <c r="AB14" s="456"/>
      <c r="AC14" s="46"/>
      <c r="AD14" s="46"/>
      <c r="AE14" s="46"/>
      <c r="AF14" s="46"/>
      <c r="AG14" s="46"/>
      <c r="AH14" s="46"/>
      <c r="AI14" s="457"/>
      <c r="AJ14" s="138"/>
      <c r="AK14" s="745"/>
      <c r="AL14" s="54"/>
      <c r="AM14" s="468"/>
      <c r="AN14" s="449"/>
      <c r="AO14" s="45"/>
      <c r="AP14" s="45"/>
      <c r="AQ14" s="45"/>
      <c r="AR14" s="45"/>
      <c r="AS14" s="45"/>
      <c r="AT14" s="45"/>
      <c r="AU14" s="463"/>
      <c r="AV14" s="449"/>
      <c r="AW14" s="45"/>
      <c r="AX14" s="45"/>
      <c r="AY14" s="45"/>
      <c r="AZ14" s="45"/>
      <c r="BA14" s="45"/>
      <c r="BB14" s="45"/>
      <c r="BC14" s="463"/>
      <c r="BD14" s="456"/>
      <c r="BE14" s="46"/>
      <c r="BF14" s="46"/>
      <c r="BG14" s="46"/>
      <c r="BH14" s="46"/>
      <c r="BI14" s="46"/>
      <c r="BJ14" s="457"/>
      <c r="BK14" s="449">
        <v>0</v>
      </c>
      <c r="BL14" s="45"/>
      <c r="BM14" s="45"/>
      <c r="BN14" s="45"/>
      <c r="BO14" s="45"/>
      <c r="BP14" s="45"/>
      <c r="BQ14" s="45"/>
      <c r="BR14" s="45"/>
      <c r="BS14" s="45"/>
      <c r="BT14" s="45"/>
      <c r="BU14" s="45"/>
      <c r="BV14" s="45"/>
      <c r="BW14" s="45"/>
      <c r="BX14" s="45"/>
      <c r="BY14" s="45"/>
      <c r="BZ14" s="45"/>
      <c r="CA14" s="45"/>
      <c r="CB14" s="45"/>
      <c r="CC14" s="45"/>
      <c r="CD14" s="463"/>
      <c r="CF14" s="742">
        <v>5</v>
      </c>
      <c r="CG14" s="729" t="s">
        <v>1835</v>
      </c>
    </row>
    <row r="15" spans="2:85">
      <c r="B15" s="136">
        <v>6</v>
      </c>
      <c r="C15" s="138">
        <v>1</v>
      </c>
      <c r="D15" s="474">
        <v>2932.1449079114068</v>
      </c>
      <c r="E15" s="127">
        <v>305.71515783637625</v>
      </c>
      <c r="F15" s="447">
        <v>0.37658710245120963</v>
      </c>
      <c r="G15" s="127">
        <v>117.26146468729418</v>
      </c>
      <c r="H15" s="132">
        <v>46.796913783101651</v>
      </c>
      <c r="I15" s="456"/>
      <c r="J15" s="47"/>
      <c r="K15" s="47">
        <v>450</v>
      </c>
      <c r="L15" s="463"/>
      <c r="M15" s="449">
        <v>30.886907577514648</v>
      </c>
      <c r="N15" s="463"/>
      <c r="O15" s="449"/>
      <c r="P15" s="46"/>
      <c r="Q15" s="463">
        <v>58.056472778320312</v>
      </c>
      <c r="R15" s="472"/>
      <c r="S15" s="463"/>
      <c r="T15" s="480"/>
      <c r="U15" s="468"/>
      <c r="V15" s="449"/>
      <c r="W15" s="45">
        <v>1245.9520263671875</v>
      </c>
      <c r="X15" s="463">
        <v>107.57936859130859</v>
      </c>
      <c r="Y15" s="472"/>
      <c r="Z15" s="47"/>
      <c r="AA15" s="468">
        <v>0.36549224081553527</v>
      </c>
      <c r="AB15" s="456"/>
      <c r="AC15" s="46"/>
      <c r="AD15" s="46"/>
      <c r="AE15" s="46"/>
      <c r="AF15" s="46"/>
      <c r="AG15" s="46"/>
      <c r="AH15" s="46"/>
      <c r="AI15" s="457"/>
      <c r="AJ15" s="138"/>
      <c r="AK15" s="745"/>
      <c r="AL15" s="54"/>
      <c r="AM15" s="468"/>
      <c r="AN15" s="449"/>
      <c r="AO15" s="45"/>
      <c r="AP15" s="45"/>
      <c r="AQ15" s="45"/>
      <c r="AR15" s="45"/>
      <c r="AS15" s="45"/>
      <c r="AT15" s="45"/>
      <c r="AU15" s="463"/>
      <c r="AV15" s="449"/>
      <c r="AW15" s="45"/>
      <c r="AX15" s="45"/>
      <c r="AY15" s="45"/>
      <c r="AZ15" s="45"/>
      <c r="BA15" s="45"/>
      <c r="BB15" s="45"/>
      <c r="BC15" s="463"/>
      <c r="BD15" s="456"/>
      <c r="BE15" s="46"/>
      <c r="BF15" s="46"/>
      <c r="BG15" s="46"/>
      <c r="BH15" s="46"/>
      <c r="BI15" s="46"/>
      <c r="BJ15" s="457"/>
      <c r="BK15" s="449">
        <v>0</v>
      </c>
      <c r="BL15" s="45"/>
      <c r="BM15" s="45"/>
      <c r="BN15" s="45"/>
      <c r="BO15" s="45"/>
      <c r="BP15" s="45"/>
      <c r="BQ15" s="45"/>
      <c r="BR15" s="45"/>
      <c r="BS15" s="45"/>
      <c r="BT15" s="45"/>
      <c r="BU15" s="45"/>
      <c r="BV15" s="45"/>
      <c r="BW15" s="45"/>
      <c r="BX15" s="45"/>
      <c r="BY15" s="45"/>
      <c r="BZ15" s="45"/>
      <c r="CA15" s="45"/>
      <c r="CB15" s="45"/>
      <c r="CC15" s="45"/>
      <c r="CD15" s="463"/>
      <c r="CF15" s="742">
        <v>6</v>
      </c>
      <c r="CG15" s="729" t="s">
        <v>1836</v>
      </c>
    </row>
    <row r="16" spans="2:85">
      <c r="B16" s="136">
        <v>7</v>
      </c>
      <c r="C16" s="138">
        <v>1</v>
      </c>
      <c r="D16" s="474">
        <v>3457.9085739926268</v>
      </c>
      <c r="E16" s="127">
        <v>261.03353273779476</v>
      </c>
      <c r="F16" s="447">
        <v>0.42554539244822104</v>
      </c>
      <c r="G16" s="127">
        <v>113.26467440946632</v>
      </c>
      <c r="H16" s="132">
        <v>64.639719692981913</v>
      </c>
      <c r="I16" s="456"/>
      <c r="J16" s="47"/>
      <c r="K16" s="47">
        <v>510</v>
      </c>
      <c r="L16" s="463"/>
      <c r="M16" s="449">
        <v>33.250362396240234</v>
      </c>
      <c r="N16" s="463"/>
      <c r="O16" s="449"/>
      <c r="P16" s="46"/>
      <c r="Q16" s="463">
        <v>76.85186767578125</v>
      </c>
      <c r="R16" s="472"/>
      <c r="S16" s="463"/>
      <c r="T16" s="480"/>
      <c r="U16" s="468"/>
      <c r="V16" s="449"/>
      <c r="W16" s="45">
        <v>1591.3162841796875</v>
      </c>
      <c r="X16" s="463">
        <v>132.92816162109375</v>
      </c>
      <c r="Y16" s="472"/>
      <c r="Z16" s="47"/>
      <c r="AA16" s="468">
        <v>0.41585430110445204</v>
      </c>
      <c r="AB16" s="456"/>
      <c r="AC16" s="46"/>
      <c r="AD16" s="46"/>
      <c r="AE16" s="46"/>
      <c r="AF16" s="46"/>
      <c r="AG16" s="46"/>
      <c r="AH16" s="46"/>
      <c r="AI16" s="457"/>
      <c r="AJ16" s="138"/>
      <c r="AK16" s="745"/>
      <c r="AL16" s="54"/>
      <c r="AM16" s="468"/>
      <c r="AN16" s="449"/>
      <c r="AO16" s="45"/>
      <c r="AP16" s="45"/>
      <c r="AQ16" s="45"/>
      <c r="AR16" s="45"/>
      <c r="AS16" s="45"/>
      <c r="AT16" s="45"/>
      <c r="AU16" s="463"/>
      <c r="AV16" s="449"/>
      <c r="AW16" s="45"/>
      <c r="AX16" s="45"/>
      <c r="AY16" s="45"/>
      <c r="AZ16" s="45"/>
      <c r="BA16" s="45"/>
      <c r="BB16" s="45"/>
      <c r="BC16" s="463"/>
      <c r="BD16" s="456"/>
      <c r="BE16" s="46"/>
      <c r="BF16" s="46"/>
      <c r="BG16" s="46"/>
      <c r="BH16" s="46"/>
      <c r="BI16" s="46"/>
      <c r="BJ16" s="457"/>
      <c r="BK16" s="449">
        <v>0</v>
      </c>
      <c r="BL16" s="45"/>
      <c r="BM16" s="45"/>
      <c r="BN16" s="45"/>
      <c r="BO16" s="45"/>
      <c r="BP16" s="45"/>
      <c r="BQ16" s="45"/>
      <c r="BR16" s="45"/>
      <c r="BS16" s="45"/>
      <c r="BT16" s="45"/>
      <c r="BU16" s="45"/>
      <c r="BV16" s="45"/>
      <c r="BW16" s="45"/>
      <c r="BX16" s="45"/>
      <c r="BY16" s="45"/>
      <c r="BZ16" s="45"/>
      <c r="CA16" s="45"/>
      <c r="CB16" s="45"/>
      <c r="CC16" s="45"/>
      <c r="CD16" s="463"/>
      <c r="CF16" s="742">
        <v>7</v>
      </c>
      <c r="CG16" s="729" t="s">
        <v>1837</v>
      </c>
    </row>
    <row r="17" spans="2:85">
      <c r="B17" s="136">
        <v>8</v>
      </c>
      <c r="C17" s="138">
        <v>1</v>
      </c>
      <c r="D17" s="474">
        <v>3125.363201896751</v>
      </c>
      <c r="E17" s="127">
        <v>249.25627484050872</v>
      </c>
      <c r="F17" s="447">
        <v>0.35937727864177765</v>
      </c>
      <c r="G17" s="127">
        <v>100.18448462616587</v>
      </c>
      <c r="H17" s="132">
        <v>62.71911431378885</v>
      </c>
      <c r="I17" s="456"/>
      <c r="J17" s="47"/>
      <c r="K17" s="47">
        <v>450</v>
      </c>
      <c r="L17" s="463"/>
      <c r="M17" s="449">
        <v>25.412025451660156</v>
      </c>
      <c r="N17" s="463"/>
      <c r="O17" s="449"/>
      <c r="P17" s="46"/>
      <c r="Q17" s="463">
        <v>70.2891845703125</v>
      </c>
      <c r="R17" s="472"/>
      <c r="S17" s="463"/>
      <c r="T17" s="480"/>
      <c r="U17" s="468"/>
      <c r="V17" s="449"/>
      <c r="W17" s="45">
        <v>1179.1231689453125</v>
      </c>
      <c r="X17" s="463">
        <v>102.72087860107422</v>
      </c>
      <c r="Y17" s="472"/>
      <c r="Z17" s="47"/>
      <c r="AA17" s="468">
        <v>0.34907846103449891</v>
      </c>
      <c r="AB17" s="456"/>
      <c r="AC17" s="46"/>
      <c r="AD17" s="46"/>
      <c r="AE17" s="46"/>
      <c r="AF17" s="46"/>
      <c r="AG17" s="46"/>
      <c r="AH17" s="46"/>
      <c r="AI17" s="457"/>
      <c r="AJ17" s="138"/>
      <c r="AK17" s="745"/>
      <c r="AL17" s="54"/>
      <c r="AM17" s="468"/>
      <c r="AN17" s="449"/>
      <c r="AO17" s="45"/>
      <c r="AP17" s="45"/>
      <c r="AQ17" s="45"/>
      <c r="AR17" s="45"/>
      <c r="AS17" s="45"/>
      <c r="AT17" s="45"/>
      <c r="AU17" s="463"/>
      <c r="AV17" s="449"/>
      <c r="AW17" s="45"/>
      <c r="AX17" s="45"/>
      <c r="AY17" s="45"/>
      <c r="AZ17" s="45"/>
      <c r="BA17" s="45"/>
      <c r="BB17" s="45"/>
      <c r="BC17" s="463"/>
      <c r="BD17" s="456"/>
      <c r="BE17" s="46"/>
      <c r="BF17" s="46"/>
      <c r="BG17" s="46"/>
      <c r="BH17" s="46"/>
      <c r="BI17" s="46"/>
      <c r="BJ17" s="457"/>
      <c r="BK17" s="449">
        <v>0</v>
      </c>
      <c r="BL17" s="45"/>
      <c r="BM17" s="45"/>
      <c r="BN17" s="45"/>
      <c r="BO17" s="45"/>
      <c r="BP17" s="45"/>
      <c r="BQ17" s="45"/>
      <c r="BR17" s="45"/>
      <c r="BS17" s="45"/>
      <c r="BT17" s="45"/>
      <c r="BU17" s="45"/>
      <c r="BV17" s="45"/>
      <c r="BW17" s="45"/>
      <c r="BX17" s="45"/>
      <c r="BY17" s="45"/>
      <c r="BZ17" s="45"/>
      <c r="CA17" s="45"/>
      <c r="CB17" s="45"/>
      <c r="CC17" s="45"/>
      <c r="CD17" s="463"/>
      <c r="CF17" s="742">
        <v>8</v>
      </c>
      <c r="CG17" s="729" t="s">
        <v>1838</v>
      </c>
    </row>
    <row r="18" spans="2:85">
      <c r="B18" s="136">
        <v>9</v>
      </c>
      <c r="C18" s="138">
        <v>1</v>
      </c>
      <c r="D18" s="474">
        <v>3065.3937161517088</v>
      </c>
      <c r="E18" s="127">
        <v>290.61727792263423</v>
      </c>
      <c r="F18" s="447">
        <v>0.42054410418026494</v>
      </c>
      <c r="G18" s="127">
        <v>109.26259751856466</v>
      </c>
      <c r="H18" s="132">
        <v>59.730530983766045</v>
      </c>
      <c r="I18" s="456"/>
      <c r="J18" s="47"/>
      <c r="K18" s="47">
        <v>470</v>
      </c>
      <c r="L18" s="463"/>
      <c r="M18" s="449">
        <v>32.936386108398437</v>
      </c>
      <c r="N18" s="463"/>
      <c r="O18" s="449"/>
      <c r="P18" s="46"/>
      <c r="Q18" s="463">
        <v>68.912071228027344</v>
      </c>
      <c r="R18" s="472"/>
      <c r="S18" s="463"/>
      <c r="T18" s="480"/>
      <c r="U18" s="468"/>
      <c r="V18" s="449"/>
      <c r="W18" s="45">
        <v>1479.128173828125</v>
      </c>
      <c r="X18" s="463">
        <v>124.63152313232422</v>
      </c>
      <c r="Y18" s="472"/>
      <c r="Z18" s="47"/>
      <c r="AA18" s="468">
        <v>0.40964472707657945</v>
      </c>
      <c r="AB18" s="456"/>
      <c r="AC18" s="46"/>
      <c r="AD18" s="46"/>
      <c r="AE18" s="46"/>
      <c r="AF18" s="46"/>
      <c r="AG18" s="46"/>
      <c r="AH18" s="46"/>
      <c r="AI18" s="457"/>
      <c r="AJ18" s="138"/>
      <c r="AK18" s="745"/>
      <c r="AL18" s="54"/>
      <c r="AM18" s="468"/>
      <c r="AN18" s="449"/>
      <c r="AO18" s="45"/>
      <c r="AP18" s="45"/>
      <c r="AQ18" s="45"/>
      <c r="AR18" s="45"/>
      <c r="AS18" s="45"/>
      <c r="AT18" s="45"/>
      <c r="AU18" s="463"/>
      <c r="AV18" s="449"/>
      <c r="AW18" s="45"/>
      <c r="AX18" s="45"/>
      <c r="AY18" s="45"/>
      <c r="AZ18" s="45"/>
      <c r="BA18" s="45"/>
      <c r="BB18" s="45"/>
      <c r="BC18" s="463"/>
      <c r="BD18" s="456"/>
      <c r="BE18" s="46"/>
      <c r="BF18" s="46"/>
      <c r="BG18" s="46"/>
      <c r="BH18" s="46"/>
      <c r="BI18" s="46"/>
      <c r="BJ18" s="457"/>
      <c r="BK18" s="449">
        <v>0</v>
      </c>
      <c r="BL18" s="45"/>
      <c r="BM18" s="45"/>
      <c r="BN18" s="45"/>
      <c r="BO18" s="45"/>
      <c r="BP18" s="45"/>
      <c r="BQ18" s="45"/>
      <c r="BR18" s="45"/>
      <c r="BS18" s="45"/>
      <c r="BT18" s="45"/>
      <c r="BU18" s="45"/>
      <c r="BV18" s="45"/>
      <c r="BW18" s="45"/>
      <c r="BX18" s="45"/>
      <c r="BY18" s="45"/>
      <c r="BZ18" s="45"/>
      <c r="CA18" s="45"/>
      <c r="CB18" s="45"/>
      <c r="CC18" s="45"/>
      <c r="CD18" s="463"/>
      <c r="CF18" s="742">
        <v>9</v>
      </c>
      <c r="CG18" s="729" t="s">
        <v>1839</v>
      </c>
    </row>
    <row r="19" spans="2:85">
      <c r="B19" s="136">
        <v>10</v>
      </c>
      <c r="C19" s="138">
        <v>1</v>
      </c>
      <c r="D19" s="474">
        <v>3493.1384580657614</v>
      </c>
      <c r="E19" s="127">
        <v>200.38983654072598</v>
      </c>
      <c r="F19" s="447">
        <v>0.37676768946122335</v>
      </c>
      <c r="G19" s="127">
        <v>130.56378651106007</v>
      </c>
      <c r="H19" s="132">
        <v>54.680336408826257</v>
      </c>
      <c r="I19" s="456"/>
      <c r="J19" s="47"/>
      <c r="K19" s="47">
        <v>520</v>
      </c>
      <c r="L19" s="463"/>
      <c r="M19" s="449">
        <v>30.421714782714844</v>
      </c>
      <c r="N19" s="463"/>
      <c r="O19" s="449"/>
      <c r="P19" s="46"/>
      <c r="Q19" s="463">
        <v>69.164138793945313</v>
      </c>
      <c r="R19" s="472"/>
      <c r="S19" s="463"/>
      <c r="T19" s="480"/>
      <c r="U19" s="468"/>
      <c r="V19" s="449"/>
      <c r="W19" s="45">
        <v>1399.0714111328125</v>
      </c>
      <c r="X19" s="463">
        <v>118.99385833740234</v>
      </c>
      <c r="Y19" s="472"/>
      <c r="Z19" s="47"/>
      <c r="AA19" s="468">
        <v>0.36745361440241792</v>
      </c>
      <c r="AB19" s="456"/>
      <c r="AC19" s="46"/>
      <c r="AD19" s="46"/>
      <c r="AE19" s="46"/>
      <c r="AF19" s="46"/>
      <c r="AG19" s="46"/>
      <c r="AH19" s="46"/>
      <c r="AI19" s="457"/>
      <c r="AJ19" s="138"/>
      <c r="AK19" s="745"/>
      <c r="AL19" s="54"/>
      <c r="AM19" s="468"/>
      <c r="AN19" s="449"/>
      <c r="AO19" s="45"/>
      <c r="AP19" s="45"/>
      <c r="AQ19" s="45"/>
      <c r="AR19" s="45"/>
      <c r="AS19" s="45"/>
      <c r="AT19" s="45"/>
      <c r="AU19" s="463"/>
      <c r="AV19" s="449"/>
      <c r="AW19" s="45"/>
      <c r="AX19" s="45"/>
      <c r="AY19" s="45"/>
      <c r="AZ19" s="45"/>
      <c r="BA19" s="45"/>
      <c r="BB19" s="45"/>
      <c r="BC19" s="463"/>
      <c r="BD19" s="456"/>
      <c r="BE19" s="46"/>
      <c r="BF19" s="46"/>
      <c r="BG19" s="46"/>
      <c r="BH19" s="46"/>
      <c r="BI19" s="46"/>
      <c r="BJ19" s="457"/>
      <c r="BK19" s="449">
        <v>0</v>
      </c>
      <c r="BL19" s="45"/>
      <c r="BM19" s="45"/>
      <c r="BN19" s="45"/>
      <c r="BO19" s="45"/>
      <c r="BP19" s="45"/>
      <c r="BQ19" s="45"/>
      <c r="BR19" s="45"/>
      <c r="BS19" s="45"/>
      <c r="BT19" s="45"/>
      <c r="BU19" s="45"/>
      <c r="BV19" s="45"/>
      <c r="BW19" s="45"/>
      <c r="BX19" s="45"/>
      <c r="BY19" s="45"/>
      <c r="BZ19" s="45"/>
      <c r="CA19" s="45"/>
      <c r="CB19" s="45"/>
      <c r="CC19" s="45"/>
      <c r="CD19" s="463"/>
      <c r="CF19" s="742">
        <v>10</v>
      </c>
      <c r="CG19" s="729" t="s">
        <v>1840</v>
      </c>
    </row>
    <row r="20" spans="2:85">
      <c r="B20" s="136">
        <v>11</v>
      </c>
      <c r="C20" s="138">
        <v>1</v>
      </c>
      <c r="D20" s="474">
        <v>4312.6135756477179</v>
      </c>
      <c r="E20" s="127">
        <v>284.24309387330044</v>
      </c>
      <c r="F20" s="447">
        <v>0.45887268357101318</v>
      </c>
      <c r="G20" s="127">
        <v>146.13953705945852</v>
      </c>
      <c r="H20" s="132">
        <v>63.986008622824805</v>
      </c>
      <c r="I20" s="456"/>
      <c r="J20" s="47"/>
      <c r="K20" s="47">
        <v>610</v>
      </c>
      <c r="L20" s="463"/>
      <c r="M20" s="449">
        <v>43.049263000488281</v>
      </c>
      <c r="N20" s="463"/>
      <c r="O20" s="449"/>
      <c r="P20" s="46"/>
      <c r="Q20" s="463">
        <v>85.389755249023438</v>
      </c>
      <c r="R20" s="472"/>
      <c r="S20" s="463"/>
      <c r="T20" s="480"/>
      <c r="U20" s="468"/>
      <c r="V20" s="449"/>
      <c r="W20" s="45">
        <v>2169.515380859375</v>
      </c>
      <c r="X20" s="463">
        <v>175.43092346191406</v>
      </c>
      <c r="Y20" s="472"/>
      <c r="Z20" s="47"/>
      <c r="AA20" s="468">
        <v>0.45094768563834142</v>
      </c>
      <c r="AB20" s="456"/>
      <c r="AC20" s="46"/>
      <c r="AD20" s="46"/>
      <c r="AE20" s="46"/>
      <c r="AF20" s="46"/>
      <c r="AG20" s="46"/>
      <c r="AH20" s="46"/>
      <c r="AI20" s="457"/>
      <c r="AJ20" s="138"/>
      <c r="AK20" s="745"/>
      <c r="AL20" s="54"/>
      <c r="AM20" s="468"/>
      <c r="AN20" s="449"/>
      <c r="AO20" s="45"/>
      <c r="AP20" s="45"/>
      <c r="AQ20" s="45"/>
      <c r="AR20" s="45"/>
      <c r="AS20" s="45"/>
      <c r="AT20" s="45"/>
      <c r="AU20" s="463"/>
      <c r="AV20" s="449"/>
      <c r="AW20" s="45"/>
      <c r="AX20" s="45"/>
      <c r="AY20" s="45"/>
      <c r="AZ20" s="45"/>
      <c r="BA20" s="45"/>
      <c r="BB20" s="45"/>
      <c r="BC20" s="463"/>
      <c r="BD20" s="456"/>
      <c r="BE20" s="46"/>
      <c r="BF20" s="46"/>
      <c r="BG20" s="46"/>
      <c r="BH20" s="46"/>
      <c r="BI20" s="46"/>
      <c r="BJ20" s="457"/>
      <c r="BK20" s="449">
        <v>0</v>
      </c>
      <c r="BL20" s="45"/>
      <c r="BM20" s="45"/>
      <c r="BN20" s="45"/>
      <c r="BO20" s="45"/>
      <c r="BP20" s="45"/>
      <c r="BQ20" s="45"/>
      <c r="BR20" s="45"/>
      <c r="BS20" s="45"/>
      <c r="BT20" s="45"/>
      <c r="BU20" s="45"/>
      <c r="BV20" s="45"/>
      <c r="BW20" s="45"/>
      <c r="BX20" s="45"/>
      <c r="BY20" s="45"/>
      <c r="BZ20" s="45"/>
      <c r="CA20" s="45"/>
      <c r="CB20" s="45"/>
      <c r="CC20" s="45"/>
      <c r="CD20" s="463"/>
      <c r="CF20" s="742">
        <v>11</v>
      </c>
      <c r="CG20" s="729" t="s">
        <v>1841</v>
      </c>
    </row>
    <row r="21" spans="2:85">
      <c r="B21" s="136">
        <v>12</v>
      </c>
      <c r="C21" s="138">
        <v>1</v>
      </c>
      <c r="D21" s="474">
        <v>3373.2887589575871</v>
      </c>
      <c r="E21" s="127">
        <v>274.45360205160222</v>
      </c>
      <c r="F21" s="447">
        <v>0.40761251940226445</v>
      </c>
      <c r="G21" s="127">
        <v>122.65179258886755</v>
      </c>
      <c r="H21" s="132">
        <v>54.599838475208628</v>
      </c>
      <c r="I21" s="456"/>
      <c r="J21" s="47"/>
      <c r="K21" s="47">
        <v>500</v>
      </c>
      <c r="L21" s="463"/>
      <c r="M21" s="449">
        <v>33.465145111083984</v>
      </c>
      <c r="N21" s="463"/>
      <c r="O21" s="449"/>
      <c r="P21" s="46"/>
      <c r="Q21" s="463">
        <v>66.791122436523438</v>
      </c>
      <c r="R21" s="472"/>
      <c r="S21" s="463"/>
      <c r="T21" s="480"/>
      <c r="U21" s="468"/>
      <c r="V21" s="449"/>
      <c r="W21" s="45">
        <v>1485.6702880859375</v>
      </c>
      <c r="X21" s="463">
        <v>125.20538330078125</v>
      </c>
      <c r="Y21" s="472"/>
      <c r="Z21" s="47"/>
      <c r="AA21" s="468">
        <v>0.3977846473293471</v>
      </c>
      <c r="AB21" s="456"/>
      <c r="AC21" s="46"/>
      <c r="AD21" s="46"/>
      <c r="AE21" s="46"/>
      <c r="AF21" s="46"/>
      <c r="AG21" s="46"/>
      <c r="AH21" s="46"/>
      <c r="AI21" s="457"/>
      <c r="AJ21" s="138"/>
      <c r="AK21" s="745"/>
      <c r="AL21" s="54"/>
      <c r="AM21" s="468"/>
      <c r="AN21" s="449"/>
      <c r="AO21" s="45"/>
      <c r="AP21" s="45"/>
      <c r="AQ21" s="45"/>
      <c r="AR21" s="45"/>
      <c r="AS21" s="45"/>
      <c r="AT21" s="45"/>
      <c r="AU21" s="463"/>
      <c r="AV21" s="449"/>
      <c r="AW21" s="45"/>
      <c r="AX21" s="45"/>
      <c r="AY21" s="45"/>
      <c r="AZ21" s="45"/>
      <c r="BA21" s="45"/>
      <c r="BB21" s="45"/>
      <c r="BC21" s="463"/>
      <c r="BD21" s="456"/>
      <c r="BE21" s="46"/>
      <c r="BF21" s="46"/>
      <c r="BG21" s="46"/>
      <c r="BH21" s="46"/>
      <c r="BI21" s="46"/>
      <c r="BJ21" s="457"/>
      <c r="BK21" s="449">
        <v>0</v>
      </c>
      <c r="BL21" s="45"/>
      <c r="BM21" s="45"/>
      <c r="BN21" s="45"/>
      <c r="BO21" s="45"/>
      <c r="BP21" s="45"/>
      <c r="BQ21" s="45"/>
      <c r="BR21" s="45"/>
      <c r="BS21" s="45"/>
      <c r="BT21" s="45"/>
      <c r="BU21" s="45"/>
      <c r="BV21" s="45"/>
      <c r="BW21" s="45"/>
      <c r="BX21" s="45"/>
      <c r="BY21" s="45"/>
      <c r="BZ21" s="45"/>
      <c r="CA21" s="45"/>
      <c r="CB21" s="45"/>
      <c r="CC21" s="45"/>
      <c r="CD21" s="463"/>
      <c r="CF21" s="742">
        <v>12</v>
      </c>
      <c r="CG21" s="729" t="s">
        <v>1842</v>
      </c>
    </row>
    <row r="22" spans="2:85">
      <c r="B22" s="136">
        <v>13</v>
      </c>
      <c r="C22" s="138">
        <v>1</v>
      </c>
      <c r="D22" s="474">
        <v>3676.6084095009837</v>
      </c>
      <c r="E22" s="127">
        <v>208.57887074588646</v>
      </c>
      <c r="F22" s="447">
        <v>0.39968675047037583</v>
      </c>
      <c r="G22" s="127">
        <v>117.14860597920134</v>
      </c>
      <c r="H22" s="132">
        <v>60.964650347362166</v>
      </c>
      <c r="I22" s="456"/>
      <c r="J22" s="47"/>
      <c r="K22" s="47">
        <v>500</v>
      </c>
      <c r="L22" s="463"/>
      <c r="M22" s="449">
        <v>30.951040267944336</v>
      </c>
      <c r="N22" s="463"/>
      <c r="O22" s="449"/>
      <c r="P22" s="46"/>
      <c r="Q22" s="463">
        <v>72.796844482421875</v>
      </c>
      <c r="R22" s="472"/>
      <c r="S22" s="463"/>
      <c r="T22" s="480"/>
      <c r="U22" s="468"/>
      <c r="V22" s="449"/>
      <c r="W22" s="45">
        <v>1450.7506103515625</v>
      </c>
      <c r="X22" s="463">
        <v>122.68225860595703</v>
      </c>
      <c r="Y22" s="472"/>
      <c r="Z22" s="47"/>
      <c r="AA22" s="468">
        <v>0.39071279095808559</v>
      </c>
      <c r="AB22" s="456"/>
      <c r="AC22" s="46"/>
      <c r="AD22" s="46"/>
      <c r="AE22" s="46"/>
      <c r="AF22" s="46"/>
      <c r="AG22" s="46"/>
      <c r="AH22" s="46"/>
      <c r="AI22" s="457"/>
      <c r="AJ22" s="138"/>
      <c r="AK22" s="745"/>
      <c r="AL22" s="54"/>
      <c r="AM22" s="468"/>
      <c r="AN22" s="449"/>
      <c r="AO22" s="45"/>
      <c r="AP22" s="45"/>
      <c r="AQ22" s="45"/>
      <c r="AR22" s="45"/>
      <c r="AS22" s="45"/>
      <c r="AT22" s="45"/>
      <c r="AU22" s="463"/>
      <c r="AV22" s="449"/>
      <c r="AW22" s="45"/>
      <c r="AX22" s="45"/>
      <c r="AY22" s="45"/>
      <c r="AZ22" s="45"/>
      <c r="BA22" s="45"/>
      <c r="BB22" s="45"/>
      <c r="BC22" s="463"/>
      <c r="BD22" s="456"/>
      <c r="BE22" s="46"/>
      <c r="BF22" s="46"/>
      <c r="BG22" s="46"/>
      <c r="BH22" s="46"/>
      <c r="BI22" s="46"/>
      <c r="BJ22" s="457"/>
      <c r="BK22" s="449">
        <v>0</v>
      </c>
      <c r="BL22" s="45"/>
      <c r="BM22" s="45"/>
      <c r="BN22" s="45"/>
      <c r="BO22" s="45"/>
      <c r="BP22" s="45"/>
      <c r="BQ22" s="45"/>
      <c r="BR22" s="45"/>
      <c r="BS22" s="45"/>
      <c r="BT22" s="45"/>
      <c r="BU22" s="45"/>
      <c r="BV22" s="45"/>
      <c r="BW22" s="45"/>
      <c r="BX22" s="45"/>
      <c r="BY22" s="45"/>
      <c r="BZ22" s="45"/>
      <c r="CA22" s="45"/>
      <c r="CB22" s="45"/>
      <c r="CC22" s="45"/>
      <c r="CD22" s="463"/>
      <c r="CF22" s="742">
        <v>13</v>
      </c>
      <c r="CG22" s="729" t="s">
        <v>1843</v>
      </c>
    </row>
    <row r="23" spans="2:85">
      <c r="B23" s="136">
        <v>14</v>
      </c>
      <c r="C23" s="138">
        <v>1</v>
      </c>
      <c r="D23" s="474">
        <v>2833.962394684072</v>
      </c>
      <c r="E23" s="127">
        <v>241.21899223205659</v>
      </c>
      <c r="F23" s="447">
        <v>0.40450380120696994</v>
      </c>
      <c r="G23" s="127">
        <v>98.698821882548913</v>
      </c>
      <c r="H23" s="132">
        <v>50.817340198392202</v>
      </c>
      <c r="I23" s="456"/>
      <c r="J23" s="47"/>
      <c r="K23" s="47">
        <v>410</v>
      </c>
      <c r="L23" s="463"/>
      <c r="M23" s="449">
        <v>31.626644134521484</v>
      </c>
      <c r="N23" s="463"/>
      <c r="O23" s="449"/>
      <c r="P23" s="46"/>
      <c r="Q23" s="463">
        <v>56.112457275390625</v>
      </c>
      <c r="R23" s="472"/>
      <c r="S23" s="463"/>
      <c r="T23" s="480"/>
      <c r="U23" s="468"/>
      <c r="V23" s="449"/>
      <c r="W23" s="45">
        <v>1240.4779052734375</v>
      </c>
      <c r="X23" s="463">
        <v>107.00263214111328</v>
      </c>
      <c r="Y23" s="472"/>
      <c r="Z23" s="47"/>
      <c r="AA23" s="468">
        <v>0.39282754322760877</v>
      </c>
      <c r="AB23" s="456"/>
      <c r="AC23" s="46"/>
      <c r="AD23" s="46"/>
      <c r="AE23" s="46"/>
      <c r="AF23" s="46"/>
      <c r="AG23" s="46"/>
      <c r="AH23" s="46"/>
      <c r="AI23" s="457"/>
      <c r="AJ23" s="138"/>
      <c r="AK23" s="745"/>
      <c r="AL23" s="54"/>
      <c r="AM23" s="468"/>
      <c r="AN23" s="449"/>
      <c r="AO23" s="45"/>
      <c r="AP23" s="45"/>
      <c r="AQ23" s="45"/>
      <c r="AR23" s="45"/>
      <c r="AS23" s="45"/>
      <c r="AT23" s="45"/>
      <c r="AU23" s="463"/>
      <c r="AV23" s="449"/>
      <c r="AW23" s="45"/>
      <c r="AX23" s="45"/>
      <c r="AY23" s="45"/>
      <c r="AZ23" s="45"/>
      <c r="BA23" s="45"/>
      <c r="BB23" s="45"/>
      <c r="BC23" s="463"/>
      <c r="BD23" s="456"/>
      <c r="BE23" s="46"/>
      <c r="BF23" s="46"/>
      <c r="BG23" s="46"/>
      <c r="BH23" s="46"/>
      <c r="BI23" s="46"/>
      <c r="BJ23" s="457"/>
      <c r="BK23" s="449">
        <v>0</v>
      </c>
      <c r="BL23" s="45"/>
      <c r="BM23" s="45"/>
      <c r="BN23" s="45"/>
      <c r="BO23" s="45"/>
      <c r="BP23" s="45"/>
      <c r="BQ23" s="45"/>
      <c r="BR23" s="45"/>
      <c r="BS23" s="45"/>
      <c r="BT23" s="45"/>
      <c r="BU23" s="45"/>
      <c r="BV23" s="45"/>
      <c r="BW23" s="45"/>
      <c r="BX23" s="45"/>
      <c r="BY23" s="45"/>
      <c r="BZ23" s="45"/>
      <c r="CA23" s="45"/>
      <c r="CB23" s="45"/>
      <c r="CC23" s="45"/>
      <c r="CD23" s="463"/>
      <c r="CF23" s="742">
        <v>14</v>
      </c>
      <c r="CG23" s="729" t="s">
        <v>1844</v>
      </c>
    </row>
    <row r="24" spans="2:85">
      <c r="B24" s="136">
        <v>15</v>
      </c>
      <c r="C24" s="138">
        <v>1</v>
      </c>
      <c r="D24" s="474">
        <v>2914.9021719927937</v>
      </c>
      <c r="E24" s="127">
        <v>227.24901676610608</v>
      </c>
      <c r="F24" s="447">
        <v>0.40038148082404185</v>
      </c>
      <c r="G24" s="127">
        <v>112.94808667115765</v>
      </c>
      <c r="H24" s="132">
        <v>47.927239021359398</v>
      </c>
      <c r="I24" s="456"/>
      <c r="J24" s="47"/>
      <c r="K24" s="47">
        <v>440</v>
      </c>
      <c r="L24" s="463"/>
      <c r="M24" s="449">
        <v>32.932846069335938</v>
      </c>
      <c r="N24" s="463"/>
      <c r="O24" s="449"/>
      <c r="P24" s="46"/>
      <c r="Q24" s="463">
        <v>57.715068817138672</v>
      </c>
      <c r="R24" s="472"/>
      <c r="S24" s="463"/>
      <c r="T24" s="480"/>
      <c r="U24" s="468"/>
      <c r="V24" s="449"/>
      <c r="W24" s="45">
        <v>1324.7144775390625</v>
      </c>
      <c r="X24" s="463">
        <v>113.28574371337891</v>
      </c>
      <c r="Y24" s="472"/>
      <c r="Z24" s="47"/>
      <c r="AA24" s="468">
        <v>0.38905772871543676</v>
      </c>
      <c r="AB24" s="456"/>
      <c r="AC24" s="46"/>
      <c r="AD24" s="46"/>
      <c r="AE24" s="46"/>
      <c r="AF24" s="46"/>
      <c r="AG24" s="46"/>
      <c r="AH24" s="46"/>
      <c r="AI24" s="457"/>
      <c r="AJ24" s="138"/>
      <c r="AK24" s="745"/>
      <c r="AL24" s="54"/>
      <c r="AM24" s="468"/>
      <c r="AN24" s="449"/>
      <c r="AO24" s="45"/>
      <c r="AP24" s="45"/>
      <c r="AQ24" s="45"/>
      <c r="AR24" s="45"/>
      <c r="AS24" s="45"/>
      <c r="AT24" s="45"/>
      <c r="AU24" s="463"/>
      <c r="AV24" s="449"/>
      <c r="AW24" s="45"/>
      <c r="AX24" s="45"/>
      <c r="AY24" s="45"/>
      <c r="AZ24" s="45"/>
      <c r="BA24" s="45"/>
      <c r="BB24" s="45"/>
      <c r="BC24" s="463"/>
      <c r="BD24" s="456"/>
      <c r="BE24" s="46"/>
      <c r="BF24" s="46"/>
      <c r="BG24" s="46"/>
      <c r="BH24" s="46"/>
      <c r="BI24" s="46"/>
      <c r="BJ24" s="457"/>
      <c r="BK24" s="449">
        <v>0</v>
      </c>
      <c r="BL24" s="45"/>
      <c r="BM24" s="45"/>
      <c r="BN24" s="45"/>
      <c r="BO24" s="45"/>
      <c r="BP24" s="45"/>
      <c r="BQ24" s="45"/>
      <c r="BR24" s="45"/>
      <c r="BS24" s="45"/>
      <c r="BT24" s="45"/>
      <c r="BU24" s="45"/>
      <c r="BV24" s="45"/>
      <c r="BW24" s="45"/>
      <c r="BX24" s="45"/>
      <c r="BY24" s="45"/>
      <c r="BZ24" s="45"/>
      <c r="CA24" s="45"/>
      <c r="CB24" s="45"/>
      <c r="CC24" s="45"/>
      <c r="CD24" s="463"/>
      <c r="CF24" s="742">
        <v>15</v>
      </c>
      <c r="CG24" s="729" t="s">
        <v>1845</v>
      </c>
    </row>
    <row r="25" spans="2:85">
      <c r="B25" s="136">
        <v>16</v>
      </c>
      <c r="C25" s="138">
        <v>1</v>
      </c>
      <c r="D25" s="474">
        <v>3662.3529822495707</v>
      </c>
      <c r="E25" s="127">
        <v>243.93035461955034</v>
      </c>
      <c r="F25" s="447">
        <v>0.37847420259748793</v>
      </c>
      <c r="G25" s="127">
        <v>153.04785344655119</v>
      </c>
      <c r="H25" s="132">
        <v>51.555754954382557</v>
      </c>
      <c r="I25" s="456"/>
      <c r="J25" s="47"/>
      <c r="K25" s="47">
        <v>570</v>
      </c>
      <c r="L25" s="463"/>
      <c r="M25" s="449">
        <v>32.551750183105469</v>
      </c>
      <c r="N25" s="463"/>
      <c r="O25" s="449"/>
      <c r="P25" s="46"/>
      <c r="Q25" s="463">
        <v>72.51458740234375</v>
      </c>
      <c r="R25" s="472"/>
      <c r="S25" s="463"/>
      <c r="T25" s="480"/>
      <c r="U25" s="468"/>
      <c r="V25" s="449"/>
      <c r="W25" s="45">
        <v>1545.7271728515625</v>
      </c>
      <c r="X25" s="463">
        <v>129.8983154296875</v>
      </c>
      <c r="Y25" s="472"/>
      <c r="Z25" s="47"/>
      <c r="AA25" s="468">
        <v>0.36958115372704725</v>
      </c>
      <c r="AB25" s="456"/>
      <c r="AC25" s="46"/>
      <c r="AD25" s="46"/>
      <c r="AE25" s="46"/>
      <c r="AF25" s="46"/>
      <c r="AG25" s="46"/>
      <c r="AH25" s="46"/>
      <c r="AI25" s="457"/>
      <c r="AJ25" s="138"/>
      <c r="AK25" s="745"/>
      <c r="AL25" s="54"/>
      <c r="AM25" s="468"/>
      <c r="AN25" s="449"/>
      <c r="AO25" s="45"/>
      <c r="AP25" s="45"/>
      <c r="AQ25" s="45"/>
      <c r="AR25" s="45"/>
      <c r="AS25" s="45"/>
      <c r="AT25" s="45"/>
      <c r="AU25" s="463"/>
      <c r="AV25" s="449"/>
      <c r="AW25" s="45"/>
      <c r="AX25" s="45"/>
      <c r="AY25" s="45"/>
      <c r="AZ25" s="45"/>
      <c r="BA25" s="45"/>
      <c r="BB25" s="45"/>
      <c r="BC25" s="463"/>
      <c r="BD25" s="456"/>
      <c r="BE25" s="46"/>
      <c r="BF25" s="46"/>
      <c r="BG25" s="46"/>
      <c r="BH25" s="46"/>
      <c r="BI25" s="46"/>
      <c r="BJ25" s="457"/>
      <c r="BK25" s="449">
        <v>0</v>
      </c>
      <c r="BL25" s="45"/>
      <c r="BM25" s="45"/>
      <c r="BN25" s="45"/>
      <c r="BO25" s="45"/>
      <c r="BP25" s="45"/>
      <c r="BQ25" s="45"/>
      <c r="BR25" s="45"/>
      <c r="BS25" s="45"/>
      <c r="BT25" s="45"/>
      <c r="BU25" s="45"/>
      <c r="BV25" s="45"/>
      <c r="BW25" s="45"/>
      <c r="BX25" s="45"/>
      <c r="BY25" s="45"/>
      <c r="BZ25" s="45"/>
      <c r="CA25" s="45"/>
      <c r="CB25" s="45"/>
      <c r="CC25" s="45"/>
      <c r="CD25" s="463"/>
      <c r="CF25" s="742">
        <v>16</v>
      </c>
      <c r="CG25" s="729" t="s">
        <v>1846</v>
      </c>
    </row>
    <row r="26" spans="2:85">
      <c r="B26" s="136">
        <v>17</v>
      </c>
      <c r="C26" s="138">
        <v>1</v>
      </c>
      <c r="D26" s="474">
        <v>2801.8383457768264</v>
      </c>
      <c r="E26" s="127">
        <v>267.02607407414024</v>
      </c>
      <c r="F26" s="447">
        <v>0.3969076534586462</v>
      </c>
      <c r="G26" s="127">
        <v>100.19449791388278</v>
      </c>
      <c r="H26" s="132">
        <v>49.631324087541849</v>
      </c>
      <c r="I26" s="456"/>
      <c r="J26" s="47"/>
      <c r="K26" s="47">
        <v>410</v>
      </c>
      <c r="L26" s="463"/>
      <c r="M26" s="449">
        <v>31.128925323486328</v>
      </c>
      <c r="N26" s="463"/>
      <c r="O26" s="449"/>
      <c r="P26" s="46"/>
      <c r="Q26" s="463">
        <v>55.476402282714844</v>
      </c>
      <c r="R26" s="472"/>
      <c r="S26" s="463"/>
      <c r="T26" s="480"/>
      <c r="U26" s="468"/>
      <c r="V26" s="449"/>
      <c r="W26" s="45">
        <v>1208.3148193359375</v>
      </c>
      <c r="X26" s="463">
        <v>104.65666198730469</v>
      </c>
      <c r="Y26" s="472"/>
      <c r="Z26" s="47"/>
      <c r="AA26" s="468">
        <v>0.38515174572798788</v>
      </c>
      <c r="AB26" s="456"/>
      <c r="AC26" s="46"/>
      <c r="AD26" s="46"/>
      <c r="AE26" s="46"/>
      <c r="AF26" s="46"/>
      <c r="AG26" s="46"/>
      <c r="AH26" s="46"/>
      <c r="AI26" s="457"/>
      <c r="AJ26" s="138"/>
      <c r="AK26" s="745"/>
      <c r="AL26" s="54"/>
      <c r="AM26" s="468"/>
      <c r="AN26" s="449"/>
      <c r="AO26" s="45"/>
      <c r="AP26" s="45"/>
      <c r="AQ26" s="45"/>
      <c r="AR26" s="45"/>
      <c r="AS26" s="45"/>
      <c r="AT26" s="45"/>
      <c r="AU26" s="463"/>
      <c r="AV26" s="449"/>
      <c r="AW26" s="45"/>
      <c r="AX26" s="45"/>
      <c r="AY26" s="45"/>
      <c r="AZ26" s="45"/>
      <c r="BA26" s="45"/>
      <c r="BB26" s="45"/>
      <c r="BC26" s="463"/>
      <c r="BD26" s="456"/>
      <c r="BE26" s="46"/>
      <c r="BF26" s="46"/>
      <c r="BG26" s="46"/>
      <c r="BH26" s="46"/>
      <c r="BI26" s="46"/>
      <c r="BJ26" s="457"/>
      <c r="BK26" s="449">
        <v>0</v>
      </c>
      <c r="BL26" s="45"/>
      <c r="BM26" s="45"/>
      <c r="BN26" s="45"/>
      <c r="BO26" s="45"/>
      <c r="BP26" s="45"/>
      <c r="BQ26" s="45"/>
      <c r="BR26" s="45"/>
      <c r="BS26" s="45"/>
      <c r="BT26" s="45"/>
      <c r="BU26" s="45"/>
      <c r="BV26" s="45"/>
      <c r="BW26" s="45"/>
      <c r="BX26" s="45"/>
      <c r="BY26" s="45"/>
      <c r="BZ26" s="45"/>
      <c r="CA26" s="45"/>
      <c r="CB26" s="45"/>
      <c r="CC26" s="45"/>
      <c r="CD26" s="463"/>
      <c r="CF26" s="742">
        <v>17</v>
      </c>
      <c r="CG26" s="729" t="s">
        <v>1847</v>
      </c>
    </row>
    <row r="27" spans="2:85">
      <c r="B27" s="136">
        <v>18</v>
      </c>
      <c r="C27" s="138">
        <v>1</v>
      </c>
      <c r="D27" s="474">
        <v>3273.3447608643601</v>
      </c>
      <c r="E27" s="127">
        <v>282.28544150540489</v>
      </c>
      <c r="F27" s="447">
        <v>0.36216768503804092</v>
      </c>
      <c r="G27" s="127">
        <v>132.5407304119019</v>
      </c>
      <c r="H27" s="132">
        <v>57.377852359485665</v>
      </c>
      <c r="I27" s="456"/>
      <c r="J27" s="47"/>
      <c r="K27" s="47">
        <v>530</v>
      </c>
      <c r="L27" s="463"/>
      <c r="M27" s="449">
        <v>28.674198150634766</v>
      </c>
      <c r="N27" s="463"/>
      <c r="O27" s="449"/>
      <c r="P27" s="46"/>
      <c r="Q27" s="463">
        <v>72.760330200195313</v>
      </c>
      <c r="R27" s="472"/>
      <c r="S27" s="463"/>
      <c r="T27" s="480"/>
      <c r="U27" s="468"/>
      <c r="V27" s="449"/>
      <c r="W27" s="45">
        <v>1368.6904296875</v>
      </c>
      <c r="X27" s="463">
        <v>116.83800506591797</v>
      </c>
      <c r="Y27" s="472"/>
      <c r="Z27" s="47"/>
      <c r="AA27" s="468">
        <v>0.35231740770512515</v>
      </c>
      <c r="AB27" s="456"/>
      <c r="AC27" s="46"/>
      <c r="AD27" s="46"/>
      <c r="AE27" s="46"/>
      <c r="AF27" s="46"/>
      <c r="AG27" s="46"/>
      <c r="AH27" s="46"/>
      <c r="AI27" s="457"/>
      <c r="AJ27" s="138"/>
      <c r="AK27" s="745"/>
      <c r="AL27" s="54"/>
      <c r="AM27" s="468"/>
      <c r="AN27" s="449"/>
      <c r="AO27" s="45"/>
      <c r="AP27" s="45"/>
      <c r="AQ27" s="45"/>
      <c r="AR27" s="45"/>
      <c r="AS27" s="45"/>
      <c r="AT27" s="45"/>
      <c r="AU27" s="463"/>
      <c r="AV27" s="449"/>
      <c r="AW27" s="45"/>
      <c r="AX27" s="45"/>
      <c r="AY27" s="45"/>
      <c r="AZ27" s="45"/>
      <c r="BA27" s="45"/>
      <c r="BB27" s="45"/>
      <c r="BC27" s="463"/>
      <c r="BD27" s="456"/>
      <c r="BE27" s="46"/>
      <c r="BF27" s="46"/>
      <c r="BG27" s="46"/>
      <c r="BH27" s="46"/>
      <c r="BI27" s="46"/>
      <c r="BJ27" s="457"/>
      <c r="BK27" s="449">
        <v>0</v>
      </c>
      <c r="BL27" s="45"/>
      <c r="BM27" s="45"/>
      <c r="BN27" s="45"/>
      <c r="BO27" s="45"/>
      <c r="BP27" s="45"/>
      <c r="BQ27" s="45"/>
      <c r="BR27" s="45"/>
      <c r="BS27" s="45"/>
      <c r="BT27" s="45"/>
      <c r="BU27" s="45"/>
      <c r="BV27" s="45"/>
      <c r="BW27" s="45"/>
      <c r="BX27" s="45"/>
      <c r="BY27" s="45"/>
      <c r="BZ27" s="45"/>
      <c r="CA27" s="45"/>
      <c r="CB27" s="45"/>
      <c r="CC27" s="45"/>
      <c r="CD27" s="463"/>
      <c r="CF27" s="742">
        <v>18</v>
      </c>
      <c r="CG27" s="729" t="s">
        <v>1848</v>
      </c>
    </row>
    <row r="28" spans="2:85">
      <c r="B28" s="136">
        <v>19</v>
      </c>
      <c r="C28" s="138">
        <v>1</v>
      </c>
      <c r="D28" s="474">
        <v>3194.9367940664192</v>
      </c>
      <c r="E28" s="127">
        <v>223.71282932551662</v>
      </c>
      <c r="F28" s="447">
        <v>0.41133339897201338</v>
      </c>
      <c r="G28" s="127">
        <v>100.13331529900334</v>
      </c>
      <c r="H28" s="132">
        <v>57.265152884758812</v>
      </c>
      <c r="I28" s="456"/>
      <c r="J28" s="47"/>
      <c r="K28" s="47">
        <v>430</v>
      </c>
      <c r="L28" s="463"/>
      <c r="M28" s="449">
        <v>31.162204742431641</v>
      </c>
      <c r="N28" s="463"/>
      <c r="O28" s="449"/>
      <c r="P28" s="46"/>
      <c r="Q28" s="463">
        <v>63.259750366210938</v>
      </c>
      <c r="R28" s="472"/>
      <c r="S28" s="463"/>
      <c r="T28" s="480"/>
      <c r="U28" s="468"/>
      <c r="V28" s="449"/>
      <c r="W28" s="45">
        <v>1330.73974609375</v>
      </c>
      <c r="X28" s="463">
        <v>113.6748046875</v>
      </c>
      <c r="Y28" s="472"/>
      <c r="Z28" s="47"/>
      <c r="AA28" s="468">
        <v>0.40093361014328027</v>
      </c>
      <c r="AB28" s="456"/>
      <c r="AC28" s="46"/>
      <c r="AD28" s="46"/>
      <c r="AE28" s="46"/>
      <c r="AF28" s="46"/>
      <c r="AG28" s="46"/>
      <c r="AH28" s="46"/>
      <c r="AI28" s="457"/>
      <c r="AJ28" s="138"/>
      <c r="AK28" s="745"/>
      <c r="AL28" s="54"/>
      <c r="AM28" s="468"/>
      <c r="AN28" s="449"/>
      <c r="AO28" s="45"/>
      <c r="AP28" s="45"/>
      <c r="AQ28" s="45"/>
      <c r="AR28" s="45"/>
      <c r="AS28" s="45"/>
      <c r="AT28" s="45"/>
      <c r="AU28" s="463"/>
      <c r="AV28" s="449"/>
      <c r="AW28" s="45"/>
      <c r="AX28" s="45"/>
      <c r="AY28" s="45"/>
      <c r="AZ28" s="45"/>
      <c r="BA28" s="45"/>
      <c r="BB28" s="45"/>
      <c r="BC28" s="463"/>
      <c r="BD28" s="456"/>
      <c r="BE28" s="46"/>
      <c r="BF28" s="46"/>
      <c r="BG28" s="46"/>
      <c r="BH28" s="46"/>
      <c r="BI28" s="46"/>
      <c r="BJ28" s="457"/>
      <c r="BK28" s="449">
        <v>0</v>
      </c>
      <c r="BL28" s="45"/>
      <c r="BM28" s="45"/>
      <c r="BN28" s="45"/>
      <c r="BO28" s="45"/>
      <c r="BP28" s="45"/>
      <c r="BQ28" s="45"/>
      <c r="BR28" s="45"/>
      <c r="BS28" s="45"/>
      <c r="BT28" s="45"/>
      <c r="BU28" s="45"/>
      <c r="BV28" s="45"/>
      <c r="BW28" s="45"/>
      <c r="BX28" s="45"/>
      <c r="BY28" s="45"/>
      <c r="BZ28" s="45"/>
      <c r="CA28" s="45"/>
      <c r="CB28" s="45"/>
      <c r="CC28" s="45"/>
      <c r="CD28" s="463"/>
      <c r="CF28" s="742">
        <v>19</v>
      </c>
      <c r="CG28" s="729" t="s">
        <v>1849</v>
      </c>
    </row>
    <row r="29" spans="2:85">
      <c r="B29" s="136">
        <v>20</v>
      </c>
      <c r="C29" s="138">
        <v>1</v>
      </c>
      <c r="D29" s="474">
        <v>3009.2906269313776</v>
      </c>
      <c r="E29" s="127">
        <v>227.41225190820433</v>
      </c>
      <c r="F29" s="447">
        <v>0.44547530725522205</v>
      </c>
      <c r="G29" s="127">
        <v>110.35151036149745</v>
      </c>
      <c r="H29" s="132">
        <v>50.928719010419663</v>
      </c>
      <c r="I29" s="456"/>
      <c r="J29" s="47"/>
      <c r="K29" s="47">
        <v>450</v>
      </c>
      <c r="L29" s="463"/>
      <c r="M29" s="449">
        <v>38.340240478515625</v>
      </c>
      <c r="N29" s="463"/>
      <c r="O29" s="449"/>
      <c r="P29" s="46"/>
      <c r="Q29" s="463">
        <v>59.583953857421875</v>
      </c>
      <c r="R29" s="472"/>
      <c r="S29" s="463"/>
      <c r="T29" s="480"/>
      <c r="U29" s="468"/>
      <c r="V29" s="449"/>
      <c r="W29" s="45">
        <v>1559.111083984375</v>
      </c>
      <c r="X29" s="463">
        <v>130.34907531738281</v>
      </c>
      <c r="Y29" s="472"/>
      <c r="Z29" s="47"/>
      <c r="AA29" s="468">
        <v>0.43420703497814972</v>
      </c>
      <c r="AB29" s="456"/>
      <c r="AC29" s="46"/>
      <c r="AD29" s="46"/>
      <c r="AE29" s="46"/>
      <c r="AF29" s="46"/>
      <c r="AG29" s="46"/>
      <c r="AH29" s="46"/>
      <c r="AI29" s="457"/>
      <c r="AJ29" s="138"/>
      <c r="AK29" s="745"/>
      <c r="AL29" s="54"/>
      <c r="AM29" s="468"/>
      <c r="AN29" s="449"/>
      <c r="AO29" s="45"/>
      <c r="AP29" s="45"/>
      <c r="AQ29" s="45"/>
      <c r="AR29" s="45"/>
      <c r="AS29" s="45"/>
      <c r="AT29" s="45"/>
      <c r="AU29" s="463"/>
      <c r="AV29" s="449"/>
      <c r="AW29" s="45"/>
      <c r="AX29" s="45"/>
      <c r="AY29" s="45"/>
      <c r="AZ29" s="45"/>
      <c r="BA29" s="45"/>
      <c r="BB29" s="45"/>
      <c r="BC29" s="463"/>
      <c r="BD29" s="456"/>
      <c r="BE29" s="46"/>
      <c r="BF29" s="46"/>
      <c r="BG29" s="46"/>
      <c r="BH29" s="46"/>
      <c r="BI29" s="46"/>
      <c r="BJ29" s="457"/>
      <c r="BK29" s="449">
        <v>0</v>
      </c>
      <c r="BL29" s="45"/>
      <c r="BM29" s="45"/>
      <c r="BN29" s="45"/>
      <c r="BO29" s="45"/>
      <c r="BP29" s="45"/>
      <c r="BQ29" s="45"/>
      <c r="BR29" s="45"/>
      <c r="BS29" s="45"/>
      <c r="BT29" s="45"/>
      <c r="BU29" s="45"/>
      <c r="BV29" s="45"/>
      <c r="BW29" s="45"/>
      <c r="BX29" s="45"/>
      <c r="BY29" s="45"/>
      <c r="BZ29" s="45"/>
      <c r="CA29" s="45"/>
      <c r="CB29" s="45"/>
      <c r="CC29" s="45"/>
      <c r="CD29" s="463"/>
      <c r="CF29" s="742">
        <v>20</v>
      </c>
      <c r="CG29" s="729" t="s">
        <v>1850</v>
      </c>
    </row>
    <row r="30" spans="2:85">
      <c r="B30" s="136">
        <v>21</v>
      </c>
      <c r="C30" s="138">
        <v>1</v>
      </c>
      <c r="D30" s="474">
        <v>3157.3958975704754</v>
      </c>
      <c r="E30" s="127">
        <v>209.6312903263277</v>
      </c>
      <c r="F30" s="447">
        <v>0.43142041881420184</v>
      </c>
      <c r="G30" s="127">
        <v>111.68488153604676</v>
      </c>
      <c r="H30" s="132">
        <v>53.542133862875772</v>
      </c>
      <c r="I30" s="456"/>
      <c r="J30" s="47"/>
      <c r="K30" s="47">
        <v>460</v>
      </c>
      <c r="L30" s="463"/>
      <c r="M30" s="449">
        <v>35.795093536376953</v>
      </c>
      <c r="N30" s="463"/>
      <c r="O30" s="449"/>
      <c r="P30" s="46"/>
      <c r="Q30" s="463">
        <v>62.516441345214844</v>
      </c>
      <c r="R30" s="472"/>
      <c r="S30" s="463"/>
      <c r="T30" s="480"/>
      <c r="U30" s="468"/>
      <c r="V30" s="449"/>
      <c r="W30" s="45">
        <v>1508.586669921875</v>
      </c>
      <c r="X30" s="463">
        <v>126.7210693359375</v>
      </c>
      <c r="Y30" s="472"/>
      <c r="Z30" s="47"/>
      <c r="AA30" s="468">
        <v>0.42076974038576648</v>
      </c>
      <c r="AB30" s="456"/>
      <c r="AC30" s="46"/>
      <c r="AD30" s="46"/>
      <c r="AE30" s="46"/>
      <c r="AF30" s="46"/>
      <c r="AG30" s="46"/>
      <c r="AH30" s="46"/>
      <c r="AI30" s="457"/>
      <c r="AJ30" s="138"/>
      <c r="AK30" s="745"/>
      <c r="AL30" s="54"/>
      <c r="AM30" s="468"/>
      <c r="AN30" s="449"/>
      <c r="AO30" s="45"/>
      <c r="AP30" s="45"/>
      <c r="AQ30" s="45"/>
      <c r="AR30" s="45"/>
      <c r="AS30" s="45"/>
      <c r="AT30" s="45"/>
      <c r="AU30" s="463"/>
      <c r="AV30" s="449"/>
      <c r="AW30" s="45"/>
      <c r="AX30" s="45"/>
      <c r="AY30" s="45"/>
      <c r="AZ30" s="45"/>
      <c r="BA30" s="45"/>
      <c r="BB30" s="45"/>
      <c r="BC30" s="463"/>
      <c r="BD30" s="456"/>
      <c r="BE30" s="46"/>
      <c r="BF30" s="46"/>
      <c r="BG30" s="46"/>
      <c r="BH30" s="46"/>
      <c r="BI30" s="46"/>
      <c r="BJ30" s="457"/>
      <c r="BK30" s="449">
        <v>0</v>
      </c>
      <c r="BL30" s="45"/>
      <c r="BM30" s="45"/>
      <c r="BN30" s="45"/>
      <c r="BO30" s="45"/>
      <c r="BP30" s="45"/>
      <c r="BQ30" s="45"/>
      <c r="BR30" s="45"/>
      <c r="BS30" s="45"/>
      <c r="BT30" s="45"/>
      <c r="BU30" s="45"/>
      <c r="BV30" s="45"/>
      <c r="BW30" s="45"/>
      <c r="BX30" s="45"/>
      <c r="BY30" s="45"/>
      <c r="BZ30" s="45"/>
      <c r="CA30" s="45"/>
      <c r="CB30" s="45"/>
      <c r="CC30" s="45"/>
      <c r="CD30" s="463"/>
      <c r="CF30" s="742">
        <v>21</v>
      </c>
      <c r="CG30" s="729" t="s">
        <v>1851</v>
      </c>
    </row>
    <row r="31" spans="2:85">
      <c r="B31" s="136">
        <v>22</v>
      </c>
      <c r="C31" s="138">
        <v>1</v>
      </c>
      <c r="D31" s="474">
        <v>3185.7895793993839</v>
      </c>
      <c r="E31" s="127">
        <v>249.90206864641831</v>
      </c>
      <c r="F31" s="447">
        <v>0.36226635577107674</v>
      </c>
      <c r="G31" s="127">
        <v>109.41324937787232</v>
      </c>
      <c r="H31" s="132">
        <v>54.707192423920119</v>
      </c>
      <c r="I31" s="456"/>
      <c r="J31" s="47"/>
      <c r="K31" s="47">
        <v>450</v>
      </c>
      <c r="L31" s="463"/>
      <c r="M31" s="449">
        <v>27.580669403076172</v>
      </c>
      <c r="N31" s="463"/>
      <c r="O31" s="449"/>
      <c r="P31" s="46"/>
      <c r="Q31" s="463">
        <v>63.078632354736328</v>
      </c>
      <c r="R31" s="472"/>
      <c r="S31" s="463"/>
      <c r="T31" s="480"/>
      <c r="U31" s="468"/>
      <c r="V31" s="449"/>
      <c r="W31" s="45">
        <v>1185.926025390625</v>
      </c>
      <c r="X31" s="463">
        <v>103.20220947265625</v>
      </c>
      <c r="Y31" s="472"/>
      <c r="Z31" s="47"/>
      <c r="AA31" s="468">
        <v>0.35214474343235447</v>
      </c>
      <c r="AB31" s="456"/>
      <c r="AC31" s="46"/>
      <c r="AD31" s="46"/>
      <c r="AE31" s="46"/>
      <c r="AF31" s="46"/>
      <c r="AG31" s="46"/>
      <c r="AH31" s="46"/>
      <c r="AI31" s="457"/>
      <c r="AJ31" s="138"/>
      <c r="AK31" s="745"/>
      <c r="AL31" s="54"/>
      <c r="AM31" s="468"/>
      <c r="AN31" s="449"/>
      <c r="AO31" s="45"/>
      <c r="AP31" s="45"/>
      <c r="AQ31" s="45"/>
      <c r="AR31" s="45"/>
      <c r="AS31" s="45"/>
      <c r="AT31" s="45"/>
      <c r="AU31" s="463"/>
      <c r="AV31" s="449"/>
      <c r="AW31" s="45"/>
      <c r="AX31" s="45"/>
      <c r="AY31" s="45"/>
      <c r="AZ31" s="45"/>
      <c r="BA31" s="45"/>
      <c r="BB31" s="45"/>
      <c r="BC31" s="463"/>
      <c r="BD31" s="456"/>
      <c r="BE31" s="46"/>
      <c r="BF31" s="46"/>
      <c r="BG31" s="46"/>
      <c r="BH31" s="46"/>
      <c r="BI31" s="46"/>
      <c r="BJ31" s="457"/>
      <c r="BK31" s="449">
        <v>0</v>
      </c>
      <c r="BL31" s="45"/>
      <c r="BM31" s="45"/>
      <c r="BN31" s="45"/>
      <c r="BO31" s="45"/>
      <c r="BP31" s="45"/>
      <c r="BQ31" s="45"/>
      <c r="BR31" s="45"/>
      <c r="BS31" s="45"/>
      <c r="BT31" s="45"/>
      <c r="BU31" s="45"/>
      <c r="BV31" s="45"/>
      <c r="BW31" s="45"/>
      <c r="BX31" s="45"/>
      <c r="BY31" s="45"/>
      <c r="BZ31" s="45"/>
      <c r="CA31" s="45"/>
      <c r="CB31" s="45"/>
      <c r="CC31" s="45"/>
      <c r="CD31" s="463"/>
      <c r="CF31" s="742">
        <v>22</v>
      </c>
      <c r="CG31" s="729" t="s">
        <v>1852</v>
      </c>
    </row>
    <row r="32" spans="2:85" ht="14.25" customHeight="1">
      <c r="B32" s="136">
        <v>23</v>
      </c>
      <c r="C32" s="138">
        <v>1</v>
      </c>
      <c r="D32" s="474">
        <v>3358.6743403396963</v>
      </c>
      <c r="E32" s="127">
        <v>285.03816747943114</v>
      </c>
      <c r="F32" s="447">
        <v>0.4381769606078777</v>
      </c>
      <c r="G32" s="127">
        <v>123.1417011217039</v>
      </c>
      <c r="H32" s="132">
        <v>61.063105319972451</v>
      </c>
      <c r="I32" s="456"/>
      <c r="J32" s="47"/>
      <c r="K32" s="47">
        <v>530</v>
      </c>
      <c r="L32" s="463"/>
      <c r="M32" s="449">
        <v>37.015346527099609</v>
      </c>
      <c r="N32" s="463"/>
      <c r="O32" s="449"/>
      <c r="P32" s="46"/>
      <c r="Q32" s="463">
        <v>74.660224914550781</v>
      </c>
      <c r="R32" s="472"/>
      <c r="S32" s="463"/>
      <c r="T32" s="480"/>
      <c r="U32" s="468"/>
      <c r="V32" s="449"/>
      <c r="W32" s="45">
        <v>1735.8441162109375</v>
      </c>
      <c r="X32" s="463">
        <v>143.52647399902344</v>
      </c>
      <c r="Y32" s="472"/>
      <c r="Z32" s="47"/>
      <c r="AA32" s="468">
        <v>0.42812432203954814</v>
      </c>
      <c r="AB32" s="456"/>
      <c r="AC32" s="46"/>
      <c r="AD32" s="46"/>
      <c r="AE32" s="46"/>
      <c r="AF32" s="46"/>
      <c r="AG32" s="46"/>
      <c r="AH32" s="46"/>
      <c r="AI32" s="457"/>
      <c r="AJ32" s="138"/>
      <c r="AK32" s="745"/>
      <c r="AL32" s="54"/>
      <c r="AM32" s="468"/>
      <c r="AN32" s="449"/>
      <c r="AO32" s="45"/>
      <c r="AP32" s="45"/>
      <c r="AQ32" s="45"/>
      <c r="AR32" s="45"/>
      <c r="AS32" s="45"/>
      <c r="AT32" s="45"/>
      <c r="AU32" s="463"/>
      <c r="AV32" s="449"/>
      <c r="AW32" s="45"/>
      <c r="AX32" s="45"/>
      <c r="AY32" s="45"/>
      <c r="AZ32" s="45"/>
      <c r="BA32" s="45"/>
      <c r="BB32" s="45"/>
      <c r="BC32" s="463"/>
      <c r="BD32" s="456"/>
      <c r="BE32" s="46"/>
      <c r="BF32" s="46"/>
      <c r="BG32" s="46"/>
      <c r="BH32" s="46"/>
      <c r="BI32" s="46"/>
      <c r="BJ32" s="457"/>
      <c r="BK32" s="449">
        <v>0</v>
      </c>
      <c r="BL32" s="45"/>
      <c r="BM32" s="45"/>
      <c r="BN32" s="45"/>
      <c r="BO32" s="45"/>
      <c r="BP32" s="45"/>
      <c r="BQ32" s="45"/>
      <c r="BR32" s="45"/>
      <c r="BS32" s="45"/>
      <c r="BT32" s="45"/>
      <c r="BU32" s="45"/>
      <c r="BV32" s="45"/>
      <c r="BW32" s="45"/>
      <c r="BX32" s="45"/>
      <c r="BY32" s="45"/>
      <c r="BZ32" s="45"/>
      <c r="CA32" s="45"/>
      <c r="CB32" s="45"/>
      <c r="CC32" s="45"/>
      <c r="CD32" s="463"/>
      <c r="CF32" s="742">
        <v>23</v>
      </c>
      <c r="CG32" s="729" t="s">
        <v>1853</v>
      </c>
    </row>
    <row r="33" spans="2:85">
      <c r="B33" s="136">
        <v>24</v>
      </c>
      <c r="C33" s="138">
        <v>1</v>
      </c>
      <c r="D33" s="474">
        <v>3808.2488003954995</v>
      </c>
      <c r="E33" s="127">
        <v>218.41746051672595</v>
      </c>
      <c r="F33" s="447">
        <v>0.52107988293785634</v>
      </c>
      <c r="G33" s="127">
        <v>149.96236641641349</v>
      </c>
      <c r="H33" s="132">
        <v>61.778811362920102</v>
      </c>
      <c r="I33" s="456"/>
      <c r="J33" s="47"/>
      <c r="K33" s="47">
        <v>630</v>
      </c>
      <c r="L33" s="463"/>
      <c r="M33" s="449">
        <v>63.113628387451172</v>
      </c>
      <c r="N33" s="463"/>
      <c r="O33" s="449"/>
      <c r="P33" s="46"/>
      <c r="Q33" s="463">
        <v>83.377761840820312</v>
      </c>
      <c r="R33" s="472"/>
      <c r="S33" s="463"/>
      <c r="T33" s="480"/>
      <c r="U33" s="468"/>
      <c r="V33" s="449"/>
      <c r="W33" s="45">
        <v>3048.146240234375</v>
      </c>
      <c r="X33" s="463">
        <v>239.39590454101562</v>
      </c>
      <c r="Y33" s="472"/>
      <c r="Z33" s="47"/>
      <c r="AA33" s="468">
        <v>0.51177860050718149</v>
      </c>
      <c r="AB33" s="456"/>
      <c r="AC33" s="46"/>
      <c r="AD33" s="46"/>
      <c r="AE33" s="46"/>
      <c r="AF33" s="46"/>
      <c r="AG33" s="46"/>
      <c r="AH33" s="46"/>
      <c r="AI33" s="457"/>
      <c r="AJ33" s="138"/>
      <c r="AK33" s="745"/>
      <c r="AL33" s="54"/>
      <c r="AM33" s="468"/>
      <c r="AN33" s="449"/>
      <c r="AO33" s="45"/>
      <c r="AP33" s="45"/>
      <c r="AQ33" s="45"/>
      <c r="AR33" s="45"/>
      <c r="AS33" s="45"/>
      <c r="AT33" s="45"/>
      <c r="AU33" s="463"/>
      <c r="AV33" s="449"/>
      <c r="AW33" s="45"/>
      <c r="AX33" s="45"/>
      <c r="AY33" s="45"/>
      <c r="AZ33" s="45"/>
      <c r="BA33" s="45"/>
      <c r="BB33" s="45"/>
      <c r="BC33" s="463"/>
      <c r="BD33" s="456"/>
      <c r="BE33" s="46"/>
      <c r="BF33" s="46"/>
      <c r="BG33" s="46"/>
      <c r="BH33" s="46"/>
      <c r="BI33" s="46"/>
      <c r="BJ33" s="457"/>
      <c r="BK33" s="449">
        <v>0</v>
      </c>
      <c r="BL33" s="45"/>
      <c r="BM33" s="45"/>
      <c r="BN33" s="45"/>
      <c r="BO33" s="45"/>
      <c r="BP33" s="45"/>
      <c r="BQ33" s="45"/>
      <c r="BR33" s="45"/>
      <c r="BS33" s="45"/>
      <c r="BT33" s="45"/>
      <c r="BU33" s="45"/>
      <c r="BV33" s="45"/>
      <c r="BW33" s="45"/>
      <c r="BX33" s="45"/>
      <c r="BY33" s="45"/>
      <c r="BZ33" s="45"/>
      <c r="CA33" s="45"/>
      <c r="CB33" s="45"/>
      <c r="CC33" s="45"/>
      <c r="CD33" s="463"/>
      <c r="CF33" s="742">
        <v>24</v>
      </c>
      <c r="CG33" s="729" t="s">
        <v>1854</v>
      </c>
    </row>
    <row r="34" spans="2:85">
      <c r="B34" s="136">
        <v>25</v>
      </c>
      <c r="C34" s="138">
        <v>1</v>
      </c>
      <c r="D34" s="474">
        <v>3866.805828084317</v>
      </c>
      <c r="E34" s="127">
        <v>154.62561399428597</v>
      </c>
      <c r="F34" s="447">
        <v>0.45761067923041282</v>
      </c>
      <c r="G34" s="127">
        <v>149.17315755709538</v>
      </c>
      <c r="H34" s="132">
        <v>56.509388423326563</v>
      </c>
      <c r="I34" s="456"/>
      <c r="J34" s="47"/>
      <c r="K34" s="47">
        <v>590</v>
      </c>
      <c r="L34" s="463"/>
      <c r="M34" s="449">
        <v>44.43560791015625</v>
      </c>
      <c r="N34" s="463"/>
      <c r="O34" s="449"/>
      <c r="P34" s="46"/>
      <c r="Q34" s="463">
        <v>76.562759399414063</v>
      </c>
      <c r="R34" s="472"/>
      <c r="S34" s="463"/>
      <c r="T34" s="480"/>
      <c r="U34" s="468"/>
      <c r="V34" s="449"/>
      <c r="W34" s="45">
        <v>2103.332763671875</v>
      </c>
      <c r="X34" s="463">
        <v>170.52418518066406</v>
      </c>
      <c r="Y34" s="472"/>
      <c r="Z34" s="47"/>
      <c r="AA34" s="468">
        <v>0.44877852806922358</v>
      </c>
      <c r="AB34" s="456"/>
      <c r="AC34" s="46"/>
      <c r="AD34" s="46"/>
      <c r="AE34" s="46"/>
      <c r="AF34" s="46"/>
      <c r="AG34" s="46"/>
      <c r="AH34" s="46"/>
      <c r="AI34" s="457"/>
      <c r="AJ34" s="138"/>
      <c r="AK34" s="745"/>
      <c r="AL34" s="54"/>
      <c r="AM34" s="468"/>
      <c r="AN34" s="449"/>
      <c r="AO34" s="45"/>
      <c r="AP34" s="45"/>
      <c r="AQ34" s="45"/>
      <c r="AR34" s="45"/>
      <c r="AS34" s="45"/>
      <c r="AT34" s="45"/>
      <c r="AU34" s="463"/>
      <c r="AV34" s="449"/>
      <c r="AW34" s="45"/>
      <c r="AX34" s="45"/>
      <c r="AY34" s="45"/>
      <c r="AZ34" s="45"/>
      <c r="BA34" s="45"/>
      <c r="BB34" s="45"/>
      <c r="BC34" s="463"/>
      <c r="BD34" s="456"/>
      <c r="BE34" s="46"/>
      <c r="BF34" s="46"/>
      <c r="BG34" s="46"/>
      <c r="BH34" s="46"/>
      <c r="BI34" s="46"/>
      <c r="BJ34" s="457"/>
      <c r="BK34" s="449">
        <v>0</v>
      </c>
      <c r="BL34" s="45"/>
      <c r="BM34" s="45"/>
      <c r="BN34" s="45"/>
      <c r="BO34" s="45"/>
      <c r="BP34" s="45"/>
      <c r="BQ34" s="45"/>
      <c r="BR34" s="45"/>
      <c r="BS34" s="45"/>
      <c r="BT34" s="45"/>
      <c r="BU34" s="45"/>
      <c r="BV34" s="45"/>
      <c r="BW34" s="45"/>
      <c r="BX34" s="45"/>
      <c r="BY34" s="45"/>
      <c r="BZ34" s="45"/>
      <c r="CA34" s="45"/>
      <c r="CB34" s="45"/>
      <c r="CC34" s="45"/>
      <c r="CD34" s="463"/>
      <c r="CF34" s="742">
        <v>25</v>
      </c>
      <c r="CG34" s="729" t="s">
        <v>1855</v>
      </c>
    </row>
    <row r="35" spans="2:85">
      <c r="B35" s="136">
        <v>26</v>
      </c>
      <c r="C35" s="138">
        <v>1</v>
      </c>
      <c r="D35" s="474">
        <v>3993.2341484215422</v>
      </c>
      <c r="E35" s="127">
        <v>245.71208050181173</v>
      </c>
      <c r="F35" s="447">
        <v>0.44520726404253141</v>
      </c>
      <c r="G35" s="127">
        <v>157.8263402632256</v>
      </c>
      <c r="H35" s="132">
        <v>56.510983196176745</v>
      </c>
      <c r="I35" s="456"/>
      <c r="J35" s="47"/>
      <c r="K35" s="47">
        <v>620</v>
      </c>
      <c r="L35" s="463"/>
      <c r="M35" s="449">
        <v>42.779918670654297</v>
      </c>
      <c r="N35" s="463"/>
      <c r="O35" s="449"/>
      <c r="P35" s="46"/>
      <c r="Q35" s="463">
        <v>79.0660400390625</v>
      </c>
      <c r="R35" s="472"/>
      <c r="S35" s="463"/>
      <c r="T35" s="480"/>
      <c r="U35" s="468"/>
      <c r="V35" s="449"/>
      <c r="W35" s="45">
        <v>2077.485595703125</v>
      </c>
      <c r="X35" s="463">
        <v>168.74908447265625</v>
      </c>
      <c r="Y35" s="472"/>
      <c r="Z35" s="47"/>
      <c r="AA35" s="468">
        <v>0.43671686652996572</v>
      </c>
      <c r="AB35" s="456"/>
      <c r="AC35" s="46"/>
      <c r="AD35" s="46"/>
      <c r="AE35" s="46"/>
      <c r="AF35" s="46"/>
      <c r="AG35" s="46"/>
      <c r="AH35" s="46"/>
      <c r="AI35" s="457"/>
      <c r="AJ35" s="138"/>
      <c r="AK35" s="745"/>
      <c r="AL35" s="54"/>
      <c r="AM35" s="468"/>
      <c r="AN35" s="449"/>
      <c r="AO35" s="45"/>
      <c r="AP35" s="45"/>
      <c r="AQ35" s="45"/>
      <c r="AR35" s="45"/>
      <c r="AS35" s="45"/>
      <c r="AT35" s="45"/>
      <c r="AU35" s="463"/>
      <c r="AV35" s="449"/>
      <c r="AW35" s="45"/>
      <c r="AX35" s="45"/>
      <c r="AY35" s="45"/>
      <c r="AZ35" s="45"/>
      <c r="BA35" s="45"/>
      <c r="BB35" s="45"/>
      <c r="BC35" s="463"/>
      <c r="BD35" s="456"/>
      <c r="BE35" s="46"/>
      <c r="BF35" s="46"/>
      <c r="BG35" s="46"/>
      <c r="BH35" s="46"/>
      <c r="BI35" s="46"/>
      <c r="BJ35" s="457"/>
      <c r="BK35" s="449">
        <v>0</v>
      </c>
      <c r="BL35" s="45"/>
      <c r="BM35" s="45"/>
      <c r="BN35" s="45"/>
      <c r="BO35" s="45"/>
      <c r="BP35" s="45"/>
      <c r="BQ35" s="45"/>
      <c r="BR35" s="45"/>
      <c r="BS35" s="45"/>
      <c r="BT35" s="45"/>
      <c r="BU35" s="45"/>
      <c r="BV35" s="45"/>
      <c r="BW35" s="45"/>
      <c r="BX35" s="45"/>
      <c r="BY35" s="45"/>
      <c r="BZ35" s="45"/>
      <c r="CA35" s="45"/>
      <c r="CB35" s="45"/>
      <c r="CC35" s="45"/>
      <c r="CD35" s="463"/>
      <c r="CF35" s="742">
        <v>26</v>
      </c>
      <c r="CG35" s="729" t="s">
        <v>1856</v>
      </c>
    </row>
    <row r="36" spans="2:85">
      <c r="B36" s="136">
        <v>27</v>
      </c>
      <c r="C36" s="138">
        <v>1</v>
      </c>
      <c r="D36" s="474">
        <v>3393.4607015861748</v>
      </c>
      <c r="E36" s="127">
        <v>263.94369924463678</v>
      </c>
      <c r="F36" s="447">
        <v>0.389466474203645</v>
      </c>
      <c r="G36" s="127">
        <v>110.67974280434316</v>
      </c>
      <c r="H36" s="132">
        <v>64.286776959360111</v>
      </c>
      <c r="I36" s="456"/>
      <c r="J36" s="47"/>
      <c r="K36" s="47">
        <v>490</v>
      </c>
      <c r="L36" s="463"/>
      <c r="M36" s="449">
        <v>28.847503662109375</v>
      </c>
      <c r="N36" s="463"/>
      <c r="O36" s="449"/>
      <c r="P36" s="46"/>
      <c r="Q36" s="463">
        <v>75.580848693847656</v>
      </c>
      <c r="R36" s="472"/>
      <c r="S36" s="463"/>
      <c r="T36" s="480"/>
      <c r="U36" s="468"/>
      <c r="V36" s="449"/>
      <c r="W36" s="45">
        <v>1386.396240234375</v>
      </c>
      <c r="X36" s="463">
        <v>117.97505950927734</v>
      </c>
      <c r="Y36" s="472"/>
      <c r="Z36" s="47"/>
      <c r="AA36" s="468">
        <v>0.37980396964929836</v>
      </c>
      <c r="AB36" s="456"/>
      <c r="AC36" s="46"/>
      <c r="AD36" s="46"/>
      <c r="AE36" s="46"/>
      <c r="AF36" s="46"/>
      <c r="AG36" s="46"/>
      <c r="AH36" s="46"/>
      <c r="AI36" s="457"/>
      <c r="AJ36" s="138"/>
      <c r="AK36" s="745"/>
      <c r="AL36" s="54"/>
      <c r="AM36" s="468"/>
      <c r="AN36" s="449"/>
      <c r="AO36" s="45"/>
      <c r="AP36" s="45"/>
      <c r="AQ36" s="45"/>
      <c r="AR36" s="45"/>
      <c r="AS36" s="45"/>
      <c r="AT36" s="45"/>
      <c r="AU36" s="463"/>
      <c r="AV36" s="449"/>
      <c r="AW36" s="45"/>
      <c r="AX36" s="45"/>
      <c r="AY36" s="45"/>
      <c r="AZ36" s="45"/>
      <c r="BA36" s="45"/>
      <c r="BB36" s="45"/>
      <c r="BC36" s="463"/>
      <c r="BD36" s="456"/>
      <c r="BE36" s="46"/>
      <c r="BF36" s="46"/>
      <c r="BG36" s="46"/>
      <c r="BH36" s="46"/>
      <c r="BI36" s="46"/>
      <c r="BJ36" s="457"/>
      <c r="BK36" s="449">
        <v>0</v>
      </c>
      <c r="BL36" s="45"/>
      <c r="BM36" s="45"/>
      <c r="BN36" s="45"/>
      <c r="BO36" s="45"/>
      <c r="BP36" s="45"/>
      <c r="BQ36" s="45"/>
      <c r="BR36" s="45"/>
      <c r="BS36" s="45"/>
      <c r="BT36" s="45"/>
      <c r="BU36" s="45"/>
      <c r="BV36" s="45"/>
      <c r="BW36" s="45"/>
      <c r="BX36" s="45"/>
      <c r="BY36" s="45"/>
      <c r="BZ36" s="45"/>
      <c r="CA36" s="45"/>
      <c r="CB36" s="45"/>
      <c r="CC36" s="45"/>
      <c r="CD36" s="463"/>
      <c r="CF36" s="742">
        <v>27</v>
      </c>
      <c r="CG36" s="729" t="s">
        <v>1857</v>
      </c>
    </row>
    <row r="37" spans="2:85">
      <c r="B37" s="136">
        <v>28</v>
      </c>
      <c r="C37" s="138">
        <v>1</v>
      </c>
      <c r="D37" s="474">
        <v>3558.1861553248318</v>
      </c>
      <c r="E37" s="127">
        <v>199.1041460570967</v>
      </c>
      <c r="F37" s="447">
        <v>0.4267183594734662</v>
      </c>
      <c r="G37" s="127">
        <v>119.42537946675773</v>
      </c>
      <c r="H37" s="132">
        <v>58.612599529690804</v>
      </c>
      <c r="I37" s="456"/>
      <c r="J37" s="47"/>
      <c r="K37" s="47">
        <v>500</v>
      </c>
      <c r="L37" s="463"/>
      <c r="M37" s="449">
        <v>34.922294616699219</v>
      </c>
      <c r="N37" s="463"/>
      <c r="O37" s="449"/>
      <c r="P37" s="46"/>
      <c r="Q37" s="463">
        <v>70.45208740234375</v>
      </c>
      <c r="R37" s="472"/>
      <c r="S37" s="463"/>
      <c r="T37" s="480"/>
      <c r="U37" s="468"/>
      <c r="V37" s="449"/>
      <c r="W37" s="45">
        <v>1587.9300537109375</v>
      </c>
      <c r="X37" s="463">
        <v>132.65391540527344</v>
      </c>
      <c r="Y37" s="472"/>
      <c r="Z37" s="47"/>
      <c r="AA37" s="468">
        <v>0.41729379152631568</v>
      </c>
      <c r="AB37" s="456"/>
      <c r="AC37" s="46"/>
      <c r="AD37" s="46"/>
      <c r="AE37" s="46"/>
      <c r="AF37" s="46"/>
      <c r="AG37" s="46"/>
      <c r="AH37" s="46"/>
      <c r="AI37" s="457"/>
      <c r="AJ37" s="138"/>
      <c r="AK37" s="745"/>
      <c r="AL37" s="54"/>
      <c r="AM37" s="468"/>
      <c r="AN37" s="449"/>
      <c r="AO37" s="45"/>
      <c r="AP37" s="45"/>
      <c r="AQ37" s="45"/>
      <c r="AR37" s="45"/>
      <c r="AS37" s="45"/>
      <c r="AT37" s="45"/>
      <c r="AU37" s="463"/>
      <c r="AV37" s="449"/>
      <c r="AW37" s="45"/>
      <c r="AX37" s="45"/>
      <c r="AY37" s="45"/>
      <c r="AZ37" s="45"/>
      <c r="BA37" s="45"/>
      <c r="BB37" s="45"/>
      <c r="BC37" s="463"/>
      <c r="BD37" s="456"/>
      <c r="BE37" s="46"/>
      <c r="BF37" s="46"/>
      <c r="BG37" s="46"/>
      <c r="BH37" s="46"/>
      <c r="BI37" s="46"/>
      <c r="BJ37" s="457"/>
      <c r="BK37" s="449">
        <v>0</v>
      </c>
      <c r="BL37" s="45"/>
      <c r="BM37" s="45"/>
      <c r="BN37" s="45"/>
      <c r="BO37" s="45"/>
      <c r="BP37" s="45"/>
      <c r="BQ37" s="45"/>
      <c r="BR37" s="45"/>
      <c r="BS37" s="45"/>
      <c r="BT37" s="45"/>
      <c r="BU37" s="45"/>
      <c r="BV37" s="45"/>
      <c r="BW37" s="45"/>
      <c r="BX37" s="45"/>
      <c r="BY37" s="45"/>
      <c r="BZ37" s="45"/>
      <c r="CA37" s="45"/>
      <c r="CB37" s="45"/>
      <c r="CC37" s="45"/>
      <c r="CD37" s="463"/>
      <c r="CF37" s="742">
        <v>28</v>
      </c>
      <c r="CG37" s="729" t="s">
        <v>1858</v>
      </c>
    </row>
    <row r="38" spans="2:85">
      <c r="B38" s="136">
        <v>29</v>
      </c>
      <c r="C38" s="138">
        <v>1</v>
      </c>
      <c r="D38" s="474">
        <v>3454.2054034029225</v>
      </c>
      <c r="E38" s="127">
        <v>294.68269627372592</v>
      </c>
      <c r="F38" s="447">
        <v>0.36687322258488875</v>
      </c>
      <c r="G38" s="127">
        <v>112.18617720595506</v>
      </c>
      <c r="H38" s="132">
        <v>58.640210126461447</v>
      </c>
      <c r="I38" s="456"/>
      <c r="J38" s="47"/>
      <c r="K38" s="47">
        <v>470</v>
      </c>
      <c r="L38" s="463"/>
      <c r="M38" s="449">
        <v>27.471944808959961</v>
      </c>
      <c r="N38" s="463"/>
      <c r="O38" s="449"/>
      <c r="P38" s="46"/>
      <c r="Q38" s="463">
        <v>68.393264770507813</v>
      </c>
      <c r="R38" s="472"/>
      <c r="S38" s="463"/>
      <c r="T38" s="480"/>
      <c r="U38" s="468"/>
      <c r="V38" s="449"/>
      <c r="W38" s="45">
        <v>1254.0001220703125</v>
      </c>
      <c r="X38" s="463">
        <v>108.25540924072266</v>
      </c>
      <c r="Y38" s="472"/>
      <c r="Z38" s="47"/>
      <c r="AA38" s="468">
        <v>0.35751145607851936</v>
      </c>
      <c r="AB38" s="456"/>
      <c r="AC38" s="46"/>
      <c r="AD38" s="46"/>
      <c r="AE38" s="46"/>
      <c r="AF38" s="46"/>
      <c r="AG38" s="46"/>
      <c r="AH38" s="46"/>
      <c r="AI38" s="457"/>
      <c r="AJ38" s="138"/>
      <c r="AK38" s="745"/>
      <c r="AL38" s="54"/>
      <c r="AM38" s="468"/>
      <c r="AN38" s="449"/>
      <c r="AO38" s="45"/>
      <c r="AP38" s="45"/>
      <c r="AQ38" s="45"/>
      <c r="AR38" s="45"/>
      <c r="AS38" s="45"/>
      <c r="AT38" s="45"/>
      <c r="AU38" s="463"/>
      <c r="AV38" s="449"/>
      <c r="AW38" s="45"/>
      <c r="AX38" s="45"/>
      <c r="AY38" s="45"/>
      <c r="AZ38" s="45"/>
      <c r="BA38" s="45"/>
      <c r="BB38" s="45"/>
      <c r="BC38" s="463"/>
      <c r="BD38" s="456"/>
      <c r="BE38" s="46"/>
      <c r="BF38" s="46"/>
      <c r="BG38" s="46"/>
      <c r="BH38" s="46"/>
      <c r="BI38" s="46"/>
      <c r="BJ38" s="457"/>
      <c r="BK38" s="449">
        <v>0</v>
      </c>
      <c r="BL38" s="45"/>
      <c r="BM38" s="45"/>
      <c r="BN38" s="45"/>
      <c r="BO38" s="45"/>
      <c r="BP38" s="45"/>
      <c r="BQ38" s="45"/>
      <c r="BR38" s="45"/>
      <c r="BS38" s="45"/>
      <c r="BT38" s="45"/>
      <c r="BU38" s="45"/>
      <c r="BV38" s="45"/>
      <c r="BW38" s="45"/>
      <c r="BX38" s="45"/>
      <c r="BY38" s="45"/>
      <c r="BZ38" s="45"/>
      <c r="CA38" s="45"/>
      <c r="CB38" s="45"/>
      <c r="CC38" s="45"/>
      <c r="CD38" s="463"/>
      <c r="CF38" s="742">
        <v>29</v>
      </c>
      <c r="CG38" s="729" t="s">
        <v>1859</v>
      </c>
    </row>
    <row r="39" spans="2:85">
      <c r="B39" s="136">
        <v>30</v>
      </c>
      <c r="C39" s="138">
        <v>1</v>
      </c>
      <c r="D39" s="474">
        <v>3603.0248849213262</v>
      </c>
      <c r="E39" s="127">
        <v>198.44440050575056</v>
      </c>
      <c r="F39" s="447">
        <v>0.39614854406597144</v>
      </c>
      <c r="G39" s="127">
        <v>150.15246256231677</v>
      </c>
      <c r="H39" s="132">
        <v>51.197503082635357</v>
      </c>
      <c r="I39" s="456"/>
      <c r="J39" s="47"/>
      <c r="K39" s="47">
        <v>570</v>
      </c>
      <c r="L39" s="463"/>
      <c r="M39" s="449">
        <v>34.780502319335938</v>
      </c>
      <c r="N39" s="463"/>
      <c r="O39" s="449"/>
      <c r="P39" s="46"/>
      <c r="Q39" s="463">
        <v>71.339897155761719</v>
      </c>
      <c r="R39" s="472"/>
      <c r="S39" s="463"/>
      <c r="T39" s="480"/>
      <c r="U39" s="468"/>
      <c r="V39" s="449"/>
      <c r="W39" s="45">
        <v>1622.0865478515625</v>
      </c>
      <c r="X39" s="463">
        <v>135.43058776855469</v>
      </c>
      <c r="Y39" s="472"/>
      <c r="Z39" s="47"/>
      <c r="AA39" s="468">
        <v>0.38701095220000842</v>
      </c>
      <c r="AB39" s="456"/>
      <c r="AC39" s="46"/>
      <c r="AD39" s="46"/>
      <c r="AE39" s="46"/>
      <c r="AF39" s="46"/>
      <c r="AG39" s="46"/>
      <c r="AH39" s="46"/>
      <c r="AI39" s="457"/>
      <c r="AJ39" s="138"/>
      <c r="AK39" s="745"/>
      <c r="AL39" s="54"/>
      <c r="AM39" s="468"/>
      <c r="AN39" s="449"/>
      <c r="AO39" s="45"/>
      <c r="AP39" s="45"/>
      <c r="AQ39" s="45"/>
      <c r="AR39" s="45"/>
      <c r="AS39" s="45"/>
      <c r="AT39" s="45"/>
      <c r="AU39" s="463"/>
      <c r="AV39" s="449"/>
      <c r="AW39" s="45"/>
      <c r="AX39" s="45"/>
      <c r="AY39" s="45"/>
      <c r="AZ39" s="45"/>
      <c r="BA39" s="45"/>
      <c r="BB39" s="45"/>
      <c r="BC39" s="463"/>
      <c r="BD39" s="456"/>
      <c r="BE39" s="46"/>
      <c r="BF39" s="46"/>
      <c r="BG39" s="46"/>
      <c r="BH39" s="46"/>
      <c r="BI39" s="46"/>
      <c r="BJ39" s="457"/>
      <c r="BK39" s="449">
        <v>0</v>
      </c>
      <c r="BL39" s="45"/>
      <c r="BM39" s="45"/>
      <c r="BN39" s="45"/>
      <c r="BO39" s="45"/>
      <c r="BP39" s="45"/>
      <c r="BQ39" s="45"/>
      <c r="BR39" s="45"/>
      <c r="BS39" s="45"/>
      <c r="BT39" s="45"/>
      <c r="BU39" s="45"/>
      <c r="BV39" s="45"/>
      <c r="BW39" s="45"/>
      <c r="BX39" s="45"/>
      <c r="BY39" s="45"/>
      <c r="BZ39" s="45"/>
      <c r="CA39" s="45"/>
      <c r="CB39" s="45"/>
      <c r="CC39" s="45"/>
      <c r="CD39" s="463"/>
      <c r="CF39" s="742">
        <v>30</v>
      </c>
      <c r="CG39" s="729" t="s">
        <v>1860</v>
      </c>
    </row>
    <row r="40" spans="2:85" ht="15.75" thickBot="1">
      <c r="B40" s="136">
        <v>31</v>
      </c>
      <c r="C40" s="138">
        <v>1</v>
      </c>
      <c r="D40" s="474">
        <v>2967.1874691940757</v>
      </c>
      <c r="E40" s="127">
        <v>227.64268674198877</v>
      </c>
      <c r="F40" s="447">
        <v>0.3972494387772933</v>
      </c>
      <c r="G40" s="127">
        <v>119.47069992479292</v>
      </c>
      <c r="H40" s="132">
        <v>55.399876741685411</v>
      </c>
      <c r="I40" s="456"/>
      <c r="J40" s="47"/>
      <c r="K40" s="47">
        <v>480</v>
      </c>
      <c r="L40" s="463"/>
      <c r="M40" s="449">
        <v>31.521198272705078</v>
      </c>
      <c r="N40" s="463"/>
      <c r="O40" s="449"/>
      <c r="P40" s="46"/>
      <c r="Q40" s="463">
        <v>66.735794067382813</v>
      </c>
      <c r="R40" s="472"/>
      <c r="S40" s="463"/>
      <c r="T40" s="480"/>
      <c r="U40" s="468"/>
      <c r="V40" s="449"/>
      <c r="W40" s="45">
        <v>1403.2637939453125</v>
      </c>
      <c r="X40" s="463">
        <v>119.15974426269531</v>
      </c>
      <c r="Y40" s="472"/>
      <c r="Z40" s="47"/>
      <c r="AA40" s="468">
        <v>0.38614633554651084</v>
      </c>
      <c r="AB40" s="456"/>
      <c r="AC40" s="46"/>
      <c r="AD40" s="46"/>
      <c r="AE40" s="46"/>
      <c r="AF40" s="46"/>
      <c r="AG40" s="46"/>
      <c r="AH40" s="46"/>
      <c r="AI40" s="457"/>
      <c r="AJ40" s="138"/>
      <c r="AK40" s="745"/>
      <c r="AL40" s="54"/>
      <c r="AM40" s="468"/>
      <c r="AN40" s="449"/>
      <c r="AO40" s="45"/>
      <c r="AP40" s="45"/>
      <c r="AQ40" s="45"/>
      <c r="AR40" s="45"/>
      <c r="AS40" s="45"/>
      <c r="AT40" s="45"/>
      <c r="AU40" s="463"/>
      <c r="AV40" s="449"/>
      <c r="AW40" s="45"/>
      <c r="AX40" s="45"/>
      <c r="AY40" s="45"/>
      <c r="AZ40" s="45"/>
      <c r="BA40" s="45"/>
      <c r="BB40" s="45"/>
      <c r="BC40" s="463"/>
      <c r="BD40" s="456"/>
      <c r="BE40" s="46"/>
      <c r="BF40" s="46"/>
      <c r="BG40" s="46"/>
      <c r="BH40" s="46"/>
      <c r="BI40" s="46"/>
      <c r="BJ40" s="457"/>
      <c r="BK40" s="449">
        <v>0</v>
      </c>
      <c r="BL40" s="45"/>
      <c r="BM40" s="45"/>
      <c r="BN40" s="45"/>
      <c r="BO40" s="45"/>
      <c r="BP40" s="45"/>
      <c r="BQ40" s="45"/>
      <c r="BR40" s="45"/>
      <c r="BS40" s="45"/>
      <c r="BT40" s="45"/>
      <c r="BU40" s="45"/>
      <c r="BV40" s="45"/>
      <c r="BW40" s="45"/>
      <c r="BX40" s="45"/>
      <c r="BY40" s="45"/>
      <c r="BZ40" s="45"/>
      <c r="CA40" s="45"/>
      <c r="CB40" s="45"/>
      <c r="CC40" s="45"/>
      <c r="CD40" s="463"/>
      <c r="CF40" s="743">
        <v>31</v>
      </c>
      <c r="CG40" s="730" t="s">
        <v>1861</v>
      </c>
    </row>
    <row r="41" spans="2:85">
      <c r="B41" s="136">
        <v>32</v>
      </c>
      <c r="C41" s="138">
        <v>1</v>
      </c>
      <c r="D41" s="474">
        <v>3006.4684268868659</v>
      </c>
      <c r="E41" s="127">
        <v>196.84438874578521</v>
      </c>
      <c r="F41" s="447">
        <v>0.44535562622836539</v>
      </c>
      <c r="G41" s="127">
        <v>106.61797959857071</v>
      </c>
      <c r="H41" s="132">
        <v>52.010468173743064</v>
      </c>
      <c r="I41" s="456"/>
      <c r="J41" s="47"/>
      <c r="K41" s="47">
        <v>440</v>
      </c>
      <c r="L41" s="463"/>
      <c r="M41" s="449">
        <v>37.479866027832031</v>
      </c>
      <c r="N41" s="463"/>
      <c r="O41" s="449"/>
      <c r="P41" s="46"/>
      <c r="Q41" s="463">
        <v>59.528076171875</v>
      </c>
      <c r="R41" s="472"/>
      <c r="S41" s="463"/>
      <c r="T41" s="480"/>
      <c r="U41" s="468"/>
      <c r="V41" s="449"/>
      <c r="W41" s="45">
        <v>1522.5982666015625</v>
      </c>
      <c r="X41" s="463">
        <v>127.64910125732422</v>
      </c>
      <c r="Y41" s="472"/>
      <c r="Z41" s="47"/>
      <c r="AA41" s="468">
        <v>0.43407757247555168</v>
      </c>
      <c r="AB41" s="456"/>
      <c r="AC41" s="46"/>
      <c r="AD41" s="46"/>
      <c r="AE41" s="46"/>
      <c r="AF41" s="46"/>
      <c r="AG41" s="46"/>
      <c r="AH41" s="46"/>
      <c r="AI41" s="457"/>
      <c r="AJ41" s="138"/>
      <c r="AK41" s="745"/>
      <c r="AL41" s="54"/>
      <c r="AM41" s="468"/>
      <c r="AN41" s="449"/>
      <c r="AO41" s="45"/>
      <c r="AP41" s="45"/>
      <c r="AQ41" s="45"/>
      <c r="AR41" s="45"/>
      <c r="AS41" s="45"/>
      <c r="AT41" s="45"/>
      <c r="AU41" s="463"/>
      <c r="AV41" s="449"/>
      <c r="AW41" s="45"/>
      <c r="AX41" s="45"/>
      <c r="AY41" s="45"/>
      <c r="AZ41" s="45"/>
      <c r="BA41" s="45"/>
      <c r="BB41" s="45"/>
      <c r="BC41" s="463"/>
      <c r="BD41" s="456"/>
      <c r="BE41" s="46"/>
      <c r="BF41" s="46"/>
      <c r="BG41" s="46"/>
      <c r="BH41" s="46"/>
      <c r="BI41" s="46"/>
      <c r="BJ41" s="457"/>
      <c r="BK41" s="449">
        <v>0</v>
      </c>
      <c r="BL41" s="45"/>
      <c r="BM41" s="45"/>
      <c r="BN41" s="45"/>
      <c r="BO41" s="45"/>
      <c r="BP41" s="45"/>
      <c r="BQ41" s="45"/>
      <c r="BR41" s="45"/>
      <c r="BS41" s="45"/>
      <c r="BT41" s="45"/>
      <c r="BU41" s="45"/>
      <c r="BV41" s="45"/>
      <c r="BW41" s="45"/>
      <c r="BX41" s="45"/>
      <c r="BY41" s="45"/>
      <c r="BZ41" s="45"/>
      <c r="CA41" s="45"/>
      <c r="CB41" s="45"/>
      <c r="CC41" s="45"/>
      <c r="CD41" s="463"/>
    </row>
    <row r="42" spans="2:85">
      <c r="B42" s="136">
        <v>33</v>
      </c>
      <c r="C42" s="138">
        <v>1</v>
      </c>
      <c r="D42" s="474">
        <v>3684.3706579265836</v>
      </c>
      <c r="E42" s="127">
        <v>219.48585560724439</v>
      </c>
      <c r="F42" s="447">
        <v>0.44749548226128766</v>
      </c>
      <c r="G42" s="127">
        <v>137.87436462258756</v>
      </c>
      <c r="H42" s="132">
        <v>56.204369216615298</v>
      </c>
      <c r="I42" s="456"/>
      <c r="J42" s="47"/>
      <c r="K42" s="47">
        <v>550</v>
      </c>
      <c r="L42" s="463"/>
      <c r="M42" s="449">
        <v>41.051170349121094</v>
      </c>
      <c r="N42" s="463"/>
      <c r="O42" s="449"/>
      <c r="P42" s="46"/>
      <c r="Q42" s="463">
        <v>72.950538635253906</v>
      </c>
      <c r="R42" s="472"/>
      <c r="S42" s="463"/>
      <c r="T42" s="480"/>
      <c r="U42" s="468"/>
      <c r="V42" s="449"/>
      <c r="W42" s="45">
        <v>1894.3310546875</v>
      </c>
      <c r="X42" s="463">
        <v>155.16386413574219</v>
      </c>
      <c r="Y42" s="472"/>
      <c r="Z42" s="47"/>
      <c r="AA42" s="468">
        <v>0.43828090729115388</v>
      </c>
      <c r="AB42" s="456"/>
      <c r="AC42" s="46"/>
      <c r="AD42" s="46"/>
      <c r="AE42" s="46"/>
      <c r="AF42" s="46"/>
      <c r="AG42" s="46"/>
      <c r="AH42" s="46"/>
      <c r="AI42" s="457"/>
      <c r="AJ42" s="138"/>
      <c r="AK42" s="745"/>
      <c r="AL42" s="54"/>
      <c r="AM42" s="468"/>
      <c r="AN42" s="449"/>
      <c r="AO42" s="45"/>
      <c r="AP42" s="45"/>
      <c r="AQ42" s="45"/>
      <c r="AR42" s="45"/>
      <c r="AS42" s="45"/>
      <c r="AT42" s="45"/>
      <c r="AU42" s="463"/>
      <c r="AV42" s="449"/>
      <c r="AW42" s="45"/>
      <c r="AX42" s="45"/>
      <c r="AY42" s="45"/>
      <c r="AZ42" s="45"/>
      <c r="BA42" s="45"/>
      <c r="BB42" s="45"/>
      <c r="BC42" s="463"/>
      <c r="BD42" s="456"/>
      <c r="BE42" s="46"/>
      <c r="BF42" s="46"/>
      <c r="BG42" s="46"/>
      <c r="BH42" s="46"/>
      <c r="BI42" s="46"/>
      <c r="BJ42" s="457"/>
      <c r="BK42" s="449">
        <v>0</v>
      </c>
      <c r="BL42" s="45"/>
      <c r="BM42" s="45"/>
      <c r="BN42" s="45"/>
      <c r="BO42" s="45"/>
      <c r="BP42" s="45"/>
      <c r="BQ42" s="45"/>
      <c r="BR42" s="45"/>
      <c r="BS42" s="45"/>
      <c r="BT42" s="45"/>
      <c r="BU42" s="45"/>
      <c r="BV42" s="45"/>
      <c r="BW42" s="45"/>
      <c r="BX42" s="45"/>
      <c r="BY42" s="45"/>
      <c r="BZ42" s="45"/>
      <c r="CA42" s="45"/>
      <c r="CB42" s="45"/>
      <c r="CC42" s="45"/>
      <c r="CD42" s="463"/>
    </row>
    <row r="43" spans="2:85">
      <c r="B43" s="136">
        <v>34</v>
      </c>
      <c r="C43" s="138">
        <v>1</v>
      </c>
      <c r="D43" s="474">
        <v>3640.0156001913615</v>
      </c>
      <c r="E43" s="127">
        <v>272.42904069301693</v>
      </c>
      <c r="F43" s="447">
        <v>0.44662029943149434</v>
      </c>
      <c r="G43" s="127">
        <v>140.1270875214301</v>
      </c>
      <c r="H43" s="132">
        <v>61.467349582079109</v>
      </c>
      <c r="I43" s="456"/>
      <c r="J43" s="47"/>
      <c r="K43" s="47">
        <v>580</v>
      </c>
      <c r="L43" s="463"/>
      <c r="M43" s="449">
        <v>40.293174743652344</v>
      </c>
      <c r="N43" s="463"/>
      <c r="O43" s="449"/>
      <c r="P43" s="46"/>
      <c r="Q43" s="463">
        <v>80.112205505371094</v>
      </c>
      <c r="R43" s="472"/>
      <c r="S43" s="463"/>
      <c r="T43" s="480"/>
      <c r="U43" s="468"/>
      <c r="V43" s="449"/>
      <c r="W43" s="45">
        <v>1966.793212890625</v>
      </c>
      <c r="X43" s="463">
        <v>160.55328369140625</v>
      </c>
      <c r="Y43" s="472"/>
      <c r="Z43" s="47"/>
      <c r="AA43" s="468">
        <v>0.43729824982630972</v>
      </c>
      <c r="AB43" s="456"/>
      <c r="AC43" s="46"/>
      <c r="AD43" s="46"/>
      <c r="AE43" s="46"/>
      <c r="AF43" s="46"/>
      <c r="AG43" s="46"/>
      <c r="AH43" s="46"/>
      <c r="AI43" s="457"/>
      <c r="AJ43" s="138"/>
      <c r="AK43" s="745"/>
      <c r="AL43" s="54"/>
      <c r="AM43" s="468"/>
      <c r="AN43" s="449"/>
      <c r="AO43" s="45"/>
      <c r="AP43" s="45"/>
      <c r="AQ43" s="45"/>
      <c r="AR43" s="45"/>
      <c r="AS43" s="45"/>
      <c r="AT43" s="45"/>
      <c r="AU43" s="463"/>
      <c r="AV43" s="449"/>
      <c r="AW43" s="45"/>
      <c r="AX43" s="45"/>
      <c r="AY43" s="45"/>
      <c r="AZ43" s="45"/>
      <c r="BA43" s="45"/>
      <c r="BB43" s="45"/>
      <c r="BC43" s="463"/>
      <c r="BD43" s="456"/>
      <c r="BE43" s="46"/>
      <c r="BF43" s="46"/>
      <c r="BG43" s="46"/>
      <c r="BH43" s="46"/>
      <c r="BI43" s="46"/>
      <c r="BJ43" s="457"/>
      <c r="BK43" s="449">
        <v>0</v>
      </c>
      <c r="BL43" s="45"/>
      <c r="BM43" s="45"/>
      <c r="BN43" s="45"/>
      <c r="BO43" s="45"/>
      <c r="BP43" s="45"/>
      <c r="BQ43" s="45"/>
      <c r="BR43" s="45"/>
      <c r="BS43" s="45"/>
      <c r="BT43" s="45"/>
      <c r="BU43" s="45"/>
      <c r="BV43" s="45"/>
      <c r="BW43" s="45"/>
      <c r="BX43" s="45"/>
      <c r="BY43" s="45"/>
      <c r="BZ43" s="45"/>
      <c r="CA43" s="45"/>
      <c r="CB43" s="45"/>
      <c r="CC43" s="45"/>
      <c r="CD43" s="463"/>
    </row>
    <row r="44" spans="2:85">
      <c r="B44" s="136">
        <v>35</v>
      </c>
      <c r="C44" s="138">
        <v>1</v>
      </c>
      <c r="D44" s="474">
        <v>4159.318072661832</v>
      </c>
      <c r="E44" s="127">
        <v>204.66503811720952</v>
      </c>
      <c r="F44" s="447">
        <v>0.42537945322367976</v>
      </c>
      <c r="G44" s="127">
        <v>164.62260311285851</v>
      </c>
      <c r="H44" s="132">
        <v>57.648705769214203</v>
      </c>
      <c r="I44" s="456"/>
      <c r="J44" s="47"/>
      <c r="K44" s="47">
        <v>640</v>
      </c>
      <c r="L44" s="463"/>
      <c r="M44" s="449">
        <v>39.538875579833984</v>
      </c>
      <c r="N44" s="463"/>
      <c r="O44" s="449"/>
      <c r="P44" s="46"/>
      <c r="Q44" s="463">
        <v>82.3544921875</v>
      </c>
      <c r="R44" s="472"/>
      <c r="S44" s="463"/>
      <c r="T44" s="480"/>
      <c r="U44" s="468"/>
      <c r="V44" s="449"/>
      <c r="W44" s="45">
        <v>1986.7818603515625</v>
      </c>
      <c r="X44" s="463">
        <v>162.24636840820313</v>
      </c>
      <c r="Y44" s="472"/>
      <c r="Z44" s="47"/>
      <c r="AA44" s="468">
        <v>0.4173234237305975</v>
      </c>
      <c r="AB44" s="456"/>
      <c r="AC44" s="46"/>
      <c r="AD44" s="46"/>
      <c r="AE44" s="46"/>
      <c r="AF44" s="46"/>
      <c r="AG44" s="46"/>
      <c r="AH44" s="46"/>
      <c r="AI44" s="457"/>
      <c r="AJ44" s="138"/>
      <c r="AK44" s="745"/>
      <c r="AL44" s="54"/>
      <c r="AM44" s="468"/>
      <c r="AN44" s="449"/>
      <c r="AO44" s="45"/>
      <c r="AP44" s="45"/>
      <c r="AQ44" s="45"/>
      <c r="AR44" s="45"/>
      <c r="AS44" s="45"/>
      <c r="AT44" s="45"/>
      <c r="AU44" s="463"/>
      <c r="AV44" s="449"/>
      <c r="AW44" s="45"/>
      <c r="AX44" s="45"/>
      <c r="AY44" s="45"/>
      <c r="AZ44" s="45"/>
      <c r="BA44" s="45"/>
      <c r="BB44" s="45"/>
      <c r="BC44" s="463"/>
      <c r="BD44" s="456"/>
      <c r="BE44" s="46"/>
      <c r="BF44" s="46"/>
      <c r="BG44" s="46"/>
      <c r="BH44" s="46"/>
      <c r="BI44" s="46"/>
      <c r="BJ44" s="457"/>
      <c r="BK44" s="449">
        <v>0</v>
      </c>
      <c r="BL44" s="45"/>
      <c r="BM44" s="45"/>
      <c r="BN44" s="45"/>
      <c r="BO44" s="45"/>
      <c r="BP44" s="45"/>
      <c r="BQ44" s="45"/>
      <c r="BR44" s="45"/>
      <c r="BS44" s="45"/>
      <c r="BT44" s="45"/>
      <c r="BU44" s="45"/>
      <c r="BV44" s="45"/>
      <c r="BW44" s="45"/>
      <c r="BX44" s="45"/>
      <c r="BY44" s="45"/>
      <c r="BZ44" s="45"/>
      <c r="CA44" s="45"/>
      <c r="CB44" s="45"/>
      <c r="CC44" s="45"/>
      <c r="CD44" s="463"/>
    </row>
    <row r="45" spans="2:85">
      <c r="B45" s="136">
        <v>36</v>
      </c>
      <c r="C45" s="138">
        <v>1</v>
      </c>
      <c r="D45" s="474">
        <v>3862.6606879435221</v>
      </c>
      <c r="E45" s="127">
        <v>292.69817678151924</v>
      </c>
      <c r="F45" s="447">
        <v>0.3832639677306337</v>
      </c>
      <c r="G45" s="127">
        <v>126.26844125540158</v>
      </c>
      <c r="H45" s="132">
        <v>61.743838629226268</v>
      </c>
      <c r="I45" s="456"/>
      <c r="J45" s="47"/>
      <c r="K45" s="47">
        <v>530</v>
      </c>
      <c r="L45" s="463"/>
      <c r="M45" s="449">
        <v>29.694868087768555</v>
      </c>
      <c r="N45" s="463"/>
      <c r="O45" s="449"/>
      <c r="P45" s="46"/>
      <c r="Q45" s="463">
        <v>76.480690002441406</v>
      </c>
      <c r="R45" s="472"/>
      <c r="S45" s="463"/>
      <c r="T45" s="480"/>
      <c r="U45" s="468"/>
      <c r="V45" s="449"/>
      <c r="W45" s="45">
        <v>1445.6690673828125</v>
      </c>
      <c r="X45" s="463">
        <v>122.42838287353516</v>
      </c>
      <c r="Y45" s="472"/>
      <c r="Z45" s="47"/>
      <c r="AA45" s="468">
        <v>0.37480728929222712</v>
      </c>
      <c r="AB45" s="456"/>
      <c r="AC45" s="46"/>
      <c r="AD45" s="46"/>
      <c r="AE45" s="46"/>
      <c r="AF45" s="46"/>
      <c r="AG45" s="46"/>
      <c r="AH45" s="46"/>
      <c r="AI45" s="457"/>
      <c r="AJ45" s="138"/>
      <c r="AK45" s="745"/>
      <c r="AL45" s="54"/>
      <c r="AM45" s="468"/>
      <c r="AN45" s="449"/>
      <c r="AO45" s="45"/>
      <c r="AP45" s="45"/>
      <c r="AQ45" s="45"/>
      <c r="AR45" s="45"/>
      <c r="AS45" s="45"/>
      <c r="AT45" s="45"/>
      <c r="AU45" s="463"/>
      <c r="AV45" s="449"/>
      <c r="AW45" s="45"/>
      <c r="AX45" s="45"/>
      <c r="AY45" s="45"/>
      <c r="AZ45" s="45"/>
      <c r="BA45" s="45"/>
      <c r="BB45" s="45"/>
      <c r="BC45" s="463"/>
      <c r="BD45" s="456"/>
      <c r="BE45" s="46"/>
      <c r="BF45" s="46"/>
      <c r="BG45" s="46"/>
      <c r="BH45" s="46"/>
      <c r="BI45" s="46"/>
      <c r="BJ45" s="457"/>
      <c r="BK45" s="449">
        <v>0</v>
      </c>
      <c r="BL45" s="45"/>
      <c r="BM45" s="45"/>
      <c r="BN45" s="45"/>
      <c r="BO45" s="45"/>
      <c r="BP45" s="45"/>
      <c r="BQ45" s="45"/>
      <c r="BR45" s="45"/>
      <c r="BS45" s="45"/>
      <c r="BT45" s="45"/>
      <c r="BU45" s="45"/>
      <c r="BV45" s="45"/>
      <c r="BW45" s="45"/>
      <c r="BX45" s="45"/>
      <c r="BY45" s="45"/>
      <c r="BZ45" s="45"/>
      <c r="CA45" s="45"/>
      <c r="CB45" s="45"/>
      <c r="CC45" s="45"/>
      <c r="CD45" s="463"/>
    </row>
    <row r="46" spans="2:85">
      <c r="B46" s="136">
        <v>37</v>
      </c>
      <c r="C46" s="138">
        <v>1</v>
      </c>
      <c r="D46" s="474">
        <v>3567.9534439825356</v>
      </c>
      <c r="E46" s="127">
        <v>285.30285364593806</v>
      </c>
      <c r="F46" s="447">
        <v>0.38012669842331176</v>
      </c>
      <c r="G46" s="127">
        <v>130.90501966847972</v>
      </c>
      <c r="H46" s="132">
        <v>55.945789358639814</v>
      </c>
      <c r="I46" s="456"/>
      <c r="J46" s="47"/>
      <c r="K46" s="47">
        <v>520</v>
      </c>
      <c r="L46" s="463"/>
      <c r="M46" s="449">
        <v>30.556695938110352</v>
      </c>
      <c r="N46" s="463"/>
      <c r="O46" s="449"/>
      <c r="P46" s="46"/>
      <c r="Q46" s="463">
        <v>70.645477294921875</v>
      </c>
      <c r="R46" s="472"/>
      <c r="S46" s="463"/>
      <c r="T46" s="480"/>
      <c r="U46" s="468"/>
      <c r="V46" s="449"/>
      <c r="W46" s="45">
        <v>1421.5245361328125</v>
      </c>
      <c r="X46" s="463">
        <v>120.64369201660156</v>
      </c>
      <c r="Y46" s="472"/>
      <c r="Z46" s="47"/>
      <c r="AA46" s="468">
        <v>0.37098909770056371</v>
      </c>
      <c r="AB46" s="456"/>
      <c r="AC46" s="46"/>
      <c r="AD46" s="46"/>
      <c r="AE46" s="46"/>
      <c r="AF46" s="46"/>
      <c r="AG46" s="46"/>
      <c r="AH46" s="46"/>
      <c r="AI46" s="457"/>
      <c r="AJ46" s="138"/>
      <c r="AK46" s="745"/>
      <c r="AL46" s="54"/>
      <c r="AM46" s="468"/>
      <c r="AN46" s="449"/>
      <c r="AO46" s="45"/>
      <c r="AP46" s="45"/>
      <c r="AQ46" s="45"/>
      <c r="AR46" s="45"/>
      <c r="AS46" s="45"/>
      <c r="AT46" s="45"/>
      <c r="AU46" s="463"/>
      <c r="AV46" s="449"/>
      <c r="AW46" s="45"/>
      <c r="AX46" s="45"/>
      <c r="AY46" s="45"/>
      <c r="AZ46" s="45"/>
      <c r="BA46" s="45"/>
      <c r="BB46" s="45"/>
      <c r="BC46" s="463"/>
      <c r="BD46" s="456"/>
      <c r="BE46" s="46"/>
      <c r="BF46" s="46"/>
      <c r="BG46" s="46"/>
      <c r="BH46" s="46"/>
      <c r="BI46" s="46"/>
      <c r="BJ46" s="457"/>
      <c r="BK46" s="449">
        <v>0</v>
      </c>
      <c r="BL46" s="45"/>
      <c r="BM46" s="45"/>
      <c r="BN46" s="45"/>
      <c r="BO46" s="45"/>
      <c r="BP46" s="45"/>
      <c r="BQ46" s="45"/>
      <c r="BR46" s="45"/>
      <c r="BS46" s="45"/>
      <c r="BT46" s="45"/>
      <c r="BU46" s="45"/>
      <c r="BV46" s="45"/>
      <c r="BW46" s="45"/>
      <c r="BX46" s="45"/>
      <c r="BY46" s="45"/>
      <c r="BZ46" s="45"/>
      <c r="CA46" s="45"/>
      <c r="CB46" s="45"/>
      <c r="CC46" s="45"/>
      <c r="CD46" s="463"/>
    </row>
    <row r="47" spans="2:85">
      <c r="B47" s="136">
        <v>38</v>
      </c>
      <c r="C47" s="138">
        <v>1</v>
      </c>
      <c r="D47" s="474">
        <v>3287.8896804172082</v>
      </c>
      <c r="E47" s="127">
        <v>259.12392594121343</v>
      </c>
      <c r="F47" s="447">
        <v>0.4323027702699262</v>
      </c>
      <c r="G47" s="127">
        <v>137.00342845973151</v>
      </c>
      <c r="H47" s="132">
        <v>56.453886311273031</v>
      </c>
      <c r="I47" s="456"/>
      <c r="J47" s="47"/>
      <c r="K47" s="47">
        <v>550</v>
      </c>
      <c r="L47" s="463"/>
      <c r="M47" s="449">
        <v>38.189552307128906</v>
      </c>
      <c r="N47" s="463"/>
      <c r="O47" s="449"/>
      <c r="P47" s="46"/>
      <c r="Q47" s="463">
        <v>72.98150634765625</v>
      </c>
      <c r="R47" s="472"/>
      <c r="S47" s="463"/>
      <c r="T47" s="480"/>
      <c r="U47" s="468"/>
      <c r="V47" s="449"/>
      <c r="W47" s="45">
        <v>1774.3226318359375</v>
      </c>
      <c r="X47" s="463">
        <v>146.42047119140625</v>
      </c>
      <c r="Y47" s="472"/>
      <c r="Z47" s="47"/>
      <c r="AA47" s="468">
        <v>0.42206944169877747</v>
      </c>
      <c r="AB47" s="456"/>
      <c r="AC47" s="46"/>
      <c r="AD47" s="46"/>
      <c r="AE47" s="46"/>
      <c r="AF47" s="46"/>
      <c r="AG47" s="46"/>
      <c r="AH47" s="46"/>
      <c r="AI47" s="457"/>
      <c r="AJ47" s="138"/>
      <c r="AK47" s="745"/>
      <c r="AL47" s="54"/>
      <c r="AM47" s="468"/>
      <c r="AN47" s="449"/>
      <c r="AO47" s="45"/>
      <c r="AP47" s="45"/>
      <c r="AQ47" s="45"/>
      <c r="AR47" s="45"/>
      <c r="AS47" s="45"/>
      <c r="AT47" s="45"/>
      <c r="AU47" s="463"/>
      <c r="AV47" s="449"/>
      <c r="AW47" s="45"/>
      <c r="AX47" s="45"/>
      <c r="AY47" s="45"/>
      <c r="AZ47" s="45"/>
      <c r="BA47" s="45"/>
      <c r="BB47" s="45"/>
      <c r="BC47" s="463"/>
      <c r="BD47" s="456"/>
      <c r="BE47" s="46"/>
      <c r="BF47" s="46"/>
      <c r="BG47" s="46"/>
      <c r="BH47" s="46"/>
      <c r="BI47" s="46"/>
      <c r="BJ47" s="457"/>
      <c r="BK47" s="449">
        <v>0</v>
      </c>
      <c r="BL47" s="45"/>
      <c r="BM47" s="45"/>
      <c r="BN47" s="45"/>
      <c r="BO47" s="45"/>
      <c r="BP47" s="45"/>
      <c r="BQ47" s="45"/>
      <c r="BR47" s="45"/>
      <c r="BS47" s="45"/>
      <c r="BT47" s="45"/>
      <c r="BU47" s="45"/>
      <c r="BV47" s="45"/>
      <c r="BW47" s="45"/>
      <c r="BX47" s="45"/>
      <c r="BY47" s="45"/>
      <c r="BZ47" s="45"/>
      <c r="CA47" s="45"/>
      <c r="CB47" s="45"/>
      <c r="CC47" s="45"/>
      <c r="CD47" s="463"/>
    </row>
    <row r="48" spans="2:85">
      <c r="B48" s="136">
        <v>39</v>
      </c>
      <c r="C48" s="138">
        <v>1</v>
      </c>
      <c r="D48" s="474">
        <v>3304.585950387413</v>
      </c>
      <c r="E48" s="127">
        <v>270.57876082289454</v>
      </c>
      <c r="F48" s="447">
        <v>0.39732073964811759</v>
      </c>
      <c r="G48" s="127">
        <v>119.22833792124636</v>
      </c>
      <c r="H48" s="132">
        <v>54.24942425761958</v>
      </c>
      <c r="I48" s="456"/>
      <c r="J48" s="47"/>
      <c r="K48" s="47">
        <v>480</v>
      </c>
      <c r="L48" s="463"/>
      <c r="M48" s="449">
        <v>31.698947906494141</v>
      </c>
      <c r="N48" s="463"/>
      <c r="O48" s="449"/>
      <c r="P48" s="46"/>
      <c r="Q48" s="463">
        <v>65.430809020996094</v>
      </c>
      <c r="R48" s="472"/>
      <c r="S48" s="463"/>
      <c r="T48" s="480"/>
      <c r="U48" s="468"/>
      <c r="V48" s="449"/>
      <c r="W48" s="45">
        <v>1394.0775146484375</v>
      </c>
      <c r="X48" s="463">
        <v>118.47409057617187</v>
      </c>
      <c r="Y48" s="472"/>
      <c r="Z48" s="47"/>
      <c r="AA48" s="468">
        <v>0.38735083258938308</v>
      </c>
      <c r="AB48" s="456"/>
      <c r="AC48" s="46"/>
      <c r="AD48" s="46"/>
      <c r="AE48" s="46"/>
      <c r="AF48" s="46"/>
      <c r="AG48" s="46"/>
      <c r="AH48" s="46"/>
      <c r="AI48" s="457"/>
      <c r="AJ48" s="138"/>
      <c r="AK48" s="745"/>
      <c r="AL48" s="54"/>
      <c r="AM48" s="468"/>
      <c r="AN48" s="449"/>
      <c r="AO48" s="45"/>
      <c r="AP48" s="45"/>
      <c r="AQ48" s="45"/>
      <c r="AR48" s="45"/>
      <c r="AS48" s="45"/>
      <c r="AT48" s="45"/>
      <c r="AU48" s="463"/>
      <c r="AV48" s="449"/>
      <c r="AW48" s="45"/>
      <c r="AX48" s="45"/>
      <c r="AY48" s="45"/>
      <c r="AZ48" s="45"/>
      <c r="BA48" s="45"/>
      <c r="BB48" s="45"/>
      <c r="BC48" s="463"/>
      <c r="BD48" s="456"/>
      <c r="BE48" s="46"/>
      <c r="BF48" s="46"/>
      <c r="BG48" s="46"/>
      <c r="BH48" s="46"/>
      <c r="BI48" s="46"/>
      <c r="BJ48" s="457"/>
      <c r="BK48" s="449">
        <v>0</v>
      </c>
      <c r="BL48" s="45"/>
      <c r="BM48" s="45"/>
      <c r="BN48" s="45"/>
      <c r="BO48" s="45"/>
      <c r="BP48" s="45"/>
      <c r="BQ48" s="45"/>
      <c r="BR48" s="45"/>
      <c r="BS48" s="45"/>
      <c r="BT48" s="45"/>
      <c r="BU48" s="45"/>
      <c r="BV48" s="45"/>
      <c r="BW48" s="45"/>
      <c r="BX48" s="45"/>
      <c r="BY48" s="45"/>
      <c r="BZ48" s="45"/>
      <c r="CA48" s="45"/>
      <c r="CB48" s="45"/>
      <c r="CC48" s="45"/>
      <c r="CD48" s="463"/>
    </row>
    <row r="49" spans="2:82">
      <c r="B49" s="136">
        <v>40</v>
      </c>
      <c r="C49" s="138">
        <v>1</v>
      </c>
      <c r="D49" s="474">
        <v>4472.4918489805486</v>
      </c>
      <c r="E49" s="127">
        <v>194.82966473990274</v>
      </c>
      <c r="F49" s="447">
        <v>0.44229564624299544</v>
      </c>
      <c r="G49" s="127">
        <v>139.27366819317859</v>
      </c>
      <c r="H49" s="132">
        <v>67.330725697362539</v>
      </c>
      <c r="I49" s="456"/>
      <c r="J49" s="45"/>
      <c r="K49" s="45">
        <v>600</v>
      </c>
      <c r="L49" s="463"/>
      <c r="M49" s="449">
        <v>38.50433349609375</v>
      </c>
      <c r="N49" s="463"/>
      <c r="O49" s="449"/>
      <c r="P49" s="46"/>
      <c r="Q49" s="463">
        <v>88.555335998535156</v>
      </c>
      <c r="R49" s="449"/>
      <c r="S49" s="463"/>
      <c r="T49" s="480"/>
      <c r="U49" s="468"/>
      <c r="V49" s="449"/>
      <c r="W49" s="45">
        <v>1994.7012939453125</v>
      </c>
      <c r="X49" s="463">
        <v>162.68373107910156</v>
      </c>
      <c r="Y49" s="449"/>
      <c r="Z49" s="45"/>
      <c r="AA49" s="468">
        <v>0.43472807226685173</v>
      </c>
      <c r="AB49" s="456"/>
      <c r="AC49" s="46"/>
      <c r="AD49" s="46"/>
      <c r="AE49" s="46"/>
      <c r="AF49" s="46"/>
      <c r="AG49" s="46"/>
      <c r="AH49" s="46"/>
      <c r="AI49" s="457"/>
      <c r="AJ49" s="138"/>
      <c r="AK49" s="745"/>
      <c r="AL49" s="54"/>
      <c r="AM49" s="468"/>
      <c r="AN49" s="449"/>
      <c r="AO49" s="45"/>
      <c r="AP49" s="45"/>
      <c r="AQ49" s="45"/>
      <c r="AR49" s="45"/>
      <c r="AS49" s="45"/>
      <c r="AT49" s="45"/>
      <c r="AU49" s="463"/>
      <c r="AV49" s="449"/>
      <c r="AW49" s="45"/>
      <c r="AX49" s="45"/>
      <c r="AY49" s="45"/>
      <c r="AZ49" s="45"/>
      <c r="BA49" s="45"/>
      <c r="BB49" s="45"/>
      <c r="BC49" s="463"/>
      <c r="BD49" s="456"/>
      <c r="BE49" s="46"/>
      <c r="BF49" s="46"/>
      <c r="BG49" s="46"/>
      <c r="BH49" s="46"/>
      <c r="BI49" s="46"/>
      <c r="BJ49" s="457"/>
      <c r="BK49" s="449">
        <v>0</v>
      </c>
      <c r="BL49" s="45"/>
      <c r="BM49" s="45"/>
      <c r="BN49" s="45"/>
      <c r="BO49" s="45"/>
      <c r="BP49" s="45"/>
      <c r="BQ49" s="45"/>
      <c r="BR49" s="45"/>
      <c r="BS49" s="45"/>
      <c r="BT49" s="45"/>
      <c r="BU49" s="45"/>
      <c r="BV49" s="45"/>
      <c r="BW49" s="45"/>
      <c r="BX49" s="45"/>
      <c r="BY49" s="45"/>
      <c r="BZ49" s="45"/>
      <c r="CA49" s="45"/>
      <c r="CB49" s="45"/>
      <c r="CC49" s="45"/>
      <c r="CD49" s="463"/>
    </row>
    <row r="50" spans="2:82">
      <c r="B50" s="136">
        <v>41</v>
      </c>
      <c r="C50" s="138">
        <v>1</v>
      </c>
      <c r="D50" s="474">
        <v>3902.605816399524</v>
      </c>
      <c r="E50" s="127">
        <v>210.21999741771106</v>
      </c>
      <c r="F50" s="447">
        <v>0.44572017835828631</v>
      </c>
      <c r="G50" s="127">
        <v>127.43817494033424</v>
      </c>
      <c r="H50" s="132">
        <v>62.074632432717884</v>
      </c>
      <c r="I50" s="456"/>
      <c r="J50" s="45"/>
      <c r="K50" s="45">
        <v>540</v>
      </c>
      <c r="L50" s="463"/>
      <c r="M50" s="449">
        <v>38.455303192138672</v>
      </c>
      <c r="N50" s="463"/>
      <c r="O50" s="449"/>
      <c r="P50" s="46"/>
      <c r="Q50" s="463">
        <v>77.271591186523438</v>
      </c>
      <c r="R50" s="449"/>
      <c r="S50" s="463"/>
      <c r="T50" s="480"/>
      <c r="U50" s="468"/>
      <c r="V50" s="449"/>
      <c r="W50" s="45">
        <v>1835.25927734375</v>
      </c>
      <c r="X50" s="463">
        <v>150.8243408203125</v>
      </c>
      <c r="Y50" s="449"/>
      <c r="Z50" s="45"/>
      <c r="AA50" s="468">
        <v>0.43702998386704395</v>
      </c>
      <c r="AB50" s="456"/>
      <c r="AC50" s="46"/>
      <c r="AD50" s="46"/>
      <c r="AE50" s="46"/>
      <c r="AF50" s="46"/>
      <c r="AG50" s="46"/>
      <c r="AH50" s="46"/>
      <c r="AI50" s="457"/>
      <c r="AJ50" s="138"/>
      <c r="AK50" s="745"/>
      <c r="AL50" s="54"/>
      <c r="AM50" s="468"/>
      <c r="AN50" s="449"/>
      <c r="AO50" s="45"/>
      <c r="AP50" s="45"/>
      <c r="AQ50" s="45"/>
      <c r="AR50" s="45"/>
      <c r="AS50" s="45"/>
      <c r="AT50" s="45"/>
      <c r="AU50" s="463"/>
      <c r="AV50" s="449"/>
      <c r="AW50" s="45"/>
      <c r="AX50" s="45"/>
      <c r="AY50" s="45"/>
      <c r="AZ50" s="45"/>
      <c r="BA50" s="45"/>
      <c r="BB50" s="45"/>
      <c r="BC50" s="463"/>
      <c r="BD50" s="456"/>
      <c r="BE50" s="46"/>
      <c r="BF50" s="46"/>
      <c r="BG50" s="46"/>
      <c r="BH50" s="46"/>
      <c r="BI50" s="46"/>
      <c r="BJ50" s="457"/>
      <c r="BK50" s="449">
        <v>0</v>
      </c>
      <c r="BL50" s="45"/>
      <c r="BM50" s="45"/>
      <c r="BN50" s="45"/>
      <c r="BO50" s="45"/>
      <c r="BP50" s="45"/>
      <c r="BQ50" s="45"/>
      <c r="BR50" s="45"/>
      <c r="BS50" s="45"/>
      <c r="BT50" s="45"/>
      <c r="BU50" s="45"/>
      <c r="BV50" s="45"/>
      <c r="BW50" s="45"/>
      <c r="BX50" s="45"/>
      <c r="BY50" s="45"/>
      <c r="BZ50" s="45"/>
      <c r="CA50" s="45"/>
      <c r="CB50" s="45"/>
      <c r="CC50" s="45"/>
      <c r="CD50" s="463"/>
    </row>
    <row r="51" spans="2:82">
      <c r="B51" s="136">
        <v>42</v>
      </c>
      <c r="C51" s="138">
        <v>1</v>
      </c>
      <c r="D51" s="474">
        <v>3886.1864860301662</v>
      </c>
      <c r="E51" s="127">
        <v>233.38873800745588</v>
      </c>
      <c r="F51" s="447">
        <v>0.38883681048940588</v>
      </c>
      <c r="G51" s="127">
        <v>140.60186272612324</v>
      </c>
      <c r="H51" s="132">
        <v>58.914834502829251</v>
      </c>
      <c r="I51" s="456"/>
      <c r="J51" s="45"/>
      <c r="K51" s="45">
        <v>560</v>
      </c>
      <c r="L51" s="463"/>
      <c r="M51" s="449">
        <v>31.986045837402344</v>
      </c>
      <c r="N51" s="463"/>
      <c r="O51" s="449"/>
      <c r="P51" s="46"/>
      <c r="Q51" s="463">
        <v>76.946495056152344</v>
      </c>
      <c r="R51" s="449"/>
      <c r="S51" s="463"/>
      <c r="T51" s="480"/>
      <c r="U51" s="468"/>
      <c r="V51" s="449"/>
      <c r="W51" s="45">
        <v>1564.1859130859375</v>
      </c>
      <c r="X51" s="463">
        <v>131.20053100585937</v>
      </c>
      <c r="Y51" s="449"/>
      <c r="Z51" s="45"/>
      <c r="AA51" s="468">
        <v>0.38040264596137513</v>
      </c>
      <c r="AB51" s="456"/>
      <c r="AC51" s="46"/>
      <c r="AD51" s="46"/>
      <c r="AE51" s="46"/>
      <c r="AF51" s="46"/>
      <c r="AG51" s="46"/>
      <c r="AH51" s="46"/>
      <c r="AI51" s="457"/>
      <c r="AJ51" s="138"/>
      <c r="AK51" s="745"/>
      <c r="AL51" s="54"/>
      <c r="AM51" s="468"/>
      <c r="AN51" s="449"/>
      <c r="AO51" s="45"/>
      <c r="AP51" s="45"/>
      <c r="AQ51" s="45"/>
      <c r="AR51" s="45"/>
      <c r="AS51" s="45"/>
      <c r="AT51" s="45"/>
      <c r="AU51" s="463"/>
      <c r="AV51" s="449"/>
      <c r="AW51" s="45"/>
      <c r="AX51" s="45"/>
      <c r="AY51" s="45"/>
      <c r="AZ51" s="45"/>
      <c r="BA51" s="45"/>
      <c r="BB51" s="45"/>
      <c r="BC51" s="463"/>
      <c r="BD51" s="456"/>
      <c r="BE51" s="46"/>
      <c r="BF51" s="46"/>
      <c r="BG51" s="46"/>
      <c r="BH51" s="46"/>
      <c r="BI51" s="46"/>
      <c r="BJ51" s="457"/>
      <c r="BK51" s="449">
        <v>0</v>
      </c>
      <c r="BL51" s="45"/>
      <c r="BM51" s="45"/>
      <c r="BN51" s="45"/>
      <c r="BO51" s="45"/>
      <c r="BP51" s="45"/>
      <c r="BQ51" s="45"/>
      <c r="BR51" s="45"/>
      <c r="BS51" s="45"/>
      <c r="BT51" s="45"/>
      <c r="BU51" s="45"/>
      <c r="BV51" s="45"/>
      <c r="BW51" s="45"/>
      <c r="BX51" s="45"/>
      <c r="BY51" s="45"/>
      <c r="BZ51" s="45"/>
      <c r="CA51" s="45"/>
      <c r="CB51" s="45"/>
      <c r="CC51" s="45"/>
      <c r="CD51" s="463"/>
    </row>
    <row r="52" spans="2:82">
      <c r="B52" s="136">
        <v>43</v>
      </c>
      <c r="C52" s="138">
        <v>1</v>
      </c>
      <c r="D52" s="474">
        <v>3516.0830437563827</v>
      </c>
      <c r="E52" s="127">
        <v>189.93974567633512</v>
      </c>
      <c r="F52" s="447">
        <v>0.39057153849815518</v>
      </c>
      <c r="G52" s="127">
        <v>124.13882972258038</v>
      </c>
      <c r="H52" s="132">
        <v>56.764825767465908</v>
      </c>
      <c r="I52" s="456"/>
      <c r="J52" s="45"/>
      <c r="K52" s="45">
        <v>500</v>
      </c>
      <c r="L52" s="463"/>
      <c r="M52" s="449">
        <v>30.97467041015625</v>
      </c>
      <c r="N52" s="463"/>
      <c r="O52" s="449"/>
      <c r="P52" s="46"/>
      <c r="Q52" s="463">
        <v>69.618446350097656</v>
      </c>
      <c r="R52" s="449"/>
      <c r="S52" s="463"/>
      <c r="T52" s="480"/>
      <c r="U52" s="468"/>
      <c r="V52" s="449"/>
      <c r="W52" s="45">
        <v>1420.0740966796875</v>
      </c>
      <c r="X52" s="463">
        <v>120.46080017089844</v>
      </c>
      <c r="Y52" s="449"/>
      <c r="Z52" s="45"/>
      <c r="AA52" s="468">
        <v>0.3812397251246834</v>
      </c>
      <c r="AB52" s="456"/>
      <c r="AC52" s="46"/>
      <c r="AD52" s="46"/>
      <c r="AE52" s="46"/>
      <c r="AF52" s="46"/>
      <c r="AG52" s="46"/>
      <c r="AH52" s="46"/>
      <c r="AI52" s="457"/>
      <c r="AJ52" s="138"/>
      <c r="AK52" s="745"/>
      <c r="AL52" s="54"/>
      <c r="AM52" s="468"/>
      <c r="AN52" s="449"/>
      <c r="AO52" s="45"/>
      <c r="AP52" s="45"/>
      <c r="AQ52" s="45"/>
      <c r="AR52" s="45"/>
      <c r="AS52" s="45"/>
      <c r="AT52" s="45"/>
      <c r="AU52" s="463"/>
      <c r="AV52" s="449"/>
      <c r="AW52" s="45"/>
      <c r="AX52" s="45"/>
      <c r="AY52" s="45"/>
      <c r="AZ52" s="45"/>
      <c r="BA52" s="45"/>
      <c r="BB52" s="45"/>
      <c r="BC52" s="463"/>
      <c r="BD52" s="456"/>
      <c r="BE52" s="46"/>
      <c r="BF52" s="46"/>
      <c r="BG52" s="46"/>
      <c r="BH52" s="46"/>
      <c r="BI52" s="46"/>
      <c r="BJ52" s="457"/>
      <c r="BK52" s="449">
        <v>0</v>
      </c>
      <c r="BL52" s="45"/>
      <c r="BM52" s="45"/>
      <c r="BN52" s="45"/>
      <c r="BO52" s="45"/>
      <c r="BP52" s="45"/>
      <c r="BQ52" s="45"/>
      <c r="BR52" s="45"/>
      <c r="BS52" s="45"/>
      <c r="BT52" s="45"/>
      <c r="BU52" s="45"/>
      <c r="BV52" s="45"/>
      <c r="BW52" s="45"/>
      <c r="BX52" s="45"/>
      <c r="BY52" s="45"/>
      <c r="BZ52" s="45"/>
      <c r="CA52" s="45"/>
      <c r="CB52" s="45"/>
      <c r="CC52" s="45"/>
      <c r="CD52" s="463"/>
    </row>
    <row r="53" spans="2:82">
      <c r="B53" s="136">
        <v>44</v>
      </c>
      <c r="C53" s="138">
        <v>1</v>
      </c>
      <c r="D53" s="474">
        <v>3374.3145395534757</v>
      </c>
      <c r="E53" s="127">
        <v>206.24444964613593</v>
      </c>
      <c r="F53" s="447">
        <v>0.46190660362388797</v>
      </c>
      <c r="G53" s="127">
        <v>130.61615716350695</v>
      </c>
      <c r="H53" s="132">
        <v>52.36615853161139</v>
      </c>
      <c r="I53" s="456"/>
      <c r="J53" s="45"/>
      <c r="K53" s="45">
        <v>520</v>
      </c>
      <c r="L53" s="463"/>
      <c r="M53" s="449">
        <v>43.889080047607422</v>
      </c>
      <c r="N53" s="463"/>
      <c r="O53" s="449"/>
      <c r="P53" s="46"/>
      <c r="Q53" s="463">
        <v>66.811424255371094</v>
      </c>
      <c r="R53" s="449"/>
      <c r="S53" s="463"/>
      <c r="T53" s="480"/>
      <c r="U53" s="468"/>
      <c r="V53" s="449"/>
      <c r="W53" s="45">
        <v>1906.824951171875</v>
      </c>
      <c r="X53" s="463">
        <v>155.93385314941406</v>
      </c>
      <c r="Y53" s="449"/>
      <c r="Z53" s="45"/>
      <c r="AA53" s="468">
        <v>0.45175991111163377</v>
      </c>
      <c r="AB53" s="456"/>
      <c r="AC53" s="46"/>
      <c r="AD53" s="46"/>
      <c r="AE53" s="46"/>
      <c r="AF53" s="46"/>
      <c r="AG53" s="46"/>
      <c r="AH53" s="46"/>
      <c r="AI53" s="457"/>
      <c r="AJ53" s="138"/>
      <c r="AK53" s="745"/>
      <c r="AL53" s="54"/>
      <c r="AM53" s="468"/>
      <c r="AN53" s="449"/>
      <c r="AO53" s="45"/>
      <c r="AP53" s="45"/>
      <c r="AQ53" s="45"/>
      <c r="AR53" s="45"/>
      <c r="AS53" s="45"/>
      <c r="AT53" s="45"/>
      <c r="AU53" s="463"/>
      <c r="AV53" s="449"/>
      <c r="AW53" s="45"/>
      <c r="AX53" s="45"/>
      <c r="AY53" s="45"/>
      <c r="AZ53" s="45"/>
      <c r="BA53" s="45"/>
      <c r="BB53" s="45"/>
      <c r="BC53" s="463"/>
      <c r="BD53" s="456"/>
      <c r="BE53" s="46"/>
      <c r="BF53" s="46"/>
      <c r="BG53" s="46"/>
      <c r="BH53" s="46"/>
      <c r="BI53" s="46"/>
      <c r="BJ53" s="457"/>
      <c r="BK53" s="449">
        <v>0</v>
      </c>
      <c r="BL53" s="45"/>
      <c r="BM53" s="45"/>
      <c r="BN53" s="45"/>
      <c r="BO53" s="45"/>
      <c r="BP53" s="45"/>
      <c r="BQ53" s="45"/>
      <c r="BR53" s="45"/>
      <c r="BS53" s="45"/>
      <c r="BT53" s="45"/>
      <c r="BU53" s="45"/>
      <c r="BV53" s="45"/>
      <c r="BW53" s="45"/>
      <c r="BX53" s="45"/>
      <c r="BY53" s="45"/>
      <c r="BZ53" s="45"/>
      <c r="CA53" s="45"/>
      <c r="CB53" s="45"/>
      <c r="CC53" s="45"/>
      <c r="CD53" s="463"/>
    </row>
    <row r="54" spans="2:82">
      <c r="B54" s="136">
        <v>45</v>
      </c>
      <c r="C54" s="138">
        <v>1</v>
      </c>
      <c r="D54" s="474">
        <v>2894.7281135796957</v>
      </c>
      <c r="E54" s="127">
        <v>303.76009722184722</v>
      </c>
      <c r="F54" s="447">
        <v>0.4521118007614307</v>
      </c>
      <c r="G54" s="127">
        <v>114.62578229686818</v>
      </c>
      <c r="H54" s="132">
        <v>46.823840655170898</v>
      </c>
      <c r="I54" s="456"/>
      <c r="J54" s="45"/>
      <c r="K54" s="45">
        <v>450</v>
      </c>
      <c r="L54" s="463"/>
      <c r="M54" s="449">
        <v>40.86761474609375</v>
      </c>
      <c r="N54" s="463"/>
      <c r="O54" s="449"/>
      <c r="P54" s="46"/>
      <c r="Q54" s="463">
        <v>57.315620422363281</v>
      </c>
      <c r="R54" s="449"/>
      <c r="S54" s="463"/>
      <c r="T54" s="480"/>
      <c r="U54" s="468"/>
      <c r="V54" s="449"/>
      <c r="W54" s="45">
        <v>1617.8392333984375</v>
      </c>
      <c r="X54" s="463">
        <v>134.63345336914063</v>
      </c>
      <c r="Y54" s="449"/>
      <c r="Z54" s="45"/>
      <c r="AA54" s="468">
        <v>0.44035172013225859</v>
      </c>
      <c r="AB54" s="456"/>
      <c r="AC54" s="46"/>
      <c r="AD54" s="46"/>
      <c r="AE54" s="46"/>
      <c r="AF54" s="46"/>
      <c r="AG54" s="46"/>
      <c r="AH54" s="46"/>
      <c r="AI54" s="457"/>
      <c r="AJ54" s="138"/>
      <c r="AK54" s="745"/>
      <c r="AL54" s="54"/>
      <c r="AM54" s="468"/>
      <c r="AN54" s="449"/>
      <c r="AO54" s="45"/>
      <c r="AP54" s="45"/>
      <c r="AQ54" s="45"/>
      <c r="AR54" s="45"/>
      <c r="AS54" s="45"/>
      <c r="AT54" s="45"/>
      <c r="AU54" s="463"/>
      <c r="AV54" s="449"/>
      <c r="AW54" s="45"/>
      <c r="AX54" s="45"/>
      <c r="AY54" s="45"/>
      <c r="AZ54" s="45"/>
      <c r="BA54" s="45"/>
      <c r="BB54" s="45"/>
      <c r="BC54" s="463"/>
      <c r="BD54" s="456"/>
      <c r="BE54" s="46"/>
      <c r="BF54" s="46"/>
      <c r="BG54" s="46"/>
      <c r="BH54" s="46"/>
      <c r="BI54" s="46"/>
      <c r="BJ54" s="457"/>
      <c r="BK54" s="449">
        <v>0</v>
      </c>
      <c r="BL54" s="45"/>
      <c r="BM54" s="45"/>
      <c r="BN54" s="45"/>
      <c r="BO54" s="45"/>
      <c r="BP54" s="45"/>
      <c r="BQ54" s="45"/>
      <c r="BR54" s="45"/>
      <c r="BS54" s="45"/>
      <c r="BT54" s="45"/>
      <c r="BU54" s="45"/>
      <c r="BV54" s="45"/>
      <c r="BW54" s="45"/>
      <c r="BX54" s="45"/>
      <c r="BY54" s="45"/>
      <c r="BZ54" s="45"/>
      <c r="CA54" s="45"/>
      <c r="CB54" s="45"/>
      <c r="CC54" s="45"/>
      <c r="CD54" s="463"/>
    </row>
    <row r="55" spans="2:82">
      <c r="B55" s="136">
        <v>46</v>
      </c>
      <c r="C55" s="138">
        <v>1</v>
      </c>
      <c r="D55" s="474">
        <v>3699.8761502045581</v>
      </c>
      <c r="E55" s="127">
        <v>291.42568537182143</v>
      </c>
      <c r="F55" s="447">
        <v>0.43684150424270279</v>
      </c>
      <c r="G55" s="127">
        <v>124.87063068656391</v>
      </c>
      <c r="H55" s="132">
        <v>65.554751444287248</v>
      </c>
      <c r="I55" s="456"/>
      <c r="J55" s="45"/>
      <c r="K55" s="45">
        <v>550</v>
      </c>
      <c r="L55" s="463"/>
      <c r="M55" s="449">
        <v>36.150764465332031</v>
      </c>
      <c r="N55" s="463"/>
      <c r="O55" s="449"/>
      <c r="P55" s="46"/>
      <c r="Q55" s="463">
        <v>81.5916748046875</v>
      </c>
      <c r="R55" s="449"/>
      <c r="S55" s="463"/>
      <c r="T55" s="480"/>
      <c r="U55" s="468"/>
      <c r="V55" s="449"/>
      <c r="W55" s="45">
        <v>1787.0579833984375</v>
      </c>
      <c r="X55" s="463">
        <v>147.3466796875</v>
      </c>
      <c r="Y55" s="449"/>
      <c r="Z55" s="45"/>
      <c r="AA55" s="468">
        <v>0.42772313683924557</v>
      </c>
      <c r="AB55" s="456"/>
      <c r="AC55" s="46"/>
      <c r="AD55" s="46"/>
      <c r="AE55" s="46"/>
      <c r="AF55" s="46"/>
      <c r="AG55" s="46"/>
      <c r="AH55" s="46"/>
      <c r="AI55" s="457"/>
      <c r="AJ55" s="138"/>
      <c r="AK55" s="745"/>
      <c r="AL55" s="54"/>
      <c r="AM55" s="468"/>
      <c r="AN55" s="449"/>
      <c r="AO55" s="45"/>
      <c r="AP55" s="45"/>
      <c r="AQ55" s="45"/>
      <c r="AR55" s="45"/>
      <c r="AS55" s="45"/>
      <c r="AT55" s="45"/>
      <c r="AU55" s="463"/>
      <c r="AV55" s="449"/>
      <c r="AW55" s="45"/>
      <c r="AX55" s="45"/>
      <c r="AY55" s="45"/>
      <c r="AZ55" s="45"/>
      <c r="BA55" s="45"/>
      <c r="BB55" s="45"/>
      <c r="BC55" s="463"/>
      <c r="BD55" s="456"/>
      <c r="BE55" s="46"/>
      <c r="BF55" s="46"/>
      <c r="BG55" s="46"/>
      <c r="BH55" s="46"/>
      <c r="BI55" s="46"/>
      <c r="BJ55" s="457"/>
      <c r="BK55" s="449">
        <v>0</v>
      </c>
      <c r="BL55" s="45"/>
      <c r="BM55" s="45"/>
      <c r="BN55" s="45"/>
      <c r="BO55" s="45"/>
      <c r="BP55" s="45"/>
      <c r="BQ55" s="45"/>
      <c r="BR55" s="45"/>
      <c r="BS55" s="45"/>
      <c r="BT55" s="45"/>
      <c r="BU55" s="45"/>
      <c r="BV55" s="45"/>
      <c r="BW55" s="45"/>
      <c r="BX55" s="45"/>
      <c r="BY55" s="45"/>
      <c r="BZ55" s="45"/>
      <c r="CA55" s="45"/>
      <c r="CB55" s="45"/>
      <c r="CC55" s="45"/>
      <c r="CD55" s="463"/>
    </row>
    <row r="56" spans="2:82">
      <c r="B56" s="136">
        <v>47</v>
      </c>
      <c r="C56" s="138">
        <v>1</v>
      </c>
      <c r="D56" s="474">
        <v>3204.3051455559289</v>
      </c>
      <c r="E56" s="127">
        <v>260.49562955313019</v>
      </c>
      <c r="F56" s="447">
        <v>0.4045433989180196</v>
      </c>
      <c r="G56" s="127">
        <v>127.35278033191138</v>
      </c>
      <c r="H56" s="132">
        <v>49.765021913813079</v>
      </c>
      <c r="I56" s="456"/>
      <c r="J56" s="45"/>
      <c r="K56" s="45">
        <v>490</v>
      </c>
      <c r="L56" s="463"/>
      <c r="M56" s="449">
        <v>33.997665405273438</v>
      </c>
      <c r="N56" s="463"/>
      <c r="O56" s="449"/>
      <c r="P56" s="46"/>
      <c r="Q56" s="463">
        <v>63.445243835449219</v>
      </c>
      <c r="R56" s="449"/>
      <c r="S56" s="463"/>
      <c r="T56" s="480"/>
      <c r="U56" s="468"/>
      <c r="V56" s="449"/>
      <c r="W56" s="45">
        <v>1464.4510498046875</v>
      </c>
      <c r="X56" s="463">
        <v>123.64423370361328</v>
      </c>
      <c r="Y56" s="449"/>
      <c r="Z56" s="45"/>
      <c r="AA56" s="468">
        <v>0.39421639619037541</v>
      </c>
      <c r="AB56" s="456"/>
      <c r="AC56" s="46"/>
      <c r="AD56" s="46"/>
      <c r="AE56" s="46"/>
      <c r="AF56" s="46"/>
      <c r="AG56" s="46"/>
      <c r="AH56" s="46"/>
      <c r="AI56" s="457"/>
      <c r="AJ56" s="138"/>
      <c r="AK56" s="745"/>
      <c r="AL56" s="54"/>
      <c r="AM56" s="468"/>
      <c r="AN56" s="449"/>
      <c r="AO56" s="45"/>
      <c r="AP56" s="45"/>
      <c r="AQ56" s="45"/>
      <c r="AR56" s="45"/>
      <c r="AS56" s="45"/>
      <c r="AT56" s="45"/>
      <c r="AU56" s="463"/>
      <c r="AV56" s="449"/>
      <c r="AW56" s="45"/>
      <c r="AX56" s="45"/>
      <c r="AY56" s="45"/>
      <c r="AZ56" s="45"/>
      <c r="BA56" s="45"/>
      <c r="BB56" s="45"/>
      <c r="BC56" s="463"/>
      <c r="BD56" s="456"/>
      <c r="BE56" s="46"/>
      <c r="BF56" s="46"/>
      <c r="BG56" s="46"/>
      <c r="BH56" s="46"/>
      <c r="BI56" s="46"/>
      <c r="BJ56" s="457"/>
      <c r="BK56" s="449">
        <v>0</v>
      </c>
      <c r="BL56" s="45"/>
      <c r="BM56" s="45"/>
      <c r="BN56" s="45"/>
      <c r="BO56" s="45"/>
      <c r="BP56" s="45"/>
      <c r="BQ56" s="45"/>
      <c r="BR56" s="45"/>
      <c r="BS56" s="45"/>
      <c r="BT56" s="45"/>
      <c r="BU56" s="45"/>
      <c r="BV56" s="45"/>
      <c r="BW56" s="45"/>
      <c r="BX56" s="45"/>
      <c r="BY56" s="45"/>
      <c r="BZ56" s="45"/>
      <c r="CA56" s="45"/>
      <c r="CB56" s="45"/>
      <c r="CC56" s="45"/>
      <c r="CD56" s="463"/>
    </row>
    <row r="57" spans="2:82">
      <c r="B57" s="136">
        <v>48</v>
      </c>
      <c r="C57" s="138">
        <v>1</v>
      </c>
      <c r="D57" s="474">
        <v>3170.3654128830403</v>
      </c>
      <c r="E57" s="127">
        <v>215.01372275830343</v>
      </c>
      <c r="F57" s="447">
        <v>0.43142988769126073</v>
      </c>
      <c r="G57" s="127">
        <v>104.67341110176267</v>
      </c>
      <c r="H57" s="132">
        <v>55.685838055464643</v>
      </c>
      <c r="I57" s="456"/>
      <c r="J57" s="45"/>
      <c r="K57" s="45">
        <v>440</v>
      </c>
      <c r="L57" s="463"/>
      <c r="M57" s="449">
        <v>34.521953582763672</v>
      </c>
      <c r="N57" s="463"/>
      <c r="O57" s="449"/>
      <c r="P57" s="46"/>
      <c r="Q57" s="463">
        <v>62.773239135742187</v>
      </c>
      <c r="R57" s="449"/>
      <c r="S57" s="463"/>
      <c r="T57" s="480"/>
      <c r="U57" s="468"/>
      <c r="V57" s="449"/>
      <c r="W57" s="45">
        <v>1457.104736328125</v>
      </c>
      <c r="X57" s="463">
        <v>122.90852355957031</v>
      </c>
      <c r="Y57" s="449"/>
      <c r="Z57" s="45"/>
      <c r="AA57" s="468">
        <v>0.42082271994423298</v>
      </c>
      <c r="AB57" s="456"/>
      <c r="AC57" s="46"/>
      <c r="AD57" s="46"/>
      <c r="AE57" s="46"/>
      <c r="AF57" s="46"/>
      <c r="AG57" s="46"/>
      <c r="AH57" s="46"/>
      <c r="AI57" s="457"/>
      <c r="AJ57" s="138"/>
      <c r="AK57" s="745"/>
      <c r="AL57" s="54"/>
      <c r="AM57" s="468"/>
      <c r="AN57" s="449"/>
      <c r="AO57" s="45"/>
      <c r="AP57" s="45"/>
      <c r="AQ57" s="45"/>
      <c r="AR57" s="45"/>
      <c r="AS57" s="45"/>
      <c r="AT57" s="45"/>
      <c r="AU57" s="463"/>
      <c r="AV57" s="449"/>
      <c r="AW57" s="45"/>
      <c r="AX57" s="45"/>
      <c r="AY57" s="45"/>
      <c r="AZ57" s="45"/>
      <c r="BA57" s="45"/>
      <c r="BB57" s="45"/>
      <c r="BC57" s="463"/>
      <c r="BD57" s="456"/>
      <c r="BE57" s="46"/>
      <c r="BF57" s="46"/>
      <c r="BG57" s="46"/>
      <c r="BH57" s="46"/>
      <c r="BI57" s="46"/>
      <c r="BJ57" s="457"/>
      <c r="BK57" s="449">
        <v>0</v>
      </c>
      <c r="BL57" s="45"/>
      <c r="BM57" s="45"/>
      <c r="BN57" s="45"/>
      <c r="BO57" s="45"/>
      <c r="BP57" s="45"/>
      <c r="BQ57" s="45"/>
      <c r="BR57" s="45"/>
      <c r="BS57" s="45"/>
      <c r="BT57" s="45"/>
      <c r="BU57" s="45"/>
      <c r="BV57" s="45"/>
      <c r="BW57" s="45"/>
      <c r="BX57" s="45"/>
      <c r="BY57" s="45"/>
      <c r="BZ57" s="45"/>
      <c r="CA57" s="45"/>
      <c r="CB57" s="45"/>
      <c r="CC57" s="45"/>
      <c r="CD57" s="463"/>
    </row>
    <row r="58" spans="2:82">
      <c r="B58" s="136">
        <v>49</v>
      </c>
      <c r="C58" s="138">
        <v>1</v>
      </c>
      <c r="D58" s="474">
        <v>3960.417713992354</v>
      </c>
      <c r="E58" s="127">
        <v>265.9059646830413</v>
      </c>
      <c r="F58" s="447">
        <v>0.42858338439575933</v>
      </c>
      <c r="G58" s="127">
        <v>132.46729604096527</v>
      </c>
      <c r="H58" s="132">
        <v>61.849154619004736</v>
      </c>
      <c r="I58" s="456"/>
      <c r="J58" s="45"/>
      <c r="K58" s="45">
        <v>560</v>
      </c>
      <c r="L58" s="463"/>
      <c r="M58" s="449">
        <v>36.41644287109375</v>
      </c>
      <c r="N58" s="463"/>
      <c r="O58" s="449"/>
      <c r="P58" s="46"/>
      <c r="Q58" s="463">
        <v>78.416275024414063</v>
      </c>
      <c r="R58" s="449"/>
      <c r="S58" s="463"/>
      <c r="T58" s="480"/>
      <c r="U58" s="468"/>
      <c r="V58" s="449"/>
      <c r="W58" s="45">
        <v>1767.90771484375</v>
      </c>
      <c r="X58" s="463">
        <v>145.99290466308594</v>
      </c>
      <c r="Y58" s="449"/>
      <c r="Z58" s="45"/>
      <c r="AA58" s="468">
        <v>0.42010658469624662</v>
      </c>
      <c r="AB58" s="456"/>
      <c r="AC58" s="46"/>
      <c r="AD58" s="46"/>
      <c r="AE58" s="46"/>
      <c r="AF58" s="46"/>
      <c r="AG58" s="46"/>
      <c r="AH58" s="46"/>
      <c r="AI58" s="457"/>
      <c r="AJ58" s="138"/>
      <c r="AK58" s="745"/>
      <c r="AL58" s="54"/>
      <c r="AM58" s="468"/>
      <c r="AN58" s="449"/>
      <c r="AO58" s="45"/>
      <c r="AP58" s="45"/>
      <c r="AQ58" s="45"/>
      <c r="AR58" s="45"/>
      <c r="AS58" s="45"/>
      <c r="AT58" s="45"/>
      <c r="AU58" s="463"/>
      <c r="AV58" s="449"/>
      <c r="AW58" s="45"/>
      <c r="AX58" s="45"/>
      <c r="AY58" s="45"/>
      <c r="AZ58" s="45"/>
      <c r="BA58" s="45"/>
      <c r="BB58" s="45"/>
      <c r="BC58" s="463"/>
      <c r="BD58" s="456"/>
      <c r="BE58" s="46"/>
      <c r="BF58" s="46"/>
      <c r="BG58" s="46"/>
      <c r="BH58" s="46"/>
      <c r="BI58" s="46"/>
      <c r="BJ58" s="457"/>
      <c r="BK58" s="449">
        <v>0</v>
      </c>
      <c r="BL58" s="45"/>
      <c r="BM58" s="45"/>
      <c r="BN58" s="45"/>
      <c r="BO58" s="45"/>
      <c r="BP58" s="45"/>
      <c r="BQ58" s="45"/>
      <c r="BR58" s="45"/>
      <c r="BS58" s="45"/>
      <c r="BT58" s="45"/>
      <c r="BU58" s="45"/>
      <c r="BV58" s="45"/>
      <c r="BW58" s="45"/>
      <c r="BX58" s="45"/>
      <c r="BY58" s="45"/>
      <c r="BZ58" s="45"/>
      <c r="CA58" s="45"/>
      <c r="CB58" s="45"/>
      <c r="CC58" s="45"/>
      <c r="CD58" s="463"/>
    </row>
    <row r="59" spans="2:82">
      <c r="B59" s="136">
        <v>50</v>
      </c>
      <c r="C59" s="138">
        <v>1</v>
      </c>
      <c r="D59" s="474">
        <v>4061.4265010252025</v>
      </c>
      <c r="E59" s="127">
        <v>276.64139914422589</v>
      </c>
      <c r="F59" s="447">
        <v>0.37912102321351504</v>
      </c>
      <c r="G59" s="127">
        <v>149.61424469283588</v>
      </c>
      <c r="H59" s="132">
        <v>59.604145507178281</v>
      </c>
      <c r="I59" s="456"/>
      <c r="J59" s="45"/>
      <c r="K59" s="45">
        <v>590</v>
      </c>
      <c r="L59" s="463"/>
      <c r="M59" s="449">
        <v>31.471107482910156</v>
      </c>
      <c r="N59" s="463"/>
      <c r="O59" s="449"/>
      <c r="P59" s="46"/>
      <c r="Q59" s="463">
        <v>80.416244506835938</v>
      </c>
      <c r="R59" s="449"/>
      <c r="S59" s="463"/>
      <c r="T59" s="480"/>
      <c r="U59" s="468"/>
      <c r="V59" s="449"/>
      <c r="W59" s="45">
        <v>1589.6134033203125</v>
      </c>
      <c r="X59" s="463">
        <v>133.17530822753906</v>
      </c>
      <c r="Y59" s="449"/>
      <c r="Z59" s="45"/>
      <c r="AA59" s="468">
        <v>0.37109861521079829</v>
      </c>
      <c r="AB59" s="456"/>
      <c r="AC59" s="46"/>
      <c r="AD59" s="46"/>
      <c r="AE59" s="46"/>
      <c r="AF59" s="46"/>
      <c r="AG59" s="46"/>
      <c r="AH59" s="46"/>
      <c r="AI59" s="457"/>
      <c r="AJ59" s="138"/>
      <c r="AK59" s="745"/>
      <c r="AL59" s="54"/>
      <c r="AM59" s="468"/>
      <c r="AN59" s="449"/>
      <c r="AO59" s="45"/>
      <c r="AP59" s="45"/>
      <c r="AQ59" s="45"/>
      <c r="AR59" s="45"/>
      <c r="AS59" s="45"/>
      <c r="AT59" s="45"/>
      <c r="AU59" s="463"/>
      <c r="AV59" s="449"/>
      <c r="AW59" s="45"/>
      <c r="AX59" s="45"/>
      <c r="AY59" s="45"/>
      <c r="AZ59" s="45"/>
      <c r="BA59" s="45"/>
      <c r="BB59" s="45"/>
      <c r="BC59" s="463"/>
      <c r="BD59" s="456"/>
      <c r="BE59" s="46"/>
      <c r="BF59" s="46"/>
      <c r="BG59" s="46"/>
      <c r="BH59" s="46"/>
      <c r="BI59" s="46"/>
      <c r="BJ59" s="457"/>
      <c r="BK59" s="449">
        <v>0</v>
      </c>
      <c r="BL59" s="45"/>
      <c r="BM59" s="45"/>
      <c r="BN59" s="45"/>
      <c r="BO59" s="45"/>
      <c r="BP59" s="45"/>
      <c r="BQ59" s="45"/>
      <c r="BR59" s="45"/>
      <c r="BS59" s="45"/>
      <c r="BT59" s="45"/>
      <c r="BU59" s="45"/>
      <c r="BV59" s="45"/>
      <c r="BW59" s="45"/>
      <c r="BX59" s="45"/>
      <c r="BY59" s="45"/>
      <c r="BZ59" s="45"/>
      <c r="CA59" s="45"/>
      <c r="CB59" s="45"/>
      <c r="CC59" s="45"/>
      <c r="CD59" s="463"/>
    </row>
    <row r="60" spans="2:82">
      <c r="B60" s="136">
        <v>51</v>
      </c>
      <c r="C60" s="138">
        <v>1</v>
      </c>
      <c r="D60" s="474">
        <v>3414.4459001442447</v>
      </c>
      <c r="E60" s="127">
        <v>260.45223568101136</v>
      </c>
      <c r="F60" s="447">
        <v>0.38609165052304223</v>
      </c>
      <c r="G60" s="127">
        <v>128.45900806907397</v>
      </c>
      <c r="H60" s="132">
        <v>53.776054448760362</v>
      </c>
      <c r="I60" s="456"/>
      <c r="J60" s="45"/>
      <c r="K60" s="45">
        <v>510</v>
      </c>
      <c r="L60" s="463"/>
      <c r="M60" s="449">
        <v>31.291852951049805</v>
      </c>
      <c r="N60" s="463"/>
      <c r="O60" s="449"/>
      <c r="P60" s="46"/>
      <c r="Q60" s="463">
        <v>67.606033325195313</v>
      </c>
      <c r="R60" s="449"/>
      <c r="S60" s="463"/>
      <c r="T60" s="480"/>
      <c r="U60" s="468"/>
      <c r="V60" s="449"/>
      <c r="W60" s="45">
        <v>1412.8648681640625</v>
      </c>
      <c r="X60" s="463">
        <v>119.95184326171875</v>
      </c>
      <c r="Y60" s="449"/>
      <c r="Z60" s="45"/>
      <c r="AA60" s="468">
        <v>0.37650829967566801</v>
      </c>
      <c r="AB60" s="456"/>
      <c r="AC60" s="46"/>
      <c r="AD60" s="46"/>
      <c r="AE60" s="46"/>
      <c r="AF60" s="46"/>
      <c r="AG60" s="46"/>
      <c r="AH60" s="46"/>
      <c r="AI60" s="457"/>
      <c r="AJ60" s="138"/>
      <c r="AK60" s="745"/>
      <c r="AL60" s="54"/>
      <c r="AM60" s="468"/>
      <c r="AN60" s="449"/>
      <c r="AO60" s="45"/>
      <c r="AP60" s="45"/>
      <c r="AQ60" s="45"/>
      <c r="AR60" s="45"/>
      <c r="AS60" s="45"/>
      <c r="AT60" s="45"/>
      <c r="AU60" s="463"/>
      <c r="AV60" s="449"/>
      <c r="AW60" s="45"/>
      <c r="AX60" s="45"/>
      <c r="AY60" s="45"/>
      <c r="AZ60" s="45"/>
      <c r="BA60" s="45"/>
      <c r="BB60" s="45"/>
      <c r="BC60" s="463"/>
      <c r="BD60" s="456"/>
      <c r="BE60" s="46"/>
      <c r="BF60" s="46"/>
      <c r="BG60" s="46"/>
      <c r="BH60" s="46"/>
      <c r="BI60" s="46"/>
      <c r="BJ60" s="457"/>
      <c r="BK60" s="449">
        <v>0</v>
      </c>
      <c r="BL60" s="45"/>
      <c r="BM60" s="45"/>
      <c r="BN60" s="45"/>
      <c r="BO60" s="45"/>
      <c r="BP60" s="45"/>
      <c r="BQ60" s="45"/>
      <c r="BR60" s="45"/>
      <c r="BS60" s="45"/>
      <c r="BT60" s="45"/>
      <c r="BU60" s="45"/>
      <c r="BV60" s="45"/>
      <c r="BW60" s="45"/>
      <c r="BX60" s="45"/>
      <c r="BY60" s="45"/>
      <c r="BZ60" s="45"/>
      <c r="CA60" s="45"/>
      <c r="CB60" s="45"/>
      <c r="CC60" s="45"/>
      <c r="CD60" s="463"/>
    </row>
    <row r="61" spans="2:82">
      <c r="B61" s="136">
        <v>52</v>
      </c>
      <c r="C61" s="138">
        <v>1</v>
      </c>
      <c r="D61" s="474">
        <v>3150.7128131553327</v>
      </c>
      <c r="E61" s="127">
        <v>240.59508199393477</v>
      </c>
      <c r="F61" s="447">
        <v>0.38467440715883777</v>
      </c>
      <c r="G61" s="127">
        <v>120.12381819689678</v>
      </c>
      <c r="H61" s="132">
        <v>50.901909426330114</v>
      </c>
      <c r="I61" s="456"/>
      <c r="J61" s="45"/>
      <c r="K61" s="45">
        <v>470</v>
      </c>
      <c r="L61" s="463"/>
      <c r="M61" s="449">
        <v>30.952533721923828</v>
      </c>
      <c r="N61" s="463"/>
      <c r="O61" s="449"/>
      <c r="P61" s="46"/>
      <c r="Q61" s="463">
        <v>62.384117126464844</v>
      </c>
      <c r="R61" s="449"/>
      <c r="S61" s="463"/>
      <c r="T61" s="480"/>
      <c r="U61" s="468"/>
      <c r="V61" s="449"/>
      <c r="W61" s="45">
        <v>1323.3447265625</v>
      </c>
      <c r="X61" s="463">
        <v>113.29444885253906</v>
      </c>
      <c r="Y61" s="449"/>
      <c r="Z61" s="45"/>
      <c r="AA61" s="468">
        <v>0.37429787013944649</v>
      </c>
      <c r="AB61" s="456"/>
      <c r="AC61" s="46"/>
      <c r="AD61" s="46"/>
      <c r="AE61" s="46"/>
      <c r="AF61" s="46"/>
      <c r="AG61" s="46"/>
      <c r="AH61" s="46"/>
      <c r="AI61" s="457"/>
      <c r="AJ61" s="138"/>
      <c r="AK61" s="745"/>
      <c r="AL61" s="54"/>
      <c r="AM61" s="468"/>
      <c r="AN61" s="449"/>
      <c r="AO61" s="45"/>
      <c r="AP61" s="45"/>
      <c r="AQ61" s="45"/>
      <c r="AR61" s="45"/>
      <c r="AS61" s="45"/>
      <c r="AT61" s="45"/>
      <c r="AU61" s="463"/>
      <c r="AV61" s="449"/>
      <c r="AW61" s="45"/>
      <c r="AX61" s="45"/>
      <c r="AY61" s="45"/>
      <c r="AZ61" s="45"/>
      <c r="BA61" s="45"/>
      <c r="BB61" s="45"/>
      <c r="BC61" s="463"/>
      <c r="BD61" s="456"/>
      <c r="BE61" s="46"/>
      <c r="BF61" s="46"/>
      <c r="BG61" s="46"/>
      <c r="BH61" s="46"/>
      <c r="BI61" s="46"/>
      <c r="BJ61" s="457"/>
      <c r="BK61" s="449">
        <v>0</v>
      </c>
      <c r="BL61" s="45"/>
      <c r="BM61" s="45"/>
      <c r="BN61" s="45"/>
      <c r="BO61" s="45"/>
      <c r="BP61" s="45"/>
      <c r="BQ61" s="45"/>
      <c r="BR61" s="45"/>
      <c r="BS61" s="45"/>
      <c r="BT61" s="45"/>
      <c r="BU61" s="45"/>
      <c r="BV61" s="45"/>
      <c r="BW61" s="45"/>
      <c r="BX61" s="45"/>
      <c r="BY61" s="45"/>
      <c r="BZ61" s="45"/>
      <c r="CA61" s="45"/>
      <c r="CB61" s="45"/>
      <c r="CC61" s="45"/>
      <c r="CD61" s="463"/>
    </row>
    <row r="62" spans="2:82">
      <c r="B62" s="136">
        <v>53</v>
      </c>
      <c r="C62" s="138">
        <v>1</v>
      </c>
      <c r="D62" s="474">
        <v>3245.1796214523479</v>
      </c>
      <c r="E62" s="127">
        <v>221.90447211560434</v>
      </c>
      <c r="F62" s="447">
        <v>0.36564851152933514</v>
      </c>
      <c r="G62" s="127">
        <v>128.61901598104424</v>
      </c>
      <c r="H62" s="132">
        <v>50.26126249212809</v>
      </c>
      <c r="I62" s="456"/>
      <c r="J62" s="45"/>
      <c r="K62" s="45">
        <v>490</v>
      </c>
      <c r="L62" s="463"/>
      <c r="M62" s="449">
        <v>29.695222854614258</v>
      </c>
      <c r="N62" s="463"/>
      <c r="O62" s="449"/>
      <c r="P62" s="46"/>
      <c r="Q62" s="463">
        <v>64.254562377929688</v>
      </c>
      <c r="R62" s="449"/>
      <c r="S62" s="463"/>
      <c r="T62" s="480"/>
      <c r="U62" s="468"/>
      <c r="V62" s="449"/>
      <c r="W62" s="45">
        <v>1301.442138671875</v>
      </c>
      <c r="X62" s="463">
        <v>111.79012298583984</v>
      </c>
      <c r="Y62" s="449"/>
      <c r="Z62" s="45"/>
      <c r="AA62" s="468">
        <v>0.35569129066643412</v>
      </c>
      <c r="AB62" s="456"/>
      <c r="AC62" s="46"/>
      <c r="AD62" s="46"/>
      <c r="AE62" s="46"/>
      <c r="AF62" s="46"/>
      <c r="AG62" s="46"/>
      <c r="AH62" s="46"/>
      <c r="AI62" s="457"/>
      <c r="AJ62" s="138"/>
      <c r="AK62" s="745"/>
      <c r="AL62" s="54"/>
      <c r="AM62" s="468"/>
      <c r="AN62" s="449"/>
      <c r="AO62" s="45"/>
      <c r="AP62" s="45"/>
      <c r="AQ62" s="45"/>
      <c r="AR62" s="45"/>
      <c r="AS62" s="45"/>
      <c r="AT62" s="45"/>
      <c r="AU62" s="463"/>
      <c r="AV62" s="449"/>
      <c r="AW62" s="45"/>
      <c r="AX62" s="45"/>
      <c r="AY62" s="45"/>
      <c r="AZ62" s="45"/>
      <c r="BA62" s="45"/>
      <c r="BB62" s="45"/>
      <c r="BC62" s="463"/>
      <c r="BD62" s="456"/>
      <c r="BE62" s="46"/>
      <c r="BF62" s="46"/>
      <c r="BG62" s="46"/>
      <c r="BH62" s="46"/>
      <c r="BI62" s="46"/>
      <c r="BJ62" s="457"/>
      <c r="BK62" s="449">
        <v>0</v>
      </c>
      <c r="BL62" s="45"/>
      <c r="BM62" s="45"/>
      <c r="BN62" s="45"/>
      <c r="BO62" s="45"/>
      <c r="BP62" s="45"/>
      <c r="BQ62" s="45"/>
      <c r="BR62" s="45"/>
      <c r="BS62" s="45"/>
      <c r="BT62" s="45"/>
      <c r="BU62" s="45"/>
      <c r="BV62" s="45"/>
      <c r="BW62" s="45"/>
      <c r="BX62" s="45"/>
      <c r="BY62" s="45"/>
      <c r="BZ62" s="45"/>
      <c r="CA62" s="45"/>
      <c r="CB62" s="45"/>
      <c r="CC62" s="45"/>
      <c r="CD62" s="463"/>
    </row>
    <row r="63" spans="2:82">
      <c r="B63" s="136">
        <v>54</v>
      </c>
      <c r="C63" s="138">
        <v>1</v>
      </c>
      <c r="D63" s="474">
        <v>3647.0783113334246</v>
      </c>
      <c r="E63" s="127">
        <v>230.30537035558729</v>
      </c>
      <c r="F63" s="447">
        <v>0.48185528793555277</v>
      </c>
      <c r="G63" s="127">
        <v>118.65376357319789</v>
      </c>
      <c r="H63" s="132">
        <v>60.186412967009836</v>
      </c>
      <c r="I63" s="456"/>
      <c r="J63" s="45"/>
      <c r="K63" s="45">
        <v>510</v>
      </c>
      <c r="L63" s="463"/>
      <c r="M63" s="449">
        <v>45.0419921875</v>
      </c>
      <c r="N63" s="463"/>
      <c r="O63" s="449"/>
      <c r="P63" s="46"/>
      <c r="Q63" s="463">
        <v>72.212150573730469</v>
      </c>
      <c r="R63" s="449"/>
      <c r="S63" s="463"/>
      <c r="T63" s="480"/>
      <c r="U63" s="468"/>
      <c r="V63" s="449"/>
      <c r="W63" s="45">
        <v>2031.484619140625</v>
      </c>
      <c r="X63" s="463">
        <v>164.96662902832031</v>
      </c>
      <c r="Y63" s="449"/>
      <c r="Z63" s="45"/>
      <c r="AA63" s="468">
        <v>0.47235806774944522</v>
      </c>
      <c r="AB63" s="456"/>
      <c r="AC63" s="46"/>
      <c r="AD63" s="46"/>
      <c r="AE63" s="46"/>
      <c r="AF63" s="46"/>
      <c r="AG63" s="46"/>
      <c r="AH63" s="46"/>
      <c r="AI63" s="457"/>
      <c r="AJ63" s="138"/>
      <c r="AK63" s="745"/>
      <c r="AL63" s="54"/>
      <c r="AM63" s="468"/>
      <c r="AN63" s="449"/>
      <c r="AO63" s="45"/>
      <c r="AP63" s="45"/>
      <c r="AQ63" s="45"/>
      <c r="AR63" s="45"/>
      <c r="AS63" s="45"/>
      <c r="AT63" s="45"/>
      <c r="AU63" s="463"/>
      <c r="AV63" s="449"/>
      <c r="AW63" s="45"/>
      <c r="AX63" s="45"/>
      <c r="AY63" s="45"/>
      <c r="AZ63" s="45"/>
      <c r="BA63" s="45"/>
      <c r="BB63" s="45"/>
      <c r="BC63" s="463"/>
      <c r="BD63" s="456"/>
      <c r="BE63" s="46"/>
      <c r="BF63" s="46"/>
      <c r="BG63" s="46"/>
      <c r="BH63" s="46"/>
      <c r="BI63" s="46"/>
      <c r="BJ63" s="457"/>
      <c r="BK63" s="449">
        <v>0</v>
      </c>
      <c r="BL63" s="45"/>
      <c r="BM63" s="45"/>
      <c r="BN63" s="45"/>
      <c r="BO63" s="45"/>
      <c r="BP63" s="45"/>
      <c r="BQ63" s="45"/>
      <c r="BR63" s="45"/>
      <c r="BS63" s="45"/>
      <c r="BT63" s="45"/>
      <c r="BU63" s="45"/>
      <c r="BV63" s="45"/>
      <c r="BW63" s="45"/>
      <c r="BX63" s="45"/>
      <c r="BY63" s="45"/>
      <c r="BZ63" s="45"/>
      <c r="CA63" s="45"/>
      <c r="CB63" s="45"/>
      <c r="CC63" s="45"/>
      <c r="CD63" s="463"/>
    </row>
    <row r="64" spans="2:82">
      <c r="B64" s="136">
        <v>55</v>
      </c>
      <c r="C64" s="138">
        <v>1</v>
      </c>
      <c r="D64" s="474">
        <v>3316.7970430224818</v>
      </c>
      <c r="E64" s="127">
        <v>228.40683164264712</v>
      </c>
      <c r="F64" s="447">
        <v>0.49102124434488786</v>
      </c>
      <c r="G64" s="127">
        <v>133.17181730016071</v>
      </c>
      <c r="H64" s="132">
        <v>57.961617355070963</v>
      </c>
      <c r="I64" s="456"/>
      <c r="J64" s="45"/>
      <c r="K64" s="45">
        <v>550</v>
      </c>
      <c r="L64" s="463"/>
      <c r="M64" s="456">
        <v>50.285816192626953</v>
      </c>
      <c r="N64" s="457"/>
      <c r="O64" s="449"/>
      <c r="P64" s="46"/>
      <c r="Q64" s="463">
        <v>73.636093139648437</v>
      </c>
      <c r="R64" s="449"/>
      <c r="S64" s="463"/>
      <c r="T64" s="480"/>
      <c r="U64" s="468"/>
      <c r="V64" s="449"/>
      <c r="W64" s="45">
        <v>2288.2119140625</v>
      </c>
      <c r="X64" s="463">
        <v>183.80242919921875</v>
      </c>
      <c r="Y64" s="449"/>
      <c r="Z64" s="45"/>
      <c r="AA64" s="468">
        <v>0.48052303645479422</v>
      </c>
      <c r="AB64" s="456"/>
      <c r="AC64" s="46"/>
      <c r="AD64" s="46"/>
      <c r="AE64" s="46"/>
      <c r="AF64" s="46"/>
      <c r="AG64" s="46"/>
      <c r="AH64" s="46"/>
      <c r="AI64" s="457"/>
      <c r="AJ64" s="138"/>
      <c r="AK64" s="745"/>
      <c r="AL64" s="54"/>
      <c r="AM64" s="468"/>
      <c r="AN64" s="449"/>
      <c r="AO64" s="45"/>
      <c r="AP64" s="45"/>
      <c r="AQ64" s="45"/>
      <c r="AR64" s="45"/>
      <c r="AS64" s="45"/>
      <c r="AT64" s="45"/>
      <c r="AU64" s="463"/>
      <c r="AV64" s="449"/>
      <c r="AW64" s="45"/>
      <c r="AX64" s="45"/>
      <c r="AY64" s="45"/>
      <c r="AZ64" s="45"/>
      <c r="BA64" s="45"/>
      <c r="BB64" s="45"/>
      <c r="BC64" s="463"/>
      <c r="BD64" s="456"/>
      <c r="BE64" s="46"/>
      <c r="BF64" s="46"/>
      <c r="BG64" s="46"/>
      <c r="BH64" s="46"/>
      <c r="BI64" s="46"/>
      <c r="BJ64" s="457"/>
      <c r="BK64" s="449">
        <v>0</v>
      </c>
      <c r="BL64" s="45"/>
      <c r="BM64" s="45"/>
      <c r="BN64" s="45"/>
      <c r="BO64" s="45"/>
      <c r="BP64" s="45"/>
      <c r="BQ64" s="45"/>
      <c r="BR64" s="45"/>
      <c r="BS64" s="45"/>
      <c r="BT64" s="45"/>
      <c r="BU64" s="45"/>
      <c r="BV64" s="45"/>
      <c r="BW64" s="45"/>
      <c r="BX64" s="45"/>
      <c r="BY64" s="45"/>
      <c r="BZ64" s="45"/>
      <c r="CA64" s="45"/>
      <c r="CB64" s="45"/>
      <c r="CC64" s="45"/>
      <c r="CD64" s="463"/>
    </row>
    <row r="65" spans="2:82">
      <c r="B65" s="136">
        <v>56</v>
      </c>
      <c r="C65" s="138">
        <v>1</v>
      </c>
      <c r="D65" s="474">
        <v>3560.0758232497592</v>
      </c>
      <c r="E65" s="127">
        <v>256.47180843242586</v>
      </c>
      <c r="F65" s="447">
        <v>0.39222963383441789</v>
      </c>
      <c r="G65" s="127">
        <v>146.36828531720661</v>
      </c>
      <c r="H65" s="132">
        <v>51.456366509762979</v>
      </c>
      <c r="I65" s="456"/>
      <c r="J65" s="45"/>
      <c r="K65" s="45">
        <v>560</v>
      </c>
      <c r="L65" s="463"/>
      <c r="M65" s="456">
        <v>33.845699310302734</v>
      </c>
      <c r="N65" s="457"/>
      <c r="O65" s="456"/>
      <c r="P65" s="46"/>
      <c r="Q65" s="463">
        <v>70.489501953125</v>
      </c>
      <c r="R65" s="449"/>
      <c r="S65" s="463"/>
      <c r="T65" s="480"/>
      <c r="U65" s="468"/>
      <c r="V65" s="449"/>
      <c r="W65" s="45">
        <v>1568.585205078125</v>
      </c>
      <c r="X65" s="463">
        <v>131.48576354980469</v>
      </c>
      <c r="Y65" s="449"/>
      <c r="Z65" s="45"/>
      <c r="AA65" s="468">
        <v>0.38300382115307263</v>
      </c>
      <c r="AB65" s="456"/>
      <c r="AC65" s="46"/>
      <c r="AD65" s="46"/>
      <c r="AE65" s="46"/>
      <c r="AF65" s="46"/>
      <c r="AG65" s="46"/>
      <c r="AH65" s="46"/>
      <c r="AI65" s="457"/>
      <c r="AJ65" s="138"/>
      <c r="AK65" s="745"/>
      <c r="AL65" s="54"/>
      <c r="AM65" s="468"/>
      <c r="AN65" s="449"/>
      <c r="AO65" s="45"/>
      <c r="AP65" s="45"/>
      <c r="AQ65" s="45"/>
      <c r="AR65" s="45"/>
      <c r="AS65" s="45"/>
      <c r="AT65" s="45"/>
      <c r="AU65" s="463"/>
      <c r="AV65" s="449"/>
      <c r="AW65" s="45"/>
      <c r="AX65" s="45"/>
      <c r="AY65" s="45"/>
      <c r="AZ65" s="45"/>
      <c r="BA65" s="45"/>
      <c r="BB65" s="45"/>
      <c r="BC65" s="463"/>
      <c r="BD65" s="456"/>
      <c r="BE65" s="46"/>
      <c r="BF65" s="46"/>
      <c r="BG65" s="46"/>
      <c r="BH65" s="46"/>
      <c r="BI65" s="46"/>
      <c r="BJ65" s="457"/>
      <c r="BK65" s="449">
        <v>0</v>
      </c>
      <c r="BL65" s="45"/>
      <c r="BM65" s="45"/>
      <c r="BN65" s="45"/>
      <c r="BO65" s="45"/>
      <c r="BP65" s="45"/>
      <c r="BQ65" s="45"/>
      <c r="BR65" s="45"/>
      <c r="BS65" s="45"/>
      <c r="BT65" s="45"/>
      <c r="BU65" s="45"/>
      <c r="BV65" s="45"/>
      <c r="BW65" s="45"/>
      <c r="BX65" s="45"/>
      <c r="BY65" s="45"/>
      <c r="BZ65" s="45"/>
      <c r="CA65" s="45"/>
      <c r="CB65" s="45"/>
      <c r="CC65" s="45"/>
      <c r="CD65" s="463"/>
    </row>
    <row r="66" spans="2:82">
      <c r="B66" s="136">
        <v>57</v>
      </c>
      <c r="C66" s="138">
        <v>1</v>
      </c>
      <c r="D66" s="474">
        <v>3131.2276084635264</v>
      </c>
      <c r="E66" s="127">
        <v>203.80690904595605</v>
      </c>
      <c r="F66" s="447">
        <v>0.38988662488235293</v>
      </c>
      <c r="G66" s="127">
        <v>104.26046823099706</v>
      </c>
      <c r="H66" s="132">
        <v>55.087440979692261</v>
      </c>
      <c r="I66" s="456"/>
      <c r="J66" s="45"/>
      <c r="K66" s="45">
        <v>430</v>
      </c>
      <c r="L66" s="463"/>
      <c r="M66" s="456">
        <v>29.426593780517578</v>
      </c>
      <c r="N66" s="457"/>
      <c r="O66" s="456"/>
      <c r="P66" s="46"/>
      <c r="Q66" s="463">
        <v>61.998310089111328</v>
      </c>
      <c r="R66" s="449"/>
      <c r="S66" s="463"/>
      <c r="T66" s="480"/>
      <c r="U66" s="468"/>
      <c r="V66" s="449"/>
      <c r="W66" s="45">
        <v>1247.6802978515625</v>
      </c>
      <c r="X66" s="463">
        <v>107.63558959960937</v>
      </c>
      <c r="Y66" s="449"/>
      <c r="Z66" s="45"/>
      <c r="AA66" s="468">
        <v>0.37941222423227028</v>
      </c>
      <c r="AB66" s="456"/>
      <c r="AC66" s="46"/>
      <c r="AD66" s="46"/>
      <c r="AE66" s="46"/>
      <c r="AF66" s="46"/>
      <c r="AG66" s="46"/>
      <c r="AH66" s="46"/>
      <c r="AI66" s="457"/>
      <c r="AJ66" s="138"/>
      <c r="AK66" s="745"/>
      <c r="AL66" s="54"/>
      <c r="AM66" s="468"/>
      <c r="AN66" s="449"/>
      <c r="AO66" s="45"/>
      <c r="AP66" s="45"/>
      <c r="AQ66" s="45"/>
      <c r="AR66" s="45"/>
      <c r="AS66" s="45"/>
      <c r="AT66" s="45"/>
      <c r="AU66" s="463"/>
      <c r="AV66" s="449"/>
      <c r="AW66" s="45"/>
      <c r="AX66" s="45"/>
      <c r="AY66" s="45"/>
      <c r="AZ66" s="45"/>
      <c r="BA66" s="45"/>
      <c r="BB66" s="45"/>
      <c r="BC66" s="463"/>
      <c r="BD66" s="456"/>
      <c r="BE66" s="46"/>
      <c r="BF66" s="46"/>
      <c r="BG66" s="46"/>
      <c r="BH66" s="46"/>
      <c r="BI66" s="46"/>
      <c r="BJ66" s="457"/>
      <c r="BK66" s="449">
        <v>0</v>
      </c>
      <c r="BL66" s="45"/>
      <c r="BM66" s="45"/>
      <c r="BN66" s="45"/>
      <c r="BO66" s="45"/>
      <c r="BP66" s="45"/>
      <c r="BQ66" s="45"/>
      <c r="BR66" s="45"/>
      <c r="BS66" s="45"/>
      <c r="BT66" s="45"/>
      <c r="BU66" s="45"/>
      <c r="BV66" s="45"/>
      <c r="BW66" s="45"/>
      <c r="BX66" s="45"/>
      <c r="BY66" s="45"/>
      <c r="BZ66" s="45"/>
      <c r="CA66" s="45"/>
      <c r="CB66" s="45"/>
      <c r="CC66" s="45"/>
      <c r="CD66" s="463"/>
    </row>
    <row r="67" spans="2:82">
      <c r="B67" s="136">
        <v>58</v>
      </c>
      <c r="C67" s="138">
        <v>1</v>
      </c>
      <c r="D67" s="474">
        <v>2700.1720159133074</v>
      </c>
      <c r="E67" s="127">
        <v>285.91939788675012</v>
      </c>
      <c r="F67" s="447">
        <v>0.39533005490188455</v>
      </c>
      <c r="G67" s="127">
        <v>87.469859394529834</v>
      </c>
      <c r="H67" s="132">
        <v>59.110364860545786</v>
      </c>
      <c r="I67" s="456"/>
      <c r="J67" s="45"/>
      <c r="K67" s="45">
        <v>400</v>
      </c>
      <c r="L67" s="463"/>
      <c r="M67" s="456">
        <v>27.989362716674805</v>
      </c>
      <c r="N67" s="457"/>
      <c r="O67" s="456"/>
      <c r="P67" s="46"/>
      <c r="Q67" s="463">
        <v>61.83026123046875</v>
      </c>
      <c r="R67" s="449"/>
      <c r="S67" s="463"/>
      <c r="T67" s="480"/>
      <c r="U67" s="468"/>
      <c r="V67" s="449"/>
      <c r="W67" s="45">
        <v>1179.7193603515625</v>
      </c>
      <c r="X67" s="463">
        <v>102.55117034912109</v>
      </c>
      <c r="Y67" s="449"/>
      <c r="Z67" s="45"/>
      <c r="AA67" s="468">
        <v>0.38314320128511326</v>
      </c>
      <c r="AB67" s="456"/>
      <c r="AC67" s="46"/>
      <c r="AD67" s="46"/>
      <c r="AE67" s="46"/>
      <c r="AF67" s="46"/>
      <c r="AG67" s="46"/>
      <c r="AH67" s="46"/>
      <c r="AI67" s="457"/>
      <c r="AJ67" s="138"/>
      <c r="AK67" s="745"/>
      <c r="AL67" s="54"/>
      <c r="AM67" s="468"/>
      <c r="AN67" s="449"/>
      <c r="AO67" s="45"/>
      <c r="AP67" s="45"/>
      <c r="AQ67" s="45"/>
      <c r="AR67" s="45"/>
      <c r="AS67" s="45"/>
      <c r="AT67" s="45"/>
      <c r="AU67" s="463"/>
      <c r="AV67" s="449"/>
      <c r="AW67" s="45"/>
      <c r="AX67" s="45"/>
      <c r="AY67" s="45"/>
      <c r="AZ67" s="45"/>
      <c r="BA67" s="45"/>
      <c r="BB67" s="45"/>
      <c r="BC67" s="463"/>
      <c r="BD67" s="456"/>
      <c r="BE67" s="46"/>
      <c r="BF67" s="46"/>
      <c r="BG67" s="46"/>
      <c r="BH67" s="46"/>
      <c r="BI67" s="46"/>
      <c r="BJ67" s="457"/>
      <c r="BK67" s="449">
        <v>0</v>
      </c>
      <c r="BL67" s="45"/>
      <c r="BM67" s="45"/>
      <c r="BN67" s="45"/>
      <c r="BO67" s="45"/>
      <c r="BP67" s="45"/>
      <c r="BQ67" s="45"/>
      <c r="BR67" s="45"/>
      <c r="BS67" s="45"/>
      <c r="BT67" s="45"/>
      <c r="BU67" s="45"/>
      <c r="BV67" s="45"/>
      <c r="BW67" s="45"/>
      <c r="BX67" s="45"/>
      <c r="BY67" s="45"/>
      <c r="BZ67" s="45"/>
      <c r="CA67" s="45"/>
      <c r="CB67" s="45"/>
      <c r="CC67" s="45"/>
      <c r="CD67" s="463"/>
    </row>
    <row r="68" spans="2:82">
      <c r="B68" s="136">
        <v>59</v>
      </c>
      <c r="C68" s="138">
        <v>1</v>
      </c>
      <c r="D68" s="474">
        <v>4443.5403009549154</v>
      </c>
      <c r="E68" s="127">
        <v>265.60871356175289</v>
      </c>
      <c r="F68" s="447">
        <v>0.43453686066051378</v>
      </c>
      <c r="G68" s="127">
        <v>143.38346998609558</v>
      </c>
      <c r="H68" s="132">
        <v>66.224725317148469</v>
      </c>
      <c r="I68" s="456"/>
      <c r="J68" s="45"/>
      <c r="K68" s="45">
        <v>610</v>
      </c>
      <c r="L68" s="463"/>
      <c r="M68" s="456">
        <v>37.7139892578125</v>
      </c>
      <c r="N68" s="457"/>
      <c r="O68" s="456"/>
      <c r="P68" s="46"/>
      <c r="Q68" s="463">
        <v>87.982093811035156</v>
      </c>
      <c r="R68" s="449"/>
      <c r="S68" s="463"/>
      <c r="T68" s="480"/>
      <c r="U68" s="468"/>
      <c r="V68" s="449"/>
      <c r="W68" s="45">
        <v>1954.7298583984375</v>
      </c>
      <c r="X68" s="463">
        <v>159.79928588867187</v>
      </c>
      <c r="Y68" s="449"/>
      <c r="Z68" s="45"/>
      <c r="AA68" s="468">
        <v>0.4269549023724411</v>
      </c>
      <c r="AB68" s="456"/>
      <c r="AC68" s="46"/>
      <c r="AD68" s="46"/>
      <c r="AE68" s="46"/>
      <c r="AF68" s="46"/>
      <c r="AG68" s="46"/>
      <c r="AH68" s="46"/>
      <c r="AI68" s="457"/>
      <c r="AJ68" s="138"/>
      <c r="AK68" s="745"/>
      <c r="AL68" s="54"/>
      <c r="AM68" s="468"/>
      <c r="AN68" s="449"/>
      <c r="AO68" s="45"/>
      <c r="AP68" s="45"/>
      <c r="AQ68" s="45"/>
      <c r="AR68" s="45"/>
      <c r="AS68" s="45"/>
      <c r="AT68" s="45"/>
      <c r="AU68" s="463"/>
      <c r="AV68" s="449"/>
      <c r="AW68" s="45"/>
      <c r="AX68" s="45"/>
      <c r="AY68" s="45"/>
      <c r="AZ68" s="45"/>
      <c r="BA68" s="45"/>
      <c r="BB68" s="45"/>
      <c r="BC68" s="463"/>
      <c r="BD68" s="456"/>
      <c r="BE68" s="46"/>
      <c r="BF68" s="46"/>
      <c r="BG68" s="46"/>
      <c r="BH68" s="46"/>
      <c r="BI68" s="46"/>
      <c r="BJ68" s="457"/>
      <c r="BK68" s="449">
        <v>0</v>
      </c>
      <c r="BL68" s="45"/>
      <c r="BM68" s="45"/>
      <c r="BN68" s="45"/>
      <c r="BO68" s="45"/>
      <c r="BP68" s="45"/>
      <c r="BQ68" s="45"/>
      <c r="BR68" s="45"/>
      <c r="BS68" s="45"/>
      <c r="BT68" s="45"/>
      <c r="BU68" s="45"/>
      <c r="BV68" s="45"/>
      <c r="BW68" s="45"/>
      <c r="BX68" s="45"/>
      <c r="BY68" s="45"/>
      <c r="BZ68" s="45"/>
      <c r="CA68" s="45"/>
      <c r="CB68" s="45"/>
      <c r="CC68" s="45"/>
      <c r="CD68" s="463"/>
    </row>
    <row r="69" spans="2:82">
      <c r="B69" s="136">
        <v>60</v>
      </c>
      <c r="C69" s="138">
        <v>1</v>
      </c>
      <c r="D69" s="474">
        <v>3504.4694044896983</v>
      </c>
      <c r="E69" s="127">
        <v>253.3933774339601</v>
      </c>
      <c r="F69" s="447">
        <v>0.35211606462411638</v>
      </c>
      <c r="G69" s="127">
        <v>111.26725284603097</v>
      </c>
      <c r="H69" s="132">
        <v>59.649510175299959</v>
      </c>
      <c r="I69" s="456"/>
      <c r="J69" s="45"/>
      <c r="K69" s="45">
        <v>470</v>
      </c>
      <c r="L69" s="463"/>
      <c r="M69" s="456">
        <v>26.033147811889648</v>
      </c>
      <c r="N69" s="457"/>
      <c r="O69" s="456"/>
      <c r="P69" s="46"/>
      <c r="Q69" s="463">
        <v>69.38848876953125</v>
      </c>
      <c r="R69" s="449"/>
      <c r="S69" s="463"/>
      <c r="T69" s="480"/>
      <c r="U69" s="468"/>
      <c r="V69" s="449"/>
      <c r="W69" s="45">
        <v>1202.8890380859375</v>
      </c>
      <c r="X69" s="463">
        <v>104.53448486328125</v>
      </c>
      <c r="Y69" s="449"/>
      <c r="Z69" s="45"/>
      <c r="AA69" s="468">
        <v>0.34297279139381459</v>
      </c>
      <c r="AB69" s="456"/>
      <c r="AC69" s="46"/>
      <c r="AD69" s="46"/>
      <c r="AE69" s="46"/>
      <c r="AF69" s="46"/>
      <c r="AG69" s="46"/>
      <c r="AH69" s="46"/>
      <c r="AI69" s="457"/>
      <c r="AJ69" s="138"/>
      <c r="AK69" s="745"/>
      <c r="AL69" s="54"/>
      <c r="AM69" s="468"/>
      <c r="AN69" s="449"/>
      <c r="AO69" s="45"/>
      <c r="AP69" s="45"/>
      <c r="AQ69" s="45"/>
      <c r="AR69" s="45"/>
      <c r="AS69" s="45"/>
      <c r="AT69" s="45"/>
      <c r="AU69" s="463"/>
      <c r="AV69" s="449"/>
      <c r="AW69" s="45"/>
      <c r="AX69" s="45"/>
      <c r="AY69" s="45"/>
      <c r="AZ69" s="45"/>
      <c r="BA69" s="45"/>
      <c r="BB69" s="45"/>
      <c r="BC69" s="463"/>
      <c r="BD69" s="456"/>
      <c r="BE69" s="46"/>
      <c r="BF69" s="46"/>
      <c r="BG69" s="46"/>
      <c r="BH69" s="46"/>
      <c r="BI69" s="46"/>
      <c r="BJ69" s="457"/>
      <c r="BK69" s="449">
        <v>0</v>
      </c>
      <c r="BL69" s="45"/>
      <c r="BM69" s="45"/>
      <c r="BN69" s="45"/>
      <c r="BO69" s="45"/>
      <c r="BP69" s="45"/>
      <c r="BQ69" s="45"/>
      <c r="BR69" s="45"/>
      <c r="BS69" s="45"/>
      <c r="BT69" s="45"/>
      <c r="BU69" s="45"/>
      <c r="BV69" s="45"/>
      <c r="BW69" s="45"/>
      <c r="BX69" s="45"/>
      <c r="BY69" s="45"/>
      <c r="BZ69" s="45"/>
      <c r="CA69" s="45"/>
      <c r="CB69" s="45"/>
      <c r="CC69" s="45"/>
      <c r="CD69" s="463"/>
    </row>
    <row r="70" spans="2:82">
      <c r="B70" s="136">
        <v>61</v>
      </c>
      <c r="C70" s="138">
        <v>1</v>
      </c>
      <c r="D70" s="474">
        <v>2797.5554187124553</v>
      </c>
      <c r="E70" s="127">
        <v>320.31603402643361</v>
      </c>
      <c r="F70" s="447">
        <v>0.4311296206984368</v>
      </c>
      <c r="G70" s="127">
        <v>87.378548316534889</v>
      </c>
      <c r="H70" s="132">
        <v>60.682753143317186</v>
      </c>
      <c r="I70" s="456"/>
      <c r="J70" s="45"/>
      <c r="K70" s="45">
        <v>410</v>
      </c>
      <c r="L70" s="463"/>
      <c r="M70" s="456">
        <v>31.740673065185547</v>
      </c>
      <c r="N70" s="457"/>
      <c r="O70" s="456"/>
      <c r="P70" s="46"/>
      <c r="Q70" s="463">
        <v>63.818496704101563</v>
      </c>
      <c r="R70" s="449"/>
      <c r="S70" s="463"/>
      <c r="T70" s="480"/>
      <c r="U70" s="468"/>
      <c r="V70" s="449"/>
      <c r="W70" s="45">
        <v>1349.80517578125</v>
      </c>
      <c r="X70" s="463">
        <v>114.96306610107422</v>
      </c>
      <c r="Y70" s="449"/>
      <c r="Z70" s="45"/>
      <c r="AA70" s="468">
        <v>0.41911105899664819</v>
      </c>
      <c r="AB70" s="456"/>
      <c r="AC70" s="46"/>
      <c r="AD70" s="46"/>
      <c r="AE70" s="46"/>
      <c r="AF70" s="46"/>
      <c r="AG70" s="46"/>
      <c r="AH70" s="46"/>
      <c r="AI70" s="457"/>
      <c r="AJ70" s="138"/>
      <c r="AK70" s="745"/>
      <c r="AL70" s="54"/>
      <c r="AM70" s="468"/>
      <c r="AN70" s="449"/>
      <c r="AO70" s="45"/>
      <c r="AP70" s="45"/>
      <c r="AQ70" s="45"/>
      <c r="AR70" s="45"/>
      <c r="AS70" s="45"/>
      <c r="AT70" s="45"/>
      <c r="AU70" s="463"/>
      <c r="AV70" s="449"/>
      <c r="AW70" s="45"/>
      <c r="AX70" s="45"/>
      <c r="AY70" s="45"/>
      <c r="AZ70" s="45"/>
      <c r="BA70" s="45"/>
      <c r="BB70" s="45"/>
      <c r="BC70" s="463"/>
      <c r="BD70" s="456"/>
      <c r="BE70" s="46"/>
      <c r="BF70" s="46"/>
      <c r="BG70" s="46"/>
      <c r="BH70" s="46"/>
      <c r="BI70" s="46"/>
      <c r="BJ70" s="457"/>
      <c r="BK70" s="449">
        <v>0</v>
      </c>
      <c r="BL70" s="45"/>
      <c r="BM70" s="45"/>
      <c r="BN70" s="45"/>
      <c r="BO70" s="45"/>
      <c r="BP70" s="45"/>
      <c r="BQ70" s="45"/>
      <c r="BR70" s="45"/>
      <c r="BS70" s="45"/>
      <c r="BT70" s="45"/>
      <c r="BU70" s="45"/>
      <c r="BV70" s="45"/>
      <c r="BW70" s="45"/>
      <c r="BX70" s="45"/>
      <c r="BY70" s="45"/>
      <c r="BZ70" s="45"/>
      <c r="CA70" s="45"/>
      <c r="CB70" s="45"/>
      <c r="CC70" s="45"/>
      <c r="CD70" s="463"/>
    </row>
    <row r="71" spans="2:82">
      <c r="B71" s="136">
        <v>62</v>
      </c>
      <c r="C71" s="138">
        <v>1</v>
      </c>
      <c r="D71" s="474">
        <v>3508.9219586735271</v>
      </c>
      <c r="E71" s="127">
        <v>170.44032844359651</v>
      </c>
      <c r="F71" s="447">
        <v>0.38405491396975572</v>
      </c>
      <c r="G71" s="127">
        <v>112.98545232205483</v>
      </c>
      <c r="H71" s="132">
        <v>65.385804950813821</v>
      </c>
      <c r="I71" s="456"/>
      <c r="J71" s="45"/>
      <c r="K71" s="45">
        <v>510</v>
      </c>
      <c r="L71" s="463"/>
      <c r="M71" s="456">
        <v>28.393726348876953</v>
      </c>
      <c r="N71" s="457"/>
      <c r="O71" s="456"/>
      <c r="P71" s="46"/>
      <c r="Q71" s="463">
        <v>77.897300720214844</v>
      </c>
      <c r="R71" s="449"/>
      <c r="S71" s="463"/>
      <c r="T71" s="480"/>
      <c r="U71" s="468"/>
      <c r="V71" s="449"/>
      <c r="W71" s="45">
        <v>1393.049072265625</v>
      </c>
      <c r="X71" s="463">
        <v>118.51052093505859</v>
      </c>
      <c r="Y71" s="449"/>
      <c r="Z71" s="45"/>
      <c r="AA71" s="468">
        <v>0.37474119919801152</v>
      </c>
      <c r="AB71" s="456"/>
      <c r="AC71" s="46"/>
      <c r="AD71" s="46"/>
      <c r="AE71" s="46"/>
      <c r="AF71" s="46"/>
      <c r="AG71" s="46"/>
      <c r="AH71" s="46"/>
      <c r="AI71" s="457"/>
      <c r="AJ71" s="138"/>
      <c r="AK71" s="745"/>
      <c r="AL71" s="54"/>
      <c r="AM71" s="468"/>
      <c r="AN71" s="449"/>
      <c r="AO71" s="45"/>
      <c r="AP71" s="45"/>
      <c r="AQ71" s="45"/>
      <c r="AR71" s="45"/>
      <c r="AS71" s="45"/>
      <c r="AT71" s="45"/>
      <c r="AU71" s="463"/>
      <c r="AV71" s="449"/>
      <c r="AW71" s="45"/>
      <c r="AX71" s="45"/>
      <c r="AY71" s="45"/>
      <c r="AZ71" s="45"/>
      <c r="BA71" s="45"/>
      <c r="BB71" s="45"/>
      <c r="BC71" s="463"/>
      <c r="BD71" s="456"/>
      <c r="BE71" s="46"/>
      <c r="BF71" s="46"/>
      <c r="BG71" s="46"/>
      <c r="BH71" s="46"/>
      <c r="BI71" s="46"/>
      <c r="BJ71" s="457"/>
      <c r="BK71" s="449">
        <v>0</v>
      </c>
      <c r="BL71" s="45"/>
      <c r="BM71" s="45"/>
      <c r="BN71" s="45"/>
      <c r="BO71" s="45"/>
      <c r="BP71" s="45"/>
      <c r="BQ71" s="45"/>
      <c r="BR71" s="45"/>
      <c r="BS71" s="45"/>
      <c r="BT71" s="45"/>
      <c r="BU71" s="45"/>
      <c r="BV71" s="45"/>
      <c r="BW71" s="45"/>
      <c r="BX71" s="45"/>
      <c r="BY71" s="45"/>
      <c r="BZ71" s="45"/>
      <c r="CA71" s="45"/>
      <c r="CB71" s="45"/>
      <c r="CC71" s="45"/>
      <c r="CD71" s="463"/>
    </row>
    <row r="72" spans="2:82">
      <c r="B72" s="136">
        <v>63</v>
      </c>
      <c r="C72" s="138">
        <v>1</v>
      </c>
      <c r="D72" s="474">
        <v>3585.7503731066331</v>
      </c>
      <c r="E72" s="127">
        <v>223.65603651791426</v>
      </c>
      <c r="F72" s="447">
        <v>0.41129202264364545</v>
      </c>
      <c r="G72" s="127">
        <v>122.07911808771752</v>
      </c>
      <c r="H72" s="132">
        <v>58.431600750600289</v>
      </c>
      <c r="I72" s="456"/>
      <c r="J72" s="45"/>
      <c r="K72" s="45">
        <v>510</v>
      </c>
      <c r="L72" s="463"/>
      <c r="M72" s="456">
        <v>33.146167755126953</v>
      </c>
      <c r="N72" s="457"/>
      <c r="O72" s="456"/>
      <c r="P72" s="46"/>
      <c r="Q72" s="463">
        <v>70.99786376953125</v>
      </c>
      <c r="R72" s="449"/>
      <c r="S72" s="463"/>
      <c r="T72" s="480"/>
      <c r="U72" s="468"/>
      <c r="V72" s="449"/>
      <c r="W72" s="45">
        <v>1524.5394287109375</v>
      </c>
      <c r="X72" s="463">
        <v>128.07199096679687</v>
      </c>
      <c r="Y72" s="449"/>
      <c r="Z72" s="45"/>
      <c r="AA72" s="468">
        <v>0.40202594525519447</v>
      </c>
      <c r="AB72" s="456"/>
      <c r="AC72" s="46"/>
      <c r="AD72" s="46"/>
      <c r="AE72" s="46"/>
      <c r="AF72" s="46"/>
      <c r="AG72" s="46"/>
      <c r="AH72" s="46"/>
      <c r="AI72" s="457"/>
      <c r="AJ72" s="138"/>
      <c r="AK72" s="745"/>
      <c r="AL72" s="54"/>
      <c r="AM72" s="468"/>
      <c r="AN72" s="449"/>
      <c r="AO72" s="45"/>
      <c r="AP72" s="45"/>
      <c r="AQ72" s="45"/>
      <c r="AR72" s="45"/>
      <c r="AS72" s="45"/>
      <c r="AT72" s="45"/>
      <c r="AU72" s="463"/>
      <c r="AV72" s="449"/>
      <c r="AW72" s="45"/>
      <c r="AX72" s="45"/>
      <c r="AY72" s="45"/>
      <c r="AZ72" s="45"/>
      <c r="BA72" s="45"/>
      <c r="BB72" s="45"/>
      <c r="BC72" s="463"/>
      <c r="BD72" s="456"/>
      <c r="BE72" s="46"/>
      <c r="BF72" s="46"/>
      <c r="BG72" s="46"/>
      <c r="BH72" s="46"/>
      <c r="BI72" s="46"/>
      <c r="BJ72" s="457"/>
      <c r="BK72" s="449">
        <v>0</v>
      </c>
      <c r="BL72" s="45"/>
      <c r="BM72" s="45"/>
      <c r="BN72" s="45"/>
      <c r="BO72" s="45"/>
      <c r="BP72" s="45"/>
      <c r="BQ72" s="45"/>
      <c r="BR72" s="45"/>
      <c r="BS72" s="45"/>
      <c r="BT72" s="45"/>
      <c r="BU72" s="45"/>
      <c r="BV72" s="45"/>
      <c r="BW72" s="45"/>
      <c r="BX72" s="45"/>
      <c r="BY72" s="45"/>
      <c r="BZ72" s="45"/>
      <c r="CA72" s="45"/>
      <c r="CB72" s="45"/>
      <c r="CC72" s="45"/>
      <c r="CD72" s="463"/>
    </row>
    <row r="73" spans="2:82">
      <c r="B73" s="136">
        <v>64</v>
      </c>
      <c r="C73" s="138">
        <v>1</v>
      </c>
      <c r="D73" s="474">
        <v>3065.0926831621255</v>
      </c>
      <c r="E73" s="127">
        <v>259.28417776148825</v>
      </c>
      <c r="F73" s="447">
        <v>0.36226168222184685</v>
      </c>
      <c r="G73" s="127">
        <v>127.26577736364636</v>
      </c>
      <c r="H73" s="132">
        <v>46.462482198025988</v>
      </c>
      <c r="I73" s="456"/>
      <c r="J73" s="45"/>
      <c r="K73" s="45">
        <v>480</v>
      </c>
      <c r="L73" s="463"/>
      <c r="M73" s="456">
        <v>30.21919059753418</v>
      </c>
      <c r="N73" s="457"/>
      <c r="O73" s="456"/>
      <c r="P73" s="46"/>
      <c r="Q73" s="463">
        <v>60.688838958740234</v>
      </c>
      <c r="R73" s="449"/>
      <c r="S73" s="463"/>
      <c r="T73" s="480"/>
      <c r="U73" s="468"/>
      <c r="V73" s="449"/>
      <c r="W73" s="45">
        <v>1264.770263671875</v>
      </c>
      <c r="X73" s="463">
        <v>109.07295989990234</v>
      </c>
      <c r="Y73" s="449"/>
      <c r="Z73" s="45"/>
      <c r="AA73" s="468">
        <v>0.35174153259584245</v>
      </c>
      <c r="AB73" s="456"/>
      <c r="AC73" s="46"/>
      <c r="AD73" s="46"/>
      <c r="AE73" s="46"/>
      <c r="AF73" s="46"/>
      <c r="AG73" s="46"/>
      <c r="AH73" s="46"/>
      <c r="AI73" s="457"/>
      <c r="AJ73" s="138"/>
      <c r="AK73" s="745"/>
      <c r="AL73" s="54"/>
      <c r="AM73" s="468"/>
      <c r="AN73" s="449"/>
      <c r="AO73" s="45"/>
      <c r="AP73" s="45"/>
      <c r="AQ73" s="45"/>
      <c r="AR73" s="45"/>
      <c r="AS73" s="45"/>
      <c r="AT73" s="45"/>
      <c r="AU73" s="463"/>
      <c r="AV73" s="449"/>
      <c r="AW73" s="45"/>
      <c r="AX73" s="45"/>
      <c r="AY73" s="45"/>
      <c r="AZ73" s="45"/>
      <c r="BA73" s="45"/>
      <c r="BB73" s="45"/>
      <c r="BC73" s="463"/>
      <c r="BD73" s="456"/>
      <c r="BE73" s="46"/>
      <c r="BF73" s="46"/>
      <c r="BG73" s="46"/>
      <c r="BH73" s="46"/>
      <c r="BI73" s="46"/>
      <c r="BJ73" s="457"/>
      <c r="BK73" s="449">
        <v>0</v>
      </c>
      <c r="BL73" s="45"/>
      <c r="BM73" s="45"/>
      <c r="BN73" s="45"/>
      <c r="BO73" s="45"/>
      <c r="BP73" s="45"/>
      <c r="BQ73" s="45"/>
      <c r="BR73" s="45"/>
      <c r="BS73" s="45"/>
      <c r="BT73" s="45"/>
      <c r="BU73" s="45"/>
      <c r="BV73" s="45"/>
      <c r="BW73" s="45"/>
      <c r="BX73" s="45"/>
      <c r="BY73" s="45"/>
      <c r="BZ73" s="45"/>
      <c r="CA73" s="45"/>
      <c r="CB73" s="45"/>
      <c r="CC73" s="45"/>
      <c r="CD73" s="463"/>
    </row>
    <row r="74" spans="2:82">
      <c r="B74" s="136">
        <v>65</v>
      </c>
      <c r="C74" s="138">
        <v>1</v>
      </c>
      <c r="D74" s="474">
        <v>2812.5806923260852</v>
      </c>
      <c r="E74" s="127">
        <v>226.77289535545876</v>
      </c>
      <c r="F74" s="447">
        <v>0.41830326133794621</v>
      </c>
      <c r="G74" s="127">
        <v>115.96514101424465</v>
      </c>
      <c r="H74" s="132">
        <v>44.096114276482091</v>
      </c>
      <c r="I74" s="456"/>
      <c r="J74" s="45"/>
      <c r="K74" s="45">
        <v>440</v>
      </c>
      <c r="L74" s="463"/>
      <c r="M74" s="456">
        <v>35.9932861328125</v>
      </c>
      <c r="N74" s="457"/>
      <c r="O74" s="456"/>
      <c r="P74" s="46"/>
      <c r="Q74" s="463">
        <v>55.689102172851563</v>
      </c>
      <c r="R74" s="449"/>
      <c r="S74" s="463"/>
      <c r="T74" s="480"/>
      <c r="U74" s="468"/>
      <c r="V74" s="449"/>
      <c r="W74" s="45">
        <v>1407.617431640625</v>
      </c>
      <c r="X74" s="463">
        <v>119.31269836425781</v>
      </c>
      <c r="Y74" s="449"/>
      <c r="Z74" s="45"/>
      <c r="AA74" s="468">
        <v>0.40644011184047724</v>
      </c>
      <c r="AB74" s="456"/>
      <c r="AC74" s="46"/>
      <c r="AD74" s="46"/>
      <c r="AE74" s="46"/>
      <c r="AF74" s="46"/>
      <c r="AG74" s="46"/>
      <c r="AH74" s="46"/>
      <c r="AI74" s="457"/>
      <c r="AJ74" s="138"/>
      <c r="AK74" s="745"/>
      <c r="AL74" s="54"/>
      <c r="AM74" s="468"/>
      <c r="AN74" s="449"/>
      <c r="AO74" s="45"/>
      <c r="AP74" s="45"/>
      <c r="AQ74" s="45"/>
      <c r="AR74" s="45"/>
      <c r="AS74" s="45"/>
      <c r="AT74" s="45"/>
      <c r="AU74" s="463"/>
      <c r="AV74" s="449"/>
      <c r="AW74" s="45"/>
      <c r="AX74" s="45"/>
      <c r="AY74" s="45"/>
      <c r="AZ74" s="45"/>
      <c r="BA74" s="45"/>
      <c r="BB74" s="45"/>
      <c r="BC74" s="463"/>
      <c r="BD74" s="456"/>
      <c r="BE74" s="46"/>
      <c r="BF74" s="46"/>
      <c r="BG74" s="46"/>
      <c r="BH74" s="46"/>
      <c r="BI74" s="46"/>
      <c r="BJ74" s="457"/>
      <c r="BK74" s="449">
        <v>0</v>
      </c>
      <c r="BL74" s="45"/>
      <c r="BM74" s="45"/>
      <c r="BN74" s="45"/>
      <c r="BO74" s="45"/>
      <c r="BP74" s="45"/>
      <c r="BQ74" s="45"/>
      <c r="BR74" s="45"/>
      <c r="BS74" s="45"/>
      <c r="BT74" s="45"/>
      <c r="BU74" s="45"/>
      <c r="BV74" s="45"/>
      <c r="BW74" s="45"/>
      <c r="BX74" s="45"/>
      <c r="BY74" s="45"/>
      <c r="BZ74" s="45"/>
      <c r="CA74" s="45"/>
      <c r="CB74" s="45"/>
      <c r="CC74" s="45"/>
      <c r="CD74" s="463"/>
    </row>
    <row r="75" spans="2:82">
      <c r="B75" s="136">
        <v>66</v>
      </c>
      <c r="C75" s="138">
        <v>1</v>
      </c>
      <c r="D75" s="474">
        <v>2978.0987667060444</v>
      </c>
      <c r="E75" s="127">
        <v>247.01741873720044</v>
      </c>
      <c r="F75" s="447">
        <v>0.43662116902102954</v>
      </c>
      <c r="G75" s="127">
        <v>108.7194030257716</v>
      </c>
      <c r="H75" s="132">
        <v>50.770833737200782</v>
      </c>
      <c r="I75" s="456"/>
      <c r="J75" s="45"/>
      <c r="K75" s="45">
        <v>440</v>
      </c>
      <c r="L75" s="463"/>
      <c r="M75" s="456">
        <v>36.745815277099609</v>
      </c>
      <c r="N75" s="457"/>
      <c r="O75" s="456"/>
      <c r="P75" s="46"/>
      <c r="Q75" s="463">
        <v>58.966358184814453</v>
      </c>
      <c r="R75" s="449"/>
      <c r="S75" s="463"/>
      <c r="T75" s="480"/>
      <c r="U75" s="468"/>
      <c r="V75" s="449"/>
      <c r="W75" s="45">
        <v>1489.521484375</v>
      </c>
      <c r="X75" s="463">
        <v>125.26253509521484</v>
      </c>
      <c r="Y75" s="449"/>
      <c r="Z75" s="45"/>
      <c r="AA75" s="468">
        <v>0.42529433736670846</v>
      </c>
      <c r="AB75" s="456"/>
      <c r="AC75" s="46"/>
      <c r="AD75" s="46"/>
      <c r="AE75" s="46"/>
      <c r="AF75" s="46"/>
      <c r="AG75" s="46"/>
      <c r="AH75" s="46"/>
      <c r="AI75" s="457"/>
      <c r="AJ75" s="138"/>
      <c r="AK75" s="745"/>
      <c r="AL75" s="54"/>
      <c r="AM75" s="468"/>
      <c r="AN75" s="449"/>
      <c r="AO75" s="45"/>
      <c r="AP75" s="45"/>
      <c r="AQ75" s="45"/>
      <c r="AR75" s="45"/>
      <c r="AS75" s="45"/>
      <c r="AT75" s="45"/>
      <c r="AU75" s="463"/>
      <c r="AV75" s="449"/>
      <c r="AW75" s="45"/>
      <c r="AX75" s="45"/>
      <c r="AY75" s="45"/>
      <c r="AZ75" s="45"/>
      <c r="BA75" s="45"/>
      <c r="BB75" s="45"/>
      <c r="BC75" s="463"/>
      <c r="BD75" s="456"/>
      <c r="BE75" s="46"/>
      <c r="BF75" s="46"/>
      <c r="BG75" s="46"/>
      <c r="BH75" s="46"/>
      <c r="BI75" s="46"/>
      <c r="BJ75" s="457"/>
      <c r="BK75" s="449">
        <v>0</v>
      </c>
      <c r="BL75" s="45"/>
      <c r="BM75" s="45"/>
      <c r="BN75" s="45"/>
      <c r="BO75" s="45"/>
      <c r="BP75" s="45"/>
      <c r="BQ75" s="45"/>
      <c r="BR75" s="45"/>
      <c r="BS75" s="45"/>
      <c r="BT75" s="45"/>
      <c r="BU75" s="45"/>
      <c r="BV75" s="45"/>
      <c r="BW75" s="45"/>
      <c r="BX75" s="45"/>
      <c r="BY75" s="45"/>
      <c r="BZ75" s="45"/>
      <c r="CA75" s="45"/>
      <c r="CB75" s="45"/>
      <c r="CC75" s="45"/>
      <c r="CD75" s="463"/>
    </row>
    <row r="76" spans="2:82">
      <c r="B76" s="136">
        <v>67</v>
      </c>
      <c r="C76" s="138">
        <v>1</v>
      </c>
      <c r="D76" s="474">
        <v>3158.1571494372884</v>
      </c>
      <c r="E76" s="127">
        <v>294.05394372621777</v>
      </c>
      <c r="F76" s="447">
        <v>0.36516186348546775</v>
      </c>
      <c r="G76" s="127">
        <v>99.552320530934253</v>
      </c>
      <c r="H76" s="132">
        <v>56.782666061331454</v>
      </c>
      <c r="I76" s="456"/>
      <c r="J76" s="45"/>
      <c r="K76" s="45">
        <v>430</v>
      </c>
      <c r="L76" s="463"/>
      <c r="M76" s="456">
        <v>26.897911071777344</v>
      </c>
      <c r="N76" s="457"/>
      <c r="O76" s="456"/>
      <c r="P76" s="46"/>
      <c r="Q76" s="463">
        <v>62.531513214111328</v>
      </c>
      <c r="R76" s="449"/>
      <c r="S76" s="463"/>
      <c r="T76" s="480"/>
      <c r="U76" s="468"/>
      <c r="V76" s="449"/>
      <c r="W76" s="45">
        <v>1146.1212158203125</v>
      </c>
      <c r="X76" s="463">
        <v>100.21894073486328</v>
      </c>
      <c r="Y76" s="449"/>
      <c r="Z76" s="45"/>
      <c r="AA76" s="468">
        <v>0.35493335497838946</v>
      </c>
      <c r="AB76" s="456"/>
      <c r="AC76" s="46"/>
      <c r="AD76" s="46"/>
      <c r="AE76" s="46"/>
      <c r="AF76" s="46"/>
      <c r="AG76" s="46"/>
      <c r="AH76" s="46"/>
      <c r="AI76" s="457"/>
      <c r="AJ76" s="138"/>
      <c r="AK76" s="745"/>
      <c r="AL76" s="54"/>
      <c r="AM76" s="468"/>
      <c r="AN76" s="449"/>
      <c r="AO76" s="45"/>
      <c r="AP76" s="45"/>
      <c r="AQ76" s="45"/>
      <c r="AR76" s="45"/>
      <c r="AS76" s="45"/>
      <c r="AT76" s="45"/>
      <c r="AU76" s="463"/>
      <c r="AV76" s="449"/>
      <c r="AW76" s="45"/>
      <c r="AX76" s="45"/>
      <c r="AY76" s="45"/>
      <c r="AZ76" s="45"/>
      <c r="BA76" s="45"/>
      <c r="BB76" s="45"/>
      <c r="BC76" s="463"/>
      <c r="BD76" s="456"/>
      <c r="BE76" s="46"/>
      <c r="BF76" s="46"/>
      <c r="BG76" s="46"/>
      <c r="BH76" s="46"/>
      <c r="BI76" s="46"/>
      <c r="BJ76" s="457"/>
      <c r="BK76" s="449">
        <v>0</v>
      </c>
      <c r="BL76" s="45"/>
      <c r="BM76" s="45"/>
      <c r="BN76" s="45"/>
      <c r="BO76" s="45"/>
      <c r="BP76" s="45"/>
      <c r="BQ76" s="45"/>
      <c r="BR76" s="45"/>
      <c r="BS76" s="45"/>
      <c r="BT76" s="45"/>
      <c r="BU76" s="45"/>
      <c r="BV76" s="45"/>
      <c r="BW76" s="45"/>
      <c r="BX76" s="45"/>
      <c r="BY76" s="45"/>
      <c r="BZ76" s="45"/>
      <c r="CA76" s="45"/>
      <c r="CB76" s="45"/>
      <c r="CC76" s="45"/>
      <c r="CD76" s="463"/>
    </row>
    <row r="77" spans="2:82">
      <c r="B77" s="136">
        <v>68</v>
      </c>
      <c r="C77" s="138">
        <v>1</v>
      </c>
      <c r="D77" s="474">
        <v>2757.9774602382258</v>
      </c>
      <c r="E77" s="127">
        <v>206.11457048018778</v>
      </c>
      <c r="F77" s="447">
        <v>0.45434491311890918</v>
      </c>
      <c r="G77" s="127">
        <v>115.33066410544335</v>
      </c>
      <c r="H77" s="132">
        <v>42.763418656288422</v>
      </c>
      <c r="I77" s="456"/>
      <c r="J77" s="45"/>
      <c r="K77" s="45">
        <v>440</v>
      </c>
      <c r="L77" s="463"/>
      <c r="M77" s="456">
        <v>42.172817230224609</v>
      </c>
      <c r="N77" s="457"/>
      <c r="O77" s="456"/>
      <c r="P77" s="46"/>
      <c r="Q77" s="463">
        <v>54.607955932617188</v>
      </c>
      <c r="R77" s="449"/>
      <c r="S77" s="463"/>
      <c r="T77" s="480"/>
      <c r="U77" s="468"/>
      <c r="V77" s="449"/>
      <c r="W77" s="45">
        <v>1615.660888671875</v>
      </c>
      <c r="X77" s="463">
        <v>134.44538879394531</v>
      </c>
      <c r="Y77" s="449"/>
      <c r="Z77" s="45"/>
      <c r="AA77" s="468">
        <v>0.44198553065338542</v>
      </c>
      <c r="AB77" s="456"/>
      <c r="AC77" s="46"/>
      <c r="AD77" s="46"/>
      <c r="AE77" s="46"/>
      <c r="AF77" s="46"/>
      <c r="AG77" s="46"/>
      <c r="AH77" s="46"/>
      <c r="AI77" s="457"/>
      <c r="AJ77" s="138"/>
      <c r="AK77" s="745"/>
      <c r="AL77" s="54"/>
      <c r="AM77" s="468"/>
      <c r="AN77" s="449"/>
      <c r="AO77" s="45"/>
      <c r="AP77" s="45"/>
      <c r="AQ77" s="45"/>
      <c r="AR77" s="45"/>
      <c r="AS77" s="45"/>
      <c r="AT77" s="45"/>
      <c r="AU77" s="463"/>
      <c r="AV77" s="449"/>
      <c r="AW77" s="45"/>
      <c r="AX77" s="45"/>
      <c r="AY77" s="45"/>
      <c r="AZ77" s="45"/>
      <c r="BA77" s="45"/>
      <c r="BB77" s="45"/>
      <c r="BC77" s="463"/>
      <c r="BD77" s="456"/>
      <c r="BE77" s="46"/>
      <c r="BF77" s="46"/>
      <c r="BG77" s="46"/>
      <c r="BH77" s="46"/>
      <c r="BI77" s="46"/>
      <c r="BJ77" s="457"/>
      <c r="BK77" s="449">
        <v>0</v>
      </c>
      <c r="BL77" s="45"/>
      <c r="BM77" s="45"/>
      <c r="BN77" s="45"/>
      <c r="BO77" s="45"/>
      <c r="BP77" s="45"/>
      <c r="BQ77" s="45"/>
      <c r="BR77" s="45"/>
      <c r="BS77" s="45"/>
      <c r="BT77" s="45"/>
      <c r="BU77" s="45"/>
      <c r="BV77" s="45"/>
      <c r="BW77" s="45"/>
      <c r="BX77" s="45"/>
      <c r="BY77" s="45"/>
      <c r="BZ77" s="45"/>
      <c r="CA77" s="45"/>
      <c r="CB77" s="45"/>
      <c r="CC77" s="45"/>
      <c r="CD77" s="463"/>
    </row>
    <row r="78" spans="2:82">
      <c r="B78" s="136">
        <v>69</v>
      </c>
      <c r="C78" s="138">
        <v>1</v>
      </c>
      <c r="D78" s="474">
        <v>4187.8794609634424</v>
      </c>
      <c r="E78" s="127">
        <v>238.23240912663522</v>
      </c>
      <c r="F78" s="447">
        <v>0.43045639463619395</v>
      </c>
      <c r="G78" s="127">
        <v>164.29920680120938</v>
      </c>
      <c r="H78" s="132">
        <v>64.150011383766312</v>
      </c>
      <c r="I78" s="456"/>
      <c r="J78" s="45"/>
      <c r="K78" s="45">
        <v>670</v>
      </c>
      <c r="L78" s="463"/>
      <c r="M78" s="456">
        <v>39.747856140136719</v>
      </c>
      <c r="N78" s="457"/>
      <c r="O78" s="456"/>
      <c r="P78" s="46"/>
      <c r="Q78" s="463">
        <v>90</v>
      </c>
      <c r="R78" s="449"/>
      <c r="S78" s="463"/>
      <c r="T78" s="480"/>
      <c r="U78" s="468"/>
      <c r="V78" s="449"/>
      <c r="W78" s="45">
        <v>2098.078857421875</v>
      </c>
      <c r="X78" s="463">
        <v>170.46340942382812</v>
      </c>
      <c r="Y78" s="449"/>
      <c r="Z78" s="45"/>
      <c r="AA78" s="468">
        <v>0.42243106147987819</v>
      </c>
      <c r="AB78" s="456"/>
      <c r="AC78" s="46"/>
      <c r="AD78" s="46"/>
      <c r="AE78" s="46"/>
      <c r="AF78" s="46"/>
      <c r="AG78" s="46"/>
      <c r="AH78" s="46"/>
      <c r="AI78" s="457"/>
      <c r="AJ78" s="138"/>
      <c r="AK78" s="745"/>
      <c r="AL78" s="54"/>
      <c r="AM78" s="468"/>
      <c r="AN78" s="449"/>
      <c r="AO78" s="45"/>
      <c r="AP78" s="45"/>
      <c r="AQ78" s="45"/>
      <c r="AR78" s="45"/>
      <c r="AS78" s="45"/>
      <c r="AT78" s="45"/>
      <c r="AU78" s="463"/>
      <c r="AV78" s="449"/>
      <c r="AW78" s="45"/>
      <c r="AX78" s="45"/>
      <c r="AY78" s="45"/>
      <c r="AZ78" s="45"/>
      <c r="BA78" s="45"/>
      <c r="BB78" s="45"/>
      <c r="BC78" s="463"/>
      <c r="BD78" s="456"/>
      <c r="BE78" s="46"/>
      <c r="BF78" s="46"/>
      <c r="BG78" s="46"/>
      <c r="BH78" s="46"/>
      <c r="BI78" s="46"/>
      <c r="BJ78" s="457"/>
      <c r="BK78" s="449">
        <v>0</v>
      </c>
      <c r="BL78" s="45"/>
      <c r="BM78" s="45"/>
      <c r="BN78" s="45"/>
      <c r="BO78" s="45"/>
      <c r="BP78" s="45"/>
      <c r="BQ78" s="45"/>
      <c r="BR78" s="45"/>
      <c r="BS78" s="45"/>
      <c r="BT78" s="45"/>
      <c r="BU78" s="45"/>
      <c r="BV78" s="45"/>
      <c r="BW78" s="45"/>
      <c r="BX78" s="45"/>
      <c r="BY78" s="45"/>
      <c r="BZ78" s="45"/>
      <c r="CA78" s="45"/>
      <c r="CB78" s="45"/>
      <c r="CC78" s="45"/>
      <c r="CD78" s="463"/>
    </row>
    <row r="79" spans="2:82">
      <c r="B79" s="136">
        <v>70</v>
      </c>
      <c r="C79" s="138">
        <v>1</v>
      </c>
      <c r="D79" s="474">
        <v>2969.6025106366169</v>
      </c>
      <c r="E79" s="127">
        <v>233.73106740174077</v>
      </c>
      <c r="F79" s="447">
        <v>0.38884214740260348</v>
      </c>
      <c r="G79" s="127">
        <v>114.84231156577296</v>
      </c>
      <c r="H79" s="132">
        <v>48.57133849007397</v>
      </c>
      <c r="I79" s="456"/>
      <c r="J79" s="45"/>
      <c r="K79" s="45">
        <v>450</v>
      </c>
      <c r="L79" s="463"/>
      <c r="M79" s="456">
        <v>31.584774017333984</v>
      </c>
      <c r="N79" s="457"/>
      <c r="O79" s="456"/>
      <c r="P79" s="46"/>
      <c r="Q79" s="463">
        <v>58.798130035400391</v>
      </c>
      <c r="R79" s="449"/>
      <c r="S79" s="463"/>
      <c r="T79" s="480"/>
      <c r="U79" s="468"/>
      <c r="V79" s="449"/>
      <c r="W79" s="45">
        <v>1289.0892333984375</v>
      </c>
      <c r="X79" s="463">
        <v>110.71400451660156</v>
      </c>
      <c r="Y79" s="449"/>
      <c r="Z79" s="45"/>
      <c r="AA79" s="468">
        <v>0.37780469615091206</v>
      </c>
      <c r="AB79" s="456"/>
      <c r="AC79" s="46"/>
      <c r="AD79" s="46"/>
      <c r="AE79" s="46"/>
      <c r="AF79" s="46"/>
      <c r="AG79" s="46"/>
      <c r="AH79" s="46"/>
      <c r="AI79" s="457"/>
      <c r="AJ79" s="138"/>
      <c r="AK79" s="745"/>
      <c r="AL79" s="54"/>
      <c r="AM79" s="468"/>
      <c r="AN79" s="449"/>
      <c r="AO79" s="45"/>
      <c r="AP79" s="45"/>
      <c r="AQ79" s="45"/>
      <c r="AR79" s="45"/>
      <c r="AS79" s="45"/>
      <c r="AT79" s="45"/>
      <c r="AU79" s="463"/>
      <c r="AV79" s="449"/>
      <c r="AW79" s="45"/>
      <c r="AX79" s="45"/>
      <c r="AY79" s="45"/>
      <c r="AZ79" s="45"/>
      <c r="BA79" s="45"/>
      <c r="BB79" s="45"/>
      <c r="BC79" s="463"/>
      <c r="BD79" s="456"/>
      <c r="BE79" s="46"/>
      <c r="BF79" s="46"/>
      <c r="BG79" s="46"/>
      <c r="BH79" s="46"/>
      <c r="BI79" s="46"/>
      <c r="BJ79" s="457"/>
      <c r="BK79" s="449">
        <v>0</v>
      </c>
      <c r="BL79" s="45"/>
      <c r="BM79" s="45"/>
      <c r="BN79" s="45"/>
      <c r="BO79" s="45"/>
      <c r="BP79" s="45"/>
      <c r="BQ79" s="45"/>
      <c r="BR79" s="45"/>
      <c r="BS79" s="45"/>
      <c r="BT79" s="45"/>
      <c r="BU79" s="45"/>
      <c r="BV79" s="45"/>
      <c r="BW79" s="45"/>
      <c r="BX79" s="45"/>
      <c r="BY79" s="45"/>
      <c r="BZ79" s="45"/>
      <c r="CA79" s="45"/>
      <c r="CB79" s="45"/>
      <c r="CC79" s="45"/>
      <c r="CD79" s="463"/>
    </row>
    <row r="80" spans="2:82">
      <c r="B80" s="136">
        <v>71</v>
      </c>
      <c r="C80" s="138">
        <v>1</v>
      </c>
      <c r="D80" s="474">
        <v>3229.120054552076</v>
      </c>
      <c r="E80" s="127">
        <v>289.53456927047057</v>
      </c>
      <c r="F80" s="447">
        <v>0.38565482209395702</v>
      </c>
      <c r="G80" s="127">
        <v>105.66198166407723</v>
      </c>
      <c r="H80" s="132">
        <v>56.467293976409394</v>
      </c>
      <c r="I80" s="456"/>
      <c r="J80" s="45"/>
      <c r="K80" s="45">
        <v>440</v>
      </c>
      <c r="L80" s="463"/>
      <c r="M80" s="456">
        <v>28.896942138671875</v>
      </c>
      <c r="N80" s="457"/>
      <c r="O80" s="456"/>
      <c r="P80" s="46"/>
      <c r="Q80" s="463">
        <v>63.936580657958984</v>
      </c>
      <c r="R80" s="449"/>
      <c r="S80" s="463"/>
      <c r="T80" s="480"/>
      <c r="U80" s="468"/>
      <c r="V80" s="449"/>
      <c r="W80" s="45">
        <v>1253.2978515625</v>
      </c>
      <c r="X80" s="463">
        <v>108.08200836181641</v>
      </c>
      <c r="Y80" s="449"/>
      <c r="Z80" s="45"/>
      <c r="AA80" s="468">
        <v>0.37552416857558951</v>
      </c>
      <c r="AB80" s="456"/>
      <c r="AC80" s="46"/>
      <c r="AD80" s="46"/>
      <c r="AE80" s="46"/>
      <c r="AF80" s="46"/>
      <c r="AG80" s="46"/>
      <c r="AH80" s="46"/>
      <c r="AI80" s="457"/>
      <c r="AJ80" s="138"/>
      <c r="AK80" s="745"/>
      <c r="AL80" s="54"/>
      <c r="AM80" s="468"/>
      <c r="AN80" s="449"/>
      <c r="AO80" s="45"/>
      <c r="AP80" s="45"/>
      <c r="AQ80" s="45"/>
      <c r="AR80" s="45"/>
      <c r="AS80" s="45"/>
      <c r="AT80" s="45"/>
      <c r="AU80" s="463"/>
      <c r="AV80" s="449"/>
      <c r="AW80" s="45"/>
      <c r="AX80" s="45"/>
      <c r="AY80" s="45"/>
      <c r="AZ80" s="45"/>
      <c r="BA80" s="45"/>
      <c r="BB80" s="45"/>
      <c r="BC80" s="463"/>
      <c r="BD80" s="456"/>
      <c r="BE80" s="46"/>
      <c r="BF80" s="46"/>
      <c r="BG80" s="46"/>
      <c r="BH80" s="46"/>
      <c r="BI80" s="46"/>
      <c r="BJ80" s="457"/>
      <c r="BK80" s="449">
        <v>0</v>
      </c>
      <c r="BL80" s="45"/>
      <c r="BM80" s="45"/>
      <c r="BN80" s="45"/>
      <c r="BO80" s="45"/>
      <c r="BP80" s="45"/>
      <c r="BQ80" s="45"/>
      <c r="BR80" s="45"/>
      <c r="BS80" s="45"/>
      <c r="BT80" s="45"/>
      <c r="BU80" s="45"/>
      <c r="BV80" s="45"/>
      <c r="BW80" s="45"/>
      <c r="BX80" s="45"/>
      <c r="BY80" s="45"/>
      <c r="BZ80" s="45"/>
      <c r="CA80" s="45"/>
      <c r="CB80" s="45"/>
      <c r="CC80" s="45"/>
      <c r="CD80" s="463"/>
    </row>
    <row r="81" spans="2:82">
      <c r="B81" s="136">
        <v>72</v>
      </c>
      <c r="C81" s="138">
        <v>1</v>
      </c>
      <c r="D81" s="474">
        <v>3695.065937998867</v>
      </c>
      <c r="E81" s="127">
        <v>256.54059433427051</v>
      </c>
      <c r="F81" s="447">
        <v>0.39991401220847389</v>
      </c>
      <c r="G81" s="127">
        <v>151.48243842114584</v>
      </c>
      <c r="H81" s="132">
        <v>52.689754310297232</v>
      </c>
      <c r="I81" s="456"/>
      <c r="J81" s="45"/>
      <c r="K81" s="45">
        <v>570</v>
      </c>
      <c r="L81" s="463"/>
      <c r="M81" s="456">
        <v>35.057285308837891</v>
      </c>
      <c r="N81" s="457"/>
      <c r="O81" s="456"/>
      <c r="P81" s="46"/>
      <c r="Q81" s="463">
        <v>73.162307739257813</v>
      </c>
      <c r="R81" s="449"/>
      <c r="S81" s="463"/>
      <c r="T81" s="480"/>
      <c r="U81" s="468"/>
      <c r="V81" s="449"/>
      <c r="W81" s="45">
        <v>1657.6497802734375</v>
      </c>
      <c r="X81" s="463">
        <v>138.045166015625</v>
      </c>
      <c r="Y81" s="449"/>
      <c r="Z81" s="45"/>
      <c r="AA81" s="468">
        <v>0.39098364917900102</v>
      </c>
      <c r="AB81" s="456"/>
      <c r="AC81" s="46"/>
      <c r="AD81" s="46"/>
      <c r="AE81" s="46"/>
      <c r="AF81" s="46"/>
      <c r="AG81" s="46"/>
      <c r="AH81" s="46"/>
      <c r="AI81" s="457"/>
      <c r="AJ81" s="138"/>
      <c r="AK81" s="745"/>
      <c r="AL81" s="54"/>
      <c r="AM81" s="468"/>
      <c r="AN81" s="449"/>
      <c r="AO81" s="45"/>
      <c r="AP81" s="45"/>
      <c r="AQ81" s="45"/>
      <c r="AR81" s="45"/>
      <c r="AS81" s="45"/>
      <c r="AT81" s="45"/>
      <c r="AU81" s="463"/>
      <c r="AV81" s="449"/>
      <c r="AW81" s="45"/>
      <c r="AX81" s="45"/>
      <c r="AY81" s="45"/>
      <c r="AZ81" s="45"/>
      <c r="BA81" s="45"/>
      <c r="BB81" s="45"/>
      <c r="BC81" s="463"/>
      <c r="BD81" s="456"/>
      <c r="BE81" s="46"/>
      <c r="BF81" s="46"/>
      <c r="BG81" s="46"/>
      <c r="BH81" s="46"/>
      <c r="BI81" s="46"/>
      <c r="BJ81" s="457"/>
      <c r="BK81" s="449">
        <v>0</v>
      </c>
      <c r="BL81" s="45"/>
      <c r="BM81" s="45"/>
      <c r="BN81" s="45"/>
      <c r="BO81" s="45"/>
      <c r="BP81" s="45"/>
      <c r="BQ81" s="45"/>
      <c r="BR81" s="45"/>
      <c r="BS81" s="45"/>
      <c r="BT81" s="45"/>
      <c r="BU81" s="45"/>
      <c r="BV81" s="45"/>
      <c r="BW81" s="45"/>
      <c r="BX81" s="45"/>
      <c r="BY81" s="45"/>
      <c r="BZ81" s="45"/>
      <c r="CA81" s="45"/>
      <c r="CB81" s="45"/>
      <c r="CC81" s="45"/>
      <c r="CD81" s="463"/>
    </row>
    <row r="82" spans="2:82">
      <c r="B82" s="136">
        <v>73</v>
      </c>
      <c r="C82" s="138">
        <v>1</v>
      </c>
      <c r="D82" s="474">
        <v>3772.3593087204267</v>
      </c>
      <c r="E82" s="127">
        <v>188.50493931611535</v>
      </c>
      <c r="F82" s="447">
        <v>0.39995723068662981</v>
      </c>
      <c r="G82" s="127">
        <v>117.61388078498763</v>
      </c>
      <c r="H82" s="132">
        <v>67.881691309690041</v>
      </c>
      <c r="I82" s="456"/>
      <c r="J82" s="45"/>
      <c r="K82" s="45">
        <v>530</v>
      </c>
      <c r="L82" s="463"/>
      <c r="M82" s="456">
        <v>30.225778579711914</v>
      </c>
      <c r="N82" s="457"/>
      <c r="O82" s="456"/>
      <c r="P82" s="46"/>
      <c r="Q82" s="463">
        <v>83.193229675292969</v>
      </c>
      <c r="R82" s="449"/>
      <c r="S82" s="463"/>
      <c r="T82" s="480"/>
      <c r="U82" s="468"/>
      <c r="V82" s="449"/>
      <c r="W82" s="45">
        <v>1532.9215087890625</v>
      </c>
      <c r="X82" s="463">
        <v>128.80329895019531</v>
      </c>
      <c r="Y82" s="449"/>
      <c r="Z82" s="45"/>
      <c r="AA82" s="468">
        <v>0.39120961628588868</v>
      </c>
      <c r="AB82" s="456"/>
      <c r="AC82" s="46"/>
      <c r="AD82" s="46"/>
      <c r="AE82" s="46"/>
      <c r="AF82" s="46"/>
      <c r="AG82" s="46"/>
      <c r="AH82" s="46"/>
      <c r="AI82" s="457"/>
      <c r="AJ82" s="138"/>
      <c r="AK82" s="745"/>
      <c r="AL82" s="54"/>
      <c r="AM82" s="468"/>
      <c r="AN82" s="449"/>
      <c r="AO82" s="45"/>
      <c r="AP82" s="45"/>
      <c r="AQ82" s="45"/>
      <c r="AR82" s="45"/>
      <c r="AS82" s="45"/>
      <c r="AT82" s="45"/>
      <c r="AU82" s="463"/>
      <c r="AV82" s="449"/>
      <c r="AW82" s="45"/>
      <c r="AX82" s="45"/>
      <c r="AY82" s="45"/>
      <c r="AZ82" s="45"/>
      <c r="BA82" s="45"/>
      <c r="BB82" s="45"/>
      <c r="BC82" s="463"/>
      <c r="BD82" s="456"/>
      <c r="BE82" s="46"/>
      <c r="BF82" s="46"/>
      <c r="BG82" s="46"/>
      <c r="BH82" s="46"/>
      <c r="BI82" s="46"/>
      <c r="BJ82" s="457"/>
      <c r="BK82" s="449">
        <v>0</v>
      </c>
      <c r="BL82" s="45"/>
      <c r="BM82" s="45"/>
      <c r="BN82" s="45"/>
      <c r="BO82" s="45"/>
      <c r="BP82" s="45"/>
      <c r="BQ82" s="45"/>
      <c r="BR82" s="45"/>
      <c r="BS82" s="45"/>
      <c r="BT82" s="45"/>
      <c r="BU82" s="45"/>
      <c r="BV82" s="45"/>
      <c r="BW82" s="45"/>
      <c r="BX82" s="45"/>
      <c r="BY82" s="45"/>
      <c r="BZ82" s="45"/>
      <c r="CA82" s="45"/>
      <c r="CB82" s="45"/>
      <c r="CC82" s="45"/>
      <c r="CD82" s="463"/>
    </row>
    <row r="83" spans="2:82">
      <c r="B83" s="136">
        <v>74</v>
      </c>
      <c r="C83" s="138">
        <v>1</v>
      </c>
      <c r="D83" s="474">
        <v>3758.8098386113184</v>
      </c>
      <c r="E83" s="127">
        <v>268.0045169241389</v>
      </c>
      <c r="F83" s="447">
        <v>0.44457511299377556</v>
      </c>
      <c r="G83" s="127">
        <v>118.05474672912528</v>
      </c>
      <c r="H83" s="132">
        <v>61.97666234477731</v>
      </c>
      <c r="I83" s="456"/>
      <c r="J83" s="45"/>
      <c r="K83" s="45">
        <v>510</v>
      </c>
      <c r="L83" s="463"/>
      <c r="M83" s="456">
        <v>37.218681335449219</v>
      </c>
      <c r="N83" s="457"/>
      <c r="O83" s="456"/>
      <c r="P83" s="46"/>
      <c r="Q83" s="463">
        <v>74.4244384765625</v>
      </c>
      <c r="R83" s="449"/>
      <c r="S83" s="463"/>
      <c r="T83" s="480"/>
      <c r="U83" s="468"/>
      <c r="V83" s="449"/>
      <c r="W83" s="45">
        <v>1735.904541015625</v>
      </c>
      <c r="X83" s="463">
        <v>143.4761962890625</v>
      </c>
      <c r="Y83" s="449"/>
      <c r="Z83" s="45"/>
      <c r="AA83" s="468">
        <v>0.43555856155461131</v>
      </c>
      <c r="AB83" s="456"/>
      <c r="AC83" s="46"/>
      <c r="AD83" s="46"/>
      <c r="AE83" s="46"/>
      <c r="AF83" s="46"/>
      <c r="AG83" s="46"/>
      <c r="AH83" s="46"/>
      <c r="AI83" s="457"/>
      <c r="AJ83" s="138"/>
      <c r="AK83" s="745"/>
      <c r="AL83" s="54"/>
      <c r="AM83" s="468"/>
      <c r="AN83" s="449"/>
      <c r="AO83" s="45"/>
      <c r="AP83" s="45"/>
      <c r="AQ83" s="45"/>
      <c r="AR83" s="45"/>
      <c r="AS83" s="45"/>
      <c r="AT83" s="45"/>
      <c r="AU83" s="463"/>
      <c r="AV83" s="449"/>
      <c r="AW83" s="45"/>
      <c r="AX83" s="45"/>
      <c r="AY83" s="45"/>
      <c r="AZ83" s="45"/>
      <c r="BA83" s="45"/>
      <c r="BB83" s="45"/>
      <c r="BC83" s="463"/>
      <c r="BD83" s="456"/>
      <c r="BE83" s="46"/>
      <c r="BF83" s="46"/>
      <c r="BG83" s="46"/>
      <c r="BH83" s="46"/>
      <c r="BI83" s="46"/>
      <c r="BJ83" s="457"/>
      <c r="BK83" s="449">
        <v>0</v>
      </c>
      <c r="BL83" s="45"/>
      <c r="BM83" s="45"/>
      <c r="BN83" s="45"/>
      <c r="BO83" s="45"/>
      <c r="BP83" s="45"/>
      <c r="BQ83" s="45"/>
      <c r="BR83" s="45"/>
      <c r="BS83" s="45"/>
      <c r="BT83" s="45"/>
      <c r="BU83" s="45"/>
      <c r="BV83" s="45"/>
      <c r="BW83" s="45"/>
      <c r="BX83" s="45"/>
      <c r="BY83" s="45"/>
      <c r="BZ83" s="45"/>
      <c r="CA83" s="45"/>
      <c r="CB83" s="45"/>
      <c r="CC83" s="45"/>
      <c r="CD83" s="463"/>
    </row>
    <row r="84" spans="2:82">
      <c r="B84" s="136">
        <v>75</v>
      </c>
      <c r="C84" s="138">
        <v>1</v>
      </c>
      <c r="D84" s="474">
        <v>3442.870510694564</v>
      </c>
      <c r="E84" s="127">
        <v>217.63051770527619</v>
      </c>
      <c r="F84" s="447">
        <v>0.48909015369775699</v>
      </c>
      <c r="G84" s="127">
        <v>119.27947912695376</v>
      </c>
      <c r="H84" s="132">
        <v>56.725808004699033</v>
      </c>
      <c r="I84" s="456"/>
      <c r="J84" s="45"/>
      <c r="K84" s="45">
        <v>500</v>
      </c>
      <c r="L84" s="463"/>
      <c r="M84" s="456">
        <v>47.727165222167969</v>
      </c>
      <c r="N84" s="457"/>
      <c r="O84" s="456"/>
      <c r="P84" s="46"/>
      <c r="Q84" s="463">
        <v>68.168838500976562</v>
      </c>
      <c r="R84" s="449"/>
      <c r="S84" s="463"/>
      <c r="T84" s="480"/>
      <c r="U84" s="468"/>
      <c r="V84" s="449"/>
      <c r="W84" s="45">
        <v>2073.24462890625</v>
      </c>
      <c r="X84" s="463">
        <v>167.96084594726562</v>
      </c>
      <c r="Y84" s="449"/>
      <c r="Z84" s="45"/>
      <c r="AA84" s="468">
        <v>0.47898759452049117</v>
      </c>
      <c r="AB84" s="456"/>
      <c r="AC84" s="46"/>
      <c r="AD84" s="46"/>
      <c r="AE84" s="46"/>
      <c r="AF84" s="46"/>
      <c r="AG84" s="46"/>
      <c r="AH84" s="46"/>
      <c r="AI84" s="457"/>
      <c r="AJ84" s="138"/>
      <c r="AK84" s="745"/>
      <c r="AL84" s="54"/>
      <c r="AM84" s="468"/>
      <c r="AN84" s="449"/>
      <c r="AO84" s="45"/>
      <c r="AP84" s="45"/>
      <c r="AQ84" s="45"/>
      <c r="AR84" s="45"/>
      <c r="AS84" s="45"/>
      <c r="AT84" s="45"/>
      <c r="AU84" s="463"/>
      <c r="AV84" s="449"/>
      <c r="AW84" s="45"/>
      <c r="AX84" s="45"/>
      <c r="AY84" s="45"/>
      <c r="AZ84" s="45"/>
      <c r="BA84" s="45"/>
      <c r="BB84" s="45"/>
      <c r="BC84" s="463"/>
      <c r="BD84" s="456"/>
      <c r="BE84" s="46"/>
      <c r="BF84" s="46"/>
      <c r="BG84" s="46"/>
      <c r="BH84" s="46"/>
      <c r="BI84" s="46"/>
      <c r="BJ84" s="457"/>
      <c r="BK84" s="449">
        <v>0</v>
      </c>
      <c r="BL84" s="45"/>
      <c r="BM84" s="45"/>
      <c r="BN84" s="45"/>
      <c r="BO84" s="45"/>
      <c r="BP84" s="45"/>
      <c r="BQ84" s="45"/>
      <c r="BR84" s="45"/>
      <c r="BS84" s="45"/>
      <c r="BT84" s="45"/>
      <c r="BU84" s="45"/>
      <c r="BV84" s="45"/>
      <c r="BW84" s="45"/>
      <c r="BX84" s="45"/>
      <c r="BY84" s="45"/>
      <c r="BZ84" s="45"/>
      <c r="CA84" s="45"/>
      <c r="CB84" s="45"/>
      <c r="CC84" s="45"/>
      <c r="CD84" s="463"/>
    </row>
    <row r="85" spans="2:82">
      <c r="B85" s="136">
        <v>76</v>
      </c>
      <c r="C85" s="138">
        <v>1</v>
      </c>
      <c r="D85" s="474">
        <v>3425.3482042871856</v>
      </c>
      <c r="E85" s="127">
        <v>219.58051817954336</v>
      </c>
      <c r="F85" s="447">
        <v>0.36744904370421388</v>
      </c>
      <c r="G85" s="127">
        <v>112.75034834809907</v>
      </c>
      <c r="H85" s="132">
        <v>58.035904304396226</v>
      </c>
      <c r="I85" s="456"/>
      <c r="J85" s="45"/>
      <c r="K85" s="45">
        <v>470</v>
      </c>
      <c r="L85" s="463"/>
      <c r="M85" s="456">
        <v>27.645475387573242</v>
      </c>
      <c r="N85" s="457"/>
      <c r="O85" s="456"/>
      <c r="P85" s="46"/>
      <c r="Q85" s="463">
        <v>67.8218994140625</v>
      </c>
      <c r="R85" s="449"/>
      <c r="S85" s="463"/>
      <c r="T85" s="480"/>
      <c r="U85" s="468"/>
      <c r="V85" s="449"/>
      <c r="W85" s="45">
        <v>1254.9111328125</v>
      </c>
      <c r="X85" s="463">
        <v>108.31890106201172</v>
      </c>
      <c r="Y85" s="449"/>
      <c r="Z85" s="45"/>
      <c r="AA85" s="468">
        <v>0.35800504591339194</v>
      </c>
      <c r="AB85" s="456"/>
      <c r="AC85" s="46"/>
      <c r="AD85" s="46"/>
      <c r="AE85" s="46"/>
      <c r="AF85" s="46"/>
      <c r="AG85" s="46"/>
      <c r="AH85" s="46"/>
      <c r="AI85" s="457"/>
      <c r="AJ85" s="138"/>
      <c r="AK85" s="745"/>
      <c r="AL85" s="54"/>
      <c r="AM85" s="468"/>
      <c r="AN85" s="449"/>
      <c r="AO85" s="45"/>
      <c r="AP85" s="45"/>
      <c r="AQ85" s="45"/>
      <c r="AR85" s="45"/>
      <c r="AS85" s="45"/>
      <c r="AT85" s="45"/>
      <c r="AU85" s="463"/>
      <c r="AV85" s="449"/>
      <c r="AW85" s="45"/>
      <c r="AX85" s="45"/>
      <c r="AY85" s="45"/>
      <c r="AZ85" s="45"/>
      <c r="BA85" s="45"/>
      <c r="BB85" s="45"/>
      <c r="BC85" s="463"/>
      <c r="BD85" s="456"/>
      <c r="BE85" s="46"/>
      <c r="BF85" s="46"/>
      <c r="BG85" s="46"/>
      <c r="BH85" s="46"/>
      <c r="BI85" s="46"/>
      <c r="BJ85" s="457"/>
      <c r="BK85" s="449">
        <v>0</v>
      </c>
      <c r="BL85" s="45"/>
      <c r="BM85" s="45"/>
      <c r="BN85" s="45"/>
      <c r="BO85" s="45"/>
      <c r="BP85" s="45"/>
      <c r="BQ85" s="45"/>
      <c r="BR85" s="45"/>
      <c r="BS85" s="45"/>
      <c r="BT85" s="45"/>
      <c r="BU85" s="45"/>
      <c r="BV85" s="45"/>
      <c r="BW85" s="45"/>
      <c r="BX85" s="45"/>
      <c r="BY85" s="45"/>
      <c r="BZ85" s="45"/>
      <c r="CA85" s="45"/>
      <c r="CB85" s="45"/>
      <c r="CC85" s="45"/>
      <c r="CD85" s="463"/>
    </row>
    <row r="86" spans="2:82">
      <c r="B86" s="136">
        <v>77</v>
      </c>
      <c r="C86" s="138">
        <v>1</v>
      </c>
      <c r="D86" s="474">
        <v>3208.5974913319824</v>
      </c>
      <c r="E86" s="127">
        <v>224.96765287082121</v>
      </c>
      <c r="F86" s="447">
        <v>0.4072887639433182</v>
      </c>
      <c r="G86" s="127">
        <v>102.86719538718064</v>
      </c>
      <c r="H86" s="132">
        <v>56.817778741156381</v>
      </c>
      <c r="I86" s="456"/>
      <c r="J86" s="45"/>
      <c r="K86" s="45">
        <v>440</v>
      </c>
      <c r="L86" s="463"/>
      <c r="M86" s="456">
        <v>31.056865692138672</v>
      </c>
      <c r="N86" s="457"/>
      <c r="O86" s="456"/>
      <c r="P86" s="46"/>
      <c r="Q86" s="463">
        <v>63.530235290527344</v>
      </c>
      <c r="R86" s="449"/>
      <c r="S86" s="463"/>
      <c r="T86" s="480"/>
      <c r="U86" s="468"/>
      <c r="V86" s="449"/>
      <c r="W86" s="45">
        <v>1332.45849609375</v>
      </c>
      <c r="X86" s="463">
        <v>113.82880401611328</v>
      </c>
      <c r="Y86" s="449"/>
      <c r="Z86" s="45"/>
      <c r="AA86" s="468">
        <v>0.39695846375190763</v>
      </c>
      <c r="AB86" s="456"/>
      <c r="AC86" s="46"/>
      <c r="AD86" s="46"/>
      <c r="AE86" s="46"/>
      <c r="AF86" s="46"/>
      <c r="AG86" s="46"/>
      <c r="AH86" s="46"/>
      <c r="AI86" s="457"/>
      <c r="AJ86" s="138"/>
      <c r="AK86" s="745"/>
      <c r="AL86" s="54"/>
      <c r="AM86" s="468"/>
      <c r="AN86" s="449"/>
      <c r="AO86" s="45"/>
      <c r="AP86" s="45"/>
      <c r="AQ86" s="45"/>
      <c r="AR86" s="45"/>
      <c r="AS86" s="45"/>
      <c r="AT86" s="45"/>
      <c r="AU86" s="463"/>
      <c r="AV86" s="449"/>
      <c r="AW86" s="45"/>
      <c r="AX86" s="45"/>
      <c r="AY86" s="45"/>
      <c r="AZ86" s="45"/>
      <c r="BA86" s="45"/>
      <c r="BB86" s="45"/>
      <c r="BC86" s="463"/>
      <c r="BD86" s="456"/>
      <c r="BE86" s="46"/>
      <c r="BF86" s="46"/>
      <c r="BG86" s="46"/>
      <c r="BH86" s="46"/>
      <c r="BI86" s="46"/>
      <c r="BJ86" s="457"/>
      <c r="BK86" s="449">
        <v>0</v>
      </c>
      <c r="BL86" s="45"/>
      <c r="BM86" s="45"/>
      <c r="BN86" s="45"/>
      <c r="BO86" s="45"/>
      <c r="BP86" s="45"/>
      <c r="BQ86" s="45"/>
      <c r="BR86" s="45"/>
      <c r="BS86" s="45"/>
      <c r="BT86" s="45"/>
      <c r="BU86" s="45"/>
      <c r="BV86" s="45"/>
      <c r="BW86" s="45"/>
      <c r="BX86" s="45"/>
      <c r="BY86" s="45"/>
      <c r="BZ86" s="45"/>
      <c r="CA86" s="45"/>
      <c r="CB86" s="45"/>
      <c r="CC86" s="45"/>
      <c r="CD86" s="463"/>
    </row>
    <row r="87" spans="2:82">
      <c r="B87" s="136">
        <v>78</v>
      </c>
      <c r="C87" s="138">
        <v>1</v>
      </c>
      <c r="D87" s="474">
        <v>3274.955897998746</v>
      </c>
      <c r="E87" s="127">
        <v>232.82930578121974</v>
      </c>
      <c r="F87" s="447">
        <v>0.40279622408691379</v>
      </c>
      <c r="G87" s="127">
        <v>113.65488999612663</v>
      </c>
      <c r="H87" s="132">
        <v>55.207213806776217</v>
      </c>
      <c r="I87" s="456"/>
      <c r="J87" s="45"/>
      <c r="K87" s="45">
        <v>470</v>
      </c>
      <c r="L87" s="463"/>
      <c r="M87" s="456">
        <v>31.691410064697266</v>
      </c>
      <c r="N87" s="457"/>
      <c r="O87" s="456"/>
      <c r="P87" s="46"/>
      <c r="Q87" s="463">
        <v>64.844131469726563</v>
      </c>
      <c r="R87" s="449"/>
      <c r="S87" s="463"/>
      <c r="T87" s="480"/>
      <c r="U87" s="468"/>
      <c r="V87" s="449"/>
      <c r="W87" s="45">
        <v>1381.71923828125</v>
      </c>
      <c r="X87" s="463">
        <v>117.51818084716797</v>
      </c>
      <c r="Y87" s="449"/>
      <c r="Z87" s="45"/>
      <c r="AA87" s="468">
        <v>0.39270267610908061</v>
      </c>
      <c r="AB87" s="456"/>
      <c r="AC87" s="46"/>
      <c r="AD87" s="46"/>
      <c r="AE87" s="46"/>
      <c r="AF87" s="46"/>
      <c r="AG87" s="46"/>
      <c r="AH87" s="46"/>
      <c r="AI87" s="457"/>
      <c r="AJ87" s="138"/>
      <c r="AK87" s="745"/>
      <c r="AL87" s="54"/>
      <c r="AM87" s="468"/>
      <c r="AN87" s="449"/>
      <c r="AO87" s="45"/>
      <c r="AP87" s="45"/>
      <c r="AQ87" s="45"/>
      <c r="AR87" s="45"/>
      <c r="AS87" s="45"/>
      <c r="AT87" s="45"/>
      <c r="AU87" s="463"/>
      <c r="AV87" s="449"/>
      <c r="AW87" s="45"/>
      <c r="AX87" s="45"/>
      <c r="AY87" s="45"/>
      <c r="AZ87" s="45"/>
      <c r="BA87" s="45"/>
      <c r="BB87" s="45"/>
      <c r="BC87" s="463"/>
      <c r="BD87" s="456"/>
      <c r="BE87" s="46"/>
      <c r="BF87" s="46"/>
      <c r="BG87" s="46"/>
      <c r="BH87" s="46"/>
      <c r="BI87" s="46"/>
      <c r="BJ87" s="457"/>
      <c r="BK87" s="449">
        <v>0</v>
      </c>
      <c r="BL87" s="45"/>
      <c r="BM87" s="45"/>
      <c r="BN87" s="45"/>
      <c r="BO87" s="45"/>
      <c r="BP87" s="45"/>
      <c r="BQ87" s="45"/>
      <c r="BR87" s="45"/>
      <c r="BS87" s="45"/>
      <c r="BT87" s="45"/>
      <c r="BU87" s="45"/>
      <c r="BV87" s="45"/>
      <c r="BW87" s="45"/>
      <c r="BX87" s="45"/>
      <c r="BY87" s="45"/>
      <c r="BZ87" s="45"/>
      <c r="CA87" s="45"/>
      <c r="CB87" s="45"/>
      <c r="CC87" s="45"/>
      <c r="CD87" s="463"/>
    </row>
    <row r="88" spans="2:82">
      <c r="B88" s="136">
        <v>79</v>
      </c>
      <c r="C88" s="138">
        <v>1</v>
      </c>
      <c r="D88" s="474">
        <v>3094.0075959330861</v>
      </c>
      <c r="E88" s="127">
        <v>255.28022852636158</v>
      </c>
      <c r="F88" s="447">
        <v>0.4366357011168544</v>
      </c>
      <c r="G88" s="127">
        <v>99.926184684870478</v>
      </c>
      <c r="H88" s="132">
        <v>55.559527163894167</v>
      </c>
      <c r="I88" s="456"/>
      <c r="J88" s="45"/>
      <c r="K88" s="45">
        <v>430</v>
      </c>
      <c r="L88" s="463"/>
      <c r="M88" s="456">
        <v>34.74359130859375</v>
      </c>
      <c r="N88" s="457"/>
      <c r="O88" s="456"/>
      <c r="P88" s="46"/>
      <c r="Q88" s="463">
        <v>61.261356353759766</v>
      </c>
      <c r="R88" s="449"/>
      <c r="S88" s="463"/>
      <c r="T88" s="480"/>
      <c r="U88" s="468"/>
      <c r="V88" s="449"/>
      <c r="W88" s="45">
        <v>1440.690673828125</v>
      </c>
      <c r="X88" s="463">
        <v>121.65332794189453</v>
      </c>
      <c r="Y88" s="449"/>
      <c r="Z88" s="45"/>
      <c r="AA88" s="468">
        <v>0.42573310538093018</v>
      </c>
      <c r="AB88" s="456"/>
      <c r="AC88" s="46"/>
      <c r="AD88" s="46"/>
      <c r="AE88" s="46"/>
      <c r="AF88" s="46"/>
      <c r="AG88" s="46"/>
      <c r="AH88" s="46"/>
      <c r="AI88" s="457"/>
      <c r="AJ88" s="138"/>
      <c r="AK88" s="745"/>
      <c r="AL88" s="54"/>
      <c r="AM88" s="468"/>
      <c r="AN88" s="449"/>
      <c r="AO88" s="45"/>
      <c r="AP88" s="45"/>
      <c r="AQ88" s="45"/>
      <c r="AR88" s="45"/>
      <c r="AS88" s="45"/>
      <c r="AT88" s="45"/>
      <c r="AU88" s="463"/>
      <c r="AV88" s="449"/>
      <c r="AW88" s="45"/>
      <c r="AX88" s="45"/>
      <c r="AY88" s="45"/>
      <c r="AZ88" s="45"/>
      <c r="BA88" s="45"/>
      <c r="BB88" s="45"/>
      <c r="BC88" s="463"/>
      <c r="BD88" s="456"/>
      <c r="BE88" s="46"/>
      <c r="BF88" s="46"/>
      <c r="BG88" s="46"/>
      <c r="BH88" s="46"/>
      <c r="BI88" s="46"/>
      <c r="BJ88" s="457"/>
      <c r="BK88" s="449">
        <v>0</v>
      </c>
      <c r="BL88" s="45"/>
      <c r="BM88" s="45"/>
      <c r="BN88" s="45"/>
      <c r="BO88" s="45"/>
      <c r="BP88" s="45"/>
      <c r="BQ88" s="45"/>
      <c r="BR88" s="45"/>
      <c r="BS88" s="45"/>
      <c r="BT88" s="45"/>
      <c r="BU88" s="45"/>
      <c r="BV88" s="45"/>
      <c r="BW88" s="45"/>
      <c r="BX88" s="45"/>
      <c r="BY88" s="45"/>
      <c r="BZ88" s="45"/>
      <c r="CA88" s="45"/>
      <c r="CB88" s="45"/>
      <c r="CC88" s="45"/>
      <c r="CD88" s="463"/>
    </row>
    <row r="89" spans="2:82">
      <c r="B89" s="136">
        <v>80</v>
      </c>
      <c r="C89" s="138">
        <v>1</v>
      </c>
      <c r="D89" s="474">
        <v>2953.5432145732384</v>
      </c>
      <c r="E89" s="127">
        <v>217.31390329777776</v>
      </c>
      <c r="F89" s="447">
        <v>0.37506733187090624</v>
      </c>
      <c r="G89" s="127">
        <v>91.176450620541189</v>
      </c>
      <c r="H89" s="132">
        <v>55.330142275408207</v>
      </c>
      <c r="I89" s="456"/>
      <c r="J89" s="45"/>
      <c r="K89" s="45">
        <v>390</v>
      </c>
      <c r="L89" s="463"/>
      <c r="M89" s="456">
        <v>27.226099014282227</v>
      </c>
      <c r="N89" s="457"/>
      <c r="O89" s="456"/>
      <c r="P89" s="46"/>
      <c r="Q89" s="463">
        <v>58.480159759521484</v>
      </c>
      <c r="R89" s="449"/>
      <c r="S89" s="463"/>
      <c r="T89" s="480"/>
      <c r="U89" s="468"/>
      <c r="V89" s="449"/>
      <c r="W89" s="45">
        <v>1097.4603271484375</v>
      </c>
      <c r="X89" s="463">
        <v>96.535682678222656</v>
      </c>
      <c r="Y89" s="449"/>
      <c r="Z89" s="45"/>
      <c r="AA89" s="468">
        <v>0.36406314324855887</v>
      </c>
      <c r="AB89" s="456"/>
      <c r="AC89" s="46"/>
      <c r="AD89" s="46"/>
      <c r="AE89" s="46"/>
      <c r="AF89" s="46"/>
      <c r="AG89" s="46"/>
      <c r="AH89" s="46"/>
      <c r="AI89" s="457"/>
      <c r="AJ89" s="138"/>
      <c r="AK89" s="745"/>
      <c r="AL89" s="54"/>
      <c r="AM89" s="468"/>
      <c r="AN89" s="449"/>
      <c r="AO89" s="45"/>
      <c r="AP89" s="45"/>
      <c r="AQ89" s="45"/>
      <c r="AR89" s="45"/>
      <c r="AS89" s="45"/>
      <c r="AT89" s="45"/>
      <c r="AU89" s="463"/>
      <c r="AV89" s="449"/>
      <c r="AW89" s="45"/>
      <c r="AX89" s="45"/>
      <c r="AY89" s="45"/>
      <c r="AZ89" s="45"/>
      <c r="BA89" s="45"/>
      <c r="BB89" s="45"/>
      <c r="BC89" s="463"/>
      <c r="BD89" s="456"/>
      <c r="BE89" s="46"/>
      <c r="BF89" s="46"/>
      <c r="BG89" s="46"/>
      <c r="BH89" s="46"/>
      <c r="BI89" s="46"/>
      <c r="BJ89" s="457"/>
      <c r="BK89" s="449">
        <v>0</v>
      </c>
      <c r="BL89" s="45"/>
      <c r="BM89" s="45"/>
      <c r="BN89" s="45"/>
      <c r="BO89" s="45"/>
      <c r="BP89" s="45"/>
      <c r="BQ89" s="45"/>
      <c r="BR89" s="45"/>
      <c r="BS89" s="45"/>
      <c r="BT89" s="45"/>
      <c r="BU89" s="45"/>
      <c r="BV89" s="45"/>
      <c r="BW89" s="45"/>
      <c r="BX89" s="45"/>
      <c r="BY89" s="45"/>
      <c r="BZ89" s="45"/>
      <c r="CA89" s="45"/>
      <c r="CB89" s="45"/>
      <c r="CC89" s="45"/>
      <c r="CD89" s="463"/>
    </row>
    <row r="90" spans="2:82">
      <c r="B90" s="136">
        <v>81</v>
      </c>
      <c r="C90" s="138">
        <v>1</v>
      </c>
      <c r="D90" s="474">
        <v>3500.8642136541071</v>
      </c>
      <c r="E90" s="127">
        <v>306.81181018336315</v>
      </c>
      <c r="F90" s="447">
        <v>0.50180830017140055</v>
      </c>
      <c r="G90" s="127">
        <v>132.20406660789325</v>
      </c>
      <c r="H90" s="132">
        <v>61.158777325722141</v>
      </c>
      <c r="I90" s="456"/>
      <c r="J90" s="45"/>
      <c r="K90" s="45">
        <v>560</v>
      </c>
      <c r="L90" s="463"/>
      <c r="M90" s="456">
        <v>52.692890167236328</v>
      </c>
      <c r="N90" s="457"/>
      <c r="O90" s="456"/>
      <c r="P90" s="46"/>
      <c r="Q90" s="463">
        <v>77.407562255859375</v>
      </c>
      <c r="R90" s="449"/>
      <c r="S90" s="463"/>
      <c r="T90" s="480"/>
      <c r="U90" s="468"/>
      <c r="V90" s="449"/>
      <c r="W90" s="45">
        <v>2457.335205078125</v>
      </c>
      <c r="X90" s="463">
        <v>196.15415954589844</v>
      </c>
      <c r="Y90" s="449"/>
      <c r="Z90" s="45"/>
      <c r="AA90" s="468">
        <v>0.49180043815070873</v>
      </c>
      <c r="AB90" s="456"/>
      <c r="AC90" s="46"/>
      <c r="AD90" s="46"/>
      <c r="AE90" s="46"/>
      <c r="AF90" s="46"/>
      <c r="AG90" s="46"/>
      <c r="AH90" s="46"/>
      <c r="AI90" s="457"/>
      <c r="AJ90" s="138"/>
      <c r="AK90" s="745"/>
      <c r="AL90" s="54"/>
      <c r="AM90" s="468"/>
      <c r="AN90" s="449"/>
      <c r="AO90" s="45"/>
      <c r="AP90" s="45"/>
      <c r="AQ90" s="45"/>
      <c r="AR90" s="45"/>
      <c r="AS90" s="45"/>
      <c r="AT90" s="45"/>
      <c r="AU90" s="463"/>
      <c r="AV90" s="449"/>
      <c r="AW90" s="45"/>
      <c r="AX90" s="45"/>
      <c r="AY90" s="45"/>
      <c r="AZ90" s="45"/>
      <c r="BA90" s="45"/>
      <c r="BB90" s="45"/>
      <c r="BC90" s="463"/>
      <c r="BD90" s="456"/>
      <c r="BE90" s="46"/>
      <c r="BF90" s="46"/>
      <c r="BG90" s="46"/>
      <c r="BH90" s="46"/>
      <c r="BI90" s="46"/>
      <c r="BJ90" s="457"/>
      <c r="BK90" s="449">
        <v>0</v>
      </c>
      <c r="BL90" s="45"/>
      <c r="BM90" s="45"/>
      <c r="BN90" s="45"/>
      <c r="BO90" s="45"/>
      <c r="BP90" s="45"/>
      <c r="BQ90" s="45"/>
      <c r="BR90" s="45"/>
      <c r="BS90" s="45"/>
      <c r="BT90" s="45"/>
      <c r="BU90" s="45"/>
      <c r="BV90" s="45"/>
      <c r="BW90" s="45"/>
      <c r="BX90" s="45"/>
      <c r="BY90" s="45"/>
      <c r="BZ90" s="45"/>
      <c r="CA90" s="45"/>
      <c r="CB90" s="45"/>
      <c r="CC90" s="45"/>
      <c r="CD90" s="463"/>
    </row>
    <row r="91" spans="2:82">
      <c r="B91" s="136">
        <v>82</v>
      </c>
      <c r="C91" s="138">
        <v>1</v>
      </c>
      <c r="D91" s="474">
        <v>3255.4498723072365</v>
      </c>
      <c r="E91" s="127">
        <v>236.78666622038529</v>
      </c>
      <c r="F91" s="447">
        <v>0.35605495615992483</v>
      </c>
      <c r="G91" s="127">
        <v>113.31187000606292</v>
      </c>
      <c r="H91" s="132">
        <v>54.942204807724828</v>
      </c>
      <c r="I91" s="456"/>
      <c r="J91" s="45"/>
      <c r="K91" s="45">
        <v>460</v>
      </c>
      <c r="L91" s="463"/>
      <c r="M91" s="456">
        <v>27.294979095458984</v>
      </c>
      <c r="N91" s="457"/>
      <c r="O91" s="456"/>
      <c r="P91" s="46"/>
      <c r="Q91" s="463">
        <v>64.457908630371094</v>
      </c>
      <c r="R91" s="449"/>
      <c r="S91" s="463"/>
      <c r="T91" s="480"/>
      <c r="U91" s="468"/>
      <c r="V91" s="449"/>
      <c r="W91" s="45">
        <v>1194.3759765625</v>
      </c>
      <c r="X91" s="463">
        <v>103.86994171142578</v>
      </c>
      <c r="Y91" s="449"/>
      <c r="Z91" s="45"/>
      <c r="AA91" s="468">
        <v>0.34618808663862166</v>
      </c>
      <c r="AB91" s="456"/>
      <c r="AC91" s="46"/>
      <c r="AD91" s="46"/>
      <c r="AE91" s="46"/>
      <c r="AF91" s="46"/>
      <c r="AG91" s="46"/>
      <c r="AH91" s="46"/>
      <c r="AI91" s="457"/>
      <c r="AJ91" s="138"/>
      <c r="AK91" s="745"/>
      <c r="AL91" s="54"/>
      <c r="AM91" s="468"/>
      <c r="AN91" s="449"/>
      <c r="AO91" s="45"/>
      <c r="AP91" s="45"/>
      <c r="AQ91" s="45"/>
      <c r="AR91" s="45"/>
      <c r="AS91" s="45"/>
      <c r="AT91" s="45"/>
      <c r="AU91" s="463"/>
      <c r="AV91" s="449"/>
      <c r="AW91" s="45"/>
      <c r="AX91" s="45"/>
      <c r="AY91" s="45"/>
      <c r="AZ91" s="45"/>
      <c r="BA91" s="45"/>
      <c r="BB91" s="45"/>
      <c r="BC91" s="463"/>
      <c r="BD91" s="456"/>
      <c r="BE91" s="46"/>
      <c r="BF91" s="46"/>
      <c r="BG91" s="46"/>
      <c r="BH91" s="46"/>
      <c r="BI91" s="46"/>
      <c r="BJ91" s="457"/>
      <c r="BK91" s="449">
        <v>0</v>
      </c>
      <c r="BL91" s="45"/>
      <c r="BM91" s="45"/>
      <c r="BN91" s="45"/>
      <c r="BO91" s="45"/>
      <c r="BP91" s="45"/>
      <c r="BQ91" s="45"/>
      <c r="BR91" s="45"/>
      <c r="BS91" s="45"/>
      <c r="BT91" s="45"/>
      <c r="BU91" s="45"/>
      <c r="BV91" s="45"/>
      <c r="BW91" s="45"/>
      <c r="BX91" s="45"/>
      <c r="BY91" s="45"/>
      <c r="BZ91" s="45"/>
      <c r="CA91" s="45"/>
      <c r="CB91" s="45"/>
      <c r="CC91" s="45"/>
      <c r="CD91" s="463"/>
    </row>
    <row r="92" spans="2:82">
      <c r="B92" s="136">
        <v>83</v>
      </c>
      <c r="C92" s="138">
        <v>1</v>
      </c>
      <c r="D92" s="474">
        <v>2502.3144544828265</v>
      </c>
      <c r="E92" s="127">
        <v>232.82007342954068</v>
      </c>
      <c r="F92" s="447">
        <v>0.43821209782637238</v>
      </c>
      <c r="G92" s="127">
        <v>78.133362474059211</v>
      </c>
      <c r="H92" s="132">
        <v>50.134200633936551</v>
      </c>
      <c r="I92" s="456"/>
      <c r="J92" s="45"/>
      <c r="K92" s="45">
        <v>340</v>
      </c>
      <c r="L92" s="463"/>
      <c r="M92" s="456">
        <v>33.778102874755859</v>
      </c>
      <c r="N92" s="457"/>
      <c r="O92" s="456"/>
      <c r="P92" s="46"/>
      <c r="Q92" s="463">
        <v>49.545825958251953</v>
      </c>
      <c r="R92" s="449"/>
      <c r="S92" s="463"/>
      <c r="T92" s="480"/>
      <c r="U92" s="468"/>
      <c r="V92" s="449"/>
      <c r="W92" s="45">
        <v>1194.0416259765625</v>
      </c>
      <c r="X92" s="463">
        <v>103.35398864746094</v>
      </c>
      <c r="Y92" s="449"/>
      <c r="Z92" s="45"/>
      <c r="AA92" s="468">
        <v>0.42471889280729902</v>
      </c>
      <c r="AB92" s="456"/>
      <c r="AC92" s="46"/>
      <c r="AD92" s="46"/>
      <c r="AE92" s="46"/>
      <c r="AF92" s="46"/>
      <c r="AG92" s="46"/>
      <c r="AH92" s="46"/>
      <c r="AI92" s="457"/>
      <c r="AJ92" s="138"/>
      <c r="AK92" s="745"/>
      <c r="AL92" s="54"/>
      <c r="AM92" s="468"/>
      <c r="AN92" s="449"/>
      <c r="AO92" s="45"/>
      <c r="AP92" s="45"/>
      <c r="AQ92" s="45"/>
      <c r="AR92" s="45"/>
      <c r="AS92" s="45"/>
      <c r="AT92" s="45"/>
      <c r="AU92" s="463"/>
      <c r="AV92" s="449"/>
      <c r="AW92" s="45"/>
      <c r="AX92" s="45"/>
      <c r="AY92" s="45"/>
      <c r="AZ92" s="45"/>
      <c r="BA92" s="45"/>
      <c r="BB92" s="45"/>
      <c r="BC92" s="463"/>
      <c r="BD92" s="456"/>
      <c r="BE92" s="46"/>
      <c r="BF92" s="46"/>
      <c r="BG92" s="46"/>
      <c r="BH92" s="46"/>
      <c r="BI92" s="46"/>
      <c r="BJ92" s="457"/>
      <c r="BK92" s="449">
        <v>0</v>
      </c>
      <c r="BL92" s="45"/>
      <c r="BM92" s="45"/>
      <c r="BN92" s="45"/>
      <c r="BO92" s="45"/>
      <c r="BP92" s="45"/>
      <c r="BQ92" s="45"/>
      <c r="BR92" s="45"/>
      <c r="BS92" s="45"/>
      <c r="BT92" s="45"/>
      <c r="BU92" s="45"/>
      <c r="BV92" s="45"/>
      <c r="BW92" s="45"/>
      <c r="BX92" s="45"/>
      <c r="BY92" s="45"/>
      <c r="BZ92" s="45"/>
      <c r="CA92" s="45"/>
      <c r="CB92" s="45"/>
      <c r="CC92" s="45"/>
      <c r="CD92" s="463"/>
    </row>
    <row r="93" spans="2:82">
      <c r="B93" s="136">
        <v>84</v>
      </c>
      <c r="C93" s="138">
        <v>1</v>
      </c>
      <c r="D93" s="474">
        <v>2580.2077730550882</v>
      </c>
      <c r="E93" s="127">
        <v>228.95571943824058</v>
      </c>
      <c r="F93" s="447">
        <v>0.42043245631641918</v>
      </c>
      <c r="G93" s="127">
        <v>83.378142378099</v>
      </c>
      <c r="H93" s="132">
        <v>58.136502272929469</v>
      </c>
      <c r="I93" s="456"/>
      <c r="J93" s="45"/>
      <c r="K93" s="45">
        <v>380</v>
      </c>
      <c r="L93" s="463"/>
      <c r="M93" s="456">
        <v>30.229860305786133</v>
      </c>
      <c r="N93" s="457"/>
      <c r="O93" s="456"/>
      <c r="P93" s="46"/>
      <c r="Q93" s="463">
        <v>59.452190399169922</v>
      </c>
      <c r="R93" s="449"/>
      <c r="S93" s="463"/>
      <c r="T93" s="480"/>
      <c r="U93" s="468"/>
      <c r="V93" s="449"/>
      <c r="W93" s="45">
        <v>1233.7099609375</v>
      </c>
      <c r="X93" s="463">
        <v>106.41318511962891</v>
      </c>
      <c r="Y93" s="449"/>
      <c r="Z93" s="45"/>
      <c r="AA93" s="468">
        <v>0.40748441024229592</v>
      </c>
      <c r="AB93" s="456"/>
      <c r="AC93" s="46"/>
      <c r="AD93" s="46"/>
      <c r="AE93" s="46"/>
      <c r="AF93" s="46"/>
      <c r="AG93" s="46"/>
      <c r="AH93" s="46"/>
      <c r="AI93" s="457"/>
      <c r="AJ93" s="138"/>
      <c r="AK93" s="745"/>
      <c r="AL93" s="54"/>
      <c r="AM93" s="468"/>
      <c r="AN93" s="449"/>
      <c r="AO93" s="45"/>
      <c r="AP93" s="45"/>
      <c r="AQ93" s="45"/>
      <c r="AR93" s="45"/>
      <c r="AS93" s="45"/>
      <c r="AT93" s="45"/>
      <c r="AU93" s="463"/>
      <c r="AV93" s="449"/>
      <c r="AW93" s="45"/>
      <c r="AX93" s="45"/>
      <c r="AY93" s="45"/>
      <c r="AZ93" s="45"/>
      <c r="BA93" s="45"/>
      <c r="BB93" s="45"/>
      <c r="BC93" s="463"/>
      <c r="BD93" s="456"/>
      <c r="BE93" s="46"/>
      <c r="BF93" s="46"/>
      <c r="BG93" s="46"/>
      <c r="BH93" s="46"/>
      <c r="BI93" s="46"/>
      <c r="BJ93" s="457"/>
      <c r="BK93" s="449">
        <v>0</v>
      </c>
      <c r="BL93" s="45"/>
      <c r="BM93" s="45"/>
      <c r="BN93" s="45"/>
      <c r="BO93" s="45"/>
      <c r="BP93" s="45"/>
      <c r="BQ93" s="45"/>
      <c r="BR93" s="45"/>
      <c r="BS93" s="45"/>
      <c r="BT93" s="45"/>
      <c r="BU93" s="45"/>
      <c r="BV93" s="45"/>
      <c r="BW93" s="45"/>
      <c r="BX93" s="45"/>
      <c r="BY93" s="45"/>
      <c r="BZ93" s="45"/>
      <c r="CA93" s="45"/>
      <c r="CB93" s="45"/>
      <c r="CC93" s="45"/>
      <c r="CD93" s="463"/>
    </row>
    <row r="94" spans="2:82">
      <c r="B94" s="136">
        <v>85</v>
      </c>
      <c r="C94" s="138">
        <v>1</v>
      </c>
      <c r="D94" s="474">
        <v>3955.5275325959437</v>
      </c>
      <c r="E94" s="127">
        <v>224.01001756235405</v>
      </c>
      <c r="F94" s="447">
        <v>0.35225181305934661</v>
      </c>
      <c r="G94" s="127">
        <v>132.19280400262505</v>
      </c>
      <c r="H94" s="132">
        <v>61.836359484777866</v>
      </c>
      <c r="I94" s="456"/>
      <c r="J94" s="45"/>
      <c r="K94" s="45">
        <v>540</v>
      </c>
      <c r="L94" s="463"/>
      <c r="M94" s="456">
        <v>27.063425064086914</v>
      </c>
      <c r="N94" s="457"/>
      <c r="O94" s="456"/>
      <c r="P94" s="46"/>
      <c r="Q94" s="463">
        <v>78.319450378417969</v>
      </c>
      <c r="R94" s="449"/>
      <c r="S94" s="463"/>
      <c r="T94" s="480"/>
      <c r="U94" s="468"/>
      <c r="V94" s="449"/>
      <c r="W94" s="45">
        <v>1355.3170166015625</v>
      </c>
      <c r="X94" s="463">
        <v>115.91672515869141</v>
      </c>
      <c r="Y94" s="449"/>
      <c r="Z94" s="45"/>
      <c r="AA94" s="468">
        <v>0.34415048245372792</v>
      </c>
      <c r="AB94" s="456"/>
      <c r="AC94" s="46"/>
      <c r="AD94" s="46"/>
      <c r="AE94" s="46"/>
      <c r="AF94" s="46"/>
      <c r="AG94" s="46"/>
      <c r="AH94" s="46"/>
      <c r="AI94" s="457"/>
      <c r="AJ94" s="138"/>
      <c r="AK94" s="745"/>
      <c r="AL94" s="54"/>
      <c r="AM94" s="468"/>
      <c r="AN94" s="449"/>
      <c r="AO94" s="45"/>
      <c r="AP94" s="45"/>
      <c r="AQ94" s="45"/>
      <c r="AR94" s="45"/>
      <c r="AS94" s="45"/>
      <c r="AT94" s="45"/>
      <c r="AU94" s="463"/>
      <c r="AV94" s="449"/>
      <c r="AW94" s="45"/>
      <c r="AX94" s="45"/>
      <c r="AY94" s="45"/>
      <c r="AZ94" s="45"/>
      <c r="BA94" s="45"/>
      <c r="BB94" s="45"/>
      <c r="BC94" s="463"/>
      <c r="BD94" s="456"/>
      <c r="BE94" s="46"/>
      <c r="BF94" s="46"/>
      <c r="BG94" s="46"/>
      <c r="BH94" s="46"/>
      <c r="BI94" s="46"/>
      <c r="BJ94" s="457"/>
      <c r="BK94" s="449">
        <v>0</v>
      </c>
      <c r="BL94" s="45"/>
      <c r="BM94" s="45"/>
      <c r="BN94" s="45"/>
      <c r="BO94" s="45"/>
      <c r="BP94" s="45"/>
      <c r="BQ94" s="45"/>
      <c r="BR94" s="45"/>
      <c r="BS94" s="45"/>
      <c r="BT94" s="45"/>
      <c r="BU94" s="45"/>
      <c r="BV94" s="45"/>
      <c r="BW94" s="45"/>
      <c r="BX94" s="45"/>
      <c r="BY94" s="45"/>
      <c r="BZ94" s="45"/>
      <c r="CA94" s="45"/>
      <c r="CB94" s="45"/>
      <c r="CC94" s="45"/>
      <c r="CD94" s="463"/>
    </row>
    <row r="95" spans="2:82">
      <c r="B95" s="136">
        <v>86</v>
      </c>
      <c r="C95" s="138">
        <v>1</v>
      </c>
      <c r="D95" s="474">
        <v>3997.6241848391674</v>
      </c>
      <c r="E95" s="127">
        <v>177.42750279386394</v>
      </c>
      <c r="F95" s="447">
        <v>0.36761221419815571</v>
      </c>
      <c r="G95" s="127">
        <v>139.25490304589886</v>
      </c>
      <c r="H95" s="132">
        <v>60.938739692042063</v>
      </c>
      <c r="I95" s="456"/>
      <c r="J95" s="45"/>
      <c r="K95" s="45">
        <v>560</v>
      </c>
      <c r="L95" s="463"/>
      <c r="M95" s="456">
        <v>29.224254608154297</v>
      </c>
      <c r="N95" s="457"/>
      <c r="O95" s="456"/>
      <c r="P95" s="46"/>
      <c r="Q95" s="463">
        <v>79.152961730957031</v>
      </c>
      <c r="R95" s="449"/>
      <c r="S95" s="463"/>
      <c r="T95" s="480"/>
      <c r="U95" s="468"/>
      <c r="V95" s="449"/>
      <c r="W95" s="45">
        <v>1466.2462158203125</v>
      </c>
      <c r="X95" s="463">
        <v>124.07804870605469</v>
      </c>
      <c r="Y95" s="449"/>
      <c r="Z95" s="45"/>
      <c r="AA95" s="468">
        <v>0.35951934633762556</v>
      </c>
      <c r="AB95" s="456"/>
      <c r="AC95" s="46"/>
      <c r="AD95" s="46"/>
      <c r="AE95" s="46"/>
      <c r="AF95" s="46"/>
      <c r="AG95" s="46"/>
      <c r="AH95" s="46"/>
      <c r="AI95" s="457"/>
      <c r="AJ95" s="138"/>
      <c r="AK95" s="745"/>
      <c r="AL95" s="54"/>
      <c r="AM95" s="468"/>
      <c r="AN95" s="449"/>
      <c r="AO95" s="45"/>
      <c r="AP95" s="45"/>
      <c r="AQ95" s="45"/>
      <c r="AR95" s="45"/>
      <c r="AS95" s="45"/>
      <c r="AT95" s="45"/>
      <c r="AU95" s="463"/>
      <c r="AV95" s="449"/>
      <c r="AW95" s="45"/>
      <c r="AX95" s="45"/>
      <c r="AY95" s="45"/>
      <c r="AZ95" s="45"/>
      <c r="BA95" s="45"/>
      <c r="BB95" s="45"/>
      <c r="BC95" s="463"/>
      <c r="BD95" s="456"/>
      <c r="BE95" s="46"/>
      <c r="BF95" s="46"/>
      <c r="BG95" s="46"/>
      <c r="BH95" s="46"/>
      <c r="BI95" s="46"/>
      <c r="BJ95" s="457"/>
      <c r="BK95" s="449">
        <v>0</v>
      </c>
      <c r="BL95" s="45"/>
      <c r="BM95" s="45"/>
      <c r="BN95" s="45"/>
      <c r="BO95" s="45"/>
      <c r="BP95" s="45"/>
      <c r="BQ95" s="45"/>
      <c r="BR95" s="45"/>
      <c r="BS95" s="45"/>
      <c r="BT95" s="45"/>
      <c r="BU95" s="45"/>
      <c r="BV95" s="45"/>
      <c r="BW95" s="45"/>
      <c r="BX95" s="45"/>
      <c r="BY95" s="45"/>
      <c r="BZ95" s="45"/>
      <c r="CA95" s="45"/>
      <c r="CB95" s="45"/>
      <c r="CC95" s="45"/>
      <c r="CD95" s="463"/>
    </row>
    <row r="96" spans="2:82">
      <c r="B96" s="136">
        <v>87</v>
      </c>
      <c r="C96" s="138">
        <v>1</v>
      </c>
      <c r="D96" s="474">
        <v>3356.8822702199568</v>
      </c>
      <c r="E96" s="127">
        <v>196.67165938902951</v>
      </c>
      <c r="F96" s="447">
        <v>0.39265847954160449</v>
      </c>
      <c r="G96" s="127">
        <v>118.91776074724227</v>
      </c>
      <c r="H96" s="132">
        <v>55.299625653389555</v>
      </c>
      <c r="I96" s="456"/>
      <c r="J96" s="45"/>
      <c r="K96" s="45">
        <v>480</v>
      </c>
      <c r="L96" s="463"/>
      <c r="M96" s="456">
        <v>31.058940887451172</v>
      </c>
      <c r="N96" s="457"/>
      <c r="O96" s="456"/>
      <c r="P96" s="46"/>
      <c r="Q96" s="463">
        <v>66.466270446777344</v>
      </c>
      <c r="R96" s="449"/>
      <c r="S96" s="463"/>
      <c r="T96" s="480"/>
      <c r="U96" s="468"/>
      <c r="V96" s="449"/>
      <c r="W96" s="45">
        <v>1381.817626953125</v>
      </c>
      <c r="X96" s="463">
        <v>117.59689331054687</v>
      </c>
      <c r="Y96" s="449"/>
      <c r="Z96" s="45"/>
      <c r="AA96" s="468">
        <v>0.38287166935696271</v>
      </c>
      <c r="AB96" s="456"/>
      <c r="AC96" s="46"/>
      <c r="AD96" s="46"/>
      <c r="AE96" s="46"/>
      <c r="AF96" s="46"/>
      <c r="AG96" s="46"/>
      <c r="AH96" s="46"/>
      <c r="AI96" s="457"/>
      <c r="AJ96" s="138"/>
      <c r="AK96" s="745"/>
      <c r="AL96" s="54"/>
      <c r="AM96" s="468"/>
      <c r="AN96" s="449"/>
      <c r="AO96" s="45"/>
      <c r="AP96" s="45"/>
      <c r="AQ96" s="45"/>
      <c r="AR96" s="45"/>
      <c r="AS96" s="45"/>
      <c r="AT96" s="45"/>
      <c r="AU96" s="463"/>
      <c r="AV96" s="449"/>
      <c r="AW96" s="45"/>
      <c r="AX96" s="45"/>
      <c r="AY96" s="45"/>
      <c r="AZ96" s="45"/>
      <c r="BA96" s="45"/>
      <c r="BB96" s="45"/>
      <c r="BC96" s="463"/>
      <c r="BD96" s="456"/>
      <c r="BE96" s="46"/>
      <c r="BF96" s="46"/>
      <c r="BG96" s="46"/>
      <c r="BH96" s="46"/>
      <c r="BI96" s="46"/>
      <c r="BJ96" s="457"/>
      <c r="BK96" s="449">
        <v>0</v>
      </c>
      <c r="BL96" s="45"/>
      <c r="BM96" s="45"/>
      <c r="BN96" s="45"/>
      <c r="BO96" s="45"/>
      <c r="BP96" s="45"/>
      <c r="BQ96" s="45"/>
      <c r="BR96" s="45"/>
      <c r="BS96" s="45"/>
      <c r="BT96" s="45"/>
      <c r="BU96" s="45"/>
      <c r="BV96" s="45"/>
      <c r="BW96" s="45"/>
      <c r="BX96" s="45"/>
      <c r="BY96" s="45"/>
      <c r="BZ96" s="45"/>
      <c r="CA96" s="45"/>
      <c r="CB96" s="45"/>
      <c r="CC96" s="45"/>
      <c r="CD96" s="463"/>
    </row>
    <row r="97" spans="2:82">
      <c r="B97" s="136">
        <v>88</v>
      </c>
      <c r="C97" s="138">
        <v>1</v>
      </c>
      <c r="D97" s="474">
        <v>2827.3233438549969</v>
      </c>
      <c r="E97" s="127">
        <v>195.80171245070531</v>
      </c>
      <c r="F97" s="447">
        <v>0.40824774931944774</v>
      </c>
      <c r="G97" s="127">
        <v>105.46074265122583</v>
      </c>
      <c r="H97" s="132">
        <v>56.678375852441867</v>
      </c>
      <c r="I97" s="456"/>
      <c r="J97" s="45"/>
      <c r="K97" s="45">
        <v>450</v>
      </c>
      <c r="L97" s="463"/>
      <c r="M97" s="456">
        <v>31.375522613525391</v>
      </c>
      <c r="N97" s="457"/>
      <c r="O97" s="456"/>
      <c r="P97" s="46"/>
      <c r="Q97" s="463">
        <v>64.119659423828125</v>
      </c>
      <c r="R97" s="449"/>
      <c r="S97" s="463"/>
      <c r="T97" s="480"/>
      <c r="U97" s="468"/>
      <c r="V97" s="449"/>
      <c r="W97" s="45">
        <v>1353.7999267578125</v>
      </c>
      <c r="X97" s="463">
        <v>115.40792083740234</v>
      </c>
      <c r="Y97" s="449"/>
      <c r="Z97" s="45"/>
      <c r="AA97" s="468">
        <v>0.39651758939328619</v>
      </c>
      <c r="AB97" s="456"/>
      <c r="AC97" s="46"/>
      <c r="AD97" s="46"/>
      <c r="AE97" s="46"/>
      <c r="AF97" s="46"/>
      <c r="AG97" s="46"/>
      <c r="AH97" s="46"/>
      <c r="AI97" s="457"/>
      <c r="AJ97" s="138"/>
      <c r="AK97" s="745"/>
      <c r="AL97" s="54"/>
      <c r="AM97" s="468"/>
      <c r="AN97" s="449"/>
      <c r="AO97" s="45"/>
      <c r="AP97" s="45"/>
      <c r="AQ97" s="45"/>
      <c r="AR97" s="45"/>
      <c r="AS97" s="45"/>
      <c r="AT97" s="45"/>
      <c r="AU97" s="463"/>
      <c r="AV97" s="449"/>
      <c r="AW97" s="45"/>
      <c r="AX97" s="45"/>
      <c r="AY97" s="45"/>
      <c r="AZ97" s="45"/>
      <c r="BA97" s="45"/>
      <c r="BB97" s="45"/>
      <c r="BC97" s="463"/>
      <c r="BD97" s="456"/>
      <c r="BE97" s="46"/>
      <c r="BF97" s="46"/>
      <c r="BG97" s="46"/>
      <c r="BH97" s="46"/>
      <c r="BI97" s="46"/>
      <c r="BJ97" s="457"/>
      <c r="BK97" s="449">
        <v>0</v>
      </c>
      <c r="BL97" s="45"/>
      <c r="BM97" s="45"/>
      <c r="BN97" s="45"/>
      <c r="BO97" s="45"/>
      <c r="BP97" s="45"/>
      <c r="BQ97" s="45"/>
      <c r="BR97" s="45"/>
      <c r="BS97" s="45"/>
      <c r="BT97" s="45"/>
      <c r="BU97" s="45"/>
      <c r="BV97" s="45"/>
      <c r="BW97" s="45"/>
      <c r="BX97" s="45"/>
      <c r="BY97" s="45"/>
      <c r="BZ97" s="45"/>
      <c r="CA97" s="45"/>
      <c r="CB97" s="45"/>
      <c r="CC97" s="45"/>
      <c r="CD97" s="463"/>
    </row>
    <row r="98" spans="2:82">
      <c r="B98" s="136">
        <v>89</v>
      </c>
      <c r="C98" s="138">
        <v>1</v>
      </c>
      <c r="D98" s="474">
        <v>2987.4859369151209</v>
      </c>
      <c r="E98" s="127">
        <v>267.35955609674994</v>
      </c>
      <c r="F98" s="447">
        <v>0.35579325079302337</v>
      </c>
      <c r="G98" s="127">
        <v>99.262357072186845</v>
      </c>
      <c r="H98" s="132">
        <v>53.762843964822025</v>
      </c>
      <c r="I98" s="456"/>
      <c r="J98" s="45"/>
      <c r="K98" s="45">
        <v>410</v>
      </c>
      <c r="L98" s="463"/>
      <c r="M98" s="456">
        <v>26.817121505737305</v>
      </c>
      <c r="N98" s="457"/>
      <c r="O98" s="456"/>
      <c r="P98" s="46"/>
      <c r="Q98" s="463">
        <v>59.152225494384766</v>
      </c>
      <c r="R98" s="449"/>
      <c r="S98" s="463"/>
      <c r="T98" s="480"/>
      <c r="U98" s="468"/>
      <c r="V98" s="449"/>
      <c r="W98" s="45">
        <v>1090.3612060546875</v>
      </c>
      <c r="X98" s="463">
        <v>96.107383728027344</v>
      </c>
      <c r="Y98" s="449"/>
      <c r="Z98" s="45"/>
      <c r="AA98" s="468">
        <v>0.34504311984880093</v>
      </c>
      <c r="AB98" s="456"/>
      <c r="AC98" s="46"/>
      <c r="AD98" s="46"/>
      <c r="AE98" s="46"/>
      <c r="AF98" s="46"/>
      <c r="AG98" s="46"/>
      <c r="AH98" s="46"/>
      <c r="AI98" s="457"/>
      <c r="AJ98" s="138"/>
      <c r="AK98" s="745"/>
      <c r="AL98" s="54"/>
      <c r="AM98" s="468"/>
      <c r="AN98" s="449"/>
      <c r="AO98" s="45"/>
      <c r="AP98" s="45"/>
      <c r="AQ98" s="45"/>
      <c r="AR98" s="45"/>
      <c r="AS98" s="45"/>
      <c r="AT98" s="45"/>
      <c r="AU98" s="463"/>
      <c r="AV98" s="449"/>
      <c r="AW98" s="45"/>
      <c r="AX98" s="45"/>
      <c r="AY98" s="45"/>
      <c r="AZ98" s="45"/>
      <c r="BA98" s="45"/>
      <c r="BB98" s="45"/>
      <c r="BC98" s="463"/>
      <c r="BD98" s="456"/>
      <c r="BE98" s="46"/>
      <c r="BF98" s="46"/>
      <c r="BG98" s="46"/>
      <c r="BH98" s="46"/>
      <c r="BI98" s="46"/>
      <c r="BJ98" s="457"/>
      <c r="BK98" s="449">
        <v>0</v>
      </c>
      <c r="BL98" s="45"/>
      <c r="BM98" s="45"/>
      <c r="BN98" s="45"/>
      <c r="BO98" s="45"/>
      <c r="BP98" s="45"/>
      <c r="BQ98" s="45"/>
      <c r="BR98" s="45"/>
      <c r="BS98" s="45"/>
      <c r="BT98" s="45"/>
      <c r="BU98" s="45"/>
      <c r="BV98" s="45"/>
      <c r="BW98" s="45"/>
      <c r="BX98" s="45"/>
      <c r="BY98" s="45"/>
      <c r="BZ98" s="45"/>
      <c r="CA98" s="45"/>
      <c r="CB98" s="45"/>
      <c r="CC98" s="45"/>
      <c r="CD98" s="463"/>
    </row>
    <row r="99" spans="2:82">
      <c r="B99" s="136">
        <v>90</v>
      </c>
      <c r="C99" s="138">
        <v>1</v>
      </c>
      <c r="D99" s="474">
        <v>3662.2293663056666</v>
      </c>
      <c r="E99" s="127">
        <v>270.85240850559626</v>
      </c>
      <c r="F99" s="447">
        <v>0.47839589645751035</v>
      </c>
      <c r="G99" s="127">
        <v>113.00223866828024</v>
      </c>
      <c r="H99" s="132">
        <v>61.645589089930645</v>
      </c>
      <c r="I99" s="456"/>
      <c r="J99" s="45"/>
      <c r="K99" s="45">
        <v>500</v>
      </c>
      <c r="L99" s="463"/>
      <c r="M99" s="456">
        <v>43.135696411132812</v>
      </c>
      <c r="N99" s="457"/>
      <c r="O99" s="456"/>
      <c r="P99" s="46"/>
      <c r="Q99" s="463">
        <v>72.512138366699219</v>
      </c>
      <c r="R99" s="449"/>
      <c r="S99" s="463"/>
      <c r="T99" s="480"/>
      <c r="U99" s="468"/>
      <c r="V99" s="449"/>
      <c r="W99" s="45">
        <v>1952.0474853515625</v>
      </c>
      <c r="X99" s="463">
        <v>159.14064025878906</v>
      </c>
      <c r="Y99" s="449"/>
      <c r="Z99" s="45"/>
      <c r="AA99" s="468">
        <v>0.4689568596109403</v>
      </c>
      <c r="AB99" s="456"/>
      <c r="AC99" s="46"/>
      <c r="AD99" s="46"/>
      <c r="AE99" s="46"/>
      <c r="AF99" s="46"/>
      <c r="AG99" s="46"/>
      <c r="AH99" s="46"/>
      <c r="AI99" s="457"/>
      <c r="AJ99" s="138"/>
      <c r="AK99" s="745"/>
      <c r="AL99" s="54"/>
      <c r="AM99" s="468"/>
      <c r="AN99" s="449"/>
      <c r="AO99" s="45"/>
      <c r="AP99" s="45"/>
      <c r="AQ99" s="45"/>
      <c r="AR99" s="45"/>
      <c r="AS99" s="45"/>
      <c r="AT99" s="45"/>
      <c r="AU99" s="463"/>
      <c r="AV99" s="449"/>
      <c r="AW99" s="45"/>
      <c r="AX99" s="45"/>
      <c r="AY99" s="45"/>
      <c r="AZ99" s="45"/>
      <c r="BA99" s="45"/>
      <c r="BB99" s="45"/>
      <c r="BC99" s="463"/>
      <c r="BD99" s="456"/>
      <c r="BE99" s="46"/>
      <c r="BF99" s="46"/>
      <c r="BG99" s="46"/>
      <c r="BH99" s="46"/>
      <c r="BI99" s="46"/>
      <c r="BJ99" s="457"/>
      <c r="BK99" s="449">
        <v>0</v>
      </c>
      <c r="BL99" s="45"/>
      <c r="BM99" s="45"/>
      <c r="BN99" s="45"/>
      <c r="BO99" s="45"/>
      <c r="BP99" s="45"/>
      <c r="BQ99" s="45"/>
      <c r="BR99" s="45"/>
      <c r="BS99" s="45"/>
      <c r="BT99" s="45"/>
      <c r="BU99" s="45"/>
      <c r="BV99" s="45"/>
      <c r="BW99" s="45"/>
      <c r="BX99" s="45"/>
      <c r="BY99" s="45"/>
      <c r="BZ99" s="45"/>
      <c r="CA99" s="45"/>
      <c r="CB99" s="45"/>
      <c r="CC99" s="45"/>
      <c r="CD99" s="463"/>
    </row>
    <row r="100" spans="2:82">
      <c r="B100" s="136">
        <v>91</v>
      </c>
      <c r="C100" s="138">
        <v>1</v>
      </c>
      <c r="D100" s="474">
        <v>4656.1612794326284</v>
      </c>
      <c r="E100" s="127">
        <v>220.37392424707122</v>
      </c>
      <c r="F100" s="447">
        <v>0.41392648732932541</v>
      </c>
      <c r="G100" s="127">
        <v>156.8611980487575</v>
      </c>
      <c r="H100" s="132">
        <v>66.42445106209199</v>
      </c>
      <c r="I100" s="456"/>
      <c r="J100" s="45"/>
      <c r="K100" s="45">
        <v>650</v>
      </c>
      <c r="L100" s="463"/>
      <c r="M100" s="456">
        <v>36.236454010009766</v>
      </c>
      <c r="N100" s="457"/>
      <c r="O100" s="456"/>
      <c r="P100" s="46"/>
      <c r="Q100" s="463">
        <v>90</v>
      </c>
      <c r="R100" s="449"/>
      <c r="S100" s="463"/>
      <c r="T100" s="480"/>
      <c r="U100" s="468"/>
      <c r="V100" s="449"/>
      <c r="W100" s="45">
        <v>1927.0272216796875</v>
      </c>
      <c r="X100" s="463">
        <v>157.95680236816406</v>
      </c>
      <c r="Y100" s="449"/>
      <c r="Z100" s="45"/>
      <c r="AA100" s="468">
        <v>0.40677928435472366</v>
      </c>
      <c r="AB100" s="456"/>
      <c r="AC100" s="46"/>
      <c r="AD100" s="46"/>
      <c r="AE100" s="46"/>
      <c r="AF100" s="46"/>
      <c r="AG100" s="46"/>
      <c r="AH100" s="46"/>
      <c r="AI100" s="457"/>
      <c r="AJ100" s="138"/>
      <c r="AK100" s="745"/>
      <c r="AL100" s="54"/>
      <c r="AM100" s="468"/>
      <c r="AN100" s="449"/>
      <c r="AO100" s="45"/>
      <c r="AP100" s="45"/>
      <c r="AQ100" s="45"/>
      <c r="AR100" s="45"/>
      <c r="AS100" s="45"/>
      <c r="AT100" s="45"/>
      <c r="AU100" s="463"/>
      <c r="AV100" s="449"/>
      <c r="AW100" s="45"/>
      <c r="AX100" s="45"/>
      <c r="AY100" s="45"/>
      <c r="AZ100" s="45"/>
      <c r="BA100" s="45"/>
      <c r="BB100" s="45"/>
      <c r="BC100" s="463"/>
      <c r="BD100" s="456"/>
      <c r="BE100" s="46"/>
      <c r="BF100" s="46"/>
      <c r="BG100" s="46"/>
      <c r="BH100" s="46"/>
      <c r="BI100" s="46"/>
      <c r="BJ100" s="457"/>
      <c r="BK100" s="449">
        <v>0</v>
      </c>
      <c r="BL100" s="45"/>
      <c r="BM100" s="45"/>
      <c r="BN100" s="45"/>
      <c r="BO100" s="45"/>
      <c r="BP100" s="45"/>
      <c r="BQ100" s="45"/>
      <c r="BR100" s="45"/>
      <c r="BS100" s="45"/>
      <c r="BT100" s="45"/>
      <c r="BU100" s="45"/>
      <c r="BV100" s="45"/>
      <c r="BW100" s="45"/>
      <c r="BX100" s="45"/>
      <c r="BY100" s="45"/>
      <c r="BZ100" s="45"/>
      <c r="CA100" s="45"/>
      <c r="CB100" s="45"/>
      <c r="CC100" s="45"/>
      <c r="CD100" s="463"/>
    </row>
    <row r="101" spans="2:82">
      <c r="B101" s="136">
        <v>92</v>
      </c>
      <c r="C101" s="138">
        <v>1</v>
      </c>
      <c r="D101" s="474">
        <v>4146.97137570001</v>
      </c>
      <c r="E101" s="127">
        <v>269.15016806325917</v>
      </c>
      <c r="F101" s="447">
        <v>0.43614495702470407</v>
      </c>
      <c r="G101" s="127">
        <v>160.77321598797204</v>
      </c>
      <c r="H101" s="132">
        <v>58.371245152009678</v>
      </c>
      <c r="I101" s="456"/>
      <c r="J101" s="45"/>
      <c r="K101" s="45">
        <v>630</v>
      </c>
      <c r="L101" s="463"/>
      <c r="M101" s="456">
        <v>40.962081909179687</v>
      </c>
      <c r="N101" s="457"/>
      <c r="O101" s="456"/>
      <c r="P101" s="46"/>
      <c r="Q101" s="463">
        <v>82.110038757324219</v>
      </c>
      <c r="R101" s="449"/>
      <c r="S101" s="463"/>
      <c r="T101" s="480"/>
      <c r="U101" s="468"/>
      <c r="V101" s="449"/>
      <c r="W101" s="45">
        <v>2043.180908203125</v>
      </c>
      <c r="X101" s="463">
        <v>166.31369018554687</v>
      </c>
      <c r="Y101" s="449"/>
      <c r="Z101" s="45"/>
      <c r="AA101" s="468">
        <v>0.42801302263564606</v>
      </c>
      <c r="AB101" s="456"/>
      <c r="AC101" s="46"/>
      <c r="AD101" s="46"/>
      <c r="AE101" s="46"/>
      <c r="AF101" s="46"/>
      <c r="AG101" s="46"/>
      <c r="AH101" s="46"/>
      <c r="AI101" s="457"/>
      <c r="AJ101" s="138"/>
      <c r="AK101" s="745"/>
      <c r="AL101" s="54"/>
      <c r="AM101" s="468"/>
      <c r="AN101" s="449"/>
      <c r="AO101" s="45"/>
      <c r="AP101" s="45"/>
      <c r="AQ101" s="45"/>
      <c r="AR101" s="45"/>
      <c r="AS101" s="45"/>
      <c r="AT101" s="45"/>
      <c r="AU101" s="463"/>
      <c r="AV101" s="449"/>
      <c r="AW101" s="45"/>
      <c r="AX101" s="45"/>
      <c r="AY101" s="45"/>
      <c r="AZ101" s="45"/>
      <c r="BA101" s="45"/>
      <c r="BB101" s="45"/>
      <c r="BC101" s="463"/>
      <c r="BD101" s="456"/>
      <c r="BE101" s="46"/>
      <c r="BF101" s="46"/>
      <c r="BG101" s="46"/>
      <c r="BH101" s="46"/>
      <c r="BI101" s="46"/>
      <c r="BJ101" s="457"/>
      <c r="BK101" s="449">
        <v>0</v>
      </c>
      <c r="BL101" s="45"/>
      <c r="BM101" s="45"/>
      <c r="BN101" s="45"/>
      <c r="BO101" s="45"/>
      <c r="BP101" s="45"/>
      <c r="BQ101" s="45"/>
      <c r="BR101" s="45"/>
      <c r="BS101" s="45"/>
      <c r="BT101" s="45"/>
      <c r="BU101" s="45"/>
      <c r="BV101" s="45"/>
      <c r="BW101" s="45"/>
      <c r="BX101" s="45"/>
      <c r="BY101" s="45"/>
      <c r="BZ101" s="45"/>
      <c r="CA101" s="45"/>
      <c r="CB101" s="45"/>
      <c r="CC101" s="45"/>
      <c r="CD101" s="463"/>
    </row>
    <row r="102" spans="2:82">
      <c r="B102" s="136">
        <v>93</v>
      </c>
      <c r="C102" s="138">
        <v>1</v>
      </c>
      <c r="D102" s="474">
        <v>2682.2710119334752</v>
      </c>
      <c r="E102" s="127">
        <v>189.88287301703102</v>
      </c>
      <c r="F102" s="447">
        <v>0.4768770291225764</v>
      </c>
      <c r="G102" s="127">
        <v>88.628709395149215</v>
      </c>
      <c r="H102" s="132">
        <v>50.716924627068622</v>
      </c>
      <c r="I102" s="456"/>
      <c r="J102" s="45"/>
      <c r="K102" s="45">
        <v>380</v>
      </c>
      <c r="L102" s="463"/>
      <c r="M102" s="456">
        <v>41.286750793457031</v>
      </c>
      <c r="N102" s="457"/>
      <c r="O102" s="456"/>
      <c r="P102" s="46"/>
      <c r="Q102" s="463">
        <v>53.108966827392578</v>
      </c>
      <c r="R102" s="449"/>
      <c r="S102" s="463"/>
      <c r="T102" s="480"/>
      <c r="U102" s="468"/>
      <c r="V102" s="449"/>
      <c r="W102" s="45">
        <v>1539.3543701171875</v>
      </c>
      <c r="X102" s="463">
        <v>128.64263916015625</v>
      </c>
      <c r="Y102" s="449"/>
      <c r="Z102" s="45"/>
      <c r="AA102" s="468">
        <v>0.46400079833575675</v>
      </c>
      <c r="AB102" s="456"/>
      <c r="AC102" s="46"/>
      <c r="AD102" s="46"/>
      <c r="AE102" s="46"/>
      <c r="AF102" s="46"/>
      <c r="AG102" s="46"/>
      <c r="AH102" s="46"/>
      <c r="AI102" s="457"/>
      <c r="AJ102" s="138"/>
      <c r="AK102" s="745"/>
      <c r="AL102" s="54"/>
      <c r="AM102" s="468"/>
      <c r="AN102" s="449"/>
      <c r="AO102" s="45"/>
      <c r="AP102" s="45"/>
      <c r="AQ102" s="45"/>
      <c r="AR102" s="45"/>
      <c r="AS102" s="45"/>
      <c r="AT102" s="45"/>
      <c r="AU102" s="463"/>
      <c r="AV102" s="449"/>
      <c r="AW102" s="45"/>
      <c r="AX102" s="45"/>
      <c r="AY102" s="45"/>
      <c r="AZ102" s="45"/>
      <c r="BA102" s="45"/>
      <c r="BB102" s="45"/>
      <c r="BC102" s="463"/>
      <c r="BD102" s="456"/>
      <c r="BE102" s="46"/>
      <c r="BF102" s="46"/>
      <c r="BG102" s="46"/>
      <c r="BH102" s="46"/>
      <c r="BI102" s="46"/>
      <c r="BJ102" s="457"/>
      <c r="BK102" s="449">
        <v>0</v>
      </c>
      <c r="BL102" s="45"/>
      <c r="BM102" s="45"/>
      <c r="BN102" s="45"/>
      <c r="BO102" s="45"/>
      <c r="BP102" s="45"/>
      <c r="BQ102" s="45"/>
      <c r="BR102" s="45"/>
      <c r="BS102" s="45"/>
      <c r="BT102" s="45"/>
      <c r="BU102" s="45"/>
      <c r="BV102" s="45"/>
      <c r="BW102" s="45"/>
      <c r="BX102" s="45"/>
      <c r="BY102" s="45"/>
      <c r="BZ102" s="45"/>
      <c r="CA102" s="45"/>
      <c r="CB102" s="45"/>
      <c r="CC102" s="45"/>
      <c r="CD102" s="463"/>
    </row>
    <row r="103" spans="2:82">
      <c r="B103" s="136">
        <v>94</v>
      </c>
      <c r="C103" s="138">
        <v>1</v>
      </c>
      <c r="D103" s="474">
        <v>4148.0260297759305</v>
      </c>
      <c r="E103" s="127">
        <v>226.76922070894122</v>
      </c>
      <c r="F103" s="447">
        <v>0.39697801333124466</v>
      </c>
      <c r="G103" s="127">
        <v>136.04954817871567</v>
      </c>
      <c r="H103" s="132">
        <v>69.08906994661973</v>
      </c>
      <c r="I103" s="456"/>
      <c r="J103" s="45"/>
      <c r="K103" s="45">
        <v>600</v>
      </c>
      <c r="L103" s="463"/>
      <c r="M103" s="456">
        <v>31.358596801757813</v>
      </c>
      <c r="N103" s="457"/>
      <c r="O103" s="456"/>
      <c r="P103" s="46"/>
      <c r="Q103" s="463">
        <v>90</v>
      </c>
      <c r="R103" s="449"/>
      <c r="S103" s="463"/>
      <c r="T103" s="480"/>
      <c r="U103" s="468"/>
      <c r="V103" s="449"/>
      <c r="W103" s="45">
        <v>1673.13037109375</v>
      </c>
      <c r="X103" s="463">
        <v>139.25772094726562</v>
      </c>
      <c r="Y103" s="449"/>
      <c r="Z103" s="45"/>
      <c r="AA103" s="468">
        <v>0.38903699270355963</v>
      </c>
      <c r="AB103" s="456"/>
      <c r="AC103" s="46"/>
      <c r="AD103" s="46"/>
      <c r="AE103" s="46"/>
      <c r="AF103" s="46"/>
      <c r="AG103" s="46"/>
      <c r="AH103" s="46"/>
      <c r="AI103" s="457"/>
      <c r="AJ103" s="138"/>
      <c r="AK103" s="745"/>
      <c r="AL103" s="54"/>
      <c r="AM103" s="468"/>
      <c r="AN103" s="449"/>
      <c r="AO103" s="45"/>
      <c r="AP103" s="45"/>
      <c r="AQ103" s="45"/>
      <c r="AR103" s="45"/>
      <c r="AS103" s="45"/>
      <c r="AT103" s="45"/>
      <c r="AU103" s="463"/>
      <c r="AV103" s="449"/>
      <c r="AW103" s="45"/>
      <c r="AX103" s="45"/>
      <c r="AY103" s="45"/>
      <c r="AZ103" s="45"/>
      <c r="BA103" s="45"/>
      <c r="BB103" s="45"/>
      <c r="BC103" s="463"/>
      <c r="BD103" s="456"/>
      <c r="BE103" s="46"/>
      <c r="BF103" s="46"/>
      <c r="BG103" s="46"/>
      <c r="BH103" s="46"/>
      <c r="BI103" s="46"/>
      <c r="BJ103" s="457"/>
      <c r="BK103" s="449">
        <v>0</v>
      </c>
      <c r="BL103" s="45"/>
      <c r="BM103" s="45"/>
      <c r="BN103" s="45"/>
      <c r="BO103" s="45"/>
      <c r="BP103" s="45"/>
      <c r="BQ103" s="45"/>
      <c r="BR103" s="45"/>
      <c r="BS103" s="45"/>
      <c r="BT103" s="45"/>
      <c r="BU103" s="45"/>
      <c r="BV103" s="45"/>
      <c r="BW103" s="45"/>
      <c r="BX103" s="45"/>
      <c r="BY103" s="45"/>
      <c r="BZ103" s="45"/>
      <c r="CA103" s="45"/>
      <c r="CB103" s="45"/>
      <c r="CC103" s="45"/>
      <c r="CD103" s="463"/>
    </row>
    <row r="104" spans="2:82">
      <c r="B104" s="136">
        <v>95</v>
      </c>
      <c r="C104" s="138">
        <v>1</v>
      </c>
      <c r="D104" s="474">
        <v>3494.4438798501405</v>
      </c>
      <c r="E104" s="127">
        <v>246.05908563648634</v>
      </c>
      <c r="F104" s="447">
        <v>0.45790617694857005</v>
      </c>
      <c r="G104" s="127">
        <v>117.10222700487903</v>
      </c>
      <c r="H104" s="132">
        <v>58.127256856979947</v>
      </c>
      <c r="I104" s="456"/>
      <c r="J104" s="45"/>
      <c r="K104" s="45">
        <v>500</v>
      </c>
      <c r="L104" s="463"/>
      <c r="M104" s="456">
        <v>40.109687805175781</v>
      </c>
      <c r="N104" s="457"/>
      <c r="O104" s="456"/>
      <c r="P104" s="46"/>
      <c r="Q104" s="463">
        <v>69.189994812011719</v>
      </c>
      <c r="R104" s="449"/>
      <c r="S104" s="463"/>
      <c r="T104" s="480"/>
      <c r="U104" s="468"/>
      <c r="V104" s="449"/>
      <c r="W104" s="45">
        <v>1780.7288818359375</v>
      </c>
      <c r="X104" s="463">
        <v>146.66293334960937</v>
      </c>
      <c r="Y104" s="449"/>
      <c r="Z104" s="45"/>
      <c r="AA104" s="468">
        <v>0.44813119566014936</v>
      </c>
      <c r="AB104" s="456"/>
      <c r="AC104" s="46"/>
      <c r="AD104" s="46"/>
      <c r="AE104" s="46"/>
      <c r="AF104" s="46"/>
      <c r="AG104" s="46"/>
      <c r="AH104" s="46"/>
      <c r="AI104" s="457"/>
      <c r="AJ104" s="138"/>
      <c r="AK104" s="745"/>
      <c r="AL104" s="54"/>
      <c r="AM104" s="468"/>
      <c r="AN104" s="449"/>
      <c r="AO104" s="45"/>
      <c r="AP104" s="45"/>
      <c r="AQ104" s="45"/>
      <c r="AR104" s="45"/>
      <c r="AS104" s="45"/>
      <c r="AT104" s="45"/>
      <c r="AU104" s="463"/>
      <c r="AV104" s="449"/>
      <c r="AW104" s="45"/>
      <c r="AX104" s="45"/>
      <c r="AY104" s="45"/>
      <c r="AZ104" s="45"/>
      <c r="BA104" s="45"/>
      <c r="BB104" s="45"/>
      <c r="BC104" s="463"/>
      <c r="BD104" s="456"/>
      <c r="BE104" s="46"/>
      <c r="BF104" s="46"/>
      <c r="BG104" s="46"/>
      <c r="BH104" s="46"/>
      <c r="BI104" s="46"/>
      <c r="BJ104" s="457"/>
      <c r="BK104" s="449">
        <v>0</v>
      </c>
      <c r="BL104" s="45"/>
      <c r="BM104" s="45"/>
      <c r="BN104" s="45"/>
      <c r="BO104" s="45"/>
      <c r="BP104" s="45"/>
      <c r="BQ104" s="45"/>
      <c r="BR104" s="45"/>
      <c r="BS104" s="45"/>
      <c r="BT104" s="45"/>
      <c r="BU104" s="45"/>
      <c r="BV104" s="45"/>
      <c r="BW104" s="45"/>
      <c r="BX104" s="45"/>
      <c r="BY104" s="45"/>
      <c r="BZ104" s="45"/>
      <c r="CA104" s="45"/>
      <c r="CB104" s="45"/>
      <c r="CC104" s="45"/>
      <c r="CD104" s="463"/>
    </row>
    <row r="105" spans="2:82">
      <c r="B105" s="136">
        <v>96</v>
      </c>
      <c r="C105" s="138">
        <v>1</v>
      </c>
      <c r="D105" s="474">
        <v>3567.2215939370481</v>
      </c>
      <c r="E105" s="127">
        <v>315.75742283478576</v>
      </c>
      <c r="F105" s="447">
        <v>0.37452883247927388</v>
      </c>
      <c r="G105" s="127">
        <v>114.87373615349233</v>
      </c>
      <c r="H105" s="132">
        <v>65.783906695148985</v>
      </c>
      <c r="I105" s="456"/>
      <c r="J105" s="45"/>
      <c r="K105" s="45">
        <v>510</v>
      </c>
      <c r="L105" s="463"/>
      <c r="M105" s="456">
        <v>27.473567962646484</v>
      </c>
      <c r="N105" s="457"/>
      <c r="O105" s="456"/>
      <c r="P105" s="46"/>
      <c r="Q105" s="463">
        <v>79.054679870605469</v>
      </c>
      <c r="R105" s="449"/>
      <c r="S105" s="463"/>
      <c r="T105" s="480"/>
      <c r="U105" s="468"/>
      <c r="V105" s="449"/>
      <c r="W105" s="45">
        <v>1365.1192626953125</v>
      </c>
      <c r="X105" s="463">
        <v>116.4979248046875</v>
      </c>
      <c r="Y105" s="449"/>
      <c r="Z105" s="45"/>
      <c r="AA105" s="468">
        <v>0.36542074210865955</v>
      </c>
      <c r="AB105" s="456"/>
      <c r="AC105" s="46"/>
      <c r="AD105" s="46"/>
      <c r="AE105" s="46"/>
      <c r="AF105" s="46"/>
      <c r="AG105" s="46"/>
      <c r="AH105" s="46"/>
      <c r="AI105" s="457"/>
      <c r="AJ105" s="138"/>
      <c r="AK105" s="745"/>
      <c r="AL105" s="54"/>
      <c r="AM105" s="468"/>
      <c r="AN105" s="449"/>
      <c r="AO105" s="45"/>
      <c r="AP105" s="45"/>
      <c r="AQ105" s="45"/>
      <c r="AR105" s="45"/>
      <c r="AS105" s="45"/>
      <c r="AT105" s="45"/>
      <c r="AU105" s="463"/>
      <c r="AV105" s="449"/>
      <c r="AW105" s="45"/>
      <c r="AX105" s="45"/>
      <c r="AY105" s="45"/>
      <c r="AZ105" s="45"/>
      <c r="BA105" s="45"/>
      <c r="BB105" s="45"/>
      <c r="BC105" s="463"/>
      <c r="BD105" s="456"/>
      <c r="BE105" s="46"/>
      <c r="BF105" s="46"/>
      <c r="BG105" s="46"/>
      <c r="BH105" s="46"/>
      <c r="BI105" s="46"/>
      <c r="BJ105" s="457"/>
      <c r="BK105" s="449">
        <v>0</v>
      </c>
      <c r="BL105" s="45"/>
      <c r="BM105" s="45"/>
      <c r="BN105" s="45"/>
      <c r="BO105" s="45"/>
      <c r="BP105" s="45"/>
      <c r="BQ105" s="45"/>
      <c r="BR105" s="45"/>
      <c r="BS105" s="45"/>
      <c r="BT105" s="45"/>
      <c r="BU105" s="45"/>
      <c r="BV105" s="45"/>
      <c r="BW105" s="45"/>
      <c r="BX105" s="45"/>
      <c r="BY105" s="45"/>
      <c r="BZ105" s="45"/>
      <c r="CA105" s="45"/>
      <c r="CB105" s="45"/>
      <c r="CC105" s="45"/>
      <c r="CD105" s="463"/>
    </row>
    <row r="106" spans="2:82">
      <c r="B106" s="136">
        <v>97</v>
      </c>
      <c r="C106" s="138">
        <v>1</v>
      </c>
      <c r="D106" s="474">
        <v>2973.2007373185388</v>
      </c>
      <c r="E106" s="127">
        <v>292.05759366520834</v>
      </c>
      <c r="F106" s="447">
        <v>0.3973609224498213</v>
      </c>
      <c r="G106" s="127">
        <v>120.9576165838688</v>
      </c>
      <c r="H106" s="132">
        <v>46.467803258604036</v>
      </c>
      <c r="I106" s="456"/>
      <c r="J106" s="45"/>
      <c r="K106" s="45">
        <v>460</v>
      </c>
      <c r="L106" s="463"/>
      <c r="M106" s="456">
        <v>33.306819915771484</v>
      </c>
      <c r="N106" s="457"/>
      <c r="O106" s="456"/>
      <c r="P106" s="46"/>
      <c r="Q106" s="463">
        <v>58.869380950927734</v>
      </c>
      <c r="R106" s="449"/>
      <c r="S106" s="463"/>
      <c r="T106" s="480"/>
      <c r="U106" s="468"/>
      <c r="V106" s="449"/>
      <c r="W106" s="45">
        <v>1362.265380859375</v>
      </c>
      <c r="X106" s="463">
        <v>116.09603118896484</v>
      </c>
      <c r="Y106" s="449"/>
      <c r="Z106" s="45"/>
      <c r="AA106" s="468">
        <v>0.38627952520830483</v>
      </c>
      <c r="AB106" s="456"/>
      <c r="AC106" s="46"/>
      <c r="AD106" s="46"/>
      <c r="AE106" s="46"/>
      <c r="AF106" s="46"/>
      <c r="AG106" s="46"/>
      <c r="AH106" s="46"/>
      <c r="AI106" s="457"/>
      <c r="AJ106" s="138"/>
      <c r="AK106" s="745"/>
      <c r="AL106" s="54"/>
      <c r="AM106" s="468"/>
      <c r="AN106" s="449"/>
      <c r="AO106" s="45"/>
      <c r="AP106" s="45"/>
      <c r="AQ106" s="45"/>
      <c r="AR106" s="45"/>
      <c r="AS106" s="45"/>
      <c r="AT106" s="45"/>
      <c r="AU106" s="463"/>
      <c r="AV106" s="449"/>
      <c r="AW106" s="45"/>
      <c r="AX106" s="45"/>
      <c r="AY106" s="45"/>
      <c r="AZ106" s="45"/>
      <c r="BA106" s="45"/>
      <c r="BB106" s="45"/>
      <c r="BC106" s="463"/>
      <c r="BD106" s="456"/>
      <c r="BE106" s="46"/>
      <c r="BF106" s="46"/>
      <c r="BG106" s="46"/>
      <c r="BH106" s="46"/>
      <c r="BI106" s="46"/>
      <c r="BJ106" s="457"/>
      <c r="BK106" s="449">
        <v>0</v>
      </c>
      <c r="BL106" s="45"/>
      <c r="BM106" s="45"/>
      <c r="BN106" s="45"/>
      <c r="BO106" s="45"/>
      <c r="BP106" s="45"/>
      <c r="BQ106" s="45"/>
      <c r="BR106" s="45"/>
      <c r="BS106" s="45"/>
      <c r="BT106" s="45"/>
      <c r="BU106" s="45"/>
      <c r="BV106" s="45"/>
      <c r="BW106" s="45"/>
      <c r="BX106" s="45"/>
      <c r="BY106" s="45"/>
      <c r="BZ106" s="45"/>
      <c r="CA106" s="45"/>
      <c r="CB106" s="45"/>
      <c r="CC106" s="45"/>
      <c r="CD106" s="463"/>
    </row>
    <row r="107" spans="2:82">
      <c r="B107" s="136">
        <v>98</v>
      </c>
      <c r="C107" s="138">
        <v>1</v>
      </c>
      <c r="D107" s="474">
        <v>3679.7244671558774</v>
      </c>
      <c r="E107" s="127">
        <v>245.58598550031817</v>
      </c>
      <c r="F107" s="447">
        <v>0.44183895070993673</v>
      </c>
      <c r="G107" s="127">
        <v>115.80557106429659</v>
      </c>
      <c r="H107" s="132">
        <v>67.059616058680092</v>
      </c>
      <c r="I107" s="456"/>
      <c r="J107" s="45"/>
      <c r="K107" s="45">
        <v>530</v>
      </c>
      <c r="L107" s="463"/>
      <c r="M107" s="456">
        <v>35.754722595214844</v>
      </c>
      <c r="N107" s="457"/>
      <c r="O107" s="456"/>
      <c r="P107" s="46"/>
      <c r="Q107" s="463">
        <v>81.334037780761719</v>
      </c>
      <c r="R107" s="449"/>
      <c r="S107" s="463"/>
      <c r="T107" s="480"/>
      <c r="U107" s="468"/>
      <c r="V107" s="449"/>
      <c r="W107" s="45">
        <v>1757.837646484375</v>
      </c>
      <c r="X107" s="463">
        <v>145.13929748535156</v>
      </c>
      <c r="Y107" s="449"/>
      <c r="Z107" s="45"/>
      <c r="AA107" s="468">
        <v>0.43264348531131358</v>
      </c>
      <c r="AB107" s="456"/>
      <c r="AC107" s="46"/>
      <c r="AD107" s="46"/>
      <c r="AE107" s="46"/>
      <c r="AF107" s="46"/>
      <c r="AG107" s="46"/>
      <c r="AH107" s="46"/>
      <c r="AI107" s="457"/>
      <c r="AJ107" s="138"/>
      <c r="AK107" s="745"/>
      <c r="AL107" s="54"/>
      <c r="AM107" s="468"/>
      <c r="AN107" s="449"/>
      <c r="AO107" s="45"/>
      <c r="AP107" s="45"/>
      <c r="AQ107" s="45"/>
      <c r="AR107" s="45"/>
      <c r="AS107" s="45"/>
      <c r="AT107" s="45"/>
      <c r="AU107" s="463"/>
      <c r="AV107" s="449"/>
      <c r="AW107" s="45"/>
      <c r="AX107" s="45"/>
      <c r="AY107" s="45"/>
      <c r="AZ107" s="45"/>
      <c r="BA107" s="45"/>
      <c r="BB107" s="45"/>
      <c r="BC107" s="463"/>
      <c r="BD107" s="456"/>
      <c r="BE107" s="46"/>
      <c r="BF107" s="46"/>
      <c r="BG107" s="46"/>
      <c r="BH107" s="46"/>
      <c r="BI107" s="46"/>
      <c r="BJ107" s="457"/>
      <c r="BK107" s="449">
        <v>0</v>
      </c>
      <c r="BL107" s="45"/>
      <c r="BM107" s="45"/>
      <c r="BN107" s="45"/>
      <c r="BO107" s="45"/>
      <c r="BP107" s="45"/>
      <c r="BQ107" s="45"/>
      <c r="BR107" s="45"/>
      <c r="BS107" s="45"/>
      <c r="BT107" s="45"/>
      <c r="BU107" s="45"/>
      <c r="BV107" s="45"/>
      <c r="BW107" s="45"/>
      <c r="BX107" s="45"/>
      <c r="BY107" s="45"/>
      <c r="BZ107" s="45"/>
      <c r="CA107" s="45"/>
      <c r="CB107" s="45"/>
      <c r="CC107" s="45"/>
      <c r="CD107" s="463"/>
    </row>
    <row r="108" spans="2:82">
      <c r="B108" s="136">
        <v>99</v>
      </c>
      <c r="C108" s="138">
        <v>1</v>
      </c>
      <c r="D108" s="474">
        <v>3520.2446529719546</v>
      </c>
      <c r="E108" s="127">
        <v>224.70385675926909</v>
      </c>
      <c r="F108" s="447">
        <v>0.45252701527288985</v>
      </c>
      <c r="G108" s="127">
        <v>111.04147305140793</v>
      </c>
      <c r="H108" s="132">
        <v>65.922315619098427</v>
      </c>
      <c r="I108" s="456"/>
      <c r="J108" s="45"/>
      <c r="K108" s="45">
        <v>510</v>
      </c>
      <c r="L108" s="463"/>
      <c r="M108" s="456">
        <v>37.173984527587891</v>
      </c>
      <c r="N108" s="457"/>
      <c r="O108" s="456"/>
      <c r="P108" s="46"/>
      <c r="Q108" s="463">
        <v>78.161209106445313</v>
      </c>
      <c r="R108" s="449"/>
      <c r="S108" s="463"/>
      <c r="T108" s="480"/>
      <c r="U108" s="468"/>
      <c r="V108" s="449"/>
      <c r="W108" s="45">
        <v>1776.7159423828125</v>
      </c>
      <c r="X108" s="463">
        <v>146.43675231933594</v>
      </c>
      <c r="Y108" s="449"/>
      <c r="Z108" s="45"/>
      <c r="AA108" s="468">
        <v>0.44285423861609957</v>
      </c>
      <c r="AB108" s="456"/>
      <c r="AC108" s="46"/>
      <c r="AD108" s="46"/>
      <c r="AE108" s="46"/>
      <c r="AF108" s="46"/>
      <c r="AG108" s="46"/>
      <c r="AH108" s="46"/>
      <c r="AI108" s="457"/>
      <c r="AJ108" s="138"/>
      <c r="AK108" s="745"/>
      <c r="AL108" s="54"/>
      <c r="AM108" s="468"/>
      <c r="AN108" s="449"/>
      <c r="AO108" s="45"/>
      <c r="AP108" s="45"/>
      <c r="AQ108" s="45"/>
      <c r="AR108" s="45"/>
      <c r="AS108" s="45"/>
      <c r="AT108" s="45"/>
      <c r="AU108" s="463"/>
      <c r="AV108" s="449"/>
      <c r="AW108" s="45"/>
      <c r="AX108" s="45"/>
      <c r="AY108" s="45"/>
      <c r="AZ108" s="45"/>
      <c r="BA108" s="45"/>
      <c r="BB108" s="45"/>
      <c r="BC108" s="463"/>
      <c r="BD108" s="456"/>
      <c r="BE108" s="46"/>
      <c r="BF108" s="46"/>
      <c r="BG108" s="46"/>
      <c r="BH108" s="46"/>
      <c r="BI108" s="46"/>
      <c r="BJ108" s="457"/>
      <c r="BK108" s="449">
        <v>0</v>
      </c>
      <c r="BL108" s="45"/>
      <c r="BM108" s="45"/>
      <c r="BN108" s="45"/>
      <c r="BO108" s="45"/>
      <c r="BP108" s="45"/>
      <c r="BQ108" s="45"/>
      <c r="BR108" s="45"/>
      <c r="BS108" s="45"/>
      <c r="BT108" s="45"/>
      <c r="BU108" s="45"/>
      <c r="BV108" s="45"/>
      <c r="BW108" s="45"/>
      <c r="BX108" s="45"/>
      <c r="BY108" s="45"/>
      <c r="BZ108" s="45"/>
      <c r="CA108" s="45"/>
      <c r="CB108" s="45"/>
      <c r="CC108" s="45"/>
      <c r="CD108" s="463"/>
    </row>
    <row r="109" spans="2:82">
      <c r="B109" s="136">
        <v>100</v>
      </c>
      <c r="C109" s="138">
        <v>1</v>
      </c>
      <c r="D109" s="474">
        <v>2859.3004661654786</v>
      </c>
      <c r="E109" s="127">
        <v>288.58021113399252</v>
      </c>
      <c r="F109" s="447">
        <v>0.35117087046373113</v>
      </c>
      <c r="G109" s="127">
        <v>114.65175363278424</v>
      </c>
      <c r="H109" s="132">
        <v>45.900235750107548</v>
      </c>
      <c r="I109" s="456"/>
      <c r="J109" s="45"/>
      <c r="K109" s="45">
        <v>440</v>
      </c>
      <c r="L109" s="463"/>
      <c r="M109" s="456">
        <v>28.764692306518555</v>
      </c>
      <c r="N109" s="457"/>
      <c r="O109" s="456"/>
      <c r="P109" s="46"/>
      <c r="Q109" s="463">
        <v>56.614151000976563</v>
      </c>
      <c r="R109" s="449"/>
      <c r="S109" s="463"/>
      <c r="T109" s="480"/>
      <c r="U109" s="468"/>
      <c r="V109" s="449"/>
      <c r="W109" s="45">
        <v>1131.7252197265625</v>
      </c>
      <c r="X109" s="463">
        <v>99.213356018066406</v>
      </c>
      <c r="Y109" s="449"/>
      <c r="Z109" s="45"/>
      <c r="AA109" s="468">
        <v>0.33997113200035084</v>
      </c>
      <c r="AB109" s="456"/>
      <c r="AC109" s="46"/>
      <c r="AD109" s="46"/>
      <c r="AE109" s="46"/>
      <c r="AF109" s="46"/>
      <c r="AG109" s="46"/>
      <c r="AH109" s="46"/>
      <c r="AI109" s="457"/>
      <c r="AJ109" s="138"/>
      <c r="AK109" s="745"/>
      <c r="AL109" s="54"/>
      <c r="AM109" s="468"/>
      <c r="AN109" s="449"/>
      <c r="AO109" s="45"/>
      <c r="AP109" s="45"/>
      <c r="AQ109" s="45"/>
      <c r="AR109" s="45"/>
      <c r="AS109" s="45"/>
      <c r="AT109" s="45"/>
      <c r="AU109" s="463"/>
      <c r="AV109" s="449"/>
      <c r="AW109" s="45"/>
      <c r="AX109" s="45"/>
      <c r="AY109" s="45"/>
      <c r="AZ109" s="45"/>
      <c r="BA109" s="45"/>
      <c r="BB109" s="45"/>
      <c r="BC109" s="463"/>
      <c r="BD109" s="456"/>
      <c r="BE109" s="46"/>
      <c r="BF109" s="46"/>
      <c r="BG109" s="46"/>
      <c r="BH109" s="46"/>
      <c r="BI109" s="46"/>
      <c r="BJ109" s="457"/>
      <c r="BK109" s="449">
        <v>0</v>
      </c>
      <c r="BL109" s="45"/>
      <c r="BM109" s="45"/>
      <c r="BN109" s="45"/>
      <c r="BO109" s="45"/>
      <c r="BP109" s="45"/>
      <c r="BQ109" s="45"/>
      <c r="BR109" s="45"/>
      <c r="BS109" s="45"/>
      <c r="BT109" s="45"/>
      <c r="BU109" s="45"/>
      <c r="BV109" s="45"/>
      <c r="BW109" s="45"/>
      <c r="BX109" s="45"/>
      <c r="BY109" s="45"/>
      <c r="BZ109" s="45"/>
      <c r="CA109" s="45"/>
      <c r="CB109" s="45"/>
      <c r="CC109" s="45"/>
      <c r="CD109" s="463"/>
    </row>
    <row r="110" spans="2:82">
      <c r="B110" s="136">
        <v>101</v>
      </c>
      <c r="C110" s="138">
        <v>1</v>
      </c>
      <c r="D110" s="474">
        <v>2832.5461953069212</v>
      </c>
      <c r="E110" s="127">
        <v>230.11165258689397</v>
      </c>
      <c r="F110" s="447">
        <v>0.38869892008988283</v>
      </c>
      <c r="G110" s="127">
        <v>88.957508073216147</v>
      </c>
      <c r="H110" s="132">
        <v>60.857649122290148</v>
      </c>
      <c r="I110" s="456"/>
      <c r="J110" s="45"/>
      <c r="K110" s="45">
        <v>410</v>
      </c>
      <c r="L110" s="463"/>
      <c r="M110" s="456">
        <v>27.264778137207031</v>
      </c>
      <c r="N110" s="457"/>
      <c r="O110" s="456"/>
      <c r="P110" s="46"/>
      <c r="Q110" s="463">
        <v>64.505599975585937</v>
      </c>
      <c r="R110" s="449"/>
      <c r="S110" s="463"/>
      <c r="T110" s="480"/>
      <c r="U110" s="468"/>
      <c r="V110" s="449"/>
      <c r="W110" s="45">
        <v>1184.70263671875</v>
      </c>
      <c r="X110" s="463">
        <v>102.96287536621094</v>
      </c>
      <c r="Y110" s="449"/>
      <c r="Z110" s="45"/>
      <c r="AA110" s="468">
        <v>0.37712841915468226</v>
      </c>
      <c r="AB110" s="456"/>
      <c r="AC110" s="46"/>
      <c r="AD110" s="46"/>
      <c r="AE110" s="46"/>
      <c r="AF110" s="46"/>
      <c r="AG110" s="46"/>
      <c r="AH110" s="46"/>
      <c r="AI110" s="457"/>
      <c r="AJ110" s="138"/>
      <c r="AK110" s="745"/>
      <c r="AL110" s="54"/>
      <c r="AM110" s="468"/>
      <c r="AN110" s="449"/>
      <c r="AO110" s="45"/>
      <c r="AP110" s="45"/>
      <c r="AQ110" s="45"/>
      <c r="AR110" s="45"/>
      <c r="AS110" s="45"/>
      <c r="AT110" s="45"/>
      <c r="AU110" s="463"/>
      <c r="AV110" s="449"/>
      <c r="AW110" s="45"/>
      <c r="AX110" s="45"/>
      <c r="AY110" s="45"/>
      <c r="AZ110" s="45"/>
      <c r="BA110" s="45"/>
      <c r="BB110" s="45"/>
      <c r="BC110" s="463"/>
      <c r="BD110" s="456"/>
      <c r="BE110" s="46"/>
      <c r="BF110" s="46"/>
      <c r="BG110" s="46"/>
      <c r="BH110" s="46"/>
      <c r="BI110" s="46"/>
      <c r="BJ110" s="457"/>
      <c r="BK110" s="449">
        <v>0</v>
      </c>
      <c r="BL110" s="45"/>
      <c r="BM110" s="45"/>
      <c r="BN110" s="45"/>
      <c r="BO110" s="45"/>
      <c r="BP110" s="45"/>
      <c r="BQ110" s="45"/>
      <c r="BR110" s="45"/>
      <c r="BS110" s="45"/>
      <c r="BT110" s="45"/>
      <c r="BU110" s="45"/>
      <c r="BV110" s="45"/>
      <c r="BW110" s="45"/>
      <c r="BX110" s="45"/>
      <c r="BY110" s="45"/>
      <c r="BZ110" s="45"/>
      <c r="CA110" s="45"/>
      <c r="CB110" s="45"/>
      <c r="CC110" s="45"/>
      <c r="CD110" s="463"/>
    </row>
    <row r="111" spans="2:82">
      <c r="B111" s="136">
        <v>102</v>
      </c>
      <c r="C111" s="138">
        <v>1</v>
      </c>
      <c r="D111" s="474">
        <v>3651.6552126309266</v>
      </c>
      <c r="E111" s="127">
        <v>228.61399460485779</v>
      </c>
      <c r="F111" s="447">
        <v>0.40284991331177677</v>
      </c>
      <c r="G111" s="127">
        <v>152.38169987432298</v>
      </c>
      <c r="H111" s="132">
        <v>51.535472981944842</v>
      </c>
      <c r="I111" s="456"/>
      <c r="J111" s="45"/>
      <c r="K111" s="45">
        <v>580</v>
      </c>
      <c r="L111" s="463"/>
      <c r="M111" s="456">
        <v>35.875083923339844</v>
      </c>
      <c r="N111" s="457"/>
      <c r="O111" s="456"/>
      <c r="P111" s="46"/>
      <c r="Q111" s="463">
        <v>72.302772521972656</v>
      </c>
      <c r="R111" s="449"/>
      <c r="S111" s="463"/>
      <c r="T111" s="480"/>
      <c r="U111" s="468"/>
      <c r="V111" s="449"/>
      <c r="W111" s="45">
        <v>1682.4761962890625</v>
      </c>
      <c r="X111" s="463">
        <v>139.86112976074219</v>
      </c>
      <c r="Y111" s="449"/>
      <c r="Z111" s="45"/>
      <c r="AA111" s="468">
        <v>0.39379730666044432</v>
      </c>
      <c r="AB111" s="456"/>
      <c r="AC111" s="46"/>
      <c r="AD111" s="46"/>
      <c r="AE111" s="46"/>
      <c r="AF111" s="46"/>
      <c r="AG111" s="46"/>
      <c r="AH111" s="46"/>
      <c r="AI111" s="457"/>
      <c r="AJ111" s="138"/>
      <c r="AK111" s="745"/>
      <c r="AL111" s="54"/>
      <c r="AM111" s="468"/>
      <c r="AN111" s="449"/>
      <c r="AO111" s="45"/>
      <c r="AP111" s="45"/>
      <c r="AQ111" s="45"/>
      <c r="AR111" s="45"/>
      <c r="AS111" s="45"/>
      <c r="AT111" s="45"/>
      <c r="AU111" s="463"/>
      <c r="AV111" s="449"/>
      <c r="AW111" s="45"/>
      <c r="AX111" s="45"/>
      <c r="AY111" s="45"/>
      <c r="AZ111" s="45"/>
      <c r="BA111" s="45"/>
      <c r="BB111" s="45"/>
      <c r="BC111" s="463"/>
      <c r="BD111" s="456"/>
      <c r="BE111" s="46"/>
      <c r="BF111" s="46"/>
      <c r="BG111" s="46"/>
      <c r="BH111" s="46"/>
      <c r="BI111" s="46"/>
      <c r="BJ111" s="457"/>
      <c r="BK111" s="449">
        <v>0</v>
      </c>
      <c r="BL111" s="45"/>
      <c r="BM111" s="45"/>
      <c r="BN111" s="45"/>
      <c r="BO111" s="45"/>
      <c r="BP111" s="45"/>
      <c r="BQ111" s="45"/>
      <c r="BR111" s="45"/>
      <c r="BS111" s="45"/>
      <c r="BT111" s="45"/>
      <c r="BU111" s="45"/>
      <c r="BV111" s="45"/>
      <c r="BW111" s="45"/>
      <c r="BX111" s="45"/>
      <c r="BY111" s="45"/>
      <c r="BZ111" s="45"/>
      <c r="CA111" s="45"/>
      <c r="CB111" s="45"/>
      <c r="CC111" s="45"/>
      <c r="CD111" s="463"/>
    </row>
    <row r="112" spans="2:82">
      <c r="B112" s="136">
        <v>103</v>
      </c>
      <c r="C112" s="138">
        <v>1</v>
      </c>
      <c r="D112" s="474">
        <v>3627.8865183665566</v>
      </c>
      <c r="E112" s="127">
        <v>228.1440289317504</v>
      </c>
      <c r="F112" s="447">
        <v>0.49926095553867533</v>
      </c>
      <c r="G112" s="127">
        <v>124.06310700135249</v>
      </c>
      <c r="H112" s="132">
        <v>58.644691245974741</v>
      </c>
      <c r="I112" s="456"/>
      <c r="J112" s="45"/>
      <c r="K112" s="45">
        <v>530</v>
      </c>
      <c r="L112" s="463"/>
      <c r="M112" s="456">
        <v>51.237640380859375</v>
      </c>
      <c r="N112" s="457"/>
      <c r="O112" s="456"/>
      <c r="P112" s="46"/>
      <c r="Q112" s="463">
        <v>71.832160949707031</v>
      </c>
      <c r="R112" s="449"/>
      <c r="S112" s="463"/>
      <c r="T112" s="480"/>
      <c r="U112" s="468"/>
      <c r="V112" s="449"/>
      <c r="W112" s="45">
        <v>2287.90087890625</v>
      </c>
      <c r="X112" s="463">
        <v>183.68466186523437</v>
      </c>
      <c r="Y112" s="449"/>
      <c r="Z112" s="45"/>
      <c r="AA112" s="468">
        <v>0.48961753947986064</v>
      </c>
      <c r="AB112" s="456"/>
      <c r="AC112" s="46"/>
      <c r="AD112" s="46"/>
      <c r="AE112" s="46"/>
      <c r="AF112" s="46"/>
      <c r="AG112" s="46"/>
      <c r="AH112" s="46"/>
      <c r="AI112" s="457"/>
      <c r="AJ112" s="138"/>
      <c r="AK112" s="745"/>
      <c r="AL112" s="54"/>
      <c r="AM112" s="468"/>
      <c r="AN112" s="449"/>
      <c r="AO112" s="45"/>
      <c r="AP112" s="45"/>
      <c r="AQ112" s="45"/>
      <c r="AR112" s="45"/>
      <c r="AS112" s="45"/>
      <c r="AT112" s="45"/>
      <c r="AU112" s="463"/>
      <c r="AV112" s="449"/>
      <c r="AW112" s="45"/>
      <c r="AX112" s="45"/>
      <c r="AY112" s="45"/>
      <c r="AZ112" s="45"/>
      <c r="BA112" s="45"/>
      <c r="BB112" s="45"/>
      <c r="BC112" s="463"/>
      <c r="BD112" s="456"/>
      <c r="BE112" s="46"/>
      <c r="BF112" s="46"/>
      <c r="BG112" s="46"/>
      <c r="BH112" s="46"/>
      <c r="BI112" s="46"/>
      <c r="BJ112" s="457"/>
      <c r="BK112" s="449">
        <v>0</v>
      </c>
      <c r="BL112" s="45"/>
      <c r="BM112" s="45"/>
      <c r="BN112" s="45"/>
      <c r="BO112" s="45"/>
      <c r="BP112" s="45"/>
      <c r="BQ112" s="45"/>
      <c r="BR112" s="45"/>
      <c r="BS112" s="45"/>
      <c r="BT112" s="45"/>
      <c r="BU112" s="45"/>
      <c r="BV112" s="45"/>
      <c r="BW112" s="45"/>
      <c r="BX112" s="45"/>
      <c r="BY112" s="45"/>
      <c r="BZ112" s="45"/>
      <c r="CA112" s="45"/>
      <c r="CB112" s="45"/>
      <c r="CC112" s="45"/>
      <c r="CD112" s="463"/>
    </row>
    <row r="113" spans="2:82">
      <c r="B113" s="136">
        <v>104</v>
      </c>
      <c r="C113" s="138">
        <v>1</v>
      </c>
      <c r="D113" s="474">
        <v>3374.329959131172</v>
      </c>
      <c r="E113" s="127">
        <v>214.60548531126977</v>
      </c>
      <c r="F113" s="447">
        <v>0.39419982709206614</v>
      </c>
      <c r="G113" s="127">
        <v>133.75103311587088</v>
      </c>
      <c r="H113" s="132">
        <v>51.424224494176016</v>
      </c>
      <c r="I113" s="456"/>
      <c r="J113" s="45"/>
      <c r="K113" s="45">
        <v>520</v>
      </c>
      <c r="L113" s="463"/>
      <c r="M113" s="456">
        <v>33.041568756103516</v>
      </c>
      <c r="N113" s="457"/>
      <c r="O113" s="456"/>
      <c r="P113" s="46"/>
      <c r="Q113" s="463">
        <v>66.811737060546875</v>
      </c>
      <c r="R113" s="449"/>
      <c r="S113" s="463"/>
      <c r="T113" s="480"/>
      <c r="U113" s="468"/>
      <c r="V113" s="449"/>
      <c r="W113" s="45">
        <v>1477.4454345703125</v>
      </c>
      <c r="X113" s="463">
        <v>124.69171905517578</v>
      </c>
      <c r="Y113" s="449"/>
      <c r="Z113" s="45"/>
      <c r="AA113" s="468">
        <v>0.38445448596060539</v>
      </c>
      <c r="AB113" s="456"/>
      <c r="AC113" s="46"/>
      <c r="AD113" s="46"/>
      <c r="AE113" s="46"/>
      <c r="AF113" s="46"/>
      <c r="AG113" s="46"/>
      <c r="AH113" s="46"/>
      <c r="AI113" s="457"/>
      <c r="AJ113" s="138"/>
      <c r="AK113" s="745"/>
      <c r="AL113" s="54"/>
      <c r="AM113" s="468"/>
      <c r="AN113" s="449"/>
      <c r="AO113" s="45"/>
      <c r="AP113" s="45"/>
      <c r="AQ113" s="45"/>
      <c r="AR113" s="45"/>
      <c r="AS113" s="45"/>
      <c r="AT113" s="45"/>
      <c r="AU113" s="463"/>
      <c r="AV113" s="449"/>
      <c r="AW113" s="45"/>
      <c r="AX113" s="45"/>
      <c r="AY113" s="45"/>
      <c r="AZ113" s="45"/>
      <c r="BA113" s="45"/>
      <c r="BB113" s="45"/>
      <c r="BC113" s="463"/>
      <c r="BD113" s="456"/>
      <c r="BE113" s="46"/>
      <c r="BF113" s="46"/>
      <c r="BG113" s="46"/>
      <c r="BH113" s="46"/>
      <c r="BI113" s="46"/>
      <c r="BJ113" s="457"/>
      <c r="BK113" s="449">
        <v>0</v>
      </c>
      <c r="BL113" s="45"/>
      <c r="BM113" s="45"/>
      <c r="BN113" s="45"/>
      <c r="BO113" s="45"/>
      <c r="BP113" s="45"/>
      <c r="BQ113" s="45"/>
      <c r="BR113" s="45"/>
      <c r="BS113" s="45"/>
      <c r="BT113" s="45"/>
      <c r="BU113" s="45"/>
      <c r="BV113" s="45"/>
      <c r="BW113" s="45"/>
      <c r="BX113" s="45"/>
      <c r="BY113" s="45"/>
      <c r="BZ113" s="45"/>
      <c r="CA113" s="45"/>
      <c r="CB113" s="45"/>
      <c r="CC113" s="45"/>
      <c r="CD113" s="463"/>
    </row>
    <row r="114" spans="2:82">
      <c r="B114" s="136">
        <v>105</v>
      </c>
      <c r="C114" s="138">
        <v>1</v>
      </c>
      <c r="D114" s="474">
        <v>3390.2508963972132</v>
      </c>
      <c r="E114" s="127">
        <v>241.38266898617974</v>
      </c>
      <c r="F114" s="447">
        <v>0.39414519997301717</v>
      </c>
      <c r="G114" s="127">
        <v>108.47367451005849</v>
      </c>
      <c r="H114" s="132">
        <v>58.48254734761008</v>
      </c>
      <c r="I114" s="456"/>
      <c r="J114" s="45"/>
      <c r="K114" s="45">
        <v>460</v>
      </c>
      <c r="L114" s="463"/>
      <c r="M114" s="456">
        <v>29.72538948059082</v>
      </c>
      <c r="N114" s="457"/>
      <c r="O114" s="456"/>
      <c r="P114" s="46"/>
      <c r="Q114" s="463">
        <v>67.126968383789063</v>
      </c>
      <c r="R114" s="449"/>
      <c r="S114" s="463"/>
      <c r="T114" s="480"/>
      <c r="U114" s="468"/>
      <c r="V114" s="449"/>
      <c r="W114" s="45">
        <v>1326.778076171875</v>
      </c>
      <c r="X114" s="463">
        <v>113.49787139892578</v>
      </c>
      <c r="Y114" s="449"/>
      <c r="Z114" s="45"/>
      <c r="AA114" s="468">
        <v>0.38444594614068145</v>
      </c>
      <c r="AB114" s="456"/>
      <c r="AC114" s="46"/>
      <c r="AD114" s="46"/>
      <c r="AE114" s="46"/>
      <c r="AF114" s="46"/>
      <c r="AG114" s="46"/>
      <c r="AH114" s="46"/>
      <c r="AI114" s="457"/>
      <c r="AJ114" s="138"/>
      <c r="AK114" s="745"/>
      <c r="AL114" s="54"/>
      <c r="AM114" s="468"/>
      <c r="AN114" s="449"/>
      <c r="AO114" s="45"/>
      <c r="AP114" s="45"/>
      <c r="AQ114" s="45"/>
      <c r="AR114" s="45"/>
      <c r="AS114" s="45"/>
      <c r="AT114" s="45"/>
      <c r="AU114" s="463"/>
      <c r="AV114" s="449"/>
      <c r="AW114" s="45"/>
      <c r="AX114" s="45"/>
      <c r="AY114" s="45"/>
      <c r="AZ114" s="45"/>
      <c r="BA114" s="45"/>
      <c r="BB114" s="45"/>
      <c r="BC114" s="463"/>
      <c r="BD114" s="456"/>
      <c r="BE114" s="46"/>
      <c r="BF114" s="46"/>
      <c r="BG114" s="46"/>
      <c r="BH114" s="46"/>
      <c r="BI114" s="46"/>
      <c r="BJ114" s="457"/>
      <c r="BK114" s="449">
        <v>0</v>
      </c>
      <c r="BL114" s="45"/>
      <c r="BM114" s="45"/>
      <c r="BN114" s="45"/>
      <c r="BO114" s="45"/>
      <c r="BP114" s="45"/>
      <c r="BQ114" s="45"/>
      <c r="BR114" s="45"/>
      <c r="BS114" s="45"/>
      <c r="BT114" s="45"/>
      <c r="BU114" s="45"/>
      <c r="BV114" s="45"/>
      <c r="BW114" s="45"/>
      <c r="BX114" s="45"/>
      <c r="BY114" s="45"/>
      <c r="BZ114" s="45"/>
      <c r="CA114" s="45"/>
      <c r="CB114" s="45"/>
      <c r="CC114" s="45"/>
      <c r="CD114" s="463"/>
    </row>
    <row r="115" spans="2:82">
      <c r="B115" s="136">
        <v>106</v>
      </c>
      <c r="C115" s="138">
        <v>1</v>
      </c>
      <c r="D115" s="474">
        <v>2713.6018511871321</v>
      </c>
      <c r="E115" s="127">
        <v>212.62379263935964</v>
      </c>
      <c r="F115" s="447">
        <v>0.38874510741335583</v>
      </c>
      <c r="G115" s="127">
        <v>93.966818652711325</v>
      </c>
      <c r="H115" s="132">
        <v>49.691745063654722</v>
      </c>
      <c r="I115" s="456"/>
      <c r="J115" s="45"/>
      <c r="K115" s="45">
        <v>390</v>
      </c>
      <c r="L115" s="463"/>
      <c r="M115" s="456">
        <v>29.961835861206055</v>
      </c>
      <c r="N115" s="457"/>
      <c r="O115" s="456"/>
      <c r="P115" s="46"/>
      <c r="Q115" s="463">
        <v>53.729316711425781</v>
      </c>
      <c r="R115" s="449"/>
      <c r="S115" s="463"/>
      <c r="T115" s="480"/>
      <c r="U115" s="468"/>
      <c r="V115" s="449"/>
      <c r="W115" s="45">
        <v>1130.107421875</v>
      </c>
      <c r="X115" s="463">
        <v>98.885902404785156</v>
      </c>
      <c r="Y115" s="449"/>
      <c r="Z115" s="45"/>
      <c r="AA115" s="468">
        <v>0.37666710041541362</v>
      </c>
      <c r="AB115" s="456"/>
      <c r="AC115" s="46"/>
      <c r="AD115" s="46"/>
      <c r="AE115" s="46"/>
      <c r="AF115" s="46"/>
      <c r="AG115" s="46"/>
      <c r="AH115" s="46"/>
      <c r="AI115" s="457"/>
      <c r="AJ115" s="138"/>
      <c r="AK115" s="745"/>
      <c r="AL115" s="54"/>
      <c r="AM115" s="468"/>
      <c r="AN115" s="449"/>
      <c r="AO115" s="45"/>
      <c r="AP115" s="45"/>
      <c r="AQ115" s="45"/>
      <c r="AR115" s="45"/>
      <c r="AS115" s="45"/>
      <c r="AT115" s="45"/>
      <c r="AU115" s="463"/>
      <c r="AV115" s="449"/>
      <c r="AW115" s="45"/>
      <c r="AX115" s="45"/>
      <c r="AY115" s="45"/>
      <c r="AZ115" s="45"/>
      <c r="BA115" s="45"/>
      <c r="BB115" s="45"/>
      <c r="BC115" s="463"/>
      <c r="BD115" s="456"/>
      <c r="BE115" s="46"/>
      <c r="BF115" s="46"/>
      <c r="BG115" s="46"/>
      <c r="BH115" s="46"/>
      <c r="BI115" s="46"/>
      <c r="BJ115" s="457"/>
      <c r="BK115" s="449">
        <v>0</v>
      </c>
      <c r="BL115" s="45"/>
      <c r="BM115" s="45"/>
      <c r="BN115" s="45"/>
      <c r="BO115" s="45"/>
      <c r="BP115" s="45"/>
      <c r="BQ115" s="45"/>
      <c r="BR115" s="45"/>
      <c r="BS115" s="45"/>
      <c r="BT115" s="45"/>
      <c r="BU115" s="45"/>
      <c r="BV115" s="45"/>
      <c r="BW115" s="45"/>
      <c r="BX115" s="45"/>
      <c r="BY115" s="45"/>
      <c r="BZ115" s="45"/>
      <c r="CA115" s="45"/>
      <c r="CB115" s="45"/>
      <c r="CC115" s="45"/>
      <c r="CD115" s="463"/>
    </row>
    <row r="116" spans="2:82">
      <c r="B116" s="136">
        <v>107</v>
      </c>
      <c r="C116" s="138">
        <v>1</v>
      </c>
      <c r="D116" s="474">
        <v>3332.9232800014561</v>
      </c>
      <c r="E116" s="127">
        <v>262.70792407755073</v>
      </c>
      <c r="F116" s="447">
        <v>0.37943815470955755</v>
      </c>
      <c r="G116" s="127">
        <v>129.94757444601348</v>
      </c>
      <c r="H116" s="132">
        <v>51.718661317949895</v>
      </c>
      <c r="I116" s="456"/>
      <c r="J116" s="45"/>
      <c r="K116" s="45">
        <v>510</v>
      </c>
      <c r="L116" s="463"/>
      <c r="M116" s="456">
        <v>31.087776184082031</v>
      </c>
      <c r="N116" s="457"/>
      <c r="O116" s="456"/>
      <c r="P116" s="46"/>
      <c r="Q116" s="463">
        <v>65.99188232421875</v>
      </c>
      <c r="R116" s="449"/>
      <c r="S116" s="463"/>
      <c r="T116" s="480"/>
      <c r="U116" s="468"/>
      <c r="V116" s="449"/>
      <c r="W116" s="45">
        <v>1386.5889892578125</v>
      </c>
      <c r="X116" s="463">
        <v>118.04043579101562</v>
      </c>
      <c r="Y116" s="449"/>
      <c r="Z116" s="45"/>
      <c r="AA116" s="468">
        <v>0.36966032295155299</v>
      </c>
      <c r="AB116" s="456"/>
      <c r="AC116" s="46"/>
      <c r="AD116" s="46"/>
      <c r="AE116" s="46"/>
      <c r="AF116" s="46"/>
      <c r="AG116" s="46"/>
      <c r="AH116" s="46"/>
      <c r="AI116" s="457"/>
      <c r="AJ116" s="138"/>
      <c r="AK116" s="745"/>
      <c r="AL116" s="54"/>
      <c r="AM116" s="468"/>
      <c r="AN116" s="449"/>
      <c r="AO116" s="45"/>
      <c r="AP116" s="45"/>
      <c r="AQ116" s="45"/>
      <c r="AR116" s="45"/>
      <c r="AS116" s="45"/>
      <c r="AT116" s="45"/>
      <c r="AU116" s="463"/>
      <c r="AV116" s="449"/>
      <c r="AW116" s="45"/>
      <c r="AX116" s="45"/>
      <c r="AY116" s="45"/>
      <c r="AZ116" s="45"/>
      <c r="BA116" s="45"/>
      <c r="BB116" s="45"/>
      <c r="BC116" s="463"/>
      <c r="BD116" s="456"/>
      <c r="BE116" s="46"/>
      <c r="BF116" s="46"/>
      <c r="BG116" s="46"/>
      <c r="BH116" s="46"/>
      <c r="BI116" s="46"/>
      <c r="BJ116" s="457"/>
      <c r="BK116" s="449">
        <v>0</v>
      </c>
      <c r="BL116" s="45"/>
      <c r="BM116" s="45"/>
      <c r="BN116" s="45"/>
      <c r="BO116" s="45"/>
      <c r="BP116" s="45"/>
      <c r="BQ116" s="45"/>
      <c r="BR116" s="45"/>
      <c r="BS116" s="45"/>
      <c r="BT116" s="45"/>
      <c r="BU116" s="45"/>
      <c r="BV116" s="45"/>
      <c r="BW116" s="45"/>
      <c r="BX116" s="45"/>
      <c r="BY116" s="45"/>
      <c r="BZ116" s="45"/>
      <c r="CA116" s="45"/>
      <c r="CB116" s="45"/>
      <c r="CC116" s="45"/>
      <c r="CD116" s="463"/>
    </row>
    <row r="117" spans="2:82">
      <c r="B117" s="136">
        <v>108</v>
      </c>
      <c r="C117" s="138">
        <v>1</v>
      </c>
      <c r="D117" s="474">
        <v>2566.3115596682651</v>
      </c>
      <c r="E117" s="127">
        <v>280.93724791916895</v>
      </c>
      <c r="F117" s="447">
        <v>0.48922413419076727</v>
      </c>
      <c r="G117" s="127">
        <v>89.267761694591869</v>
      </c>
      <c r="H117" s="132">
        <v>56.354352565438752</v>
      </c>
      <c r="I117" s="456"/>
      <c r="J117" s="45"/>
      <c r="K117" s="45">
        <v>400</v>
      </c>
      <c r="L117" s="463"/>
      <c r="M117" s="456">
        <v>42.627994537353516</v>
      </c>
      <c r="N117" s="457"/>
      <c r="O117" s="456"/>
      <c r="P117" s="46"/>
      <c r="Q117" s="463">
        <v>59.068988800048828</v>
      </c>
      <c r="R117" s="449"/>
      <c r="S117" s="463"/>
      <c r="T117" s="480"/>
      <c r="U117" s="468"/>
      <c r="V117" s="449"/>
      <c r="W117" s="45">
        <v>1691.7823486328125</v>
      </c>
      <c r="X117" s="463">
        <v>139.8116455078125</v>
      </c>
      <c r="Y117" s="449"/>
      <c r="Z117" s="45"/>
      <c r="AA117" s="468">
        <v>0.47566986306076003</v>
      </c>
      <c r="AB117" s="456"/>
      <c r="AC117" s="46"/>
      <c r="AD117" s="46"/>
      <c r="AE117" s="46"/>
      <c r="AF117" s="46"/>
      <c r="AG117" s="46"/>
      <c r="AH117" s="46"/>
      <c r="AI117" s="457"/>
      <c r="AJ117" s="138"/>
      <c r="AK117" s="745"/>
      <c r="AL117" s="54"/>
      <c r="AM117" s="468"/>
      <c r="AN117" s="449"/>
      <c r="AO117" s="45"/>
      <c r="AP117" s="45"/>
      <c r="AQ117" s="45"/>
      <c r="AR117" s="45"/>
      <c r="AS117" s="45"/>
      <c r="AT117" s="45"/>
      <c r="AU117" s="463"/>
      <c r="AV117" s="449"/>
      <c r="AW117" s="45"/>
      <c r="AX117" s="45"/>
      <c r="AY117" s="45"/>
      <c r="AZ117" s="45"/>
      <c r="BA117" s="45"/>
      <c r="BB117" s="45"/>
      <c r="BC117" s="463"/>
      <c r="BD117" s="456"/>
      <c r="BE117" s="46"/>
      <c r="BF117" s="46"/>
      <c r="BG117" s="46"/>
      <c r="BH117" s="46"/>
      <c r="BI117" s="46"/>
      <c r="BJ117" s="457"/>
      <c r="BK117" s="449">
        <v>0</v>
      </c>
      <c r="BL117" s="45"/>
      <c r="BM117" s="45"/>
      <c r="BN117" s="45"/>
      <c r="BO117" s="45"/>
      <c r="BP117" s="45"/>
      <c r="BQ117" s="45"/>
      <c r="BR117" s="45"/>
      <c r="BS117" s="45"/>
      <c r="BT117" s="45"/>
      <c r="BU117" s="45"/>
      <c r="BV117" s="45"/>
      <c r="BW117" s="45"/>
      <c r="BX117" s="45"/>
      <c r="BY117" s="45"/>
      <c r="BZ117" s="45"/>
      <c r="CA117" s="45"/>
      <c r="CB117" s="45"/>
      <c r="CC117" s="45"/>
      <c r="CD117" s="463"/>
    </row>
    <row r="118" spans="2:82">
      <c r="B118" s="136">
        <v>109</v>
      </c>
      <c r="C118" s="138">
        <v>1</v>
      </c>
      <c r="D118" s="474">
        <v>4072.8196637750298</v>
      </c>
      <c r="E118" s="127">
        <v>185.54626220445533</v>
      </c>
      <c r="F118" s="447">
        <v>0.40823575008195567</v>
      </c>
      <c r="G118" s="127">
        <v>149.60766907215782</v>
      </c>
      <c r="H118" s="132">
        <v>59.782915019877272</v>
      </c>
      <c r="I118" s="456"/>
      <c r="J118" s="45"/>
      <c r="K118" s="45">
        <v>600</v>
      </c>
      <c r="L118" s="463"/>
      <c r="M118" s="456">
        <v>35.207679748535156</v>
      </c>
      <c r="N118" s="457"/>
      <c r="O118" s="456"/>
      <c r="P118" s="46"/>
      <c r="Q118" s="463">
        <v>80.641830444335938</v>
      </c>
      <c r="R118" s="449"/>
      <c r="S118" s="463"/>
      <c r="T118" s="480"/>
      <c r="U118" s="468"/>
      <c r="V118" s="449"/>
      <c r="W118" s="45">
        <v>1757.99951171875</v>
      </c>
      <c r="X118" s="463">
        <v>145.44166564941406</v>
      </c>
      <c r="Y118" s="449"/>
      <c r="Z118" s="45"/>
      <c r="AA118" s="468">
        <v>0.40009281281993625</v>
      </c>
      <c r="AB118" s="456"/>
      <c r="AC118" s="46"/>
      <c r="AD118" s="46"/>
      <c r="AE118" s="46"/>
      <c r="AF118" s="46"/>
      <c r="AG118" s="46"/>
      <c r="AH118" s="46"/>
      <c r="AI118" s="457"/>
      <c r="AJ118" s="138"/>
      <c r="AK118" s="745"/>
      <c r="AL118" s="54"/>
      <c r="AM118" s="468"/>
      <c r="AN118" s="449"/>
      <c r="AO118" s="45"/>
      <c r="AP118" s="45"/>
      <c r="AQ118" s="45"/>
      <c r="AR118" s="45"/>
      <c r="AS118" s="45"/>
      <c r="AT118" s="45"/>
      <c r="AU118" s="463"/>
      <c r="AV118" s="449"/>
      <c r="AW118" s="45"/>
      <c r="AX118" s="45"/>
      <c r="AY118" s="45"/>
      <c r="AZ118" s="45"/>
      <c r="BA118" s="45"/>
      <c r="BB118" s="45"/>
      <c r="BC118" s="463"/>
      <c r="BD118" s="456"/>
      <c r="BE118" s="46"/>
      <c r="BF118" s="46"/>
      <c r="BG118" s="46"/>
      <c r="BH118" s="46"/>
      <c r="BI118" s="46"/>
      <c r="BJ118" s="457"/>
      <c r="BK118" s="449">
        <v>0</v>
      </c>
      <c r="BL118" s="45"/>
      <c r="BM118" s="45"/>
      <c r="BN118" s="45"/>
      <c r="BO118" s="45"/>
      <c r="BP118" s="45"/>
      <c r="BQ118" s="45"/>
      <c r="BR118" s="45"/>
      <c r="BS118" s="45"/>
      <c r="BT118" s="45"/>
      <c r="BU118" s="45"/>
      <c r="BV118" s="45"/>
      <c r="BW118" s="45"/>
      <c r="BX118" s="45"/>
      <c r="BY118" s="45"/>
      <c r="BZ118" s="45"/>
      <c r="CA118" s="45"/>
      <c r="CB118" s="45"/>
      <c r="CC118" s="45"/>
      <c r="CD118" s="463"/>
    </row>
    <row r="119" spans="2:82">
      <c r="B119" s="136">
        <v>110</v>
      </c>
      <c r="C119" s="138">
        <v>1</v>
      </c>
      <c r="D119" s="474">
        <v>4052.8358537033841</v>
      </c>
      <c r="E119" s="127">
        <v>295.92775182958502</v>
      </c>
      <c r="F119" s="447">
        <v>0.3986195351971471</v>
      </c>
      <c r="G119" s="127">
        <v>146.52518158753858</v>
      </c>
      <c r="H119" s="132">
        <v>60.168573684277995</v>
      </c>
      <c r="I119" s="456"/>
      <c r="J119" s="45"/>
      <c r="K119" s="45">
        <v>590</v>
      </c>
      <c r="L119" s="463"/>
      <c r="M119" s="456">
        <v>33.410820007324219</v>
      </c>
      <c r="N119" s="457"/>
      <c r="O119" s="456"/>
      <c r="P119" s="46"/>
      <c r="Q119" s="463">
        <v>80.24615478515625</v>
      </c>
      <c r="R119" s="449"/>
      <c r="S119" s="463"/>
      <c r="T119" s="480"/>
      <c r="U119" s="468"/>
      <c r="V119" s="449"/>
      <c r="W119" s="45">
        <v>1669.44140625</v>
      </c>
      <c r="X119" s="463">
        <v>138.94914245605469</v>
      </c>
      <c r="Y119" s="449"/>
      <c r="Z119" s="45"/>
      <c r="AA119" s="468">
        <v>0.39048390081812001</v>
      </c>
      <c r="AB119" s="456"/>
      <c r="AC119" s="46"/>
      <c r="AD119" s="46"/>
      <c r="AE119" s="46"/>
      <c r="AF119" s="46"/>
      <c r="AG119" s="46"/>
      <c r="AH119" s="46"/>
      <c r="AI119" s="457"/>
      <c r="AJ119" s="138"/>
      <c r="AK119" s="745"/>
      <c r="AL119" s="54"/>
      <c r="AM119" s="468"/>
      <c r="AN119" s="449"/>
      <c r="AO119" s="45"/>
      <c r="AP119" s="45"/>
      <c r="AQ119" s="45"/>
      <c r="AR119" s="45"/>
      <c r="AS119" s="45"/>
      <c r="AT119" s="45"/>
      <c r="AU119" s="463"/>
      <c r="AV119" s="449"/>
      <c r="AW119" s="45"/>
      <c r="AX119" s="45"/>
      <c r="AY119" s="45"/>
      <c r="AZ119" s="45"/>
      <c r="BA119" s="45"/>
      <c r="BB119" s="45"/>
      <c r="BC119" s="463"/>
      <c r="BD119" s="456"/>
      <c r="BE119" s="46"/>
      <c r="BF119" s="46"/>
      <c r="BG119" s="46"/>
      <c r="BH119" s="46"/>
      <c r="BI119" s="46"/>
      <c r="BJ119" s="457"/>
      <c r="BK119" s="449">
        <v>0</v>
      </c>
      <c r="BL119" s="45"/>
      <c r="BM119" s="45"/>
      <c r="BN119" s="45"/>
      <c r="BO119" s="45"/>
      <c r="BP119" s="45"/>
      <c r="BQ119" s="45"/>
      <c r="BR119" s="45"/>
      <c r="BS119" s="45"/>
      <c r="BT119" s="45"/>
      <c r="BU119" s="45"/>
      <c r="BV119" s="45"/>
      <c r="BW119" s="45"/>
      <c r="BX119" s="45"/>
      <c r="BY119" s="45"/>
      <c r="BZ119" s="45"/>
      <c r="CA119" s="45"/>
      <c r="CB119" s="45"/>
      <c r="CC119" s="45"/>
      <c r="CD119" s="463"/>
    </row>
    <row r="120" spans="2:82">
      <c r="B120" s="136">
        <v>111</v>
      </c>
      <c r="C120" s="138">
        <v>1</v>
      </c>
      <c r="D120" s="474">
        <v>3355.9372006805893</v>
      </c>
      <c r="E120" s="127">
        <v>276.07101120483031</v>
      </c>
      <c r="F120" s="447">
        <v>0.39421516855983652</v>
      </c>
      <c r="G120" s="127">
        <v>107.05467609309206</v>
      </c>
      <c r="H120" s="132">
        <v>64.518885874739524</v>
      </c>
      <c r="I120" s="456"/>
      <c r="J120" s="45"/>
      <c r="K120" s="45">
        <v>480</v>
      </c>
      <c r="L120" s="463"/>
      <c r="M120" s="456">
        <v>28.97283935546875</v>
      </c>
      <c r="N120" s="457"/>
      <c r="O120" s="456"/>
      <c r="P120" s="46"/>
      <c r="Q120" s="463">
        <v>74.876716613769531</v>
      </c>
      <c r="R120" s="449"/>
      <c r="S120" s="463"/>
      <c r="T120" s="480"/>
      <c r="U120" s="468"/>
      <c r="V120" s="449"/>
      <c r="W120" s="45">
        <v>1380.86083984375</v>
      </c>
      <c r="X120" s="463">
        <v>117.53015899658203</v>
      </c>
      <c r="Y120" s="449"/>
      <c r="Z120" s="45"/>
      <c r="AA120" s="468">
        <v>0.38441632507595735</v>
      </c>
      <c r="AB120" s="456"/>
      <c r="AC120" s="46"/>
      <c r="AD120" s="46"/>
      <c r="AE120" s="46"/>
      <c r="AF120" s="46"/>
      <c r="AG120" s="46"/>
      <c r="AH120" s="46"/>
      <c r="AI120" s="457"/>
      <c r="AJ120" s="138"/>
      <c r="AK120" s="745"/>
      <c r="AL120" s="54"/>
      <c r="AM120" s="468"/>
      <c r="AN120" s="449"/>
      <c r="AO120" s="45"/>
      <c r="AP120" s="45"/>
      <c r="AQ120" s="45"/>
      <c r="AR120" s="45"/>
      <c r="AS120" s="45"/>
      <c r="AT120" s="45"/>
      <c r="AU120" s="463"/>
      <c r="AV120" s="449"/>
      <c r="AW120" s="45"/>
      <c r="AX120" s="45"/>
      <c r="AY120" s="45"/>
      <c r="AZ120" s="45"/>
      <c r="BA120" s="45"/>
      <c r="BB120" s="45"/>
      <c r="BC120" s="463"/>
      <c r="BD120" s="456"/>
      <c r="BE120" s="46"/>
      <c r="BF120" s="46"/>
      <c r="BG120" s="46"/>
      <c r="BH120" s="46"/>
      <c r="BI120" s="46"/>
      <c r="BJ120" s="457"/>
      <c r="BK120" s="449">
        <v>0</v>
      </c>
      <c r="BL120" s="45"/>
      <c r="BM120" s="45"/>
      <c r="BN120" s="45"/>
      <c r="BO120" s="45"/>
      <c r="BP120" s="45"/>
      <c r="BQ120" s="45"/>
      <c r="BR120" s="45"/>
      <c r="BS120" s="45"/>
      <c r="BT120" s="45"/>
      <c r="BU120" s="45"/>
      <c r="BV120" s="45"/>
      <c r="BW120" s="45"/>
      <c r="BX120" s="45"/>
      <c r="BY120" s="45"/>
      <c r="BZ120" s="45"/>
      <c r="CA120" s="45"/>
      <c r="CB120" s="45"/>
      <c r="CC120" s="45"/>
      <c r="CD120" s="463"/>
    </row>
    <row r="121" spans="2:82">
      <c r="B121" s="136">
        <v>112</v>
      </c>
      <c r="C121" s="138">
        <v>1</v>
      </c>
      <c r="D121" s="474">
        <v>3287.3452223352897</v>
      </c>
      <c r="E121" s="127">
        <v>184.52268498161931</v>
      </c>
      <c r="F121" s="447">
        <v>0.35758771996591987</v>
      </c>
      <c r="G121" s="127">
        <v>115.93373946087002</v>
      </c>
      <c r="H121" s="132">
        <v>61.621636190777707</v>
      </c>
      <c r="I121" s="456"/>
      <c r="J121" s="45"/>
      <c r="K121" s="45">
        <v>490</v>
      </c>
      <c r="L121" s="463"/>
      <c r="M121" s="456">
        <v>26.588638305664062</v>
      </c>
      <c r="N121" s="457"/>
      <c r="O121" s="456"/>
      <c r="P121" s="46"/>
      <c r="Q121" s="463">
        <v>73.32708740234375</v>
      </c>
      <c r="R121" s="449"/>
      <c r="S121" s="463"/>
      <c r="T121" s="480"/>
      <c r="U121" s="468"/>
      <c r="V121" s="449"/>
      <c r="W121" s="45">
        <v>1272.350341796875</v>
      </c>
      <c r="X121" s="463">
        <v>109.6875</v>
      </c>
      <c r="Y121" s="449"/>
      <c r="Z121" s="45"/>
      <c r="AA121" s="468">
        <v>0.34780725815714209</v>
      </c>
      <c r="AB121" s="456"/>
      <c r="AC121" s="46"/>
      <c r="AD121" s="46"/>
      <c r="AE121" s="46"/>
      <c r="AF121" s="46"/>
      <c r="AG121" s="46"/>
      <c r="AH121" s="46"/>
      <c r="AI121" s="457"/>
      <c r="AJ121" s="138"/>
      <c r="AK121" s="745"/>
      <c r="AL121" s="54"/>
      <c r="AM121" s="468"/>
      <c r="AN121" s="449"/>
      <c r="AO121" s="45"/>
      <c r="AP121" s="45"/>
      <c r="AQ121" s="45"/>
      <c r="AR121" s="45"/>
      <c r="AS121" s="45"/>
      <c r="AT121" s="45"/>
      <c r="AU121" s="463"/>
      <c r="AV121" s="449"/>
      <c r="AW121" s="45"/>
      <c r="AX121" s="45"/>
      <c r="AY121" s="45"/>
      <c r="AZ121" s="45"/>
      <c r="BA121" s="45"/>
      <c r="BB121" s="45"/>
      <c r="BC121" s="463"/>
      <c r="BD121" s="456"/>
      <c r="BE121" s="46"/>
      <c r="BF121" s="46"/>
      <c r="BG121" s="46"/>
      <c r="BH121" s="46"/>
      <c r="BI121" s="46"/>
      <c r="BJ121" s="457"/>
      <c r="BK121" s="449">
        <v>0</v>
      </c>
      <c r="BL121" s="45"/>
      <c r="BM121" s="45"/>
      <c r="BN121" s="45"/>
      <c r="BO121" s="45"/>
      <c r="BP121" s="45"/>
      <c r="BQ121" s="45"/>
      <c r="BR121" s="45"/>
      <c r="BS121" s="45"/>
      <c r="BT121" s="45"/>
      <c r="BU121" s="45"/>
      <c r="BV121" s="45"/>
      <c r="BW121" s="45"/>
      <c r="BX121" s="45"/>
      <c r="BY121" s="45"/>
      <c r="BZ121" s="45"/>
      <c r="CA121" s="45"/>
      <c r="CB121" s="45"/>
      <c r="CC121" s="45"/>
      <c r="CD121" s="463"/>
    </row>
    <row r="122" spans="2:82">
      <c r="B122" s="136">
        <v>113</v>
      </c>
      <c r="C122" s="138">
        <v>1</v>
      </c>
      <c r="D122" s="474">
        <v>3787.4727371667068</v>
      </c>
      <c r="E122" s="127">
        <v>193.29540515911509</v>
      </c>
      <c r="F122" s="447">
        <v>0.42633171808729131</v>
      </c>
      <c r="G122" s="127">
        <v>145.13556808929832</v>
      </c>
      <c r="H122" s="132">
        <v>56.153221010090171</v>
      </c>
      <c r="I122" s="456"/>
      <c r="J122" s="45"/>
      <c r="K122" s="45">
        <v>570</v>
      </c>
      <c r="L122" s="463"/>
      <c r="M122" s="456">
        <v>38.053321838378906</v>
      </c>
      <c r="N122" s="457"/>
      <c r="O122" s="456"/>
      <c r="P122" s="46"/>
      <c r="Q122" s="463">
        <v>74.991966247558594</v>
      </c>
      <c r="R122" s="449"/>
      <c r="S122" s="463"/>
      <c r="T122" s="480"/>
      <c r="U122" s="468"/>
      <c r="V122" s="449"/>
      <c r="W122" s="45">
        <v>1803.6435546875</v>
      </c>
      <c r="X122" s="463">
        <v>148.65007019042969</v>
      </c>
      <c r="Y122" s="449"/>
      <c r="Z122" s="45"/>
      <c r="AA122" s="468">
        <v>0.41747973770661506</v>
      </c>
      <c r="AB122" s="456"/>
      <c r="AC122" s="46"/>
      <c r="AD122" s="46"/>
      <c r="AE122" s="46"/>
      <c r="AF122" s="46"/>
      <c r="AG122" s="46"/>
      <c r="AH122" s="46"/>
      <c r="AI122" s="457"/>
      <c r="AJ122" s="138"/>
      <c r="AK122" s="745"/>
      <c r="AL122" s="54"/>
      <c r="AM122" s="468"/>
      <c r="AN122" s="449"/>
      <c r="AO122" s="45"/>
      <c r="AP122" s="45"/>
      <c r="AQ122" s="45"/>
      <c r="AR122" s="45"/>
      <c r="AS122" s="45"/>
      <c r="AT122" s="45"/>
      <c r="AU122" s="463"/>
      <c r="AV122" s="449"/>
      <c r="AW122" s="45"/>
      <c r="AX122" s="45"/>
      <c r="AY122" s="45"/>
      <c r="AZ122" s="45"/>
      <c r="BA122" s="45"/>
      <c r="BB122" s="45"/>
      <c r="BC122" s="463"/>
      <c r="BD122" s="456"/>
      <c r="BE122" s="46"/>
      <c r="BF122" s="46"/>
      <c r="BG122" s="46"/>
      <c r="BH122" s="46"/>
      <c r="BI122" s="46"/>
      <c r="BJ122" s="457"/>
      <c r="BK122" s="449">
        <v>0</v>
      </c>
      <c r="BL122" s="45"/>
      <c r="BM122" s="45"/>
      <c r="BN122" s="45"/>
      <c r="BO122" s="45"/>
      <c r="BP122" s="45"/>
      <c r="BQ122" s="45"/>
      <c r="BR122" s="45"/>
      <c r="BS122" s="45"/>
      <c r="BT122" s="45"/>
      <c r="BU122" s="45"/>
      <c r="BV122" s="45"/>
      <c r="BW122" s="45"/>
      <c r="BX122" s="45"/>
      <c r="BY122" s="45"/>
      <c r="BZ122" s="45"/>
      <c r="CA122" s="45"/>
      <c r="CB122" s="45"/>
      <c r="CC122" s="45"/>
      <c r="CD122" s="463"/>
    </row>
    <row r="123" spans="2:82">
      <c r="B123" s="136">
        <v>114</v>
      </c>
      <c r="C123" s="138">
        <v>1</v>
      </c>
      <c r="D123" s="474">
        <v>3207.4057734661146</v>
      </c>
      <c r="E123" s="127">
        <v>201.32080980631872</v>
      </c>
      <c r="F123" s="447">
        <v>0.38021998114037175</v>
      </c>
      <c r="G123" s="127">
        <v>110.53266327646405</v>
      </c>
      <c r="H123" s="132">
        <v>54.804699102741253</v>
      </c>
      <c r="I123" s="456"/>
      <c r="J123" s="45"/>
      <c r="K123" s="45">
        <v>450</v>
      </c>
      <c r="L123" s="463"/>
      <c r="M123" s="456">
        <v>29.074752807617188</v>
      </c>
      <c r="N123" s="457"/>
      <c r="O123" s="456"/>
      <c r="P123" s="46"/>
      <c r="Q123" s="463">
        <v>63.506633758544922</v>
      </c>
      <c r="R123" s="449"/>
      <c r="S123" s="463"/>
      <c r="T123" s="480"/>
      <c r="U123" s="468"/>
      <c r="V123" s="449"/>
      <c r="W123" s="45">
        <v>1257.3304443359375</v>
      </c>
      <c r="X123" s="463">
        <v>108.41420745849609</v>
      </c>
      <c r="Y123" s="449"/>
      <c r="Z123" s="45"/>
      <c r="AA123" s="468">
        <v>0.37005463196861005</v>
      </c>
      <c r="AB123" s="456"/>
      <c r="AC123" s="46"/>
      <c r="AD123" s="46"/>
      <c r="AE123" s="46"/>
      <c r="AF123" s="46"/>
      <c r="AG123" s="46"/>
      <c r="AH123" s="46"/>
      <c r="AI123" s="457"/>
      <c r="AJ123" s="138"/>
      <c r="AK123" s="745"/>
      <c r="AL123" s="54"/>
      <c r="AM123" s="468"/>
      <c r="AN123" s="449"/>
      <c r="AO123" s="45"/>
      <c r="AP123" s="45"/>
      <c r="AQ123" s="45"/>
      <c r="AR123" s="45"/>
      <c r="AS123" s="45"/>
      <c r="AT123" s="45"/>
      <c r="AU123" s="463"/>
      <c r="AV123" s="449"/>
      <c r="AW123" s="45"/>
      <c r="AX123" s="45"/>
      <c r="AY123" s="45"/>
      <c r="AZ123" s="45"/>
      <c r="BA123" s="45"/>
      <c r="BB123" s="45"/>
      <c r="BC123" s="463"/>
      <c r="BD123" s="456"/>
      <c r="BE123" s="46"/>
      <c r="BF123" s="46"/>
      <c r="BG123" s="46"/>
      <c r="BH123" s="46"/>
      <c r="BI123" s="46"/>
      <c r="BJ123" s="457"/>
      <c r="BK123" s="449">
        <v>0</v>
      </c>
      <c r="BL123" s="45"/>
      <c r="BM123" s="45"/>
      <c r="BN123" s="45"/>
      <c r="BO123" s="45"/>
      <c r="BP123" s="45"/>
      <c r="BQ123" s="45"/>
      <c r="BR123" s="45"/>
      <c r="BS123" s="45"/>
      <c r="BT123" s="45"/>
      <c r="BU123" s="45"/>
      <c r="BV123" s="45"/>
      <c r="BW123" s="45"/>
      <c r="BX123" s="45"/>
      <c r="BY123" s="45"/>
      <c r="BZ123" s="45"/>
      <c r="CA123" s="45"/>
      <c r="CB123" s="45"/>
      <c r="CC123" s="45"/>
      <c r="CD123" s="463"/>
    </row>
    <row r="124" spans="2:82">
      <c r="B124" s="136">
        <v>115</v>
      </c>
      <c r="C124" s="138">
        <v>1</v>
      </c>
      <c r="D124" s="474">
        <v>3182.0040176420816</v>
      </c>
      <c r="E124" s="127">
        <v>259.6989290438741</v>
      </c>
      <c r="F124" s="447">
        <v>0.48700971390933501</v>
      </c>
      <c r="G124" s="127">
        <v>107.68108441692236</v>
      </c>
      <c r="H124" s="132">
        <v>61.897941648049745</v>
      </c>
      <c r="I124" s="456"/>
      <c r="J124" s="45"/>
      <c r="K124" s="45">
        <v>490</v>
      </c>
      <c r="L124" s="463"/>
      <c r="M124" s="456">
        <v>44.314052581787109</v>
      </c>
      <c r="N124" s="457"/>
      <c r="O124" s="456"/>
      <c r="P124" s="46"/>
      <c r="Q124" s="463">
        <v>71.317771911621094</v>
      </c>
      <c r="R124" s="449"/>
      <c r="S124" s="463"/>
      <c r="T124" s="480"/>
      <c r="U124" s="468"/>
      <c r="V124" s="449"/>
      <c r="W124" s="45">
        <v>1977.610595703125</v>
      </c>
      <c r="X124" s="463">
        <v>160.94241333007812</v>
      </c>
      <c r="Y124" s="449"/>
      <c r="Z124" s="45"/>
      <c r="AA124" s="468">
        <v>0.47609200479093805</v>
      </c>
      <c r="AB124" s="456"/>
      <c r="AC124" s="46"/>
      <c r="AD124" s="46"/>
      <c r="AE124" s="46"/>
      <c r="AF124" s="46"/>
      <c r="AG124" s="46"/>
      <c r="AH124" s="46"/>
      <c r="AI124" s="457"/>
      <c r="AJ124" s="138"/>
      <c r="AK124" s="745"/>
      <c r="AL124" s="54"/>
      <c r="AM124" s="468"/>
      <c r="AN124" s="449"/>
      <c r="AO124" s="45"/>
      <c r="AP124" s="45"/>
      <c r="AQ124" s="45"/>
      <c r="AR124" s="45"/>
      <c r="AS124" s="45"/>
      <c r="AT124" s="45"/>
      <c r="AU124" s="463"/>
      <c r="AV124" s="449"/>
      <c r="AW124" s="45"/>
      <c r="AX124" s="45"/>
      <c r="AY124" s="45"/>
      <c r="AZ124" s="45"/>
      <c r="BA124" s="45"/>
      <c r="BB124" s="45"/>
      <c r="BC124" s="463"/>
      <c r="BD124" s="456"/>
      <c r="BE124" s="46"/>
      <c r="BF124" s="46"/>
      <c r="BG124" s="46"/>
      <c r="BH124" s="46"/>
      <c r="BI124" s="46"/>
      <c r="BJ124" s="457"/>
      <c r="BK124" s="449">
        <v>0</v>
      </c>
      <c r="BL124" s="45"/>
      <c r="BM124" s="45"/>
      <c r="BN124" s="45"/>
      <c r="BO124" s="45"/>
      <c r="BP124" s="45"/>
      <c r="BQ124" s="45"/>
      <c r="BR124" s="45"/>
      <c r="BS124" s="45"/>
      <c r="BT124" s="45"/>
      <c r="BU124" s="45"/>
      <c r="BV124" s="45"/>
      <c r="BW124" s="45"/>
      <c r="BX124" s="45"/>
      <c r="BY124" s="45"/>
      <c r="BZ124" s="45"/>
      <c r="CA124" s="45"/>
      <c r="CB124" s="45"/>
      <c r="CC124" s="45"/>
      <c r="CD124" s="463"/>
    </row>
    <row r="125" spans="2:82">
      <c r="B125" s="136">
        <v>116</v>
      </c>
      <c r="C125" s="138">
        <v>1</v>
      </c>
      <c r="D125" s="474">
        <v>2824.050454562208</v>
      </c>
      <c r="E125" s="127">
        <v>236.37334310340904</v>
      </c>
      <c r="F125" s="447">
        <v>0.38571171178412078</v>
      </c>
      <c r="G125" s="127">
        <v>111.4313024745225</v>
      </c>
      <c r="H125" s="132">
        <v>46.207878200117513</v>
      </c>
      <c r="I125" s="456"/>
      <c r="J125" s="45"/>
      <c r="K125" s="45">
        <v>430</v>
      </c>
      <c r="L125" s="463"/>
      <c r="M125" s="456">
        <v>31.530139923095703</v>
      </c>
      <c r="N125" s="457"/>
      <c r="O125" s="456"/>
      <c r="P125" s="46"/>
      <c r="Q125" s="463">
        <v>55.916202545166016</v>
      </c>
      <c r="R125" s="449"/>
      <c r="S125" s="463"/>
      <c r="T125" s="480"/>
      <c r="U125" s="468"/>
      <c r="V125" s="449"/>
      <c r="W125" s="45">
        <v>1232.85595703125</v>
      </c>
      <c r="X125" s="463">
        <v>106.54658508300781</v>
      </c>
      <c r="Y125" s="449"/>
      <c r="Z125" s="45"/>
      <c r="AA125" s="468">
        <v>0.37412755818557825</v>
      </c>
      <c r="AB125" s="456"/>
      <c r="AC125" s="46"/>
      <c r="AD125" s="46"/>
      <c r="AE125" s="46"/>
      <c r="AF125" s="46"/>
      <c r="AG125" s="46"/>
      <c r="AH125" s="46"/>
      <c r="AI125" s="457"/>
      <c r="AJ125" s="138"/>
      <c r="AK125" s="745"/>
      <c r="AL125" s="54"/>
      <c r="AM125" s="468"/>
      <c r="AN125" s="449"/>
      <c r="AO125" s="45"/>
      <c r="AP125" s="45"/>
      <c r="AQ125" s="45"/>
      <c r="AR125" s="45"/>
      <c r="AS125" s="45"/>
      <c r="AT125" s="45"/>
      <c r="AU125" s="463"/>
      <c r="AV125" s="449"/>
      <c r="AW125" s="45"/>
      <c r="AX125" s="45"/>
      <c r="AY125" s="45"/>
      <c r="AZ125" s="45"/>
      <c r="BA125" s="45"/>
      <c r="BB125" s="45"/>
      <c r="BC125" s="463"/>
      <c r="BD125" s="456"/>
      <c r="BE125" s="46"/>
      <c r="BF125" s="46"/>
      <c r="BG125" s="46"/>
      <c r="BH125" s="46"/>
      <c r="BI125" s="46"/>
      <c r="BJ125" s="457"/>
      <c r="BK125" s="449">
        <v>0</v>
      </c>
      <c r="BL125" s="45"/>
      <c r="BM125" s="45"/>
      <c r="BN125" s="45"/>
      <c r="BO125" s="45"/>
      <c r="BP125" s="45"/>
      <c r="BQ125" s="45"/>
      <c r="BR125" s="45"/>
      <c r="BS125" s="45"/>
      <c r="BT125" s="45"/>
      <c r="BU125" s="45"/>
      <c r="BV125" s="45"/>
      <c r="BW125" s="45"/>
      <c r="BX125" s="45"/>
      <c r="BY125" s="45"/>
      <c r="BZ125" s="45"/>
      <c r="CA125" s="45"/>
      <c r="CB125" s="45"/>
      <c r="CC125" s="45"/>
      <c r="CD125" s="463"/>
    </row>
    <row r="126" spans="2:82">
      <c r="B126" s="136">
        <v>117</v>
      </c>
      <c r="C126" s="138">
        <v>1</v>
      </c>
      <c r="D126" s="474">
        <v>3094.7050073082819</v>
      </c>
      <c r="E126" s="127">
        <v>217.43867640088112</v>
      </c>
      <c r="F126" s="447">
        <v>0.46205698124286526</v>
      </c>
      <c r="G126" s="127">
        <v>96.626295545782739</v>
      </c>
      <c r="H126" s="132">
        <v>56.423892817670549</v>
      </c>
      <c r="I126" s="456"/>
      <c r="J126" s="45"/>
      <c r="K126" s="45">
        <v>430</v>
      </c>
      <c r="L126" s="463"/>
      <c r="M126" s="456">
        <v>38.53045654296875</v>
      </c>
      <c r="N126" s="457"/>
      <c r="O126" s="456"/>
      <c r="P126" s="46"/>
      <c r="Q126" s="463">
        <v>61.275161743164063</v>
      </c>
      <c r="R126" s="449"/>
      <c r="S126" s="463"/>
      <c r="T126" s="480"/>
      <c r="U126" s="468"/>
      <c r="V126" s="449"/>
      <c r="W126" s="45">
        <v>1582.0418701171875</v>
      </c>
      <c r="X126" s="463">
        <v>131.92630004882813</v>
      </c>
      <c r="Y126" s="449"/>
      <c r="Z126" s="45"/>
      <c r="AA126" s="468">
        <v>0.45099255360145984</v>
      </c>
      <c r="AB126" s="456"/>
      <c r="AC126" s="46"/>
      <c r="AD126" s="46"/>
      <c r="AE126" s="46"/>
      <c r="AF126" s="46"/>
      <c r="AG126" s="46"/>
      <c r="AH126" s="46"/>
      <c r="AI126" s="457"/>
      <c r="AJ126" s="138"/>
      <c r="AK126" s="745"/>
      <c r="AL126" s="54"/>
      <c r="AM126" s="468"/>
      <c r="AN126" s="449"/>
      <c r="AO126" s="45"/>
      <c r="AP126" s="45"/>
      <c r="AQ126" s="45"/>
      <c r="AR126" s="45"/>
      <c r="AS126" s="45"/>
      <c r="AT126" s="45"/>
      <c r="AU126" s="463"/>
      <c r="AV126" s="449"/>
      <c r="AW126" s="45"/>
      <c r="AX126" s="45"/>
      <c r="AY126" s="45"/>
      <c r="AZ126" s="45"/>
      <c r="BA126" s="45"/>
      <c r="BB126" s="45"/>
      <c r="BC126" s="463"/>
      <c r="BD126" s="456"/>
      <c r="BE126" s="46"/>
      <c r="BF126" s="46"/>
      <c r="BG126" s="46"/>
      <c r="BH126" s="46"/>
      <c r="BI126" s="46"/>
      <c r="BJ126" s="457"/>
      <c r="BK126" s="449">
        <v>0</v>
      </c>
      <c r="BL126" s="45"/>
      <c r="BM126" s="45"/>
      <c r="BN126" s="45"/>
      <c r="BO126" s="45"/>
      <c r="BP126" s="45"/>
      <c r="BQ126" s="45"/>
      <c r="BR126" s="45"/>
      <c r="BS126" s="45"/>
      <c r="BT126" s="45"/>
      <c r="BU126" s="45"/>
      <c r="BV126" s="45"/>
      <c r="BW126" s="45"/>
      <c r="BX126" s="45"/>
      <c r="BY126" s="45"/>
      <c r="BZ126" s="45"/>
      <c r="CA126" s="45"/>
      <c r="CB126" s="45"/>
      <c r="CC126" s="45"/>
      <c r="CD126" s="463"/>
    </row>
    <row r="127" spans="2:82">
      <c r="B127" s="136">
        <v>118</v>
      </c>
      <c r="C127" s="138">
        <v>1</v>
      </c>
      <c r="D127" s="474">
        <v>3277.4380960671488</v>
      </c>
      <c r="E127" s="127">
        <v>180.25867068234058</v>
      </c>
      <c r="F127" s="447">
        <v>0.45844164663180714</v>
      </c>
      <c r="G127" s="127">
        <v>135.64808051781472</v>
      </c>
      <c r="H127" s="132">
        <v>56.63040467544544</v>
      </c>
      <c r="I127" s="456"/>
      <c r="J127" s="45"/>
      <c r="K127" s="45">
        <v>550</v>
      </c>
      <c r="L127" s="463"/>
      <c r="M127" s="456">
        <v>42.821247100830078</v>
      </c>
      <c r="N127" s="457"/>
      <c r="O127" s="456"/>
      <c r="P127" s="46"/>
      <c r="Q127" s="463">
        <v>72.791229248046875</v>
      </c>
      <c r="R127" s="449"/>
      <c r="S127" s="463"/>
      <c r="T127" s="480"/>
      <c r="U127" s="468"/>
      <c r="V127" s="449"/>
      <c r="W127" s="45">
        <v>1963.41748046875</v>
      </c>
      <c r="X127" s="463">
        <v>160.16728210449219</v>
      </c>
      <c r="Y127" s="449"/>
      <c r="Z127" s="45"/>
      <c r="AA127" s="468">
        <v>0.44801617651426684</v>
      </c>
      <c r="AB127" s="456"/>
      <c r="AC127" s="46"/>
      <c r="AD127" s="46"/>
      <c r="AE127" s="46"/>
      <c r="AF127" s="46"/>
      <c r="AG127" s="46"/>
      <c r="AH127" s="46"/>
      <c r="AI127" s="457"/>
      <c r="AJ127" s="138"/>
      <c r="AK127" s="745"/>
      <c r="AL127" s="54"/>
      <c r="AM127" s="468"/>
      <c r="AN127" s="449"/>
      <c r="AO127" s="45"/>
      <c r="AP127" s="45"/>
      <c r="AQ127" s="45"/>
      <c r="AR127" s="45"/>
      <c r="AS127" s="45"/>
      <c r="AT127" s="45"/>
      <c r="AU127" s="463"/>
      <c r="AV127" s="449"/>
      <c r="AW127" s="45"/>
      <c r="AX127" s="45"/>
      <c r="AY127" s="45"/>
      <c r="AZ127" s="45"/>
      <c r="BA127" s="45"/>
      <c r="BB127" s="45"/>
      <c r="BC127" s="463"/>
      <c r="BD127" s="456"/>
      <c r="BE127" s="46"/>
      <c r="BF127" s="46"/>
      <c r="BG127" s="46"/>
      <c r="BH127" s="46"/>
      <c r="BI127" s="46"/>
      <c r="BJ127" s="457"/>
      <c r="BK127" s="449">
        <v>0</v>
      </c>
      <c r="BL127" s="45"/>
      <c r="BM127" s="45"/>
      <c r="BN127" s="45"/>
      <c r="BO127" s="45"/>
      <c r="BP127" s="45"/>
      <c r="BQ127" s="45"/>
      <c r="BR127" s="45"/>
      <c r="BS127" s="45"/>
      <c r="BT127" s="45"/>
      <c r="BU127" s="45"/>
      <c r="BV127" s="45"/>
      <c r="BW127" s="45"/>
      <c r="BX127" s="45"/>
      <c r="BY127" s="45"/>
      <c r="BZ127" s="45"/>
      <c r="CA127" s="45"/>
      <c r="CB127" s="45"/>
      <c r="CC127" s="45"/>
      <c r="CD127" s="463"/>
    </row>
    <row r="128" spans="2:82">
      <c r="B128" s="136">
        <v>119</v>
      </c>
      <c r="C128" s="138">
        <v>1</v>
      </c>
      <c r="D128" s="474">
        <v>2583.3695834113987</v>
      </c>
      <c r="E128" s="127">
        <v>249.71815613716734</v>
      </c>
      <c r="F128" s="447">
        <v>0.50921094369616293</v>
      </c>
      <c r="G128" s="127">
        <v>90.826184531045755</v>
      </c>
      <c r="H128" s="132">
        <v>47.719898432601425</v>
      </c>
      <c r="I128" s="456"/>
      <c r="J128" s="45"/>
      <c r="K128" s="45">
        <v>390</v>
      </c>
      <c r="L128" s="463"/>
      <c r="M128" s="456">
        <v>50.55560302734375</v>
      </c>
      <c r="N128" s="457"/>
      <c r="O128" s="456"/>
      <c r="P128" s="46"/>
      <c r="Q128" s="463">
        <v>51.150718688964844</v>
      </c>
      <c r="R128" s="449"/>
      <c r="S128" s="463"/>
      <c r="T128" s="480"/>
      <c r="U128" s="468"/>
      <c r="V128" s="449"/>
      <c r="W128" s="45">
        <v>1817.001220703125</v>
      </c>
      <c r="X128" s="463">
        <v>148.84626770019531</v>
      </c>
      <c r="Y128" s="449"/>
      <c r="Z128" s="45"/>
      <c r="AA128" s="468">
        <v>0.49559143718038917</v>
      </c>
      <c r="AB128" s="456"/>
      <c r="AC128" s="46"/>
      <c r="AD128" s="46"/>
      <c r="AE128" s="46"/>
      <c r="AF128" s="46"/>
      <c r="AG128" s="46"/>
      <c r="AH128" s="46"/>
      <c r="AI128" s="457"/>
      <c r="AJ128" s="138"/>
      <c r="AK128" s="745"/>
      <c r="AL128" s="54"/>
      <c r="AM128" s="468"/>
      <c r="AN128" s="449"/>
      <c r="AO128" s="45"/>
      <c r="AP128" s="45"/>
      <c r="AQ128" s="45"/>
      <c r="AR128" s="45"/>
      <c r="AS128" s="45"/>
      <c r="AT128" s="45"/>
      <c r="AU128" s="463"/>
      <c r="AV128" s="449"/>
      <c r="AW128" s="45"/>
      <c r="AX128" s="45"/>
      <c r="AY128" s="45"/>
      <c r="AZ128" s="45"/>
      <c r="BA128" s="45"/>
      <c r="BB128" s="45"/>
      <c r="BC128" s="463"/>
      <c r="BD128" s="456"/>
      <c r="BE128" s="46"/>
      <c r="BF128" s="46"/>
      <c r="BG128" s="46"/>
      <c r="BH128" s="46"/>
      <c r="BI128" s="46"/>
      <c r="BJ128" s="457"/>
      <c r="BK128" s="449">
        <v>0</v>
      </c>
      <c r="BL128" s="45"/>
      <c r="BM128" s="45"/>
      <c r="BN128" s="45"/>
      <c r="BO128" s="45"/>
      <c r="BP128" s="45"/>
      <c r="BQ128" s="45"/>
      <c r="BR128" s="45"/>
      <c r="BS128" s="45"/>
      <c r="BT128" s="45"/>
      <c r="BU128" s="45"/>
      <c r="BV128" s="45"/>
      <c r="BW128" s="45"/>
      <c r="BX128" s="45"/>
      <c r="BY128" s="45"/>
      <c r="BZ128" s="45"/>
      <c r="CA128" s="45"/>
      <c r="CB128" s="45"/>
      <c r="CC128" s="45"/>
      <c r="CD128" s="463"/>
    </row>
    <row r="129" spans="2:82">
      <c r="B129" s="136">
        <v>120</v>
      </c>
      <c r="C129" s="138">
        <v>1</v>
      </c>
      <c r="D129" s="474">
        <v>3589.8447115024946</v>
      </c>
      <c r="E129" s="127">
        <v>268.48434131356009</v>
      </c>
      <c r="F129" s="447">
        <v>0.37971429726776074</v>
      </c>
      <c r="G129" s="127">
        <v>130.72940281022034</v>
      </c>
      <c r="H129" s="132">
        <v>56.375686510933832</v>
      </c>
      <c r="I129" s="456"/>
      <c r="J129" s="45"/>
      <c r="K129" s="45">
        <v>520</v>
      </c>
      <c r="L129" s="463"/>
      <c r="M129" s="456">
        <v>30.444194793701172</v>
      </c>
      <c r="N129" s="457"/>
      <c r="O129" s="456"/>
      <c r="P129" s="46"/>
      <c r="Q129" s="463">
        <v>71.078926086425781</v>
      </c>
      <c r="R129" s="449"/>
      <c r="S129" s="463"/>
      <c r="T129" s="480"/>
      <c r="U129" s="468"/>
      <c r="V129" s="449"/>
      <c r="W129" s="45">
        <v>1421.781982421875</v>
      </c>
      <c r="X129" s="463">
        <v>120.66659545898437</v>
      </c>
      <c r="Y129" s="449"/>
      <c r="Z129" s="45"/>
      <c r="AA129" s="468">
        <v>0.37063471623716138</v>
      </c>
      <c r="AB129" s="456"/>
      <c r="AC129" s="46"/>
      <c r="AD129" s="46"/>
      <c r="AE129" s="46"/>
      <c r="AF129" s="46"/>
      <c r="AG129" s="46"/>
      <c r="AH129" s="46"/>
      <c r="AI129" s="457"/>
      <c r="AJ129" s="138"/>
      <c r="AK129" s="745"/>
      <c r="AL129" s="54"/>
      <c r="AM129" s="468"/>
      <c r="AN129" s="449"/>
      <c r="AO129" s="45"/>
      <c r="AP129" s="45"/>
      <c r="AQ129" s="45"/>
      <c r="AR129" s="45"/>
      <c r="AS129" s="45"/>
      <c r="AT129" s="45"/>
      <c r="AU129" s="463"/>
      <c r="AV129" s="449"/>
      <c r="AW129" s="45"/>
      <c r="AX129" s="45"/>
      <c r="AY129" s="45"/>
      <c r="AZ129" s="45"/>
      <c r="BA129" s="45"/>
      <c r="BB129" s="45"/>
      <c r="BC129" s="463"/>
      <c r="BD129" s="456"/>
      <c r="BE129" s="46"/>
      <c r="BF129" s="46"/>
      <c r="BG129" s="46"/>
      <c r="BH129" s="46"/>
      <c r="BI129" s="46"/>
      <c r="BJ129" s="457"/>
      <c r="BK129" s="449">
        <v>0</v>
      </c>
      <c r="BL129" s="45"/>
      <c r="BM129" s="45"/>
      <c r="BN129" s="45"/>
      <c r="BO129" s="45"/>
      <c r="BP129" s="45"/>
      <c r="BQ129" s="45"/>
      <c r="BR129" s="45"/>
      <c r="BS129" s="45"/>
      <c r="BT129" s="45"/>
      <c r="BU129" s="45"/>
      <c r="BV129" s="45"/>
      <c r="BW129" s="45"/>
      <c r="BX129" s="45"/>
      <c r="BY129" s="45"/>
      <c r="BZ129" s="45"/>
      <c r="CA129" s="45"/>
      <c r="CB129" s="45"/>
      <c r="CC129" s="45"/>
      <c r="CD129" s="463"/>
    </row>
    <row r="130" spans="2:82">
      <c r="B130" s="136">
        <v>121</v>
      </c>
      <c r="C130" s="138">
        <v>1</v>
      </c>
      <c r="D130" s="474">
        <v>3713.4414266787362</v>
      </c>
      <c r="E130" s="127">
        <v>245.41098139534273</v>
      </c>
      <c r="F130" s="447">
        <v>0.42219415905512375</v>
      </c>
      <c r="G130" s="127">
        <v>121.35414491555892</v>
      </c>
      <c r="H130" s="132">
        <v>60.595927459941613</v>
      </c>
      <c r="I130" s="456"/>
      <c r="J130" s="45"/>
      <c r="K130" s="45">
        <v>510</v>
      </c>
      <c r="L130" s="463"/>
      <c r="M130" s="456">
        <v>34.192272186279297</v>
      </c>
      <c r="N130" s="457"/>
      <c r="O130" s="456"/>
      <c r="P130" s="46"/>
      <c r="Q130" s="463">
        <v>73.526138305664063</v>
      </c>
      <c r="R130" s="449"/>
      <c r="S130" s="463"/>
      <c r="T130" s="480"/>
      <c r="U130" s="468"/>
      <c r="V130" s="449"/>
      <c r="W130" s="45">
        <v>1598.5994873046875</v>
      </c>
      <c r="X130" s="463">
        <v>133.48703002929687</v>
      </c>
      <c r="Y130" s="449"/>
      <c r="Z130" s="45"/>
      <c r="AA130" s="468">
        <v>0.41318798948400054</v>
      </c>
      <c r="AB130" s="456"/>
      <c r="AC130" s="46"/>
      <c r="AD130" s="46"/>
      <c r="AE130" s="46"/>
      <c r="AF130" s="46"/>
      <c r="AG130" s="46"/>
      <c r="AH130" s="46"/>
      <c r="AI130" s="457"/>
      <c r="AJ130" s="138"/>
      <c r="AK130" s="745"/>
      <c r="AL130" s="54"/>
      <c r="AM130" s="468"/>
      <c r="AN130" s="449"/>
      <c r="AO130" s="45"/>
      <c r="AP130" s="45"/>
      <c r="AQ130" s="45"/>
      <c r="AR130" s="45"/>
      <c r="AS130" s="45"/>
      <c r="AT130" s="45"/>
      <c r="AU130" s="463"/>
      <c r="AV130" s="449"/>
      <c r="AW130" s="45"/>
      <c r="AX130" s="45"/>
      <c r="AY130" s="45"/>
      <c r="AZ130" s="45"/>
      <c r="BA130" s="45"/>
      <c r="BB130" s="45"/>
      <c r="BC130" s="463"/>
      <c r="BD130" s="456"/>
      <c r="BE130" s="46"/>
      <c r="BF130" s="46"/>
      <c r="BG130" s="46"/>
      <c r="BH130" s="46"/>
      <c r="BI130" s="46"/>
      <c r="BJ130" s="457"/>
      <c r="BK130" s="449">
        <v>0</v>
      </c>
      <c r="BL130" s="45"/>
      <c r="BM130" s="45"/>
      <c r="BN130" s="45"/>
      <c r="BO130" s="45"/>
      <c r="BP130" s="45"/>
      <c r="BQ130" s="45"/>
      <c r="BR130" s="45"/>
      <c r="BS130" s="45"/>
      <c r="BT130" s="45"/>
      <c r="BU130" s="45"/>
      <c r="BV130" s="45"/>
      <c r="BW130" s="45"/>
      <c r="BX130" s="45"/>
      <c r="BY130" s="45"/>
      <c r="BZ130" s="45"/>
      <c r="CA130" s="45"/>
      <c r="CB130" s="45"/>
      <c r="CC130" s="45"/>
      <c r="CD130" s="463"/>
    </row>
    <row r="131" spans="2:82">
      <c r="B131" s="136">
        <v>122</v>
      </c>
      <c r="C131" s="138">
        <v>1</v>
      </c>
      <c r="D131" s="474">
        <v>2863.5153768518144</v>
      </c>
      <c r="E131" s="127">
        <v>243.07700399018043</v>
      </c>
      <c r="F131" s="447">
        <v>0.41376675003885999</v>
      </c>
      <c r="G131" s="127">
        <v>100.97413237448828</v>
      </c>
      <c r="H131" s="132">
        <v>50.73849638285138</v>
      </c>
      <c r="I131" s="456"/>
      <c r="J131" s="45"/>
      <c r="K131" s="45">
        <v>420</v>
      </c>
      <c r="L131" s="463"/>
      <c r="M131" s="456">
        <v>32.843734741210937</v>
      </c>
      <c r="N131" s="457"/>
      <c r="O131" s="456"/>
      <c r="P131" s="46"/>
      <c r="Q131" s="463">
        <v>56.697605133056641</v>
      </c>
      <c r="R131" s="449"/>
      <c r="S131" s="463"/>
      <c r="T131" s="480"/>
      <c r="U131" s="468"/>
      <c r="V131" s="449"/>
      <c r="W131" s="45">
        <v>1300.1380615234375</v>
      </c>
      <c r="X131" s="463">
        <v>111.37552642822266</v>
      </c>
      <c r="Y131" s="449"/>
      <c r="Z131" s="45"/>
      <c r="AA131" s="468">
        <v>0.40214630082815572</v>
      </c>
      <c r="AB131" s="456"/>
      <c r="AC131" s="46"/>
      <c r="AD131" s="46"/>
      <c r="AE131" s="46"/>
      <c r="AF131" s="46"/>
      <c r="AG131" s="46"/>
      <c r="AH131" s="46"/>
      <c r="AI131" s="457"/>
      <c r="AJ131" s="138"/>
      <c r="AK131" s="745"/>
      <c r="AL131" s="54"/>
      <c r="AM131" s="468"/>
      <c r="AN131" s="449"/>
      <c r="AO131" s="45"/>
      <c r="AP131" s="45"/>
      <c r="AQ131" s="45"/>
      <c r="AR131" s="45"/>
      <c r="AS131" s="45"/>
      <c r="AT131" s="45"/>
      <c r="AU131" s="463"/>
      <c r="AV131" s="449"/>
      <c r="AW131" s="45"/>
      <c r="AX131" s="45"/>
      <c r="AY131" s="45"/>
      <c r="AZ131" s="45"/>
      <c r="BA131" s="45"/>
      <c r="BB131" s="45"/>
      <c r="BC131" s="463"/>
      <c r="BD131" s="456"/>
      <c r="BE131" s="46"/>
      <c r="BF131" s="46"/>
      <c r="BG131" s="46"/>
      <c r="BH131" s="46"/>
      <c r="BI131" s="46"/>
      <c r="BJ131" s="457"/>
      <c r="BK131" s="449">
        <v>0</v>
      </c>
      <c r="BL131" s="45"/>
      <c r="BM131" s="45"/>
      <c r="BN131" s="45"/>
      <c r="BO131" s="45"/>
      <c r="BP131" s="45"/>
      <c r="BQ131" s="45"/>
      <c r="BR131" s="45"/>
      <c r="BS131" s="45"/>
      <c r="BT131" s="45"/>
      <c r="BU131" s="45"/>
      <c r="BV131" s="45"/>
      <c r="BW131" s="45"/>
      <c r="BX131" s="45"/>
      <c r="BY131" s="45"/>
      <c r="BZ131" s="45"/>
      <c r="CA131" s="45"/>
      <c r="CB131" s="45"/>
      <c r="CC131" s="45"/>
      <c r="CD131" s="463"/>
    </row>
    <row r="132" spans="2:82">
      <c r="B132" s="136">
        <v>123</v>
      </c>
      <c r="C132" s="138">
        <v>1</v>
      </c>
      <c r="D132" s="474">
        <v>4332.0397669831127</v>
      </c>
      <c r="E132" s="127">
        <v>175.17905588942145</v>
      </c>
      <c r="F132" s="447">
        <v>0.41145857029860955</v>
      </c>
      <c r="G132" s="127">
        <v>154.35876154317469</v>
      </c>
      <c r="H132" s="132">
        <v>62.593941298189684</v>
      </c>
      <c r="I132" s="456"/>
      <c r="J132" s="45"/>
      <c r="K132" s="45">
        <v>620</v>
      </c>
      <c r="L132" s="463"/>
      <c r="M132" s="456">
        <v>35.683334350585938</v>
      </c>
      <c r="N132" s="457"/>
      <c r="O132" s="456"/>
      <c r="P132" s="46"/>
      <c r="Q132" s="463">
        <v>85.774391174316406</v>
      </c>
      <c r="R132" s="449"/>
      <c r="S132" s="463"/>
      <c r="T132" s="480"/>
      <c r="U132" s="468"/>
      <c r="V132" s="449"/>
      <c r="W132" s="45">
        <v>1845.8077392578125</v>
      </c>
      <c r="X132" s="463">
        <v>151.93983459472656</v>
      </c>
      <c r="Y132" s="449"/>
      <c r="Z132" s="45"/>
      <c r="AA132" s="468">
        <v>0.40378801019451488</v>
      </c>
      <c r="AB132" s="456"/>
      <c r="AC132" s="46"/>
      <c r="AD132" s="46"/>
      <c r="AE132" s="46"/>
      <c r="AF132" s="46"/>
      <c r="AG132" s="46"/>
      <c r="AH132" s="46"/>
      <c r="AI132" s="457"/>
      <c r="AJ132" s="138"/>
      <c r="AK132" s="745"/>
      <c r="AL132" s="54"/>
      <c r="AM132" s="468"/>
      <c r="AN132" s="449"/>
      <c r="AO132" s="45"/>
      <c r="AP132" s="45"/>
      <c r="AQ132" s="45"/>
      <c r="AR132" s="45"/>
      <c r="AS132" s="45"/>
      <c r="AT132" s="45"/>
      <c r="AU132" s="463"/>
      <c r="AV132" s="449"/>
      <c r="AW132" s="45"/>
      <c r="AX132" s="45"/>
      <c r="AY132" s="45"/>
      <c r="AZ132" s="45"/>
      <c r="BA132" s="45"/>
      <c r="BB132" s="45"/>
      <c r="BC132" s="463"/>
      <c r="BD132" s="456"/>
      <c r="BE132" s="46"/>
      <c r="BF132" s="46"/>
      <c r="BG132" s="46"/>
      <c r="BH132" s="46"/>
      <c r="BI132" s="46"/>
      <c r="BJ132" s="457"/>
      <c r="BK132" s="449">
        <v>0</v>
      </c>
      <c r="BL132" s="45"/>
      <c r="BM132" s="45"/>
      <c r="BN132" s="45"/>
      <c r="BO132" s="45"/>
      <c r="BP132" s="45"/>
      <c r="BQ132" s="45"/>
      <c r="BR132" s="45"/>
      <c r="BS132" s="45"/>
      <c r="BT132" s="45"/>
      <c r="BU132" s="45"/>
      <c r="BV132" s="45"/>
      <c r="BW132" s="45"/>
      <c r="BX132" s="45"/>
      <c r="BY132" s="45"/>
      <c r="BZ132" s="45"/>
      <c r="CA132" s="45"/>
      <c r="CB132" s="45"/>
      <c r="CC132" s="45"/>
      <c r="CD132" s="463"/>
    </row>
    <row r="133" spans="2:82">
      <c r="B133" s="136">
        <v>124</v>
      </c>
      <c r="C133" s="138">
        <v>1</v>
      </c>
      <c r="D133" s="474">
        <v>3359.1545467840365</v>
      </c>
      <c r="E133" s="127">
        <v>204.2849678183677</v>
      </c>
      <c r="F133" s="447">
        <v>0.45202677731942187</v>
      </c>
      <c r="G133" s="127">
        <v>118.44963566912152</v>
      </c>
      <c r="H133" s="132">
        <v>55.464249920847202</v>
      </c>
      <c r="I133" s="456"/>
      <c r="J133" s="45"/>
      <c r="K133" s="45">
        <v>490</v>
      </c>
      <c r="L133" s="463"/>
      <c r="M133" s="456">
        <v>39.641624450683594</v>
      </c>
      <c r="N133" s="457"/>
      <c r="O133" s="456"/>
      <c r="P133" s="46"/>
      <c r="Q133" s="463">
        <v>66.511260986328125</v>
      </c>
      <c r="R133" s="449"/>
      <c r="S133" s="463"/>
      <c r="T133" s="480"/>
      <c r="U133" s="468"/>
      <c r="V133" s="449"/>
      <c r="W133" s="45">
        <v>1722.6134033203125</v>
      </c>
      <c r="X133" s="463">
        <v>142.40872192382812</v>
      </c>
      <c r="Y133" s="449"/>
      <c r="Z133" s="45"/>
      <c r="AA133" s="468">
        <v>0.44189311568751577</v>
      </c>
      <c r="AB133" s="456"/>
      <c r="AC133" s="46"/>
      <c r="AD133" s="46"/>
      <c r="AE133" s="46"/>
      <c r="AF133" s="46"/>
      <c r="AG133" s="46"/>
      <c r="AH133" s="46"/>
      <c r="AI133" s="457"/>
      <c r="AJ133" s="138"/>
      <c r="AK133" s="745"/>
      <c r="AL133" s="54"/>
      <c r="AM133" s="468"/>
      <c r="AN133" s="449"/>
      <c r="AO133" s="45"/>
      <c r="AP133" s="45"/>
      <c r="AQ133" s="45"/>
      <c r="AR133" s="45"/>
      <c r="AS133" s="45"/>
      <c r="AT133" s="45"/>
      <c r="AU133" s="463"/>
      <c r="AV133" s="449"/>
      <c r="AW133" s="45"/>
      <c r="AX133" s="45"/>
      <c r="AY133" s="45"/>
      <c r="AZ133" s="45"/>
      <c r="BA133" s="45"/>
      <c r="BB133" s="45"/>
      <c r="BC133" s="463"/>
      <c r="BD133" s="456"/>
      <c r="BE133" s="46"/>
      <c r="BF133" s="46"/>
      <c r="BG133" s="46"/>
      <c r="BH133" s="46"/>
      <c r="BI133" s="46"/>
      <c r="BJ133" s="457"/>
      <c r="BK133" s="449">
        <v>0</v>
      </c>
      <c r="BL133" s="45"/>
      <c r="BM133" s="45"/>
      <c r="BN133" s="45"/>
      <c r="BO133" s="45"/>
      <c r="BP133" s="45"/>
      <c r="BQ133" s="45"/>
      <c r="BR133" s="45"/>
      <c r="BS133" s="45"/>
      <c r="BT133" s="45"/>
      <c r="BU133" s="45"/>
      <c r="BV133" s="45"/>
      <c r="BW133" s="45"/>
      <c r="BX133" s="45"/>
      <c r="BY133" s="45"/>
      <c r="BZ133" s="45"/>
      <c r="CA133" s="45"/>
      <c r="CB133" s="45"/>
      <c r="CC133" s="45"/>
      <c r="CD133" s="463"/>
    </row>
    <row r="134" spans="2:82">
      <c r="B134" s="136">
        <v>125</v>
      </c>
      <c r="C134" s="138">
        <v>1</v>
      </c>
      <c r="D134" s="474">
        <v>2539.8886765014677</v>
      </c>
      <c r="E134" s="127">
        <v>193.14313988550506</v>
      </c>
      <c r="F134" s="447">
        <v>0.46045033480593567</v>
      </c>
      <c r="G134" s="127">
        <v>95.006601922472754</v>
      </c>
      <c r="H134" s="132">
        <v>54.253239278535588</v>
      </c>
      <c r="I134" s="456"/>
      <c r="J134" s="45"/>
      <c r="K134" s="45">
        <v>410</v>
      </c>
      <c r="L134" s="463"/>
      <c r="M134" s="456">
        <v>38.241531372070312</v>
      </c>
      <c r="N134" s="457"/>
      <c r="O134" s="456"/>
      <c r="P134" s="46"/>
      <c r="Q134" s="463">
        <v>58.432792663574219</v>
      </c>
      <c r="R134" s="449"/>
      <c r="S134" s="463"/>
      <c r="T134" s="480"/>
      <c r="U134" s="468"/>
      <c r="V134" s="449"/>
      <c r="W134" s="45">
        <v>1524.9935302734375</v>
      </c>
      <c r="X134" s="463">
        <v>127.71483612060547</v>
      </c>
      <c r="Y134" s="449"/>
      <c r="Z134" s="45"/>
      <c r="AA134" s="468">
        <v>0.44698163162511778</v>
      </c>
      <c r="AB134" s="456"/>
      <c r="AC134" s="46"/>
      <c r="AD134" s="46"/>
      <c r="AE134" s="46"/>
      <c r="AF134" s="46"/>
      <c r="AG134" s="46"/>
      <c r="AH134" s="46"/>
      <c r="AI134" s="457"/>
      <c r="AJ134" s="138"/>
      <c r="AK134" s="745"/>
      <c r="AL134" s="54"/>
      <c r="AM134" s="468"/>
      <c r="AN134" s="449"/>
      <c r="AO134" s="45"/>
      <c r="AP134" s="45"/>
      <c r="AQ134" s="45"/>
      <c r="AR134" s="45"/>
      <c r="AS134" s="45"/>
      <c r="AT134" s="45"/>
      <c r="AU134" s="463"/>
      <c r="AV134" s="449"/>
      <c r="AW134" s="45"/>
      <c r="AX134" s="45"/>
      <c r="AY134" s="45"/>
      <c r="AZ134" s="45"/>
      <c r="BA134" s="45"/>
      <c r="BB134" s="45"/>
      <c r="BC134" s="463"/>
      <c r="BD134" s="456"/>
      <c r="BE134" s="46"/>
      <c r="BF134" s="46"/>
      <c r="BG134" s="46"/>
      <c r="BH134" s="46"/>
      <c r="BI134" s="46"/>
      <c r="BJ134" s="457"/>
      <c r="BK134" s="449">
        <v>0</v>
      </c>
      <c r="BL134" s="45"/>
      <c r="BM134" s="45"/>
      <c r="BN134" s="45"/>
      <c r="BO134" s="45"/>
      <c r="BP134" s="45"/>
      <c r="BQ134" s="45"/>
      <c r="BR134" s="45"/>
      <c r="BS134" s="45"/>
      <c r="BT134" s="45"/>
      <c r="BU134" s="45"/>
      <c r="BV134" s="45"/>
      <c r="BW134" s="45"/>
      <c r="BX134" s="45"/>
      <c r="BY134" s="45"/>
      <c r="BZ134" s="45"/>
      <c r="CA134" s="45"/>
      <c r="CB134" s="45"/>
      <c r="CC134" s="45"/>
      <c r="CD134" s="463"/>
    </row>
    <row r="135" spans="2:82">
      <c r="B135" s="136">
        <v>126</v>
      </c>
      <c r="C135" s="138">
        <v>1</v>
      </c>
      <c r="D135" s="474">
        <v>3187.6203050533836</v>
      </c>
      <c r="E135" s="127">
        <v>206.50811076086515</v>
      </c>
      <c r="F135" s="447">
        <v>0.37433563353584165</v>
      </c>
      <c r="G135" s="127">
        <v>133.18224443832042</v>
      </c>
      <c r="H135" s="132">
        <v>47.372914055174782</v>
      </c>
      <c r="I135" s="456"/>
      <c r="J135" s="45"/>
      <c r="K135" s="45">
        <v>500</v>
      </c>
      <c r="L135" s="463"/>
      <c r="M135" s="456">
        <v>31.349370956420898</v>
      </c>
      <c r="N135" s="457"/>
      <c r="O135" s="456"/>
      <c r="P135" s="46"/>
      <c r="Q135" s="463">
        <v>63.114883422851563</v>
      </c>
      <c r="R135" s="449"/>
      <c r="S135" s="463"/>
      <c r="T135" s="480"/>
      <c r="U135" s="468"/>
      <c r="V135" s="449"/>
      <c r="W135" s="45">
        <v>1356.3551025390625</v>
      </c>
      <c r="X135" s="463">
        <v>115.81895446777344</v>
      </c>
      <c r="Y135" s="449"/>
      <c r="Z135" s="45"/>
      <c r="AA135" s="468">
        <v>0.36414410833467042</v>
      </c>
      <c r="AB135" s="456"/>
      <c r="AC135" s="46"/>
      <c r="AD135" s="46"/>
      <c r="AE135" s="46"/>
      <c r="AF135" s="46"/>
      <c r="AG135" s="46"/>
      <c r="AH135" s="46"/>
      <c r="AI135" s="457"/>
      <c r="AJ135" s="138"/>
      <c r="AK135" s="745"/>
      <c r="AL135" s="54"/>
      <c r="AM135" s="468"/>
      <c r="AN135" s="449"/>
      <c r="AO135" s="45"/>
      <c r="AP135" s="45"/>
      <c r="AQ135" s="45"/>
      <c r="AR135" s="45"/>
      <c r="AS135" s="45"/>
      <c r="AT135" s="45"/>
      <c r="AU135" s="463"/>
      <c r="AV135" s="449"/>
      <c r="AW135" s="45"/>
      <c r="AX135" s="45"/>
      <c r="AY135" s="45"/>
      <c r="AZ135" s="45"/>
      <c r="BA135" s="45"/>
      <c r="BB135" s="45"/>
      <c r="BC135" s="463"/>
      <c r="BD135" s="456"/>
      <c r="BE135" s="46"/>
      <c r="BF135" s="46"/>
      <c r="BG135" s="46"/>
      <c r="BH135" s="46"/>
      <c r="BI135" s="46"/>
      <c r="BJ135" s="457"/>
      <c r="BK135" s="449">
        <v>0</v>
      </c>
      <c r="BL135" s="45"/>
      <c r="BM135" s="45"/>
      <c r="BN135" s="45"/>
      <c r="BO135" s="45"/>
      <c r="BP135" s="45"/>
      <c r="BQ135" s="45"/>
      <c r="BR135" s="45"/>
      <c r="BS135" s="45"/>
      <c r="BT135" s="45"/>
      <c r="BU135" s="45"/>
      <c r="BV135" s="45"/>
      <c r="BW135" s="45"/>
      <c r="BX135" s="45"/>
      <c r="BY135" s="45"/>
      <c r="BZ135" s="45"/>
      <c r="CA135" s="45"/>
      <c r="CB135" s="45"/>
      <c r="CC135" s="45"/>
      <c r="CD135" s="463"/>
    </row>
    <row r="136" spans="2:82">
      <c r="B136" s="136">
        <v>127</v>
      </c>
      <c r="C136" s="138">
        <v>1</v>
      </c>
      <c r="D136" s="474">
        <v>3134.1994565872428</v>
      </c>
      <c r="E136" s="127">
        <v>279.0531370187947</v>
      </c>
      <c r="F136" s="447">
        <v>0.41188896709170758</v>
      </c>
      <c r="G136" s="127">
        <v>121.47199561312075</v>
      </c>
      <c r="H136" s="132">
        <v>50.115243613806037</v>
      </c>
      <c r="I136" s="456"/>
      <c r="J136" s="45"/>
      <c r="K136" s="45">
        <v>470</v>
      </c>
      <c r="L136" s="463"/>
      <c r="M136" s="456">
        <v>34.345954895019531</v>
      </c>
      <c r="N136" s="457"/>
      <c r="O136" s="456"/>
      <c r="P136" s="46"/>
      <c r="Q136" s="463">
        <v>62.057151794433594</v>
      </c>
      <c r="R136" s="449"/>
      <c r="S136" s="463"/>
      <c r="T136" s="480"/>
      <c r="U136" s="468"/>
      <c r="V136" s="449"/>
      <c r="W136" s="45">
        <v>1453.6494140625</v>
      </c>
      <c r="X136" s="463">
        <v>122.78736877441406</v>
      </c>
      <c r="Y136" s="449"/>
      <c r="Z136" s="45"/>
      <c r="AA136" s="468">
        <v>0.40128409659695419</v>
      </c>
      <c r="AB136" s="456"/>
      <c r="AC136" s="46"/>
      <c r="AD136" s="46"/>
      <c r="AE136" s="46"/>
      <c r="AF136" s="46"/>
      <c r="AG136" s="46"/>
      <c r="AH136" s="46"/>
      <c r="AI136" s="457"/>
      <c r="AJ136" s="138"/>
      <c r="AK136" s="745"/>
      <c r="AL136" s="54"/>
      <c r="AM136" s="468"/>
      <c r="AN136" s="449"/>
      <c r="AO136" s="45"/>
      <c r="AP136" s="45"/>
      <c r="AQ136" s="45"/>
      <c r="AR136" s="45"/>
      <c r="AS136" s="45"/>
      <c r="AT136" s="45"/>
      <c r="AU136" s="463"/>
      <c r="AV136" s="449"/>
      <c r="AW136" s="45"/>
      <c r="AX136" s="45"/>
      <c r="AY136" s="45"/>
      <c r="AZ136" s="45"/>
      <c r="BA136" s="45"/>
      <c r="BB136" s="45"/>
      <c r="BC136" s="463"/>
      <c r="BD136" s="456"/>
      <c r="BE136" s="46"/>
      <c r="BF136" s="46"/>
      <c r="BG136" s="46"/>
      <c r="BH136" s="46"/>
      <c r="BI136" s="46"/>
      <c r="BJ136" s="457"/>
      <c r="BK136" s="449">
        <v>0</v>
      </c>
      <c r="BL136" s="45"/>
      <c r="BM136" s="45"/>
      <c r="BN136" s="45"/>
      <c r="BO136" s="45"/>
      <c r="BP136" s="45"/>
      <c r="BQ136" s="45"/>
      <c r="BR136" s="45"/>
      <c r="BS136" s="45"/>
      <c r="BT136" s="45"/>
      <c r="BU136" s="45"/>
      <c r="BV136" s="45"/>
      <c r="BW136" s="45"/>
      <c r="BX136" s="45"/>
      <c r="BY136" s="45"/>
      <c r="BZ136" s="45"/>
      <c r="CA136" s="45"/>
      <c r="CB136" s="45"/>
      <c r="CC136" s="45"/>
      <c r="CD136" s="463"/>
    </row>
    <row r="137" spans="2:82">
      <c r="B137" s="136">
        <v>128</v>
      </c>
      <c r="C137" s="138">
        <v>1</v>
      </c>
      <c r="D137" s="474">
        <v>3452.6328135977737</v>
      </c>
      <c r="E137" s="127">
        <v>239.00658393917286</v>
      </c>
      <c r="F137" s="447">
        <v>0.43499252925762866</v>
      </c>
      <c r="G137" s="127">
        <v>128.29698714317911</v>
      </c>
      <c r="H137" s="132">
        <v>54.542573546396952</v>
      </c>
      <c r="I137" s="456"/>
      <c r="J137" s="45"/>
      <c r="K137" s="45">
        <v>510</v>
      </c>
      <c r="L137" s="463"/>
      <c r="M137" s="456">
        <v>37.977756500244141</v>
      </c>
      <c r="N137" s="457"/>
      <c r="O137" s="456"/>
      <c r="P137" s="46"/>
      <c r="Q137" s="463">
        <v>68.362129211425781</v>
      </c>
      <c r="R137" s="449"/>
      <c r="S137" s="463"/>
      <c r="T137" s="480"/>
      <c r="U137" s="468"/>
      <c r="V137" s="449"/>
      <c r="W137" s="45">
        <v>1692.064453125</v>
      </c>
      <c r="X137" s="463">
        <v>140.29444885253906</v>
      </c>
      <c r="Y137" s="449"/>
      <c r="Z137" s="45"/>
      <c r="AA137" s="468">
        <v>0.42523190529193217</v>
      </c>
      <c r="AB137" s="456"/>
      <c r="AC137" s="46"/>
      <c r="AD137" s="46"/>
      <c r="AE137" s="46"/>
      <c r="AF137" s="46"/>
      <c r="AG137" s="46"/>
      <c r="AH137" s="46"/>
      <c r="AI137" s="457"/>
      <c r="AJ137" s="138"/>
      <c r="AK137" s="745"/>
      <c r="AL137" s="54"/>
      <c r="AM137" s="468"/>
      <c r="AN137" s="449"/>
      <c r="AO137" s="45"/>
      <c r="AP137" s="45"/>
      <c r="AQ137" s="45"/>
      <c r="AR137" s="45"/>
      <c r="AS137" s="45"/>
      <c r="AT137" s="45"/>
      <c r="AU137" s="463"/>
      <c r="AV137" s="449"/>
      <c r="AW137" s="45"/>
      <c r="AX137" s="45"/>
      <c r="AY137" s="45"/>
      <c r="AZ137" s="45"/>
      <c r="BA137" s="45"/>
      <c r="BB137" s="45"/>
      <c r="BC137" s="463"/>
      <c r="BD137" s="456"/>
      <c r="BE137" s="46"/>
      <c r="BF137" s="46"/>
      <c r="BG137" s="46"/>
      <c r="BH137" s="46"/>
      <c r="BI137" s="46"/>
      <c r="BJ137" s="457"/>
      <c r="BK137" s="449">
        <v>0</v>
      </c>
      <c r="BL137" s="45"/>
      <c r="BM137" s="45"/>
      <c r="BN137" s="45"/>
      <c r="BO137" s="45"/>
      <c r="BP137" s="45"/>
      <c r="BQ137" s="45"/>
      <c r="BR137" s="45"/>
      <c r="BS137" s="45"/>
      <c r="BT137" s="45"/>
      <c r="BU137" s="45"/>
      <c r="BV137" s="45"/>
      <c r="BW137" s="45"/>
      <c r="BX137" s="45"/>
      <c r="BY137" s="45"/>
      <c r="BZ137" s="45"/>
      <c r="CA137" s="45"/>
      <c r="CB137" s="45"/>
      <c r="CC137" s="45"/>
      <c r="CD137" s="463"/>
    </row>
    <row r="138" spans="2:82">
      <c r="B138" s="136">
        <v>129</v>
      </c>
      <c r="C138" s="138">
        <v>1</v>
      </c>
      <c r="D138" s="474">
        <v>5162.0684031886794</v>
      </c>
      <c r="E138" s="127">
        <v>249.71210880900139</v>
      </c>
      <c r="F138" s="447">
        <v>0.41149049136537846</v>
      </c>
      <c r="G138" s="127">
        <v>188.72441197467924</v>
      </c>
      <c r="H138" s="132">
        <v>66.932059055175841</v>
      </c>
      <c r="I138" s="456"/>
      <c r="J138" s="45"/>
      <c r="K138" s="45">
        <v>750</v>
      </c>
      <c r="L138" s="463"/>
      <c r="M138" s="456">
        <v>40.807674407958984</v>
      </c>
      <c r="N138" s="457"/>
      <c r="O138" s="456"/>
      <c r="P138" s="46"/>
      <c r="Q138" s="463">
        <v>90</v>
      </c>
      <c r="R138" s="449"/>
      <c r="S138" s="463"/>
      <c r="T138" s="480"/>
      <c r="U138" s="468"/>
      <c r="V138" s="449"/>
      <c r="W138" s="45">
        <v>2189.168701171875</v>
      </c>
      <c r="X138" s="463">
        <v>177.45101928710937</v>
      </c>
      <c r="Y138" s="449"/>
      <c r="Z138" s="45"/>
      <c r="AA138" s="468">
        <v>0.40505318615516828</v>
      </c>
      <c r="AB138" s="456"/>
      <c r="AC138" s="46"/>
      <c r="AD138" s="46"/>
      <c r="AE138" s="46"/>
      <c r="AF138" s="46"/>
      <c r="AG138" s="46"/>
      <c r="AH138" s="46"/>
      <c r="AI138" s="457"/>
      <c r="AJ138" s="138"/>
      <c r="AK138" s="745"/>
      <c r="AL138" s="54"/>
      <c r="AM138" s="468"/>
      <c r="AN138" s="449"/>
      <c r="AO138" s="45"/>
      <c r="AP138" s="45"/>
      <c r="AQ138" s="45"/>
      <c r="AR138" s="45"/>
      <c r="AS138" s="45"/>
      <c r="AT138" s="45"/>
      <c r="AU138" s="463"/>
      <c r="AV138" s="449"/>
      <c r="AW138" s="45"/>
      <c r="AX138" s="45"/>
      <c r="AY138" s="45"/>
      <c r="AZ138" s="45"/>
      <c r="BA138" s="45"/>
      <c r="BB138" s="45"/>
      <c r="BC138" s="463"/>
      <c r="BD138" s="456"/>
      <c r="BE138" s="46"/>
      <c r="BF138" s="46"/>
      <c r="BG138" s="46"/>
      <c r="BH138" s="46"/>
      <c r="BI138" s="46"/>
      <c r="BJ138" s="457"/>
      <c r="BK138" s="449">
        <v>0</v>
      </c>
      <c r="BL138" s="45"/>
      <c r="BM138" s="45"/>
      <c r="BN138" s="45"/>
      <c r="BO138" s="45"/>
      <c r="BP138" s="45"/>
      <c r="BQ138" s="45"/>
      <c r="BR138" s="45"/>
      <c r="BS138" s="45"/>
      <c r="BT138" s="45"/>
      <c r="BU138" s="45"/>
      <c r="BV138" s="45"/>
      <c r="BW138" s="45"/>
      <c r="BX138" s="45"/>
      <c r="BY138" s="45"/>
      <c r="BZ138" s="45"/>
      <c r="CA138" s="45"/>
      <c r="CB138" s="45"/>
      <c r="CC138" s="45"/>
      <c r="CD138" s="463"/>
    </row>
    <row r="139" spans="2:82">
      <c r="B139" s="136">
        <v>130</v>
      </c>
      <c r="C139" s="138">
        <v>1</v>
      </c>
      <c r="D139" s="474">
        <v>3602.7888883868618</v>
      </c>
      <c r="E139" s="127">
        <v>230.40362496673799</v>
      </c>
      <c r="F139" s="447">
        <v>0.3646370000412209</v>
      </c>
      <c r="G139" s="127">
        <v>117.51642239279049</v>
      </c>
      <c r="H139" s="132">
        <v>59.759658072209554</v>
      </c>
      <c r="I139" s="456"/>
      <c r="J139" s="45"/>
      <c r="K139" s="45">
        <v>490</v>
      </c>
      <c r="L139" s="463"/>
      <c r="M139" s="456">
        <v>27.451604843139648</v>
      </c>
      <c r="N139" s="457"/>
      <c r="O139" s="456"/>
      <c r="P139" s="46"/>
      <c r="Q139" s="463">
        <v>71.335227966308594</v>
      </c>
      <c r="R139" s="449"/>
      <c r="S139" s="463"/>
      <c r="T139" s="480"/>
      <c r="U139" s="468"/>
      <c r="V139" s="449"/>
      <c r="W139" s="45">
        <v>1288.646240234375</v>
      </c>
      <c r="X139" s="463">
        <v>110.85498809814453</v>
      </c>
      <c r="Y139" s="449"/>
      <c r="Z139" s="45"/>
      <c r="AA139" s="468">
        <v>0.35567373824563914</v>
      </c>
      <c r="AB139" s="456"/>
      <c r="AC139" s="46"/>
      <c r="AD139" s="46"/>
      <c r="AE139" s="46"/>
      <c r="AF139" s="46"/>
      <c r="AG139" s="46"/>
      <c r="AH139" s="46"/>
      <c r="AI139" s="457"/>
      <c r="AJ139" s="138"/>
      <c r="AK139" s="745"/>
      <c r="AL139" s="54"/>
      <c r="AM139" s="468"/>
      <c r="AN139" s="449"/>
      <c r="AO139" s="45"/>
      <c r="AP139" s="45"/>
      <c r="AQ139" s="45"/>
      <c r="AR139" s="45"/>
      <c r="AS139" s="45"/>
      <c r="AT139" s="45"/>
      <c r="AU139" s="463"/>
      <c r="AV139" s="449"/>
      <c r="AW139" s="45"/>
      <c r="AX139" s="45"/>
      <c r="AY139" s="45"/>
      <c r="AZ139" s="45"/>
      <c r="BA139" s="45"/>
      <c r="BB139" s="45"/>
      <c r="BC139" s="463"/>
      <c r="BD139" s="456"/>
      <c r="BE139" s="46"/>
      <c r="BF139" s="46"/>
      <c r="BG139" s="46"/>
      <c r="BH139" s="46"/>
      <c r="BI139" s="46"/>
      <c r="BJ139" s="457"/>
      <c r="BK139" s="449">
        <v>0</v>
      </c>
      <c r="BL139" s="45"/>
      <c r="BM139" s="45"/>
      <c r="BN139" s="45"/>
      <c r="BO139" s="45"/>
      <c r="BP139" s="45"/>
      <c r="BQ139" s="45"/>
      <c r="BR139" s="45"/>
      <c r="BS139" s="45"/>
      <c r="BT139" s="45"/>
      <c r="BU139" s="45"/>
      <c r="BV139" s="45"/>
      <c r="BW139" s="45"/>
      <c r="BX139" s="45"/>
      <c r="BY139" s="45"/>
      <c r="BZ139" s="45"/>
      <c r="CA139" s="45"/>
      <c r="CB139" s="45"/>
      <c r="CC139" s="45"/>
      <c r="CD139" s="463"/>
    </row>
    <row r="140" spans="2:82">
      <c r="B140" s="136">
        <v>131</v>
      </c>
      <c r="C140" s="138">
        <v>1</v>
      </c>
      <c r="D140" s="474">
        <v>3397.1276095655612</v>
      </c>
      <c r="E140" s="127">
        <v>253.84003331555618</v>
      </c>
      <c r="F140" s="447">
        <v>0.4283531360064845</v>
      </c>
      <c r="G140" s="127">
        <v>139.24026123203714</v>
      </c>
      <c r="H140" s="132">
        <v>57.779164847011863</v>
      </c>
      <c r="I140" s="456"/>
      <c r="J140" s="45"/>
      <c r="K140" s="45">
        <v>560</v>
      </c>
      <c r="L140" s="463"/>
      <c r="M140" s="456">
        <v>37.57733154296875</v>
      </c>
      <c r="N140" s="457"/>
      <c r="O140" s="456"/>
      <c r="P140" s="46"/>
      <c r="Q140" s="463">
        <v>75.172149658203125</v>
      </c>
      <c r="R140" s="449"/>
      <c r="S140" s="463"/>
      <c r="T140" s="480"/>
      <c r="U140" s="468"/>
      <c r="V140" s="449"/>
      <c r="W140" s="45">
        <v>1780.758544921875</v>
      </c>
      <c r="X140" s="463">
        <v>146.9378662109375</v>
      </c>
      <c r="Y140" s="449"/>
      <c r="Z140" s="45"/>
      <c r="AA140" s="468">
        <v>0.41847212281592538</v>
      </c>
      <c r="AB140" s="456"/>
      <c r="AC140" s="46"/>
      <c r="AD140" s="46"/>
      <c r="AE140" s="46"/>
      <c r="AF140" s="46"/>
      <c r="AG140" s="46"/>
      <c r="AH140" s="46"/>
      <c r="AI140" s="457"/>
      <c r="AJ140" s="138"/>
      <c r="AK140" s="745"/>
      <c r="AL140" s="54"/>
      <c r="AM140" s="468"/>
      <c r="AN140" s="449"/>
      <c r="AO140" s="45"/>
      <c r="AP140" s="45"/>
      <c r="AQ140" s="45"/>
      <c r="AR140" s="45"/>
      <c r="AS140" s="45"/>
      <c r="AT140" s="45"/>
      <c r="AU140" s="463"/>
      <c r="AV140" s="449"/>
      <c r="AW140" s="45"/>
      <c r="AX140" s="45"/>
      <c r="AY140" s="45"/>
      <c r="AZ140" s="45"/>
      <c r="BA140" s="45"/>
      <c r="BB140" s="45"/>
      <c r="BC140" s="463"/>
      <c r="BD140" s="456"/>
      <c r="BE140" s="46"/>
      <c r="BF140" s="46"/>
      <c r="BG140" s="46"/>
      <c r="BH140" s="46"/>
      <c r="BI140" s="46"/>
      <c r="BJ140" s="457"/>
      <c r="BK140" s="449">
        <v>0</v>
      </c>
      <c r="BL140" s="45"/>
      <c r="BM140" s="45"/>
      <c r="BN140" s="45"/>
      <c r="BO140" s="45"/>
      <c r="BP140" s="45"/>
      <c r="BQ140" s="45"/>
      <c r="BR140" s="45"/>
      <c r="BS140" s="45"/>
      <c r="BT140" s="45"/>
      <c r="BU140" s="45"/>
      <c r="BV140" s="45"/>
      <c r="BW140" s="45"/>
      <c r="BX140" s="45"/>
      <c r="BY140" s="45"/>
      <c r="BZ140" s="45"/>
      <c r="CA140" s="45"/>
      <c r="CB140" s="45"/>
      <c r="CC140" s="45"/>
      <c r="CD140" s="463"/>
    </row>
    <row r="141" spans="2:82">
      <c r="B141" s="136">
        <v>132</v>
      </c>
      <c r="C141" s="138">
        <v>1</v>
      </c>
      <c r="D141" s="474">
        <v>3156.5835546905287</v>
      </c>
      <c r="E141" s="127">
        <v>210.42866511788972</v>
      </c>
      <c r="F141" s="447">
        <v>0.35466863195657111</v>
      </c>
      <c r="G141" s="127">
        <v>104.57056092413892</v>
      </c>
      <c r="H141" s="132">
        <v>55.465394359884094</v>
      </c>
      <c r="I141" s="456"/>
      <c r="J141" s="45"/>
      <c r="K141" s="45">
        <v>430</v>
      </c>
      <c r="L141" s="463"/>
      <c r="M141" s="456">
        <v>26.546371459960938</v>
      </c>
      <c r="N141" s="457"/>
      <c r="O141" s="456"/>
      <c r="P141" s="46"/>
      <c r="Q141" s="463">
        <v>62.500354766845703</v>
      </c>
      <c r="R141" s="449"/>
      <c r="S141" s="463"/>
      <c r="T141" s="480"/>
      <c r="U141" s="468"/>
      <c r="V141" s="449"/>
      <c r="W141" s="45">
        <v>1129.62109375</v>
      </c>
      <c r="X141" s="463">
        <v>99.045791625976563</v>
      </c>
      <c r="Y141" s="449"/>
      <c r="Z141" s="45"/>
      <c r="AA141" s="468">
        <v>0.3445015091533612</v>
      </c>
      <c r="AB141" s="456"/>
      <c r="AC141" s="46"/>
      <c r="AD141" s="46"/>
      <c r="AE141" s="46"/>
      <c r="AF141" s="46"/>
      <c r="AG141" s="46"/>
      <c r="AH141" s="46"/>
      <c r="AI141" s="457"/>
      <c r="AJ141" s="138"/>
      <c r="AK141" s="745"/>
      <c r="AL141" s="54"/>
      <c r="AM141" s="468"/>
      <c r="AN141" s="449"/>
      <c r="AO141" s="45"/>
      <c r="AP141" s="45"/>
      <c r="AQ141" s="45"/>
      <c r="AR141" s="45"/>
      <c r="AS141" s="45"/>
      <c r="AT141" s="45"/>
      <c r="AU141" s="463"/>
      <c r="AV141" s="449"/>
      <c r="AW141" s="45"/>
      <c r="AX141" s="45"/>
      <c r="AY141" s="45"/>
      <c r="AZ141" s="45"/>
      <c r="BA141" s="45"/>
      <c r="BB141" s="45"/>
      <c r="BC141" s="463"/>
      <c r="BD141" s="456"/>
      <c r="BE141" s="46"/>
      <c r="BF141" s="46"/>
      <c r="BG141" s="46"/>
      <c r="BH141" s="46"/>
      <c r="BI141" s="46"/>
      <c r="BJ141" s="457"/>
      <c r="BK141" s="449">
        <v>0</v>
      </c>
      <c r="BL141" s="45"/>
      <c r="BM141" s="45"/>
      <c r="BN141" s="45"/>
      <c r="BO141" s="45"/>
      <c r="BP141" s="45"/>
      <c r="BQ141" s="45"/>
      <c r="BR141" s="45"/>
      <c r="BS141" s="45"/>
      <c r="BT141" s="45"/>
      <c r="BU141" s="45"/>
      <c r="BV141" s="45"/>
      <c r="BW141" s="45"/>
      <c r="BX141" s="45"/>
      <c r="BY141" s="45"/>
      <c r="BZ141" s="45"/>
      <c r="CA141" s="45"/>
      <c r="CB141" s="45"/>
      <c r="CC141" s="45"/>
      <c r="CD141" s="463"/>
    </row>
    <row r="142" spans="2:82">
      <c r="B142" s="136">
        <v>133</v>
      </c>
      <c r="C142" s="138">
        <v>1</v>
      </c>
      <c r="D142" s="474">
        <v>4131.3971369680385</v>
      </c>
      <c r="E142" s="127">
        <v>307.88973126131577</v>
      </c>
      <c r="F142" s="447">
        <v>0.37455646753107708</v>
      </c>
      <c r="G142" s="127">
        <v>159.64338064229074</v>
      </c>
      <c r="H142" s="132">
        <v>64.334869974207862</v>
      </c>
      <c r="I142" s="456"/>
      <c r="J142" s="45"/>
      <c r="K142" s="45">
        <v>640</v>
      </c>
      <c r="L142" s="463"/>
      <c r="M142" s="456">
        <v>30.944950103759766</v>
      </c>
      <c r="N142" s="457"/>
      <c r="O142" s="456"/>
      <c r="P142" s="46"/>
      <c r="Q142" s="463">
        <v>89.806304931640625</v>
      </c>
      <c r="R142" s="449"/>
      <c r="S142" s="463"/>
      <c r="T142" s="480"/>
      <c r="U142" s="468"/>
      <c r="V142" s="449"/>
      <c r="W142" s="45">
        <v>1674.0467529296875</v>
      </c>
      <c r="X142" s="463">
        <v>139.51416015625</v>
      </c>
      <c r="Y142" s="449"/>
      <c r="Z142" s="45"/>
      <c r="AA142" s="468">
        <v>0.36669202645377452</v>
      </c>
      <c r="AB142" s="456"/>
      <c r="AC142" s="46"/>
      <c r="AD142" s="46"/>
      <c r="AE142" s="46"/>
      <c r="AF142" s="46"/>
      <c r="AG142" s="46"/>
      <c r="AH142" s="46"/>
      <c r="AI142" s="457"/>
      <c r="AJ142" s="138"/>
      <c r="AK142" s="745"/>
      <c r="AL142" s="54"/>
      <c r="AM142" s="468"/>
      <c r="AN142" s="449"/>
      <c r="AO142" s="45"/>
      <c r="AP142" s="45"/>
      <c r="AQ142" s="45"/>
      <c r="AR142" s="45"/>
      <c r="AS142" s="45"/>
      <c r="AT142" s="45"/>
      <c r="AU142" s="463"/>
      <c r="AV142" s="449"/>
      <c r="AW142" s="45"/>
      <c r="AX142" s="45"/>
      <c r="AY142" s="45"/>
      <c r="AZ142" s="45"/>
      <c r="BA142" s="45"/>
      <c r="BB142" s="45"/>
      <c r="BC142" s="463"/>
      <c r="BD142" s="456"/>
      <c r="BE142" s="46"/>
      <c r="BF142" s="46"/>
      <c r="BG142" s="46"/>
      <c r="BH142" s="46"/>
      <c r="BI142" s="46"/>
      <c r="BJ142" s="457"/>
      <c r="BK142" s="449">
        <v>0</v>
      </c>
      <c r="BL142" s="45"/>
      <c r="BM142" s="45"/>
      <c r="BN142" s="45"/>
      <c r="BO142" s="45"/>
      <c r="BP142" s="45"/>
      <c r="BQ142" s="45"/>
      <c r="BR142" s="45"/>
      <c r="BS142" s="45"/>
      <c r="BT142" s="45"/>
      <c r="BU142" s="45"/>
      <c r="BV142" s="45"/>
      <c r="BW142" s="45"/>
      <c r="BX142" s="45"/>
      <c r="BY142" s="45"/>
      <c r="BZ142" s="45"/>
      <c r="CA142" s="45"/>
      <c r="CB142" s="45"/>
      <c r="CC142" s="45"/>
      <c r="CD142" s="463"/>
    </row>
    <row r="143" spans="2:82">
      <c r="B143" s="136">
        <v>134</v>
      </c>
      <c r="C143" s="138">
        <v>1</v>
      </c>
      <c r="D143" s="474">
        <v>3418.7457034113968</v>
      </c>
      <c r="E143" s="127">
        <v>265.11323430605859</v>
      </c>
      <c r="F143" s="447">
        <v>0.40845377430667695</v>
      </c>
      <c r="G143" s="127">
        <v>131.06858083246618</v>
      </c>
      <c r="H143" s="132">
        <v>53.120050083920894</v>
      </c>
      <c r="I143" s="456"/>
      <c r="J143" s="45"/>
      <c r="K143" s="45">
        <v>510</v>
      </c>
      <c r="L143" s="463"/>
      <c r="M143" s="456">
        <v>34.379280090332031</v>
      </c>
      <c r="N143" s="457"/>
      <c r="O143" s="456"/>
      <c r="P143" s="46"/>
      <c r="Q143" s="463">
        <v>67.691169738769531</v>
      </c>
      <c r="R143" s="449"/>
      <c r="S143" s="463"/>
      <c r="T143" s="480"/>
      <c r="U143" s="468"/>
      <c r="V143" s="449"/>
      <c r="W143" s="45">
        <v>1539.9046630859375</v>
      </c>
      <c r="X143" s="463">
        <v>129.22535705566406</v>
      </c>
      <c r="Y143" s="449"/>
      <c r="Z143" s="45"/>
      <c r="AA143" s="468">
        <v>0.39875165593822515</v>
      </c>
      <c r="AB143" s="456"/>
      <c r="AC143" s="46"/>
      <c r="AD143" s="46"/>
      <c r="AE143" s="46"/>
      <c r="AF143" s="46"/>
      <c r="AG143" s="46"/>
      <c r="AH143" s="46"/>
      <c r="AI143" s="457"/>
      <c r="AJ143" s="138"/>
      <c r="AK143" s="745"/>
      <c r="AL143" s="54"/>
      <c r="AM143" s="468"/>
      <c r="AN143" s="449"/>
      <c r="AO143" s="45"/>
      <c r="AP143" s="45"/>
      <c r="AQ143" s="45"/>
      <c r="AR143" s="45"/>
      <c r="AS143" s="45"/>
      <c r="AT143" s="45"/>
      <c r="AU143" s="463"/>
      <c r="AV143" s="449"/>
      <c r="AW143" s="45"/>
      <c r="AX143" s="45"/>
      <c r="AY143" s="45"/>
      <c r="AZ143" s="45"/>
      <c r="BA143" s="45"/>
      <c r="BB143" s="45"/>
      <c r="BC143" s="463"/>
      <c r="BD143" s="456"/>
      <c r="BE143" s="46"/>
      <c r="BF143" s="46"/>
      <c r="BG143" s="46"/>
      <c r="BH143" s="46"/>
      <c r="BI143" s="46"/>
      <c r="BJ143" s="457"/>
      <c r="BK143" s="449">
        <v>0</v>
      </c>
      <c r="BL143" s="45"/>
      <c r="BM143" s="45"/>
      <c r="BN143" s="45"/>
      <c r="BO143" s="45"/>
      <c r="BP143" s="45"/>
      <c r="BQ143" s="45"/>
      <c r="BR143" s="45"/>
      <c r="BS143" s="45"/>
      <c r="BT143" s="45"/>
      <c r="BU143" s="45"/>
      <c r="BV143" s="45"/>
      <c r="BW143" s="45"/>
      <c r="BX143" s="45"/>
      <c r="BY143" s="45"/>
      <c r="BZ143" s="45"/>
      <c r="CA143" s="45"/>
      <c r="CB143" s="45"/>
      <c r="CC143" s="45"/>
      <c r="CD143" s="463"/>
    </row>
    <row r="144" spans="2:82">
      <c r="B144" s="136">
        <v>135</v>
      </c>
      <c r="C144" s="138">
        <v>1</v>
      </c>
      <c r="D144" s="474">
        <v>3182.0464300388148</v>
      </c>
      <c r="E144" s="127">
        <v>203.23186821748567</v>
      </c>
      <c r="F144" s="447">
        <v>0.38682827581849089</v>
      </c>
      <c r="G144" s="127">
        <v>121.16175363579769</v>
      </c>
      <c r="H144" s="132">
        <v>51.245809948815626</v>
      </c>
      <c r="I144" s="456"/>
      <c r="J144" s="45"/>
      <c r="K144" s="45">
        <v>470</v>
      </c>
      <c r="L144" s="463"/>
      <c r="M144" s="456">
        <v>31.114772796630859</v>
      </c>
      <c r="N144" s="457"/>
      <c r="O144" s="456"/>
      <c r="P144" s="46"/>
      <c r="Q144" s="463">
        <v>63.004524230957031</v>
      </c>
      <c r="R144" s="449"/>
      <c r="S144" s="463"/>
      <c r="T144" s="480"/>
      <c r="U144" s="468"/>
      <c r="V144" s="449"/>
      <c r="W144" s="45">
        <v>1339.550537109375</v>
      </c>
      <c r="X144" s="463">
        <v>114.48676300048828</v>
      </c>
      <c r="Y144" s="449"/>
      <c r="Z144" s="45"/>
      <c r="AA144" s="468">
        <v>0.3765403789457949</v>
      </c>
      <c r="AB144" s="456"/>
      <c r="AC144" s="46"/>
      <c r="AD144" s="46"/>
      <c r="AE144" s="46"/>
      <c r="AF144" s="46"/>
      <c r="AG144" s="46"/>
      <c r="AH144" s="46"/>
      <c r="AI144" s="457"/>
      <c r="AJ144" s="138"/>
      <c r="AK144" s="745"/>
      <c r="AL144" s="54"/>
      <c r="AM144" s="468"/>
      <c r="AN144" s="449"/>
      <c r="AO144" s="45"/>
      <c r="AP144" s="45"/>
      <c r="AQ144" s="45"/>
      <c r="AR144" s="45"/>
      <c r="AS144" s="45"/>
      <c r="AT144" s="45"/>
      <c r="AU144" s="463"/>
      <c r="AV144" s="449"/>
      <c r="AW144" s="45"/>
      <c r="AX144" s="45"/>
      <c r="AY144" s="45"/>
      <c r="AZ144" s="45"/>
      <c r="BA144" s="45"/>
      <c r="BB144" s="45"/>
      <c r="BC144" s="463"/>
      <c r="BD144" s="456"/>
      <c r="BE144" s="46"/>
      <c r="BF144" s="46"/>
      <c r="BG144" s="46"/>
      <c r="BH144" s="46"/>
      <c r="BI144" s="46"/>
      <c r="BJ144" s="457"/>
      <c r="BK144" s="449">
        <v>0</v>
      </c>
      <c r="BL144" s="45"/>
      <c r="BM144" s="45"/>
      <c r="BN144" s="45"/>
      <c r="BO144" s="45"/>
      <c r="BP144" s="45"/>
      <c r="BQ144" s="45"/>
      <c r="BR144" s="45"/>
      <c r="BS144" s="45"/>
      <c r="BT144" s="45"/>
      <c r="BU144" s="45"/>
      <c r="BV144" s="45"/>
      <c r="BW144" s="45"/>
      <c r="BX144" s="45"/>
      <c r="BY144" s="45"/>
      <c r="BZ144" s="45"/>
      <c r="CA144" s="45"/>
      <c r="CB144" s="45"/>
      <c r="CC144" s="45"/>
      <c r="CD144" s="463"/>
    </row>
    <row r="145" spans="2:82">
      <c r="B145" s="136">
        <v>136</v>
      </c>
      <c r="C145" s="138">
        <v>1</v>
      </c>
      <c r="D145" s="474">
        <v>3126.7220399212979</v>
      </c>
      <c r="E145" s="127">
        <v>251.78028576452473</v>
      </c>
      <c r="F145" s="447">
        <v>0.37439844745002349</v>
      </c>
      <c r="G145" s="127">
        <v>107.97906724809609</v>
      </c>
      <c r="H145" s="132">
        <v>60.993887511470142</v>
      </c>
      <c r="I145" s="456"/>
      <c r="J145" s="45"/>
      <c r="K145" s="45">
        <v>470</v>
      </c>
      <c r="L145" s="463"/>
      <c r="M145" s="456">
        <v>27.44038200378418</v>
      </c>
      <c r="N145" s="457"/>
      <c r="O145" s="456"/>
      <c r="P145" s="46"/>
      <c r="Q145" s="463">
        <v>70.184944152832031</v>
      </c>
      <c r="R145" s="449"/>
      <c r="S145" s="463"/>
      <c r="T145" s="480"/>
      <c r="U145" s="468"/>
      <c r="V145" s="449"/>
      <c r="W145" s="45">
        <v>1267.7093505859375</v>
      </c>
      <c r="X145" s="463">
        <v>109.23276519775391</v>
      </c>
      <c r="Y145" s="449"/>
      <c r="Z145" s="45"/>
      <c r="AA145" s="468">
        <v>0.36400802305853569</v>
      </c>
      <c r="AB145" s="456"/>
      <c r="AC145" s="46"/>
      <c r="AD145" s="46"/>
      <c r="AE145" s="46"/>
      <c r="AF145" s="46"/>
      <c r="AG145" s="46"/>
      <c r="AH145" s="46"/>
      <c r="AI145" s="457"/>
      <c r="AJ145" s="138"/>
      <c r="AK145" s="745"/>
      <c r="AL145" s="54"/>
      <c r="AM145" s="468"/>
      <c r="AN145" s="449"/>
      <c r="AO145" s="45"/>
      <c r="AP145" s="45"/>
      <c r="AQ145" s="45"/>
      <c r="AR145" s="45"/>
      <c r="AS145" s="45"/>
      <c r="AT145" s="45"/>
      <c r="AU145" s="463"/>
      <c r="AV145" s="449"/>
      <c r="AW145" s="45"/>
      <c r="AX145" s="45"/>
      <c r="AY145" s="45"/>
      <c r="AZ145" s="45"/>
      <c r="BA145" s="45"/>
      <c r="BB145" s="45"/>
      <c r="BC145" s="463"/>
      <c r="BD145" s="456"/>
      <c r="BE145" s="46"/>
      <c r="BF145" s="46"/>
      <c r="BG145" s="46"/>
      <c r="BH145" s="46"/>
      <c r="BI145" s="46"/>
      <c r="BJ145" s="457"/>
      <c r="BK145" s="449">
        <v>0</v>
      </c>
      <c r="BL145" s="45"/>
      <c r="BM145" s="45"/>
      <c r="BN145" s="45"/>
      <c r="BO145" s="45"/>
      <c r="BP145" s="45"/>
      <c r="BQ145" s="45"/>
      <c r="BR145" s="45"/>
      <c r="BS145" s="45"/>
      <c r="BT145" s="45"/>
      <c r="BU145" s="45"/>
      <c r="BV145" s="45"/>
      <c r="BW145" s="45"/>
      <c r="BX145" s="45"/>
      <c r="BY145" s="45"/>
      <c r="BZ145" s="45"/>
      <c r="CA145" s="45"/>
      <c r="CB145" s="45"/>
      <c r="CC145" s="45"/>
      <c r="CD145" s="463"/>
    </row>
    <row r="146" spans="2:82">
      <c r="B146" s="136">
        <v>137</v>
      </c>
      <c r="C146" s="138">
        <v>1</v>
      </c>
      <c r="D146" s="474">
        <v>3017.2467519975457</v>
      </c>
      <c r="E146" s="127">
        <v>234.54365442050727</v>
      </c>
      <c r="F146" s="447">
        <v>0.41889014685035003</v>
      </c>
      <c r="G146" s="127">
        <v>110.3809085392147</v>
      </c>
      <c r="H146" s="132">
        <v>58.672371748466482</v>
      </c>
      <c r="I146" s="456"/>
      <c r="J146" s="45"/>
      <c r="K146" s="45">
        <v>470</v>
      </c>
      <c r="L146" s="463"/>
      <c r="M146" s="456">
        <v>33.027442932128906</v>
      </c>
      <c r="N146" s="457"/>
      <c r="O146" s="456"/>
      <c r="P146" s="46"/>
      <c r="Q146" s="463">
        <v>67.910919189453125</v>
      </c>
      <c r="R146" s="449"/>
      <c r="S146" s="463"/>
      <c r="T146" s="480"/>
      <c r="U146" s="468"/>
      <c r="V146" s="449"/>
      <c r="W146" s="45">
        <v>1471.435791015625</v>
      </c>
      <c r="X146" s="463">
        <v>124.07087707519531</v>
      </c>
      <c r="Y146" s="449"/>
      <c r="Z146" s="45"/>
      <c r="AA146" s="468">
        <v>0.40782780900379856</v>
      </c>
      <c r="AB146" s="456"/>
      <c r="AC146" s="46"/>
      <c r="AD146" s="46"/>
      <c r="AE146" s="46"/>
      <c r="AF146" s="46"/>
      <c r="AG146" s="46"/>
      <c r="AH146" s="46"/>
      <c r="AI146" s="457"/>
      <c r="AJ146" s="138"/>
      <c r="AK146" s="745"/>
      <c r="AL146" s="54"/>
      <c r="AM146" s="468"/>
      <c r="AN146" s="449"/>
      <c r="AO146" s="45"/>
      <c r="AP146" s="45"/>
      <c r="AQ146" s="45"/>
      <c r="AR146" s="45"/>
      <c r="AS146" s="45"/>
      <c r="AT146" s="45"/>
      <c r="AU146" s="463"/>
      <c r="AV146" s="449"/>
      <c r="AW146" s="45"/>
      <c r="AX146" s="45"/>
      <c r="AY146" s="45"/>
      <c r="AZ146" s="45"/>
      <c r="BA146" s="45"/>
      <c r="BB146" s="45"/>
      <c r="BC146" s="463"/>
      <c r="BD146" s="456"/>
      <c r="BE146" s="46"/>
      <c r="BF146" s="46"/>
      <c r="BG146" s="46"/>
      <c r="BH146" s="46"/>
      <c r="BI146" s="46"/>
      <c r="BJ146" s="457"/>
      <c r="BK146" s="449">
        <v>0</v>
      </c>
      <c r="BL146" s="45"/>
      <c r="BM146" s="45"/>
      <c r="BN146" s="45"/>
      <c r="BO146" s="45"/>
      <c r="BP146" s="45"/>
      <c r="BQ146" s="45"/>
      <c r="BR146" s="45"/>
      <c r="BS146" s="45"/>
      <c r="BT146" s="45"/>
      <c r="BU146" s="45"/>
      <c r="BV146" s="45"/>
      <c r="BW146" s="45"/>
      <c r="BX146" s="45"/>
      <c r="BY146" s="45"/>
      <c r="BZ146" s="45"/>
      <c r="CA146" s="45"/>
      <c r="CB146" s="45"/>
      <c r="CC146" s="45"/>
      <c r="CD146" s="463"/>
    </row>
    <row r="147" spans="2:82">
      <c r="B147" s="136">
        <v>138</v>
      </c>
      <c r="C147" s="138">
        <v>1</v>
      </c>
      <c r="D147" s="474">
        <v>3378.3775247357048</v>
      </c>
      <c r="E147" s="127">
        <v>287.72993569310256</v>
      </c>
      <c r="F147" s="447">
        <v>0.3707511834488269</v>
      </c>
      <c r="G147" s="127">
        <v>117.7753367489284</v>
      </c>
      <c r="H147" s="132">
        <v>55.983273490772426</v>
      </c>
      <c r="I147" s="456"/>
      <c r="J147" s="45"/>
      <c r="K147" s="45">
        <v>480</v>
      </c>
      <c r="L147" s="463"/>
      <c r="M147" s="456">
        <v>28.509605407714844</v>
      </c>
      <c r="N147" s="457"/>
      <c r="O147" s="456"/>
      <c r="P147" s="46"/>
      <c r="Q147" s="463">
        <v>66.891876220703125</v>
      </c>
      <c r="R147" s="449"/>
      <c r="S147" s="463"/>
      <c r="T147" s="480"/>
      <c r="U147" s="468"/>
      <c r="V147" s="449"/>
      <c r="W147" s="45">
        <v>1282.435791015625</v>
      </c>
      <c r="X147" s="463">
        <v>110.34703826904297</v>
      </c>
      <c r="Y147" s="449"/>
      <c r="Z147" s="45"/>
      <c r="AA147" s="468">
        <v>0.36115633401840025</v>
      </c>
      <c r="AB147" s="456"/>
      <c r="AC147" s="46"/>
      <c r="AD147" s="46"/>
      <c r="AE147" s="46"/>
      <c r="AF147" s="46"/>
      <c r="AG147" s="46"/>
      <c r="AH147" s="46"/>
      <c r="AI147" s="457"/>
      <c r="AJ147" s="138"/>
      <c r="AK147" s="745"/>
      <c r="AL147" s="54"/>
      <c r="AM147" s="468"/>
      <c r="AN147" s="449"/>
      <c r="AO147" s="45"/>
      <c r="AP147" s="45"/>
      <c r="AQ147" s="45"/>
      <c r="AR147" s="45"/>
      <c r="AS147" s="45"/>
      <c r="AT147" s="45"/>
      <c r="AU147" s="463"/>
      <c r="AV147" s="449"/>
      <c r="AW147" s="45"/>
      <c r="AX147" s="45"/>
      <c r="AY147" s="45"/>
      <c r="AZ147" s="45"/>
      <c r="BA147" s="45"/>
      <c r="BB147" s="45"/>
      <c r="BC147" s="463"/>
      <c r="BD147" s="456"/>
      <c r="BE147" s="46"/>
      <c r="BF147" s="46"/>
      <c r="BG147" s="46"/>
      <c r="BH147" s="46"/>
      <c r="BI147" s="46"/>
      <c r="BJ147" s="457"/>
      <c r="BK147" s="449">
        <v>0</v>
      </c>
      <c r="BL147" s="45"/>
      <c r="BM147" s="45"/>
      <c r="BN147" s="45"/>
      <c r="BO147" s="45"/>
      <c r="BP147" s="45"/>
      <c r="BQ147" s="45"/>
      <c r="BR147" s="45"/>
      <c r="BS147" s="45"/>
      <c r="BT147" s="45"/>
      <c r="BU147" s="45"/>
      <c r="BV147" s="45"/>
      <c r="BW147" s="45"/>
      <c r="BX147" s="45"/>
      <c r="BY147" s="45"/>
      <c r="BZ147" s="45"/>
      <c r="CA147" s="45"/>
      <c r="CB147" s="45"/>
      <c r="CC147" s="45"/>
      <c r="CD147" s="463"/>
    </row>
    <row r="148" spans="2:82">
      <c r="B148" s="136">
        <v>139</v>
      </c>
      <c r="C148" s="138">
        <v>1</v>
      </c>
      <c r="D148" s="474">
        <v>3138.6997468048967</v>
      </c>
      <c r="E148" s="127">
        <v>218.16771175744663</v>
      </c>
      <c r="F148" s="447">
        <v>0.36071916616197169</v>
      </c>
      <c r="G148" s="127">
        <v>99.758618964143537</v>
      </c>
      <c r="H148" s="132">
        <v>63.00426322132153</v>
      </c>
      <c r="I148" s="456"/>
      <c r="J148" s="45"/>
      <c r="K148" s="45">
        <v>450</v>
      </c>
      <c r="L148" s="463"/>
      <c r="M148" s="456">
        <v>25.435575485229492</v>
      </c>
      <c r="N148" s="457"/>
      <c r="O148" s="456"/>
      <c r="P148" s="46"/>
      <c r="Q148" s="463">
        <v>70.568466186523438</v>
      </c>
      <c r="R148" s="449"/>
      <c r="S148" s="463"/>
      <c r="T148" s="480"/>
      <c r="U148" s="468"/>
      <c r="V148" s="449"/>
      <c r="W148" s="45">
        <v>1182.4117431640625</v>
      </c>
      <c r="X148" s="463">
        <v>102.95869445800781</v>
      </c>
      <c r="Y148" s="449"/>
      <c r="Z148" s="45"/>
      <c r="AA148" s="468">
        <v>0.3504555583237155</v>
      </c>
      <c r="AB148" s="456"/>
      <c r="AC148" s="46"/>
      <c r="AD148" s="46"/>
      <c r="AE148" s="46"/>
      <c r="AF148" s="46"/>
      <c r="AG148" s="46"/>
      <c r="AH148" s="46"/>
      <c r="AI148" s="457"/>
      <c r="AJ148" s="138"/>
      <c r="AK148" s="745"/>
      <c r="AL148" s="54"/>
      <c r="AM148" s="468"/>
      <c r="AN148" s="449"/>
      <c r="AO148" s="45"/>
      <c r="AP148" s="45"/>
      <c r="AQ148" s="45"/>
      <c r="AR148" s="45"/>
      <c r="AS148" s="45"/>
      <c r="AT148" s="45"/>
      <c r="AU148" s="463"/>
      <c r="AV148" s="449"/>
      <c r="AW148" s="45"/>
      <c r="AX148" s="45"/>
      <c r="AY148" s="45"/>
      <c r="AZ148" s="45"/>
      <c r="BA148" s="45"/>
      <c r="BB148" s="45"/>
      <c r="BC148" s="463"/>
      <c r="BD148" s="456"/>
      <c r="BE148" s="46"/>
      <c r="BF148" s="46"/>
      <c r="BG148" s="46"/>
      <c r="BH148" s="46"/>
      <c r="BI148" s="46"/>
      <c r="BJ148" s="457"/>
      <c r="BK148" s="449">
        <v>0</v>
      </c>
      <c r="BL148" s="45"/>
      <c r="BM148" s="45"/>
      <c r="BN148" s="45"/>
      <c r="BO148" s="45"/>
      <c r="BP148" s="45"/>
      <c r="BQ148" s="45"/>
      <c r="BR148" s="45"/>
      <c r="BS148" s="45"/>
      <c r="BT148" s="45"/>
      <c r="BU148" s="45"/>
      <c r="BV148" s="45"/>
      <c r="BW148" s="45"/>
      <c r="BX148" s="45"/>
      <c r="BY148" s="45"/>
      <c r="BZ148" s="45"/>
      <c r="CA148" s="45"/>
      <c r="CB148" s="45"/>
      <c r="CC148" s="45"/>
      <c r="CD148" s="463"/>
    </row>
    <row r="149" spans="2:82">
      <c r="B149" s="136">
        <v>140</v>
      </c>
      <c r="C149" s="138">
        <v>1</v>
      </c>
      <c r="D149" s="474">
        <v>2773.6244400897863</v>
      </c>
      <c r="E149" s="127">
        <v>227.77276458557165</v>
      </c>
      <c r="F149" s="447">
        <v>0.35307858934298841</v>
      </c>
      <c r="G149" s="127">
        <v>97.425842707890141</v>
      </c>
      <c r="H149" s="132">
        <v>49.90461158437904</v>
      </c>
      <c r="I149" s="456"/>
      <c r="J149" s="45"/>
      <c r="K149" s="45">
        <v>390</v>
      </c>
      <c r="L149" s="463"/>
      <c r="M149" s="456">
        <v>27.189611434936523</v>
      </c>
      <c r="N149" s="457"/>
      <c r="O149" s="456"/>
      <c r="P149" s="46"/>
      <c r="Q149" s="463">
        <v>54.917762756347656</v>
      </c>
      <c r="R149" s="449"/>
      <c r="S149" s="463"/>
      <c r="T149" s="480"/>
      <c r="U149" s="468"/>
      <c r="V149" s="449"/>
      <c r="W149" s="45">
        <v>1040.017822265625</v>
      </c>
      <c r="X149" s="463">
        <v>92.360763549804688</v>
      </c>
      <c r="Y149" s="449"/>
      <c r="Z149" s="45"/>
      <c r="AA149" s="468">
        <v>0.34151913979262971</v>
      </c>
      <c r="AB149" s="456"/>
      <c r="AC149" s="46"/>
      <c r="AD149" s="46"/>
      <c r="AE149" s="46"/>
      <c r="AF149" s="46"/>
      <c r="AG149" s="46"/>
      <c r="AH149" s="46"/>
      <c r="AI149" s="457"/>
      <c r="AJ149" s="138"/>
      <c r="AK149" s="745"/>
      <c r="AL149" s="54"/>
      <c r="AM149" s="468"/>
      <c r="AN149" s="449"/>
      <c r="AO149" s="45"/>
      <c r="AP149" s="45"/>
      <c r="AQ149" s="45"/>
      <c r="AR149" s="45"/>
      <c r="AS149" s="45"/>
      <c r="AT149" s="45"/>
      <c r="AU149" s="463"/>
      <c r="AV149" s="449"/>
      <c r="AW149" s="45"/>
      <c r="AX149" s="45"/>
      <c r="AY149" s="45"/>
      <c r="AZ149" s="45"/>
      <c r="BA149" s="45"/>
      <c r="BB149" s="45"/>
      <c r="BC149" s="463"/>
      <c r="BD149" s="456"/>
      <c r="BE149" s="46"/>
      <c r="BF149" s="46"/>
      <c r="BG149" s="46"/>
      <c r="BH149" s="46"/>
      <c r="BI149" s="46"/>
      <c r="BJ149" s="457"/>
      <c r="BK149" s="449">
        <v>0</v>
      </c>
      <c r="BL149" s="45"/>
      <c r="BM149" s="45"/>
      <c r="BN149" s="45"/>
      <c r="BO149" s="45"/>
      <c r="BP149" s="45"/>
      <c r="BQ149" s="45"/>
      <c r="BR149" s="45"/>
      <c r="BS149" s="45"/>
      <c r="BT149" s="45"/>
      <c r="BU149" s="45"/>
      <c r="BV149" s="45"/>
      <c r="BW149" s="45"/>
      <c r="BX149" s="45"/>
      <c r="BY149" s="45"/>
      <c r="BZ149" s="45"/>
      <c r="CA149" s="45"/>
      <c r="CB149" s="45"/>
      <c r="CC149" s="45"/>
      <c r="CD149" s="463"/>
    </row>
    <row r="150" spans="2:82">
      <c r="B150" s="136">
        <v>141</v>
      </c>
      <c r="C150" s="138">
        <v>1</v>
      </c>
      <c r="D150" s="474">
        <v>3459.927945603089</v>
      </c>
      <c r="E150" s="127">
        <v>311.71546880763532</v>
      </c>
      <c r="F150" s="447">
        <v>0.49237328207452008</v>
      </c>
      <c r="G150" s="127">
        <v>115.22095252950425</v>
      </c>
      <c r="H150" s="132">
        <v>58.011348684832356</v>
      </c>
      <c r="I150" s="456"/>
      <c r="J150" s="45"/>
      <c r="K150" s="45">
        <v>490</v>
      </c>
      <c r="L150" s="463"/>
      <c r="M150" s="456">
        <v>47.599029541015625</v>
      </c>
      <c r="N150" s="457"/>
      <c r="O150" s="456"/>
      <c r="P150" s="46"/>
      <c r="Q150" s="463">
        <v>68.506576538085938</v>
      </c>
      <c r="R150" s="449"/>
      <c r="S150" s="463"/>
      <c r="T150" s="480"/>
      <c r="U150" s="468"/>
      <c r="V150" s="449"/>
      <c r="W150" s="45">
        <v>2070.36669921875</v>
      </c>
      <c r="X150" s="463">
        <v>167.71849060058594</v>
      </c>
      <c r="Y150" s="449"/>
      <c r="Z150" s="45"/>
      <c r="AA150" s="468">
        <v>0.48230155046930712</v>
      </c>
      <c r="AB150" s="456"/>
      <c r="AC150" s="46"/>
      <c r="AD150" s="46"/>
      <c r="AE150" s="46"/>
      <c r="AF150" s="46"/>
      <c r="AG150" s="46"/>
      <c r="AH150" s="46"/>
      <c r="AI150" s="457"/>
      <c r="AJ150" s="138"/>
      <c r="AK150" s="745"/>
      <c r="AL150" s="54"/>
      <c r="AM150" s="468"/>
      <c r="AN150" s="449"/>
      <c r="AO150" s="45"/>
      <c r="AP150" s="45"/>
      <c r="AQ150" s="45"/>
      <c r="AR150" s="45"/>
      <c r="AS150" s="45"/>
      <c r="AT150" s="45"/>
      <c r="AU150" s="463"/>
      <c r="AV150" s="449"/>
      <c r="AW150" s="45"/>
      <c r="AX150" s="45"/>
      <c r="AY150" s="45"/>
      <c r="AZ150" s="45"/>
      <c r="BA150" s="45"/>
      <c r="BB150" s="45"/>
      <c r="BC150" s="463"/>
      <c r="BD150" s="456"/>
      <c r="BE150" s="46"/>
      <c r="BF150" s="46"/>
      <c r="BG150" s="46"/>
      <c r="BH150" s="46"/>
      <c r="BI150" s="46"/>
      <c r="BJ150" s="457"/>
      <c r="BK150" s="449">
        <v>0</v>
      </c>
      <c r="BL150" s="45"/>
      <c r="BM150" s="45"/>
      <c r="BN150" s="45"/>
      <c r="BO150" s="45"/>
      <c r="BP150" s="45"/>
      <c r="BQ150" s="45"/>
      <c r="BR150" s="45"/>
      <c r="BS150" s="45"/>
      <c r="BT150" s="45"/>
      <c r="BU150" s="45"/>
      <c r="BV150" s="45"/>
      <c r="BW150" s="45"/>
      <c r="BX150" s="45"/>
      <c r="BY150" s="45"/>
      <c r="BZ150" s="45"/>
      <c r="CA150" s="45"/>
      <c r="CB150" s="45"/>
      <c r="CC150" s="45"/>
      <c r="CD150" s="463"/>
    </row>
    <row r="151" spans="2:82">
      <c r="B151" s="136">
        <v>142</v>
      </c>
      <c r="C151" s="138">
        <v>1</v>
      </c>
      <c r="D151" s="474">
        <v>3390.7342892513457</v>
      </c>
      <c r="E151" s="127">
        <v>272.01569644950121</v>
      </c>
      <c r="F151" s="447">
        <v>0.45493469926467484</v>
      </c>
      <c r="G151" s="127">
        <v>112.40631622419228</v>
      </c>
      <c r="H151" s="132">
        <v>57.544648228952227</v>
      </c>
      <c r="I151" s="456"/>
      <c r="J151" s="45"/>
      <c r="K151" s="45">
        <v>480</v>
      </c>
      <c r="L151" s="463"/>
      <c r="M151" s="456">
        <v>39.053825378417969</v>
      </c>
      <c r="N151" s="457"/>
      <c r="O151" s="456"/>
      <c r="P151" s="46"/>
      <c r="Q151" s="463">
        <v>67.136543273925781</v>
      </c>
      <c r="R151" s="449"/>
      <c r="S151" s="463"/>
      <c r="T151" s="480"/>
      <c r="U151" s="468"/>
      <c r="V151" s="449"/>
      <c r="W151" s="45">
        <v>1703.6312255859375</v>
      </c>
      <c r="X151" s="463">
        <v>140.98370361328125</v>
      </c>
      <c r="Y151" s="449"/>
      <c r="Z151" s="45"/>
      <c r="AA151" s="468">
        <v>0.44487826573834788</v>
      </c>
      <c r="AB151" s="456"/>
      <c r="AC151" s="46"/>
      <c r="AD151" s="46"/>
      <c r="AE151" s="46"/>
      <c r="AF151" s="46"/>
      <c r="AG151" s="46"/>
      <c r="AH151" s="46"/>
      <c r="AI151" s="457"/>
      <c r="AJ151" s="138"/>
      <c r="AK151" s="745"/>
      <c r="AL151" s="54"/>
      <c r="AM151" s="468"/>
      <c r="AN151" s="449"/>
      <c r="AO151" s="45"/>
      <c r="AP151" s="45"/>
      <c r="AQ151" s="45"/>
      <c r="AR151" s="45"/>
      <c r="AS151" s="45"/>
      <c r="AT151" s="45"/>
      <c r="AU151" s="463"/>
      <c r="AV151" s="449"/>
      <c r="AW151" s="45"/>
      <c r="AX151" s="45"/>
      <c r="AY151" s="45"/>
      <c r="AZ151" s="45"/>
      <c r="BA151" s="45"/>
      <c r="BB151" s="45"/>
      <c r="BC151" s="463"/>
      <c r="BD151" s="456"/>
      <c r="BE151" s="46"/>
      <c r="BF151" s="46"/>
      <c r="BG151" s="46"/>
      <c r="BH151" s="46"/>
      <c r="BI151" s="46"/>
      <c r="BJ151" s="457"/>
      <c r="BK151" s="449">
        <v>0</v>
      </c>
      <c r="BL151" s="45"/>
      <c r="BM151" s="45"/>
      <c r="BN151" s="45"/>
      <c r="BO151" s="45"/>
      <c r="BP151" s="45"/>
      <c r="BQ151" s="45"/>
      <c r="BR151" s="45"/>
      <c r="BS151" s="45"/>
      <c r="BT151" s="45"/>
      <c r="BU151" s="45"/>
      <c r="BV151" s="45"/>
      <c r="BW151" s="45"/>
      <c r="BX151" s="45"/>
      <c r="BY151" s="45"/>
      <c r="BZ151" s="45"/>
      <c r="CA151" s="45"/>
      <c r="CB151" s="45"/>
      <c r="CC151" s="45"/>
      <c r="CD151" s="463"/>
    </row>
    <row r="152" spans="2:82">
      <c r="B152" s="136">
        <v>143</v>
      </c>
      <c r="C152" s="138">
        <v>1</v>
      </c>
      <c r="D152" s="474">
        <v>3918.8874985854127</v>
      </c>
      <c r="E152" s="127">
        <v>283.87640827908592</v>
      </c>
      <c r="F152" s="447">
        <v>0.4018816296123503</v>
      </c>
      <c r="G152" s="127">
        <v>123.94063595237722</v>
      </c>
      <c r="H152" s="132">
        <v>63.028926480803371</v>
      </c>
      <c r="I152" s="456"/>
      <c r="J152" s="45"/>
      <c r="K152" s="45">
        <v>530</v>
      </c>
      <c r="L152" s="463"/>
      <c r="M152" s="456">
        <v>31.559799194335938</v>
      </c>
      <c r="N152" s="457"/>
      <c r="O152" s="456"/>
      <c r="P152" s="46"/>
      <c r="Q152" s="463">
        <v>77.593971252441406</v>
      </c>
      <c r="R152" s="449"/>
      <c r="S152" s="463"/>
      <c r="T152" s="480"/>
      <c r="U152" s="468"/>
      <c r="V152" s="449"/>
      <c r="W152" s="45">
        <v>1537.367431640625</v>
      </c>
      <c r="X152" s="463">
        <v>129.10882568359375</v>
      </c>
      <c r="Y152" s="449"/>
      <c r="Z152" s="45"/>
      <c r="AA152" s="468">
        <v>0.39345126956650245</v>
      </c>
      <c r="AB152" s="456"/>
      <c r="AC152" s="46"/>
      <c r="AD152" s="46"/>
      <c r="AE152" s="46"/>
      <c r="AF152" s="46"/>
      <c r="AG152" s="46"/>
      <c r="AH152" s="46"/>
      <c r="AI152" s="457"/>
      <c r="AJ152" s="138"/>
      <c r="AK152" s="745"/>
      <c r="AL152" s="54"/>
      <c r="AM152" s="468"/>
      <c r="AN152" s="449"/>
      <c r="AO152" s="45"/>
      <c r="AP152" s="45"/>
      <c r="AQ152" s="45"/>
      <c r="AR152" s="45"/>
      <c r="AS152" s="45"/>
      <c r="AT152" s="45"/>
      <c r="AU152" s="463"/>
      <c r="AV152" s="449"/>
      <c r="AW152" s="45"/>
      <c r="AX152" s="45"/>
      <c r="AY152" s="45"/>
      <c r="AZ152" s="45"/>
      <c r="BA152" s="45"/>
      <c r="BB152" s="45"/>
      <c r="BC152" s="463"/>
      <c r="BD152" s="456"/>
      <c r="BE152" s="46"/>
      <c r="BF152" s="46"/>
      <c r="BG152" s="46"/>
      <c r="BH152" s="46"/>
      <c r="BI152" s="46"/>
      <c r="BJ152" s="457"/>
      <c r="BK152" s="449">
        <v>0</v>
      </c>
      <c r="BL152" s="45"/>
      <c r="BM152" s="45"/>
      <c r="BN152" s="45"/>
      <c r="BO152" s="45"/>
      <c r="BP152" s="45"/>
      <c r="BQ152" s="45"/>
      <c r="BR152" s="45"/>
      <c r="BS152" s="45"/>
      <c r="BT152" s="45"/>
      <c r="BU152" s="45"/>
      <c r="BV152" s="45"/>
      <c r="BW152" s="45"/>
      <c r="BX152" s="45"/>
      <c r="BY152" s="45"/>
      <c r="BZ152" s="45"/>
      <c r="CA152" s="45"/>
      <c r="CB152" s="45"/>
      <c r="CC152" s="45"/>
      <c r="CD152" s="463"/>
    </row>
    <row r="153" spans="2:82">
      <c r="B153" s="136">
        <v>144</v>
      </c>
      <c r="C153" s="138">
        <v>1</v>
      </c>
      <c r="D153" s="474">
        <v>2917.989652347725</v>
      </c>
      <c r="E153" s="127">
        <v>177.62961241329629</v>
      </c>
      <c r="F153" s="447">
        <v>0.35004759429663257</v>
      </c>
      <c r="G153" s="127">
        <v>92.694182820251655</v>
      </c>
      <c r="H153" s="132">
        <v>54.264536234679852</v>
      </c>
      <c r="I153" s="456"/>
      <c r="J153" s="45"/>
      <c r="K153" s="45">
        <v>390</v>
      </c>
      <c r="L153" s="463"/>
      <c r="M153" s="456">
        <v>25.872869491577148</v>
      </c>
      <c r="N153" s="457"/>
      <c r="O153" s="456"/>
      <c r="P153" s="46"/>
      <c r="Q153" s="463">
        <v>57.776199340820312</v>
      </c>
      <c r="R153" s="449"/>
      <c r="S153" s="463"/>
      <c r="T153" s="480"/>
      <c r="U153" s="468"/>
      <c r="V153" s="449"/>
      <c r="W153" s="45">
        <v>1029.3236083984375</v>
      </c>
      <c r="X153" s="463">
        <v>91.580757141113281</v>
      </c>
      <c r="Y153" s="449"/>
      <c r="Z153" s="45"/>
      <c r="AA153" s="468">
        <v>0.33908081384208721</v>
      </c>
      <c r="AB153" s="456"/>
      <c r="AC153" s="46"/>
      <c r="AD153" s="46"/>
      <c r="AE153" s="46"/>
      <c r="AF153" s="46"/>
      <c r="AG153" s="46"/>
      <c r="AH153" s="46"/>
      <c r="AI153" s="457"/>
      <c r="AJ153" s="138"/>
      <c r="AK153" s="745"/>
      <c r="AL153" s="54"/>
      <c r="AM153" s="468"/>
      <c r="AN153" s="449"/>
      <c r="AO153" s="45"/>
      <c r="AP153" s="45"/>
      <c r="AQ153" s="45"/>
      <c r="AR153" s="45"/>
      <c r="AS153" s="45"/>
      <c r="AT153" s="45"/>
      <c r="AU153" s="463"/>
      <c r="AV153" s="449"/>
      <c r="AW153" s="45"/>
      <c r="AX153" s="45"/>
      <c r="AY153" s="45"/>
      <c r="AZ153" s="45"/>
      <c r="BA153" s="45"/>
      <c r="BB153" s="45"/>
      <c r="BC153" s="463"/>
      <c r="BD153" s="456"/>
      <c r="BE153" s="46"/>
      <c r="BF153" s="46"/>
      <c r="BG153" s="46"/>
      <c r="BH153" s="46"/>
      <c r="BI153" s="46"/>
      <c r="BJ153" s="457"/>
      <c r="BK153" s="449">
        <v>0</v>
      </c>
      <c r="BL153" s="45"/>
      <c r="BM153" s="45"/>
      <c r="BN153" s="45"/>
      <c r="BO153" s="45"/>
      <c r="BP153" s="45"/>
      <c r="BQ153" s="45"/>
      <c r="BR153" s="45"/>
      <c r="BS153" s="45"/>
      <c r="BT153" s="45"/>
      <c r="BU153" s="45"/>
      <c r="BV153" s="45"/>
      <c r="BW153" s="45"/>
      <c r="BX153" s="45"/>
      <c r="BY153" s="45"/>
      <c r="BZ153" s="45"/>
      <c r="CA153" s="45"/>
      <c r="CB153" s="45"/>
      <c r="CC153" s="45"/>
      <c r="CD153" s="463"/>
    </row>
    <row r="154" spans="2:82">
      <c r="B154" s="136">
        <v>145</v>
      </c>
      <c r="C154" s="138">
        <v>1</v>
      </c>
      <c r="D154" s="474">
        <v>3071.2954488073287</v>
      </c>
      <c r="E154" s="127">
        <v>259.60075466662147</v>
      </c>
      <c r="F154" s="447">
        <v>0.39447794454913404</v>
      </c>
      <c r="G154" s="127">
        <v>109.26286790291174</v>
      </c>
      <c r="H154" s="132">
        <v>52.54225760833102</v>
      </c>
      <c r="I154" s="456"/>
      <c r="J154" s="45"/>
      <c r="K154" s="45">
        <v>440</v>
      </c>
      <c r="L154" s="463"/>
      <c r="M154" s="456">
        <v>30.885398864746094</v>
      </c>
      <c r="N154" s="457"/>
      <c r="O154" s="456"/>
      <c r="P154" s="46"/>
      <c r="Q154" s="463">
        <v>60.811653137207031</v>
      </c>
      <c r="R154" s="449"/>
      <c r="S154" s="463"/>
      <c r="T154" s="480"/>
      <c r="U154" s="468"/>
      <c r="V154" s="449"/>
      <c r="W154" s="45">
        <v>1292.1341552734375</v>
      </c>
      <c r="X154" s="463">
        <v>110.90935516357422</v>
      </c>
      <c r="Y154" s="449"/>
      <c r="Z154" s="45"/>
      <c r="AA154" s="468">
        <v>0.38376925193418071</v>
      </c>
      <c r="AB154" s="456"/>
      <c r="AC154" s="46"/>
      <c r="AD154" s="46"/>
      <c r="AE154" s="46"/>
      <c r="AF154" s="46"/>
      <c r="AG154" s="46"/>
      <c r="AH154" s="46"/>
      <c r="AI154" s="457"/>
      <c r="AJ154" s="138"/>
      <c r="AK154" s="745"/>
      <c r="AL154" s="54"/>
      <c r="AM154" s="468"/>
      <c r="AN154" s="449"/>
      <c r="AO154" s="45"/>
      <c r="AP154" s="45"/>
      <c r="AQ154" s="45"/>
      <c r="AR154" s="45"/>
      <c r="AS154" s="45"/>
      <c r="AT154" s="45"/>
      <c r="AU154" s="463"/>
      <c r="AV154" s="449"/>
      <c r="AW154" s="45"/>
      <c r="AX154" s="45"/>
      <c r="AY154" s="45"/>
      <c r="AZ154" s="45"/>
      <c r="BA154" s="45"/>
      <c r="BB154" s="45"/>
      <c r="BC154" s="463"/>
      <c r="BD154" s="456"/>
      <c r="BE154" s="46"/>
      <c r="BF154" s="46"/>
      <c r="BG154" s="46"/>
      <c r="BH154" s="46"/>
      <c r="BI154" s="46"/>
      <c r="BJ154" s="457"/>
      <c r="BK154" s="449">
        <v>0</v>
      </c>
      <c r="BL154" s="45"/>
      <c r="BM154" s="45"/>
      <c r="BN154" s="45"/>
      <c r="BO154" s="45"/>
      <c r="BP154" s="45"/>
      <c r="BQ154" s="45"/>
      <c r="BR154" s="45"/>
      <c r="BS154" s="45"/>
      <c r="BT154" s="45"/>
      <c r="BU154" s="45"/>
      <c r="BV154" s="45"/>
      <c r="BW154" s="45"/>
      <c r="BX154" s="45"/>
      <c r="BY154" s="45"/>
      <c r="BZ154" s="45"/>
      <c r="CA154" s="45"/>
      <c r="CB154" s="45"/>
      <c r="CC154" s="45"/>
      <c r="CD154" s="463"/>
    </row>
    <row r="155" spans="2:82">
      <c r="B155" s="136">
        <v>146</v>
      </c>
      <c r="C155" s="138">
        <v>1</v>
      </c>
      <c r="D155" s="474">
        <v>3370.8044003440436</v>
      </c>
      <c r="E155" s="127">
        <v>285.53002868287876</v>
      </c>
      <c r="F155" s="447">
        <v>0.48818244274803763</v>
      </c>
      <c r="G155" s="127">
        <v>126.59965236252305</v>
      </c>
      <c r="H155" s="132">
        <v>53.457925273030966</v>
      </c>
      <c r="I155" s="456"/>
      <c r="J155" s="45"/>
      <c r="K155" s="45">
        <v>510</v>
      </c>
      <c r="L155" s="463"/>
      <c r="M155" s="456">
        <v>49.527645111083984</v>
      </c>
      <c r="N155" s="457"/>
      <c r="O155" s="456"/>
      <c r="P155" s="46"/>
      <c r="Q155" s="463">
        <v>66.741928100585938</v>
      </c>
      <c r="R155" s="449"/>
      <c r="S155" s="463"/>
      <c r="T155" s="480"/>
      <c r="U155" s="468"/>
      <c r="V155" s="449"/>
      <c r="W155" s="45">
        <v>2125.8447265625</v>
      </c>
      <c r="X155" s="463">
        <v>171.83969116210937</v>
      </c>
      <c r="Y155" s="449"/>
      <c r="Z155" s="45"/>
      <c r="AA155" s="468">
        <v>0.47786928163687592</v>
      </c>
      <c r="AB155" s="456"/>
      <c r="AC155" s="46"/>
      <c r="AD155" s="46"/>
      <c r="AE155" s="46"/>
      <c r="AF155" s="46"/>
      <c r="AG155" s="46"/>
      <c r="AH155" s="46"/>
      <c r="AI155" s="457"/>
      <c r="AJ155" s="138"/>
      <c r="AK155" s="745"/>
      <c r="AL155" s="54"/>
      <c r="AM155" s="468"/>
      <c r="AN155" s="449"/>
      <c r="AO155" s="45"/>
      <c r="AP155" s="45"/>
      <c r="AQ155" s="45"/>
      <c r="AR155" s="45"/>
      <c r="AS155" s="45"/>
      <c r="AT155" s="45"/>
      <c r="AU155" s="463"/>
      <c r="AV155" s="449"/>
      <c r="AW155" s="45"/>
      <c r="AX155" s="45"/>
      <c r="AY155" s="45"/>
      <c r="AZ155" s="45"/>
      <c r="BA155" s="45"/>
      <c r="BB155" s="45"/>
      <c r="BC155" s="463"/>
      <c r="BD155" s="456"/>
      <c r="BE155" s="46"/>
      <c r="BF155" s="46"/>
      <c r="BG155" s="46"/>
      <c r="BH155" s="46"/>
      <c r="BI155" s="46"/>
      <c r="BJ155" s="457"/>
      <c r="BK155" s="449">
        <v>0</v>
      </c>
      <c r="BL155" s="45"/>
      <c r="BM155" s="45"/>
      <c r="BN155" s="45"/>
      <c r="BO155" s="45"/>
      <c r="BP155" s="45"/>
      <c r="BQ155" s="45"/>
      <c r="BR155" s="45"/>
      <c r="BS155" s="45"/>
      <c r="BT155" s="45"/>
      <c r="BU155" s="45"/>
      <c r="BV155" s="45"/>
      <c r="BW155" s="45"/>
      <c r="BX155" s="45"/>
      <c r="BY155" s="45"/>
      <c r="BZ155" s="45"/>
      <c r="CA155" s="45"/>
      <c r="CB155" s="45"/>
      <c r="CC155" s="45"/>
      <c r="CD155" s="463"/>
    </row>
    <row r="156" spans="2:82">
      <c r="B156" s="136">
        <v>147</v>
      </c>
      <c r="C156" s="138">
        <v>1</v>
      </c>
      <c r="D156" s="474">
        <v>3195.6505927825783</v>
      </c>
      <c r="E156" s="127">
        <v>179.61377164889024</v>
      </c>
      <c r="F156" s="447">
        <v>0.46599421840907351</v>
      </c>
      <c r="G156" s="127">
        <v>108.41000224164404</v>
      </c>
      <c r="H156" s="132">
        <v>55.157507335492951</v>
      </c>
      <c r="I156" s="456"/>
      <c r="J156" s="45"/>
      <c r="K156" s="45">
        <v>460</v>
      </c>
      <c r="L156" s="463"/>
      <c r="M156" s="456">
        <v>41.196788787841797</v>
      </c>
      <c r="N156" s="457"/>
      <c r="O156" s="456"/>
      <c r="P156" s="46"/>
      <c r="Q156" s="463">
        <v>63.273887634277344</v>
      </c>
      <c r="R156" s="449"/>
      <c r="S156" s="463"/>
      <c r="T156" s="480"/>
      <c r="U156" s="468"/>
      <c r="V156" s="449"/>
      <c r="W156" s="45">
        <v>1724.732421875</v>
      </c>
      <c r="X156" s="463">
        <v>142.44094848632812</v>
      </c>
      <c r="Y156" s="449"/>
      <c r="Z156" s="45"/>
      <c r="AA156" s="468">
        <v>0.45525465744277344</v>
      </c>
      <c r="AB156" s="456"/>
      <c r="AC156" s="46"/>
      <c r="AD156" s="46"/>
      <c r="AE156" s="46"/>
      <c r="AF156" s="46"/>
      <c r="AG156" s="46"/>
      <c r="AH156" s="46"/>
      <c r="AI156" s="457"/>
      <c r="AJ156" s="138"/>
      <c r="AK156" s="745"/>
      <c r="AL156" s="54"/>
      <c r="AM156" s="468"/>
      <c r="AN156" s="449"/>
      <c r="AO156" s="45"/>
      <c r="AP156" s="45"/>
      <c r="AQ156" s="45"/>
      <c r="AR156" s="45"/>
      <c r="AS156" s="45"/>
      <c r="AT156" s="45"/>
      <c r="AU156" s="463"/>
      <c r="AV156" s="449"/>
      <c r="AW156" s="45"/>
      <c r="AX156" s="45"/>
      <c r="AY156" s="45"/>
      <c r="AZ156" s="45"/>
      <c r="BA156" s="45"/>
      <c r="BB156" s="45"/>
      <c r="BC156" s="463"/>
      <c r="BD156" s="456"/>
      <c r="BE156" s="46"/>
      <c r="BF156" s="46"/>
      <c r="BG156" s="46"/>
      <c r="BH156" s="46"/>
      <c r="BI156" s="46"/>
      <c r="BJ156" s="457"/>
      <c r="BK156" s="449">
        <v>0</v>
      </c>
      <c r="BL156" s="45"/>
      <c r="BM156" s="45"/>
      <c r="BN156" s="45"/>
      <c r="BO156" s="45"/>
      <c r="BP156" s="45"/>
      <c r="BQ156" s="45"/>
      <c r="BR156" s="45"/>
      <c r="BS156" s="45"/>
      <c r="BT156" s="45"/>
      <c r="BU156" s="45"/>
      <c r="BV156" s="45"/>
      <c r="BW156" s="45"/>
      <c r="BX156" s="45"/>
      <c r="BY156" s="45"/>
      <c r="BZ156" s="45"/>
      <c r="CA156" s="45"/>
      <c r="CB156" s="45"/>
      <c r="CC156" s="45"/>
      <c r="CD156" s="463"/>
    </row>
    <row r="157" spans="2:82">
      <c r="B157" s="136">
        <v>148</v>
      </c>
      <c r="C157" s="138">
        <v>1</v>
      </c>
      <c r="D157" s="474">
        <v>3917.4236118279177</v>
      </c>
      <c r="E157" s="127">
        <v>249.6882844453763</v>
      </c>
      <c r="F157" s="447">
        <v>0.44023717781837285</v>
      </c>
      <c r="G157" s="127">
        <v>145.68505873721023</v>
      </c>
      <c r="H157" s="132">
        <v>58.220157566056841</v>
      </c>
      <c r="I157" s="456"/>
      <c r="J157" s="45"/>
      <c r="K157" s="45">
        <v>580</v>
      </c>
      <c r="L157" s="463"/>
      <c r="M157" s="456">
        <v>40.184902191162109</v>
      </c>
      <c r="N157" s="457"/>
      <c r="O157" s="456"/>
      <c r="P157" s="46"/>
      <c r="Q157" s="463">
        <v>77.564987182617188</v>
      </c>
      <c r="R157" s="449"/>
      <c r="S157" s="463"/>
      <c r="T157" s="480"/>
      <c r="U157" s="468"/>
      <c r="V157" s="449"/>
      <c r="W157" s="45">
        <v>1931.335693359375</v>
      </c>
      <c r="X157" s="463">
        <v>157.98333740234375</v>
      </c>
      <c r="Y157" s="449"/>
      <c r="Z157" s="45"/>
      <c r="AA157" s="468">
        <v>0.43160784719038042</v>
      </c>
      <c r="AB157" s="456"/>
      <c r="AC157" s="46"/>
      <c r="AD157" s="46"/>
      <c r="AE157" s="46"/>
      <c r="AF157" s="46"/>
      <c r="AG157" s="46"/>
      <c r="AH157" s="46"/>
      <c r="AI157" s="457"/>
      <c r="AJ157" s="138"/>
      <c r="AK157" s="745"/>
      <c r="AL157" s="54"/>
      <c r="AM157" s="468"/>
      <c r="AN157" s="449"/>
      <c r="AO157" s="45"/>
      <c r="AP157" s="45"/>
      <c r="AQ157" s="45"/>
      <c r="AR157" s="45"/>
      <c r="AS157" s="45"/>
      <c r="AT157" s="45"/>
      <c r="AU157" s="463"/>
      <c r="AV157" s="449"/>
      <c r="AW157" s="45"/>
      <c r="AX157" s="45"/>
      <c r="AY157" s="45"/>
      <c r="AZ157" s="45"/>
      <c r="BA157" s="45"/>
      <c r="BB157" s="45"/>
      <c r="BC157" s="463"/>
      <c r="BD157" s="456"/>
      <c r="BE157" s="46"/>
      <c r="BF157" s="46"/>
      <c r="BG157" s="46"/>
      <c r="BH157" s="46"/>
      <c r="BI157" s="46"/>
      <c r="BJ157" s="457"/>
      <c r="BK157" s="449">
        <v>0</v>
      </c>
      <c r="BL157" s="45"/>
      <c r="BM157" s="45"/>
      <c r="BN157" s="45"/>
      <c r="BO157" s="45"/>
      <c r="BP157" s="45"/>
      <c r="BQ157" s="45"/>
      <c r="BR157" s="45"/>
      <c r="BS157" s="45"/>
      <c r="BT157" s="45"/>
      <c r="BU157" s="45"/>
      <c r="BV157" s="45"/>
      <c r="BW157" s="45"/>
      <c r="BX157" s="45"/>
      <c r="BY157" s="45"/>
      <c r="BZ157" s="45"/>
      <c r="CA157" s="45"/>
      <c r="CB157" s="45"/>
      <c r="CC157" s="45"/>
      <c r="CD157" s="463"/>
    </row>
    <row r="158" spans="2:82">
      <c r="B158" s="136">
        <v>149</v>
      </c>
      <c r="C158" s="138">
        <v>1</v>
      </c>
      <c r="D158" s="474">
        <v>3582.9510546273486</v>
      </c>
      <c r="E158" s="127">
        <v>240.23961603066695</v>
      </c>
      <c r="F158" s="447">
        <v>0.39748289404954029</v>
      </c>
      <c r="G158" s="127">
        <v>119.10668940721744</v>
      </c>
      <c r="H158" s="132">
        <v>59.083579597506457</v>
      </c>
      <c r="I158" s="456"/>
      <c r="J158" s="45"/>
      <c r="K158" s="45">
        <v>500</v>
      </c>
      <c r="L158" s="463"/>
      <c r="M158" s="456">
        <v>31.169191360473633</v>
      </c>
      <c r="N158" s="457"/>
      <c r="O158" s="456"/>
      <c r="P158" s="46"/>
      <c r="Q158" s="463">
        <v>70.942436218261719</v>
      </c>
      <c r="R158" s="449"/>
      <c r="S158" s="463"/>
      <c r="T158" s="480"/>
      <c r="U158" s="468"/>
      <c r="V158" s="449"/>
      <c r="W158" s="45">
        <v>1440.3961181640625</v>
      </c>
      <c r="X158" s="463">
        <v>121.92517852783203</v>
      </c>
      <c r="Y158" s="449"/>
      <c r="Z158" s="45"/>
      <c r="AA158" s="468">
        <v>0.38828665961077047</v>
      </c>
      <c r="AB158" s="456"/>
      <c r="AC158" s="46"/>
      <c r="AD158" s="46"/>
      <c r="AE158" s="46"/>
      <c r="AF158" s="46"/>
      <c r="AG158" s="46"/>
      <c r="AH158" s="46"/>
      <c r="AI158" s="457"/>
      <c r="AJ158" s="138"/>
      <c r="AK158" s="745"/>
      <c r="AL158" s="54"/>
      <c r="AM158" s="468"/>
      <c r="AN158" s="449"/>
      <c r="AO158" s="45"/>
      <c r="AP158" s="45"/>
      <c r="AQ158" s="45"/>
      <c r="AR158" s="45"/>
      <c r="AS158" s="45"/>
      <c r="AT158" s="45"/>
      <c r="AU158" s="463"/>
      <c r="AV158" s="449"/>
      <c r="AW158" s="45"/>
      <c r="AX158" s="45"/>
      <c r="AY158" s="45"/>
      <c r="AZ158" s="45"/>
      <c r="BA158" s="45"/>
      <c r="BB158" s="45"/>
      <c r="BC158" s="463"/>
      <c r="BD158" s="456"/>
      <c r="BE158" s="46"/>
      <c r="BF158" s="46"/>
      <c r="BG158" s="46"/>
      <c r="BH158" s="46"/>
      <c r="BI158" s="46"/>
      <c r="BJ158" s="457"/>
      <c r="BK158" s="449">
        <v>0</v>
      </c>
      <c r="BL158" s="45"/>
      <c r="BM158" s="45"/>
      <c r="BN158" s="45"/>
      <c r="BO158" s="45"/>
      <c r="BP158" s="45"/>
      <c r="BQ158" s="45"/>
      <c r="BR158" s="45"/>
      <c r="BS158" s="45"/>
      <c r="BT158" s="45"/>
      <c r="BU158" s="45"/>
      <c r="BV158" s="45"/>
      <c r="BW158" s="45"/>
      <c r="BX158" s="45"/>
      <c r="BY158" s="45"/>
      <c r="BZ158" s="45"/>
      <c r="CA158" s="45"/>
      <c r="CB158" s="45"/>
      <c r="CC158" s="45"/>
      <c r="CD158" s="463"/>
    </row>
    <row r="159" spans="2:82">
      <c r="B159" s="136">
        <v>150</v>
      </c>
      <c r="C159" s="138">
        <v>1</v>
      </c>
      <c r="D159" s="474">
        <v>3850.7289895417885</v>
      </c>
      <c r="E159" s="127">
        <v>240.57636359701803</v>
      </c>
      <c r="F159" s="447">
        <v>0.43052207136635656</v>
      </c>
      <c r="G159" s="127">
        <v>146.02253450245712</v>
      </c>
      <c r="H159" s="132">
        <v>57.024216585580213</v>
      </c>
      <c r="I159" s="456"/>
      <c r="J159" s="45"/>
      <c r="K159" s="45">
        <v>580</v>
      </c>
      <c r="L159" s="463"/>
      <c r="M159" s="456">
        <v>38.774192810058594</v>
      </c>
      <c r="N159" s="457"/>
      <c r="O159" s="456"/>
      <c r="P159" s="46"/>
      <c r="Q159" s="463">
        <v>76.244438171386719</v>
      </c>
      <c r="R159" s="449"/>
      <c r="S159" s="463"/>
      <c r="T159" s="480"/>
      <c r="U159" s="468"/>
      <c r="V159" s="449"/>
      <c r="W159" s="45">
        <v>1852.9482421875</v>
      </c>
      <c r="X159" s="463">
        <v>152.26762390136719</v>
      </c>
      <c r="Y159" s="449"/>
      <c r="Z159" s="45"/>
      <c r="AA159" s="468">
        <v>0.4217937392716779</v>
      </c>
      <c r="AB159" s="456"/>
      <c r="AC159" s="46"/>
      <c r="AD159" s="46"/>
      <c r="AE159" s="46"/>
      <c r="AF159" s="46"/>
      <c r="AG159" s="46"/>
      <c r="AH159" s="46"/>
      <c r="AI159" s="457"/>
      <c r="AJ159" s="138"/>
      <c r="AK159" s="745"/>
      <c r="AL159" s="54"/>
      <c r="AM159" s="468"/>
      <c r="AN159" s="449"/>
      <c r="AO159" s="45"/>
      <c r="AP159" s="45"/>
      <c r="AQ159" s="45"/>
      <c r="AR159" s="45"/>
      <c r="AS159" s="45"/>
      <c r="AT159" s="45"/>
      <c r="AU159" s="463"/>
      <c r="AV159" s="449"/>
      <c r="AW159" s="45"/>
      <c r="AX159" s="45"/>
      <c r="AY159" s="45"/>
      <c r="AZ159" s="45"/>
      <c r="BA159" s="45"/>
      <c r="BB159" s="45"/>
      <c r="BC159" s="463"/>
      <c r="BD159" s="456"/>
      <c r="BE159" s="46"/>
      <c r="BF159" s="46"/>
      <c r="BG159" s="46"/>
      <c r="BH159" s="46"/>
      <c r="BI159" s="46"/>
      <c r="BJ159" s="457"/>
      <c r="BK159" s="449">
        <v>0</v>
      </c>
      <c r="BL159" s="45"/>
      <c r="BM159" s="45"/>
      <c r="BN159" s="45"/>
      <c r="BO159" s="45"/>
      <c r="BP159" s="45"/>
      <c r="BQ159" s="45"/>
      <c r="BR159" s="45"/>
      <c r="BS159" s="45"/>
      <c r="BT159" s="45"/>
      <c r="BU159" s="45"/>
      <c r="BV159" s="45"/>
      <c r="BW159" s="45"/>
      <c r="BX159" s="45"/>
      <c r="BY159" s="45"/>
      <c r="BZ159" s="45"/>
      <c r="CA159" s="45"/>
      <c r="CB159" s="45"/>
      <c r="CC159" s="45"/>
      <c r="CD159" s="463"/>
    </row>
    <row r="160" spans="2:82">
      <c r="B160" s="136">
        <v>151</v>
      </c>
      <c r="C160" s="138">
        <v>1</v>
      </c>
      <c r="D160" s="474">
        <v>4397.6476647137642</v>
      </c>
      <c r="E160" s="127">
        <v>183.83249982834511</v>
      </c>
      <c r="F160" s="447">
        <v>0.36770029223408707</v>
      </c>
      <c r="G160" s="127">
        <v>165.12150738137996</v>
      </c>
      <c r="H160" s="132">
        <v>61.270935396396098</v>
      </c>
      <c r="I160" s="456"/>
      <c r="J160" s="45"/>
      <c r="K160" s="45">
        <v>650</v>
      </c>
      <c r="L160" s="463"/>
      <c r="M160" s="456">
        <v>31.010183334350586</v>
      </c>
      <c r="N160" s="457"/>
      <c r="O160" s="456"/>
      <c r="P160" s="46"/>
      <c r="Q160" s="463">
        <v>87.073432922363281</v>
      </c>
      <c r="R160" s="449"/>
      <c r="S160" s="463"/>
      <c r="T160" s="480"/>
      <c r="U160" s="468"/>
      <c r="V160" s="449"/>
      <c r="W160" s="45">
        <v>1655.1971435546875</v>
      </c>
      <c r="X160" s="463">
        <v>138.16349792480469</v>
      </c>
      <c r="Y160" s="449"/>
      <c r="Z160" s="45"/>
      <c r="AA160" s="468">
        <v>0.36034317581380476</v>
      </c>
      <c r="AB160" s="456"/>
      <c r="AC160" s="46"/>
      <c r="AD160" s="46"/>
      <c r="AE160" s="46"/>
      <c r="AF160" s="46"/>
      <c r="AG160" s="46"/>
      <c r="AH160" s="46"/>
      <c r="AI160" s="457"/>
      <c r="AJ160" s="138"/>
      <c r="AK160" s="745"/>
      <c r="AL160" s="54"/>
      <c r="AM160" s="468"/>
      <c r="AN160" s="449"/>
      <c r="AO160" s="45"/>
      <c r="AP160" s="45"/>
      <c r="AQ160" s="45"/>
      <c r="AR160" s="45"/>
      <c r="AS160" s="45"/>
      <c r="AT160" s="45"/>
      <c r="AU160" s="463"/>
      <c r="AV160" s="449"/>
      <c r="AW160" s="45"/>
      <c r="AX160" s="45"/>
      <c r="AY160" s="45"/>
      <c r="AZ160" s="45"/>
      <c r="BA160" s="45"/>
      <c r="BB160" s="45"/>
      <c r="BC160" s="463"/>
      <c r="BD160" s="456"/>
      <c r="BE160" s="46"/>
      <c r="BF160" s="46"/>
      <c r="BG160" s="46"/>
      <c r="BH160" s="46"/>
      <c r="BI160" s="46"/>
      <c r="BJ160" s="457"/>
      <c r="BK160" s="449">
        <v>0</v>
      </c>
      <c r="BL160" s="45"/>
      <c r="BM160" s="45"/>
      <c r="BN160" s="45"/>
      <c r="BO160" s="45"/>
      <c r="BP160" s="45"/>
      <c r="BQ160" s="45"/>
      <c r="BR160" s="45"/>
      <c r="BS160" s="45"/>
      <c r="BT160" s="45"/>
      <c r="BU160" s="45"/>
      <c r="BV160" s="45"/>
      <c r="BW160" s="45"/>
      <c r="BX160" s="45"/>
      <c r="BY160" s="45"/>
      <c r="BZ160" s="45"/>
      <c r="CA160" s="45"/>
      <c r="CB160" s="45"/>
      <c r="CC160" s="45"/>
      <c r="CD160" s="463"/>
    </row>
    <row r="161" spans="2:82">
      <c r="B161" s="136">
        <v>152</v>
      </c>
      <c r="C161" s="138">
        <v>1</v>
      </c>
      <c r="D161" s="474">
        <v>3648.3264728497243</v>
      </c>
      <c r="E161" s="127">
        <v>259.70964536337834</v>
      </c>
      <c r="F161" s="447">
        <v>0.37382058521755512</v>
      </c>
      <c r="G161" s="127">
        <v>133.81991338129893</v>
      </c>
      <c r="H161" s="132">
        <v>56.607802803625816</v>
      </c>
      <c r="I161" s="456"/>
      <c r="J161" s="45"/>
      <c r="K161" s="45">
        <v>530</v>
      </c>
      <c r="L161" s="463"/>
      <c r="M161" s="456">
        <v>30.065849304199219</v>
      </c>
      <c r="N161" s="457"/>
      <c r="O161" s="456"/>
      <c r="P161" s="46"/>
      <c r="Q161" s="463">
        <v>72.236869812011719</v>
      </c>
      <c r="R161" s="449"/>
      <c r="S161" s="463"/>
      <c r="T161" s="480"/>
      <c r="U161" s="468"/>
      <c r="V161" s="449"/>
      <c r="W161" s="45">
        <v>1422.4505615234375</v>
      </c>
      <c r="X161" s="463">
        <v>120.7601318359375</v>
      </c>
      <c r="Y161" s="449"/>
      <c r="Z161" s="45"/>
      <c r="AA161" s="468">
        <v>0.36491885672751034</v>
      </c>
      <c r="AB161" s="456"/>
      <c r="AC161" s="46"/>
      <c r="AD161" s="46"/>
      <c r="AE161" s="46"/>
      <c r="AF161" s="46"/>
      <c r="AG161" s="46"/>
      <c r="AH161" s="46"/>
      <c r="AI161" s="457"/>
      <c r="AJ161" s="138"/>
      <c r="AK161" s="745"/>
      <c r="AL161" s="54"/>
      <c r="AM161" s="468"/>
      <c r="AN161" s="449"/>
      <c r="AO161" s="45"/>
      <c r="AP161" s="45"/>
      <c r="AQ161" s="45"/>
      <c r="AR161" s="45"/>
      <c r="AS161" s="45"/>
      <c r="AT161" s="45"/>
      <c r="AU161" s="463"/>
      <c r="AV161" s="449"/>
      <c r="AW161" s="45"/>
      <c r="AX161" s="45"/>
      <c r="AY161" s="45"/>
      <c r="AZ161" s="45"/>
      <c r="BA161" s="45"/>
      <c r="BB161" s="45"/>
      <c r="BC161" s="463"/>
      <c r="BD161" s="456"/>
      <c r="BE161" s="46"/>
      <c r="BF161" s="46"/>
      <c r="BG161" s="46"/>
      <c r="BH161" s="46"/>
      <c r="BI161" s="46"/>
      <c r="BJ161" s="457"/>
      <c r="BK161" s="449">
        <v>0</v>
      </c>
      <c r="BL161" s="45"/>
      <c r="BM161" s="45"/>
      <c r="BN161" s="45"/>
      <c r="BO161" s="45"/>
      <c r="BP161" s="45"/>
      <c r="BQ161" s="45"/>
      <c r="BR161" s="45"/>
      <c r="BS161" s="45"/>
      <c r="BT161" s="45"/>
      <c r="BU161" s="45"/>
      <c r="BV161" s="45"/>
      <c r="BW161" s="45"/>
      <c r="BX161" s="45"/>
      <c r="BY161" s="45"/>
      <c r="BZ161" s="45"/>
      <c r="CA161" s="45"/>
      <c r="CB161" s="45"/>
      <c r="CC161" s="45"/>
      <c r="CD161" s="463"/>
    </row>
    <row r="162" spans="2:82">
      <c r="B162" s="136">
        <v>153</v>
      </c>
      <c r="C162" s="138">
        <v>1</v>
      </c>
      <c r="D162" s="474">
        <v>4173.9813219311545</v>
      </c>
      <c r="E162" s="127">
        <v>263.5819104230946</v>
      </c>
      <c r="F162" s="447">
        <v>0.43527329495638617</v>
      </c>
      <c r="G162" s="127">
        <v>161.91753103955281</v>
      </c>
      <c r="H162" s="132">
        <v>58.538423509146938</v>
      </c>
      <c r="I162" s="456"/>
      <c r="J162" s="45"/>
      <c r="K162" s="45">
        <v>630</v>
      </c>
      <c r="L162" s="463"/>
      <c r="M162" s="456">
        <v>40.884010314941406</v>
      </c>
      <c r="N162" s="457"/>
      <c r="O162" s="456"/>
      <c r="P162" s="46"/>
      <c r="Q162" s="463">
        <v>82.644821166992188</v>
      </c>
      <c r="R162" s="449"/>
      <c r="S162" s="463"/>
      <c r="T162" s="480"/>
      <c r="U162" s="468"/>
      <c r="V162" s="449"/>
      <c r="W162" s="45">
        <v>2048.1533203125</v>
      </c>
      <c r="X162" s="463">
        <v>166.69224548339844</v>
      </c>
      <c r="Y162" s="449"/>
      <c r="Z162" s="45"/>
      <c r="AA162" s="468">
        <v>0.42719815918085441</v>
      </c>
      <c r="AB162" s="456"/>
      <c r="AC162" s="46"/>
      <c r="AD162" s="46"/>
      <c r="AE162" s="46"/>
      <c r="AF162" s="46"/>
      <c r="AG162" s="46"/>
      <c r="AH162" s="46"/>
      <c r="AI162" s="457"/>
      <c r="AJ162" s="138"/>
      <c r="AK162" s="745"/>
      <c r="AL162" s="54"/>
      <c r="AM162" s="468"/>
      <c r="AN162" s="449"/>
      <c r="AO162" s="45"/>
      <c r="AP162" s="45"/>
      <c r="AQ162" s="45"/>
      <c r="AR162" s="45"/>
      <c r="AS162" s="45"/>
      <c r="AT162" s="45"/>
      <c r="AU162" s="463"/>
      <c r="AV162" s="449"/>
      <c r="AW162" s="45"/>
      <c r="AX162" s="45"/>
      <c r="AY162" s="45"/>
      <c r="AZ162" s="45"/>
      <c r="BA162" s="45"/>
      <c r="BB162" s="45"/>
      <c r="BC162" s="463"/>
      <c r="BD162" s="456"/>
      <c r="BE162" s="46"/>
      <c r="BF162" s="46"/>
      <c r="BG162" s="46"/>
      <c r="BH162" s="46"/>
      <c r="BI162" s="46"/>
      <c r="BJ162" s="457"/>
      <c r="BK162" s="449">
        <v>0</v>
      </c>
      <c r="BL162" s="45"/>
      <c r="BM162" s="45"/>
      <c r="BN162" s="45"/>
      <c r="BO162" s="45"/>
      <c r="BP162" s="45"/>
      <c r="BQ162" s="45"/>
      <c r="BR162" s="45"/>
      <c r="BS162" s="45"/>
      <c r="BT162" s="45"/>
      <c r="BU162" s="45"/>
      <c r="BV162" s="45"/>
      <c r="BW162" s="45"/>
      <c r="BX162" s="45"/>
      <c r="BY162" s="45"/>
      <c r="BZ162" s="45"/>
      <c r="CA162" s="45"/>
      <c r="CB162" s="45"/>
      <c r="CC162" s="45"/>
      <c r="CD162" s="463"/>
    </row>
    <row r="163" spans="2:82">
      <c r="B163" s="136">
        <v>154</v>
      </c>
      <c r="C163" s="138">
        <v>1</v>
      </c>
      <c r="D163" s="474">
        <v>3529.3863674276608</v>
      </c>
      <c r="E163" s="127">
        <v>197.2920383993023</v>
      </c>
      <c r="F163" s="447">
        <v>0.44310708989251973</v>
      </c>
      <c r="G163" s="127">
        <v>126.9386183016737</v>
      </c>
      <c r="H163" s="132">
        <v>56.286349595671147</v>
      </c>
      <c r="I163" s="456"/>
      <c r="J163" s="45"/>
      <c r="K163" s="45">
        <v>520</v>
      </c>
      <c r="L163" s="463"/>
      <c r="M163" s="456">
        <v>38.919033050537109</v>
      </c>
      <c r="N163" s="457"/>
      <c r="O163" s="456"/>
      <c r="P163" s="46"/>
      <c r="Q163" s="463">
        <v>69.881851196289062</v>
      </c>
      <c r="R163" s="449"/>
      <c r="S163" s="463"/>
      <c r="T163" s="480"/>
      <c r="U163" s="468"/>
      <c r="V163" s="449"/>
      <c r="W163" s="45">
        <v>1751.0718994140625</v>
      </c>
      <c r="X163" s="463">
        <v>144.59794616699219</v>
      </c>
      <c r="Y163" s="449"/>
      <c r="Z163" s="45"/>
      <c r="AA163" s="468">
        <v>0.43351274734324241</v>
      </c>
      <c r="AB163" s="456"/>
      <c r="AC163" s="46"/>
      <c r="AD163" s="46"/>
      <c r="AE163" s="46"/>
      <c r="AF163" s="46"/>
      <c r="AG163" s="46"/>
      <c r="AH163" s="46"/>
      <c r="AI163" s="457"/>
      <c r="AJ163" s="138"/>
      <c r="AK163" s="745"/>
      <c r="AL163" s="54"/>
      <c r="AM163" s="468"/>
      <c r="AN163" s="449"/>
      <c r="AO163" s="45"/>
      <c r="AP163" s="45"/>
      <c r="AQ163" s="45"/>
      <c r="AR163" s="45"/>
      <c r="AS163" s="45"/>
      <c r="AT163" s="45"/>
      <c r="AU163" s="463"/>
      <c r="AV163" s="449"/>
      <c r="AW163" s="45"/>
      <c r="AX163" s="45"/>
      <c r="AY163" s="45"/>
      <c r="AZ163" s="45"/>
      <c r="BA163" s="45"/>
      <c r="BB163" s="45"/>
      <c r="BC163" s="463"/>
      <c r="BD163" s="456"/>
      <c r="BE163" s="46"/>
      <c r="BF163" s="46"/>
      <c r="BG163" s="46"/>
      <c r="BH163" s="46"/>
      <c r="BI163" s="46"/>
      <c r="BJ163" s="457"/>
      <c r="BK163" s="449">
        <v>0</v>
      </c>
      <c r="BL163" s="45"/>
      <c r="BM163" s="45"/>
      <c r="BN163" s="45"/>
      <c r="BO163" s="45"/>
      <c r="BP163" s="45"/>
      <c r="BQ163" s="45"/>
      <c r="BR163" s="45"/>
      <c r="BS163" s="45"/>
      <c r="BT163" s="45"/>
      <c r="BU163" s="45"/>
      <c r="BV163" s="45"/>
      <c r="BW163" s="45"/>
      <c r="BX163" s="45"/>
      <c r="BY163" s="45"/>
      <c r="BZ163" s="45"/>
      <c r="CA163" s="45"/>
      <c r="CB163" s="45"/>
      <c r="CC163" s="45"/>
      <c r="CD163" s="463"/>
    </row>
    <row r="164" spans="2:82">
      <c r="B164" s="136">
        <v>155</v>
      </c>
      <c r="C164" s="138">
        <v>1</v>
      </c>
      <c r="D164" s="474">
        <v>2692.1434747517915</v>
      </c>
      <c r="E164" s="127">
        <v>246.11380462865367</v>
      </c>
      <c r="F164" s="447">
        <v>0.39081903409175989</v>
      </c>
      <c r="G164" s="127">
        <v>104.16742763858905</v>
      </c>
      <c r="H164" s="132">
        <v>45.526509738635767</v>
      </c>
      <c r="I164" s="456"/>
      <c r="J164" s="45"/>
      <c r="K164" s="45">
        <v>410</v>
      </c>
      <c r="L164" s="463"/>
      <c r="M164" s="456">
        <v>31.85291862487793</v>
      </c>
      <c r="N164" s="457"/>
      <c r="O164" s="456"/>
      <c r="P164" s="46"/>
      <c r="Q164" s="463">
        <v>53.304439544677734</v>
      </c>
      <c r="R164" s="449"/>
      <c r="S164" s="463"/>
      <c r="T164" s="480"/>
      <c r="U164" s="468"/>
      <c r="V164" s="449"/>
      <c r="W164" s="45">
        <v>1196.1688232421875</v>
      </c>
      <c r="X164" s="463">
        <v>103.78451538085937</v>
      </c>
      <c r="Y164" s="449"/>
      <c r="Z164" s="45"/>
      <c r="AA164" s="468">
        <v>0.37862934918469493</v>
      </c>
      <c r="AB164" s="456"/>
      <c r="AC164" s="46"/>
      <c r="AD164" s="46"/>
      <c r="AE164" s="46"/>
      <c r="AF164" s="46"/>
      <c r="AG164" s="46"/>
      <c r="AH164" s="46"/>
      <c r="AI164" s="457"/>
      <c r="AJ164" s="138"/>
      <c r="AK164" s="745"/>
      <c r="AL164" s="54"/>
      <c r="AM164" s="468"/>
      <c r="AN164" s="449"/>
      <c r="AO164" s="45"/>
      <c r="AP164" s="45"/>
      <c r="AQ164" s="45"/>
      <c r="AR164" s="45"/>
      <c r="AS164" s="45"/>
      <c r="AT164" s="45"/>
      <c r="AU164" s="463"/>
      <c r="AV164" s="449"/>
      <c r="AW164" s="45"/>
      <c r="AX164" s="45"/>
      <c r="AY164" s="45"/>
      <c r="AZ164" s="45"/>
      <c r="BA164" s="45"/>
      <c r="BB164" s="45"/>
      <c r="BC164" s="463"/>
      <c r="BD164" s="456"/>
      <c r="BE164" s="46"/>
      <c r="BF164" s="46"/>
      <c r="BG164" s="46"/>
      <c r="BH164" s="46"/>
      <c r="BI164" s="46"/>
      <c r="BJ164" s="457"/>
      <c r="BK164" s="449">
        <v>0</v>
      </c>
      <c r="BL164" s="45"/>
      <c r="BM164" s="45"/>
      <c r="BN164" s="45"/>
      <c r="BO164" s="45"/>
      <c r="BP164" s="45"/>
      <c r="BQ164" s="45"/>
      <c r="BR164" s="45"/>
      <c r="BS164" s="45"/>
      <c r="BT164" s="45"/>
      <c r="BU164" s="45"/>
      <c r="BV164" s="45"/>
      <c r="BW164" s="45"/>
      <c r="BX164" s="45"/>
      <c r="BY164" s="45"/>
      <c r="BZ164" s="45"/>
      <c r="CA164" s="45"/>
      <c r="CB164" s="45"/>
      <c r="CC164" s="45"/>
      <c r="CD164" s="463"/>
    </row>
    <row r="165" spans="2:82">
      <c r="B165" s="136">
        <v>156</v>
      </c>
      <c r="C165" s="138">
        <v>1</v>
      </c>
      <c r="D165" s="474">
        <v>3259.6278158815267</v>
      </c>
      <c r="E165" s="127">
        <v>227.7509083936346</v>
      </c>
      <c r="F165" s="447">
        <v>0.46454857647413222</v>
      </c>
      <c r="G165" s="127">
        <v>100.822832092683</v>
      </c>
      <c r="H165" s="132">
        <v>58.174201517429047</v>
      </c>
      <c r="I165" s="456"/>
      <c r="J165" s="45"/>
      <c r="K165" s="45">
        <v>450</v>
      </c>
      <c r="L165" s="463"/>
      <c r="M165" s="456">
        <v>39.169460296630859</v>
      </c>
      <c r="N165" s="457"/>
      <c r="O165" s="456"/>
      <c r="P165" s="46"/>
      <c r="Q165" s="463">
        <v>64.540634155273438</v>
      </c>
      <c r="R165" s="449"/>
      <c r="S165" s="463"/>
      <c r="T165" s="480"/>
      <c r="U165" s="468"/>
      <c r="V165" s="449"/>
      <c r="W165" s="45">
        <v>1659.5159912109375</v>
      </c>
      <c r="X165" s="463">
        <v>137.63978576660156</v>
      </c>
      <c r="Y165" s="449"/>
      <c r="Z165" s="45"/>
      <c r="AA165" s="468">
        <v>0.45402867252607698</v>
      </c>
      <c r="AB165" s="456"/>
      <c r="AC165" s="46"/>
      <c r="AD165" s="46"/>
      <c r="AE165" s="46"/>
      <c r="AF165" s="46"/>
      <c r="AG165" s="46"/>
      <c r="AH165" s="46"/>
      <c r="AI165" s="457"/>
      <c r="AJ165" s="138"/>
      <c r="AK165" s="745"/>
      <c r="AL165" s="54"/>
      <c r="AM165" s="468"/>
      <c r="AN165" s="449"/>
      <c r="AO165" s="45"/>
      <c r="AP165" s="45"/>
      <c r="AQ165" s="45"/>
      <c r="AR165" s="45"/>
      <c r="AS165" s="45"/>
      <c r="AT165" s="45"/>
      <c r="AU165" s="463"/>
      <c r="AV165" s="449"/>
      <c r="AW165" s="45"/>
      <c r="AX165" s="45"/>
      <c r="AY165" s="45"/>
      <c r="AZ165" s="45"/>
      <c r="BA165" s="45"/>
      <c r="BB165" s="45"/>
      <c r="BC165" s="463"/>
      <c r="BD165" s="456"/>
      <c r="BE165" s="46"/>
      <c r="BF165" s="46"/>
      <c r="BG165" s="46"/>
      <c r="BH165" s="46"/>
      <c r="BI165" s="46"/>
      <c r="BJ165" s="457"/>
      <c r="BK165" s="449">
        <v>0</v>
      </c>
      <c r="BL165" s="45"/>
      <c r="BM165" s="45"/>
      <c r="BN165" s="45"/>
      <c r="BO165" s="45"/>
      <c r="BP165" s="45"/>
      <c r="BQ165" s="45"/>
      <c r="BR165" s="45"/>
      <c r="BS165" s="45"/>
      <c r="BT165" s="45"/>
      <c r="BU165" s="45"/>
      <c r="BV165" s="45"/>
      <c r="BW165" s="45"/>
      <c r="BX165" s="45"/>
      <c r="BY165" s="45"/>
      <c r="BZ165" s="45"/>
      <c r="CA165" s="45"/>
      <c r="CB165" s="45"/>
      <c r="CC165" s="45"/>
      <c r="CD165" s="463"/>
    </row>
    <row r="166" spans="2:82">
      <c r="B166" s="136">
        <v>157</v>
      </c>
      <c r="C166" s="138">
        <v>1</v>
      </c>
      <c r="D166" s="474">
        <v>3019.2242515117714</v>
      </c>
      <c r="E166" s="127">
        <v>236.96980426494841</v>
      </c>
      <c r="F166" s="447">
        <v>0.46909048894138239</v>
      </c>
      <c r="G166" s="127">
        <v>122.16393365477357</v>
      </c>
      <c r="H166" s="132">
        <v>47.186175688847285</v>
      </c>
      <c r="I166" s="456"/>
      <c r="J166" s="45"/>
      <c r="K166" s="45">
        <v>480</v>
      </c>
      <c r="L166" s="463"/>
      <c r="M166" s="456">
        <v>45.298213958740234</v>
      </c>
      <c r="N166" s="457"/>
      <c r="O166" s="456"/>
      <c r="P166" s="46"/>
      <c r="Q166" s="463">
        <v>59.780643463134766</v>
      </c>
      <c r="R166" s="449"/>
      <c r="S166" s="463"/>
      <c r="T166" s="480"/>
      <c r="U166" s="468"/>
      <c r="V166" s="449"/>
      <c r="W166" s="45">
        <v>1829.753173828125</v>
      </c>
      <c r="X166" s="463">
        <v>150.15396118164062</v>
      </c>
      <c r="Y166" s="449"/>
      <c r="Z166" s="45"/>
      <c r="AA166" s="468">
        <v>0.45770285857188864</v>
      </c>
      <c r="AB166" s="456"/>
      <c r="AC166" s="46"/>
      <c r="AD166" s="46"/>
      <c r="AE166" s="46"/>
      <c r="AF166" s="46"/>
      <c r="AG166" s="46"/>
      <c r="AH166" s="46"/>
      <c r="AI166" s="457"/>
      <c r="AJ166" s="138"/>
      <c r="AK166" s="745"/>
      <c r="AL166" s="54"/>
      <c r="AM166" s="468"/>
      <c r="AN166" s="449"/>
      <c r="AO166" s="45"/>
      <c r="AP166" s="45"/>
      <c r="AQ166" s="45"/>
      <c r="AR166" s="45"/>
      <c r="AS166" s="45"/>
      <c r="AT166" s="45"/>
      <c r="AU166" s="463"/>
      <c r="AV166" s="449"/>
      <c r="AW166" s="45"/>
      <c r="AX166" s="45"/>
      <c r="AY166" s="45"/>
      <c r="AZ166" s="45"/>
      <c r="BA166" s="45"/>
      <c r="BB166" s="45"/>
      <c r="BC166" s="463"/>
      <c r="BD166" s="456"/>
      <c r="BE166" s="46"/>
      <c r="BF166" s="46"/>
      <c r="BG166" s="46"/>
      <c r="BH166" s="46"/>
      <c r="BI166" s="46"/>
      <c r="BJ166" s="457"/>
      <c r="BK166" s="449">
        <v>0</v>
      </c>
      <c r="BL166" s="45"/>
      <c r="BM166" s="45"/>
      <c r="BN166" s="45"/>
      <c r="BO166" s="45"/>
      <c r="BP166" s="45"/>
      <c r="BQ166" s="45"/>
      <c r="BR166" s="45"/>
      <c r="BS166" s="45"/>
      <c r="BT166" s="45"/>
      <c r="BU166" s="45"/>
      <c r="BV166" s="45"/>
      <c r="BW166" s="45"/>
      <c r="BX166" s="45"/>
      <c r="BY166" s="45"/>
      <c r="BZ166" s="45"/>
      <c r="CA166" s="45"/>
      <c r="CB166" s="45"/>
      <c r="CC166" s="45"/>
      <c r="CD166" s="463"/>
    </row>
    <row r="167" spans="2:82">
      <c r="B167" s="136">
        <v>158</v>
      </c>
      <c r="C167" s="138">
        <v>1</v>
      </c>
      <c r="D167" s="474">
        <v>4240.4518035142464</v>
      </c>
      <c r="E167" s="127">
        <v>249.92268454373266</v>
      </c>
      <c r="F167" s="447">
        <v>0.46334599890473938</v>
      </c>
      <c r="G167" s="127">
        <v>131.06330444850539</v>
      </c>
      <c r="H167" s="132">
        <v>71.035017370864878</v>
      </c>
      <c r="I167" s="456"/>
      <c r="J167" s="45"/>
      <c r="K167" s="45">
        <v>600</v>
      </c>
      <c r="L167" s="463"/>
      <c r="M167" s="456">
        <v>41.659248352050781</v>
      </c>
      <c r="N167" s="457"/>
      <c r="O167" s="456"/>
      <c r="P167" s="46"/>
      <c r="Q167" s="463">
        <v>90</v>
      </c>
      <c r="R167" s="449"/>
      <c r="S167" s="463"/>
      <c r="T167" s="480"/>
      <c r="U167" s="468"/>
      <c r="V167" s="449"/>
      <c r="W167" s="45">
        <v>2155.92333984375</v>
      </c>
      <c r="X167" s="463">
        <v>174.40016174316406</v>
      </c>
      <c r="Y167" s="449"/>
      <c r="Z167" s="45"/>
      <c r="AA167" s="468">
        <v>0.45526503924150341</v>
      </c>
      <c r="AB167" s="456"/>
      <c r="AC167" s="46"/>
      <c r="AD167" s="46"/>
      <c r="AE167" s="46"/>
      <c r="AF167" s="46"/>
      <c r="AG167" s="46"/>
      <c r="AH167" s="46"/>
      <c r="AI167" s="457"/>
      <c r="AJ167" s="138"/>
      <c r="AK167" s="745"/>
      <c r="AL167" s="54"/>
      <c r="AM167" s="468"/>
      <c r="AN167" s="449"/>
      <c r="AO167" s="45"/>
      <c r="AP167" s="45"/>
      <c r="AQ167" s="45"/>
      <c r="AR167" s="45"/>
      <c r="AS167" s="45"/>
      <c r="AT167" s="45"/>
      <c r="AU167" s="463"/>
      <c r="AV167" s="449"/>
      <c r="AW167" s="45"/>
      <c r="AX167" s="45"/>
      <c r="AY167" s="45"/>
      <c r="AZ167" s="45"/>
      <c r="BA167" s="45"/>
      <c r="BB167" s="45"/>
      <c r="BC167" s="463"/>
      <c r="BD167" s="456"/>
      <c r="BE167" s="46"/>
      <c r="BF167" s="46"/>
      <c r="BG167" s="46"/>
      <c r="BH167" s="46"/>
      <c r="BI167" s="46"/>
      <c r="BJ167" s="457"/>
      <c r="BK167" s="449">
        <v>0</v>
      </c>
      <c r="BL167" s="45"/>
      <c r="BM167" s="45"/>
      <c r="BN167" s="45"/>
      <c r="BO167" s="45"/>
      <c r="BP167" s="45"/>
      <c r="BQ167" s="45"/>
      <c r="BR167" s="45"/>
      <c r="BS167" s="45"/>
      <c r="BT167" s="45"/>
      <c r="BU167" s="45"/>
      <c r="BV167" s="45"/>
      <c r="BW167" s="45"/>
      <c r="BX167" s="45"/>
      <c r="BY167" s="45"/>
      <c r="BZ167" s="45"/>
      <c r="CA167" s="45"/>
      <c r="CB167" s="45"/>
      <c r="CC167" s="45"/>
      <c r="CD167" s="463"/>
    </row>
    <row r="168" spans="2:82">
      <c r="B168" s="136">
        <v>159</v>
      </c>
      <c r="C168" s="138">
        <v>1</v>
      </c>
      <c r="D168" s="474">
        <v>2631.4721200866297</v>
      </c>
      <c r="E168" s="127">
        <v>248.70479145811501</v>
      </c>
      <c r="F168" s="447">
        <v>0.41510447109289794</v>
      </c>
      <c r="G168" s="127">
        <v>106.31564086106489</v>
      </c>
      <c r="H168" s="132">
        <v>42.91791121071126</v>
      </c>
      <c r="I168" s="456"/>
      <c r="J168" s="45"/>
      <c r="K168" s="45">
        <v>410</v>
      </c>
      <c r="L168" s="463"/>
      <c r="M168" s="456">
        <v>35.309291839599609</v>
      </c>
      <c r="N168" s="457"/>
      <c r="O168" s="456"/>
      <c r="P168" s="46"/>
      <c r="Q168" s="463">
        <v>52.1031494140625</v>
      </c>
      <c r="R168" s="449"/>
      <c r="S168" s="463"/>
      <c r="T168" s="480"/>
      <c r="U168" s="468"/>
      <c r="V168" s="449"/>
      <c r="W168" s="45">
        <v>1304.6983642578125</v>
      </c>
      <c r="X168" s="463">
        <v>111.69393920898437</v>
      </c>
      <c r="Y168" s="449"/>
      <c r="Z168" s="45"/>
      <c r="AA168" s="468">
        <v>0.40244916337838504</v>
      </c>
      <c r="AB168" s="456"/>
      <c r="AC168" s="46"/>
      <c r="AD168" s="46"/>
      <c r="AE168" s="46"/>
      <c r="AF168" s="46"/>
      <c r="AG168" s="46"/>
      <c r="AH168" s="46"/>
      <c r="AI168" s="457"/>
      <c r="AJ168" s="138"/>
      <c r="AK168" s="745"/>
      <c r="AL168" s="54"/>
      <c r="AM168" s="468"/>
      <c r="AN168" s="449"/>
      <c r="AO168" s="45"/>
      <c r="AP168" s="45"/>
      <c r="AQ168" s="45"/>
      <c r="AR168" s="45"/>
      <c r="AS168" s="45"/>
      <c r="AT168" s="45"/>
      <c r="AU168" s="463"/>
      <c r="AV168" s="449"/>
      <c r="AW168" s="45"/>
      <c r="AX168" s="45"/>
      <c r="AY168" s="45"/>
      <c r="AZ168" s="45"/>
      <c r="BA168" s="45"/>
      <c r="BB168" s="45"/>
      <c r="BC168" s="463"/>
      <c r="BD168" s="456"/>
      <c r="BE168" s="46"/>
      <c r="BF168" s="46"/>
      <c r="BG168" s="46"/>
      <c r="BH168" s="46"/>
      <c r="BI168" s="46"/>
      <c r="BJ168" s="457"/>
      <c r="BK168" s="449">
        <v>0</v>
      </c>
      <c r="BL168" s="45"/>
      <c r="BM168" s="45"/>
      <c r="BN168" s="45"/>
      <c r="BO168" s="45"/>
      <c r="BP168" s="45"/>
      <c r="BQ168" s="45"/>
      <c r="BR168" s="45"/>
      <c r="BS168" s="45"/>
      <c r="BT168" s="45"/>
      <c r="BU168" s="45"/>
      <c r="BV168" s="45"/>
      <c r="BW168" s="45"/>
      <c r="BX168" s="45"/>
      <c r="BY168" s="45"/>
      <c r="BZ168" s="45"/>
      <c r="CA168" s="45"/>
      <c r="CB168" s="45"/>
      <c r="CC168" s="45"/>
      <c r="CD168" s="463"/>
    </row>
    <row r="169" spans="2:82">
      <c r="B169" s="136">
        <v>160</v>
      </c>
      <c r="C169" s="138">
        <v>1</v>
      </c>
      <c r="D169" s="474">
        <v>3424.492975885451</v>
      </c>
      <c r="E169" s="127">
        <v>226.43132523224642</v>
      </c>
      <c r="F169" s="447">
        <v>0.4101563118915007</v>
      </c>
      <c r="G169" s="127">
        <v>115.47163704418509</v>
      </c>
      <c r="H169" s="132">
        <v>63.717138219937873</v>
      </c>
      <c r="I169" s="456"/>
      <c r="J169" s="45"/>
      <c r="K169" s="45">
        <v>510</v>
      </c>
      <c r="L169" s="463"/>
      <c r="M169" s="456">
        <v>31.675531387329102</v>
      </c>
      <c r="N169" s="457"/>
      <c r="O169" s="456"/>
      <c r="P169" s="46"/>
      <c r="Q169" s="463">
        <v>76.1328125</v>
      </c>
      <c r="R169" s="449"/>
      <c r="S169" s="463"/>
      <c r="T169" s="480"/>
      <c r="U169" s="468"/>
      <c r="V169" s="449"/>
      <c r="W169" s="45">
        <v>1517.8927001953125</v>
      </c>
      <c r="X169" s="463">
        <v>127.59780120849609</v>
      </c>
      <c r="Y169" s="449"/>
      <c r="Z169" s="45"/>
      <c r="AA169" s="468">
        <v>0.40046053313778757</v>
      </c>
      <c r="AB169" s="456"/>
      <c r="AC169" s="46"/>
      <c r="AD169" s="46"/>
      <c r="AE169" s="46"/>
      <c r="AF169" s="46"/>
      <c r="AG169" s="46"/>
      <c r="AH169" s="46"/>
      <c r="AI169" s="457"/>
      <c r="AJ169" s="138"/>
      <c r="AK169" s="745"/>
      <c r="AL169" s="54"/>
      <c r="AM169" s="468"/>
      <c r="AN169" s="449"/>
      <c r="AO169" s="45"/>
      <c r="AP169" s="45"/>
      <c r="AQ169" s="45"/>
      <c r="AR169" s="45"/>
      <c r="AS169" s="45"/>
      <c r="AT169" s="45"/>
      <c r="AU169" s="463"/>
      <c r="AV169" s="449"/>
      <c r="AW169" s="45"/>
      <c r="AX169" s="45"/>
      <c r="AY169" s="45"/>
      <c r="AZ169" s="45"/>
      <c r="BA169" s="45"/>
      <c r="BB169" s="45"/>
      <c r="BC169" s="463"/>
      <c r="BD169" s="456"/>
      <c r="BE169" s="46"/>
      <c r="BF169" s="46"/>
      <c r="BG169" s="46"/>
      <c r="BH169" s="46"/>
      <c r="BI169" s="46"/>
      <c r="BJ169" s="457"/>
      <c r="BK169" s="449">
        <v>0</v>
      </c>
      <c r="BL169" s="45"/>
      <c r="BM169" s="45"/>
      <c r="BN169" s="45"/>
      <c r="BO169" s="45"/>
      <c r="BP169" s="45"/>
      <c r="BQ169" s="45"/>
      <c r="BR169" s="45"/>
      <c r="BS169" s="45"/>
      <c r="BT169" s="45"/>
      <c r="BU169" s="45"/>
      <c r="BV169" s="45"/>
      <c r="BW169" s="45"/>
      <c r="BX169" s="45"/>
      <c r="BY169" s="45"/>
      <c r="BZ169" s="45"/>
      <c r="CA169" s="45"/>
      <c r="CB169" s="45"/>
      <c r="CC169" s="45"/>
      <c r="CD169" s="463"/>
    </row>
    <row r="170" spans="2:82">
      <c r="B170" s="136">
        <v>161</v>
      </c>
      <c r="C170" s="138">
        <v>1</v>
      </c>
      <c r="D170" s="474">
        <v>3073.4803324813556</v>
      </c>
      <c r="E170" s="127">
        <v>275.24217126995188</v>
      </c>
      <c r="F170" s="447">
        <v>0.39295431895444</v>
      </c>
      <c r="G170" s="127">
        <v>105.71131021554945</v>
      </c>
      <c r="H170" s="132">
        <v>60.697231230763506</v>
      </c>
      <c r="I170" s="456"/>
      <c r="J170" s="45"/>
      <c r="K170" s="45">
        <v>460</v>
      </c>
      <c r="L170" s="463"/>
      <c r="M170" s="456">
        <v>29.087268829345703</v>
      </c>
      <c r="N170" s="457"/>
      <c r="O170" s="456"/>
      <c r="P170" s="46"/>
      <c r="Q170" s="463">
        <v>69.137176513671875</v>
      </c>
      <c r="R170" s="449"/>
      <c r="S170" s="463"/>
      <c r="T170" s="480"/>
      <c r="U170" s="468"/>
      <c r="V170" s="449"/>
      <c r="W170" s="45">
        <v>1321.6146240234375</v>
      </c>
      <c r="X170" s="463">
        <v>113.125</v>
      </c>
      <c r="Y170" s="449"/>
      <c r="Z170" s="45"/>
      <c r="AA170" s="468">
        <v>0.38226315362247892</v>
      </c>
      <c r="AB170" s="456"/>
      <c r="AC170" s="46"/>
      <c r="AD170" s="46"/>
      <c r="AE170" s="46"/>
      <c r="AF170" s="46"/>
      <c r="AG170" s="46"/>
      <c r="AH170" s="46"/>
      <c r="AI170" s="457"/>
      <c r="AJ170" s="138"/>
      <c r="AK170" s="745"/>
      <c r="AL170" s="54"/>
      <c r="AM170" s="468"/>
      <c r="AN170" s="449"/>
      <c r="AO170" s="45"/>
      <c r="AP170" s="45"/>
      <c r="AQ170" s="45"/>
      <c r="AR170" s="45"/>
      <c r="AS170" s="45"/>
      <c r="AT170" s="45"/>
      <c r="AU170" s="463"/>
      <c r="AV170" s="449"/>
      <c r="AW170" s="45"/>
      <c r="AX170" s="45"/>
      <c r="AY170" s="45"/>
      <c r="AZ170" s="45"/>
      <c r="BA170" s="45"/>
      <c r="BB170" s="45"/>
      <c r="BC170" s="463"/>
      <c r="BD170" s="456"/>
      <c r="BE170" s="46"/>
      <c r="BF170" s="46"/>
      <c r="BG170" s="46"/>
      <c r="BH170" s="46"/>
      <c r="BI170" s="46"/>
      <c r="BJ170" s="457"/>
      <c r="BK170" s="449">
        <v>0</v>
      </c>
      <c r="BL170" s="45"/>
      <c r="BM170" s="45"/>
      <c r="BN170" s="45"/>
      <c r="BO170" s="45"/>
      <c r="BP170" s="45"/>
      <c r="BQ170" s="45"/>
      <c r="BR170" s="45"/>
      <c r="BS170" s="45"/>
      <c r="BT170" s="45"/>
      <c r="BU170" s="45"/>
      <c r="BV170" s="45"/>
      <c r="BW170" s="45"/>
      <c r="BX170" s="45"/>
      <c r="BY170" s="45"/>
      <c r="BZ170" s="45"/>
      <c r="CA170" s="45"/>
      <c r="CB170" s="45"/>
      <c r="CC170" s="45"/>
      <c r="CD170" s="463"/>
    </row>
    <row r="171" spans="2:82">
      <c r="B171" s="136">
        <v>162</v>
      </c>
      <c r="C171" s="138">
        <v>1</v>
      </c>
      <c r="D171" s="474">
        <v>3134.1596098142791</v>
      </c>
      <c r="E171" s="127">
        <v>240.426685705273</v>
      </c>
      <c r="F171" s="447">
        <v>0.39616514325035934</v>
      </c>
      <c r="G171" s="127">
        <v>121.30765722971019</v>
      </c>
      <c r="H171" s="132">
        <v>50.167277713517919</v>
      </c>
      <c r="I171" s="456"/>
      <c r="J171" s="45"/>
      <c r="K171" s="45">
        <v>470</v>
      </c>
      <c r="L171" s="463"/>
      <c r="M171" s="456">
        <v>32.4395751953125</v>
      </c>
      <c r="N171" s="457"/>
      <c r="O171" s="456"/>
      <c r="P171" s="46"/>
      <c r="Q171" s="463">
        <v>62.056362152099609</v>
      </c>
      <c r="R171" s="449"/>
      <c r="S171" s="463"/>
      <c r="T171" s="480"/>
      <c r="U171" s="468"/>
      <c r="V171" s="449"/>
      <c r="W171" s="45">
        <v>1379.4793701171875</v>
      </c>
      <c r="X171" s="463">
        <v>117.39002990722656</v>
      </c>
      <c r="Y171" s="449"/>
      <c r="Z171" s="45"/>
      <c r="AA171" s="468">
        <v>0.38566047630171019</v>
      </c>
      <c r="AB171" s="456"/>
      <c r="AC171" s="46"/>
      <c r="AD171" s="46"/>
      <c r="AE171" s="46"/>
      <c r="AF171" s="46"/>
      <c r="AG171" s="46"/>
      <c r="AH171" s="46"/>
      <c r="AI171" s="457"/>
      <c r="AJ171" s="138"/>
      <c r="AK171" s="745"/>
      <c r="AL171" s="54"/>
      <c r="AM171" s="468"/>
      <c r="AN171" s="449"/>
      <c r="AO171" s="45"/>
      <c r="AP171" s="45"/>
      <c r="AQ171" s="45"/>
      <c r="AR171" s="45"/>
      <c r="AS171" s="45"/>
      <c r="AT171" s="45"/>
      <c r="AU171" s="463"/>
      <c r="AV171" s="449"/>
      <c r="AW171" s="45"/>
      <c r="AX171" s="45"/>
      <c r="AY171" s="45"/>
      <c r="AZ171" s="45"/>
      <c r="BA171" s="45"/>
      <c r="BB171" s="45"/>
      <c r="BC171" s="463"/>
      <c r="BD171" s="456"/>
      <c r="BE171" s="46"/>
      <c r="BF171" s="46"/>
      <c r="BG171" s="46"/>
      <c r="BH171" s="46"/>
      <c r="BI171" s="46"/>
      <c r="BJ171" s="457"/>
      <c r="BK171" s="449">
        <v>0</v>
      </c>
      <c r="BL171" s="45"/>
      <c r="BM171" s="45"/>
      <c r="BN171" s="45"/>
      <c r="BO171" s="45"/>
      <c r="BP171" s="45"/>
      <c r="BQ171" s="45"/>
      <c r="BR171" s="45"/>
      <c r="BS171" s="45"/>
      <c r="BT171" s="45"/>
      <c r="BU171" s="45"/>
      <c r="BV171" s="45"/>
      <c r="BW171" s="45"/>
      <c r="BX171" s="45"/>
      <c r="BY171" s="45"/>
      <c r="BZ171" s="45"/>
      <c r="CA171" s="45"/>
      <c r="CB171" s="45"/>
      <c r="CC171" s="45"/>
      <c r="CD171" s="463"/>
    </row>
    <row r="172" spans="2:82">
      <c r="B172" s="136">
        <v>163</v>
      </c>
      <c r="C172" s="138">
        <v>1</v>
      </c>
      <c r="D172" s="474">
        <v>3201.6631714867331</v>
      </c>
      <c r="E172" s="127">
        <v>208.26560884641353</v>
      </c>
      <c r="F172" s="447">
        <v>0.39156160138055868</v>
      </c>
      <c r="G172" s="127">
        <v>101.93721068823889</v>
      </c>
      <c r="H172" s="132">
        <v>63.437114642724318</v>
      </c>
      <c r="I172" s="456"/>
      <c r="J172" s="45"/>
      <c r="K172" s="45">
        <v>460</v>
      </c>
      <c r="L172" s="463"/>
      <c r="M172" s="456">
        <v>28.301164627075195</v>
      </c>
      <c r="N172" s="457"/>
      <c r="O172" s="456"/>
      <c r="P172" s="46"/>
      <c r="Q172" s="463">
        <v>71.816070556640625</v>
      </c>
      <c r="R172" s="449"/>
      <c r="S172" s="463"/>
      <c r="T172" s="480"/>
      <c r="U172" s="468"/>
      <c r="V172" s="449"/>
      <c r="W172" s="45">
        <v>1315.2127685546875</v>
      </c>
      <c r="X172" s="463">
        <v>112.66204071044922</v>
      </c>
      <c r="Y172" s="449"/>
      <c r="Z172" s="45"/>
      <c r="AA172" s="468">
        <v>0.38130717102073869</v>
      </c>
      <c r="AB172" s="456"/>
      <c r="AC172" s="46"/>
      <c r="AD172" s="46"/>
      <c r="AE172" s="46"/>
      <c r="AF172" s="46"/>
      <c r="AG172" s="46"/>
      <c r="AH172" s="46"/>
      <c r="AI172" s="457"/>
      <c r="AJ172" s="138"/>
      <c r="AK172" s="745"/>
      <c r="AL172" s="54"/>
      <c r="AM172" s="468"/>
      <c r="AN172" s="449"/>
      <c r="AO172" s="45"/>
      <c r="AP172" s="45"/>
      <c r="AQ172" s="45"/>
      <c r="AR172" s="45"/>
      <c r="AS172" s="45"/>
      <c r="AT172" s="45"/>
      <c r="AU172" s="463"/>
      <c r="AV172" s="449"/>
      <c r="AW172" s="45"/>
      <c r="AX172" s="45"/>
      <c r="AY172" s="45"/>
      <c r="AZ172" s="45"/>
      <c r="BA172" s="45"/>
      <c r="BB172" s="45"/>
      <c r="BC172" s="463"/>
      <c r="BD172" s="456"/>
      <c r="BE172" s="46"/>
      <c r="BF172" s="46"/>
      <c r="BG172" s="46"/>
      <c r="BH172" s="46"/>
      <c r="BI172" s="46"/>
      <c r="BJ172" s="457"/>
      <c r="BK172" s="449">
        <v>0</v>
      </c>
      <c r="BL172" s="45"/>
      <c r="BM172" s="45"/>
      <c r="BN172" s="45"/>
      <c r="BO172" s="45"/>
      <c r="BP172" s="45"/>
      <c r="BQ172" s="45"/>
      <c r="BR172" s="45"/>
      <c r="BS172" s="45"/>
      <c r="BT172" s="45"/>
      <c r="BU172" s="45"/>
      <c r="BV172" s="45"/>
      <c r="BW172" s="45"/>
      <c r="BX172" s="45"/>
      <c r="BY172" s="45"/>
      <c r="BZ172" s="45"/>
      <c r="CA172" s="45"/>
      <c r="CB172" s="45"/>
      <c r="CC172" s="45"/>
      <c r="CD172" s="463"/>
    </row>
    <row r="173" spans="2:82">
      <c r="B173" s="136">
        <v>164</v>
      </c>
      <c r="C173" s="138">
        <v>1</v>
      </c>
      <c r="D173" s="474">
        <v>3327.4583903535736</v>
      </c>
      <c r="E173" s="127">
        <v>259.76890497878236</v>
      </c>
      <c r="F173" s="447">
        <v>0.37188233974679141</v>
      </c>
      <c r="G173" s="127">
        <v>115.05948413720161</v>
      </c>
      <c r="H173" s="132">
        <v>55.783227091017167</v>
      </c>
      <c r="I173" s="456"/>
      <c r="J173" s="45"/>
      <c r="K173" s="45">
        <v>470</v>
      </c>
      <c r="L173" s="463"/>
      <c r="M173" s="456">
        <v>28.491886138916016</v>
      </c>
      <c r="N173" s="457"/>
      <c r="O173" s="456"/>
      <c r="P173" s="46"/>
      <c r="Q173" s="463">
        <v>65.883682250976563</v>
      </c>
      <c r="R173" s="449"/>
      <c r="S173" s="463"/>
      <c r="T173" s="480"/>
      <c r="U173" s="468"/>
      <c r="V173" s="449"/>
      <c r="W173" s="45">
        <v>1267.377685546875</v>
      </c>
      <c r="X173" s="463">
        <v>109.21705627441406</v>
      </c>
      <c r="Y173" s="449"/>
      <c r="Z173" s="45"/>
      <c r="AA173" s="468">
        <v>0.36213386418689453</v>
      </c>
      <c r="AB173" s="456"/>
      <c r="AC173" s="46"/>
      <c r="AD173" s="46"/>
      <c r="AE173" s="46"/>
      <c r="AF173" s="46"/>
      <c r="AG173" s="46"/>
      <c r="AH173" s="46"/>
      <c r="AI173" s="457"/>
      <c r="AJ173" s="138"/>
      <c r="AK173" s="745"/>
      <c r="AL173" s="54"/>
      <c r="AM173" s="468"/>
      <c r="AN173" s="449"/>
      <c r="AO173" s="45"/>
      <c r="AP173" s="45"/>
      <c r="AQ173" s="45"/>
      <c r="AR173" s="45"/>
      <c r="AS173" s="45"/>
      <c r="AT173" s="45"/>
      <c r="AU173" s="463"/>
      <c r="AV173" s="449"/>
      <c r="AW173" s="45"/>
      <c r="AX173" s="45"/>
      <c r="AY173" s="45"/>
      <c r="AZ173" s="45"/>
      <c r="BA173" s="45"/>
      <c r="BB173" s="45"/>
      <c r="BC173" s="463"/>
      <c r="BD173" s="456"/>
      <c r="BE173" s="46"/>
      <c r="BF173" s="46"/>
      <c r="BG173" s="46"/>
      <c r="BH173" s="46"/>
      <c r="BI173" s="46"/>
      <c r="BJ173" s="457"/>
      <c r="BK173" s="449">
        <v>0</v>
      </c>
      <c r="BL173" s="45"/>
      <c r="BM173" s="45"/>
      <c r="BN173" s="45"/>
      <c r="BO173" s="45"/>
      <c r="BP173" s="45"/>
      <c r="BQ173" s="45"/>
      <c r="BR173" s="45"/>
      <c r="BS173" s="45"/>
      <c r="BT173" s="45"/>
      <c r="BU173" s="45"/>
      <c r="BV173" s="45"/>
      <c r="BW173" s="45"/>
      <c r="BX173" s="45"/>
      <c r="BY173" s="45"/>
      <c r="BZ173" s="45"/>
      <c r="CA173" s="45"/>
      <c r="CB173" s="45"/>
      <c r="CC173" s="45"/>
      <c r="CD173" s="463"/>
    </row>
    <row r="174" spans="2:82">
      <c r="B174" s="136">
        <v>165</v>
      </c>
      <c r="C174" s="138">
        <v>1</v>
      </c>
      <c r="D174" s="474">
        <v>2777.6286967655387</v>
      </c>
      <c r="E174" s="127">
        <v>231.69657281360949</v>
      </c>
      <c r="F174" s="447">
        <v>0.40032903710168588</v>
      </c>
      <c r="G174" s="127">
        <v>95.689489536921045</v>
      </c>
      <c r="H174" s="132">
        <v>50.549758171112984</v>
      </c>
      <c r="I174" s="456"/>
      <c r="J174" s="45"/>
      <c r="K174" s="45">
        <v>400</v>
      </c>
      <c r="L174" s="463"/>
      <c r="M174" s="456">
        <v>30.960559844970703</v>
      </c>
      <c r="N174" s="457"/>
      <c r="O174" s="456"/>
      <c r="P174" s="46"/>
      <c r="Q174" s="463">
        <v>54.997047424316406</v>
      </c>
      <c r="R174" s="449"/>
      <c r="S174" s="463"/>
      <c r="T174" s="480"/>
      <c r="U174" s="468"/>
      <c r="V174" s="449"/>
      <c r="W174" s="45">
        <v>1192.6571044921875</v>
      </c>
      <c r="X174" s="463">
        <v>103.47314453125</v>
      </c>
      <c r="Y174" s="449"/>
      <c r="Z174" s="45"/>
      <c r="AA174" s="468">
        <v>0.38844603028350722</v>
      </c>
      <c r="AB174" s="456"/>
      <c r="AC174" s="46"/>
      <c r="AD174" s="46"/>
      <c r="AE174" s="46"/>
      <c r="AF174" s="46"/>
      <c r="AG174" s="46"/>
      <c r="AH174" s="46"/>
      <c r="AI174" s="457"/>
      <c r="AJ174" s="138"/>
      <c r="AK174" s="745"/>
      <c r="AL174" s="54"/>
      <c r="AM174" s="468"/>
      <c r="AN174" s="449"/>
      <c r="AO174" s="45"/>
      <c r="AP174" s="45"/>
      <c r="AQ174" s="45"/>
      <c r="AR174" s="45"/>
      <c r="AS174" s="45"/>
      <c r="AT174" s="45"/>
      <c r="AU174" s="463"/>
      <c r="AV174" s="449"/>
      <c r="AW174" s="45"/>
      <c r="AX174" s="45"/>
      <c r="AY174" s="45"/>
      <c r="AZ174" s="45"/>
      <c r="BA174" s="45"/>
      <c r="BB174" s="45"/>
      <c r="BC174" s="463"/>
      <c r="BD174" s="456"/>
      <c r="BE174" s="46"/>
      <c r="BF174" s="46"/>
      <c r="BG174" s="46"/>
      <c r="BH174" s="46"/>
      <c r="BI174" s="46"/>
      <c r="BJ174" s="457"/>
      <c r="BK174" s="449">
        <v>0</v>
      </c>
      <c r="BL174" s="45"/>
      <c r="BM174" s="45"/>
      <c r="BN174" s="45"/>
      <c r="BO174" s="45"/>
      <c r="BP174" s="45"/>
      <c r="BQ174" s="45"/>
      <c r="BR174" s="45"/>
      <c r="BS174" s="45"/>
      <c r="BT174" s="45"/>
      <c r="BU174" s="45"/>
      <c r="BV174" s="45"/>
      <c r="BW174" s="45"/>
      <c r="BX174" s="45"/>
      <c r="BY174" s="45"/>
      <c r="BZ174" s="45"/>
      <c r="CA174" s="45"/>
      <c r="CB174" s="45"/>
      <c r="CC174" s="45"/>
      <c r="CD174" s="463"/>
    </row>
    <row r="175" spans="2:82">
      <c r="B175" s="136">
        <v>166</v>
      </c>
      <c r="C175" s="138">
        <v>1</v>
      </c>
      <c r="D175" s="474">
        <v>3121.3501973232155</v>
      </c>
      <c r="E175" s="127">
        <v>212.05878709042383</v>
      </c>
      <c r="F175" s="447">
        <v>0.42091254939736344</v>
      </c>
      <c r="G175" s="127">
        <v>100.60165791110346</v>
      </c>
      <c r="H175" s="132">
        <v>55.871748838567918</v>
      </c>
      <c r="I175" s="456"/>
      <c r="J175" s="45"/>
      <c r="K175" s="45">
        <v>430</v>
      </c>
      <c r="L175" s="463"/>
      <c r="M175" s="456">
        <v>32.684135437011719</v>
      </c>
      <c r="N175" s="457"/>
      <c r="O175" s="456"/>
      <c r="P175" s="46"/>
      <c r="Q175" s="463">
        <v>61.802738189697266</v>
      </c>
      <c r="R175" s="449"/>
      <c r="S175" s="463"/>
      <c r="T175" s="480"/>
      <c r="U175" s="468"/>
      <c r="V175" s="449"/>
      <c r="W175" s="45">
        <v>1371.1114501953125</v>
      </c>
      <c r="X175" s="463">
        <v>116.60475158691406</v>
      </c>
      <c r="Y175" s="449"/>
      <c r="Z175" s="45"/>
      <c r="AA175" s="468">
        <v>0.41020620474670366</v>
      </c>
      <c r="AB175" s="456"/>
      <c r="AC175" s="46"/>
      <c r="AD175" s="46"/>
      <c r="AE175" s="46"/>
      <c r="AF175" s="46"/>
      <c r="AG175" s="46"/>
      <c r="AH175" s="46"/>
      <c r="AI175" s="457"/>
      <c r="AJ175" s="138"/>
      <c r="AK175" s="745"/>
      <c r="AL175" s="54"/>
      <c r="AM175" s="468"/>
      <c r="AN175" s="449"/>
      <c r="AO175" s="45"/>
      <c r="AP175" s="45"/>
      <c r="AQ175" s="45"/>
      <c r="AR175" s="45"/>
      <c r="AS175" s="45"/>
      <c r="AT175" s="45"/>
      <c r="AU175" s="463"/>
      <c r="AV175" s="449"/>
      <c r="AW175" s="45"/>
      <c r="AX175" s="45"/>
      <c r="AY175" s="45"/>
      <c r="AZ175" s="45"/>
      <c r="BA175" s="45"/>
      <c r="BB175" s="45"/>
      <c r="BC175" s="463"/>
      <c r="BD175" s="456"/>
      <c r="BE175" s="46"/>
      <c r="BF175" s="46"/>
      <c r="BG175" s="46"/>
      <c r="BH175" s="46"/>
      <c r="BI175" s="46"/>
      <c r="BJ175" s="457"/>
      <c r="BK175" s="449">
        <v>0</v>
      </c>
      <c r="BL175" s="45"/>
      <c r="BM175" s="45"/>
      <c r="BN175" s="45"/>
      <c r="BO175" s="45"/>
      <c r="BP175" s="45"/>
      <c r="BQ175" s="45"/>
      <c r="BR175" s="45"/>
      <c r="BS175" s="45"/>
      <c r="BT175" s="45"/>
      <c r="BU175" s="45"/>
      <c r="BV175" s="45"/>
      <c r="BW175" s="45"/>
      <c r="BX175" s="45"/>
      <c r="BY175" s="45"/>
      <c r="BZ175" s="45"/>
      <c r="CA175" s="45"/>
      <c r="CB175" s="45"/>
      <c r="CC175" s="45"/>
      <c r="CD175" s="463"/>
    </row>
    <row r="176" spans="2:82">
      <c r="B176" s="136">
        <v>167</v>
      </c>
      <c r="C176" s="138">
        <v>1</v>
      </c>
      <c r="D176" s="474">
        <v>2780.3869313214891</v>
      </c>
      <c r="E176" s="127">
        <v>283.83696023614476</v>
      </c>
      <c r="F176" s="447">
        <v>0.35898424389994871</v>
      </c>
      <c r="G176" s="127">
        <v>101.91927684986054</v>
      </c>
      <c r="H176" s="132">
        <v>48.558661351711564</v>
      </c>
      <c r="I176" s="456"/>
      <c r="J176" s="45"/>
      <c r="K176" s="45">
        <v>410</v>
      </c>
      <c r="L176" s="463"/>
      <c r="M176" s="456">
        <v>28.288215637207031</v>
      </c>
      <c r="N176" s="457"/>
      <c r="O176" s="456"/>
      <c r="P176" s="46"/>
      <c r="Q176" s="463">
        <v>55.051662445068359</v>
      </c>
      <c r="R176" s="449"/>
      <c r="S176" s="463"/>
      <c r="T176" s="480"/>
      <c r="U176" s="468"/>
      <c r="V176" s="449"/>
      <c r="W176" s="45">
        <v>1086.2686767578125</v>
      </c>
      <c r="X176" s="463">
        <v>95.7801513671875</v>
      </c>
      <c r="Y176" s="449"/>
      <c r="Z176" s="45"/>
      <c r="AA176" s="468">
        <v>0.34741042857392707</v>
      </c>
      <c r="AB176" s="456"/>
      <c r="AC176" s="46"/>
      <c r="AD176" s="46"/>
      <c r="AE176" s="46"/>
      <c r="AF176" s="46"/>
      <c r="AG176" s="46"/>
      <c r="AH176" s="46"/>
      <c r="AI176" s="457"/>
      <c r="AJ176" s="138"/>
      <c r="AK176" s="745"/>
      <c r="AL176" s="54"/>
      <c r="AM176" s="468"/>
      <c r="AN176" s="449"/>
      <c r="AO176" s="45"/>
      <c r="AP176" s="45"/>
      <c r="AQ176" s="45"/>
      <c r="AR176" s="45"/>
      <c r="AS176" s="45"/>
      <c r="AT176" s="45"/>
      <c r="AU176" s="463"/>
      <c r="AV176" s="449"/>
      <c r="AW176" s="45"/>
      <c r="AX176" s="45"/>
      <c r="AY176" s="45"/>
      <c r="AZ176" s="45"/>
      <c r="BA176" s="45"/>
      <c r="BB176" s="45"/>
      <c r="BC176" s="463"/>
      <c r="BD176" s="456"/>
      <c r="BE176" s="46"/>
      <c r="BF176" s="46"/>
      <c r="BG176" s="46"/>
      <c r="BH176" s="46"/>
      <c r="BI176" s="46"/>
      <c r="BJ176" s="457"/>
      <c r="BK176" s="449">
        <v>0</v>
      </c>
      <c r="BL176" s="45"/>
      <c r="BM176" s="45"/>
      <c r="BN176" s="45"/>
      <c r="BO176" s="45"/>
      <c r="BP176" s="45"/>
      <c r="BQ176" s="45"/>
      <c r="BR176" s="45"/>
      <c r="BS176" s="45"/>
      <c r="BT176" s="45"/>
      <c r="BU176" s="45"/>
      <c r="BV176" s="45"/>
      <c r="BW176" s="45"/>
      <c r="BX176" s="45"/>
      <c r="BY176" s="45"/>
      <c r="BZ176" s="45"/>
      <c r="CA176" s="45"/>
      <c r="CB176" s="45"/>
      <c r="CC176" s="45"/>
      <c r="CD176" s="463"/>
    </row>
    <row r="177" spans="2:82">
      <c r="B177" s="136">
        <v>168</v>
      </c>
      <c r="C177" s="138">
        <v>1</v>
      </c>
      <c r="D177" s="474">
        <v>2921.1848979887136</v>
      </c>
      <c r="E177" s="127">
        <v>220.44958499878373</v>
      </c>
      <c r="F177" s="447">
        <v>0.37497902717199982</v>
      </c>
      <c r="G177" s="127">
        <v>114.48096480774163</v>
      </c>
      <c r="H177" s="132">
        <v>47.535494899233079</v>
      </c>
      <c r="I177" s="456"/>
      <c r="J177" s="45"/>
      <c r="K177" s="45">
        <v>440</v>
      </c>
      <c r="L177" s="463"/>
      <c r="M177" s="456">
        <v>30.520126342773438</v>
      </c>
      <c r="N177" s="457"/>
      <c r="O177" s="456"/>
      <c r="P177" s="46"/>
      <c r="Q177" s="463">
        <v>57.839466094970703</v>
      </c>
      <c r="R177" s="449"/>
      <c r="S177" s="463"/>
      <c r="T177" s="480"/>
      <c r="U177" s="468"/>
      <c r="V177" s="449"/>
      <c r="W177" s="45">
        <v>1226.4755859375</v>
      </c>
      <c r="X177" s="463">
        <v>106.13936614990234</v>
      </c>
      <c r="Y177" s="449"/>
      <c r="Z177" s="45"/>
      <c r="AA177" s="468">
        <v>0.36385354840966039</v>
      </c>
      <c r="AB177" s="456"/>
      <c r="AC177" s="46"/>
      <c r="AD177" s="46"/>
      <c r="AE177" s="46"/>
      <c r="AF177" s="46"/>
      <c r="AG177" s="46"/>
      <c r="AH177" s="46"/>
      <c r="AI177" s="457"/>
      <c r="AJ177" s="138"/>
      <c r="AK177" s="745"/>
      <c r="AL177" s="54"/>
      <c r="AM177" s="468"/>
      <c r="AN177" s="449"/>
      <c r="AO177" s="45"/>
      <c r="AP177" s="45"/>
      <c r="AQ177" s="45"/>
      <c r="AR177" s="45"/>
      <c r="AS177" s="45"/>
      <c r="AT177" s="45"/>
      <c r="AU177" s="463"/>
      <c r="AV177" s="449"/>
      <c r="AW177" s="45"/>
      <c r="AX177" s="45"/>
      <c r="AY177" s="45"/>
      <c r="AZ177" s="45"/>
      <c r="BA177" s="45"/>
      <c r="BB177" s="45"/>
      <c r="BC177" s="463"/>
      <c r="BD177" s="456"/>
      <c r="BE177" s="46"/>
      <c r="BF177" s="46"/>
      <c r="BG177" s="46"/>
      <c r="BH177" s="46"/>
      <c r="BI177" s="46"/>
      <c r="BJ177" s="457"/>
      <c r="BK177" s="449">
        <v>0</v>
      </c>
      <c r="BL177" s="45"/>
      <c r="BM177" s="45"/>
      <c r="BN177" s="45"/>
      <c r="BO177" s="45"/>
      <c r="BP177" s="45"/>
      <c r="BQ177" s="45"/>
      <c r="BR177" s="45"/>
      <c r="BS177" s="45"/>
      <c r="BT177" s="45"/>
      <c r="BU177" s="45"/>
      <c r="BV177" s="45"/>
      <c r="BW177" s="45"/>
      <c r="BX177" s="45"/>
      <c r="BY177" s="45"/>
      <c r="BZ177" s="45"/>
      <c r="CA177" s="45"/>
      <c r="CB177" s="45"/>
      <c r="CC177" s="45"/>
      <c r="CD177" s="463"/>
    </row>
    <row r="178" spans="2:82">
      <c r="B178" s="136">
        <v>169</v>
      </c>
      <c r="C178" s="138">
        <v>1</v>
      </c>
      <c r="D178" s="474">
        <v>3083.3462329356753</v>
      </c>
      <c r="E178" s="127">
        <v>155.95852800457865</v>
      </c>
      <c r="F178" s="447">
        <v>0.47358722137817744</v>
      </c>
      <c r="G178" s="127">
        <v>116.22505700117249</v>
      </c>
      <c r="H178" s="132">
        <v>50.677416327763183</v>
      </c>
      <c r="I178" s="456"/>
      <c r="J178" s="45"/>
      <c r="K178" s="45">
        <v>470</v>
      </c>
      <c r="L178" s="463"/>
      <c r="M178" s="456">
        <v>44.694725036621094</v>
      </c>
      <c r="N178" s="457"/>
      <c r="O178" s="456"/>
      <c r="P178" s="46"/>
      <c r="Q178" s="463">
        <v>61.050258636474609</v>
      </c>
      <c r="R178" s="449"/>
      <c r="S178" s="463"/>
      <c r="T178" s="480"/>
      <c r="U178" s="468"/>
      <c r="V178" s="449"/>
      <c r="W178" s="45">
        <v>1825.357666015625</v>
      </c>
      <c r="X178" s="463">
        <v>149.79658508300781</v>
      </c>
      <c r="Y178" s="449"/>
      <c r="Z178" s="45"/>
      <c r="AA178" s="468">
        <v>0.46240724293159774</v>
      </c>
      <c r="AB178" s="456"/>
      <c r="AC178" s="46"/>
      <c r="AD178" s="46"/>
      <c r="AE178" s="46"/>
      <c r="AF178" s="46"/>
      <c r="AG178" s="46"/>
      <c r="AH178" s="46"/>
      <c r="AI178" s="457"/>
      <c r="AJ178" s="138"/>
      <c r="AK178" s="745"/>
      <c r="AL178" s="54"/>
      <c r="AM178" s="468"/>
      <c r="AN178" s="449"/>
      <c r="AO178" s="45"/>
      <c r="AP178" s="45"/>
      <c r="AQ178" s="45"/>
      <c r="AR178" s="45"/>
      <c r="AS178" s="45"/>
      <c r="AT178" s="45"/>
      <c r="AU178" s="463"/>
      <c r="AV178" s="449"/>
      <c r="AW178" s="45"/>
      <c r="AX178" s="45"/>
      <c r="AY178" s="45"/>
      <c r="AZ178" s="45"/>
      <c r="BA178" s="45"/>
      <c r="BB178" s="45"/>
      <c r="BC178" s="463"/>
      <c r="BD178" s="456"/>
      <c r="BE178" s="46"/>
      <c r="BF178" s="46"/>
      <c r="BG178" s="46"/>
      <c r="BH178" s="46"/>
      <c r="BI178" s="46"/>
      <c r="BJ178" s="457"/>
      <c r="BK178" s="449">
        <v>0</v>
      </c>
      <c r="BL178" s="45"/>
      <c r="BM178" s="45"/>
      <c r="BN178" s="45"/>
      <c r="BO178" s="45"/>
      <c r="BP178" s="45"/>
      <c r="BQ178" s="45"/>
      <c r="BR178" s="45"/>
      <c r="BS178" s="45"/>
      <c r="BT178" s="45"/>
      <c r="BU178" s="45"/>
      <c r="BV178" s="45"/>
      <c r="BW178" s="45"/>
      <c r="BX178" s="45"/>
      <c r="BY178" s="45"/>
      <c r="BZ178" s="45"/>
      <c r="CA178" s="45"/>
      <c r="CB178" s="45"/>
      <c r="CC178" s="45"/>
      <c r="CD178" s="463"/>
    </row>
    <row r="179" spans="2:82">
      <c r="B179" s="136">
        <v>170</v>
      </c>
      <c r="C179" s="138">
        <v>1</v>
      </c>
      <c r="D179" s="474">
        <v>3145.5969017521466</v>
      </c>
      <c r="E179" s="127">
        <v>269.54789271683779</v>
      </c>
      <c r="F179" s="447">
        <v>0.36864474363092958</v>
      </c>
      <c r="G179" s="127">
        <v>126.56513339013395</v>
      </c>
      <c r="H179" s="132">
        <v>48.684849354888364</v>
      </c>
      <c r="I179" s="456"/>
      <c r="J179" s="45"/>
      <c r="K179" s="45">
        <v>480</v>
      </c>
      <c r="L179" s="463"/>
      <c r="M179" s="456">
        <v>30.163120269775391</v>
      </c>
      <c r="N179" s="457"/>
      <c r="O179" s="456"/>
      <c r="P179" s="46"/>
      <c r="Q179" s="463">
        <v>62.282821655273438</v>
      </c>
      <c r="R179" s="449"/>
      <c r="S179" s="463"/>
      <c r="T179" s="480"/>
      <c r="U179" s="468"/>
      <c r="V179" s="449"/>
      <c r="W179" s="45">
        <v>1289.980712890625</v>
      </c>
      <c r="X179" s="463">
        <v>110.91381072998047</v>
      </c>
      <c r="Y179" s="449"/>
      <c r="Z179" s="45"/>
      <c r="AA179" s="468">
        <v>0.35835324860351953</v>
      </c>
      <c r="AB179" s="456"/>
      <c r="AC179" s="46"/>
      <c r="AD179" s="46"/>
      <c r="AE179" s="46"/>
      <c r="AF179" s="46"/>
      <c r="AG179" s="46"/>
      <c r="AH179" s="46"/>
      <c r="AI179" s="457"/>
      <c r="AJ179" s="138"/>
      <c r="AK179" s="745"/>
      <c r="AL179" s="54"/>
      <c r="AM179" s="468"/>
      <c r="AN179" s="449"/>
      <c r="AO179" s="45"/>
      <c r="AP179" s="45"/>
      <c r="AQ179" s="45"/>
      <c r="AR179" s="45"/>
      <c r="AS179" s="45"/>
      <c r="AT179" s="45"/>
      <c r="AU179" s="463"/>
      <c r="AV179" s="449"/>
      <c r="AW179" s="45"/>
      <c r="AX179" s="45"/>
      <c r="AY179" s="45"/>
      <c r="AZ179" s="45"/>
      <c r="BA179" s="45"/>
      <c r="BB179" s="45"/>
      <c r="BC179" s="463"/>
      <c r="BD179" s="456"/>
      <c r="BE179" s="46"/>
      <c r="BF179" s="46"/>
      <c r="BG179" s="46"/>
      <c r="BH179" s="46"/>
      <c r="BI179" s="46"/>
      <c r="BJ179" s="457"/>
      <c r="BK179" s="449">
        <v>0</v>
      </c>
      <c r="BL179" s="45"/>
      <c r="BM179" s="45"/>
      <c r="BN179" s="45"/>
      <c r="BO179" s="45"/>
      <c r="BP179" s="45"/>
      <c r="BQ179" s="45"/>
      <c r="BR179" s="45"/>
      <c r="BS179" s="45"/>
      <c r="BT179" s="45"/>
      <c r="BU179" s="45"/>
      <c r="BV179" s="45"/>
      <c r="BW179" s="45"/>
      <c r="BX179" s="45"/>
      <c r="BY179" s="45"/>
      <c r="BZ179" s="45"/>
      <c r="CA179" s="45"/>
      <c r="CB179" s="45"/>
      <c r="CC179" s="45"/>
      <c r="CD179" s="463"/>
    </row>
    <row r="180" spans="2:82">
      <c r="B180" s="136">
        <v>171</v>
      </c>
      <c r="C180" s="138">
        <v>1</v>
      </c>
      <c r="D180" s="474">
        <v>3560.8612926981159</v>
      </c>
      <c r="E180" s="127">
        <v>229.57544391549834</v>
      </c>
      <c r="F180" s="447">
        <v>0.43523017202876063</v>
      </c>
      <c r="G180" s="127">
        <v>132.3330893831056</v>
      </c>
      <c r="H180" s="132">
        <v>62.032990284851458</v>
      </c>
      <c r="I180" s="456"/>
      <c r="J180" s="45"/>
      <c r="K180" s="45">
        <v>550</v>
      </c>
      <c r="L180" s="463"/>
      <c r="M180" s="456">
        <v>37.18145751953125</v>
      </c>
      <c r="N180" s="457"/>
      <c r="O180" s="456"/>
      <c r="P180" s="46"/>
      <c r="Q180" s="463">
        <v>78.629356384277344</v>
      </c>
      <c r="R180" s="449"/>
      <c r="S180" s="463"/>
      <c r="T180" s="480"/>
      <c r="U180" s="468"/>
      <c r="V180" s="449"/>
      <c r="W180" s="45">
        <v>1802.1060791015625</v>
      </c>
      <c r="X180" s="463">
        <v>148.46772766113281</v>
      </c>
      <c r="Y180" s="449"/>
      <c r="Z180" s="45"/>
      <c r="AA180" s="468">
        <v>0.42576487678974367</v>
      </c>
      <c r="AB180" s="456"/>
      <c r="AC180" s="46"/>
      <c r="AD180" s="46"/>
      <c r="AE180" s="46"/>
      <c r="AF180" s="46"/>
      <c r="AG180" s="46"/>
      <c r="AH180" s="46"/>
      <c r="AI180" s="457"/>
      <c r="AJ180" s="138"/>
      <c r="AK180" s="745"/>
      <c r="AL180" s="54"/>
      <c r="AM180" s="468"/>
      <c r="AN180" s="449"/>
      <c r="AO180" s="45"/>
      <c r="AP180" s="45"/>
      <c r="AQ180" s="45"/>
      <c r="AR180" s="45"/>
      <c r="AS180" s="45"/>
      <c r="AT180" s="45"/>
      <c r="AU180" s="463"/>
      <c r="AV180" s="449"/>
      <c r="AW180" s="45"/>
      <c r="AX180" s="45"/>
      <c r="AY180" s="45"/>
      <c r="AZ180" s="45"/>
      <c r="BA180" s="45"/>
      <c r="BB180" s="45"/>
      <c r="BC180" s="463"/>
      <c r="BD180" s="456"/>
      <c r="BE180" s="46"/>
      <c r="BF180" s="46"/>
      <c r="BG180" s="46"/>
      <c r="BH180" s="46"/>
      <c r="BI180" s="46"/>
      <c r="BJ180" s="457"/>
      <c r="BK180" s="449">
        <v>0</v>
      </c>
      <c r="BL180" s="45"/>
      <c r="BM180" s="45"/>
      <c r="BN180" s="45"/>
      <c r="BO180" s="45"/>
      <c r="BP180" s="45"/>
      <c r="BQ180" s="45"/>
      <c r="BR180" s="45"/>
      <c r="BS180" s="45"/>
      <c r="BT180" s="45"/>
      <c r="BU180" s="45"/>
      <c r="BV180" s="45"/>
      <c r="BW180" s="45"/>
      <c r="BX180" s="45"/>
      <c r="BY180" s="45"/>
      <c r="BZ180" s="45"/>
      <c r="CA180" s="45"/>
      <c r="CB180" s="45"/>
      <c r="CC180" s="45"/>
      <c r="CD180" s="463"/>
    </row>
    <row r="181" spans="2:82">
      <c r="B181" s="136">
        <v>172</v>
      </c>
      <c r="C181" s="138">
        <v>1</v>
      </c>
      <c r="D181" s="474">
        <v>2921.1194603135</v>
      </c>
      <c r="E181" s="127">
        <v>262.91123391572143</v>
      </c>
      <c r="F181" s="447">
        <v>0.46028338290888066</v>
      </c>
      <c r="G181" s="127">
        <v>107.72089334589515</v>
      </c>
      <c r="H181" s="132">
        <v>49.841914042543848</v>
      </c>
      <c r="I181" s="456"/>
      <c r="J181" s="45"/>
      <c r="K181" s="45">
        <v>440</v>
      </c>
      <c r="L181" s="463"/>
      <c r="M181" s="456">
        <v>40.834400177001953</v>
      </c>
      <c r="N181" s="457"/>
      <c r="O181" s="456"/>
      <c r="P181" s="46"/>
      <c r="Q181" s="463">
        <v>57.838169097900391</v>
      </c>
      <c r="R181" s="449"/>
      <c r="S181" s="463"/>
      <c r="T181" s="480"/>
      <c r="U181" s="468"/>
      <c r="V181" s="449"/>
      <c r="W181" s="45">
        <v>1619.7274169921875</v>
      </c>
      <c r="X181" s="463">
        <v>134.71273803710937</v>
      </c>
      <c r="Y181" s="449"/>
      <c r="Z181" s="45"/>
      <c r="AA181" s="468">
        <v>0.44857360242133199</v>
      </c>
      <c r="AB181" s="456"/>
      <c r="AC181" s="46"/>
      <c r="AD181" s="46"/>
      <c r="AE181" s="46"/>
      <c r="AF181" s="46"/>
      <c r="AG181" s="46"/>
      <c r="AH181" s="46"/>
      <c r="AI181" s="457"/>
      <c r="AJ181" s="138"/>
      <c r="AK181" s="745"/>
      <c r="AL181" s="54"/>
      <c r="AM181" s="468"/>
      <c r="AN181" s="449"/>
      <c r="AO181" s="45"/>
      <c r="AP181" s="45"/>
      <c r="AQ181" s="45"/>
      <c r="AR181" s="45"/>
      <c r="AS181" s="45"/>
      <c r="AT181" s="45"/>
      <c r="AU181" s="463"/>
      <c r="AV181" s="449"/>
      <c r="AW181" s="45"/>
      <c r="AX181" s="45"/>
      <c r="AY181" s="45"/>
      <c r="AZ181" s="45"/>
      <c r="BA181" s="45"/>
      <c r="BB181" s="45"/>
      <c r="BC181" s="463"/>
      <c r="BD181" s="456"/>
      <c r="BE181" s="46"/>
      <c r="BF181" s="46"/>
      <c r="BG181" s="46"/>
      <c r="BH181" s="46"/>
      <c r="BI181" s="46"/>
      <c r="BJ181" s="457"/>
      <c r="BK181" s="449">
        <v>0</v>
      </c>
      <c r="BL181" s="45"/>
      <c r="BM181" s="45"/>
      <c r="BN181" s="45"/>
      <c r="BO181" s="45"/>
      <c r="BP181" s="45"/>
      <c r="BQ181" s="45"/>
      <c r="BR181" s="45"/>
      <c r="BS181" s="45"/>
      <c r="BT181" s="45"/>
      <c r="BU181" s="45"/>
      <c r="BV181" s="45"/>
      <c r="BW181" s="45"/>
      <c r="BX181" s="45"/>
      <c r="BY181" s="45"/>
      <c r="BZ181" s="45"/>
      <c r="CA181" s="45"/>
      <c r="CB181" s="45"/>
      <c r="CC181" s="45"/>
      <c r="CD181" s="463"/>
    </row>
    <row r="182" spans="2:82">
      <c r="B182" s="136">
        <v>173</v>
      </c>
      <c r="C182" s="138">
        <v>1</v>
      </c>
      <c r="D182" s="474">
        <v>3164.9608616369242</v>
      </c>
      <c r="E182" s="127">
        <v>252.08670723108824</v>
      </c>
      <c r="F182" s="447">
        <v>0.38218280131677645</v>
      </c>
      <c r="G182" s="127">
        <v>102.73883071404414</v>
      </c>
      <c r="H182" s="132">
        <v>56.091266651971253</v>
      </c>
      <c r="I182" s="456"/>
      <c r="J182" s="45"/>
      <c r="K182" s="45">
        <v>430</v>
      </c>
      <c r="L182" s="463"/>
      <c r="M182" s="456">
        <v>28.553623199462891</v>
      </c>
      <c r="N182" s="457"/>
      <c r="O182" s="456"/>
      <c r="P182" s="46"/>
      <c r="Q182" s="463">
        <v>62.666229248046875</v>
      </c>
      <c r="R182" s="449"/>
      <c r="S182" s="463"/>
      <c r="T182" s="480"/>
      <c r="U182" s="468"/>
      <c r="V182" s="449"/>
      <c r="W182" s="45">
        <v>1220.7716064453125</v>
      </c>
      <c r="X182" s="463">
        <v>105.68093109130859</v>
      </c>
      <c r="Y182" s="449"/>
      <c r="Z182" s="45"/>
      <c r="AA182" s="468">
        <v>0.37186872242183172</v>
      </c>
      <c r="AB182" s="456"/>
      <c r="AC182" s="46"/>
      <c r="AD182" s="46"/>
      <c r="AE182" s="46"/>
      <c r="AF182" s="46"/>
      <c r="AG182" s="46"/>
      <c r="AH182" s="46"/>
      <c r="AI182" s="457"/>
      <c r="AJ182" s="138"/>
      <c r="AK182" s="745"/>
      <c r="AL182" s="54"/>
      <c r="AM182" s="468"/>
      <c r="AN182" s="449"/>
      <c r="AO182" s="45"/>
      <c r="AP182" s="45"/>
      <c r="AQ182" s="45"/>
      <c r="AR182" s="45"/>
      <c r="AS182" s="45"/>
      <c r="AT182" s="45"/>
      <c r="AU182" s="463"/>
      <c r="AV182" s="449"/>
      <c r="AW182" s="45"/>
      <c r="AX182" s="45"/>
      <c r="AY182" s="45"/>
      <c r="AZ182" s="45"/>
      <c r="BA182" s="45"/>
      <c r="BB182" s="45"/>
      <c r="BC182" s="463"/>
      <c r="BD182" s="456"/>
      <c r="BE182" s="46"/>
      <c r="BF182" s="46"/>
      <c r="BG182" s="46"/>
      <c r="BH182" s="46"/>
      <c r="BI182" s="46"/>
      <c r="BJ182" s="457"/>
      <c r="BK182" s="449">
        <v>0</v>
      </c>
      <c r="BL182" s="45"/>
      <c r="BM182" s="45"/>
      <c r="BN182" s="45"/>
      <c r="BO182" s="45"/>
      <c r="BP182" s="45"/>
      <c r="BQ182" s="45"/>
      <c r="BR182" s="45"/>
      <c r="BS182" s="45"/>
      <c r="BT182" s="45"/>
      <c r="BU182" s="45"/>
      <c r="BV182" s="45"/>
      <c r="BW182" s="45"/>
      <c r="BX182" s="45"/>
      <c r="BY182" s="45"/>
      <c r="BZ182" s="45"/>
      <c r="CA182" s="45"/>
      <c r="CB182" s="45"/>
      <c r="CC182" s="45"/>
      <c r="CD182" s="463"/>
    </row>
    <row r="183" spans="2:82">
      <c r="B183" s="136">
        <v>174</v>
      </c>
      <c r="C183" s="138">
        <v>1</v>
      </c>
      <c r="D183" s="474">
        <v>2888.7861964728004</v>
      </c>
      <c r="E183" s="127">
        <v>238.42685944816876</v>
      </c>
      <c r="F183" s="447">
        <v>0.37389111616176279</v>
      </c>
      <c r="G183" s="127">
        <v>121.38269441144918</v>
      </c>
      <c r="H183" s="132">
        <v>53.33041441534948</v>
      </c>
      <c r="I183" s="456"/>
      <c r="J183" s="45"/>
      <c r="K183" s="45">
        <v>480</v>
      </c>
      <c r="L183" s="463"/>
      <c r="M183" s="456">
        <v>29.662078857421875</v>
      </c>
      <c r="N183" s="457"/>
      <c r="O183" s="456"/>
      <c r="P183" s="46"/>
      <c r="Q183" s="463">
        <v>65.103988647460938</v>
      </c>
      <c r="R183" s="449"/>
      <c r="S183" s="463"/>
      <c r="T183" s="480"/>
      <c r="U183" s="468"/>
      <c r="V183" s="449"/>
      <c r="W183" s="45">
        <v>1310.2130126953125</v>
      </c>
      <c r="X183" s="463">
        <v>112.39231109619141</v>
      </c>
      <c r="Y183" s="449"/>
      <c r="Z183" s="45"/>
      <c r="AA183" s="468">
        <v>0.3626483934005939</v>
      </c>
      <c r="AB183" s="456"/>
      <c r="AC183" s="46"/>
      <c r="AD183" s="46"/>
      <c r="AE183" s="46"/>
      <c r="AF183" s="46"/>
      <c r="AG183" s="46"/>
      <c r="AH183" s="46"/>
      <c r="AI183" s="457"/>
      <c r="AJ183" s="138"/>
      <c r="AK183" s="745"/>
      <c r="AL183" s="54"/>
      <c r="AM183" s="468"/>
      <c r="AN183" s="449"/>
      <c r="AO183" s="45"/>
      <c r="AP183" s="45"/>
      <c r="AQ183" s="45"/>
      <c r="AR183" s="45"/>
      <c r="AS183" s="45"/>
      <c r="AT183" s="45"/>
      <c r="AU183" s="463"/>
      <c r="AV183" s="449"/>
      <c r="AW183" s="45"/>
      <c r="AX183" s="45"/>
      <c r="AY183" s="45"/>
      <c r="AZ183" s="45"/>
      <c r="BA183" s="45"/>
      <c r="BB183" s="45"/>
      <c r="BC183" s="463"/>
      <c r="BD183" s="456"/>
      <c r="BE183" s="46"/>
      <c r="BF183" s="46"/>
      <c r="BG183" s="46"/>
      <c r="BH183" s="46"/>
      <c r="BI183" s="46"/>
      <c r="BJ183" s="457"/>
      <c r="BK183" s="449">
        <v>0</v>
      </c>
      <c r="BL183" s="45"/>
      <c r="BM183" s="45"/>
      <c r="BN183" s="45"/>
      <c r="BO183" s="45"/>
      <c r="BP183" s="45"/>
      <c r="BQ183" s="45"/>
      <c r="BR183" s="45"/>
      <c r="BS183" s="45"/>
      <c r="BT183" s="45"/>
      <c r="BU183" s="45"/>
      <c r="BV183" s="45"/>
      <c r="BW183" s="45"/>
      <c r="BX183" s="45"/>
      <c r="BY183" s="45"/>
      <c r="BZ183" s="45"/>
      <c r="CA183" s="45"/>
      <c r="CB183" s="45"/>
      <c r="CC183" s="45"/>
      <c r="CD183" s="463"/>
    </row>
    <row r="184" spans="2:82">
      <c r="B184" s="136">
        <v>175</v>
      </c>
      <c r="C184" s="138">
        <v>1</v>
      </c>
      <c r="D184" s="474">
        <v>3802.9465286191084</v>
      </c>
      <c r="E184" s="127">
        <v>260.49914674543282</v>
      </c>
      <c r="F184" s="447">
        <v>0.38335672677109167</v>
      </c>
      <c r="G184" s="127">
        <v>131.43215323925335</v>
      </c>
      <c r="H184" s="132">
        <v>59.71285837630154</v>
      </c>
      <c r="I184" s="456"/>
      <c r="J184" s="45"/>
      <c r="K184" s="45">
        <v>540</v>
      </c>
      <c r="L184" s="463"/>
      <c r="M184" s="456">
        <v>30.54747200012207</v>
      </c>
      <c r="N184" s="457"/>
      <c r="O184" s="456"/>
      <c r="P184" s="46"/>
      <c r="Q184" s="463">
        <v>75.298347473144531</v>
      </c>
      <c r="R184" s="449"/>
      <c r="S184" s="463"/>
      <c r="T184" s="480"/>
      <c r="U184" s="468"/>
      <c r="V184" s="449"/>
      <c r="W184" s="45">
        <v>1475.4744873046875</v>
      </c>
      <c r="X184" s="463">
        <v>124.64277648925781</v>
      </c>
      <c r="Y184" s="449"/>
      <c r="Z184" s="45"/>
      <c r="AA184" s="468">
        <v>0.3747667730892334</v>
      </c>
      <c r="AB184" s="456"/>
      <c r="AC184" s="46"/>
      <c r="AD184" s="46"/>
      <c r="AE184" s="46"/>
      <c r="AF184" s="46"/>
      <c r="AG184" s="46"/>
      <c r="AH184" s="46"/>
      <c r="AI184" s="457"/>
      <c r="AJ184" s="138"/>
      <c r="AK184" s="745"/>
      <c r="AL184" s="54"/>
      <c r="AM184" s="468"/>
      <c r="AN184" s="449"/>
      <c r="AO184" s="45"/>
      <c r="AP184" s="45"/>
      <c r="AQ184" s="45"/>
      <c r="AR184" s="45"/>
      <c r="AS184" s="45"/>
      <c r="AT184" s="45"/>
      <c r="AU184" s="463"/>
      <c r="AV184" s="449"/>
      <c r="AW184" s="45"/>
      <c r="AX184" s="45"/>
      <c r="AY184" s="45"/>
      <c r="AZ184" s="45"/>
      <c r="BA184" s="45"/>
      <c r="BB184" s="45"/>
      <c r="BC184" s="463"/>
      <c r="BD184" s="456"/>
      <c r="BE184" s="46"/>
      <c r="BF184" s="46"/>
      <c r="BG184" s="46"/>
      <c r="BH184" s="46"/>
      <c r="BI184" s="46"/>
      <c r="BJ184" s="457"/>
      <c r="BK184" s="449">
        <v>0</v>
      </c>
      <c r="BL184" s="45"/>
      <c r="BM184" s="45"/>
      <c r="BN184" s="45"/>
      <c r="BO184" s="45"/>
      <c r="BP184" s="45"/>
      <c r="BQ184" s="45"/>
      <c r="BR184" s="45"/>
      <c r="BS184" s="45"/>
      <c r="BT184" s="45"/>
      <c r="BU184" s="45"/>
      <c r="BV184" s="45"/>
      <c r="BW184" s="45"/>
      <c r="BX184" s="45"/>
      <c r="BY184" s="45"/>
      <c r="BZ184" s="45"/>
      <c r="CA184" s="45"/>
      <c r="CB184" s="45"/>
      <c r="CC184" s="45"/>
      <c r="CD184" s="463"/>
    </row>
    <row r="185" spans="2:82">
      <c r="B185" s="136">
        <v>176</v>
      </c>
      <c r="C185" s="138">
        <v>1</v>
      </c>
      <c r="D185" s="474">
        <v>3812.7879925541906</v>
      </c>
      <c r="E185" s="127">
        <v>279.5743837224303</v>
      </c>
      <c r="F185" s="447">
        <v>0.39621517782911442</v>
      </c>
      <c r="G185" s="127">
        <v>127.08290637160336</v>
      </c>
      <c r="H185" s="132">
        <v>60.832173392166993</v>
      </c>
      <c r="I185" s="456"/>
      <c r="J185" s="45"/>
      <c r="K185" s="45">
        <v>530</v>
      </c>
      <c r="L185" s="463"/>
      <c r="M185" s="456">
        <v>31.32135009765625</v>
      </c>
      <c r="N185" s="457"/>
      <c r="O185" s="456"/>
      <c r="P185" s="46"/>
      <c r="Q185" s="463">
        <v>75.493202209472656</v>
      </c>
      <c r="R185" s="449"/>
      <c r="S185" s="463"/>
      <c r="T185" s="480"/>
      <c r="U185" s="468"/>
      <c r="V185" s="449"/>
      <c r="W185" s="45">
        <v>1505.24267578125</v>
      </c>
      <c r="X185" s="463">
        <v>126.76104736328125</v>
      </c>
      <c r="Y185" s="449"/>
      <c r="Z185" s="45"/>
      <c r="AA185" s="468">
        <v>0.38757994722597611</v>
      </c>
      <c r="AB185" s="456"/>
      <c r="AC185" s="46"/>
      <c r="AD185" s="46"/>
      <c r="AE185" s="46"/>
      <c r="AF185" s="46"/>
      <c r="AG185" s="46"/>
      <c r="AH185" s="46"/>
      <c r="AI185" s="457"/>
      <c r="AJ185" s="138"/>
      <c r="AK185" s="745"/>
      <c r="AL185" s="54"/>
      <c r="AM185" s="468"/>
      <c r="AN185" s="449"/>
      <c r="AO185" s="45"/>
      <c r="AP185" s="45"/>
      <c r="AQ185" s="45"/>
      <c r="AR185" s="45"/>
      <c r="AS185" s="45"/>
      <c r="AT185" s="45"/>
      <c r="AU185" s="463"/>
      <c r="AV185" s="449"/>
      <c r="AW185" s="45"/>
      <c r="AX185" s="45"/>
      <c r="AY185" s="45"/>
      <c r="AZ185" s="45"/>
      <c r="BA185" s="45"/>
      <c r="BB185" s="45"/>
      <c r="BC185" s="463"/>
      <c r="BD185" s="456"/>
      <c r="BE185" s="46"/>
      <c r="BF185" s="46"/>
      <c r="BG185" s="46"/>
      <c r="BH185" s="46"/>
      <c r="BI185" s="46"/>
      <c r="BJ185" s="457"/>
      <c r="BK185" s="449">
        <v>0</v>
      </c>
      <c r="BL185" s="45"/>
      <c r="BM185" s="45"/>
      <c r="BN185" s="45"/>
      <c r="BO185" s="45"/>
      <c r="BP185" s="45"/>
      <c r="BQ185" s="45"/>
      <c r="BR185" s="45"/>
      <c r="BS185" s="45"/>
      <c r="BT185" s="45"/>
      <c r="BU185" s="45"/>
      <c r="BV185" s="45"/>
      <c r="BW185" s="45"/>
      <c r="BX185" s="45"/>
      <c r="BY185" s="45"/>
      <c r="BZ185" s="45"/>
      <c r="CA185" s="45"/>
      <c r="CB185" s="45"/>
      <c r="CC185" s="45"/>
      <c r="CD185" s="463"/>
    </row>
    <row r="186" spans="2:82">
      <c r="B186" s="136">
        <v>177</v>
      </c>
      <c r="C186" s="138">
        <v>1</v>
      </c>
      <c r="D186" s="474">
        <v>3452.1135711072402</v>
      </c>
      <c r="E186" s="127">
        <v>191.22816953787134</v>
      </c>
      <c r="F186" s="447">
        <v>0.45093030027782288</v>
      </c>
      <c r="G186" s="127">
        <v>132.3721723665472</v>
      </c>
      <c r="H186" s="132">
        <v>53.400247922728788</v>
      </c>
      <c r="I186" s="456"/>
      <c r="J186" s="45"/>
      <c r="K186" s="45">
        <v>530</v>
      </c>
      <c r="L186" s="463"/>
      <c r="M186" s="456">
        <v>41.739891052246094</v>
      </c>
      <c r="N186" s="457"/>
      <c r="O186" s="456"/>
      <c r="P186" s="46"/>
      <c r="Q186" s="463">
        <v>68.351852416992187</v>
      </c>
      <c r="R186" s="449"/>
      <c r="S186" s="463"/>
      <c r="T186" s="480"/>
      <c r="U186" s="468"/>
      <c r="V186" s="449"/>
      <c r="W186" s="45">
        <v>1848.009765625</v>
      </c>
      <c r="X186" s="463">
        <v>151.69306945800781</v>
      </c>
      <c r="Y186" s="449"/>
      <c r="Z186" s="45"/>
      <c r="AA186" s="468">
        <v>0.44107587188060032</v>
      </c>
      <c r="AB186" s="456"/>
      <c r="AC186" s="46"/>
      <c r="AD186" s="46"/>
      <c r="AE186" s="46"/>
      <c r="AF186" s="46"/>
      <c r="AG186" s="46"/>
      <c r="AH186" s="46"/>
      <c r="AI186" s="457"/>
      <c r="AJ186" s="138"/>
      <c r="AK186" s="745"/>
      <c r="AL186" s="54"/>
      <c r="AM186" s="468"/>
      <c r="AN186" s="449"/>
      <c r="AO186" s="45"/>
      <c r="AP186" s="45"/>
      <c r="AQ186" s="45"/>
      <c r="AR186" s="45"/>
      <c r="AS186" s="45"/>
      <c r="AT186" s="45"/>
      <c r="AU186" s="463"/>
      <c r="AV186" s="449"/>
      <c r="AW186" s="45"/>
      <c r="AX186" s="45"/>
      <c r="AY186" s="45"/>
      <c r="AZ186" s="45"/>
      <c r="BA186" s="45"/>
      <c r="BB186" s="45"/>
      <c r="BC186" s="463"/>
      <c r="BD186" s="456"/>
      <c r="BE186" s="46"/>
      <c r="BF186" s="46"/>
      <c r="BG186" s="46"/>
      <c r="BH186" s="46"/>
      <c r="BI186" s="46"/>
      <c r="BJ186" s="457"/>
      <c r="BK186" s="449">
        <v>0</v>
      </c>
      <c r="BL186" s="45"/>
      <c r="BM186" s="45"/>
      <c r="BN186" s="45"/>
      <c r="BO186" s="45"/>
      <c r="BP186" s="45"/>
      <c r="BQ186" s="45"/>
      <c r="BR186" s="45"/>
      <c r="BS186" s="45"/>
      <c r="BT186" s="45"/>
      <c r="BU186" s="45"/>
      <c r="BV186" s="45"/>
      <c r="BW186" s="45"/>
      <c r="BX186" s="45"/>
      <c r="BY186" s="45"/>
      <c r="BZ186" s="45"/>
      <c r="CA186" s="45"/>
      <c r="CB186" s="45"/>
      <c r="CC186" s="45"/>
      <c r="CD186" s="463"/>
    </row>
    <row r="187" spans="2:82">
      <c r="B187" s="136">
        <v>178</v>
      </c>
      <c r="C187" s="138">
        <v>1</v>
      </c>
      <c r="D187" s="474">
        <v>3146.0223031401679</v>
      </c>
      <c r="E187" s="127">
        <v>283.24057456608591</v>
      </c>
      <c r="F187" s="447">
        <v>0.40252835636009771</v>
      </c>
      <c r="G187" s="127">
        <v>102.14635356025354</v>
      </c>
      <c r="H187" s="132">
        <v>55.909369495797506</v>
      </c>
      <c r="I187" s="456"/>
      <c r="J187" s="45"/>
      <c r="K187" s="45">
        <v>430</v>
      </c>
      <c r="L187" s="463"/>
      <c r="M187" s="456">
        <v>30.456501007080078</v>
      </c>
      <c r="N187" s="457"/>
      <c r="O187" s="456"/>
      <c r="P187" s="46"/>
      <c r="Q187" s="463">
        <v>62.291244506835937</v>
      </c>
      <c r="R187" s="449"/>
      <c r="S187" s="463"/>
      <c r="T187" s="480"/>
      <c r="U187" s="468"/>
      <c r="V187" s="449"/>
      <c r="W187" s="45">
        <v>1292.257080078125</v>
      </c>
      <c r="X187" s="463">
        <v>110.87135314941406</v>
      </c>
      <c r="Y187" s="449"/>
      <c r="Z187" s="45"/>
      <c r="AA187" s="468">
        <v>0.392022846880965</v>
      </c>
      <c r="AB187" s="456"/>
      <c r="AC187" s="46"/>
      <c r="AD187" s="46"/>
      <c r="AE187" s="46"/>
      <c r="AF187" s="46"/>
      <c r="AG187" s="46"/>
      <c r="AH187" s="46"/>
      <c r="AI187" s="457"/>
      <c r="AJ187" s="138"/>
      <c r="AK187" s="745"/>
      <c r="AL187" s="54"/>
      <c r="AM187" s="468"/>
      <c r="AN187" s="449"/>
      <c r="AO187" s="45"/>
      <c r="AP187" s="45"/>
      <c r="AQ187" s="45"/>
      <c r="AR187" s="45"/>
      <c r="AS187" s="45"/>
      <c r="AT187" s="45"/>
      <c r="AU187" s="463"/>
      <c r="AV187" s="449"/>
      <c r="AW187" s="45"/>
      <c r="AX187" s="45"/>
      <c r="AY187" s="45"/>
      <c r="AZ187" s="45"/>
      <c r="BA187" s="45"/>
      <c r="BB187" s="45"/>
      <c r="BC187" s="463"/>
      <c r="BD187" s="456"/>
      <c r="BE187" s="46"/>
      <c r="BF187" s="46"/>
      <c r="BG187" s="46"/>
      <c r="BH187" s="46"/>
      <c r="BI187" s="46"/>
      <c r="BJ187" s="457"/>
      <c r="BK187" s="449">
        <v>0</v>
      </c>
      <c r="BL187" s="45"/>
      <c r="BM187" s="45"/>
      <c r="BN187" s="45"/>
      <c r="BO187" s="45"/>
      <c r="BP187" s="45"/>
      <c r="BQ187" s="45"/>
      <c r="BR187" s="45"/>
      <c r="BS187" s="45"/>
      <c r="BT187" s="45"/>
      <c r="BU187" s="45"/>
      <c r="BV187" s="45"/>
      <c r="BW187" s="45"/>
      <c r="BX187" s="45"/>
      <c r="BY187" s="45"/>
      <c r="BZ187" s="45"/>
      <c r="CA187" s="45"/>
      <c r="CB187" s="45"/>
      <c r="CC187" s="45"/>
      <c r="CD187" s="463"/>
    </row>
    <row r="188" spans="2:82">
      <c r="B188" s="136">
        <v>179</v>
      </c>
      <c r="C188" s="138">
        <v>1</v>
      </c>
      <c r="D188" s="474">
        <v>3184.0462388373999</v>
      </c>
      <c r="E188" s="127">
        <v>214.21381719500368</v>
      </c>
      <c r="F188" s="447">
        <v>0.39727439150992239</v>
      </c>
      <c r="G188" s="127">
        <v>98.661722332041464</v>
      </c>
      <c r="H188" s="132">
        <v>57.443725187494337</v>
      </c>
      <c r="I188" s="456"/>
      <c r="J188" s="45"/>
      <c r="K188" s="45">
        <v>430</v>
      </c>
      <c r="L188" s="463"/>
      <c r="M188" s="456">
        <v>29.469802856445313</v>
      </c>
      <c r="N188" s="457"/>
      <c r="O188" s="456"/>
      <c r="P188" s="46"/>
      <c r="Q188" s="463">
        <v>63.044120788574219</v>
      </c>
      <c r="R188" s="449"/>
      <c r="S188" s="463"/>
      <c r="T188" s="480"/>
      <c r="U188" s="468"/>
      <c r="V188" s="449"/>
      <c r="W188" s="45">
        <v>1261.4888916015625</v>
      </c>
      <c r="X188" s="463">
        <v>108.61927795410156</v>
      </c>
      <c r="Y188" s="449"/>
      <c r="Z188" s="45"/>
      <c r="AA188" s="468">
        <v>0.38692734082066232</v>
      </c>
      <c r="AB188" s="456"/>
      <c r="AC188" s="46"/>
      <c r="AD188" s="46"/>
      <c r="AE188" s="46"/>
      <c r="AF188" s="46"/>
      <c r="AG188" s="46"/>
      <c r="AH188" s="46"/>
      <c r="AI188" s="457"/>
      <c r="AJ188" s="138"/>
      <c r="AK188" s="745"/>
      <c r="AL188" s="54"/>
      <c r="AM188" s="468"/>
      <c r="AN188" s="449"/>
      <c r="AO188" s="45"/>
      <c r="AP188" s="45"/>
      <c r="AQ188" s="45"/>
      <c r="AR188" s="45"/>
      <c r="AS188" s="45"/>
      <c r="AT188" s="45"/>
      <c r="AU188" s="463"/>
      <c r="AV188" s="449"/>
      <c r="AW188" s="45"/>
      <c r="AX188" s="45"/>
      <c r="AY188" s="45"/>
      <c r="AZ188" s="45"/>
      <c r="BA188" s="45"/>
      <c r="BB188" s="45"/>
      <c r="BC188" s="463"/>
      <c r="BD188" s="456"/>
      <c r="BE188" s="46"/>
      <c r="BF188" s="46"/>
      <c r="BG188" s="46"/>
      <c r="BH188" s="46"/>
      <c r="BI188" s="46"/>
      <c r="BJ188" s="457"/>
      <c r="BK188" s="449">
        <v>0</v>
      </c>
      <c r="BL188" s="45"/>
      <c r="BM188" s="45"/>
      <c r="BN188" s="45"/>
      <c r="BO188" s="45"/>
      <c r="BP188" s="45"/>
      <c r="BQ188" s="45"/>
      <c r="BR188" s="45"/>
      <c r="BS188" s="45"/>
      <c r="BT188" s="45"/>
      <c r="BU188" s="45"/>
      <c r="BV188" s="45"/>
      <c r="BW188" s="45"/>
      <c r="BX188" s="45"/>
      <c r="BY188" s="45"/>
      <c r="BZ188" s="45"/>
      <c r="CA188" s="45"/>
      <c r="CB188" s="45"/>
      <c r="CC188" s="45"/>
      <c r="CD188" s="463"/>
    </row>
    <row r="189" spans="2:82">
      <c r="B189" s="136">
        <v>180</v>
      </c>
      <c r="C189" s="138">
        <v>1</v>
      </c>
      <c r="D189" s="474">
        <v>3236.4101835076472</v>
      </c>
      <c r="E189" s="127">
        <v>299.98966890427471</v>
      </c>
      <c r="F189" s="447">
        <v>0.3603454465558984</v>
      </c>
      <c r="G189" s="127">
        <v>112.45080498739023</v>
      </c>
      <c r="H189" s="132">
        <v>61.64132253773392</v>
      </c>
      <c r="I189" s="456"/>
      <c r="J189" s="45"/>
      <c r="K189" s="45">
        <v>480</v>
      </c>
      <c r="L189" s="463"/>
      <c r="M189" s="456">
        <v>26.581489562988281</v>
      </c>
      <c r="N189" s="457"/>
      <c r="O189" s="456"/>
      <c r="P189" s="46"/>
      <c r="Q189" s="463">
        <v>72.346946716308594</v>
      </c>
      <c r="R189" s="449"/>
      <c r="S189" s="463"/>
      <c r="T189" s="480"/>
      <c r="U189" s="468"/>
      <c r="V189" s="449"/>
      <c r="W189" s="45">
        <v>1259.273193359375</v>
      </c>
      <c r="X189" s="463">
        <v>108.69410705566406</v>
      </c>
      <c r="Y189" s="449"/>
      <c r="Z189" s="45"/>
      <c r="AA189" s="468">
        <v>0.35039401669844689</v>
      </c>
      <c r="AB189" s="456"/>
      <c r="AC189" s="46"/>
      <c r="AD189" s="46"/>
      <c r="AE189" s="46"/>
      <c r="AF189" s="46"/>
      <c r="AG189" s="46"/>
      <c r="AH189" s="46"/>
      <c r="AI189" s="457"/>
      <c r="AJ189" s="138"/>
      <c r="AK189" s="745"/>
      <c r="AL189" s="54"/>
      <c r="AM189" s="468"/>
      <c r="AN189" s="449"/>
      <c r="AO189" s="45"/>
      <c r="AP189" s="45"/>
      <c r="AQ189" s="45"/>
      <c r="AR189" s="45"/>
      <c r="AS189" s="45"/>
      <c r="AT189" s="45"/>
      <c r="AU189" s="463"/>
      <c r="AV189" s="449"/>
      <c r="AW189" s="45"/>
      <c r="AX189" s="45"/>
      <c r="AY189" s="45"/>
      <c r="AZ189" s="45"/>
      <c r="BA189" s="45"/>
      <c r="BB189" s="45"/>
      <c r="BC189" s="463"/>
      <c r="BD189" s="456"/>
      <c r="BE189" s="46"/>
      <c r="BF189" s="46"/>
      <c r="BG189" s="46"/>
      <c r="BH189" s="46"/>
      <c r="BI189" s="46"/>
      <c r="BJ189" s="457"/>
      <c r="BK189" s="449">
        <v>0</v>
      </c>
      <c r="BL189" s="45"/>
      <c r="BM189" s="45"/>
      <c r="BN189" s="45"/>
      <c r="BO189" s="45"/>
      <c r="BP189" s="45"/>
      <c r="BQ189" s="45"/>
      <c r="BR189" s="45"/>
      <c r="BS189" s="45"/>
      <c r="BT189" s="45"/>
      <c r="BU189" s="45"/>
      <c r="BV189" s="45"/>
      <c r="BW189" s="45"/>
      <c r="BX189" s="45"/>
      <c r="BY189" s="45"/>
      <c r="BZ189" s="45"/>
      <c r="CA189" s="45"/>
      <c r="CB189" s="45"/>
      <c r="CC189" s="45"/>
      <c r="CD189" s="463"/>
    </row>
    <row r="190" spans="2:82">
      <c r="B190" s="136">
        <v>181</v>
      </c>
      <c r="C190" s="138">
        <v>1</v>
      </c>
      <c r="D190" s="474">
        <v>2986.8299556720008</v>
      </c>
      <c r="E190" s="127">
        <v>231.07220231896463</v>
      </c>
      <c r="F190" s="447">
        <v>0.41555621674722232</v>
      </c>
      <c r="G190" s="127">
        <v>105.26578170904308</v>
      </c>
      <c r="H190" s="132">
        <v>59.431024273320382</v>
      </c>
      <c r="I190" s="456"/>
      <c r="J190" s="45"/>
      <c r="K190" s="45">
        <v>460</v>
      </c>
      <c r="L190" s="463"/>
      <c r="M190" s="456">
        <v>31.88648796081543</v>
      </c>
      <c r="N190" s="457"/>
      <c r="O190" s="456"/>
      <c r="P190" s="46"/>
      <c r="Q190" s="463">
        <v>67.376991271972656</v>
      </c>
      <c r="R190" s="449"/>
      <c r="S190" s="463"/>
      <c r="T190" s="480"/>
      <c r="U190" s="468"/>
      <c r="V190" s="449"/>
      <c r="W190" s="45">
        <v>1414.2139892578125</v>
      </c>
      <c r="X190" s="463">
        <v>119.84872436523437</v>
      </c>
      <c r="Y190" s="449"/>
      <c r="Z190" s="45"/>
      <c r="AA190" s="468">
        <v>0.4044035482561063</v>
      </c>
      <c r="AB190" s="456"/>
      <c r="AC190" s="46"/>
      <c r="AD190" s="46"/>
      <c r="AE190" s="46"/>
      <c r="AF190" s="46"/>
      <c r="AG190" s="46"/>
      <c r="AH190" s="46"/>
      <c r="AI190" s="457"/>
      <c r="AJ190" s="138"/>
      <c r="AK190" s="745"/>
      <c r="AL190" s="54"/>
      <c r="AM190" s="468"/>
      <c r="AN190" s="449"/>
      <c r="AO190" s="45"/>
      <c r="AP190" s="45"/>
      <c r="AQ190" s="45"/>
      <c r="AR190" s="45"/>
      <c r="AS190" s="45"/>
      <c r="AT190" s="45"/>
      <c r="AU190" s="463"/>
      <c r="AV190" s="449"/>
      <c r="AW190" s="45"/>
      <c r="AX190" s="45"/>
      <c r="AY190" s="45"/>
      <c r="AZ190" s="45"/>
      <c r="BA190" s="45"/>
      <c r="BB190" s="45"/>
      <c r="BC190" s="463"/>
      <c r="BD190" s="456"/>
      <c r="BE190" s="46"/>
      <c r="BF190" s="46"/>
      <c r="BG190" s="46"/>
      <c r="BH190" s="46"/>
      <c r="BI190" s="46"/>
      <c r="BJ190" s="457"/>
      <c r="BK190" s="449">
        <v>0</v>
      </c>
      <c r="BL190" s="45"/>
      <c r="BM190" s="45"/>
      <c r="BN190" s="45"/>
      <c r="BO190" s="45"/>
      <c r="BP190" s="45"/>
      <c r="BQ190" s="45"/>
      <c r="BR190" s="45"/>
      <c r="BS190" s="45"/>
      <c r="BT190" s="45"/>
      <c r="BU190" s="45"/>
      <c r="BV190" s="45"/>
      <c r="BW190" s="45"/>
      <c r="BX190" s="45"/>
      <c r="BY190" s="45"/>
      <c r="BZ190" s="45"/>
      <c r="CA190" s="45"/>
      <c r="CB190" s="45"/>
      <c r="CC190" s="45"/>
      <c r="CD190" s="463"/>
    </row>
    <row r="191" spans="2:82">
      <c r="B191" s="136">
        <v>182</v>
      </c>
      <c r="C191" s="138">
        <v>1</v>
      </c>
      <c r="D191" s="474">
        <v>4131.6274387602734</v>
      </c>
      <c r="E191" s="127">
        <v>221.21093779877549</v>
      </c>
      <c r="F191" s="447">
        <v>0.3830551041408401</v>
      </c>
      <c r="G191" s="127">
        <v>130.68374379391304</v>
      </c>
      <c r="H191" s="132">
        <v>64.58528809770614</v>
      </c>
      <c r="I191" s="456"/>
      <c r="J191" s="45"/>
      <c r="K191" s="45">
        <v>560</v>
      </c>
      <c r="L191" s="463"/>
      <c r="M191" s="456">
        <v>29.775844573974609</v>
      </c>
      <c r="N191" s="457"/>
      <c r="O191" s="456"/>
      <c r="P191" s="46"/>
      <c r="Q191" s="463">
        <v>81.806236267089844</v>
      </c>
      <c r="R191" s="449"/>
      <c r="S191" s="463"/>
      <c r="T191" s="480"/>
      <c r="U191" s="468"/>
      <c r="V191" s="449"/>
      <c r="W191" s="45">
        <v>1510.439697265625</v>
      </c>
      <c r="X191" s="463">
        <v>127.25741577148437</v>
      </c>
      <c r="Y191" s="449"/>
      <c r="Z191" s="45"/>
      <c r="AA191" s="468">
        <v>0.37514996202264922</v>
      </c>
      <c r="AB191" s="456"/>
      <c r="AC191" s="46"/>
      <c r="AD191" s="46"/>
      <c r="AE191" s="46"/>
      <c r="AF191" s="46"/>
      <c r="AG191" s="46"/>
      <c r="AH191" s="46"/>
      <c r="AI191" s="457"/>
      <c r="AJ191" s="138"/>
      <c r="AK191" s="745"/>
      <c r="AL191" s="54"/>
      <c r="AM191" s="468"/>
      <c r="AN191" s="449"/>
      <c r="AO191" s="45"/>
      <c r="AP191" s="45"/>
      <c r="AQ191" s="45"/>
      <c r="AR191" s="45"/>
      <c r="AS191" s="45"/>
      <c r="AT191" s="45"/>
      <c r="AU191" s="463"/>
      <c r="AV191" s="449"/>
      <c r="AW191" s="45"/>
      <c r="AX191" s="45"/>
      <c r="AY191" s="45"/>
      <c r="AZ191" s="45"/>
      <c r="BA191" s="45"/>
      <c r="BB191" s="45"/>
      <c r="BC191" s="463"/>
      <c r="BD191" s="456"/>
      <c r="BE191" s="46"/>
      <c r="BF191" s="46"/>
      <c r="BG191" s="46"/>
      <c r="BH191" s="46"/>
      <c r="BI191" s="46"/>
      <c r="BJ191" s="457"/>
      <c r="BK191" s="449">
        <v>0</v>
      </c>
      <c r="BL191" s="45"/>
      <c r="BM191" s="45"/>
      <c r="BN191" s="45"/>
      <c r="BO191" s="45"/>
      <c r="BP191" s="45"/>
      <c r="BQ191" s="45"/>
      <c r="BR191" s="45"/>
      <c r="BS191" s="45"/>
      <c r="BT191" s="45"/>
      <c r="BU191" s="45"/>
      <c r="BV191" s="45"/>
      <c r="BW191" s="45"/>
      <c r="BX191" s="45"/>
      <c r="BY191" s="45"/>
      <c r="BZ191" s="45"/>
      <c r="CA191" s="45"/>
      <c r="CB191" s="45"/>
      <c r="CC191" s="45"/>
      <c r="CD191" s="463"/>
    </row>
    <row r="192" spans="2:82">
      <c r="B192" s="136">
        <v>183</v>
      </c>
      <c r="C192" s="138">
        <v>1</v>
      </c>
      <c r="D192" s="474">
        <v>2794.1907635515918</v>
      </c>
      <c r="E192" s="127">
        <v>230.05083746735548</v>
      </c>
      <c r="F192" s="447">
        <v>0.37310605763134819</v>
      </c>
      <c r="G192" s="127">
        <v>90.931102211511259</v>
      </c>
      <c r="H192" s="132">
        <v>52.351556918972186</v>
      </c>
      <c r="I192" s="456"/>
      <c r="J192" s="45"/>
      <c r="K192" s="45">
        <v>380</v>
      </c>
      <c r="L192" s="463"/>
      <c r="M192" s="456">
        <v>27.836986541748047</v>
      </c>
      <c r="N192" s="457"/>
      <c r="O192" s="456"/>
      <c r="P192" s="46"/>
      <c r="Q192" s="463">
        <v>55.324981689453125</v>
      </c>
      <c r="R192" s="449"/>
      <c r="S192" s="463"/>
      <c r="T192" s="480"/>
      <c r="U192" s="468"/>
      <c r="V192" s="449"/>
      <c r="W192" s="45">
        <v>1072.5516357421875</v>
      </c>
      <c r="X192" s="463">
        <v>94.686454772949219</v>
      </c>
      <c r="Y192" s="449"/>
      <c r="Z192" s="45"/>
      <c r="AA192" s="468">
        <v>0.36148833933663677</v>
      </c>
      <c r="AB192" s="456"/>
      <c r="AC192" s="46"/>
      <c r="AD192" s="46"/>
      <c r="AE192" s="46"/>
      <c r="AF192" s="46"/>
      <c r="AG192" s="46"/>
      <c r="AH192" s="46"/>
      <c r="AI192" s="457"/>
      <c r="AJ192" s="138"/>
      <c r="AK192" s="745"/>
      <c r="AL192" s="54"/>
      <c r="AM192" s="468"/>
      <c r="AN192" s="449"/>
      <c r="AO192" s="45"/>
      <c r="AP192" s="45"/>
      <c r="AQ192" s="45"/>
      <c r="AR192" s="45"/>
      <c r="AS192" s="45"/>
      <c r="AT192" s="45"/>
      <c r="AU192" s="463"/>
      <c r="AV192" s="449"/>
      <c r="AW192" s="45"/>
      <c r="AX192" s="45"/>
      <c r="AY192" s="45"/>
      <c r="AZ192" s="45"/>
      <c r="BA192" s="45"/>
      <c r="BB192" s="45"/>
      <c r="BC192" s="463"/>
      <c r="BD192" s="456"/>
      <c r="BE192" s="46"/>
      <c r="BF192" s="46"/>
      <c r="BG192" s="46"/>
      <c r="BH192" s="46"/>
      <c r="BI192" s="46"/>
      <c r="BJ192" s="457"/>
      <c r="BK192" s="449">
        <v>0</v>
      </c>
      <c r="BL192" s="45"/>
      <c r="BM192" s="45"/>
      <c r="BN192" s="45"/>
      <c r="BO192" s="45"/>
      <c r="BP192" s="45"/>
      <c r="BQ192" s="45"/>
      <c r="BR192" s="45"/>
      <c r="BS192" s="45"/>
      <c r="BT192" s="45"/>
      <c r="BU192" s="45"/>
      <c r="BV192" s="45"/>
      <c r="BW192" s="45"/>
      <c r="BX192" s="45"/>
      <c r="BY192" s="45"/>
      <c r="BZ192" s="45"/>
      <c r="CA192" s="45"/>
      <c r="CB192" s="45"/>
      <c r="CC192" s="45"/>
      <c r="CD192" s="463"/>
    </row>
    <row r="193" spans="2:82">
      <c r="B193" s="136">
        <v>184</v>
      </c>
      <c r="C193" s="138">
        <v>1</v>
      </c>
      <c r="D193" s="474">
        <v>2996.5728176164525</v>
      </c>
      <c r="E193" s="127">
        <v>251.19867458182136</v>
      </c>
      <c r="F193" s="447">
        <v>0.4295647685341587</v>
      </c>
      <c r="G193" s="127">
        <v>94.239084492807009</v>
      </c>
      <c r="H193" s="132">
        <v>55.299611524308773</v>
      </c>
      <c r="I193" s="456"/>
      <c r="J193" s="45"/>
      <c r="K193" s="45">
        <v>410</v>
      </c>
      <c r="L193" s="463"/>
      <c r="M193" s="456">
        <v>33.179527282714844</v>
      </c>
      <c r="N193" s="457"/>
      <c r="O193" s="456"/>
      <c r="P193" s="46"/>
      <c r="Q193" s="463">
        <v>59.332141876220703</v>
      </c>
      <c r="R193" s="449"/>
      <c r="S193" s="463"/>
      <c r="T193" s="480"/>
      <c r="U193" s="468"/>
      <c r="V193" s="449"/>
      <c r="W193" s="45">
        <v>1351.3863525390625</v>
      </c>
      <c r="X193" s="463">
        <v>115.08127593994141</v>
      </c>
      <c r="Y193" s="449"/>
      <c r="Z193" s="45"/>
      <c r="AA193" s="468">
        <v>0.41835486394809146</v>
      </c>
      <c r="AB193" s="456"/>
      <c r="AC193" s="46"/>
      <c r="AD193" s="46"/>
      <c r="AE193" s="46"/>
      <c r="AF193" s="46"/>
      <c r="AG193" s="46"/>
      <c r="AH193" s="46"/>
      <c r="AI193" s="457"/>
      <c r="AJ193" s="138"/>
      <c r="AK193" s="745"/>
      <c r="AL193" s="54"/>
      <c r="AM193" s="468"/>
      <c r="AN193" s="449"/>
      <c r="AO193" s="45"/>
      <c r="AP193" s="45"/>
      <c r="AQ193" s="45"/>
      <c r="AR193" s="45"/>
      <c r="AS193" s="45"/>
      <c r="AT193" s="45"/>
      <c r="AU193" s="463"/>
      <c r="AV193" s="449"/>
      <c r="AW193" s="45"/>
      <c r="AX193" s="45"/>
      <c r="AY193" s="45"/>
      <c r="AZ193" s="45"/>
      <c r="BA193" s="45"/>
      <c r="BB193" s="45"/>
      <c r="BC193" s="463"/>
      <c r="BD193" s="456"/>
      <c r="BE193" s="46"/>
      <c r="BF193" s="46"/>
      <c r="BG193" s="46"/>
      <c r="BH193" s="46"/>
      <c r="BI193" s="46"/>
      <c r="BJ193" s="457"/>
      <c r="BK193" s="449">
        <v>0</v>
      </c>
      <c r="BL193" s="45"/>
      <c r="BM193" s="45"/>
      <c r="BN193" s="45"/>
      <c r="BO193" s="45"/>
      <c r="BP193" s="45"/>
      <c r="BQ193" s="45"/>
      <c r="BR193" s="45"/>
      <c r="BS193" s="45"/>
      <c r="BT193" s="45"/>
      <c r="BU193" s="45"/>
      <c r="BV193" s="45"/>
      <c r="BW193" s="45"/>
      <c r="BX193" s="45"/>
      <c r="BY193" s="45"/>
      <c r="BZ193" s="45"/>
      <c r="CA193" s="45"/>
      <c r="CB193" s="45"/>
      <c r="CC193" s="45"/>
      <c r="CD193" s="463"/>
    </row>
    <row r="194" spans="2:82">
      <c r="B194" s="136">
        <v>185</v>
      </c>
      <c r="C194" s="138">
        <v>1</v>
      </c>
      <c r="D194" s="474">
        <v>3439.1404892982346</v>
      </c>
      <c r="E194" s="127">
        <v>224.09182033708157</v>
      </c>
      <c r="F194" s="447">
        <v>0.40859271295069705</v>
      </c>
      <c r="G194" s="127">
        <v>131.72682253872827</v>
      </c>
      <c r="H194" s="132">
        <v>60.313792132596667</v>
      </c>
      <c r="I194" s="456"/>
      <c r="J194" s="45"/>
      <c r="K194" s="45">
        <v>540</v>
      </c>
      <c r="L194" s="463"/>
      <c r="M194" s="456">
        <v>33.474296569824219</v>
      </c>
      <c r="N194" s="457"/>
      <c r="O194" s="456"/>
      <c r="P194" s="46"/>
      <c r="Q194" s="463">
        <v>76.156440734863281</v>
      </c>
      <c r="R194" s="449"/>
      <c r="S194" s="463"/>
      <c r="T194" s="480"/>
      <c r="U194" s="468"/>
      <c r="V194" s="449"/>
      <c r="W194" s="45">
        <v>1610.4095458984375</v>
      </c>
      <c r="X194" s="463">
        <v>134.47621154785156</v>
      </c>
      <c r="Y194" s="449"/>
      <c r="Z194" s="45"/>
      <c r="AA194" s="468">
        <v>0.3989473220856723</v>
      </c>
      <c r="AB194" s="456"/>
      <c r="AC194" s="46"/>
      <c r="AD194" s="46"/>
      <c r="AE194" s="46"/>
      <c r="AF194" s="46"/>
      <c r="AG194" s="46"/>
      <c r="AH194" s="46"/>
      <c r="AI194" s="457"/>
      <c r="AJ194" s="138"/>
      <c r="AK194" s="745"/>
      <c r="AL194" s="54"/>
      <c r="AM194" s="468"/>
      <c r="AN194" s="449"/>
      <c r="AO194" s="45"/>
      <c r="AP194" s="45"/>
      <c r="AQ194" s="45"/>
      <c r="AR194" s="45"/>
      <c r="AS194" s="45"/>
      <c r="AT194" s="45"/>
      <c r="AU194" s="463"/>
      <c r="AV194" s="449"/>
      <c r="AW194" s="45"/>
      <c r="AX194" s="45"/>
      <c r="AY194" s="45"/>
      <c r="AZ194" s="45"/>
      <c r="BA194" s="45"/>
      <c r="BB194" s="45"/>
      <c r="BC194" s="463"/>
      <c r="BD194" s="456"/>
      <c r="BE194" s="46"/>
      <c r="BF194" s="46"/>
      <c r="BG194" s="46"/>
      <c r="BH194" s="46"/>
      <c r="BI194" s="46"/>
      <c r="BJ194" s="457"/>
      <c r="BK194" s="449">
        <v>0</v>
      </c>
      <c r="BL194" s="45"/>
      <c r="BM194" s="45"/>
      <c r="BN194" s="45"/>
      <c r="BO194" s="45"/>
      <c r="BP194" s="45"/>
      <c r="BQ194" s="45"/>
      <c r="BR194" s="45"/>
      <c r="BS194" s="45"/>
      <c r="BT194" s="45"/>
      <c r="BU194" s="45"/>
      <c r="BV194" s="45"/>
      <c r="BW194" s="45"/>
      <c r="BX194" s="45"/>
      <c r="BY194" s="45"/>
      <c r="BZ194" s="45"/>
      <c r="CA194" s="45"/>
      <c r="CB194" s="45"/>
      <c r="CC194" s="45"/>
      <c r="CD194" s="463"/>
    </row>
    <row r="195" spans="2:82">
      <c r="B195" s="136">
        <v>186</v>
      </c>
      <c r="C195" s="138">
        <v>1</v>
      </c>
      <c r="D195" s="474">
        <v>3182.2671256492426</v>
      </c>
      <c r="E195" s="127">
        <v>221.9079649041357</v>
      </c>
      <c r="F195" s="447">
        <v>0.38014343221273722</v>
      </c>
      <c r="G195" s="127">
        <v>118.65305027901722</v>
      </c>
      <c r="H195" s="132">
        <v>59.344013703481508</v>
      </c>
      <c r="I195" s="456"/>
      <c r="J195" s="45"/>
      <c r="K195" s="45">
        <v>490</v>
      </c>
      <c r="L195" s="463"/>
      <c r="M195" s="456">
        <v>29.058174133300781</v>
      </c>
      <c r="N195" s="457"/>
      <c r="O195" s="456"/>
      <c r="P195" s="46"/>
      <c r="Q195" s="463">
        <v>71.13739013671875</v>
      </c>
      <c r="R195" s="449"/>
      <c r="S195" s="463"/>
      <c r="T195" s="480"/>
      <c r="U195" s="468"/>
      <c r="V195" s="449"/>
      <c r="W195" s="45">
        <v>1353.8541259765625</v>
      </c>
      <c r="X195" s="463">
        <v>115.60979461669922</v>
      </c>
      <c r="Y195" s="449"/>
      <c r="Z195" s="45"/>
      <c r="AA195" s="468">
        <v>0.36989826191214425</v>
      </c>
      <c r="AB195" s="456"/>
      <c r="AC195" s="46"/>
      <c r="AD195" s="46"/>
      <c r="AE195" s="46"/>
      <c r="AF195" s="46"/>
      <c r="AG195" s="46"/>
      <c r="AH195" s="46"/>
      <c r="AI195" s="457"/>
      <c r="AJ195" s="138"/>
      <c r="AK195" s="745"/>
      <c r="AL195" s="54"/>
      <c r="AM195" s="468"/>
      <c r="AN195" s="449"/>
      <c r="AO195" s="45"/>
      <c r="AP195" s="45"/>
      <c r="AQ195" s="45"/>
      <c r="AR195" s="45"/>
      <c r="AS195" s="45"/>
      <c r="AT195" s="45"/>
      <c r="AU195" s="463"/>
      <c r="AV195" s="449"/>
      <c r="AW195" s="45"/>
      <c r="AX195" s="45"/>
      <c r="AY195" s="45"/>
      <c r="AZ195" s="45"/>
      <c r="BA195" s="45"/>
      <c r="BB195" s="45"/>
      <c r="BC195" s="463"/>
      <c r="BD195" s="456"/>
      <c r="BE195" s="46"/>
      <c r="BF195" s="46"/>
      <c r="BG195" s="46"/>
      <c r="BH195" s="46"/>
      <c r="BI195" s="46"/>
      <c r="BJ195" s="457"/>
      <c r="BK195" s="449">
        <v>0</v>
      </c>
      <c r="BL195" s="45"/>
      <c r="BM195" s="45"/>
      <c r="BN195" s="45"/>
      <c r="BO195" s="45"/>
      <c r="BP195" s="45"/>
      <c r="BQ195" s="45"/>
      <c r="BR195" s="45"/>
      <c r="BS195" s="45"/>
      <c r="BT195" s="45"/>
      <c r="BU195" s="45"/>
      <c r="BV195" s="45"/>
      <c r="BW195" s="45"/>
      <c r="BX195" s="45"/>
      <c r="BY195" s="45"/>
      <c r="BZ195" s="45"/>
      <c r="CA195" s="45"/>
      <c r="CB195" s="45"/>
      <c r="CC195" s="45"/>
      <c r="CD195" s="463"/>
    </row>
    <row r="196" spans="2:82">
      <c r="B196" s="136">
        <v>187</v>
      </c>
      <c r="C196" s="138">
        <v>1</v>
      </c>
      <c r="D196" s="474">
        <v>4206.5601828901463</v>
      </c>
      <c r="E196" s="127">
        <v>230.09976527820001</v>
      </c>
      <c r="F196" s="447">
        <v>0.40208731771185596</v>
      </c>
      <c r="G196" s="127">
        <v>154.03893812453779</v>
      </c>
      <c r="H196" s="132">
        <v>60.835381442073462</v>
      </c>
      <c r="I196" s="456"/>
      <c r="J196" s="45"/>
      <c r="K196" s="45">
        <v>610</v>
      </c>
      <c r="L196" s="463"/>
      <c r="M196" s="456">
        <v>34.401321411132813</v>
      </c>
      <c r="N196" s="457"/>
      <c r="O196" s="456"/>
      <c r="P196" s="46"/>
      <c r="Q196" s="463">
        <v>83.289894104003906</v>
      </c>
      <c r="R196" s="449"/>
      <c r="S196" s="463"/>
      <c r="T196" s="480"/>
      <c r="U196" s="468"/>
      <c r="V196" s="449"/>
      <c r="W196" s="45">
        <v>1756.466796875</v>
      </c>
      <c r="X196" s="463">
        <v>145.38838195800781</v>
      </c>
      <c r="Y196" s="449"/>
      <c r="Z196" s="45"/>
      <c r="AA196" s="468">
        <v>0.39423250405944898</v>
      </c>
      <c r="AB196" s="456"/>
      <c r="AC196" s="46"/>
      <c r="AD196" s="46"/>
      <c r="AE196" s="46"/>
      <c r="AF196" s="46"/>
      <c r="AG196" s="46"/>
      <c r="AH196" s="46"/>
      <c r="AI196" s="457"/>
      <c r="AJ196" s="138"/>
      <c r="AK196" s="745"/>
      <c r="AL196" s="54"/>
      <c r="AM196" s="468"/>
      <c r="AN196" s="449"/>
      <c r="AO196" s="45"/>
      <c r="AP196" s="45"/>
      <c r="AQ196" s="45"/>
      <c r="AR196" s="45"/>
      <c r="AS196" s="45"/>
      <c r="AT196" s="45"/>
      <c r="AU196" s="463"/>
      <c r="AV196" s="449"/>
      <c r="AW196" s="45"/>
      <c r="AX196" s="45"/>
      <c r="AY196" s="45"/>
      <c r="AZ196" s="45"/>
      <c r="BA196" s="45"/>
      <c r="BB196" s="45"/>
      <c r="BC196" s="463"/>
      <c r="BD196" s="456"/>
      <c r="BE196" s="46"/>
      <c r="BF196" s="46"/>
      <c r="BG196" s="46"/>
      <c r="BH196" s="46"/>
      <c r="BI196" s="46"/>
      <c r="BJ196" s="457"/>
      <c r="BK196" s="449">
        <v>0</v>
      </c>
      <c r="BL196" s="45"/>
      <c r="BM196" s="45"/>
      <c r="BN196" s="45"/>
      <c r="BO196" s="45"/>
      <c r="BP196" s="45"/>
      <c r="BQ196" s="45"/>
      <c r="BR196" s="45"/>
      <c r="BS196" s="45"/>
      <c r="BT196" s="45"/>
      <c r="BU196" s="45"/>
      <c r="BV196" s="45"/>
      <c r="BW196" s="45"/>
      <c r="BX196" s="45"/>
      <c r="BY196" s="45"/>
      <c r="BZ196" s="45"/>
      <c r="CA196" s="45"/>
      <c r="CB196" s="45"/>
      <c r="CC196" s="45"/>
      <c r="CD196" s="463"/>
    </row>
    <row r="197" spans="2:82">
      <c r="B197" s="136">
        <v>188</v>
      </c>
      <c r="C197" s="138">
        <v>1</v>
      </c>
      <c r="D197" s="474">
        <v>3074.8859370405235</v>
      </c>
      <c r="E197" s="127">
        <v>232.88644320794515</v>
      </c>
      <c r="F197" s="447">
        <v>0.3510210132927003</v>
      </c>
      <c r="G197" s="127">
        <v>126.23495883961358</v>
      </c>
      <c r="H197" s="132">
        <v>47.091976554302185</v>
      </c>
      <c r="I197" s="456"/>
      <c r="J197" s="45"/>
      <c r="K197" s="45">
        <v>480</v>
      </c>
      <c r="L197" s="463"/>
      <c r="M197" s="456">
        <v>29.074825286865234</v>
      </c>
      <c r="N197" s="457"/>
      <c r="O197" s="456"/>
      <c r="P197" s="46"/>
      <c r="Q197" s="463">
        <v>60.882743835449219</v>
      </c>
      <c r="R197" s="449"/>
      <c r="S197" s="463"/>
      <c r="T197" s="480"/>
      <c r="U197" s="468"/>
      <c r="V197" s="449"/>
      <c r="W197" s="45">
        <v>1217.380126953125</v>
      </c>
      <c r="X197" s="463">
        <v>105.60921478271484</v>
      </c>
      <c r="Y197" s="449"/>
      <c r="Z197" s="45"/>
      <c r="AA197" s="468">
        <v>0.34060748221496784</v>
      </c>
      <c r="AB197" s="456"/>
      <c r="AC197" s="46"/>
      <c r="AD197" s="46"/>
      <c r="AE197" s="46"/>
      <c r="AF197" s="46"/>
      <c r="AG197" s="46"/>
      <c r="AH197" s="46"/>
      <c r="AI197" s="457"/>
      <c r="AJ197" s="138"/>
      <c r="AK197" s="745"/>
      <c r="AL197" s="54"/>
      <c r="AM197" s="468"/>
      <c r="AN197" s="449"/>
      <c r="AO197" s="45"/>
      <c r="AP197" s="45"/>
      <c r="AQ197" s="45"/>
      <c r="AR197" s="45"/>
      <c r="AS197" s="45"/>
      <c r="AT197" s="45"/>
      <c r="AU197" s="463"/>
      <c r="AV197" s="449"/>
      <c r="AW197" s="45"/>
      <c r="AX197" s="45"/>
      <c r="AY197" s="45"/>
      <c r="AZ197" s="45"/>
      <c r="BA197" s="45"/>
      <c r="BB197" s="45"/>
      <c r="BC197" s="463"/>
      <c r="BD197" s="456"/>
      <c r="BE197" s="46"/>
      <c r="BF197" s="46"/>
      <c r="BG197" s="46"/>
      <c r="BH197" s="46"/>
      <c r="BI197" s="46"/>
      <c r="BJ197" s="457"/>
      <c r="BK197" s="449">
        <v>0</v>
      </c>
      <c r="BL197" s="45"/>
      <c r="BM197" s="45"/>
      <c r="BN197" s="45"/>
      <c r="BO197" s="45"/>
      <c r="BP197" s="45"/>
      <c r="BQ197" s="45"/>
      <c r="BR197" s="45"/>
      <c r="BS197" s="45"/>
      <c r="BT197" s="45"/>
      <c r="BU197" s="45"/>
      <c r="BV197" s="45"/>
      <c r="BW197" s="45"/>
      <c r="BX197" s="45"/>
      <c r="BY197" s="45"/>
      <c r="BZ197" s="45"/>
      <c r="CA197" s="45"/>
      <c r="CB197" s="45"/>
      <c r="CC197" s="45"/>
      <c r="CD197" s="463"/>
    </row>
    <row r="198" spans="2:82">
      <c r="B198" s="136">
        <v>189</v>
      </c>
      <c r="C198" s="138">
        <v>1</v>
      </c>
      <c r="D198" s="474">
        <v>3129.7214434104953</v>
      </c>
      <c r="E198" s="127">
        <v>235.01914755387918</v>
      </c>
      <c r="F198" s="447">
        <v>0.3997287612519147</v>
      </c>
      <c r="G198" s="127">
        <v>104.47584601180041</v>
      </c>
      <c r="H198" s="132">
        <v>61.835195321042356</v>
      </c>
      <c r="I198" s="456"/>
      <c r="J198" s="45"/>
      <c r="K198" s="45">
        <v>460</v>
      </c>
      <c r="L198" s="463"/>
      <c r="M198" s="456">
        <v>29.666604995727539</v>
      </c>
      <c r="N198" s="457"/>
      <c r="O198" s="456"/>
      <c r="P198" s="46"/>
      <c r="Q198" s="463">
        <v>70.305435180664063</v>
      </c>
      <c r="R198" s="449"/>
      <c r="S198" s="463"/>
      <c r="T198" s="480"/>
      <c r="U198" s="468"/>
      <c r="V198" s="449"/>
      <c r="W198" s="45">
        <v>1358.057373046875</v>
      </c>
      <c r="X198" s="463">
        <v>115.79126739501953</v>
      </c>
      <c r="Y198" s="449"/>
      <c r="Z198" s="45"/>
      <c r="AA198" s="468">
        <v>0.38918642519369867</v>
      </c>
      <c r="AB198" s="456"/>
      <c r="AC198" s="46"/>
      <c r="AD198" s="46"/>
      <c r="AE198" s="46"/>
      <c r="AF198" s="46"/>
      <c r="AG198" s="46"/>
      <c r="AH198" s="46"/>
      <c r="AI198" s="457"/>
      <c r="AJ198" s="138"/>
      <c r="AK198" s="745"/>
      <c r="AL198" s="54"/>
      <c r="AM198" s="468"/>
      <c r="AN198" s="449"/>
      <c r="AO198" s="45"/>
      <c r="AP198" s="45"/>
      <c r="AQ198" s="45"/>
      <c r="AR198" s="45"/>
      <c r="AS198" s="45"/>
      <c r="AT198" s="45"/>
      <c r="AU198" s="463"/>
      <c r="AV198" s="449"/>
      <c r="AW198" s="45"/>
      <c r="AX198" s="45"/>
      <c r="AY198" s="45"/>
      <c r="AZ198" s="45"/>
      <c r="BA198" s="45"/>
      <c r="BB198" s="45"/>
      <c r="BC198" s="463"/>
      <c r="BD198" s="456"/>
      <c r="BE198" s="46"/>
      <c r="BF198" s="46"/>
      <c r="BG198" s="46"/>
      <c r="BH198" s="46"/>
      <c r="BI198" s="46"/>
      <c r="BJ198" s="457"/>
      <c r="BK198" s="449">
        <v>0</v>
      </c>
      <c r="BL198" s="45"/>
      <c r="BM198" s="45"/>
      <c r="BN198" s="45"/>
      <c r="BO198" s="45"/>
      <c r="BP198" s="45"/>
      <c r="BQ198" s="45"/>
      <c r="BR198" s="45"/>
      <c r="BS198" s="45"/>
      <c r="BT198" s="45"/>
      <c r="BU198" s="45"/>
      <c r="BV198" s="45"/>
      <c r="BW198" s="45"/>
      <c r="BX198" s="45"/>
      <c r="BY198" s="45"/>
      <c r="BZ198" s="45"/>
      <c r="CA198" s="45"/>
      <c r="CB198" s="45"/>
      <c r="CC198" s="45"/>
      <c r="CD198" s="463"/>
    </row>
    <row r="199" spans="2:82">
      <c r="B199" s="136">
        <v>190</v>
      </c>
      <c r="C199" s="138">
        <v>1</v>
      </c>
      <c r="D199" s="474">
        <v>2964.3894192586836</v>
      </c>
      <c r="E199" s="127">
        <v>270.26411394147573</v>
      </c>
      <c r="F199" s="447">
        <v>0.39302819382739379</v>
      </c>
      <c r="G199" s="127">
        <v>105.02071920545534</v>
      </c>
      <c r="H199" s="132">
        <v>59.125966661246835</v>
      </c>
      <c r="I199" s="456"/>
      <c r="J199" s="45"/>
      <c r="K199" s="45">
        <v>450</v>
      </c>
      <c r="L199" s="463"/>
      <c r="M199" s="456">
        <v>29.283718109130859</v>
      </c>
      <c r="N199" s="457"/>
      <c r="O199" s="456"/>
      <c r="P199" s="46"/>
      <c r="Q199" s="463">
        <v>66.92333984375</v>
      </c>
      <c r="R199" s="449"/>
      <c r="S199" s="463"/>
      <c r="T199" s="480"/>
      <c r="U199" s="468"/>
      <c r="V199" s="449"/>
      <c r="W199" s="45">
        <v>1304.4053955078125</v>
      </c>
      <c r="X199" s="463">
        <v>111.84157562255859</v>
      </c>
      <c r="Y199" s="449"/>
      <c r="Z199" s="45"/>
      <c r="AA199" s="468">
        <v>0.38194309020940637</v>
      </c>
      <c r="AB199" s="456"/>
      <c r="AC199" s="46"/>
      <c r="AD199" s="46"/>
      <c r="AE199" s="46"/>
      <c r="AF199" s="46"/>
      <c r="AG199" s="46"/>
      <c r="AH199" s="46"/>
      <c r="AI199" s="457"/>
      <c r="AJ199" s="138"/>
      <c r="AK199" s="745"/>
      <c r="AL199" s="54"/>
      <c r="AM199" s="468"/>
      <c r="AN199" s="449"/>
      <c r="AO199" s="45"/>
      <c r="AP199" s="45"/>
      <c r="AQ199" s="45"/>
      <c r="AR199" s="45"/>
      <c r="AS199" s="45"/>
      <c r="AT199" s="45"/>
      <c r="AU199" s="463"/>
      <c r="AV199" s="449"/>
      <c r="AW199" s="45"/>
      <c r="AX199" s="45"/>
      <c r="AY199" s="45"/>
      <c r="AZ199" s="45"/>
      <c r="BA199" s="45"/>
      <c r="BB199" s="45"/>
      <c r="BC199" s="463"/>
      <c r="BD199" s="456"/>
      <c r="BE199" s="46"/>
      <c r="BF199" s="46"/>
      <c r="BG199" s="46"/>
      <c r="BH199" s="46"/>
      <c r="BI199" s="46"/>
      <c r="BJ199" s="457"/>
      <c r="BK199" s="449">
        <v>0</v>
      </c>
      <c r="BL199" s="45"/>
      <c r="BM199" s="45"/>
      <c r="BN199" s="45"/>
      <c r="BO199" s="45"/>
      <c r="BP199" s="45"/>
      <c r="BQ199" s="45"/>
      <c r="BR199" s="45"/>
      <c r="BS199" s="45"/>
      <c r="BT199" s="45"/>
      <c r="BU199" s="45"/>
      <c r="BV199" s="45"/>
      <c r="BW199" s="45"/>
      <c r="BX199" s="45"/>
      <c r="BY199" s="45"/>
      <c r="BZ199" s="45"/>
      <c r="CA199" s="45"/>
      <c r="CB199" s="45"/>
      <c r="CC199" s="45"/>
      <c r="CD199" s="463"/>
    </row>
    <row r="200" spans="2:82">
      <c r="B200" s="136">
        <v>191</v>
      </c>
      <c r="C200" s="138">
        <v>1</v>
      </c>
      <c r="D200" s="474">
        <v>3096.7682031735667</v>
      </c>
      <c r="E200" s="127">
        <v>247.18353318595786</v>
      </c>
      <c r="F200" s="447">
        <v>0.36356844822575157</v>
      </c>
      <c r="G200" s="127">
        <v>113.78788033943157</v>
      </c>
      <c r="H200" s="132">
        <v>59.140202330121021</v>
      </c>
      <c r="I200" s="456"/>
      <c r="J200" s="45"/>
      <c r="K200" s="45">
        <v>480</v>
      </c>
      <c r="L200" s="463"/>
      <c r="M200" s="456">
        <v>27.24156379699707</v>
      </c>
      <c r="N200" s="457"/>
      <c r="O200" s="456"/>
      <c r="P200" s="46"/>
      <c r="Q200" s="463">
        <v>69.47552490234375</v>
      </c>
      <c r="R200" s="449"/>
      <c r="S200" s="463"/>
      <c r="T200" s="480"/>
      <c r="U200" s="468"/>
      <c r="V200" s="449"/>
      <c r="W200" s="45">
        <v>1257.909912109375</v>
      </c>
      <c r="X200" s="463">
        <v>108.56861114501953</v>
      </c>
      <c r="Y200" s="449"/>
      <c r="Z200" s="45"/>
      <c r="AA200" s="468">
        <v>0.35314746517269535</v>
      </c>
      <c r="AB200" s="456"/>
      <c r="AC200" s="46"/>
      <c r="AD200" s="46"/>
      <c r="AE200" s="46"/>
      <c r="AF200" s="46"/>
      <c r="AG200" s="46"/>
      <c r="AH200" s="46"/>
      <c r="AI200" s="457"/>
      <c r="AJ200" s="138"/>
      <c r="AK200" s="745"/>
      <c r="AL200" s="54"/>
      <c r="AM200" s="468"/>
      <c r="AN200" s="449"/>
      <c r="AO200" s="45"/>
      <c r="AP200" s="45"/>
      <c r="AQ200" s="45"/>
      <c r="AR200" s="45"/>
      <c r="AS200" s="45"/>
      <c r="AT200" s="45"/>
      <c r="AU200" s="463"/>
      <c r="AV200" s="449"/>
      <c r="AW200" s="45"/>
      <c r="AX200" s="45"/>
      <c r="AY200" s="45"/>
      <c r="AZ200" s="45"/>
      <c r="BA200" s="45"/>
      <c r="BB200" s="45"/>
      <c r="BC200" s="463"/>
      <c r="BD200" s="456"/>
      <c r="BE200" s="46"/>
      <c r="BF200" s="46"/>
      <c r="BG200" s="46"/>
      <c r="BH200" s="46"/>
      <c r="BI200" s="46"/>
      <c r="BJ200" s="457"/>
      <c r="BK200" s="449">
        <v>0</v>
      </c>
      <c r="BL200" s="45"/>
      <c r="BM200" s="45"/>
      <c r="BN200" s="45"/>
      <c r="BO200" s="45"/>
      <c r="BP200" s="45"/>
      <c r="BQ200" s="45"/>
      <c r="BR200" s="45"/>
      <c r="BS200" s="45"/>
      <c r="BT200" s="45"/>
      <c r="BU200" s="45"/>
      <c r="BV200" s="45"/>
      <c r="BW200" s="45"/>
      <c r="BX200" s="45"/>
      <c r="BY200" s="45"/>
      <c r="BZ200" s="45"/>
      <c r="CA200" s="45"/>
      <c r="CB200" s="45"/>
      <c r="CC200" s="45"/>
      <c r="CD200" s="463"/>
    </row>
    <row r="201" spans="2:82">
      <c r="B201" s="136">
        <v>192</v>
      </c>
      <c r="C201" s="138">
        <v>1</v>
      </c>
      <c r="D201" s="474">
        <v>3543.0529685467554</v>
      </c>
      <c r="E201" s="127">
        <v>194.73495947853843</v>
      </c>
      <c r="F201" s="447">
        <v>0.37935828252591991</v>
      </c>
      <c r="G201" s="127">
        <v>120.04001941396734</v>
      </c>
      <c r="H201" s="132">
        <v>58.220925220211761</v>
      </c>
      <c r="I201" s="456"/>
      <c r="J201" s="45"/>
      <c r="K201" s="45">
        <v>490</v>
      </c>
      <c r="L201" s="463"/>
      <c r="M201" s="456">
        <v>29.244306564331055</v>
      </c>
      <c r="N201" s="457"/>
      <c r="O201" s="456"/>
      <c r="P201" s="46"/>
      <c r="Q201" s="463">
        <v>70.152450561523438</v>
      </c>
      <c r="R201" s="449"/>
      <c r="S201" s="463"/>
      <c r="T201" s="480"/>
      <c r="U201" s="468"/>
      <c r="V201" s="449"/>
      <c r="W201" s="45">
        <v>1351.9107666015625</v>
      </c>
      <c r="X201" s="463">
        <v>115.46869659423828</v>
      </c>
      <c r="Y201" s="449"/>
      <c r="Z201" s="45"/>
      <c r="AA201" s="468">
        <v>0.37016080059725298</v>
      </c>
      <c r="AB201" s="456"/>
      <c r="AC201" s="46"/>
      <c r="AD201" s="46"/>
      <c r="AE201" s="46"/>
      <c r="AF201" s="46"/>
      <c r="AG201" s="46"/>
      <c r="AH201" s="46"/>
      <c r="AI201" s="457"/>
      <c r="AJ201" s="138"/>
      <c r="AK201" s="745"/>
      <c r="AL201" s="54"/>
      <c r="AM201" s="468"/>
      <c r="AN201" s="449"/>
      <c r="AO201" s="45"/>
      <c r="AP201" s="45"/>
      <c r="AQ201" s="45"/>
      <c r="AR201" s="45"/>
      <c r="AS201" s="45"/>
      <c r="AT201" s="45"/>
      <c r="AU201" s="463"/>
      <c r="AV201" s="449"/>
      <c r="AW201" s="45"/>
      <c r="AX201" s="45"/>
      <c r="AY201" s="45"/>
      <c r="AZ201" s="45"/>
      <c r="BA201" s="45"/>
      <c r="BB201" s="45"/>
      <c r="BC201" s="463"/>
      <c r="BD201" s="456"/>
      <c r="BE201" s="46"/>
      <c r="BF201" s="46"/>
      <c r="BG201" s="46"/>
      <c r="BH201" s="46"/>
      <c r="BI201" s="46"/>
      <c r="BJ201" s="457"/>
      <c r="BK201" s="449">
        <v>0</v>
      </c>
      <c r="BL201" s="45"/>
      <c r="BM201" s="45"/>
      <c r="BN201" s="45"/>
      <c r="BO201" s="45"/>
      <c r="BP201" s="45"/>
      <c r="BQ201" s="45"/>
      <c r="BR201" s="45"/>
      <c r="BS201" s="45"/>
      <c r="BT201" s="45"/>
      <c r="BU201" s="45"/>
      <c r="BV201" s="45"/>
      <c r="BW201" s="45"/>
      <c r="BX201" s="45"/>
      <c r="BY201" s="45"/>
      <c r="BZ201" s="45"/>
      <c r="CA201" s="45"/>
      <c r="CB201" s="45"/>
      <c r="CC201" s="45"/>
      <c r="CD201" s="463"/>
    </row>
    <row r="202" spans="2:82">
      <c r="B202" s="136">
        <v>193</v>
      </c>
      <c r="C202" s="138">
        <v>1</v>
      </c>
      <c r="D202" s="474">
        <v>3489.4845352434245</v>
      </c>
      <c r="E202" s="127">
        <v>268.10180939035172</v>
      </c>
      <c r="F202" s="447">
        <v>0.38600189867103774</v>
      </c>
      <c r="G202" s="127">
        <v>117.40962167978357</v>
      </c>
      <c r="H202" s="132">
        <v>64.218636688694716</v>
      </c>
      <c r="I202" s="456"/>
      <c r="J202" s="45"/>
      <c r="K202" s="45">
        <v>510</v>
      </c>
      <c r="L202" s="463"/>
      <c r="M202" s="456">
        <v>29.012861251831055</v>
      </c>
      <c r="N202" s="457"/>
      <c r="O202" s="456"/>
      <c r="P202" s="46"/>
      <c r="Q202" s="463">
        <v>77.425865173339844</v>
      </c>
      <c r="R202" s="449"/>
      <c r="S202" s="463"/>
      <c r="T202" s="480"/>
      <c r="U202" s="468"/>
      <c r="V202" s="449"/>
      <c r="W202" s="45">
        <v>1418.48046875</v>
      </c>
      <c r="X202" s="463">
        <v>120.38807678222656</v>
      </c>
      <c r="Y202" s="449"/>
      <c r="Z202" s="45"/>
      <c r="AA202" s="468">
        <v>0.37662514469979874</v>
      </c>
      <c r="AB202" s="456"/>
      <c r="AC202" s="46"/>
      <c r="AD202" s="46"/>
      <c r="AE202" s="46"/>
      <c r="AF202" s="46"/>
      <c r="AG202" s="46"/>
      <c r="AH202" s="46"/>
      <c r="AI202" s="457"/>
      <c r="AJ202" s="138"/>
      <c r="AK202" s="745"/>
      <c r="AL202" s="54"/>
      <c r="AM202" s="468"/>
      <c r="AN202" s="449"/>
      <c r="AO202" s="45"/>
      <c r="AP202" s="45"/>
      <c r="AQ202" s="45"/>
      <c r="AR202" s="45"/>
      <c r="AS202" s="45"/>
      <c r="AT202" s="45"/>
      <c r="AU202" s="463"/>
      <c r="AV202" s="449"/>
      <c r="AW202" s="45"/>
      <c r="AX202" s="45"/>
      <c r="AY202" s="45"/>
      <c r="AZ202" s="45"/>
      <c r="BA202" s="45"/>
      <c r="BB202" s="45"/>
      <c r="BC202" s="463"/>
      <c r="BD202" s="456"/>
      <c r="BE202" s="46"/>
      <c r="BF202" s="46"/>
      <c r="BG202" s="46"/>
      <c r="BH202" s="46"/>
      <c r="BI202" s="46"/>
      <c r="BJ202" s="457"/>
      <c r="BK202" s="449">
        <v>0</v>
      </c>
      <c r="BL202" s="45"/>
      <c r="BM202" s="45"/>
      <c r="BN202" s="45"/>
      <c r="BO202" s="45"/>
      <c r="BP202" s="45"/>
      <c r="BQ202" s="45"/>
      <c r="BR202" s="45"/>
      <c r="BS202" s="45"/>
      <c r="BT202" s="45"/>
      <c r="BU202" s="45"/>
      <c r="BV202" s="45"/>
      <c r="BW202" s="45"/>
      <c r="BX202" s="45"/>
      <c r="BY202" s="45"/>
      <c r="BZ202" s="45"/>
      <c r="CA202" s="45"/>
      <c r="CB202" s="45"/>
      <c r="CC202" s="45"/>
      <c r="CD202" s="463"/>
    </row>
    <row r="203" spans="2:82">
      <c r="B203" s="136">
        <v>194</v>
      </c>
      <c r="C203" s="138">
        <v>1</v>
      </c>
      <c r="D203" s="474">
        <v>3305.7673641589563</v>
      </c>
      <c r="E203" s="127">
        <v>212.63146117308315</v>
      </c>
      <c r="F203" s="447">
        <v>0.42348026371122349</v>
      </c>
      <c r="G203" s="127">
        <v>104.48628376380873</v>
      </c>
      <c r="H203" s="132">
        <v>64.358692958982175</v>
      </c>
      <c r="I203" s="456"/>
      <c r="J203" s="45"/>
      <c r="K203" s="45">
        <v>480</v>
      </c>
      <c r="L203" s="463"/>
      <c r="M203" s="456">
        <v>32.095924377441406</v>
      </c>
      <c r="N203" s="457"/>
      <c r="O203" s="456"/>
      <c r="P203" s="46"/>
      <c r="Q203" s="463">
        <v>73.896713256835938</v>
      </c>
      <c r="R203" s="449"/>
      <c r="S203" s="463"/>
      <c r="T203" s="480"/>
      <c r="U203" s="468"/>
      <c r="V203" s="449"/>
      <c r="W203" s="45">
        <v>1499.619873046875</v>
      </c>
      <c r="X203" s="463">
        <v>126.13966369628906</v>
      </c>
      <c r="Y203" s="449"/>
      <c r="Z203" s="45"/>
      <c r="AA203" s="468">
        <v>0.413355653722904</v>
      </c>
      <c r="AB203" s="456"/>
      <c r="AC203" s="46"/>
      <c r="AD203" s="46"/>
      <c r="AE203" s="46"/>
      <c r="AF203" s="46"/>
      <c r="AG203" s="46"/>
      <c r="AH203" s="46"/>
      <c r="AI203" s="457"/>
      <c r="AJ203" s="138"/>
      <c r="AK203" s="745"/>
      <c r="AL203" s="54"/>
      <c r="AM203" s="468"/>
      <c r="AN203" s="449"/>
      <c r="AO203" s="45"/>
      <c r="AP203" s="45"/>
      <c r="AQ203" s="45"/>
      <c r="AR203" s="45"/>
      <c r="AS203" s="45"/>
      <c r="AT203" s="45"/>
      <c r="AU203" s="463"/>
      <c r="AV203" s="449"/>
      <c r="AW203" s="45"/>
      <c r="AX203" s="45"/>
      <c r="AY203" s="45"/>
      <c r="AZ203" s="45"/>
      <c r="BA203" s="45"/>
      <c r="BB203" s="45"/>
      <c r="BC203" s="463"/>
      <c r="BD203" s="456"/>
      <c r="BE203" s="46"/>
      <c r="BF203" s="46"/>
      <c r="BG203" s="46"/>
      <c r="BH203" s="46"/>
      <c r="BI203" s="46"/>
      <c r="BJ203" s="457"/>
      <c r="BK203" s="449">
        <v>0</v>
      </c>
      <c r="BL203" s="45"/>
      <c r="BM203" s="45"/>
      <c r="BN203" s="45"/>
      <c r="BO203" s="45"/>
      <c r="BP203" s="45"/>
      <c r="BQ203" s="45"/>
      <c r="BR203" s="45"/>
      <c r="BS203" s="45"/>
      <c r="BT203" s="45"/>
      <c r="BU203" s="45"/>
      <c r="BV203" s="45"/>
      <c r="BW203" s="45"/>
      <c r="BX203" s="45"/>
      <c r="BY203" s="45"/>
      <c r="BZ203" s="45"/>
      <c r="CA203" s="45"/>
      <c r="CB203" s="45"/>
      <c r="CC203" s="45"/>
      <c r="CD203" s="463"/>
    </row>
    <row r="204" spans="2:82">
      <c r="B204" s="136">
        <v>195</v>
      </c>
      <c r="C204" s="138">
        <v>1</v>
      </c>
      <c r="D204" s="474">
        <v>4296.6002054269011</v>
      </c>
      <c r="E204" s="127">
        <v>323.26793988868906</v>
      </c>
      <c r="F204" s="447">
        <v>0.44550438174194373</v>
      </c>
      <c r="G204" s="127">
        <v>134.87685410644997</v>
      </c>
      <c r="H204" s="132">
        <v>65.935942069056765</v>
      </c>
      <c r="I204" s="456"/>
      <c r="J204" s="45"/>
      <c r="K204" s="45">
        <v>590</v>
      </c>
      <c r="L204" s="463"/>
      <c r="M204" s="456">
        <v>38.828834533691406</v>
      </c>
      <c r="N204" s="457"/>
      <c r="O204" s="456"/>
      <c r="P204" s="46"/>
      <c r="Q204" s="463">
        <v>85.07269287109375</v>
      </c>
      <c r="R204" s="449"/>
      <c r="S204" s="463"/>
      <c r="T204" s="480"/>
      <c r="U204" s="468"/>
      <c r="V204" s="449"/>
      <c r="W204" s="45">
        <v>1962.0107421875</v>
      </c>
      <c r="X204" s="463">
        <v>160.2244873046875</v>
      </c>
      <c r="Y204" s="449"/>
      <c r="Z204" s="45"/>
      <c r="AA204" s="468">
        <v>0.4376120747984194</v>
      </c>
      <c r="AB204" s="456"/>
      <c r="AC204" s="46"/>
      <c r="AD204" s="46"/>
      <c r="AE204" s="46"/>
      <c r="AF204" s="46"/>
      <c r="AG204" s="46"/>
      <c r="AH204" s="46"/>
      <c r="AI204" s="457"/>
      <c r="AJ204" s="138"/>
      <c r="AK204" s="745"/>
      <c r="AL204" s="54"/>
      <c r="AM204" s="468"/>
      <c r="AN204" s="449"/>
      <c r="AO204" s="45"/>
      <c r="AP204" s="45"/>
      <c r="AQ204" s="45"/>
      <c r="AR204" s="45"/>
      <c r="AS204" s="45"/>
      <c r="AT204" s="45"/>
      <c r="AU204" s="463"/>
      <c r="AV204" s="449"/>
      <c r="AW204" s="45"/>
      <c r="AX204" s="45"/>
      <c r="AY204" s="45"/>
      <c r="AZ204" s="45"/>
      <c r="BA204" s="45"/>
      <c r="BB204" s="45"/>
      <c r="BC204" s="463"/>
      <c r="BD204" s="456"/>
      <c r="BE204" s="46"/>
      <c r="BF204" s="46"/>
      <c r="BG204" s="46"/>
      <c r="BH204" s="46"/>
      <c r="BI204" s="46"/>
      <c r="BJ204" s="457"/>
      <c r="BK204" s="449">
        <v>0</v>
      </c>
      <c r="BL204" s="45"/>
      <c r="BM204" s="45"/>
      <c r="BN204" s="45"/>
      <c r="BO204" s="45"/>
      <c r="BP204" s="45"/>
      <c r="BQ204" s="45"/>
      <c r="BR204" s="45"/>
      <c r="BS204" s="45"/>
      <c r="BT204" s="45"/>
      <c r="BU204" s="45"/>
      <c r="BV204" s="45"/>
      <c r="BW204" s="45"/>
      <c r="BX204" s="45"/>
      <c r="BY204" s="45"/>
      <c r="BZ204" s="45"/>
      <c r="CA204" s="45"/>
      <c r="CB204" s="45"/>
      <c r="CC204" s="45"/>
      <c r="CD204" s="463"/>
    </row>
    <row r="205" spans="2:82">
      <c r="B205" s="136">
        <v>196</v>
      </c>
      <c r="C205" s="138">
        <v>1</v>
      </c>
      <c r="D205" s="474">
        <v>2966.1488140339279</v>
      </c>
      <c r="E205" s="127">
        <v>288.04299951305507</v>
      </c>
      <c r="F205" s="447">
        <v>0.48685278011302169</v>
      </c>
      <c r="G205" s="127">
        <v>119.24596731925983</v>
      </c>
      <c r="H205" s="132">
        <v>46.923921369432058</v>
      </c>
      <c r="I205" s="456"/>
      <c r="J205" s="45"/>
      <c r="K205" s="45">
        <v>470</v>
      </c>
      <c r="L205" s="463"/>
      <c r="M205" s="456">
        <v>49.547538757324219</v>
      </c>
      <c r="N205" s="457"/>
      <c r="O205" s="456"/>
      <c r="P205" s="46"/>
      <c r="Q205" s="463">
        <v>58.729743957519531</v>
      </c>
      <c r="R205" s="449"/>
      <c r="S205" s="463"/>
      <c r="T205" s="480"/>
      <c r="U205" s="468"/>
      <c r="V205" s="449"/>
      <c r="W205" s="45">
        <v>1964.362060546875</v>
      </c>
      <c r="X205" s="463">
        <v>159.91867065429687</v>
      </c>
      <c r="Y205" s="449"/>
      <c r="Z205" s="45"/>
      <c r="AA205" s="468">
        <v>0.4751416159806266</v>
      </c>
      <c r="AB205" s="456"/>
      <c r="AC205" s="46"/>
      <c r="AD205" s="46"/>
      <c r="AE205" s="46"/>
      <c r="AF205" s="46"/>
      <c r="AG205" s="46"/>
      <c r="AH205" s="46"/>
      <c r="AI205" s="457"/>
      <c r="AJ205" s="138"/>
      <c r="AK205" s="745"/>
      <c r="AL205" s="54"/>
      <c r="AM205" s="468"/>
      <c r="AN205" s="449"/>
      <c r="AO205" s="45"/>
      <c r="AP205" s="45"/>
      <c r="AQ205" s="45"/>
      <c r="AR205" s="45"/>
      <c r="AS205" s="45"/>
      <c r="AT205" s="45"/>
      <c r="AU205" s="463"/>
      <c r="AV205" s="449"/>
      <c r="AW205" s="45"/>
      <c r="AX205" s="45"/>
      <c r="AY205" s="45"/>
      <c r="AZ205" s="45"/>
      <c r="BA205" s="45"/>
      <c r="BB205" s="45"/>
      <c r="BC205" s="463"/>
      <c r="BD205" s="456"/>
      <c r="BE205" s="46"/>
      <c r="BF205" s="46"/>
      <c r="BG205" s="46"/>
      <c r="BH205" s="46"/>
      <c r="BI205" s="46"/>
      <c r="BJ205" s="457"/>
      <c r="BK205" s="449">
        <v>0</v>
      </c>
      <c r="BL205" s="45"/>
      <c r="BM205" s="45"/>
      <c r="BN205" s="45"/>
      <c r="BO205" s="45"/>
      <c r="BP205" s="45"/>
      <c r="BQ205" s="45"/>
      <c r="BR205" s="45"/>
      <c r="BS205" s="45"/>
      <c r="BT205" s="45"/>
      <c r="BU205" s="45"/>
      <c r="BV205" s="45"/>
      <c r="BW205" s="45"/>
      <c r="BX205" s="45"/>
      <c r="BY205" s="45"/>
      <c r="BZ205" s="45"/>
      <c r="CA205" s="45"/>
      <c r="CB205" s="45"/>
      <c r="CC205" s="45"/>
      <c r="CD205" s="463"/>
    </row>
    <row r="206" spans="2:82">
      <c r="B206" s="136">
        <v>197</v>
      </c>
      <c r="C206" s="138">
        <v>1</v>
      </c>
      <c r="D206" s="474">
        <v>3384.7770453103249</v>
      </c>
      <c r="E206" s="127">
        <v>246.51681131351967</v>
      </c>
      <c r="F206" s="447">
        <v>0.41502613922851611</v>
      </c>
      <c r="G206" s="127">
        <v>129.68126392370783</v>
      </c>
      <c r="H206" s="132">
        <v>52.849206943502004</v>
      </c>
      <c r="I206" s="456"/>
      <c r="J206" s="45"/>
      <c r="K206" s="45">
        <v>510</v>
      </c>
      <c r="L206" s="463"/>
      <c r="M206" s="456">
        <v>35.337825775146484</v>
      </c>
      <c r="N206" s="457"/>
      <c r="O206" s="456"/>
      <c r="P206" s="46"/>
      <c r="Q206" s="463">
        <v>67.018585205078125</v>
      </c>
      <c r="R206" s="449"/>
      <c r="S206" s="463"/>
      <c r="T206" s="480"/>
      <c r="U206" s="468"/>
      <c r="V206" s="449"/>
      <c r="W206" s="45">
        <v>1568.7586669921875</v>
      </c>
      <c r="X206" s="463">
        <v>131.31382751464844</v>
      </c>
      <c r="Y206" s="449"/>
      <c r="Z206" s="45"/>
      <c r="AA206" s="468">
        <v>0.40518781831733264</v>
      </c>
      <c r="AB206" s="456"/>
      <c r="AC206" s="46"/>
      <c r="AD206" s="46"/>
      <c r="AE206" s="46"/>
      <c r="AF206" s="46"/>
      <c r="AG206" s="46"/>
      <c r="AH206" s="46"/>
      <c r="AI206" s="457"/>
      <c r="AJ206" s="138"/>
      <c r="AK206" s="745"/>
      <c r="AL206" s="54"/>
      <c r="AM206" s="468"/>
      <c r="AN206" s="449"/>
      <c r="AO206" s="45"/>
      <c r="AP206" s="45"/>
      <c r="AQ206" s="45"/>
      <c r="AR206" s="45"/>
      <c r="AS206" s="45"/>
      <c r="AT206" s="45"/>
      <c r="AU206" s="463"/>
      <c r="AV206" s="449"/>
      <c r="AW206" s="45"/>
      <c r="AX206" s="45"/>
      <c r="AY206" s="45"/>
      <c r="AZ206" s="45"/>
      <c r="BA206" s="45"/>
      <c r="BB206" s="45"/>
      <c r="BC206" s="463"/>
      <c r="BD206" s="456"/>
      <c r="BE206" s="46"/>
      <c r="BF206" s="46"/>
      <c r="BG206" s="46"/>
      <c r="BH206" s="46"/>
      <c r="BI206" s="46"/>
      <c r="BJ206" s="457"/>
      <c r="BK206" s="449">
        <v>0</v>
      </c>
      <c r="BL206" s="45"/>
      <c r="BM206" s="45"/>
      <c r="BN206" s="45"/>
      <c r="BO206" s="45"/>
      <c r="BP206" s="45"/>
      <c r="BQ206" s="45"/>
      <c r="BR206" s="45"/>
      <c r="BS206" s="45"/>
      <c r="BT206" s="45"/>
      <c r="BU206" s="45"/>
      <c r="BV206" s="45"/>
      <c r="BW206" s="45"/>
      <c r="BX206" s="45"/>
      <c r="BY206" s="45"/>
      <c r="BZ206" s="45"/>
      <c r="CA206" s="45"/>
      <c r="CB206" s="45"/>
      <c r="CC206" s="45"/>
      <c r="CD206" s="463"/>
    </row>
    <row r="207" spans="2:82">
      <c r="B207" s="136">
        <v>198</v>
      </c>
      <c r="C207" s="138">
        <v>1</v>
      </c>
      <c r="D207" s="474">
        <v>3423.7393800728696</v>
      </c>
      <c r="E207" s="127">
        <v>207.39653867536634</v>
      </c>
      <c r="F207" s="447">
        <v>0.38975069296151715</v>
      </c>
      <c r="G207" s="127">
        <v>136.16663785890583</v>
      </c>
      <c r="H207" s="132">
        <v>58.997593189103227</v>
      </c>
      <c r="I207" s="456"/>
      <c r="J207" s="45"/>
      <c r="K207" s="45">
        <v>550</v>
      </c>
      <c r="L207" s="463"/>
      <c r="M207" s="456">
        <v>31.559831619262695</v>
      </c>
      <c r="N207" s="457"/>
      <c r="O207" s="456"/>
      <c r="P207" s="46"/>
      <c r="Q207" s="463">
        <v>75.76708984375</v>
      </c>
      <c r="R207" s="449"/>
      <c r="S207" s="463"/>
      <c r="T207" s="480"/>
      <c r="U207" s="468"/>
      <c r="V207" s="449"/>
      <c r="W207" s="45">
        <v>1526.8250732421875</v>
      </c>
      <c r="X207" s="463">
        <v>128.41400146484375</v>
      </c>
      <c r="Y207" s="449"/>
      <c r="Z207" s="45"/>
      <c r="AA207" s="468">
        <v>0.38017198085214737</v>
      </c>
      <c r="AB207" s="456"/>
      <c r="AC207" s="46"/>
      <c r="AD207" s="46"/>
      <c r="AE207" s="46"/>
      <c r="AF207" s="46"/>
      <c r="AG207" s="46"/>
      <c r="AH207" s="46"/>
      <c r="AI207" s="457"/>
      <c r="AJ207" s="138"/>
      <c r="AK207" s="745"/>
      <c r="AL207" s="54"/>
      <c r="AM207" s="468"/>
      <c r="AN207" s="449"/>
      <c r="AO207" s="45"/>
      <c r="AP207" s="45"/>
      <c r="AQ207" s="45"/>
      <c r="AR207" s="45"/>
      <c r="AS207" s="45"/>
      <c r="AT207" s="45"/>
      <c r="AU207" s="463"/>
      <c r="AV207" s="449"/>
      <c r="AW207" s="45"/>
      <c r="AX207" s="45"/>
      <c r="AY207" s="45"/>
      <c r="AZ207" s="45"/>
      <c r="BA207" s="45"/>
      <c r="BB207" s="45"/>
      <c r="BC207" s="463"/>
      <c r="BD207" s="456"/>
      <c r="BE207" s="46"/>
      <c r="BF207" s="46"/>
      <c r="BG207" s="46"/>
      <c r="BH207" s="46"/>
      <c r="BI207" s="46"/>
      <c r="BJ207" s="457"/>
      <c r="BK207" s="449">
        <v>0</v>
      </c>
      <c r="BL207" s="45"/>
      <c r="BM207" s="45"/>
      <c r="BN207" s="45"/>
      <c r="BO207" s="45"/>
      <c r="BP207" s="45"/>
      <c r="BQ207" s="45"/>
      <c r="BR207" s="45"/>
      <c r="BS207" s="45"/>
      <c r="BT207" s="45"/>
      <c r="BU207" s="45"/>
      <c r="BV207" s="45"/>
      <c r="BW207" s="45"/>
      <c r="BX207" s="45"/>
      <c r="BY207" s="45"/>
      <c r="BZ207" s="45"/>
      <c r="CA207" s="45"/>
      <c r="CB207" s="45"/>
      <c r="CC207" s="45"/>
      <c r="CD207" s="463"/>
    </row>
    <row r="208" spans="2:82">
      <c r="B208" s="136">
        <v>199</v>
      </c>
      <c r="C208" s="138">
        <v>1</v>
      </c>
      <c r="D208" s="474">
        <v>2983.350050544037</v>
      </c>
      <c r="E208" s="127">
        <v>288.56427328877209</v>
      </c>
      <c r="F208" s="447">
        <v>0.49519028368758067</v>
      </c>
      <c r="G208" s="127">
        <v>115.66048010749797</v>
      </c>
      <c r="H208" s="132">
        <v>48.613658265886471</v>
      </c>
      <c r="I208" s="456"/>
      <c r="J208" s="45"/>
      <c r="K208" s="45">
        <v>470</v>
      </c>
      <c r="L208" s="463"/>
      <c r="M208" s="456">
        <v>50.864952087402344</v>
      </c>
      <c r="N208" s="457"/>
      <c r="O208" s="456"/>
      <c r="P208" s="46"/>
      <c r="Q208" s="463">
        <v>59.070331573486328</v>
      </c>
      <c r="R208" s="449"/>
      <c r="S208" s="463"/>
      <c r="T208" s="480"/>
      <c r="U208" s="468"/>
      <c r="V208" s="449"/>
      <c r="W208" s="45">
        <v>2016.7889404296875</v>
      </c>
      <c r="X208" s="463">
        <v>163.70632934570312</v>
      </c>
      <c r="Y208" s="449"/>
      <c r="Z208" s="45"/>
      <c r="AA208" s="468">
        <v>0.48349074957914223</v>
      </c>
      <c r="AB208" s="456"/>
      <c r="AC208" s="46"/>
      <c r="AD208" s="46"/>
      <c r="AE208" s="46"/>
      <c r="AF208" s="46"/>
      <c r="AG208" s="46"/>
      <c r="AH208" s="46"/>
      <c r="AI208" s="457"/>
      <c r="AJ208" s="138"/>
      <c r="AK208" s="745"/>
      <c r="AL208" s="54"/>
      <c r="AM208" s="468"/>
      <c r="AN208" s="449"/>
      <c r="AO208" s="45"/>
      <c r="AP208" s="45"/>
      <c r="AQ208" s="45"/>
      <c r="AR208" s="45"/>
      <c r="AS208" s="45"/>
      <c r="AT208" s="45"/>
      <c r="AU208" s="463"/>
      <c r="AV208" s="449"/>
      <c r="AW208" s="45"/>
      <c r="AX208" s="45"/>
      <c r="AY208" s="45"/>
      <c r="AZ208" s="45"/>
      <c r="BA208" s="45"/>
      <c r="BB208" s="45"/>
      <c r="BC208" s="463"/>
      <c r="BD208" s="456"/>
      <c r="BE208" s="46"/>
      <c r="BF208" s="46"/>
      <c r="BG208" s="46"/>
      <c r="BH208" s="46"/>
      <c r="BI208" s="46"/>
      <c r="BJ208" s="457"/>
      <c r="BK208" s="449">
        <v>0</v>
      </c>
      <c r="BL208" s="45"/>
      <c r="BM208" s="45"/>
      <c r="BN208" s="45"/>
      <c r="BO208" s="45"/>
      <c r="BP208" s="45"/>
      <c r="BQ208" s="45"/>
      <c r="BR208" s="45"/>
      <c r="BS208" s="45"/>
      <c r="BT208" s="45"/>
      <c r="BU208" s="45"/>
      <c r="BV208" s="45"/>
      <c r="BW208" s="45"/>
      <c r="BX208" s="45"/>
      <c r="BY208" s="45"/>
      <c r="BZ208" s="45"/>
      <c r="CA208" s="45"/>
      <c r="CB208" s="45"/>
      <c r="CC208" s="45"/>
      <c r="CD208" s="463"/>
    </row>
    <row r="209" spans="2:82">
      <c r="B209" s="136">
        <v>200</v>
      </c>
      <c r="C209" s="138">
        <v>1</v>
      </c>
      <c r="D209" s="474">
        <v>3583.8003829915356</v>
      </c>
      <c r="E209" s="127">
        <v>244.73895500863298</v>
      </c>
      <c r="F209" s="447">
        <v>0.43070346896656958</v>
      </c>
      <c r="G209" s="127">
        <v>149.17870768462871</v>
      </c>
      <c r="H209" s="132">
        <v>51.09135807981076</v>
      </c>
      <c r="I209" s="456"/>
      <c r="J209" s="45"/>
      <c r="K209" s="45">
        <v>570</v>
      </c>
      <c r="L209" s="463"/>
      <c r="M209" s="456">
        <v>40.146335601806641</v>
      </c>
      <c r="N209" s="457"/>
      <c r="O209" s="456"/>
      <c r="P209" s="46"/>
      <c r="Q209" s="463">
        <v>70.959251403808594</v>
      </c>
      <c r="R209" s="449"/>
      <c r="S209" s="463"/>
      <c r="T209" s="480"/>
      <c r="U209" s="468"/>
      <c r="V209" s="449"/>
      <c r="W209" s="45">
        <v>1837.7158203125</v>
      </c>
      <c r="X209" s="463">
        <v>151.12101745605469</v>
      </c>
      <c r="Y209" s="449"/>
      <c r="Z209" s="45"/>
      <c r="AA209" s="468">
        <v>0.42132402095410182</v>
      </c>
      <c r="AB209" s="456"/>
      <c r="AC209" s="46"/>
      <c r="AD209" s="46"/>
      <c r="AE209" s="46"/>
      <c r="AF209" s="46"/>
      <c r="AG209" s="46"/>
      <c r="AH209" s="46"/>
      <c r="AI209" s="457"/>
      <c r="AJ209" s="138"/>
      <c r="AK209" s="745"/>
      <c r="AL209" s="54"/>
      <c r="AM209" s="468"/>
      <c r="AN209" s="449"/>
      <c r="AO209" s="45"/>
      <c r="AP209" s="45"/>
      <c r="AQ209" s="45"/>
      <c r="AR209" s="45"/>
      <c r="AS209" s="45"/>
      <c r="AT209" s="45"/>
      <c r="AU209" s="463"/>
      <c r="AV209" s="449"/>
      <c r="AW209" s="45"/>
      <c r="AX209" s="45"/>
      <c r="AY209" s="45"/>
      <c r="AZ209" s="45"/>
      <c r="BA209" s="45"/>
      <c r="BB209" s="45"/>
      <c r="BC209" s="463"/>
      <c r="BD209" s="456"/>
      <c r="BE209" s="46"/>
      <c r="BF209" s="46"/>
      <c r="BG209" s="46"/>
      <c r="BH209" s="46"/>
      <c r="BI209" s="46"/>
      <c r="BJ209" s="457"/>
      <c r="BK209" s="449">
        <v>0</v>
      </c>
      <c r="BL209" s="45"/>
      <c r="BM209" s="45"/>
      <c r="BN209" s="45"/>
      <c r="BO209" s="45"/>
      <c r="BP209" s="45"/>
      <c r="BQ209" s="45"/>
      <c r="BR209" s="45"/>
      <c r="BS209" s="45"/>
      <c r="BT209" s="45"/>
      <c r="BU209" s="45"/>
      <c r="BV209" s="45"/>
      <c r="BW209" s="45"/>
      <c r="BX209" s="45"/>
      <c r="BY209" s="45"/>
      <c r="BZ209" s="45"/>
      <c r="CA209" s="45"/>
      <c r="CB209" s="45"/>
      <c r="CC209" s="45"/>
      <c r="CD209" s="463"/>
    </row>
    <row r="210" spans="2:82">
      <c r="B210" s="136">
        <v>201</v>
      </c>
      <c r="C210" s="138">
        <v>1</v>
      </c>
      <c r="D210" s="474">
        <v>3475.8536635611645</v>
      </c>
      <c r="E210" s="127">
        <v>227.28751647085033</v>
      </c>
      <c r="F210" s="447">
        <v>0.42986578771963724</v>
      </c>
      <c r="G210" s="127">
        <v>144.8461243524884</v>
      </c>
      <c r="H210" s="132">
        <v>57.687267193993193</v>
      </c>
      <c r="I210" s="456"/>
      <c r="J210" s="45"/>
      <c r="K210" s="45">
        <v>580</v>
      </c>
      <c r="L210" s="463"/>
      <c r="M210" s="456">
        <v>38.465930938720703</v>
      </c>
      <c r="N210" s="457"/>
      <c r="O210" s="456"/>
      <c r="P210" s="46"/>
      <c r="Q210" s="463">
        <v>76.683311462402344</v>
      </c>
      <c r="R210" s="449"/>
      <c r="S210" s="463"/>
      <c r="T210" s="480"/>
      <c r="U210" s="468"/>
      <c r="V210" s="449"/>
      <c r="W210" s="45">
        <v>1844.84619140625</v>
      </c>
      <c r="X210" s="463">
        <v>151.67506408691406</v>
      </c>
      <c r="Y210" s="449"/>
      <c r="Z210" s="45"/>
      <c r="AA210" s="468">
        <v>0.420199869931841</v>
      </c>
      <c r="AB210" s="456"/>
      <c r="AC210" s="46"/>
      <c r="AD210" s="46"/>
      <c r="AE210" s="46"/>
      <c r="AF210" s="46"/>
      <c r="AG210" s="46"/>
      <c r="AH210" s="46"/>
      <c r="AI210" s="457"/>
      <c r="AJ210" s="138"/>
      <c r="AK210" s="745"/>
      <c r="AL210" s="54"/>
      <c r="AM210" s="468"/>
      <c r="AN210" s="449"/>
      <c r="AO210" s="45"/>
      <c r="AP210" s="45"/>
      <c r="AQ210" s="45"/>
      <c r="AR210" s="45"/>
      <c r="AS210" s="45"/>
      <c r="AT210" s="45"/>
      <c r="AU210" s="463"/>
      <c r="AV210" s="449"/>
      <c r="AW210" s="45"/>
      <c r="AX210" s="45"/>
      <c r="AY210" s="45"/>
      <c r="AZ210" s="45"/>
      <c r="BA210" s="45"/>
      <c r="BB210" s="45"/>
      <c r="BC210" s="463"/>
      <c r="BD210" s="456"/>
      <c r="BE210" s="46"/>
      <c r="BF210" s="46"/>
      <c r="BG210" s="46"/>
      <c r="BH210" s="46"/>
      <c r="BI210" s="46"/>
      <c r="BJ210" s="457"/>
      <c r="BK210" s="449">
        <v>0</v>
      </c>
      <c r="BL210" s="45"/>
      <c r="BM210" s="45"/>
      <c r="BN210" s="45"/>
      <c r="BO210" s="45"/>
      <c r="BP210" s="45"/>
      <c r="BQ210" s="45"/>
      <c r="BR210" s="45"/>
      <c r="BS210" s="45"/>
      <c r="BT210" s="45"/>
      <c r="BU210" s="45"/>
      <c r="BV210" s="45"/>
      <c r="BW210" s="45"/>
      <c r="BX210" s="45"/>
      <c r="BY210" s="45"/>
      <c r="BZ210" s="45"/>
      <c r="CA210" s="45"/>
      <c r="CB210" s="45"/>
      <c r="CC210" s="45"/>
      <c r="CD210" s="463"/>
    </row>
    <row r="211" spans="2:82">
      <c r="B211" s="136">
        <v>202</v>
      </c>
      <c r="C211" s="138">
        <v>1</v>
      </c>
      <c r="D211" s="474">
        <v>2765.300085711915</v>
      </c>
      <c r="E211" s="127">
        <v>219.32829726643567</v>
      </c>
      <c r="F211" s="447">
        <v>0.41461634565679989</v>
      </c>
      <c r="G211" s="127">
        <v>95.262692382279909</v>
      </c>
      <c r="H211" s="132">
        <v>50.417109016322733</v>
      </c>
      <c r="I211" s="456"/>
      <c r="J211" s="45"/>
      <c r="K211" s="45">
        <v>390</v>
      </c>
      <c r="L211" s="463"/>
      <c r="M211" s="456">
        <v>32.438972473144531</v>
      </c>
      <c r="N211" s="457"/>
      <c r="O211" s="456"/>
      <c r="P211" s="46"/>
      <c r="Q211" s="463">
        <v>54.752944946289063</v>
      </c>
      <c r="R211" s="449"/>
      <c r="S211" s="463"/>
      <c r="T211" s="480"/>
      <c r="U211" s="468"/>
      <c r="V211" s="449"/>
      <c r="W211" s="45">
        <v>1247.19921875</v>
      </c>
      <c r="X211" s="463">
        <v>107.43894958496094</v>
      </c>
      <c r="Y211" s="449"/>
      <c r="Z211" s="45"/>
      <c r="AA211" s="468">
        <v>0.4025770277234027</v>
      </c>
      <c r="AB211" s="456"/>
      <c r="AC211" s="46"/>
      <c r="AD211" s="46"/>
      <c r="AE211" s="46"/>
      <c r="AF211" s="46"/>
      <c r="AG211" s="46"/>
      <c r="AH211" s="46"/>
      <c r="AI211" s="457"/>
      <c r="AJ211" s="138"/>
      <c r="AK211" s="745"/>
      <c r="AL211" s="54"/>
      <c r="AM211" s="468"/>
      <c r="AN211" s="449"/>
      <c r="AO211" s="45"/>
      <c r="AP211" s="45"/>
      <c r="AQ211" s="45"/>
      <c r="AR211" s="45"/>
      <c r="AS211" s="45"/>
      <c r="AT211" s="45"/>
      <c r="AU211" s="463"/>
      <c r="AV211" s="449"/>
      <c r="AW211" s="45"/>
      <c r="AX211" s="45"/>
      <c r="AY211" s="45"/>
      <c r="AZ211" s="45"/>
      <c r="BA211" s="45"/>
      <c r="BB211" s="45"/>
      <c r="BC211" s="463"/>
      <c r="BD211" s="456"/>
      <c r="BE211" s="46"/>
      <c r="BF211" s="46"/>
      <c r="BG211" s="46"/>
      <c r="BH211" s="46"/>
      <c r="BI211" s="46"/>
      <c r="BJ211" s="457"/>
      <c r="BK211" s="449">
        <v>0</v>
      </c>
      <c r="BL211" s="45"/>
      <c r="BM211" s="45"/>
      <c r="BN211" s="45"/>
      <c r="BO211" s="45"/>
      <c r="BP211" s="45"/>
      <c r="BQ211" s="45"/>
      <c r="BR211" s="45"/>
      <c r="BS211" s="45"/>
      <c r="BT211" s="45"/>
      <c r="BU211" s="45"/>
      <c r="BV211" s="45"/>
      <c r="BW211" s="45"/>
      <c r="BX211" s="45"/>
      <c r="BY211" s="45"/>
      <c r="BZ211" s="45"/>
      <c r="CA211" s="45"/>
      <c r="CB211" s="45"/>
      <c r="CC211" s="45"/>
      <c r="CD211" s="463"/>
    </row>
    <row r="212" spans="2:82">
      <c r="B212" s="136">
        <v>203</v>
      </c>
      <c r="C212" s="138">
        <v>1</v>
      </c>
      <c r="D212" s="474">
        <v>3781.0665213632401</v>
      </c>
      <c r="E212" s="127">
        <v>187.51284813129874</v>
      </c>
      <c r="F212" s="447">
        <v>0.37234444472801298</v>
      </c>
      <c r="G212" s="127">
        <v>154.20045821777188</v>
      </c>
      <c r="H212" s="132">
        <v>53.598996588841487</v>
      </c>
      <c r="I212" s="456"/>
      <c r="J212" s="45"/>
      <c r="K212" s="45">
        <v>580</v>
      </c>
      <c r="L212" s="463"/>
      <c r="M212" s="456">
        <v>31.725082397460937</v>
      </c>
      <c r="N212" s="457"/>
      <c r="O212" s="456"/>
      <c r="P212" s="46"/>
      <c r="Q212" s="463">
        <v>74.865119934082031</v>
      </c>
      <c r="R212" s="449"/>
      <c r="S212" s="463"/>
      <c r="T212" s="480"/>
      <c r="U212" s="468"/>
      <c r="V212" s="449"/>
      <c r="W212" s="45">
        <v>1540.7078857421875</v>
      </c>
      <c r="X212" s="463">
        <v>129.57763671875</v>
      </c>
      <c r="Y212" s="449"/>
      <c r="Z212" s="45"/>
      <c r="AA212" s="468">
        <v>0.3637630329196691</v>
      </c>
      <c r="AB212" s="456"/>
      <c r="AC212" s="46"/>
      <c r="AD212" s="46"/>
      <c r="AE212" s="46"/>
      <c r="AF212" s="46"/>
      <c r="AG212" s="46"/>
      <c r="AH212" s="46"/>
      <c r="AI212" s="457"/>
      <c r="AJ212" s="138"/>
      <c r="AK212" s="745"/>
      <c r="AL212" s="54"/>
      <c r="AM212" s="468"/>
      <c r="AN212" s="449"/>
      <c r="AO212" s="45"/>
      <c r="AP212" s="45"/>
      <c r="AQ212" s="45"/>
      <c r="AR212" s="45"/>
      <c r="AS212" s="45"/>
      <c r="AT212" s="45"/>
      <c r="AU212" s="463"/>
      <c r="AV212" s="449"/>
      <c r="AW212" s="45"/>
      <c r="AX212" s="45"/>
      <c r="AY212" s="45"/>
      <c r="AZ212" s="45"/>
      <c r="BA212" s="45"/>
      <c r="BB212" s="45"/>
      <c r="BC212" s="463"/>
      <c r="BD212" s="456"/>
      <c r="BE212" s="46"/>
      <c r="BF212" s="46"/>
      <c r="BG212" s="46"/>
      <c r="BH212" s="46"/>
      <c r="BI212" s="46"/>
      <c r="BJ212" s="457"/>
      <c r="BK212" s="449">
        <v>0</v>
      </c>
      <c r="BL212" s="45"/>
      <c r="BM212" s="45"/>
      <c r="BN212" s="45"/>
      <c r="BO212" s="45"/>
      <c r="BP212" s="45"/>
      <c r="BQ212" s="45"/>
      <c r="BR212" s="45"/>
      <c r="BS212" s="45"/>
      <c r="BT212" s="45"/>
      <c r="BU212" s="45"/>
      <c r="BV212" s="45"/>
      <c r="BW212" s="45"/>
      <c r="BX212" s="45"/>
      <c r="BY212" s="45"/>
      <c r="BZ212" s="45"/>
      <c r="CA212" s="45"/>
      <c r="CB212" s="45"/>
      <c r="CC212" s="45"/>
      <c r="CD212" s="463"/>
    </row>
    <row r="213" spans="2:82">
      <c r="B213" s="136">
        <v>204</v>
      </c>
      <c r="C213" s="138">
        <v>1</v>
      </c>
      <c r="D213" s="474">
        <v>3791.805684687155</v>
      </c>
      <c r="E213" s="127">
        <v>242.10086260220876</v>
      </c>
      <c r="F213" s="447">
        <v>0.35142923823819971</v>
      </c>
      <c r="G213" s="127">
        <v>130.05924570316753</v>
      </c>
      <c r="H213" s="132">
        <v>59.850987658927842</v>
      </c>
      <c r="I213" s="456"/>
      <c r="J213" s="45"/>
      <c r="K213" s="45">
        <v>530</v>
      </c>
      <c r="L213" s="463"/>
      <c r="M213" s="456">
        <v>27.151702880859375</v>
      </c>
      <c r="N213" s="457"/>
      <c r="O213" s="456"/>
      <c r="P213" s="46"/>
      <c r="Q213" s="463">
        <v>75.0777587890625</v>
      </c>
      <c r="R213" s="449"/>
      <c r="S213" s="463"/>
      <c r="T213" s="480"/>
      <c r="U213" s="468"/>
      <c r="V213" s="449"/>
      <c r="W213" s="45">
        <v>1325.6446533203125</v>
      </c>
      <c r="X213" s="463">
        <v>113.70406341552734</v>
      </c>
      <c r="Y213" s="449"/>
      <c r="Z213" s="45"/>
      <c r="AA213" s="468">
        <v>0.34298244865346222</v>
      </c>
      <c r="AB213" s="456"/>
      <c r="AC213" s="46"/>
      <c r="AD213" s="46"/>
      <c r="AE213" s="46"/>
      <c r="AF213" s="46"/>
      <c r="AG213" s="46"/>
      <c r="AH213" s="46"/>
      <c r="AI213" s="457"/>
      <c r="AJ213" s="138"/>
      <c r="AK213" s="745"/>
      <c r="AL213" s="54"/>
      <c r="AM213" s="468"/>
      <c r="AN213" s="449"/>
      <c r="AO213" s="45"/>
      <c r="AP213" s="45"/>
      <c r="AQ213" s="45"/>
      <c r="AR213" s="45"/>
      <c r="AS213" s="45"/>
      <c r="AT213" s="45"/>
      <c r="AU213" s="463"/>
      <c r="AV213" s="449"/>
      <c r="AW213" s="45"/>
      <c r="AX213" s="45"/>
      <c r="AY213" s="45"/>
      <c r="AZ213" s="45"/>
      <c r="BA213" s="45"/>
      <c r="BB213" s="45"/>
      <c r="BC213" s="463"/>
      <c r="BD213" s="456"/>
      <c r="BE213" s="46"/>
      <c r="BF213" s="46"/>
      <c r="BG213" s="46"/>
      <c r="BH213" s="46"/>
      <c r="BI213" s="46"/>
      <c r="BJ213" s="457"/>
      <c r="BK213" s="449">
        <v>0</v>
      </c>
      <c r="BL213" s="45"/>
      <c r="BM213" s="45"/>
      <c r="BN213" s="45"/>
      <c r="BO213" s="45"/>
      <c r="BP213" s="45"/>
      <c r="BQ213" s="45"/>
      <c r="BR213" s="45"/>
      <c r="BS213" s="45"/>
      <c r="BT213" s="45"/>
      <c r="BU213" s="45"/>
      <c r="BV213" s="45"/>
      <c r="BW213" s="45"/>
      <c r="BX213" s="45"/>
      <c r="BY213" s="45"/>
      <c r="BZ213" s="45"/>
      <c r="CA213" s="45"/>
      <c r="CB213" s="45"/>
      <c r="CC213" s="45"/>
      <c r="CD213" s="463"/>
    </row>
    <row r="214" spans="2:82">
      <c r="B214" s="136">
        <v>205</v>
      </c>
      <c r="C214" s="138">
        <v>1</v>
      </c>
      <c r="D214" s="474">
        <v>3428.5168160422982</v>
      </c>
      <c r="E214" s="127">
        <v>215.28863192512651</v>
      </c>
      <c r="F214" s="447">
        <v>0.39048946711167409</v>
      </c>
      <c r="G214" s="127">
        <v>108.27955575270843</v>
      </c>
      <c r="H214" s="132">
        <v>59.141366713271424</v>
      </c>
      <c r="I214" s="456"/>
      <c r="J214" s="45"/>
      <c r="K214" s="45">
        <v>460</v>
      </c>
      <c r="L214" s="463"/>
      <c r="M214" s="456">
        <v>29.289203643798828</v>
      </c>
      <c r="N214" s="457"/>
      <c r="O214" s="456"/>
      <c r="P214" s="46"/>
      <c r="Q214" s="463">
        <v>67.884635925292969</v>
      </c>
      <c r="R214" s="449"/>
      <c r="S214" s="463"/>
      <c r="T214" s="480"/>
      <c r="U214" s="468"/>
      <c r="V214" s="449"/>
      <c r="W214" s="45">
        <v>1318.1654052734375</v>
      </c>
      <c r="X214" s="463">
        <v>112.88228607177734</v>
      </c>
      <c r="Y214" s="449"/>
      <c r="Z214" s="45"/>
      <c r="AA214" s="468">
        <v>0.38091979278815497</v>
      </c>
      <c r="AB214" s="456"/>
      <c r="AC214" s="46"/>
      <c r="AD214" s="46"/>
      <c r="AE214" s="46"/>
      <c r="AF214" s="46"/>
      <c r="AG214" s="46"/>
      <c r="AH214" s="46"/>
      <c r="AI214" s="457"/>
      <c r="AJ214" s="138"/>
      <c r="AK214" s="745"/>
      <c r="AL214" s="54"/>
      <c r="AM214" s="468"/>
      <c r="AN214" s="449"/>
      <c r="AO214" s="45"/>
      <c r="AP214" s="45"/>
      <c r="AQ214" s="45"/>
      <c r="AR214" s="45"/>
      <c r="AS214" s="45"/>
      <c r="AT214" s="45"/>
      <c r="AU214" s="463"/>
      <c r="AV214" s="449"/>
      <c r="AW214" s="45"/>
      <c r="AX214" s="45"/>
      <c r="AY214" s="45"/>
      <c r="AZ214" s="45"/>
      <c r="BA214" s="45"/>
      <c r="BB214" s="45"/>
      <c r="BC214" s="463"/>
      <c r="BD214" s="456"/>
      <c r="BE214" s="46"/>
      <c r="BF214" s="46"/>
      <c r="BG214" s="46"/>
      <c r="BH214" s="46"/>
      <c r="BI214" s="46"/>
      <c r="BJ214" s="457"/>
      <c r="BK214" s="449">
        <v>0</v>
      </c>
      <c r="BL214" s="45"/>
      <c r="BM214" s="45"/>
      <c r="BN214" s="45"/>
      <c r="BO214" s="45"/>
      <c r="BP214" s="45"/>
      <c r="BQ214" s="45"/>
      <c r="BR214" s="45"/>
      <c r="BS214" s="45"/>
      <c r="BT214" s="45"/>
      <c r="BU214" s="45"/>
      <c r="BV214" s="45"/>
      <c r="BW214" s="45"/>
      <c r="BX214" s="45"/>
      <c r="BY214" s="45"/>
      <c r="BZ214" s="45"/>
      <c r="CA214" s="45"/>
      <c r="CB214" s="45"/>
      <c r="CC214" s="45"/>
      <c r="CD214" s="463"/>
    </row>
    <row r="215" spans="2:82">
      <c r="B215" s="136">
        <v>206</v>
      </c>
      <c r="C215" s="138">
        <v>1</v>
      </c>
      <c r="D215" s="474">
        <v>3704.4458386963443</v>
      </c>
      <c r="E215" s="127">
        <v>285.34754658990676</v>
      </c>
      <c r="F215" s="447">
        <v>0.42427808757684415</v>
      </c>
      <c r="G215" s="127">
        <v>128.32014379239226</v>
      </c>
      <c r="H215" s="132">
        <v>64.921575225263339</v>
      </c>
      <c r="I215" s="456"/>
      <c r="J215" s="45"/>
      <c r="K215" s="45">
        <v>560</v>
      </c>
      <c r="L215" s="463"/>
      <c r="M215" s="456">
        <v>34.729953765869141</v>
      </c>
      <c r="N215" s="457"/>
      <c r="O215" s="456"/>
      <c r="P215" s="46"/>
      <c r="Q215" s="463">
        <v>81.626510620117188</v>
      </c>
      <c r="R215" s="449"/>
      <c r="S215" s="463"/>
      <c r="T215" s="480"/>
      <c r="U215" s="468"/>
      <c r="V215" s="449"/>
      <c r="W215" s="45">
        <v>1727.7662353515625</v>
      </c>
      <c r="X215" s="463">
        <v>143.06307983398438</v>
      </c>
      <c r="Y215" s="449"/>
      <c r="Z215" s="45"/>
      <c r="AA215" s="468">
        <v>0.41523879716483453</v>
      </c>
      <c r="AB215" s="456"/>
      <c r="AC215" s="46"/>
      <c r="AD215" s="46"/>
      <c r="AE215" s="46"/>
      <c r="AF215" s="46"/>
      <c r="AG215" s="46"/>
      <c r="AH215" s="46"/>
      <c r="AI215" s="457"/>
      <c r="AJ215" s="138"/>
      <c r="AK215" s="745"/>
      <c r="AL215" s="54"/>
      <c r="AM215" s="468"/>
      <c r="AN215" s="449"/>
      <c r="AO215" s="45"/>
      <c r="AP215" s="45"/>
      <c r="AQ215" s="45"/>
      <c r="AR215" s="45"/>
      <c r="AS215" s="45"/>
      <c r="AT215" s="45"/>
      <c r="AU215" s="463"/>
      <c r="AV215" s="449"/>
      <c r="AW215" s="45"/>
      <c r="AX215" s="45"/>
      <c r="AY215" s="45"/>
      <c r="AZ215" s="45"/>
      <c r="BA215" s="45"/>
      <c r="BB215" s="45"/>
      <c r="BC215" s="463"/>
      <c r="BD215" s="456"/>
      <c r="BE215" s="46"/>
      <c r="BF215" s="46"/>
      <c r="BG215" s="46"/>
      <c r="BH215" s="46"/>
      <c r="BI215" s="46"/>
      <c r="BJ215" s="457"/>
      <c r="BK215" s="449">
        <v>0</v>
      </c>
      <c r="BL215" s="45"/>
      <c r="BM215" s="45"/>
      <c r="BN215" s="45"/>
      <c r="BO215" s="45"/>
      <c r="BP215" s="45"/>
      <c r="BQ215" s="45"/>
      <c r="BR215" s="45"/>
      <c r="BS215" s="45"/>
      <c r="BT215" s="45"/>
      <c r="BU215" s="45"/>
      <c r="BV215" s="45"/>
      <c r="BW215" s="45"/>
      <c r="BX215" s="45"/>
      <c r="BY215" s="45"/>
      <c r="BZ215" s="45"/>
      <c r="CA215" s="45"/>
      <c r="CB215" s="45"/>
      <c r="CC215" s="45"/>
      <c r="CD215" s="463"/>
    </row>
    <row r="216" spans="2:82">
      <c r="B216" s="136">
        <v>207</v>
      </c>
      <c r="C216" s="138">
        <v>1</v>
      </c>
      <c r="D216" s="474">
        <v>3296.4278383586898</v>
      </c>
      <c r="E216" s="127">
        <v>235.29170944830349</v>
      </c>
      <c r="F216" s="447">
        <v>0.37575199008719468</v>
      </c>
      <c r="G216" s="127">
        <v>128.11905634973542</v>
      </c>
      <c r="H216" s="132">
        <v>51.514739393345636</v>
      </c>
      <c r="I216" s="456"/>
      <c r="J216" s="45"/>
      <c r="K216" s="45">
        <v>500</v>
      </c>
      <c r="L216" s="463"/>
      <c r="M216" s="456">
        <v>30.473363876342773</v>
      </c>
      <c r="N216" s="457"/>
      <c r="O216" s="456"/>
      <c r="P216" s="46"/>
      <c r="Q216" s="463">
        <v>65.269271850585938</v>
      </c>
      <c r="R216" s="449"/>
      <c r="S216" s="463"/>
      <c r="T216" s="480"/>
      <c r="U216" s="468"/>
      <c r="V216" s="449"/>
      <c r="W216" s="45">
        <v>1349.421142578125</v>
      </c>
      <c r="X216" s="463">
        <v>115.29819488525391</v>
      </c>
      <c r="Y216" s="449"/>
      <c r="Z216" s="45"/>
      <c r="AA216" s="468">
        <v>0.36588827051069295</v>
      </c>
      <c r="AB216" s="456"/>
      <c r="AC216" s="46"/>
      <c r="AD216" s="46"/>
      <c r="AE216" s="46"/>
      <c r="AF216" s="46"/>
      <c r="AG216" s="46"/>
      <c r="AH216" s="46"/>
      <c r="AI216" s="457"/>
      <c r="AJ216" s="138"/>
      <c r="AK216" s="745"/>
      <c r="AL216" s="54"/>
      <c r="AM216" s="468"/>
      <c r="AN216" s="449"/>
      <c r="AO216" s="45"/>
      <c r="AP216" s="45"/>
      <c r="AQ216" s="45"/>
      <c r="AR216" s="45"/>
      <c r="AS216" s="45"/>
      <c r="AT216" s="45"/>
      <c r="AU216" s="463"/>
      <c r="AV216" s="449"/>
      <c r="AW216" s="45"/>
      <c r="AX216" s="45"/>
      <c r="AY216" s="45"/>
      <c r="AZ216" s="45"/>
      <c r="BA216" s="45"/>
      <c r="BB216" s="45"/>
      <c r="BC216" s="463"/>
      <c r="BD216" s="456"/>
      <c r="BE216" s="46"/>
      <c r="BF216" s="46"/>
      <c r="BG216" s="46"/>
      <c r="BH216" s="46"/>
      <c r="BI216" s="46"/>
      <c r="BJ216" s="457"/>
      <c r="BK216" s="449">
        <v>0</v>
      </c>
      <c r="BL216" s="45"/>
      <c r="BM216" s="45"/>
      <c r="BN216" s="45"/>
      <c r="BO216" s="45"/>
      <c r="BP216" s="45"/>
      <c r="BQ216" s="45"/>
      <c r="BR216" s="45"/>
      <c r="BS216" s="45"/>
      <c r="BT216" s="45"/>
      <c r="BU216" s="45"/>
      <c r="BV216" s="45"/>
      <c r="BW216" s="45"/>
      <c r="BX216" s="45"/>
      <c r="BY216" s="45"/>
      <c r="BZ216" s="45"/>
      <c r="CA216" s="45"/>
      <c r="CB216" s="45"/>
      <c r="CC216" s="45"/>
      <c r="CD216" s="463"/>
    </row>
    <row r="217" spans="2:82">
      <c r="B217" s="136">
        <v>208</v>
      </c>
      <c r="C217" s="138">
        <v>1</v>
      </c>
      <c r="D217" s="474">
        <v>2747.8436917551303</v>
      </c>
      <c r="E217" s="127">
        <v>328.47118829582212</v>
      </c>
      <c r="F217" s="447">
        <v>0.48950170225061235</v>
      </c>
      <c r="G217" s="127">
        <v>106.29443568927543</v>
      </c>
      <c r="H217" s="132">
        <v>46.176475113371971</v>
      </c>
      <c r="I217" s="456"/>
      <c r="J217" s="45"/>
      <c r="K217" s="45">
        <v>430</v>
      </c>
      <c r="L217" s="463"/>
      <c r="M217" s="456">
        <v>48.190269470214844</v>
      </c>
      <c r="N217" s="457"/>
      <c r="O217" s="456"/>
      <c r="P217" s="46"/>
      <c r="Q217" s="463">
        <v>54.407306671142578</v>
      </c>
      <c r="R217" s="449"/>
      <c r="S217" s="463"/>
      <c r="T217" s="480"/>
      <c r="U217" s="468"/>
      <c r="V217" s="449"/>
      <c r="W217" s="45">
        <v>1816.9183349609375</v>
      </c>
      <c r="X217" s="463">
        <v>149.01397705078125</v>
      </c>
      <c r="Y217" s="449"/>
      <c r="Z217" s="45"/>
      <c r="AA217" s="468">
        <v>0.47684085325494374</v>
      </c>
      <c r="AB217" s="456"/>
      <c r="AC217" s="46"/>
      <c r="AD217" s="46"/>
      <c r="AE217" s="46"/>
      <c r="AF217" s="46"/>
      <c r="AG217" s="46"/>
      <c r="AH217" s="46"/>
      <c r="AI217" s="457"/>
      <c r="AJ217" s="138"/>
      <c r="AK217" s="745"/>
      <c r="AL217" s="54"/>
      <c r="AM217" s="468"/>
      <c r="AN217" s="449"/>
      <c r="AO217" s="45"/>
      <c r="AP217" s="45"/>
      <c r="AQ217" s="45"/>
      <c r="AR217" s="45"/>
      <c r="AS217" s="45"/>
      <c r="AT217" s="45"/>
      <c r="AU217" s="463"/>
      <c r="AV217" s="449"/>
      <c r="AW217" s="45"/>
      <c r="AX217" s="45"/>
      <c r="AY217" s="45"/>
      <c r="AZ217" s="45"/>
      <c r="BA217" s="45"/>
      <c r="BB217" s="45"/>
      <c r="BC217" s="463"/>
      <c r="BD217" s="456"/>
      <c r="BE217" s="46"/>
      <c r="BF217" s="46"/>
      <c r="BG217" s="46"/>
      <c r="BH217" s="46"/>
      <c r="BI217" s="46"/>
      <c r="BJ217" s="457"/>
      <c r="BK217" s="449">
        <v>0</v>
      </c>
      <c r="BL217" s="45"/>
      <c r="BM217" s="45"/>
      <c r="BN217" s="45"/>
      <c r="BO217" s="45"/>
      <c r="BP217" s="45"/>
      <c r="BQ217" s="45"/>
      <c r="BR217" s="45"/>
      <c r="BS217" s="45"/>
      <c r="BT217" s="45"/>
      <c r="BU217" s="45"/>
      <c r="BV217" s="45"/>
      <c r="BW217" s="45"/>
      <c r="BX217" s="45"/>
      <c r="BY217" s="45"/>
      <c r="BZ217" s="45"/>
      <c r="CA217" s="45"/>
      <c r="CB217" s="45"/>
      <c r="CC217" s="45"/>
      <c r="CD217" s="463"/>
    </row>
    <row r="218" spans="2:82">
      <c r="B218" s="136">
        <v>209</v>
      </c>
      <c r="C218" s="138">
        <v>1</v>
      </c>
      <c r="D218" s="474">
        <v>3767.3027071231509</v>
      </c>
      <c r="E218" s="127">
        <v>182.99619326795812</v>
      </c>
      <c r="F218" s="447">
        <v>0.4130802820101187</v>
      </c>
      <c r="G218" s="127">
        <v>143.63727542831293</v>
      </c>
      <c r="H218" s="132">
        <v>62.575706908998271</v>
      </c>
      <c r="I218" s="456"/>
      <c r="J218" s="45"/>
      <c r="K218" s="45">
        <v>590</v>
      </c>
      <c r="L218" s="463"/>
      <c r="M218" s="456">
        <v>34.917060852050781</v>
      </c>
      <c r="N218" s="457"/>
      <c r="O218" s="456"/>
      <c r="P218" s="46"/>
      <c r="Q218" s="463">
        <v>82.649513244628906</v>
      </c>
      <c r="R218" s="449"/>
      <c r="S218" s="463"/>
      <c r="T218" s="480"/>
      <c r="U218" s="468"/>
      <c r="V218" s="449"/>
      <c r="W218" s="45">
        <v>1763.094970703125</v>
      </c>
      <c r="X218" s="463">
        <v>145.78204345703125</v>
      </c>
      <c r="Y218" s="449"/>
      <c r="Z218" s="45"/>
      <c r="AA218" s="468">
        <v>0.40425125810999196</v>
      </c>
      <c r="AB218" s="456"/>
      <c r="AC218" s="46"/>
      <c r="AD218" s="46"/>
      <c r="AE218" s="46"/>
      <c r="AF218" s="46"/>
      <c r="AG218" s="46"/>
      <c r="AH218" s="46"/>
      <c r="AI218" s="457"/>
      <c r="AJ218" s="138"/>
      <c r="AK218" s="745"/>
      <c r="AL218" s="54"/>
      <c r="AM218" s="468"/>
      <c r="AN218" s="449"/>
      <c r="AO218" s="45"/>
      <c r="AP218" s="45"/>
      <c r="AQ218" s="45"/>
      <c r="AR218" s="45"/>
      <c r="AS218" s="45"/>
      <c r="AT218" s="45"/>
      <c r="AU218" s="463"/>
      <c r="AV218" s="449"/>
      <c r="AW218" s="45"/>
      <c r="AX218" s="45"/>
      <c r="AY218" s="45"/>
      <c r="AZ218" s="45"/>
      <c r="BA218" s="45"/>
      <c r="BB218" s="45"/>
      <c r="BC218" s="463"/>
      <c r="BD218" s="456"/>
      <c r="BE218" s="46"/>
      <c r="BF218" s="46"/>
      <c r="BG218" s="46"/>
      <c r="BH218" s="46"/>
      <c r="BI218" s="46"/>
      <c r="BJ218" s="457"/>
      <c r="BK218" s="449">
        <v>0</v>
      </c>
      <c r="BL218" s="45"/>
      <c r="BM218" s="45"/>
      <c r="BN218" s="45"/>
      <c r="BO218" s="45"/>
      <c r="BP218" s="45"/>
      <c r="BQ218" s="45"/>
      <c r="BR218" s="45"/>
      <c r="BS218" s="45"/>
      <c r="BT218" s="45"/>
      <c r="BU218" s="45"/>
      <c r="BV218" s="45"/>
      <c r="BW218" s="45"/>
      <c r="BX218" s="45"/>
      <c r="BY218" s="45"/>
      <c r="BZ218" s="45"/>
      <c r="CA218" s="45"/>
      <c r="CB218" s="45"/>
      <c r="CC218" s="45"/>
      <c r="CD218" s="463"/>
    </row>
    <row r="219" spans="2:82">
      <c r="B219" s="136">
        <v>210</v>
      </c>
      <c r="C219" s="138">
        <v>1</v>
      </c>
      <c r="D219" s="474">
        <v>3252.0224036753625</v>
      </c>
      <c r="E219" s="127">
        <v>239.1062629771811</v>
      </c>
      <c r="F219" s="447">
        <v>0.46238796482944944</v>
      </c>
      <c r="G219" s="127">
        <v>121.92203352170861</v>
      </c>
      <c r="H219" s="132">
        <v>52.459848519177136</v>
      </c>
      <c r="I219" s="456"/>
      <c r="J219" s="45"/>
      <c r="K219" s="45">
        <v>490</v>
      </c>
      <c r="L219" s="463"/>
      <c r="M219" s="456">
        <v>42.83746337890625</v>
      </c>
      <c r="N219" s="457"/>
      <c r="O219" s="456"/>
      <c r="P219" s="46"/>
      <c r="Q219" s="463">
        <v>64.390045166015625</v>
      </c>
      <c r="R219" s="449"/>
      <c r="S219" s="463"/>
      <c r="T219" s="480"/>
      <c r="U219" s="468"/>
      <c r="V219" s="449"/>
      <c r="W219" s="45">
        <v>1817.668212890625</v>
      </c>
      <c r="X219" s="463">
        <v>149.33734130859375</v>
      </c>
      <c r="Y219" s="449"/>
      <c r="Z219" s="45"/>
      <c r="AA219" s="468">
        <v>0.45185674608449772</v>
      </c>
      <c r="AB219" s="456"/>
      <c r="AC219" s="46"/>
      <c r="AD219" s="46"/>
      <c r="AE219" s="46"/>
      <c r="AF219" s="46"/>
      <c r="AG219" s="46"/>
      <c r="AH219" s="46"/>
      <c r="AI219" s="457"/>
      <c r="AJ219" s="138"/>
      <c r="AK219" s="745"/>
      <c r="AL219" s="54"/>
      <c r="AM219" s="468"/>
      <c r="AN219" s="449"/>
      <c r="AO219" s="45"/>
      <c r="AP219" s="45"/>
      <c r="AQ219" s="45"/>
      <c r="AR219" s="45"/>
      <c r="AS219" s="45"/>
      <c r="AT219" s="45"/>
      <c r="AU219" s="463"/>
      <c r="AV219" s="449"/>
      <c r="AW219" s="45"/>
      <c r="AX219" s="45"/>
      <c r="AY219" s="45"/>
      <c r="AZ219" s="45"/>
      <c r="BA219" s="45"/>
      <c r="BB219" s="45"/>
      <c r="BC219" s="463"/>
      <c r="BD219" s="456"/>
      <c r="BE219" s="46"/>
      <c r="BF219" s="46"/>
      <c r="BG219" s="46"/>
      <c r="BH219" s="46"/>
      <c r="BI219" s="46"/>
      <c r="BJ219" s="457"/>
      <c r="BK219" s="449">
        <v>0</v>
      </c>
      <c r="BL219" s="45"/>
      <c r="BM219" s="45"/>
      <c r="BN219" s="45"/>
      <c r="BO219" s="45"/>
      <c r="BP219" s="45"/>
      <c r="BQ219" s="45"/>
      <c r="BR219" s="45"/>
      <c r="BS219" s="45"/>
      <c r="BT219" s="45"/>
      <c r="BU219" s="45"/>
      <c r="BV219" s="45"/>
      <c r="BW219" s="45"/>
      <c r="BX219" s="45"/>
      <c r="BY219" s="45"/>
      <c r="BZ219" s="45"/>
      <c r="CA219" s="45"/>
      <c r="CB219" s="45"/>
      <c r="CC219" s="45"/>
      <c r="CD219" s="463"/>
    </row>
    <row r="220" spans="2:82">
      <c r="B220" s="136">
        <v>211</v>
      </c>
      <c r="C220" s="138">
        <v>1</v>
      </c>
      <c r="D220" s="474">
        <v>3230.2459937121184</v>
      </c>
      <c r="E220" s="127">
        <v>183.61220435392462</v>
      </c>
      <c r="F220" s="447">
        <v>0.36917150114091934</v>
      </c>
      <c r="G220" s="127">
        <v>132.95919216596363</v>
      </c>
      <c r="H220" s="132">
        <v>48.480381744647175</v>
      </c>
      <c r="I220" s="456"/>
      <c r="J220" s="45"/>
      <c r="K220" s="45">
        <v>500</v>
      </c>
      <c r="L220" s="463"/>
      <c r="M220" s="456">
        <v>30.718790054321289</v>
      </c>
      <c r="N220" s="457"/>
      <c r="O220" s="456"/>
      <c r="P220" s="46"/>
      <c r="Q220" s="463">
        <v>63.958873748779297</v>
      </c>
      <c r="R220" s="449"/>
      <c r="S220" s="463"/>
      <c r="T220" s="480"/>
      <c r="U220" s="468"/>
      <c r="V220" s="449"/>
      <c r="W220" s="45">
        <v>1342.9718017578125</v>
      </c>
      <c r="X220" s="463">
        <v>114.85900115966797</v>
      </c>
      <c r="Y220" s="449"/>
      <c r="Z220" s="45"/>
      <c r="AA220" s="468">
        <v>0.35914643491195264</v>
      </c>
      <c r="AB220" s="456"/>
      <c r="AC220" s="46"/>
      <c r="AD220" s="46"/>
      <c r="AE220" s="46"/>
      <c r="AF220" s="46"/>
      <c r="AG220" s="46"/>
      <c r="AH220" s="46"/>
      <c r="AI220" s="457"/>
      <c r="AJ220" s="138"/>
      <c r="AK220" s="745"/>
      <c r="AL220" s="54"/>
      <c r="AM220" s="468"/>
      <c r="AN220" s="449"/>
      <c r="AO220" s="45"/>
      <c r="AP220" s="45"/>
      <c r="AQ220" s="45"/>
      <c r="AR220" s="45"/>
      <c r="AS220" s="45"/>
      <c r="AT220" s="45"/>
      <c r="AU220" s="463"/>
      <c r="AV220" s="449"/>
      <c r="AW220" s="45"/>
      <c r="AX220" s="45"/>
      <c r="AY220" s="45"/>
      <c r="AZ220" s="45"/>
      <c r="BA220" s="45"/>
      <c r="BB220" s="45"/>
      <c r="BC220" s="463"/>
      <c r="BD220" s="456"/>
      <c r="BE220" s="46"/>
      <c r="BF220" s="46"/>
      <c r="BG220" s="46"/>
      <c r="BH220" s="46"/>
      <c r="BI220" s="46"/>
      <c r="BJ220" s="457"/>
      <c r="BK220" s="449">
        <v>0</v>
      </c>
      <c r="BL220" s="45"/>
      <c r="BM220" s="45"/>
      <c r="BN220" s="45"/>
      <c r="BO220" s="45"/>
      <c r="BP220" s="45"/>
      <c r="BQ220" s="45"/>
      <c r="BR220" s="45"/>
      <c r="BS220" s="45"/>
      <c r="BT220" s="45"/>
      <c r="BU220" s="45"/>
      <c r="BV220" s="45"/>
      <c r="BW220" s="45"/>
      <c r="BX220" s="45"/>
      <c r="BY220" s="45"/>
      <c r="BZ220" s="45"/>
      <c r="CA220" s="45"/>
      <c r="CB220" s="45"/>
      <c r="CC220" s="45"/>
      <c r="CD220" s="463"/>
    </row>
    <row r="221" spans="2:82">
      <c r="B221" s="136">
        <v>212</v>
      </c>
      <c r="C221" s="138">
        <v>1</v>
      </c>
      <c r="D221" s="474">
        <v>2936.1644632455509</v>
      </c>
      <c r="E221" s="127">
        <v>235.36302375231023</v>
      </c>
      <c r="F221" s="447">
        <v>0.41423335264452193</v>
      </c>
      <c r="G221" s="127">
        <v>115.4687943876683</v>
      </c>
      <c r="H221" s="132">
        <v>55.934584912961483</v>
      </c>
      <c r="I221" s="456"/>
      <c r="J221" s="45"/>
      <c r="K221" s="45">
        <v>480</v>
      </c>
      <c r="L221" s="463"/>
      <c r="M221" s="456">
        <v>33.393699645996094</v>
      </c>
      <c r="N221" s="457"/>
      <c r="O221" s="456"/>
      <c r="P221" s="46"/>
      <c r="Q221" s="463">
        <v>66.170661926269531</v>
      </c>
      <c r="R221" s="449"/>
      <c r="S221" s="463"/>
      <c r="T221" s="480"/>
      <c r="U221" s="468"/>
      <c r="V221" s="449"/>
      <c r="W221" s="45">
        <v>1468.3846435546875</v>
      </c>
      <c r="X221" s="463">
        <v>123.87398529052734</v>
      </c>
      <c r="Y221" s="449"/>
      <c r="Z221" s="45"/>
      <c r="AA221" s="468">
        <v>0.40289724818935851</v>
      </c>
      <c r="AB221" s="456"/>
      <c r="AC221" s="46"/>
      <c r="AD221" s="46"/>
      <c r="AE221" s="46"/>
      <c r="AF221" s="46"/>
      <c r="AG221" s="46"/>
      <c r="AH221" s="46"/>
      <c r="AI221" s="457"/>
      <c r="AJ221" s="138"/>
      <c r="AK221" s="745"/>
      <c r="AL221" s="54"/>
      <c r="AM221" s="468"/>
      <c r="AN221" s="449"/>
      <c r="AO221" s="45"/>
      <c r="AP221" s="45"/>
      <c r="AQ221" s="45"/>
      <c r="AR221" s="45"/>
      <c r="AS221" s="45"/>
      <c r="AT221" s="45"/>
      <c r="AU221" s="463"/>
      <c r="AV221" s="449"/>
      <c r="AW221" s="45"/>
      <c r="AX221" s="45"/>
      <c r="AY221" s="45"/>
      <c r="AZ221" s="45"/>
      <c r="BA221" s="45"/>
      <c r="BB221" s="45"/>
      <c r="BC221" s="463"/>
      <c r="BD221" s="456"/>
      <c r="BE221" s="46"/>
      <c r="BF221" s="46"/>
      <c r="BG221" s="46"/>
      <c r="BH221" s="46"/>
      <c r="BI221" s="46"/>
      <c r="BJ221" s="457"/>
      <c r="BK221" s="449">
        <v>0</v>
      </c>
      <c r="BL221" s="45"/>
      <c r="BM221" s="45"/>
      <c r="BN221" s="45"/>
      <c r="BO221" s="45"/>
      <c r="BP221" s="45"/>
      <c r="BQ221" s="45"/>
      <c r="BR221" s="45"/>
      <c r="BS221" s="45"/>
      <c r="BT221" s="45"/>
      <c r="BU221" s="45"/>
      <c r="BV221" s="45"/>
      <c r="BW221" s="45"/>
      <c r="BX221" s="45"/>
      <c r="BY221" s="45"/>
      <c r="BZ221" s="45"/>
      <c r="CA221" s="45"/>
      <c r="CB221" s="45"/>
      <c r="CC221" s="45"/>
      <c r="CD221" s="463"/>
    </row>
    <row r="222" spans="2:82">
      <c r="B222" s="136">
        <v>213</v>
      </c>
      <c r="C222" s="138">
        <v>1</v>
      </c>
      <c r="D222" s="474">
        <v>3511.8038168768162</v>
      </c>
      <c r="E222" s="127">
        <v>244.21722169727246</v>
      </c>
      <c r="F222" s="447">
        <v>0.40402240330395783</v>
      </c>
      <c r="G222" s="127">
        <v>131.21376456051598</v>
      </c>
      <c r="H222" s="132">
        <v>61.550216748008324</v>
      </c>
      <c r="I222" s="456"/>
      <c r="J222" s="45"/>
      <c r="K222" s="45">
        <v>550</v>
      </c>
      <c r="L222" s="463"/>
      <c r="M222" s="456">
        <v>32.741954803466797</v>
      </c>
      <c r="N222" s="457"/>
      <c r="O222" s="456"/>
      <c r="P222" s="46"/>
      <c r="Q222" s="463">
        <v>77.647506713867187</v>
      </c>
      <c r="R222" s="449"/>
      <c r="S222" s="463"/>
      <c r="T222" s="480"/>
      <c r="U222" s="468"/>
      <c r="V222" s="449"/>
      <c r="W222" s="45">
        <v>1596.6121826171875</v>
      </c>
      <c r="X222" s="463">
        <v>133.49176025390625</v>
      </c>
      <c r="Y222" s="449"/>
      <c r="Z222" s="45"/>
      <c r="AA222" s="468">
        <v>0.39460261512925882</v>
      </c>
      <c r="AB222" s="456"/>
      <c r="AC222" s="46"/>
      <c r="AD222" s="46"/>
      <c r="AE222" s="46"/>
      <c r="AF222" s="46"/>
      <c r="AG222" s="46"/>
      <c r="AH222" s="46"/>
      <c r="AI222" s="457"/>
      <c r="AJ222" s="138"/>
      <c r="AK222" s="745"/>
      <c r="AL222" s="54"/>
      <c r="AM222" s="468"/>
      <c r="AN222" s="449"/>
      <c r="AO222" s="45"/>
      <c r="AP222" s="45"/>
      <c r="AQ222" s="45"/>
      <c r="AR222" s="45"/>
      <c r="AS222" s="45"/>
      <c r="AT222" s="45"/>
      <c r="AU222" s="463"/>
      <c r="AV222" s="449"/>
      <c r="AW222" s="45"/>
      <c r="AX222" s="45"/>
      <c r="AY222" s="45"/>
      <c r="AZ222" s="45"/>
      <c r="BA222" s="45"/>
      <c r="BB222" s="45"/>
      <c r="BC222" s="463"/>
      <c r="BD222" s="456"/>
      <c r="BE222" s="46"/>
      <c r="BF222" s="46"/>
      <c r="BG222" s="46"/>
      <c r="BH222" s="46"/>
      <c r="BI222" s="46"/>
      <c r="BJ222" s="457"/>
      <c r="BK222" s="449">
        <v>0</v>
      </c>
      <c r="BL222" s="45"/>
      <c r="BM222" s="45"/>
      <c r="BN222" s="45"/>
      <c r="BO222" s="45"/>
      <c r="BP222" s="45"/>
      <c r="BQ222" s="45"/>
      <c r="BR222" s="45"/>
      <c r="BS222" s="45"/>
      <c r="BT222" s="45"/>
      <c r="BU222" s="45"/>
      <c r="BV222" s="45"/>
      <c r="BW222" s="45"/>
      <c r="BX222" s="45"/>
      <c r="BY222" s="45"/>
      <c r="BZ222" s="45"/>
      <c r="CA222" s="45"/>
      <c r="CB222" s="45"/>
      <c r="CC222" s="45"/>
      <c r="CD222" s="463"/>
    </row>
    <row r="223" spans="2:82">
      <c r="B223" s="136">
        <v>214</v>
      </c>
      <c r="C223" s="138">
        <v>1</v>
      </c>
      <c r="D223" s="474">
        <v>2657.2865546464291</v>
      </c>
      <c r="E223" s="127">
        <v>227.04798442748506</v>
      </c>
      <c r="F223" s="447">
        <v>0.48079844130378829</v>
      </c>
      <c r="G223" s="127">
        <v>92.727568585914099</v>
      </c>
      <c r="H223" s="132">
        <v>57.048695653322127</v>
      </c>
      <c r="I223" s="456"/>
      <c r="J223" s="45"/>
      <c r="K223" s="45">
        <v>420</v>
      </c>
      <c r="L223" s="463"/>
      <c r="M223" s="456">
        <v>41.510078430175781</v>
      </c>
      <c r="N223" s="457"/>
      <c r="O223" s="456"/>
      <c r="P223" s="46"/>
      <c r="Q223" s="463">
        <v>60.866367340087891</v>
      </c>
      <c r="R223" s="449"/>
      <c r="S223" s="463"/>
      <c r="T223" s="480"/>
      <c r="U223" s="468"/>
      <c r="V223" s="449"/>
      <c r="W223" s="45">
        <v>1684.45458984375</v>
      </c>
      <c r="X223" s="463">
        <v>139.3426513671875</v>
      </c>
      <c r="Y223" s="449"/>
      <c r="Z223" s="45"/>
      <c r="AA223" s="468">
        <v>0.46777163064027616</v>
      </c>
      <c r="AB223" s="456"/>
      <c r="AC223" s="46"/>
      <c r="AD223" s="46"/>
      <c r="AE223" s="46"/>
      <c r="AF223" s="46"/>
      <c r="AG223" s="46"/>
      <c r="AH223" s="46"/>
      <c r="AI223" s="457"/>
      <c r="AJ223" s="138"/>
      <c r="AK223" s="745"/>
      <c r="AL223" s="54"/>
      <c r="AM223" s="468"/>
      <c r="AN223" s="449"/>
      <c r="AO223" s="45"/>
      <c r="AP223" s="45"/>
      <c r="AQ223" s="45"/>
      <c r="AR223" s="45"/>
      <c r="AS223" s="45"/>
      <c r="AT223" s="45"/>
      <c r="AU223" s="463"/>
      <c r="AV223" s="449"/>
      <c r="AW223" s="45"/>
      <c r="AX223" s="45"/>
      <c r="AY223" s="45"/>
      <c r="AZ223" s="45"/>
      <c r="BA223" s="45"/>
      <c r="BB223" s="45"/>
      <c r="BC223" s="463"/>
      <c r="BD223" s="456"/>
      <c r="BE223" s="46"/>
      <c r="BF223" s="46"/>
      <c r="BG223" s="46"/>
      <c r="BH223" s="46"/>
      <c r="BI223" s="46"/>
      <c r="BJ223" s="457"/>
      <c r="BK223" s="449">
        <v>0</v>
      </c>
      <c r="BL223" s="45"/>
      <c r="BM223" s="45"/>
      <c r="BN223" s="45"/>
      <c r="BO223" s="45"/>
      <c r="BP223" s="45"/>
      <c r="BQ223" s="45"/>
      <c r="BR223" s="45"/>
      <c r="BS223" s="45"/>
      <c r="BT223" s="45"/>
      <c r="BU223" s="45"/>
      <c r="BV223" s="45"/>
      <c r="BW223" s="45"/>
      <c r="BX223" s="45"/>
      <c r="BY223" s="45"/>
      <c r="BZ223" s="45"/>
      <c r="CA223" s="45"/>
      <c r="CB223" s="45"/>
      <c r="CC223" s="45"/>
      <c r="CD223" s="463"/>
    </row>
    <row r="224" spans="2:82">
      <c r="B224" s="136">
        <v>215</v>
      </c>
      <c r="C224" s="138">
        <v>1</v>
      </c>
      <c r="D224" s="474">
        <v>3308.939681546648</v>
      </c>
      <c r="E224" s="127">
        <v>284.11743511881554</v>
      </c>
      <c r="F224" s="447">
        <v>0.48161182424630256</v>
      </c>
      <c r="G224" s="127">
        <v>114.2398057327825</v>
      </c>
      <c r="H224" s="132">
        <v>62.320806604502522</v>
      </c>
      <c r="I224" s="456"/>
      <c r="J224" s="45"/>
      <c r="K224" s="45">
        <v>510</v>
      </c>
      <c r="L224" s="463"/>
      <c r="M224" s="456">
        <v>43.976211547851563</v>
      </c>
      <c r="N224" s="457"/>
      <c r="O224" s="456"/>
      <c r="P224" s="46"/>
      <c r="Q224" s="463">
        <v>73.796310424804687</v>
      </c>
      <c r="R224" s="449"/>
      <c r="S224" s="463"/>
      <c r="T224" s="480"/>
      <c r="U224" s="468"/>
      <c r="V224" s="449"/>
      <c r="W224" s="45">
        <v>2008.475830078125</v>
      </c>
      <c r="X224" s="463">
        <v>163.27723693847656</v>
      </c>
      <c r="Y224" s="449"/>
      <c r="Z224" s="45"/>
      <c r="AA224" s="468">
        <v>0.47114556018048603</v>
      </c>
      <c r="AB224" s="456"/>
      <c r="AC224" s="46"/>
      <c r="AD224" s="46"/>
      <c r="AE224" s="46"/>
      <c r="AF224" s="46"/>
      <c r="AG224" s="46"/>
      <c r="AH224" s="46"/>
      <c r="AI224" s="457"/>
      <c r="AJ224" s="138"/>
      <c r="AK224" s="745"/>
      <c r="AL224" s="54"/>
      <c r="AM224" s="468"/>
      <c r="AN224" s="449"/>
      <c r="AO224" s="45"/>
      <c r="AP224" s="45"/>
      <c r="AQ224" s="45"/>
      <c r="AR224" s="45"/>
      <c r="AS224" s="45"/>
      <c r="AT224" s="45"/>
      <c r="AU224" s="463"/>
      <c r="AV224" s="449"/>
      <c r="AW224" s="45"/>
      <c r="AX224" s="45"/>
      <c r="AY224" s="45"/>
      <c r="AZ224" s="45"/>
      <c r="BA224" s="45"/>
      <c r="BB224" s="45"/>
      <c r="BC224" s="463"/>
      <c r="BD224" s="456"/>
      <c r="BE224" s="46"/>
      <c r="BF224" s="46"/>
      <c r="BG224" s="46"/>
      <c r="BH224" s="46"/>
      <c r="BI224" s="46"/>
      <c r="BJ224" s="457"/>
      <c r="BK224" s="449">
        <v>0</v>
      </c>
      <c r="BL224" s="45"/>
      <c r="BM224" s="45"/>
      <c r="BN224" s="45"/>
      <c r="BO224" s="45"/>
      <c r="BP224" s="45"/>
      <c r="BQ224" s="45"/>
      <c r="BR224" s="45"/>
      <c r="BS224" s="45"/>
      <c r="BT224" s="45"/>
      <c r="BU224" s="45"/>
      <c r="BV224" s="45"/>
      <c r="BW224" s="45"/>
      <c r="BX224" s="45"/>
      <c r="BY224" s="45"/>
      <c r="BZ224" s="45"/>
      <c r="CA224" s="45"/>
      <c r="CB224" s="45"/>
      <c r="CC224" s="45"/>
      <c r="CD224" s="463"/>
    </row>
    <row r="225" spans="2:82">
      <c r="B225" s="136">
        <v>216</v>
      </c>
      <c r="C225" s="138">
        <v>1</v>
      </c>
      <c r="D225" s="474">
        <v>4104.9643464437022</v>
      </c>
      <c r="E225" s="127">
        <v>243.39891415350402</v>
      </c>
      <c r="F225" s="447">
        <v>0.42640333505767858</v>
      </c>
      <c r="G225" s="127">
        <v>153.64979602056036</v>
      </c>
      <c r="H225" s="132">
        <v>59.363124715470725</v>
      </c>
      <c r="I225" s="456"/>
      <c r="J225" s="45"/>
      <c r="K225" s="45">
        <v>610</v>
      </c>
      <c r="L225" s="463"/>
      <c r="M225" s="456">
        <v>38.3538818359375</v>
      </c>
      <c r="N225" s="457"/>
      <c r="O225" s="456"/>
      <c r="P225" s="46"/>
      <c r="Q225" s="463">
        <v>81.278297424316406</v>
      </c>
      <c r="R225" s="449"/>
      <c r="S225" s="463"/>
      <c r="T225" s="480"/>
      <c r="U225" s="468"/>
      <c r="V225" s="449"/>
      <c r="W225" s="45">
        <v>1908.7747802734375</v>
      </c>
      <c r="X225" s="463">
        <v>156.45527648925781</v>
      </c>
      <c r="Y225" s="449"/>
      <c r="Z225" s="45"/>
      <c r="AA225" s="468">
        <v>0.41823564738209612</v>
      </c>
      <c r="AB225" s="456"/>
      <c r="AC225" s="46"/>
      <c r="AD225" s="46"/>
      <c r="AE225" s="46"/>
      <c r="AF225" s="46"/>
      <c r="AG225" s="46"/>
      <c r="AH225" s="46"/>
      <c r="AI225" s="457"/>
      <c r="AJ225" s="138"/>
      <c r="AK225" s="745"/>
      <c r="AL225" s="54"/>
      <c r="AM225" s="468"/>
      <c r="AN225" s="449"/>
      <c r="AO225" s="45"/>
      <c r="AP225" s="45"/>
      <c r="AQ225" s="45"/>
      <c r="AR225" s="45"/>
      <c r="AS225" s="45"/>
      <c r="AT225" s="45"/>
      <c r="AU225" s="463"/>
      <c r="AV225" s="449"/>
      <c r="AW225" s="45"/>
      <c r="AX225" s="45"/>
      <c r="AY225" s="45"/>
      <c r="AZ225" s="45"/>
      <c r="BA225" s="45"/>
      <c r="BB225" s="45"/>
      <c r="BC225" s="463"/>
      <c r="BD225" s="456"/>
      <c r="BE225" s="46"/>
      <c r="BF225" s="46"/>
      <c r="BG225" s="46"/>
      <c r="BH225" s="46"/>
      <c r="BI225" s="46"/>
      <c r="BJ225" s="457"/>
      <c r="BK225" s="449">
        <v>0</v>
      </c>
      <c r="BL225" s="45"/>
      <c r="BM225" s="45"/>
      <c r="BN225" s="45"/>
      <c r="BO225" s="45"/>
      <c r="BP225" s="45"/>
      <c r="BQ225" s="45"/>
      <c r="BR225" s="45"/>
      <c r="BS225" s="45"/>
      <c r="BT225" s="45"/>
      <c r="BU225" s="45"/>
      <c r="BV225" s="45"/>
      <c r="BW225" s="45"/>
      <c r="BX225" s="45"/>
      <c r="BY225" s="45"/>
      <c r="BZ225" s="45"/>
      <c r="CA225" s="45"/>
      <c r="CB225" s="45"/>
      <c r="CC225" s="45"/>
      <c r="CD225" s="463"/>
    </row>
    <row r="226" spans="2:82">
      <c r="B226" s="136">
        <v>217</v>
      </c>
      <c r="C226" s="138">
        <v>1</v>
      </c>
      <c r="D226" s="474">
        <v>2565.8941534687056</v>
      </c>
      <c r="E226" s="127">
        <v>223.18034672222481</v>
      </c>
      <c r="F226" s="447">
        <v>0.44084811724730388</v>
      </c>
      <c r="G226" s="127">
        <v>82.290525262024119</v>
      </c>
      <c r="H226" s="132">
        <v>58.17029754767313</v>
      </c>
      <c r="I226" s="456"/>
      <c r="J226" s="45"/>
      <c r="K226" s="45">
        <v>380</v>
      </c>
      <c r="L226" s="463"/>
      <c r="M226" s="456">
        <v>32.750942230224609</v>
      </c>
      <c r="N226" s="457"/>
      <c r="O226" s="456"/>
      <c r="P226" s="46"/>
      <c r="Q226" s="463">
        <v>59.178596496582031</v>
      </c>
      <c r="R226" s="449"/>
      <c r="S226" s="463"/>
      <c r="T226" s="480"/>
      <c r="U226" s="468"/>
      <c r="V226" s="449"/>
      <c r="W226" s="45">
        <v>1323.9404296875</v>
      </c>
      <c r="X226" s="463">
        <v>112.976806640625</v>
      </c>
      <c r="Y226" s="449"/>
      <c r="Z226" s="45"/>
      <c r="AA226" s="468">
        <v>0.42766871064581546</v>
      </c>
      <c r="AB226" s="456"/>
      <c r="AC226" s="46"/>
      <c r="AD226" s="46"/>
      <c r="AE226" s="46"/>
      <c r="AF226" s="46"/>
      <c r="AG226" s="46"/>
      <c r="AH226" s="46"/>
      <c r="AI226" s="457"/>
      <c r="AJ226" s="138"/>
      <c r="AK226" s="745"/>
      <c r="AL226" s="54"/>
      <c r="AM226" s="468"/>
      <c r="AN226" s="449"/>
      <c r="AO226" s="45"/>
      <c r="AP226" s="45"/>
      <c r="AQ226" s="45"/>
      <c r="AR226" s="45"/>
      <c r="AS226" s="45"/>
      <c r="AT226" s="45"/>
      <c r="AU226" s="463"/>
      <c r="AV226" s="449"/>
      <c r="AW226" s="45"/>
      <c r="AX226" s="45"/>
      <c r="AY226" s="45"/>
      <c r="AZ226" s="45"/>
      <c r="BA226" s="45"/>
      <c r="BB226" s="45"/>
      <c r="BC226" s="463"/>
      <c r="BD226" s="456"/>
      <c r="BE226" s="46"/>
      <c r="BF226" s="46"/>
      <c r="BG226" s="46"/>
      <c r="BH226" s="46"/>
      <c r="BI226" s="46"/>
      <c r="BJ226" s="457"/>
      <c r="BK226" s="449">
        <v>0</v>
      </c>
      <c r="BL226" s="45"/>
      <c r="BM226" s="45"/>
      <c r="BN226" s="45"/>
      <c r="BO226" s="45"/>
      <c r="BP226" s="45"/>
      <c r="BQ226" s="45"/>
      <c r="BR226" s="45"/>
      <c r="BS226" s="45"/>
      <c r="BT226" s="45"/>
      <c r="BU226" s="45"/>
      <c r="BV226" s="45"/>
      <c r="BW226" s="45"/>
      <c r="BX226" s="45"/>
      <c r="BY226" s="45"/>
      <c r="BZ226" s="45"/>
      <c r="CA226" s="45"/>
      <c r="CB226" s="45"/>
      <c r="CC226" s="45"/>
      <c r="CD226" s="463"/>
    </row>
    <row r="227" spans="2:82">
      <c r="B227" s="136">
        <v>218</v>
      </c>
      <c r="C227" s="138">
        <v>1</v>
      </c>
      <c r="D227" s="474">
        <v>3235.6115106519019</v>
      </c>
      <c r="E227" s="127">
        <v>186.87297240320498</v>
      </c>
      <c r="F227" s="447">
        <v>0.4205487125962768</v>
      </c>
      <c r="G227" s="127">
        <v>135.56643789343369</v>
      </c>
      <c r="H227" s="132">
        <v>47.696372360642158</v>
      </c>
      <c r="I227" s="456"/>
      <c r="J227" s="45"/>
      <c r="K227" s="45">
        <v>520</v>
      </c>
      <c r="L227" s="463"/>
      <c r="M227" s="456">
        <v>37.610260009765625</v>
      </c>
      <c r="N227" s="457"/>
      <c r="O227" s="456"/>
      <c r="P227" s="46"/>
      <c r="Q227" s="463">
        <v>64.065109252929688</v>
      </c>
      <c r="R227" s="449"/>
      <c r="S227" s="463"/>
      <c r="T227" s="480"/>
      <c r="U227" s="468"/>
      <c r="V227" s="449"/>
      <c r="W227" s="45">
        <v>1621.0670166015625</v>
      </c>
      <c r="X227" s="463">
        <v>135.13935852050781</v>
      </c>
      <c r="Y227" s="449"/>
      <c r="Z227" s="45"/>
      <c r="AA227" s="468">
        <v>0.4102226972072433</v>
      </c>
      <c r="AB227" s="456"/>
      <c r="AC227" s="46"/>
      <c r="AD227" s="46"/>
      <c r="AE227" s="46"/>
      <c r="AF227" s="46"/>
      <c r="AG227" s="46"/>
      <c r="AH227" s="46"/>
      <c r="AI227" s="457"/>
      <c r="AJ227" s="138"/>
      <c r="AK227" s="745"/>
      <c r="AL227" s="54"/>
      <c r="AM227" s="468"/>
      <c r="AN227" s="449"/>
      <c r="AO227" s="45"/>
      <c r="AP227" s="45"/>
      <c r="AQ227" s="45"/>
      <c r="AR227" s="45"/>
      <c r="AS227" s="45"/>
      <c r="AT227" s="45"/>
      <c r="AU227" s="463"/>
      <c r="AV227" s="449"/>
      <c r="AW227" s="45"/>
      <c r="AX227" s="45"/>
      <c r="AY227" s="45"/>
      <c r="AZ227" s="45"/>
      <c r="BA227" s="45"/>
      <c r="BB227" s="45"/>
      <c r="BC227" s="463"/>
      <c r="BD227" s="456"/>
      <c r="BE227" s="46"/>
      <c r="BF227" s="46"/>
      <c r="BG227" s="46"/>
      <c r="BH227" s="46"/>
      <c r="BI227" s="46"/>
      <c r="BJ227" s="457"/>
      <c r="BK227" s="449">
        <v>0</v>
      </c>
      <c r="BL227" s="45"/>
      <c r="BM227" s="45"/>
      <c r="BN227" s="45"/>
      <c r="BO227" s="45"/>
      <c r="BP227" s="45"/>
      <c r="BQ227" s="45"/>
      <c r="BR227" s="45"/>
      <c r="BS227" s="45"/>
      <c r="BT227" s="45"/>
      <c r="BU227" s="45"/>
      <c r="BV227" s="45"/>
      <c r="BW227" s="45"/>
      <c r="BX227" s="45"/>
      <c r="BY227" s="45"/>
      <c r="BZ227" s="45"/>
      <c r="CA227" s="45"/>
      <c r="CB227" s="45"/>
      <c r="CC227" s="45"/>
      <c r="CD227" s="463"/>
    </row>
    <row r="228" spans="2:82">
      <c r="B228" s="136">
        <v>219</v>
      </c>
      <c r="C228" s="138">
        <v>1</v>
      </c>
      <c r="D228" s="474">
        <v>3091.1646239669403</v>
      </c>
      <c r="E228" s="127">
        <v>251.35276850129785</v>
      </c>
      <c r="F228" s="447">
        <v>0.3828912709628336</v>
      </c>
      <c r="G228" s="127">
        <v>123.9423709495485</v>
      </c>
      <c r="H228" s="132">
        <v>56.439378083783318</v>
      </c>
      <c r="I228" s="456"/>
      <c r="J228" s="45"/>
      <c r="K228" s="45">
        <v>500</v>
      </c>
      <c r="L228" s="463"/>
      <c r="M228" s="456">
        <v>30.303232192993164</v>
      </c>
      <c r="N228" s="457"/>
      <c r="O228" s="456"/>
      <c r="P228" s="46"/>
      <c r="Q228" s="463">
        <v>69.189300537109375</v>
      </c>
      <c r="R228" s="449"/>
      <c r="S228" s="463"/>
      <c r="T228" s="480"/>
      <c r="U228" s="468"/>
      <c r="V228" s="449"/>
      <c r="W228" s="45">
        <v>1388.645263671875</v>
      </c>
      <c r="X228" s="463">
        <v>118.17620849609375</v>
      </c>
      <c r="Y228" s="449"/>
      <c r="Z228" s="45"/>
      <c r="AA228" s="468">
        <v>0.37232637734117124</v>
      </c>
      <c r="AB228" s="456"/>
      <c r="AC228" s="46"/>
      <c r="AD228" s="46"/>
      <c r="AE228" s="46"/>
      <c r="AF228" s="46"/>
      <c r="AG228" s="46"/>
      <c r="AH228" s="46"/>
      <c r="AI228" s="457"/>
      <c r="AJ228" s="138"/>
      <c r="AK228" s="745"/>
      <c r="AL228" s="54"/>
      <c r="AM228" s="468"/>
      <c r="AN228" s="449"/>
      <c r="AO228" s="45"/>
      <c r="AP228" s="45"/>
      <c r="AQ228" s="45"/>
      <c r="AR228" s="45"/>
      <c r="AS228" s="45"/>
      <c r="AT228" s="45"/>
      <c r="AU228" s="463"/>
      <c r="AV228" s="449"/>
      <c r="AW228" s="45"/>
      <c r="AX228" s="45"/>
      <c r="AY228" s="45"/>
      <c r="AZ228" s="45"/>
      <c r="BA228" s="45"/>
      <c r="BB228" s="45"/>
      <c r="BC228" s="463"/>
      <c r="BD228" s="456"/>
      <c r="BE228" s="46"/>
      <c r="BF228" s="46"/>
      <c r="BG228" s="46"/>
      <c r="BH228" s="46"/>
      <c r="BI228" s="46"/>
      <c r="BJ228" s="457"/>
      <c r="BK228" s="449">
        <v>0</v>
      </c>
      <c r="BL228" s="45"/>
      <c r="BM228" s="45"/>
      <c r="BN228" s="45"/>
      <c r="BO228" s="45"/>
      <c r="BP228" s="45"/>
      <c r="BQ228" s="45"/>
      <c r="BR228" s="45"/>
      <c r="BS228" s="45"/>
      <c r="BT228" s="45"/>
      <c r="BU228" s="45"/>
      <c r="BV228" s="45"/>
      <c r="BW228" s="45"/>
      <c r="BX228" s="45"/>
      <c r="BY228" s="45"/>
      <c r="BZ228" s="45"/>
      <c r="CA228" s="45"/>
      <c r="CB228" s="45"/>
      <c r="CC228" s="45"/>
      <c r="CD228" s="463"/>
    </row>
    <row r="229" spans="2:82">
      <c r="B229" s="136">
        <v>220</v>
      </c>
      <c r="C229" s="138">
        <v>1</v>
      </c>
      <c r="D229" s="474">
        <v>3767.6544232897377</v>
      </c>
      <c r="E229" s="127">
        <v>245.27709175851936</v>
      </c>
      <c r="F229" s="447">
        <v>0.47517757657053705</v>
      </c>
      <c r="G229" s="127">
        <v>116.88069639802875</v>
      </c>
      <c r="H229" s="132">
        <v>67.959617526029461</v>
      </c>
      <c r="I229" s="456"/>
      <c r="J229" s="45"/>
      <c r="K229" s="45">
        <v>540</v>
      </c>
      <c r="L229" s="463"/>
      <c r="M229" s="456">
        <v>41.929039001464844</v>
      </c>
      <c r="N229" s="457"/>
      <c r="O229" s="456"/>
      <c r="P229" s="46"/>
      <c r="Q229" s="463">
        <v>83.109657287597656</v>
      </c>
      <c r="R229" s="449"/>
      <c r="S229" s="463"/>
      <c r="T229" s="480"/>
      <c r="U229" s="468"/>
      <c r="V229" s="449"/>
      <c r="W229" s="45">
        <v>2057.76123046875</v>
      </c>
      <c r="X229" s="463">
        <v>167.00410461425781</v>
      </c>
      <c r="Y229" s="449"/>
      <c r="Z229" s="45"/>
      <c r="AA229" s="468">
        <v>0.46601974316678135</v>
      </c>
      <c r="AB229" s="456"/>
      <c r="AC229" s="46"/>
      <c r="AD229" s="46"/>
      <c r="AE229" s="46"/>
      <c r="AF229" s="46"/>
      <c r="AG229" s="46"/>
      <c r="AH229" s="46"/>
      <c r="AI229" s="457"/>
      <c r="AJ229" s="138"/>
      <c r="AK229" s="745"/>
      <c r="AL229" s="54"/>
      <c r="AM229" s="468"/>
      <c r="AN229" s="449"/>
      <c r="AO229" s="45"/>
      <c r="AP229" s="45"/>
      <c r="AQ229" s="45"/>
      <c r="AR229" s="45"/>
      <c r="AS229" s="45"/>
      <c r="AT229" s="45"/>
      <c r="AU229" s="463"/>
      <c r="AV229" s="449"/>
      <c r="AW229" s="45"/>
      <c r="AX229" s="45"/>
      <c r="AY229" s="45"/>
      <c r="AZ229" s="45"/>
      <c r="BA229" s="45"/>
      <c r="BB229" s="45"/>
      <c r="BC229" s="463"/>
      <c r="BD229" s="456"/>
      <c r="BE229" s="46"/>
      <c r="BF229" s="46"/>
      <c r="BG229" s="46"/>
      <c r="BH229" s="46"/>
      <c r="BI229" s="46"/>
      <c r="BJ229" s="457"/>
      <c r="BK229" s="449">
        <v>0</v>
      </c>
      <c r="BL229" s="45"/>
      <c r="BM229" s="45"/>
      <c r="BN229" s="45"/>
      <c r="BO229" s="45"/>
      <c r="BP229" s="45"/>
      <c r="BQ229" s="45"/>
      <c r="BR229" s="45"/>
      <c r="BS229" s="45"/>
      <c r="BT229" s="45"/>
      <c r="BU229" s="45"/>
      <c r="BV229" s="45"/>
      <c r="BW229" s="45"/>
      <c r="BX229" s="45"/>
      <c r="BY229" s="45"/>
      <c r="BZ229" s="45"/>
      <c r="CA229" s="45"/>
      <c r="CB229" s="45"/>
      <c r="CC229" s="45"/>
      <c r="CD229" s="463"/>
    </row>
    <row r="230" spans="2:82">
      <c r="B230" s="136">
        <v>221</v>
      </c>
      <c r="C230" s="138">
        <v>1</v>
      </c>
      <c r="D230" s="474">
        <v>3576.0457255929973</v>
      </c>
      <c r="E230" s="127">
        <v>240.68426861278809</v>
      </c>
      <c r="F230" s="447">
        <v>0.36697304479888682</v>
      </c>
      <c r="G230" s="127">
        <v>144.1778270021843</v>
      </c>
      <c r="H230" s="132">
        <v>52.441483074588319</v>
      </c>
      <c r="I230" s="456"/>
      <c r="J230" s="45"/>
      <c r="K230" s="45">
        <v>550</v>
      </c>
      <c r="L230" s="463"/>
      <c r="M230" s="456">
        <v>30.633827209472656</v>
      </c>
      <c r="N230" s="457"/>
      <c r="O230" s="456"/>
      <c r="P230" s="46"/>
      <c r="Q230" s="463">
        <v>70.805702209472656</v>
      </c>
      <c r="R230" s="449"/>
      <c r="S230" s="463"/>
      <c r="T230" s="480"/>
      <c r="U230" s="468"/>
      <c r="V230" s="449"/>
      <c r="W230" s="45">
        <v>1438.7161865234375</v>
      </c>
      <c r="X230" s="463">
        <v>122.01682281494141</v>
      </c>
      <c r="Y230" s="449"/>
      <c r="Z230" s="45"/>
      <c r="AA230" s="468">
        <v>0.3579296870295689</v>
      </c>
      <c r="AB230" s="456"/>
      <c r="AC230" s="46"/>
      <c r="AD230" s="46"/>
      <c r="AE230" s="46"/>
      <c r="AF230" s="46"/>
      <c r="AG230" s="46"/>
      <c r="AH230" s="46"/>
      <c r="AI230" s="457"/>
      <c r="AJ230" s="138"/>
      <c r="AK230" s="745"/>
      <c r="AL230" s="54"/>
      <c r="AM230" s="468"/>
      <c r="AN230" s="449"/>
      <c r="AO230" s="45"/>
      <c r="AP230" s="45"/>
      <c r="AQ230" s="45"/>
      <c r="AR230" s="45"/>
      <c r="AS230" s="45"/>
      <c r="AT230" s="45"/>
      <c r="AU230" s="463"/>
      <c r="AV230" s="449"/>
      <c r="AW230" s="45"/>
      <c r="AX230" s="45"/>
      <c r="AY230" s="45"/>
      <c r="AZ230" s="45"/>
      <c r="BA230" s="45"/>
      <c r="BB230" s="45"/>
      <c r="BC230" s="463"/>
      <c r="BD230" s="456"/>
      <c r="BE230" s="46"/>
      <c r="BF230" s="46"/>
      <c r="BG230" s="46"/>
      <c r="BH230" s="46"/>
      <c r="BI230" s="46"/>
      <c r="BJ230" s="457"/>
      <c r="BK230" s="449">
        <v>0</v>
      </c>
      <c r="BL230" s="45"/>
      <c r="BM230" s="45"/>
      <c r="BN230" s="45"/>
      <c r="BO230" s="45"/>
      <c r="BP230" s="45"/>
      <c r="BQ230" s="45"/>
      <c r="BR230" s="45"/>
      <c r="BS230" s="45"/>
      <c r="BT230" s="45"/>
      <c r="BU230" s="45"/>
      <c r="BV230" s="45"/>
      <c r="BW230" s="45"/>
      <c r="BX230" s="45"/>
      <c r="BY230" s="45"/>
      <c r="BZ230" s="45"/>
      <c r="CA230" s="45"/>
      <c r="CB230" s="45"/>
      <c r="CC230" s="45"/>
      <c r="CD230" s="463"/>
    </row>
    <row r="231" spans="2:82">
      <c r="B231" s="136">
        <v>222</v>
      </c>
      <c r="C231" s="138">
        <v>1</v>
      </c>
      <c r="D231" s="474">
        <v>2969.1954764052798</v>
      </c>
      <c r="E231" s="127">
        <v>228.66895813213046</v>
      </c>
      <c r="F231" s="447">
        <v>0.49147559754133452</v>
      </c>
      <c r="G231" s="127">
        <v>109.01435423877631</v>
      </c>
      <c r="H231" s="132">
        <v>50.485096646283175</v>
      </c>
      <c r="I231" s="456"/>
      <c r="J231" s="45"/>
      <c r="K231" s="45">
        <v>450</v>
      </c>
      <c r="L231" s="463"/>
      <c r="M231" s="456">
        <v>48.091220855712891</v>
      </c>
      <c r="N231" s="457"/>
      <c r="O231" s="456"/>
      <c r="P231" s="46"/>
      <c r="Q231" s="463">
        <v>58.790073394775391</v>
      </c>
      <c r="R231" s="449"/>
      <c r="S231" s="463"/>
      <c r="T231" s="480"/>
      <c r="U231" s="468"/>
      <c r="V231" s="449"/>
      <c r="W231" s="45">
        <v>1903.4976806640625</v>
      </c>
      <c r="X231" s="463">
        <v>155.394287109375</v>
      </c>
      <c r="Y231" s="449"/>
      <c r="Z231" s="45"/>
      <c r="AA231" s="468">
        <v>0.47974531160105222</v>
      </c>
      <c r="AB231" s="456"/>
      <c r="AC231" s="46"/>
      <c r="AD231" s="46"/>
      <c r="AE231" s="46"/>
      <c r="AF231" s="46"/>
      <c r="AG231" s="46"/>
      <c r="AH231" s="46"/>
      <c r="AI231" s="457"/>
      <c r="AJ231" s="138"/>
      <c r="AK231" s="745"/>
      <c r="AL231" s="54"/>
      <c r="AM231" s="468"/>
      <c r="AN231" s="449"/>
      <c r="AO231" s="45"/>
      <c r="AP231" s="45"/>
      <c r="AQ231" s="45"/>
      <c r="AR231" s="45"/>
      <c r="AS231" s="45"/>
      <c r="AT231" s="45"/>
      <c r="AU231" s="463"/>
      <c r="AV231" s="449"/>
      <c r="AW231" s="45"/>
      <c r="AX231" s="45"/>
      <c r="AY231" s="45"/>
      <c r="AZ231" s="45"/>
      <c r="BA231" s="45"/>
      <c r="BB231" s="45"/>
      <c r="BC231" s="463"/>
      <c r="BD231" s="456"/>
      <c r="BE231" s="46"/>
      <c r="BF231" s="46"/>
      <c r="BG231" s="46"/>
      <c r="BH231" s="46"/>
      <c r="BI231" s="46"/>
      <c r="BJ231" s="457"/>
      <c r="BK231" s="449">
        <v>0</v>
      </c>
      <c r="BL231" s="45"/>
      <c r="BM231" s="45"/>
      <c r="BN231" s="45"/>
      <c r="BO231" s="45"/>
      <c r="BP231" s="45"/>
      <c r="BQ231" s="45"/>
      <c r="BR231" s="45"/>
      <c r="BS231" s="45"/>
      <c r="BT231" s="45"/>
      <c r="BU231" s="45"/>
      <c r="BV231" s="45"/>
      <c r="BW231" s="45"/>
      <c r="BX231" s="45"/>
      <c r="BY231" s="45"/>
      <c r="BZ231" s="45"/>
      <c r="CA231" s="45"/>
      <c r="CB231" s="45"/>
      <c r="CC231" s="45"/>
      <c r="CD231" s="463"/>
    </row>
    <row r="232" spans="2:82">
      <c r="B232" s="136">
        <v>223</v>
      </c>
      <c r="C232" s="138">
        <v>1</v>
      </c>
      <c r="D232" s="474">
        <v>2694.5308856126321</v>
      </c>
      <c r="E232" s="127">
        <v>214.5665089065028</v>
      </c>
      <c r="F232" s="447">
        <v>0.41698683220874438</v>
      </c>
      <c r="G232" s="127">
        <v>99.996127471254027</v>
      </c>
      <c r="H232" s="132">
        <v>47.160178971418041</v>
      </c>
      <c r="I232" s="456"/>
      <c r="J232" s="45"/>
      <c r="K232" s="45">
        <v>400</v>
      </c>
      <c r="L232" s="463"/>
      <c r="M232" s="456">
        <v>34.081932067871094</v>
      </c>
      <c r="N232" s="457"/>
      <c r="O232" s="456"/>
      <c r="P232" s="46"/>
      <c r="Q232" s="463">
        <v>53.351715087890625</v>
      </c>
      <c r="R232" s="449"/>
      <c r="S232" s="463"/>
      <c r="T232" s="480"/>
      <c r="U232" s="468"/>
      <c r="V232" s="449"/>
      <c r="W232" s="45">
        <v>1283.8839111328125</v>
      </c>
      <c r="X232" s="463">
        <v>110.14260101318359</v>
      </c>
      <c r="Y232" s="449"/>
      <c r="Z232" s="45"/>
      <c r="AA232" s="468">
        <v>0.40461371864668</v>
      </c>
      <c r="AB232" s="456"/>
      <c r="AC232" s="46"/>
      <c r="AD232" s="46"/>
      <c r="AE232" s="46"/>
      <c r="AF232" s="46"/>
      <c r="AG232" s="46"/>
      <c r="AH232" s="46"/>
      <c r="AI232" s="457"/>
      <c r="AJ232" s="138"/>
      <c r="AK232" s="745"/>
      <c r="AL232" s="54"/>
      <c r="AM232" s="468"/>
      <c r="AN232" s="449"/>
      <c r="AO232" s="45"/>
      <c r="AP232" s="45"/>
      <c r="AQ232" s="45"/>
      <c r="AR232" s="45"/>
      <c r="AS232" s="45"/>
      <c r="AT232" s="45"/>
      <c r="AU232" s="463"/>
      <c r="AV232" s="449"/>
      <c r="AW232" s="45"/>
      <c r="AX232" s="45"/>
      <c r="AY232" s="45"/>
      <c r="AZ232" s="45"/>
      <c r="BA232" s="45"/>
      <c r="BB232" s="45"/>
      <c r="BC232" s="463"/>
      <c r="BD232" s="456"/>
      <c r="BE232" s="46"/>
      <c r="BF232" s="46"/>
      <c r="BG232" s="46"/>
      <c r="BH232" s="46"/>
      <c r="BI232" s="46"/>
      <c r="BJ232" s="457"/>
      <c r="BK232" s="449">
        <v>0</v>
      </c>
      <c r="BL232" s="45"/>
      <c r="BM232" s="45"/>
      <c r="BN232" s="45"/>
      <c r="BO232" s="45"/>
      <c r="BP232" s="45"/>
      <c r="BQ232" s="45"/>
      <c r="BR232" s="45"/>
      <c r="BS232" s="45"/>
      <c r="BT232" s="45"/>
      <c r="BU232" s="45"/>
      <c r="BV232" s="45"/>
      <c r="BW232" s="45"/>
      <c r="BX232" s="45"/>
      <c r="BY232" s="45"/>
      <c r="BZ232" s="45"/>
      <c r="CA232" s="45"/>
      <c r="CB232" s="45"/>
      <c r="CC232" s="45"/>
      <c r="CD232" s="463"/>
    </row>
    <row r="233" spans="2:82">
      <c r="B233" s="136">
        <v>224</v>
      </c>
      <c r="C233" s="138">
        <v>1</v>
      </c>
      <c r="D233" s="474">
        <v>2536.9217799675857</v>
      </c>
      <c r="E233" s="127">
        <v>267.10671097854981</v>
      </c>
      <c r="F233" s="447">
        <v>0.45005772914805209</v>
      </c>
      <c r="G233" s="127">
        <v>102.94651086651945</v>
      </c>
      <c r="H233" s="132">
        <v>41.50659181599994</v>
      </c>
      <c r="I233" s="456"/>
      <c r="J233" s="45"/>
      <c r="K233" s="45">
        <v>400</v>
      </c>
      <c r="L233" s="463"/>
      <c r="M233" s="456">
        <v>40.490310668945313</v>
      </c>
      <c r="N233" s="457"/>
      <c r="O233" s="456"/>
      <c r="P233" s="46"/>
      <c r="Q233" s="463">
        <v>50.231052398681641</v>
      </c>
      <c r="R233" s="449"/>
      <c r="S233" s="463"/>
      <c r="T233" s="480"/>
      <c r="U233" s="468"/>
      <c r="V233" s="449"/>
      <c r="W233" s="45">
        <v>1453.3873291015625</v>
      </c>
      <c r="X233" s="463">
        <v>122.46920776367187</v>
      </c>
      <c r="Y233" s="449"/>
      <c r="Z233" s="45"/>
      <c r="AA233" s="468">
        <v>0.43665520532904983</v>
      </c>
      <c r="AB233" s="456"/>
      <c r="AC233" s="46"/>
      <c r="AD233" s="46"/>
      <c r="AE233" s="46"/>
      <c r="AF233" s="46"/>
      <c r="AG233" s="46"/>
      <c r="AH233" s="46"/>
      <c r="AI233" s="457"/>
      <c r="AJ233" s="138"/>
      <c r="AK233" s="745"/>
      <c r="AL233" s="54"/>
      <c r="AM233" s="468"/>
      <c r="AN233" s="449"/>
      <c r="AO233" s="45"/>
      <c r="AP233" s="45"/>
      <c r="AQ233" s="45"/>
      <c r="AR233" s="45"/>
      <c r="AS233" s="45"/>
      <c r="AT233" s="45"/>
      <c r="AU233" s="463"/>
      <c r="AV233" s="449"/>
      <c r="AW233" s="45"/>
      <c r="AX233" s="45"/>
      <c r="AY233" s="45"/>
      <c r="AZ233" s="45"/>
      <c r="BA233" s="45"/>
      <c r="BB233" s="45"/>
      <c r="BC233" s="463"/>
      <c r="BD233" s="456"/>
      <c r="BE233" s="46"/>
      <c r="BF233" s="46"/>
      <c r="BG233" s="46"/>
      <c r="BH233" s="46"/>
      <c r="BI233" s="46"/>
      <c r="BJ233" s="457"/>
      <c r="BK233" s="449">
        <v>0</v>
      </c>
      <c r="BL233" s="45"/>
      <c r="BM233" s="45"/>
      <c r="BN233" s="45"/>
      <c r="BO233" s="45"/>
      <c r="BP233" s="45"/>
      <c r="BQ233" s="45"/>
      <c r="BR233" s="45"/>
      <c r="BS233" s="45"/>
      <c r="BT233" s="45"/>
      <c r="BU233" s="45"/>
      <c r="BV233" s="45"/>
      <c r="BW233" s="45"/>
      <c r="BX233" s="45"/>
      <c r="BY233" s="45"/>
      <c r="BZ233" s="45"/>
      <c r="CA233" s="45"/>
      <c r="CB233" s="45"/>
      <c r="CC233" s="45"/>
      <c r="CD233" s="463"/>
    </row>
    <row r="234" spans="2:82">
      <c r="B234" s="136">
        <v>225</v>
      </c>
      <c r="C234" s="138">
        <v>1</v>
      </c>
      <c r="D234" s="474">
        <v>2822.4401433897228</v>
      </c>
      <c r="E234" s="127">
        <v>177.01142686375272</v>
      </c>
      <c r="F234" s="447">
        <v>0.36074444277806023</v>
      </c>
      <c r="G234" s="127">
        <v>101.57508257447529</v>
      </c>
      <c r="H234" s="132">
        <v>49.641344268942866</v>
      </c>
      <c r="I234" s="456"/>
      <c r="J234" s="45"/>
      <c r="K234" s="45">
        <v>410</v>
      </c>
      <c r="L234" s="463"/>
      <c r="M234" s="456">
        <v>28.135547637939453</v>
      </c>
      <c r="N234" s="457"/>
      <c r="O234" s="456"/>
      <c r="P234" s="46"/>
      <c r="Q234" s="463">
        <v>55.884315490722656</v>
      </c>
      <c r="R234" s="449"/>
      <c r="S234" s="463"/>
      <c r="T234" s="480"/>
      <c r="U234" s="468"/>
      <c r="V234" s="449"/>
      <c r="W234" s="45">
        <v>1093.7703857421875</v>
      </c>
      <c r="X234" s="463">
        <v>96.3314208984375</v>
      </c>
      <c r="Y234" s="449"/>
      <c r="Z234" s="45"/>
      <c r="AA234" s="468">
        <v>0.34933059971357228</v>
      </c>
      <c r="AB234" s="456"/>
      <c r="AC234" s="46"/>
      <c r="AD234" s="46"/>
      <c r="AE234" s="46"/>
      <c r="AF234" s="46"/>
      <c r="AG234" s="46"/>
      <c r="AH234" s="46"/>
      <c r="AI234" s="457"/>
      <c r="AJ234" s="138"/>
      <c r="AK234" s="745"/>
      <c r="AL234" s="54"/>
      <c r="AM234" s="468"/>
      <c r="AN234" s="449"/>
      <c r="AO234" s="45"/>
      <c r="AP234" s="45"/>
      <c r="AQ234" s="45"/>
      <c r="AR234" s="45"/>
      <c r="AS234" s="45"/>
      <c r="AT234" s="45"/>
      <c r="AU234" s="463"/>
      <c r="AV234" s="449"/>
      <c r="AW234" s="45"/>
      <c r="AX234" s="45"/>
      <c r="AY234" s="45"/>
      <c r="AZ234" s="45"/>
      <c r="BA234" s="45"/>
      <c r="BB234" s="45"/>
      <c r="BC234" s="463"/>
      <c r="BD234" s="456"/>
      <c r="BE234" s="46"/>
      <c r="BF234" s="46"/>
      <c r="BG234" s="46"/>
      <c r="BH234" s="46"/>
      <c r="BI234" s="46"/>
      <c r="BJ234" s="457"/>
      <c r="BK234" s="449">
        <v>0</v>
      </c>
      <c r="BL234" s="45"/>
      <c r="BM234" s="45"/>
      <c r="BN234" s="45"/>
      <c r="BO234" s="45"/>
      <c r="BP234" s="45"/>
      <c r="BQ234" s="45"/>
      <c r="BR234" s="45"/>
      <c r="BS234" s="45"/>
      <c r="BT234" s="45"/>
      <c r="BU234" s="45"/>
      <c r="BV234" s="45"/>
      <c r="BW234" s="45"/>
      <c r="BX234" s="45"/>
      <c r="BY234" s="45"/>
      <c r="BZ234" s="45"/>
      <c r="CA234" s="45"/>
      <c r="CB234" s="45"/>
      <c r="CC234" s="45"/>
      <c r="CD234" s="463"/>
    </row>
    <row r="235" spans="2:82">
      <c r="B235" s="136">
        <v>226</v>
      </c>
      <c r="C235" s="138">
        <v>1</v>
      </c>
      <c r="D235" s="474">
        <v>3202.2819578856984</v>
      </c>
      <c r="E235" s="127">
        <v>182.05784425576155</v>
      </c>
      <c r="F235" s="447">
        <v>0.43174941815518186</v>
      </c>
      <c r="G235" s="127">
        <v>131.00639480344333</v>
      </c>
      <c r="H235" s="132">
        <v>48.493277452962957</v>
      </c>
      <c r="I235" s="456"/>
      <c r="J235" s="45"/>
      <c r="K235" s="45">
        <v>500</v>
      </c>
      <c r="L235" s="463"/>
      <c r="M235" s="456">
        <v>38.645008087158203</v>
      </c>
      <c r="N235" s="457"/>
      <c r="O235" s="456"/>
      <c r="P235" s="46"/>
      <c r="Q235" s="463">
        <v>63.405185699462891</v>
      </c>
      <c r="R235" s="449"/>
      <c r="S235" s="463"/>
      <c r="T235" s="480"/>
      <c r="U235" s="468"/>
      <c r="V235" s="449"/>
      <c r="W235" s="45">
        <v>1646.1781005859375</v>
      </c>
      <c r="X235" s="463">
        <v>136.90840148925781</v>
      </c>
      <c r="Y235" s="449"/>
      <c r="Z235" s="45"/>
      <c r="AA235" s="468">
        <v>0.42124597442179146</v>
      </c>
      <c r="AB235" s="456"/>
      <c r="AC235" s="46"/>
      <c r="AD235" s="46"/>
      <c r="AE235" s="46"/>
      <c r="AF235" s="46"/>
      <c r="AG235" s="46"/>
      <c r="AH235" s="46"/>
      <c r="AI235" s="457"/>
      <c r="AJ235" s="138"/>
      <c r="AK235" s="745"/>
      <c r="AL235" s="54"/>
      <c r="AM235" s="468"/>
      <c r="AN235" s="449"/>
      <c r="AO235" s="45"/>
      <c r="AP235" s="45"/>
      <c r="AQ235" s="45"/>
      <c r="AR235" s="45"/>
      <c r="AS235" s="45"/>
      <c r="AT235" s="45"/>
      <c r="AU235" s="463"/>
      <c r="AV235" s="449"/>
      <c r="AW235" s="45"/>
      <c r="AX235" s="45"/>
      <c r="AY235" s="45"/>
      <c r="AZ235" s="45"/>
      <c r="BA235" s="45"/>
      <c r="BB235" s="45"/>
      <c r="BC235" s="463"/>
      <c r="BD235" s="456"/>
      <c r="BE235" s="46"/>
      <c r="BF235" s="46"/>
      <c r="BG235" s="46"/>
      <c r="BH235" s="46"/>
      <c r="BI235" s="46"/>
      <c r="BJ235" s="457"/>
      <c r="BK235" s="449">
        <v>0</v>
      </c>
      <c r="BL235" s="45"/>
      <c r="BM235" s="45"/>
      <c r="BN235" s="45"/>
      <c r="BO235" s="45"/>
      <c r="BP235" s="45"/>
      <c r="BQ235" s="45"/>
      <c r="BR235" s="45"/>
      <c r="BS235" s="45"/>
      <c r="BT235" s="45"/>
      <c r="BU235" s="45"/>
      <c r="BV235" s="45"/>
      <c r="BW235" s="45"/>
      <c r="BX235" s="45"/>
      <c r="BY235" s="45"/>
      <c r="BZ235" s="45"/>
      <c r="CA235" s="45"/>
      <c r="CB235" s="45"/>
      <c r="CC235" s="45"/>
      <c r="CD235" s="463"/>
    </row>
    <row r="236" spans="2:82">
      <c r="B236" s="136">
        <v>227</v>
      </c>
      <c r="C236" s="138">
        <v>1</v>
      </c>
      <c r="D236" s="474">
        <v>3211.4809623427891</v>
      </c>
      <c r="E236" s="127">
        <v>226.51656734202217</v>
      </c>
      <c r="F236" s="447">
        <v>0.43842533080736457</v>
      </c>
      <c r="G236" s="127">
        <v>105.73121259263543</v>
      </c>
      <c r="H236" s="132">
        <v>56.141117565879014</v>
      </c>
      <c r="I236" s="456"/>
      <c r="J236" s="45"/>
      <c r="K236" s="45">
        <v>450</v>
      </c>
      <c r="L236" s="463"/>
      <c r="M236" s="456">
        <v>35.649421691894531</v>
      </c>
      <c r="N236" s="457"/>
      <c r="O236" s="456"/>
      <c r="P236" s="46"/>
      <c r="Q236" s="463">
        <v>63.587322235107422</v>
      </c>
      <c r="R236" s="449"/>
      <c r="S236" s="463"/>
      <c r="T236" s="480"/>
      <c r="U236" s="468"/>
      <c r="V236" s="449"/>
      <c r="W236" s="45">
        <v>1512.856201171875</v>
      </c>
      <c r="X236" s="463">
        <v>126.98921203613281</v>
      </c>
      <c r="Y236" s="449"/>
      <c r="Z236" s="45"/>
      <c r="AA236" s="468">
        <v>0.42791039797353797</v>
      </c>
      <c r="AB236" s="456"/>
      <c r="AC236" s="46"/>
      <c r="AD236" s="46"/>
      <c r="AE236" s="46"/>
      <c r="AF236" s="46"/>
      <c r="AG236" s="46"/>
      <c r="AH236" s="46"/>
      <c r="AI236" s="457"/>
      <c r="AJ236" s="138"/>
      <c r="AK236" s="745"/>
      <c r="AL236" s="54"/>
      <c r="AM236" s="468"/>
      <c r="AN236" s="449"/>
      <c r="AO236" s="45"/>
      <c r="AP236" s="45"/>
      <c r="AQ236" s="45"/>
      <c r="AR236" s="45"/>
      <c r="AS236" s="45"/>
      <c r="AT236" s="45"/>
      <c r="AU236" s="463"/>
      <c r="AV236" s="449"/>
      <c r="AW236" s="45"/>
      <c r="AX236" s="45"/>
      <c r="AY236" s="45"/>
      <c r="AZ236" s="45"/>
      <c r="BA236" s="45"/>
      <c r="BB236" s="45"/>
      <c r="BC236" s="463"/>
      <c r="BD236" s="456"/>
      <c r="BE236" s="46"/>
      <c r="BF236" s="46"/>
      <c r="BG236" s="46"/>
      <c r="BH236" s="46"/>
      <c r="BI236" s="46"/>
      <c r="BJ236" s="457"/>
      <c r="BK236" s="449">
        <v>0</v>
      </c>
      <c r="BL236" s="45"/>
      <c r="BM236" s="45"/>
      <c r="BN236" s="45"/>
      <c r="BO236" s="45"/>
      <c r="BP236" s="45"/>
      <c r="BQ236" s="45"/>
      <c r="BR236" s="45"/>
      <c r="BS236" s="45"/>
      <c r="BT236" s="45"/>
      <c r="BU236" s="45"/>
      <c r="BV236" s="45"/>
      <c r="BW236" s="45"/>
      <c r="BX236" s="45"/>
      <c r="BY236" s="45"/>
      <c r="BZ236" s="45"/>
      <c r="CA236" s="45"/>
      <c r="CB236" s="45"/>
      <c r="CC236" s="45"/>
      <c r="CD236" s="463"/>
    </row>
    <row r="237" spans="2:82">
      <c r="B237" s="136">
        <v>228</v>
      </c>
      <c r="C237" s="138">
        <v>1</v>
      </c>
      <c r="D237" s="474">
        <v>2795.4610910769475</v>
      </c>
      <c r="E237" s="127">
        <v>211.69009047357861</v>
      </c>
      <c r="F237" s="447">
        <v>0.42254579696755895</v>
      </c>
      <c r="G237" s="127">
        <v>108.3689096313468</v>
      </c>
      <c r="H237" s="132">
        <v>46.6227762905635</v>
      </c>
      <c r="I237" s="456"/>
      <c r="J237" s="45"/>
      <c r="K237" s="45">
        <v>430</v>
      </c>
      <c r="L237" s="463"/>
      <c r="M237" s="456">
        <v>35.454925537109375</v>
      </c>
      <c r="N237" s="457"/>
      <c r="O237" s="456"/>
      <c r="P237" s="46"/>
      <c r="Q237" s="463">
        <v>55.350131988525391</v>
      </c>
      <c r="R237" s="449"/>
      <c r="S237" s="463"/>
      <c r="T237" s="480"/>
      <c r="U237" s="468"/>
      <c r="V237" s="449"/>
      <c r="W237" s="45">
        <v>1378.464111328125</v>
      </c>
      <c r="X237" s="463">
        <v>117.12322235107422</v>
      </c>
      <c r="Y237" s="449"/>
      <c r="Z237" s="45"/>
      <c r="AA237" s="468">
        <v>0.41057964367494981</v>
      </c>
      <c r="AB237" s="456"/>
      <c r="AC237" s="46"/>
      <c r="AD237" s="46"/>
      <c r="AE237" s="46"/>
      <c r="AF237" s="46"/>
      <c r="AG237" s="46"/>
      <c r="AH237" s="46"/>
      <c r="AI237" s="457"/>
      <c r="AJ237" s="138"/>
      <c r="AK237" s="745"/>
      <c r="AL237" s="54"/>
      <c r="AM237" s="468"/>
      <c r="AN237" s="449"/>
      <c r="AO237" s="45"/>
      <c r="AP237" s="45"/>
      <c r="AQ237" s="45"/>
      <c r="AR237" s="45"/>
      <c r="AS237" s="45"/>
      <c r="AT237" s="45"/>
      <c r="AU237" s="463"/>
      <c r="AV237" s="449"/>
      <c r="AW237" s="45"/>
      <c r="AX237" s="45"/>
      <c r="AY237" s="45"/>
      <c r="AZ237" s="45"/>
      <c r="BA237" s="45"/>
      <c r="BB237" s="45"/>
      <c r="BC237" s="463"/>
      <c r="BD237" s="456"/>
      <c r="BE237" s="46"/>
      <c r="BF237" s="46"/>
      <c r="BG237" s="46"/>
      <c r="BH237" s="46"/>
      <c r="BI237" s="46"/>
      <c r="BJ237" s="457"/>
      <c r="BK237" s="449">
        <v>0</v>
      </c>
      <c r="BL237" s="45"/>
      <c r="BM237" s="45"/>
      <c r="BN237" s="45"/>
      <c r="BO237" s="45"/>
      <c r="BP237" s="45"/>
      <c r="BQ237" s="45"/>
      <c r="BR237" s="45"/>
      <c r="BS237" s="45"/>
      <c r="BT237" s="45"/>
      <c r="BU237" s="45"/>
      <c r="BV237" s="45"/>
      <c r="BW237" s="45"/>
      <c r="BX237" s="45"/>
      <c r="BY237" s="45"/>
      <c r="BZ237" s="45"/>
      <c r="CA237" s="45"/>
      <c r="CB237" s="45"/>
      <c r="CC237" s="45"/>
      <c r="CD237" s="463"/>
    </row>
    <row r="238" spans="2:82">
      <c r="B238" s="136">
        <v>229</v>
      </c>
      <c r="C238" s="138">
        <v>1</v>
      </c>
      <c r="D238" s="474">
        <v>4076.3152390948903</v>
      </c>
      <c r="E238" s="127">
        <v>199.39503912635521</v>
      </c>
      <c r="F238" s="447">
        <v>0.41838089384603916</v>
      </c>
      <c r="G238" s="127">
        <v>171.40202102355994</v>
      </c>
      <c r="H238" s="132">
        <v>60.966986437948869</v>
      </c>
      <c r="I238" s="456"/>
      <c r="J238" s="45"/>
      <c r="K238" s="45">
        <v>670</v>
      </c>
      <c r="L238" s="463"/>
      <c r="M238" s="456">
        <v>38.453350067138672</v>
      </c>
      <c r="N238" s="457"/>
      <c r="O238" s="456"/>
      <c r="P238" s="46"/>
      <c r="Q238" s="463">
        <v>88.483535766601562</v>
      </c>
      <c r="R238" s="449"/>
      <c r="S238" s="463"/>
      <c r="T238" s="480"/>
      <c r="U238" s="468"/>
      <c r="V238" s="449"/>
      <c r="W238" s="45">
        <v>2023.1815185546875</v>
      </c>
      <c r="X238" s="463">
        <v>165.03201293945312</v>
      </c>
      <c r="Y238" s="449"/>
      <c r="Z238" s="45"/>
      <c r="AA238" s="468">
        <v>0.41019516337139372</v>
      </c>
      <c r="AB238" s="456"/>
      <c r="AC238" s="46"/>
      <c r="AD238" s="46"/>
      <c r="AE238" s="46"/>
      <c r="AF238" s="46"/>
      <c r="AG238" s="46"/>
      <c r="AH238" s="46"/>
      <c r="AI238" s="457"/>
      <c r="AJ238" s="138"/>
      <c r="AK238" s="745"/>
      <c r="AL238" s="54"/>
      <c r="AM238" s="468"/>
      <c r="AN238" s="449"/>
      <c r="AO238" s="45"/>
      <c r="AP238" s="45"/>
      <c r="AQ238" s="45"/>
      <c r="AR238" s="45"/>
      <c r="AS238" s="45"/>
      <c r="AT238" s="45"/>
      <c r="AU238" s="463"/>
      <c r="AV238" s="449"/>
      <c r="AW238" s="45"/>
      <c r="AX238" s="45"/>
      <c r="AY238" s="45"/>
      <c r="AZ238" s="45"/>
      <c r="BA238" s="45"/>
      <c r="BB238" s="45"/>
      <c r="BC238" s="463"/>
      <c r="BD238" s="456"/>
      <c r="BE238" s="46"/>
      <c r="BF238" s="46"/>
      <c r="BG238" s="46"/>
      <c r="BH238" s="46"/>
      <c r="BI238" s="46"/>
      <c r="BJ238" s="457"/>
      <c r="BK238" s="449">
        <v>0</v>
      </c>
      <c r="BL238" s="45"/>
      <c r="BM238" s="45"/>
      <c r="BN238" s="45"/>
      <c r="BO238" s="45"/>
      <c r="BP238" s="45"/>
      <c r="BQ238" s="45"/>
      <c r="BR238" s="45"/>
      <c r="BS238" s="45"/>
      <c r="BT238" s="45"/>
      <c r="BU238" s="45"/>
      <c r="BV238" s="45"/>
      <c r="BW238" s="45"/>
      <c r="BX238" s="45"/>
      <c r="BY238" s="45"/>
      <c r="BZ238" s="45"/>
      <c r="CA238" s="45"/>
      <c r="CB238" s="45"/>
      <c r="CC238" s="45"/>
      <c r="CD238" s="463"/>
    </row>
    <row r="239" spans="2:82">
      <c r="B239" s="136">
        <v>230</v>
      </c>
      <c r="C239" s="138">
        <v>1</v>
      </c>
      <c r="D239" s="474">
        <v>3551.3439259439992</v>
      </c>
      <c r="E239" s="127">
        <v>228.71314621015156</v>
      </c>
      <c r="F239" s="447">
        <v>0.45160912378774065</v>
      </c>
      <c r="G239" s="127">
        <v>146.61127418299571</v>
      </c>
      <c r="H239" s="132">
        <v>58.516660083539797</v>
      </c>
      <c r="I239" s="456"/>
      <c r="J239" s="45"/>
      <c r="K239" s="45">
        <v>590</v>
      </c>
      <c r="L239" s="463"/>
      <c r="M239" s="456">
        <v>42.495563507080078</v>
      </c>
      <c r="N239" s="457"/>
      <c r="O239" s="456"/>
      <c r="P239" s="46"/>
      <c r="Q239" s="463">
        <v>78.193473815917969</v>
      </c>
      <c r="R239" s="449"/>
      <c r="S239" s="463"/>
      <c r="T239" s="480"/>
      <c r="U239" s="468"/>
      <c r="V239" s="449"/>
      <c r="W239" s="45">
        <v>2041.82421875</v>
      </c>
      <c r="X239" s="463">
        <v>166.04556274414062</v>
      </c>
      <c r="Y239" s="449"/>
      <c r="Z239" s="45"/>
      <c r="AA239" s="468">
        <v>0.44202622131886515</v>
      </c>
      <c r="AB239" s="456"/>
      <c r="AC239" s="46"/>
      <c r="AD239" s="46"/>
      <c r="AE239" s="46"/>
      <c r="AF239" s="46"/>
      <c r="AG239" s="46"/>
      <c r="AH239" s="46"/>
      <c r="AI239" s="457"/>
      <c r="AJ239" s="138"/>
      <c r="AK239" s="745"/>
      <c r="AL239" s="54"/>
      <c r="AM239" s="468"/>
      <c r="AN239" s="449"/>
      <c r="AO239" s="45"/>
      <c r="AP239" s="45"/>
      <c r="AQ239" s="45"/>
      <c r="AR239" s="45"/>
      <c r="AS239" s="45"/>
      <c r="AT239" s="45"/>
      <c r="AU239" s="463"/>
      <c r="AV239" s="449"/>
      <c r="AW239" s="45"/>
      <c r="AX239" s="45"/>
      <c r="AY239" s="45"/>
      <c r="AZ239" s="45"/>
      <c r="BA239" s="45"/>
      <c r="BB239" s="45"/>
      <c r="BC239" s="463"/>
      <c r="BD239" s="456"/>
      <c r="BE239" s="46"/>
      <c r="BF239" s="46"/>
      <c r="BG239" s="46"/>
      <c r="BH239" s="46"/>
      <c r="BI239" s="46"/>
      <c r="BJ239" s="457"/>
      <c r="BK239" s="449">
        <v>0</v>
      </c>
      <c r="BL239" s="45"/>
      <c r="BM239" s="45"/>
      <c r="BN239" s="45"/>
      <c r="BO239" s="45"/>
      <c r="BP239" s="45"/>
      <c r="BQ239" s="45"/>
      <c r="BR239" s="45"/>
      <c r="BS239" s="45"/>
      <c r="BT239" s="45"/>
      <c r="BU239" s="45"/>
      <c r="BV239" s="45"/>
      <c r="BW239" s="45"/>
      <c r="BX239" s="45"/>
      <c r="BY239" s="45"/>
      <c r="BZ239" s="45"/>
      <c r="CA239" s="45"/>
      <c r="CB239" s="45"/>
      <c r="CC239" s="45"/>
      <c r="CD239" s="463"/>
    </row>
    <row r="240" spans="2:82">
      <c r="B240" s="136">
        <v>231</v>
      </c>
      <c r="C240" s="138">
        <v>1</v>
      </c>
      <c r="D240" s="474">
        <v>3294.9473799331727</v>
      </c>
      <c r="E240" s="127">
        <v>221.7435685803365</v>
      </c>
      <c r="F240" s="447">
        <v>0.40730952748946864</v>
      </c>
      <c r="G240" s="127">
        <v>138.24782764308495</v>
      </c>
      <c r="H240" s="132">
        <v>48.183391863076523</v>
      </c>
      <c r="I240" s="456"/>
      <c r="J240" s="45"/>
      <c r="K240" s="45">
        <v>520</v>
      </c>
      <c r="L240" s="463"/>
      <c r="M240" s="456">
        <v>35.805183410644531</v>
      </c>
      <c r="N240" s="457"/>
      <c r="O240" s="456"/>
      <c r="P240" s="46"/>
      <c r="Q240" s="463">
        <v>65.239959716796875</v>
      </c>
      <c r="R240" s="449"/>
      <c r="S240" s="463"/>
      <c r="T240" s="480"/>
      <c r="U240" s="468"/>
      <c r="V240" s="449"/>
      <c r="W240" s="45">
        <v>1570.130126953125</v>
      </c>
      <c r="X240" s="463">
        <v>131.4697265625</v>
      </c>
      <c r="Y240" s="449"/>
      <c r="Z240" s="45"/>
      <c r="AA240" s="468">
        <v>0.39724982494257643</v>
      </c>
      <c r="AB240" s="456"/>
      <c r="AC240" s="46"/>
      <c r="AD240" s="46"/>
      <c r="AE240" s="46"/>
      <c r="AF240" s="46"/>
      <c r="AG240" s="46"/>
      <c r="AH240" s="46"/>
      <c r="AI240" s="457"/>
      <c r="AJ240" s="138"/>
      <c r="AK240" s="745"/>
      <c r="AL240" s="54"/>
      <c r="AM240" s="468"/>
      <c r="AN240" s="449"/>
      <c r="AO240" s="45"/>
      <c r="AP240" s="45"/>
      <c r="AQ240" s="45"/>
      <c r="AR240" s="45"/>
      <c r="AS240" s="45"/>
      <c r="AT240" s="45"/>
      <c r="AU240" s="463"/>
      <c r="AV240" s="449"/>
      <c r="AW240" s="45"/>
      <c r="AX240" s="45"/>
      <c r="AY240" s="45"/>
      <c r="AZ240" s="45"/>
      <c r="BA240" s="45"/>
      <c r="BB240" s="45"/>
      <c r="BC240" s="463"/>
      <c r="BD240" s="456"/>
      <c r="BE240" s="46"/>
      <c r="BF240" s="46"/>
      <c r="BG240" s="46"/>
      <c r="BH240" s="46"/>
      <c r="BI240" s="46"/>
      <c r="BJ240" s="457"/>
      <c r="BK240" s="449">
        <v>0</v>
      </c>
      <c r="BL240" s="45"/>
      <c r="BM240" s="45"/>
      <c r="BN240" s="45"/>
      <c r="BO240" s="45"/>
      <c r="BP240" s="45"/>
      <c r="BQ240" s="45"/>
      <c r="BR240" s="45"/>
      <c r="BS240" s="45"/>
      <c r="BT240" s="45"/>
      <c r="BU240" s="45"/>
      <c r="BV240" s="45"/>
      <c r="BW240" s="45"/>
      <c r="BX240" s="45"/>
      <c r="BY240" s="45"/>
      <c r="BZ240" s="45"/>
      <c r="CA240" s="45"/>
      <c r="CB240" s="45"/>
      <c r="CC240" s="45"/>
      <c r="CD240" s="463"/>
    </row>
    <row r="241" spans="2:82">
      <c r="B241" s="136">
        <v>232</v>
      </c>
      <c r="C241" s="138">
        <v>1</v>
      </c>
      <c r="D241" s="474">
        <v>3501.4751477000841</v>
      </c>
      <c r="E241" s="127">
        <v>259.69039656753768</v>
      </c>
      <c r="F241" s="447">
        <v>0.35058597610119163</v>
      </c>
      <c r="G241" s="127">
        <v>140.71996732368106</v>
      </c>
      <c r="H241" s="132">
        <v>51.951324080250444</v>
      </c>
      <c r="I241" s="456"/>
      <c r="J241" s="45"/>
      <c r="K241" s="45">
        <v>530</v>
      </c>
      <c r="L241" s="463"/>
      <c r="M241" s="456">
        <v>28.754457473754883</v>
      </c>
      <c r="N241" s="457"/>
      <c r="O241" s="456"/>
      <c r="P241" s="46"/>
      <c r="Q241" s="463">
        <v>69.329216003417969</v>
      </c>
      <c r="R241" s="449"/>
      <c r="S241" s="463"/>
      <c r="T241" s="480"/>
      <c r="U241" s="468"/>
      <c r="V241" s="449"/>
      <c r="W241" s="45">
        <v>1337.58251953125</v>
      </c>
      <c r="X241" s="463">
        <v>114.59082794189453</v>
      </c>
      <c r="Y241" s="449"/>
      <c r="Z241" s="45"/>
      <c r="AA241" s="468">
        <v>0.3414436237577656</v>
      </c>
      <c r="AB241" s="456"/>
      <c r="AC241" s="46"/>
      <c r="AD241" s="46"/>
      <c r="AE241" s="46"/>
      <c r="AF241" s="46"/>
      <c r="AG241" s="46"/>
      <c r="AH241" s="46"/>
      <c r="AI241" s="457"/>
      <c r="AJ241" s="138"/>
      <c r="AK241" s="745"/>
      <c r="AL241" s="54"/>
      <c r="AM241" s="468"/>
      <c r="AN241" s="449"/>
      <c r="AO241" s="45"/>
      <c r="AP241" s="45"/>
      <c r="AQ241" s="45"/>
      <c r="AR241" s="45"/>
      <c r="AS241" s="45"/>
      <c r="AT241" s="45"/>
      <c r="AU241" s="463"/>
      <c r="AV241" s="449"/>
      <c r="AW241" s="45"/>
      <c r="AX241" s="45"/>
      <c r="AY241" s="45"/>
      <c r="AZ241" s="45"/>
      <c r="BA241" s="45"/>
      <c r="BB241" s="45"/>
      <c r="BC241" s="463"/>
      <c r="BD241" s="456"/>
      <c r="BE241" s="46"/>
      <c r="BF241" s="46"/>
      <c r="BG241" s="46"/>
      <c r="BH241" s="46"/>
      <c r="BI241" s="46"/>
      <c r="BJ241" s="457"/>
      <c r="BK241" s="449">
        <v>0</v>
      </c>
      <c r="BL241" s="45"/>
      <c r="BM241" s="45"/>
      <c r="BN241" s="45"/>
      <c r="BO241" s="45"/>
      <c r="BP241" s="45"/>
      <c r="BQ241" s="45"/>
      <c r="BR241" s="45"/>
      <c r="BS241" s="45"/>
      <c r="BT241" s="45"/>
      <c r="BU241" s="45"/>
      <c r="BV241" s="45"/>
      <c r="BW241" s="45"/>
      <c r="BX241" s="45"/>
      <c r="BY241" s="45"/>
      <c r="BZ241" s="45"/>
      <c r="CA241" s="45"/>
      <c r="CB241" s="45"/>
      <c r="CC241" s="45"/>
      <c r="CD241" s="463"/>
    </row>
    <row r="242" spans="2:82">
      <c r="B242" s="136">
        <v>233</v>
      </c>
      <c r="C242" s="138">
        <v>1</v>
      </c>
      <c r="D242" s="474">
        <v>3232.0311367070408</v>
      </c>
      <c r="E242" s="127">
        <v>242.21797977368828</v>
      </c>
      <c r="F242" s="447">
        <v>0.377509548432783</v>
      </c>
      <c r="G242" s="127">
        <v>128.30110072172937</v>
      </c>
      <c r="H242" s="132">
        <v>50.073855505817669</v>
      </c>
      <c r="I242" s="456"/>
      <c r="J242" s="45"/>
      <c r="K242" s="45">
        <v>490</v>
      </c>
      <c r="L242" s="463"/>
      <c r="M242" s="456">
        <v>30.894847869873047</v>
      </c>
      <c r="N242" s="457"/>
      <c r="O242" s="456"/>
      <c r="P242" s="46"/>
      <c r="Q242" s="463">
        <v>63.994220733642578</v>
      </c>
      <c r="R242" s="449"/>
      <c r="S242" s="463"/>
      <c r="T242" s="480"/>
      <c r="U242" s="468"/>
      <c r="V242" s="449"/>
      <c r="W242" s="45">
        <v>1348.7113037109375</v>
      </c>
      <c r="X242" s="463">
        <v>115.23115539550781</v>
      </c>
      <c r="Y242" s="449"/>
      <c r="Z242" s="45"/>
      <c r="AA242" s="468">
        <v>0.3674384230036451</v>
      </c>
      <c r="AB242" s="456"/>
      <c r="AC242" s="46"/>
      <c r="AD242" s="46"/>
      <c r="AE242" s="46"/>
      <c r="AF242" s="46"/>
      <c r="AG242" s="46"/>
      <c r="AH242" s="46"/>
      <c r="AI242" s="457"/>
      <c r="AJ242" s="138"/>
      <c r="AK242" s="745"/>
      <c r="AL242" s="54"/>
      <c r="AM242" s="468"/>
      <c r="AN242" s="449"/>
      <c r="AO242" s="45"/>
      <c r="AP242" s="45"/>
      <c r="AQ242" s="45"/>
      <c r="AR242" s="45"/>
      <c r="AS242" s="45"/>
      <c r="AT242" s="45"/>
      <c r="AU242" s="463"/>
      <c r="AV242" s="449"/>
      <c r="AW242" s="45"/>
      <c r="AX242" s="45"/>
      <c r="AY242" s="45"/>
      <c r="AZ242" s="45"/>
      <c r="BA242" s="45"/>
      <c r="BB242" s="45"/>
      <c r="BC242" s="463"/>
      <c r="BD242" s="456"/>
      <c r="BE242" s="46"/>
      <c r="BF242" s="46"/>
      <c r="BG242" s="46"/>
      <c r="BH242" s="46"/>
      <c r="BI242" s="46"/>
      <c r="BJ242" s="457"/>
      <c r="BK242" s="449">
        <v>0</v>
      </c>
      <c r="BL242" s="45"/>
      <c r="BM242" s="45"/>
      <c r="BN242" s="45"/>
      <c r="BO242" s="45"/>
      <c r="BP242" s="45"/>
      <c r="BQ242" s="45"/>
      <c r="BR242" s="45"/>
      <c r="BS242" s="45"/>
      <c r="BT242" s="45"/>
      <c r="BU242" s="45"/>
      <c r="BV242" s="45"/>
      <c r="BW242" s="45"/>
      <c r="BX242" s="45"/>
      <c r="BY242" s="45"/>
      <c r="BZ242" s="45"/>
      <c r="CA242" s="45"/>
      <c r="CB242" s="45"/>
      <c r="CC242" s="45"/>
      <c r="CD242" s="463"/>
    </row>
    <row r="243" spans="2:82">
      <c r="B243" s="136">
        <v>234</v>
      </c>
      <c r="C243" s="138">
        <v>1</v>
      </c>
      <c r="D243" s="474">
        <v>2592.7300012550063</v>
      </c>
      <c r="E243" s="127">
        <v>266.14617258612151</v>
      </c>
      <c r="F243" s="447">
        <v>0.47500918055373631</v>
      </c>
      <c r="G243" s="127">
        <v>92.619502839244973</v>
      </c>
      <c r="H243" s="132">
        <v>47.306751455040633</v>
      </c>
      <c r="I243" s="456"/>
      <c r="J243" s="45"/>
      <c r="K243" s="45">
        <v>390</v>
      </c>
      <c r="L243" s="463"/>
      <c r="M243" s="456">
        <v>42.31402587890625</v>
      </c>
      <c r="N243" s="457"/>
      <c r="O243" s="456"/>
      <c r="P243" s="46"/>
      <c r="Q243" s="463">
        <v>51.336055755615234</v>
      </c>
      <c r="R243" s="449"/>
      <c r="S243" s="463"/>
      <c r="T243" s="480"/>
      <c r="U243" s="468"/>
      <c r="V243" s="449"/>
      <c r="W243" s="45">
        <v>1541.6226806640625</v>
      </c>
      <c r="X243" s="463">
        <v>128.81715393066406</v>
      </c>
      <c r="Y243" s="449"/>
      <c r="Z243" s="45"/>
      <c r="AA243" s="468">
        <v>0.46170267212656679</v>
      </c>
      <c r="AB243" s="456"/>
      <c r="AC243" s="46"/>
      <c r="AD243" s="46"/>
      <c r="AE243" s="46"/>
      <c r="AF243" s="46"/>
      <c r="AG243" s="46"/>
      <c r="AH243" s="46"/>
      <c r="AI243" s="457"/>
      <c r="AJ243" s="138"/>
      <c r="AK243" s="745"/>
      <c r="AL243" s="54"/>
      <c r="AM243" s="468"/>
      <c r="AN243" s="449"/>
      <c r="AO243" s="45"/>
      <c r="AP243" s="45"/>
      <c r="AQ243" s="45"/>
      <c r="AR243" s="45"/>
      <c r="AS243" s="45"/>
      <c r="AT243" s="45"/>
      <c r="AU243" s="463"/>
      <c r="AV243" s="449"/>
      <c r="AW243" s="45"/>
      <c r="AX243" s="45"/>
      <c r="AY243" s="45"/>
      <c r="AZ243" s="45"/>
      <c r="BA243" s="45"/>
      <c r="BB243" s="45"/>
      <c r="BC243" s="463"/>
      <c r="BD243" s="456"/>
      <c r="BE243" s="46"/>
      <c r="BF243" s="46"/>
      <c r="BG243" s="46"/>
      <c r="BH243" s="46"/>
      <c r="BI243" s="46"/>
      <c r="BJ243" s="457"/>
      <c r="BK243" s="449">
        <v>0</v>
      </c>
      <c r="BL243" s="45"/>
      <c r="BM243" s="45"/>
      <c r="BN243" s="45"/>
      <c r="BO243" s="45"/>
      <c r="BP243" s="45"/>
      <c r="BQ243" s="45"/>
      <c r="BR243" s="45"/>
      <c r="BS243" s="45"/>
      <c r="BT243" s="45"/>
      <c r="BU243" s="45"/>
      <c r="BV243" s="45"/>
      <c r="BW243" s="45"/>
      <c r="BX243" s="45"/>
      <c r="BY243" s="45"/>
      <c r="BZ243" s="45"/>
      <c r="CA243" s="45"/>
      <c r="CB243" s="45"/>
      <c r="CC243" s="45"/>
      <c r="CD243" s="463"/>
    </row>
    <row r="244" spans="2:82">
      <c r="B244" s="136">
        <v>235</v>
      </c>
      <c r="C244" s="138">
        <v>1</v>
      </c>
      <c r="D244" s="474">
        <v>3400.2490072591127</v>
      </c>
      <c r="E244" s="127">
        <v>287.11314147633732</v>
      </c>
      <c r="F244" s="447">
        <v>0.39301444198086011</v>
      </c>
      <c r="G244" s="127">
        <v>108.35464275246579</v>
      </c>
      <c r="H244" s="132">
        <v>58.672182519421739</v>
      </c>
      <c r="I244" s="456"/>
      <c r="J244" s="45"/>
      <c r="K244" s="45">
        <v>460</v>
      </c>
      <c r="L244" s="463"/>
      <c r="M244" s="456">
        <v>29.58746337890625</v>
      </c>
      <c r="N244" s="457"/>
      <c r="O244" s="456"/>
      <c r="P244" s="46"/>
      <c r="Q244" s="463">
        <v>67.324935913085937</v>
      </c>
      <c r="R244" s="449"/>
      <c r="S244" s="463"/>
      <c r="T244" s="480"/>
      <c r="U244" s="468"/>
      <c r="V244" s="449"/>
      <c r="W244" s="45">
        <v>1323.5672607421875</v>
      </c>
      <c r="X244" s="463">
        <v>113.26678466796875</v>
      </c>
      <c r="Y244" s="449"/>
      <c r="Z244" s="45"/>
      <c r="AA244" s="468">
        <v>0.38335035891827718</v>
      </c>
      <c r="AB244" s="456"/>
      <c r="AC244" s="46"/>
      <c r="AD244" s="46"/>
      <c r="AE244" s="46"/>
      <c r="AF244" s="46"/>
      <c r="AG244" s="46"/>
      <c r="AH244" s="46"/>
      <c r="AI244" s="457"/>
      <c r="AJ244" s="138"/>
      <c r="AK244" s="745"/>
      <c r="AL244" s="54"/>
      <c r="AM244" s="468"/>
      <c r="AN244" s="449"/>
      <c r="AO244" s="45"/>
      <c r="AP244" s="45"/>
      <c r="AQ244" s="45"/>
      <c r="AR244" s="45"/>
      <c r="AS244" s="45"/>
      <c r="AT244" s="45"/>
      <c r="AU244" s="463"/>
      <c r="AV244" s="449"/>
      <c r="AW244" s="45"/>
      <c r="AX244" s="45"/>
      <c r="AY244" s="45"/>
      <c r="AZ244" s="45"/>
      <c r="BA244" s="45"/>
      <c r="BB244" s="45"/>
      <c r="BC244" s="463"/>
      <c r="BD244" s="456"/>
      <c r="BE244" s="46"/>
      <c r="BF244" s="46"/>
      <c r="BG244" s="46"/>
      <c r="BH244" s="46"/>
      <c r="BI244" s="46"/>
      <c r="BJ244" s="457"/>
      <c r="BK244" s="449">
        <v>0</v>
      </c>
      <c r="BL244" s="45"/>
      <c r="BM244" s="45"/>
      <c r="BN244" s="45"/>
      <c r="BO244" s="45"/>
      <c r="BP244" s="45"/>
      <c r="BQ244" s="45"/>
      <c r="BR244" s="45"/>
      <c r="BS244" s="45"/>
      <c r="BT244" s="45"/>
      <c r="BU244" s="45"/>
      <c r="BV244" s="45"/>
      <c r="BW244" s="45"/>
      <c r="BX244" s="45"/>
      <c r="BY244" s="45"/>
      <c r="BZ244" s="45"/>
      <c r="CA244" s="45"/>
      <c r="CB244" s="45"/>
      <c r="CC244" s="45"/>
      <c r="CD244" s="463"/>
    </row>
    <row r="245" spans="2:82">
      <c r="B245" s="136">
        <v>236</v>
      </c>
      <c r="C245" s="138">
        <v>1</v>
      </c>
      <c r="D245" s="474">
        <v>3767.0877396715596</v>
      </c>
      <c r="E245" s="127">
        <v>201.12277988339386</v>
      </c>
      <c r="F245" s="447">
        <v>0.38416196777247158</v>
      </c>
      <c r="G245" s="127">
        <v>123.56271450676191</v>
      </c>
      <c r="H245" s="132">
        <v>60.917374308396312</v>
      </c>
      <c r="I245" s="456"/>
      <c r="J245" s="45"/>
      <c r="K245" s="45">
        <v>520</v>
      </c>
      <c r="L245" s="463"/>
      <c r="M245" s="456">
        <v>29.722806930541992</v>
      </c>
      <c r="N245" s="457"/>
      <c r="O245" s="456"/>
      <c r="P245" s="46"/>
      <c r="Q245" s="463">
        <v>74.588333129882813</v>
      </c>
      <c r="R245" s="449"/>
      <c r="S245" s="463"/>
      <c r="T245" s="480"/>
      <c r="U245" s="468"/>
      <c r="V245" s="449"/>
      <c r="W245" s="45">
        <v>1424.284912109375</v>
      </c>
      <c r="X245" s="463">
        <v>120.82801818847656</v>
      </c>
      <c r="Y245" s="449"/>
      <c r="Z245" s="45"/>
      <c r="AA245" s="468">
        <v>0.37548597145540707</v>
      </c>
      <c r="AB245" s="456"/>
      <c r="AC245" s="46"/>
      <c r="AD245" s="46"/>
      <c r="AE245" s="46"/>
      <c r="AF245" s="46"/>
      <c r="AG245" s="46"/>
      <c r="AH245" s="46"/>
      <c r="AI245" s="457"/>
      <c r="AJ245" s="138"/>
      <c r="AK245" s="745"/>
      <c r="AL245" s="54"/>
      <c r="AM245" s="468"/>
      <c r="AN245" s="449"/>
      <c r="AO245" s="45"/>
      <c r="AP245" s="45"/>
      <c r="AQ245" s="45"/>
      <c r="AR245" s="45"/>
      <c r="AS245" s="45"/>
      <c r="AT245" s="45"/>
      <c r="AU245" s="463"/>
      <c r="AV245" s="449"/>
      <c r="AW245" s="45"/>
      <c r="AX245" s="45"/>
      <c r="AY245" s="45"/>
      <c r="AZ245" s="45"/>
      <c r="BA245" s="45"/>
      <c r="BB245" s="45"/>
      <c r="BC245" s="463"/>
      <c r="BD245" s="456"/>
      <c r="BE245" s="46"/>
      <c r="BF245" s="46"/>
      <c r="BG245" s="46"/>
      <c r="BH245" s="46"/>
      <c r="BI245" s="46"/>
      <c r="BJ245" s="457"/>
      <c r="BK245" s="449">
        <v>0</v>
      </c>
      <c r="BL245" s="45"/>
      <c r="BM245" s="45"/>
      <c r="BN245" s="45"/>
      <c r="BO245" s="45"/>
      <c r="BP245" s="45"/>
      <c r="BQ245" s="45"/>
      <c r="BR245" s="45"/>
      <c r="BS245" s="45"/>
      <c r="BT245" s="45"/>
      <c r="BU245" s="45"/>
      <c r="BV245" s="45"/>
      <c r="BW245" s="45"/>
      <c r="BX245" s="45"/>
      <c r="BY245" s="45"/>
      <c r="BZ245" s="45"/>
      <c r="CA245" s="45"/>
      <c r="CB245" s="45"/>
      <c r="CC245" s="45"/>
      <c r="CD245" s="463"/>
    </row>
    <row r="246" spans="2:82">
      <c r="B246" s="136">
        <v>237</v>
      </c>
      <c r="C246" s="138">
        <v>1</v>
      </c>
      <c r="D246" s="474">
        <v>3328.1177439717794</v>
      </c>
      <c r="E246" s="127">
        <v>265.24227106080082</v>
      </c>
      <c r="F246" s="447">
        <v>0.35619876956136581</v>
      </c>
      <c r="G246" s="127">
        <v>119.17183255736491</v>
      </c>
      <c r="H246" s="132">
        <v>54.704466257405791</v>
      </c>
      <c r="I246" s="456"/>
      <c r="J246" s="45"/>
      <c r="K246" s="45">
        <v>480</v>
      </c>
      <c r="L246" s="463"/>
      <c r="M246" s="456">
        <v>27.562139511108398</v>
      </c>
      <c r="N246" s="457"/>
      <c r="O246" s="456"/>
      <c r="P246" s="46"/>
      <c r="Q246" s="463">
        <v>65.896736145019531</v>
      </c>
      <c r="R246" s="449"/>
      <c r="S246" s="463"/>
      <c r="T246" s="480"/>
      <c r="U246" s="468"/>
      <c r="V246" s="449"/>
      <c r="W246" s="45">
        <v>1228.5386962890625</v>
      </c>
      <c r="X246" s="463">
        <v>106.4185791015625</v>
      </c>
      <c r="Y246" s="449"/>
      <c r="Z246" s="45"/>
      <c r="AA246" s="468">
        <v>0.34654647422133061</v>
      </c>
      <c r="AB246" s="456"/>
      <c r="AC246" s="46"/>
      <c r="AD246" s="46"/>
      <c r="AE246" s="46"/>
      <c r="AF246" s="46"/>
      <c r="AG246" s="46"/>
      <c r="AH246" s="46"/>
      <c r="AI246" s="457"/>
      <c r="AJ246" s="138"/>
      <c r="AK246" s="745"/>
      <c r="AL246" s="54"/>
      <c r="AM246" s="468"/>
      <c r="AN246" s="449"/>
      <c r="AO246" s="45"/>
      <c r="AP246" s="45"/>
      <c r="AQ246" s="45"/>
      <c r="AR246" s="45"/>
      <c r="AS246" s="45"/>
      <c r="AT246" s="45"/>
      <c r="AU246" s="463"/>
      <c r="AV246" s="449"/>
      <c r="AW246" s="45"/>
      <c r="AX246" s="45"/>
      <c r="AY246" s="45"/>
      <c r="AZ246" s="45"/>
      <c r="BA246" s="45"/>
      <c r="BB246" s="45"/>
      <c r="BC246" s="463"/>
      <c r="BD246" s="456"/>
      <c r="BE246" s="46"/>
      <c r="BF246" s="46"/>
      <c r="BG246" s="46"/>
      <c r="BH246" s="46"/>
      <c r="BI246" s="46"/>
      <c r="BJ246" s="457"/>
      <c r="BK246" s="449">
        <v>0</v>
      </c>
      <c r="BL246" s="45"/>
      <c r="BM246" s="45"/>
      <c r="BN246" s="45"/>
      <c r="BO246" s="45"/>
      <c r="BP246" s="45"/>
      <c r="BQ246" s="45"/>
      <c r="BR246" s="45"/>
      <c r="BS246" s="45"/>
      <c r="BT246" s="45"/>
      <c r="BU246" s="45"/>
      <c r="BV246" s="45"/>
      <c r="BW246" s="45"/>
      <c r="BX246" s="45"/>
      <c r="BY246" s="45"/>
      <c r="BZ246" s="45"/>
      <c r="CA246" s="45"/>
      <c r="CB246" s="45"/>
      <c r="CC246" s="45"/>
      <c r="CD246" s="463"/>
    </row>
    <row r="247" spans="2:82">
      <c r="B247" s="136">
        <v>238</v>
      </c>
      <c r="C247" s="138">
        <v>1</v>
      </c>
      <c r="D247" s="474">
        <v>3339.8884654374069</v>
      </c>
      <c r="E247" s="127">
        <v>257.57234216104371</v>
      </c>
      <c r="F247" s="447">
        <v>0.38489051357036941</v>
      </c>
      <c r="G247" s="127">
        <v>123.11427860321538</v>
      </c>
      <c r="H247" s="132">
        <v>60.780285690347377</v>
      </c>
      <c r="I247" s="456"/>
      <c r="J247" s="45"/>
      <c r="K247" s="45">
        <v>510</v>
      </c>
      <c r="L247" s="463"/>
      <c r="M247" s="456">
        <v>29.778879165649414</v>
      </c>
      <c r="N247" s="457"/>
      <c r="O247" s="456"/>
      <c r="P247" s="46"/>
      <c r="Q247" s="463">
        <v>74.277442932128906</v>
      </c>
      <c r="R247" s="449"/>
      <c r="S247" s="463"/>
      <c r="T247" s="480"/>
      <c r="U247" s="468"/>
      <c r="V247" s="449"/>
      <c r="W247" s="45">
        <v>1422.8369140625</v>
      </c>
      <c r="X247" s="463">
        <v>120.71464538574219</v>
      </c>
      <c r="Y247" s="449"/>
      <c r="Z247" s="45"/>
      <c r="AA247" s="468">
        <v>0.37510042308987035</v>
      </c>
      <c r="AB247" s="456"/>
      <c r="AC247" s="46"/>
      <c r="AD247" s="46"/>
      <c r="AE247" s="46"/>
      <c r="AF247" s="46"/>
      <c r="AG247" s="46"/>
      <c r="AH247" s="46"/>
      <c r="AI247" s="457"/>
      <c r="AJ247" s="138"/>
      <c r="AK247" s="745"/>
      <c r="AL247" s="54"/>
      <c r="AM247" s="468"/>
      <c r="AN247" s="449"/>
      <c r="AO247" s="45"/>
      <c r="AP247" s="45"/>
      <c r="AQ247" s="45"/>
      <c r="AR247" s="45"/>
      <c r="AS247" s="45"/>
      <c r="AT247" s="45"/>
      <c r="AU247" s="463"/>
      <c r="AV247" s="449"/>
      <c r="AW247" s="45"/>
      <c r="AX247" s="45"/>
      <c r="AY247" s="45"/>
      <c r="AZ247" s="45"/>
      <c r="BA247" s="45"/>
      <c r="BB247" s="45"/>
      <c r="BC247" s="463"/>
      <c r="BD247" s="456"/>
      <c r="BE247" s="46"/>
      <c r="BF247" s="46"/>
      <c r="BG247" s="46"/>
      <c r="BH247" s="46"/>
      <c r="BI247" s="46"/>
      <c r="BJ247" s="457"/>
      <c r="BK247" s="449">
        <v>0</v>
      </c>
      <c r="BL247" s="45"/>
      <c r="BM247" s="45"/>
      <c r="BN247" s="45"/>
      <c r="BO247" s="45"/>
      <c r="BP247" s="45"/>
      <c r="BQ247" s="45"/>
      <c r="BR247" s="45"/>
      <c r="BS247" s="45"/>
      <c r="BT247" s="45"/>
      <c r="BU247" s="45"/>
      <c r="BV247" s="45"/>
      <c r="BW247" s="45"/>
      <c r="BX247" s="45"/>
      <c r="BY247" s="45"/>
      <c r="BZ247" s="45"/>
      <c r="CA247" s="45"/>
      <c r="CB247" s="45"/>
      <c r="CC247" s="45"/>
      <c r="CD247" s="463"/>
    </row>
    <row r="248" spans="2:82">
      <c r="B248" s="136">
        <v>239</v>
      </c>
      <c r="C248" s="138">
        <v>1</v>
      </c>
      <c r="D248" s="474">
        <v>2726.108010741862</v>
      </c>
      <c r="E248" s="127">
        <v>261.19332749131047</v>
      </c>
      <c r="F248" s="447">
        <v>0.43399231807051086</v>
      </c>
      <c r="G248" s="127">
        <v>107.9764181999676</v>
      </c>
      <c r="H248" s="132">
        <v>44.93992473650723</v>
      </c>
      <c r="I248" s="456"/>
      <c r="J248" s="45"/>
      <c r="K248" s="45">
        <v>420</v>
      </c>
      <c r="L248" s="463"/>
      <c r="M248" s="456">
        <v>37.448612213134766</v>
      </c>
      <c r="N248" s="457"/>
      <c r="O248" s="456"/>
      <c r="P248" s="46"/>
      <c r="Q248" s="463">
        <v>53.976943969726562</v>
      </c>
      <c r="R248" s="449"/>
      <c r="S248" s="463"/>
      <c r="T248" s="480"/>
      <c r="U248" s="468"/>
      <c r="V248" s="449"/>
      <c r="W248" s="45">
        <v>1426.7333984375</v>
      </c>
      <c r="X248" s="463">
        <v>120.61817169189453</v>
      </c>
      <c r="Y248" s="449"/>
      <c r="Z248" s="45"/>
      <c r="AA248" s="468">
        <v>0.42163776490214805</v>
      </c>
      <c r="AB248" s="456"/>
      <c r="AC248" s="46"/>
      <c r="AD248" s="46"/>
      <c r="AE248" s="46"/>
      <c r="AF248" s="46"/>
      <c r="AG248" s="46"/>
      <c r="AH248" s="46"/>
      <c r="AI248" s="457"/>
      <c r="AJ248" s="138"/>
      <c r="AK248" s="745"/>
      <c r="AL248" s="54"/>
      <c r="AM248" s="468"/>
      <c r="AN248" s="449"/>
      <c r="AO248" s="45"/>
      <c r="AP248" s="45"/>
      <c r="AQ248" s="45"/>
      <c r="AR248" s="45"/>
      <c r="AS248" s="45"/>
      <c r="AT248" s="45"/>
      <c r="AU248" s="463"/>
      <c r="AV248" s="449"/>
      <c r="AW248" s="45"/>
      <c r="AX248" s="45"/>
      <c r="AY248" s="45"/>
      <c r="AZ248" s="45"/>
      <c r="BA248" s="45"/>
      <c r="BB248" s="45"/>
      <c r="BC248" s="463"/>
      <c r="BD248" s="456"/>
      <c r="BE248" s="46"/>
      <c r="BF248" s="46"/>
      <c r="BG248" s="46"/>
      <c r="BH248" s="46"/>
      <c r="BI248" s="46"/>
      <c r="BJ248" s="457"/>
      <c r="BK248" s="449">
        <v>0</v>
      </c>
      <c r="BL248" s="45"/>
      <c r="BM248" s="45"/>
      <c r="BN248" s="45"/>
      <c r="BO248" s="45"/>
      <c r="BP248" s="45"/>
      <c r="BQ248" s="45"/>
      <c r="BR248" s="45"/>
      <c r="BS248" s="45"/>
      <c r="BT248" s="45"/>
      <c r="BU248" s="45"/>
      <c r="BV248" s="45"/>
      <c r="BW248" s="45"/>
      <c r="BX248" s="45"/>
      <c r="BY248" s="45"/>
      <c r="BZ248" s="45"/>
      <c r="CA248" s="45"/>
      <c r="CB248" s="45"/>
      <c r="CC248" s="45"/>
      <c r="CD248" s="463"/>
    </row>
    <row r="249" spans="2:82">
      <c r="B249" s="136">
        <v>240</v>
      </c>
      <c r="C249" s="138">
        <v>1</v>
      </c>
      <c r="D249" s="474">
        <v>3820.5740997342218</v>
      </c>
      <c r="E249" s="127">
        <v>184.15793300848918</v>
      </c>
      <c r="F249" s="447">
        <v>0.46206934692493035</v>
      </c>
      <c r="G249" s="127">
        <v>147.62536015663505</v>
      </c>
      <c r="H249" s="132">
        <v>56.096022725833372</v>
      </c>
      <c r="I249" s="456"/>
      <c r="J249" s="45"/>
      <c r="K249" s="45">
        <v>590</v>
      </c>
      <c r="L249" s="463"/>
      <c r="M249" s="456">
        <v>45.442398071289063</v>
      </c>
      <c r="N249" s="457"/>
      <c r="O249" s="456"/>
      <c r="P249" s="46"/>
      <c r="Q249" s="463">
        <v>75.647369384765625</v>
      </c>
      <c r="R249" s="449"/>
      <c r="S249" s="463"/>
      <c r="T249" s="480"/>
      <c r="U249" s="468"/>
      <c r="V249" s="449"/>
      <c r="W249" s="45">
        <v>2131.169677734375</v>
      </c>
      <c r="X249" s="463">
        <v>172.53103637695312</v>
      </c>
      <c r="Y249" s="449"/>
      <c r="Z249" s="45"/>
      <c r="AA249" s="468">
        <v>0.45310698000188582</v>
      </c>
      <c r="AB249" s="456"/>
      <c r="AC249" s="46"/>
      <c r="AD249" s="46"/>
      <c r="AE249" s="46"/>
      <c r="AF249" s="46"/>
      <c r="AG249" s="46"/>
      <c r="AH249" s="46"/>
      <c r="AI249" s="457"/>
      <c r="AJ249" s="138"/>
      <c r="AK249" s="745"/>
      <c r="AL249" s="54"/>
      <c r="AM249" s="468"/>
      <c r="AN249" s="449"/>
      <c r="AO249" s="45"/>
      <c r="AP249" s="45"/>
      <c r="AQ249" s="45"/>
      <c r="AR249" s="45"/>
      <c r="AS249" s="45"/>
      <c r="AT249" s="45"/>
      <c r="AU249" s="463"/>
      <c r="AV249" s="449"/>
      <c r="AW249" s="45"/>
      <c r="AX249" s="45"/>
      <c r="AY249" s="45"/>
      <c r="AZ249" s="45"/>
      <c r="BA249" s="45"/>
      <c r="BB249" s="45"/>
      <c r="BC249" s="463"/>
      <c r="BD249" s="456"/>
      <c r="BE249" s="46"/>
      <c r="BF249" s="46"/>
      <c r="BG249" s="46"/>
      <c r="BH249" s="46"/>
      <c r="BI249" s="46"/>
      <c r="BJ249" s="457"/>
      <c r="BK249" s="449">
        <v>0</v>
      </c>
      <c r="BL249" s="45"/>
      <c r="BM249" s="45"/>
      <c r="BN249" s="45"/>
      <c r="BO249" s="45"/>
      <c r="BP249" s="45"/>
      <c r="BQ249" s="45"/>
      <c r="BR249" s="45"/>
      <c r="BS249" s="45"/>
      <c r="BT249" s="45"/>
      <c r="BU249" s="45"/>
      <c r="BV249" s="45"/>
      <c r="BW249" s="45"/>
      <c r="BX249" s="45"/>
      <c r="BY249" s="45"/>
      <c r="BZ249" s="45"/>
      <c r="CA249" s="45"/>
      <c r="CB249" s="45"/>
      <c r="CC249" s="45"/>
      <c r="CD249" s="463"/>
    </row>
    <row r="250" spans="2:82">
      <c r="B250" s="136">
        <v>241</v>
      </c>
      <c r="C250" s="138">
        <v>1</v>
      </c>
      <c r="D250" s="474">
        <v>4060.4241818882256</v>
      </c>
      <c r="E250" s="127">
        <v>224.98911107607015</v>
      </c>
      <c r="F250" s="447">
        <v>0.46926854075502683</v>
      </c>
      <c r="G250" s="127">
        <v>126.16361217148925</v>
      </c>
      <c r="H250" s="132">
        <v>64.515970888345606</v>
      </c>
      <c r="I250" s="456"/>
      <c r="J250" s="45"/>
      <c r="K250" s="45">
        <v>550</v>
      </c>
      <c r="L250" s="463"/>
      <c r="M250" s="456">
        <v>42.565078735351563</v>
      </c>
      <c r="N250" s="457"/>
      <c r="O250" s="456"/>
      <c r="P250" s="46"/>
      <c r="Q250" s="463">
        <v>80.396400451660156</v>
      </c>
      <c r="R250" s="449"/>
      <c r="S250" s="463"/>
      <c r="T250" s="480"/>
      <c r="U250" s="468"/>
      <c r="V250" s="449"/>
      <c r="W250" s="45">
        <v>2057.416748046875</v>
      </c>
      <c r="X250" s="463">
        <v>167.02940368652344</v>
      </c>
      <c r="Y250" s="449"/>
      <c r="Z250" s="45"/>
      <c r="AA250" s="468">
        <v>0.46080012236453488</v>
      </c>
      <c r="AB250" s="456"/>
      <c r="AC250" s="46"/>
      <c r="AD250" s="46"/>
      <c r="AE250" s="46"/>
      <c r="AF250" s="46"/>
      <c r="AG250" s="46"/>
      <c r="AH250" s="46"/>
      <c r="AI250" s="457"/>
      <c r="AJ250" s="138"/>
      <c r="AK250" s="745"/>
      <c r="AL250" s="54"/>
      <c r="AM250" s="468"/>
      <c r="AN250" s="449"/>
      <c r="AO250" s="45"/>
      <c r="AP250" s="45"/>
      <c r="AQ250" s="45"/>
      <c r="AR250" s="45"/>
      <c r="AS250" s="45"/>
      <c r="AT250" s="45"/>
      <c r="AU250" s="463"/>
      <c r="AV250" s="449"/>
      <c r="AW250" s="45"/>
      <c r="AX250" s="45"/>
      <c r="AY250" s="45"/>
      <c r="AZ250" s="45"/>
      <c r="BA250" s="45"/>
      <c r="BB250" s="45"/>
      <c r="BC250" s="463"/>
      <c r="BD250" s="456"/>
      <c r="BE250" s="46"/>
      <c r="BF250" s="46"/>
      <c r="BG250" s="46"/>
      <c r="BH250" s="46"/>
      <c r="BI250" s="46"/>
      <c r="BJ250" s="457"/>
      <c r="BK250" s="449">
        <v>0</v>
      </c>
      <c r="BL250" s="45"/>
      <c r="BM250" s="45"/>
      <c r="BN250" s="45"/>
      <c r="BO250" s="45"/>
      <c r="BP250" s="45"/>
      <c r="BQ250" s="45"/>
      <c r="BR250" s="45"/>
      <c r="BS250" s="45"/>
      <c r="BT250" s="45"/>
      <c r="BU250" s="45"/>
      <c r="BV250" s="45"/>
      <c r="BW250" s="45"/>
      <c r="BX250" s="45"/>
      <c r="BY250" s="45"/>
      <c r="BZ250" s="45"/>
      <c r="CA250" s="45"/>
      <c r="CB250" s="45"/>
      <c r="CC250" s="45"/>
      <c r="CD250" s="463"/>
    </row>
    <row r="251" spans="2:82">
      <c r="B251" s="136">
        <v>242</v>
      </c>
      <c r="C251" s="138">
        <v>1</v>
      </c>
      <c r="D251" s="474">
        <v>3319.8345930421278</v>
      </c>
      <c r="E251" s="127">
        <v>333.47789309728495</v>
      </c>
      <c r="F251" s="447">
        <v>0.40781450885105164</v>
      </c>
      <c r="G251" s="127">
        <v>109.54993545426562</v>
      </c>
      <c r="H251" s="132">
        <v>57.051579129428909</v>
      </c>
      <c r="I251" s="456"/>
      <c r="J251" s="45"/>
      <c r="K251" s="45">
        <v>460</v>
      </c>
      <c r="L251" s="463"/>
      <c r="M251" s="456">
        <v>31.580295562744141</v>
      </c>
      <c r="N251" s="457"/>
      <c r="O251" s="456"/>
      <c r="P251" s="46"/>
      <c r="Q251" s="463">
        <v>65.73272705078125</v>
      </c>
      <c r="R251" s="449"/>
      <c r="S251" s="463"/>
      <c r="T251" s="480"/>
      <c r="U251" s="468"/>
      <c r="V251" s="449"/>
      <c r="W251" s="45">
        <v>1384.654541015625</v>
      </c>
      <c r="X251" s="463">
        <v>117.70439147949219</v>
      </c>
      <c r="Y251" s="449"/>
      <c r="Z251" s="45"/>
      <c r="AA251" s="468">
        <v>0.39782717687779257</v>
      </c>
      <c r="AB251" s="456"/>
      <c r="AC251" s="46"/>
      <c r="AD251" s="46"/>
      <c r="AE251" s="46"/>
      <c r="AF251" s="46"/>
      <c r="AG251" s="46"/>
      <c r="AH251" s="46"/>
      <c r="AI251" s="457"/>
      <c r="AJ251" s="138"/>
      <c r="AK251" s="745"/>
      <c r="AL251" s="54"/>
      <c r="AM251" s="468"/>
      <c r="AN251" s="449"/>
      <c r="AO251" s="45"/>
      <c r="AP251" s="45"/>
      <c r="AQ251" s="45"/>
      <c r="AR251" s="45"/>
      <c r="AS251" s="45"/>
      <c r="AT251" s="45"/>
      <c r="AU251" s="463"/>
      <c r="AV251" s="449"/>
      <c r="AW251" s="45"/>
      <c r="AX251" s="45"/>
      <c r="AY251" s="45"/>
      <c r="AZ251" s="45"/>
      <c r="BA251" s="45"/>
      <c r="BB251" s="45"/>
      <c r="BC251" s="463"/>
      <c r="BD251" s="456"/>
      <c r="BE251" s="46"/>
      <c r="BF251" s="46"/>
      <c r="BG251" s="46"/>
      <c r="BH251" s="46"/>
      <c r="BI251" s="46"/>
      <c r="BJ251" s="457"/>
      <c r="BK251" s="449">
        <v>0</v>
      </c>
      <c r="BL251" s="45"/>
      <c r="BM251" s="45"/>
      <c r="BN251" s="45"/>
      <c r="BO251" s="45"/>
      <c r="BP251" s="45"/>
      <c r="BQ251" s="45"/>
      <c r="BR251" s="45"/>
      <c r="BS251" s="45"/>
      <c r="BT251" s="45"/>
      <c r="BU251" s="45"/>
      <c r="BV251" s="45"/>
      <c r="BW251" s="45"/>
      <c r="BX251" s="45"/>
      <c r="BY251" s="45"/>
      <c r="BZ251" s="45"/>
      <c r="CA251" s="45"/>
      <c r="CB251" s="45"/>
      <c r="CC251" s="45"/>
      <c r="CD251" s="463"/>
    </row>
    <row r="252" spans="2:82">
      <c r="B252" s="136">
        <v>243</v>
      </c>
      <c r="C252" s="138">
        <v>1</v>
      </c>
      <c r="D252" s="474">
        <v>3251.2688873061475</v>
      </c>
      <c r="E252" s="127">
        <v>241.18055011871181</v>
      </c>
      <c r="F252" s="447">
        <v>0.38436285316600172</v>
      </c>
      <c r="G252" s="127">
        <v>113.94831397815517</v>
      </c>
      <c r="H252" s="132">
        <v>54.693616590196918</v>
      </c>
      <c r="I252" s="456"/>
      <c r="J252" s="45"/>
      <c r="K252" s="45">
        <v>460</v>
      </c>
      <c r="L252" s="463"/>
      <c r="M252" s="456">
        <v>29.858896255493164</v>
      </c>
      <c r="N252" s="457"/>
      <c r="O252" s="456"/>
      <c r="P252" s="46"/>
      <c r="Q252" s="463">
        <v>64.3751220703125</v>
      </c>
      <c r="R252" s="449"/>
      <c r="S252" s="463"/>
      <c r="T252" s="480"/>
      <c r="U252" s="468"/>
      <c r="V252" s="449"/>
      <c r="W252" s="45">
        <v>1303.9979248046875</v>
      </c>
      <c r="X252" s="463">
        <v>111.86167144775391</v>
      </c>
      <c r="Y252" s="449"/>
      <c r="Z252" s="45"/>
      <c r="AA252" s="468">
        <v>0.37430916083961802</v>
      </c>
      <c r="AB252" s="456"/>
      <c r="AC252" s="46"/>
      <c r="AD252" s="46"/>
      <c r="AE252" s="46"/>
      <c r="AF252" s="46"/>
      <c r="AG252" s="46"/>
      <c r="AH252" s="46"/>
      <c r="AI252" s="457"/>
      <c r="AJ252" s="138"/>
      <c r="AK252" s="745"/>
      <c r="AL252" s="54"/>
      <c r="AM252" s="468"/>
      <c r="AN252" s="449"/>
      <c r="AO252" s="45"/>
      <c r="AP252" s="45"/>
      <c r="AQ252" s="45"/>
      <c r="AR252" s="45"/>
      <c r="AS252" s="45"/>
      <c r="AT252" s="45"/>
      <c r="AU252" s="463"/>
      <c r="AV252" s="449"/>
      <c r="AW252" s="45"/>
      <c r="AX252" s="45"/>
      <c r="AY252" s="45"/>
      <c r="AZ252" s="45"/>
      <c r="BA252" s="45"/>
      <c r="BB252" s="45"/>
      <c r="BC252" s="463"/>
      <c r="BD252" s="456"/>
      <c r="BE252" s="46"/>
      <c r="BF252" s="46"/>
      <c r="BG252" s="46"/>
      <c r="BH252" s="46"/>
      <c r="BI252" s="46"/>
      <c r="BJ252" s="457"/>
      <c r="BK252" s="449">
        <v>0</v>
      </c>
      <c r="BL252" s="45"/>
      <c r="BM252" s="45"/>
      <c r="BN252" s="45"/>
      <c r="BO252" s="45"/>
      <c r="BP252" s="45"/>
      <c r="BQ252" s="45"/>
      <c r="BR252" s="45"/>
      <c r="BS252" s="45"/>
      <c r="BT252" s="45"/>
      <c r="BU252" s="45"/>
      <c r="BV252" s="45"/>
      <c r="BW252" s="45"/>
      <c r="BX252" s="45"/>
      <c r="BY252" s="45"/>
      <c r="BZ252" s="45"/>
      <c r="CA252" s="45"/>
      <c r="CB252" s="45"/>
      <c r="CC252" s="45"/>
      <c r="CD252" s="463"/>
    </row>
    <row r="253" spans="2:82">
      <c r="B253" s="136">
        <v>244</v>
      </c>
      <c r="C253" s="138">
        <v>1</v>
      </c>
      <c r="D253" s="474">
        <v>3768.3766874002295</v>
      </c>
      <c r="E253" s="127">
        <v>251.02397152141788</v>
      </c>
      <c r="F253" s="447">
        <v>0.42621155541416172</v>
      </c>
      <c r="G253" s="127">
        <v>142.0990632568593</v>
      </c>
      <c r="H253" s="132">
        <v>56.593518227322839</v>
      </c>
      <c r="I253" s="456"/>
      <c r="J253" s="45"/>
      <c r="K253" s="45">
        <v>560</v>
      </c>
      <c r="L253" s="463"/>
      <c r="M253" s="456">
        <v>37.724292755126953</v>
      </c>
      <c r="N253" s="457"/>
      <c r="O253" s="456"/>
      <c r="P253" s="46"/>
      <c r="Q253" s="463">
        <v>74.613861083984375</v>
      </c>
      <c r="R253" s="449"/>
      <c r="S253" s="463"/>
      <c r="T253" s="480"/>
      <c r="U253" s="468"/>
      <c r="V253" s="449"/>
      <c r="W253" s="45">
        <v>1782.1507568359375</v>
      </c>
      <c r="X253" s="463">
        <v>147.05809020996094</v>
      </c>
      <c r="Y253" s="449"/>
      <c r="Z253" s="45"/>
      <c r="AA253" s="468">
        <v>0.41731535583295393</v>
      </c>
      <c r="AB253" s="456"/>
      <c r="AC253" s="46"/>
      <c r="AD253" s="46"/>
      <c r="AE253" s="46"/>
      <c r="AF253" s="46"/>
      <c r="AG253" s="46"/>
      <c r="AH253" s="46"/>
      <c r="AI253" s="457"/>
      <c r="AJ253" s="138"/>
      <c r="AK253" s="745"/>
      <c r="AL253" s="54"/>
      <c r="AM253" s="468"/>
      <c r="AN253" s="449"/>
      <c r="AO253" s="45"/>
      <c r="AP253" s="45"/>
      <c r="AQ253" s="45"/>
      <c r="AR253" s="45"/>
      <c r="AS253" s="45"/>
      <c r="AT253" s="45"/>
      <c r="AU253" s="463"/>
      <c r="AV253" s="449"/>
      <c r="AW253" s="45"/>
      <c r="AX253" s="45"/>
      <c r="AY253" s="45"/>
      <c r="AZ253" s="45"/>
      <c r="BA253" s="45"/>
      <c r="BB253" s="45"/>
      <c r="BC253" s="463"/>
      <c r="BD253" s="456"/>
      <c r="BE253" s="46"/>
      <c r="BF253" s="46"/>
      <c r="BG253" s="46"/>
      <c r="BH253" s="46"/>
      <c r="BI253" s="46"/>
      <c r="BJ253" s="457"/>
      <c r="BK253" s="449">
        <v>0</v>
      </c>
      <c r="BL253" s="45"/>
      <c r="BM253" s="45"/>
      <c r="BN253" s="45"/>
      <c r="BO253" s="45"/>
      <c r="BP253" s="45"/>
      <c r="BQ253" s="45"/>
      <c r="BR253" s="45"/>
      <c r="BS253" s="45"/>
      <c r="BT253" s="45"/>
      <c r="BU253" s="45"/>
      <c r="BV253" s="45"/>
      <c r="BW253" s="45"/>
      <c r="BX253" s="45"/>
      <c r="BY253" s="45"/>
      <c r="BZ253" s="45"/>
      <c r="CA253" s="45"/>
      <c r="CB253" s="45"/>
      <c r="CC253" s="45"/>
      <c r="CD253" s="463"/>
    </row>
    <row r="254" spans="2:82">
      <c r="B254" s="136">
        <v>245</v>
      </c>
      <c r="C254" s="138">
        <v>1</v>
      </c>
      <c r="D254" s="474">
        <v>3541.4014450841141</v>
      </c>
      <c r="E254" s="127">
        <v>193.03410967163018</v>
      </c>
      <c r="F254" s="447">
        <v>0.39645019911408974</v>
      </c>
      <c r="G254" s="127">
        <v>126.00444413870579</v>
      </c>
      <c r="H254" s="132">
        <v>56.731776807990869</v>
      </c>
      <c r="I254" s="456"/>
      <c r="J254" s="45"/>
      <c r="K254" s="45">
        <v>510</v>
      </c>
      <c r="L254" s="463"/>
      <c r="M254" s="456">
        <v>31.915576934814453</v>
      </c>
      <c r="N254" s="457"/>
      <c r="O254" s="456"/>
      <c r="P254" s="46"/>
      <c r="Q254" s="463">
        <v>70.1197509765625</v>
      </c>
      <c r="R254" s="449"/>
      <c r="S254" s="463"/>
      <c r="T254" s="480"/>
      <c r="U254" s="468"/>
      <c r="V254" s="449"/>
      <c r="W254" s="45">
        <v>1466.826171875</v>
      </c>
      <c r="X254" s="463">
        <v>123.89420318603516</v>
      </c>
      <c r="Y254" s="449"/>
      <c r="Z254" s="45"/>
      <c r="AA254" s="468">
        <v>0.38715190167650576</v>
      </c>
      <c r="AB254" s="456"/>
      <c r="AC254" s="46"/>
      <c r="AD254" s="46"/>
      <c r="AE254" s="46"/>
      <c r="AF254" s="46"/>
      <c r="AG254" s="46"/>
      <c r="AH254" s="46"/>
      <c r="AI254" s="457"/>
      <c r="AJ254" s="138"/>
      <c r="AK254" s="745"/>
      <c r="AL254" s="54"/>
      <c r="AM254" s="468"/>
      <c r="AN254" s="449"/>
      <c r="AO254" s="45"/>
      <c r="AP254" s="45"/>
      <c r="AQ254" s="45"/>
      <c r="AR254" s="45"/>
      <c r="AS254" s="45"/>
      <c r="AT254" s="45"/>
      <c r="AU254" s="463"/>
      <c r="AV254" s="449"/>
      <c r="AW254" s="45"/>
      <c r="AX254" s="45"/>
      <c r="AY254" s="45"/>
      <c r="AZ254" s="45"/>
      <c r="BA254" s="45"/>
      <c r="BB254" s="45"/>
      <c r="BC254" s="463"/>
      <c r="BD254" s="456"/>
      <c r="BE254" s="46"/>
      <c r="BF254" s="46"/>
      <c r="BG254" s="46"/>
      <c r="BH254" s="46"/>
      <c r="BI254" s="46"/>
      <c r="BJ254" s="457"/>
      <c r="BK254" s="449">
        <v>0</v>
      </c>
      <c r="BL254" s="45"/>
      <c r="BM254" s="45"/>
      <c r="BN254" s="45"/>
      <c r="BO254" s="45"/>
      <c r="BP254" s="45"/>
      <c r="BQ254" s="45"/>
      <c r="BR254" s="45"/>
      <c r="BS254" s="45"/>
      <c r="BT254" s="45"/>
      <c r="BU254" s="45"/>
      <c r="BV254" s="45"/>
      <c r="BW254" s="45"/>
      <c r="BX254" s="45"/>
      <c r="BY254" s="45"/>
      <c r="BZ254" s="45"/>
      <c r="CA254" s="45"/>
      <c r="CB254" s="45"/>
      <c r="CC254" s="45"/>
      <c r="CD254" s="463"/>
    </row>
    <row r="255" spans="2:82">
      <c r="B255" s="136">
        <v>246</v>
      </c>
      <c r="C255" s="138">
        <v>1</v>
      </c>
      <c r="D255" s="474">
        <v>3216.823566490209</v>
      </c>
      <c r="E255" s="127">
        <v>251.00715044570501</v>
      </c>
      <c r="F255" s="447">
        <v>0.40457694001183014</v>
      </c>
      <c r="G255" s="127">
        <v>116.48046246250074</v>
      </c>
      <c r="H255" s="132">
        <v>53.336571735102758</v>
      </c>
      <c r="I255" s="456"/>
      <c r="J255" s="45"/>
      <c r="K255" s="45">
        <v>470</v>
      </c>
      <c r="L255" s="463"/>
      <c r="M255" s="456">
        <v>32.640163421630859</v>
      </c>
      <c r="N255" s="457"/>
      <c r="O255" s="456"/>
      <c r="P255" s="46"/>
      <c r="Q255" s="463">
        <v>63.693107604980469</v>
      </c>
      <c r="R255" s="449"/>
      <c r="S255" s="463"/>
      <c r="T255" s="480"/>
      <c r="U255" s="468"/>
      <c r="V255" s="449"/>
      <c r="W255" s="45">
        <v>1407.4302978515625</v>
      </c>
      <c r="X255" s="463">
        <v>119.41265869140625</v>
      </c>
      <c r="Y255" s="449"/>
      <c r="Z255" s="45"/>
      <c r="AA255" s="468">
        <v>0.39428991676785974</v>
      </c>
      <c r="AB255" s="456"/>
      <c r="AC255" s="46"/>
      <c r="AD255" s="46"/>
      <c r="AE255" s="46"/>
      <c r="AF255" s="46"/>
      <c r="AG255" s="46"/>
      <c r="AH255" s="46"/>
      <c r="AI255" s="457"/>
      <c r="AJ255" s="138"/>
      <c r="AK255" s="745"/>
      <c r="AL255" s="54"/>
      <c r="AM255" s="468"/>
      <c r="AN255" s="449"/>
      <c r="AO255" s="45"/>
      <c r="AP255" s="45"/>
      <c r="AQ255" s="45"/>
      <c r="AR255" s="45"/>
      <c r="AS255" s="45"/>
      <c r="AT255" s="45"/>
      <c r="AU255" s="463"/>
      <c r="AV255" s="449"/>
      <c r="AW255" s="45"/>
      <c r="AX255" s="45"/>
      <c r="AY255" s="45"/>
      <c r="AZ255" s="45"/>
      <c r="BA255" s="45"/>
      <c r="BB255" s="45"/>
      <c r="BC255" s="463"/>
      <c r="BD255" s="456"/>
      <c r="BE255" s="46"/>
      <c r="BF255" s="46"/>
      <c r="BG255" s="46"/>
      <c r="BH255" s="46"/>
      <c r="BI255" s="46"/>
      <c r="BJ255" s="457"/>
      <c r="BK255" s="449">
        <v>0</v>
      </c>
      <c r="BL255" s="45"/>
      <c r="BM255" s="45"/>
      <c r="BN255" s="45"/>
      <c r="BO255" s="45"/>
      <c r="BP255" s="45"/>
      <c r="BQ255" s="45"/>
      <c r="BR255" s="45"/>
      <c r="BS255" s="45"/>
      <c r="BT255" s="45"/>
      <c r="BU255" s="45"/>
      <c r="BV255" s="45"/>
      <c r="BW255" s="45"/>
      <c r="BX255" s="45"/>
      <c r="BY255" s="45"/>
      <c r="BZ255" s="45"/>
      <c r="CA255" s="45"/>
      <c r="CB255" s="45"/>
      <c r="CC255" s="45"/>
      <c r="CD255" s="463"/>
    </row>
    <row r="256" spans="2:82">
      <c r="B256" s="136">
        <v>247</v>
      </c>
      <c r="C256" s="138">
        <v>1</v>
      </c>
      <c r="D256" s="474">
        <v>3801.9903933706869</v>
      </c>
      <c r="E256" s="127">
        <v>233.3315891896446</v>
      </c>
      <c r="F256" s="447">
        <v>0.38403336271681732</v>
      </c>
      <c r="G256" s="127">
        <v>127.65077611084396</v>
      </c>
      <c r="H256" s="132">
        <v>60.544818925203359</v>
      </c>
      <c r="I256" s="456"/>
      <c r="J256" s="45"/>
      <c r="K256" s="45">
        <v>530</v>
      </c>
      <c r="L256" s="463"/>
      <c r="M256" s="456">
        <v>30.024356842041016</v>
      </c>
      <c r="N256" s="457"/>
      <c r="O256" s="456"/>
      <c r="P256" s="46"/>
      <c r="Q256" s="463">
        <v>75.279411315917969</v>
      </c>
      <c r="R256" s="449"/>
      <c r="S256" s="463"/>
      <c r="T256" s="480"/>
      <c r="U256" s="468"/>
      <c r="V256" s="449"/>
      <c r="W256" s="45">
        <v>1447.8905029296875</v>
      </c>
      <c r="X256" s="463">
        <v>122.58602142333984</v>
      </c>
      <c r="Y256" s="449"/>
      <c r="Z256" s="45"/>
      <c r="AA256" s="468">
        <v>0.3754376894317612</v>
      </c>
      <c r="AB256" s="456"/>
      <c r="AC256" s="46"/>
      <c r="AD256" s="46"/>
      <c r="AE256" s="46"/>
      <c r="AF256" s="46"/>
      <c r="AG256" s="46"/>
      <c r="AH256" s="46"/>
      <c r="AI256" s="457"/>
      <c r="AJ256" s="138"/>
      <c r="AK256" s="745"/>
      <c r="AL256" s="54"/>
      <c r="AM256" s="468"/>
      <c r="AN256" s="449"/>
      <c r="AO256" s="45"/>
      <c r="AP256" s="45"/>
      <c r="AQ256" s="45"/>
      <c r="AR256" s="45"/>
      <c r="AS256" s="45"/>
      <c r="AT256" s="45"/>
      <c r="AU256" s="463"/>
      <c r="AV256" s="449"/>
      <c r="AW256" s="45"/>
      <c r="AX256" s="45"/>
      <c r="AY256" s="45"/>
      <c r="AZ256" s="45"/>
      <c r="BA256" s="45"/>
      <c r="BB256" s="45"/>
      <c r="BC256" s="463"/>
      <c r="BD256" s="456"/>
      <c r="BE256" s="46"/>
      <c r="BF256" s="46"/>
      <c r="BG256" s="46"/>
      <c r="BH256" s="46"/>
      <c r="BI256" s="46"/>
      <c r="BJ256" s="457"/>
      <c r="BK256" s="449">
        <v>0</v>
      </c>
      <c r="BL256" s="45"/>
      <c r="BM256" s="45"/>
      <c r="BN256" s="45"/>
      <c r="BO256" s="45"/>
      <c r="BP256" s="45"/>
      <c r="BQ256" s="45"/>
      <c r="BR256" s="45"/>
      <c r="BS256" s="45"/>
      <c r="BT256" s="45"/>
      <c r="BU256" s="45"/>
      <c r="BV256" s="45"/>
      <c r="BW256" s="45"/>
      <c r="BX256" s="45"/>
      <c r="BY256" s="45"/>
      <c r="BZ256" s="45"/>
      <c r="CA256" s="45"/>
      <c r="CB256" s="45"/>
      <c r="CC256" s="45"/>
      <c r="CD256" s="463"/>
    </row>
    <row r="257" spans="2:82">
      <c r="B257" s="136">
        <v>248</v>
      </c>
      <c r="C257" s="138">
        <v>1</v>
      </c>
      <c r="D257" s="474">
        <v>3943.5803107089528</v>
      </c>
      <c r="E257" s="127">
        <v>318.21586015336356</v>
      </c>
      <c r="F257" s="447">
        <v>0.40764229778642352</v>
      </c>
      <c r="G257" s="127">
        <v>158.98075797265196</v>
      </c>
      <c r="H257" s="132">
        <v>55.331848413802184</v>
      </c>
      <c r="I257" s="456"/>
      <c r="J257" s="45"/>
      <c r="K257" s="45">
        <v>610</v>
      </c>
      <c r="L257" s="463"/>
      <c r="M257" s="456">
        <v>36.493213653564453</v>
      </c>
      <c r="N257" s="457"/>
      <c r="O257" s="456"/>
      <c r="P257" s="46"/>
      <c r="Q257" s="463">
        <v>78.082893371582031</v>
      </c>
      <c r="R257" s="449"/>
      <c r="S257" s="463"/>
      <c r="T257" s="480"/>
      <c r="U257" s="468"/>
      <c r="V257" s="449"/>
      <c r="W257" s="45">
        <v>1790.3741455078125</v>
      </c>
      <c r="X257" s="463">
        <v>147.84164428710937</v>
      </c>
      <c r="Y257" s="449"/>
      <c r="Z257" s="45"/>
      <c r="AA257" s="468">
        <v>0.3992355091974602</v>
      </c>
      <c r="AB257" s="456"/>
      <c r="AC257" s="46"/>
      <c r="AD257" s="46"/>
      <c r="AE257" s="46"/>
      <c r="AF257" s="46"/>
      <c r="AG257" s="46"/>
      <c r="AH257" s="46"/>
      <c r="AI257" s="457"/>
      <c r="AJ257" s="138"/>
      <c r="AK257" s="745"/>
      <c r="AL257" s="54"/>
      <c r="AM257" s="468"/>
      <c r="AN257" s="449"/>
      <c r="AO257" s="45"/>
      <c r="AP257" s="45"/>
      <c r="AQ257" s="45"/>
      <c r="AR257" s="45"/>
      <c r="AS257" s="45"/>
      <c r="AT257" s="45"/>
      <c r="AU257" s="463"/>
      <c r="AV257" s="449"/>
      <c r="AW257" s="45"/>
      <c r="AX257" s="45"/>
      <c r="AY257" s="45"/>
      <c r="AZ257" s="45"/>
      <c r="BA257" s="45"/>
      <c r="BB257" s="45"/>
      <c r="BC257" s="463"/>
      <c r="BD257" s="456"/>
      <c r="BE257" s="46"/>
      <c r="BF257" s="46"/>
      <c r="BG257" s="46"/>
      <c r="BH257" s="46"/>
      <c r="BI257" s="46"/>
      <c r="BJ257" s="457"/>
      <c r="BK257" s="449">
        <v>0</v>
      </c>
      <c r="BL257" s="45"/>
      <c r="BM257" s="45"/>
      <c r="BN257" s="45"/>
      <c r="BO257" s="45"/>
      <c r="BP257" s="45"/>
      <c r="BQ257" s="45"/>
      <c r="BR257" s="45"/>
      <c r="BS257" s="45"/>
      <c r="BT257" s="45"/>
      <c r="BU257" s="45"/>
      <c r="BV257" s="45"/>
      <c r="BW257" s="45"/>
      <c r="BX257" s="45"/>
      <c r="BY257" s="45"/>
      <c r="BZ257" s="45"/>
      <c r="CA257" s="45"/>
      <c r="CB257" s="45"/>
      <c r="CC257" s="45"/>
      <c r="CD257" s="463"/>
    </row>
    <row r="258" spans="2:82">
      <c r="B258" s="136">
        <v>249</v>
      </c>
      <c r="C258" s="138">
        <v>1</v>
      </c>
      <c r="D258" s="474">
        <v>2968.1811776914524</v>
      </c>
      <c r="E258" s="127">
        <v>191.29667128993486</v>
      </c>
      <c r="F258" s="447">
        <v>0.41222117157011662</v>
      </c>
      <c r="G258" s="127">
        <v>123.00134026015056</v>
      </c>
      <c r="H258" s="132">
        <v>45.554916465624892</v>
      </c>
      <c r="I258" s="456"/>
      <c r="J258" s="45"/>
      <c r="K258" s="45">
        <v>470</v>
      </c>
      <c r="L258" s="463"/>
      <c r="M258" s="456">
        <v>35.362579345703125</v>
      </c>
      <c r="N258" s="457"/>
      <c r="O258" s="456"/>
      <c r="P258" s="46"/>
      <c r="Q258" s="463">
        <v>58.769992828369141</v>
      </c>
      <c r="R258" s="449"/>
      <c r="S258" s="463"/>
      <c r="T258" s="480"/>
      <c r="U258" s="468"/>
      <c r="V258" s="449"/>
      <c r="W258" s="45">
        <v>1442.4659423828125</v>
      </c>
      <c r="X258" s="463">
        <v>121.94664001464844</v>
      </c>
      <c r="Y258" s="449"/>
      <c r="Z258" s="45"/>
      <c r="AA258" s="468">
        <v>0.40102090398494894</v>
      </c>
      <c r="AB258" s="456"/>
      <c r="AC258" s="46"/>
      <c r="AD258" s="46"/>
      <c r="AE258" s="46"/>
      <c r="AF258" s="46"/>
      <c r="AG258" s="46"/>
      <c r="AH258" s="46"/>
      <c r="AI258" s="457"/>
      <c r="AJ258" s="138"/>
      <c r="AK258" s="745"/>
      <c r="AL258" s="54"/>
      <c r="AM258" s="468"/>
      <c r="AN258" s="449"/>
      <c r="AO258" s="45"/>
      <c r="AP258" s="45"/>
      <c r="AQ258" s="45"/>
      <c r="AR258" s="45"/>
      <c r="AS258" s="45"/>
      <c r="AT258" s="45"/>
      <c r="AU258" s="463"/>
      <c r="AV258" s="449"/>
      <c r="AW258" s="45"/>
      <c r="AX258" s="45"/>
      <c r="AY258" s="45"/>
      <c r="AZ258" s="45"/>
      <c r="BA258" s="45"/>
      <c r="BB258" s="45"/>
      <c r="BC258" s="463"/>
      <c r="BD258" s="456"/>
      <c r="BE258" s="46"/>
      <c r="BF258" s="46"/>
      <c r="BG258" s="46"/>
      <c r="BH258" s="46"/>
      <c r="BI258" s="46"/>
      <c r="BJ258" s="457"/>
      <c r="BK258" s="449">
        <v>0</v>
      </c>
      <c r="BL258" s="45"/>
      <c r="BM258" s="45"/>
      <c r="BN258" s="45"/>
      <c r="BO258" s="45"/>
      <c r="BP258" s="45"/>
      <c r="BQ258" s="45"/>
      <c r="BR258" s="45"/>
      <c r="BS258" s="45"/>
      <c r="BT258" s="45"/>
      <c r="BU258" s="45"/>
      <c r="BV258" s="45"/>
      <c r="BW258" s="45"/>
      <c r="BX258" s="45"/>
      <c r="BY258" s="45"/>
      <c r="BZ258" s="45"/>
      <c r="CA258" s="45"/>
      <c r="CB258" s="45"/>
      <c r="CC258" s="45"/>
      <c r="CD258" s="463"/>
    </row>
    <row r="259" spans="2:82">
      <c r="B259" s="136">
        <v>250</v>
      </c>
      <c r="C259" s="138">
        <v>1</v>
      </c>
      <c r="D259" s="474">
        <v>2721.1896904183</v>
      </c>
      <c r="E259" s="127">
        <v>240.8052333824466</v>
      </c>
      <c r="F259" s="447">
        <v>0.47757051860177108</v>
      </c>
      <c r="G259" s="127">
        <v>107.55833728830841</v>
      </c>
      <c r="H259" s="132">
        <v>44.972451535385808</v>
      </c>
      <c r="I259" s="456"/>
      <c r="J259" s="45"/>
      <c r="K259" s="45">
        <v>430</v>
      </c>
      <c r="L259" s="463"/>
      <c r="M259" s="456">
        <v>45.598648071289063</v>
      </c>
      <c r="N259" s="457"/>
      <c r="O259" s="456"/>
      <c r="P259" s="46"/>
      <c r="Q259" s="463">
        <v>53.879558563232422</v>
      </c>
      <c r="R259" s="449"/>
      <c r="S259" s="463"/>
      <c r="T259" s="480"/>
      <c r="U259" s="468"/>
      <c r="V259" s="449"/>
      <c r="W259" s="45">
        <v>1716.715087890625</v>
      </c>
      <c r="X259" s="463">
        <v>141.72207641601562</v>
      </c>
      <c r="Y259" s="449"/>
      <c r="Z259" s="45"/>
      <c r="AA259" s="468">
        <v>0.4648733477673761</v>
      </c>
      <c r="AB259" s="456"/>
      <c r="AC259" s="46"/>
      <c r="AD259" s="46"/>
      <c r="AE259" s="46"/>
      <c r="AF259" s="46"/>
      <c r="AG259" s="46"/>
      <c r="AH259" s="46"/>
      <c r="AI259" s="457"/>
      <c r="AJ259" s="138"/>
      <c r="AK259" s="745"/>
      <c r="AL259" s="54"/>
      <c r="AM259" s="468"/>
      <c r="AN259" s="449"/>
      <c r="AO259" s="45"/>
      <c r="AP259" s="45"/>
      <c r="AQ259" s="45"/>
      <c r="AR259" s="45"/>
      <c r="AS259" s="45"/>
      <c r="AT259" s="45"/>
      <c r="AU259" s="463"/>
      <c r="AV259" s="449"/>
      <c r="AW259" s="45"/>
      <c r="AX259" s="45"/>
      <c r="AY259" s="45"/>
      <c r="AZ259" s="45"/>
      <c r="BA259" s="45"/>
      <c r="BB259" s="45"/>
      <c r="BC259" s="463"/>
      <c r="BD259" s="456"/>
      <c r="BE259" s="46"/>
      <c r="BF259" s="46"/>
      <c r="BG259" s="46"/>
      <c r="BH259" s="46"/>
      <c r="BI259" s="46"/>
      <c r="BJ259" s="457"/>
      <c r="BK259" s="449">
        <v>0</v>
      </c>
      <c r="BL259" s="45"/>
      <c r="BM259" s="45"/>
      <c r="BN259" s="45"/>
      <c r="BO259" s="45"/>
      <c r="BP259" s="45"/>
      <c r="BQ259" s="45"/>
      <c r="BR259" s="45"/>
      <c r="BS259" s="45"/>
      <c r="BT259" s="45"/>
      <c r="BU259" s="45"/>
      <c r="BV259" s="45"/>
      <c r="BW259" s="45"/>
      <c r="BX259" s="45"/>
      <c r="BY259" s="45"/>
      <c r="BZ259" s="45"/>
      <c r="CA259" s="45"/>
      <c r="CB259" s="45"/>
      <c r="CC259" s="45"/>
      <c r="CD259" s="463"/>
    </row>
    <row r="260" spans="2:82">
      <c r="B260" s="136">
        <v>251</v>
      </c>
      <c r="C260" s="138">
        <v>1</v>
      </c>
      <c r="D260" s="474">
        <v>3930.0282219315877</v>
      </c>
      <c r="E260" s="127">
        <v>227.14624768767283</v>
      </c>
      <c r="F260" s="447">
        <v>0.42755533357808473</v>
      </c>
      <c r="G260" s="127">
        <v>155.83260833685534</v>
      </c>
      <c r="H260" s="132">
        <v>62.279543710048223</v>
      </c>
      <c r="I260" s="456"/>
      <c r="J260" s="45"/>
      <c r="K260" s="45">
        <v>630</v>
      </c>
      <c r="L260" s="463"/>
      <c r="M260" s="456">
        <v>38.385414123535156</v>
      </c>
      <c r="N260" s="457"/>
      <c r="O260" s="456"/>
      <c r="P260" s="46"/>
      <c r="Q260" s="463">
        <v>85.762763977050781</v>
      </c>
      <c r="R260" s="449"/>
      <c r="S260" s="463"/>
      <c r="T260" s="480"/>
      <c r="U260" s="468"/>
      <c r="V260" s="449"/>
      <c r="W260" s="45">
        <v>1970.65966796875</v>
      </c>
      <c r="X260" s="463">
        <v>161.04110717773437</v>
      </c>
      <c r="Y260" s="449"/>
      <c r="Z260" s="45"/>
      <c r="AA260" s="468">
        <v>0.41901821761430386</v>
      </c>
      <c r="AB260" s="456"/>
      <c r="AC260" s="46"/>
      <c r="AD260" s="46"/>
      <c r="AE260" s="46"/>
      <c r="AF260" s="46"/>
      <c r="AG260" s="46"/>
      <c r="AH260" s="46"/>
      <c r="AI260" s="457"/>
      <c r="AJ260" s="138"/>
      <c r="AK260" s="745"/>
      <c r="AL260" s="54"/>
      <c r="AM260" s="468"/>
      <c r="AN260" s="449"/>
      <c r="AO260" s="45"/>
      <c r="AP260" s="45"/>
      <c r="AQ260" s="45"/>
      <c r="AR260" s="45"/>
      <c r="AS260" s="45"/>
      <c r="AT260" s="45"/>
      <c r="AU260" s="463"/>
      <c r="AV260" s="449"/>
      <c r="AW260" s="45"/>
      <c r="AX260" s="45"/>
      <c r="AY260" s="45"/>
      <c r="AZ260" s="45"/>
      <c r="BA260" s="45"/>
      <c r="BB260" s="45"/>
      <c r="BC260" s="463"/>
      <c r="BD260" s="456"/>
      <c r="BE260" s="46"/>
      <c r="BF260" s="46"/>
      <c r="BG260" s="46"/>
      <c r="BH260" s="46"/>
      <c r="BI260" s="46"/>
      <c r="BJ260" s="457"/>
      <c r="BK260" s="449">
        <v>0</v>
      </c>
      <c r="BL260" s="45"/>
      <c r="BM260" s="45"/>
      <c r="BN260" s="45"/>
      <c r="BO260" s="45"/>
      <c r="BP260" s="45"/>
      <c r="BQ260" s="45"/>
      <c r="BR260" s="45"/>
      <c r="BS260" s="45"/>
      <c r="BT260" s="45"/>
      <c r="BU260" s="45"/>
      <c r="BV260" s="45"/>
      <c r="BW260" s="45"/>
      <c r="BX260" s="45"/>
      <c r="BY260" s="45"/>
      <c r="BZ260" s="45"/>
      <c r="CA260" s="45"/>
      <c r="CB260" s="45"/>
      <c r="CC260" s="45"/>
      <c r="CD260" s="463"/>
    </row>
    <row r="261" spans="2:82">
      <c r="B261" s="136">
        <v>252</v>
      </c>
      <c r="C261" s="138">
        <v>1</v>
      </c>
      <c r="D261" s="474">
        <v>2855.2913035345009</v>
      </c>
      <c r="E261" s="127">
        <v>241.49605350902033</v>
      </c>
      <c r="F261" s="447">
        <v>0.37615501231778914</v>
      </c>
      <c r="G261" s="127">
        <v>97.455835467451408</v>
      </c>
      <c r="H261" s="132">
        <v>51.651152390471211</v>
      </c>
      <c r="I261" s="456"/>
      <c r="J261" s="45"/>
      <c r="K261" s="45">
        <v>400</v>
      </c>
      <c r="L261" s="463"/>
      <c r="M261" s="456">
        <v>28.749177932739258</v>
      </c>
      <c r="N261" s="457"/>
      <c r="O261" s="456"/>
      <c r="P261" s="46"/>
      <c r="Q261" s="463">
        <v>56.534767150878906</v>
      </c>
      <c r="R261" s="449"/>
      <c r="S261" s="463"/>
      <c r="T261" s="480"/>
      <c r="U261" s="468"/>
      <c r="V261" s="449"/>
      <c r="W261" s="45">
        <v>1129.7484130859375</v>
      </c>
      <c r="X261" s="463">
        <v>98.931121826171875</v>
      </c>
      <c r="Y261" s="449"/>
      <c r="Z261" s="45"/>
      <c r="AA261" s="468">
        <v>0.36476454571072309</v>
      </c>
      <c r="AB261" s="456"/>
      <c r="AC261" s="46"/>
      <c r="AD261" s="46"/>
      <c r="AE261" s="46"/>
      <c r="AF261" s="46"/>
      <c r="AG261" s="46"/>
      <c r="AH261" s="46"/>
      <c r="AI261" s="457"/>
      <c r="AJ261" s="138"/>
      <c r="AK261" s="745"/>
      <c r="AL261" s="54"/>
      <c r="AM261" s="468"/>
      <c r="AN261" s="449"/>
      <c r="AO261" s="45"/>
      <c r="AP261" s="45"/>
      <c r="AQ261" s="45"/>
      <c r="AR261" s="45"/>
      <c r="AS261" s="45"/>
      <c r="AT261" s="45"/>
      <c r="AU261" s="463"/>
      <c r="AV261" s="449"/>
      <c r="AW261" s="45"/>
      <c r="AX261" s="45"/>
      <c r="AY261" s="45"/>
      <c r="AZ261" s="45"/>
      <c r="BA261" s="45"/>
      <c r="BB261" s="45"/>
      <c r="BC261" s="463"/>
      <c r="BD261" s="456"/>
      <c r="BE261" s="46"/>
      <c r="BF261" s="46"/>
      <c r="BG261" s="46"/>
      <c r="BH261" s="46"/>
      <c r="BI261" s="46"/>
      <c r="BJ261" s="457"/>
      <c r="BK261" s="449">
        <v>0</v>
      </c>
      <c r="BL261" s="45"/>
      <c r="BM261" s="45"/>
      <c r="BN261" s="45"/>
      <c r="BO261" s="45"/>
      <c r="BP261" s="45"/>
      <c r="BQ261" s="45"/>
      <c r="BR261" s="45"/>
      <c r="BS261" s="45"/>
      <c r="BT261" s="45"/>
      <c r="BU261" s="45"/>
      <c r="BV261" s="45"/>
      <c r="BW261" s="45"/>
      <c r="BX261" s="45"/>
      <c r="BY261" s="45"/>
      <c r="BZ261" s="45"/>
      <c r="CA261" s="45"/>
      <c r="CB261" s="45"/>
      <c r="CC261" s="45"/>
      <c r="CD261" s="463"/>
    </row>
    <row r="262" spans="2:82">
      <c r="B262" s="136">
        <v>253</v>
      </c>
      <c r="C262" s="138">
        <v>1</v>
      </c>
      <c r="D262" s="474">
        <v>4152.8473667659064</v>
      </c>
      <c r="E262" s="127">
        <v>250.16963706081597</v>
      </c>
      <c r="F262" s="447">
        <v>0.42399959049015817</v>
      </c>
      <c r="G262" s="127">
        <v>128.17858491612682</v>
      </c>
      <c r="H262" s="132">
        <v>65.344545760813759</v>
      </c>
      <c r="I262" s="456"/>
      <c r="J262" s="45"/>
      <c r="K262" s="45">
        <v>560</v>
      </c>
      <c r="L262" s="463"/>
      <c r="M262" s="456">
        <v>34.617282867431641</v>
      </c>
      <c r="N262" s="457"/>
      <c r="O262" s="456"/>
      <c r="P262" s="46"/>
      <c r="Q262" s="463">
        <v>82.226371765136719</v>
      </c>
      <c r="R262" s="449"/>
      <c r="S262" s="463"/>
      <c r="T262" s="480"/>
      <c r="U262" s="468"/>
      <c r="V262" s="449"/>
      <c r="W262" s="45">
        <v>1729.6636962890625</v>
      </c>
      <c r="X262" s="463">
        <v>143.20745849609375</v>
      </c>
      <c r="Y262" s="449"/>
      <c r="Z262" s="45"/>
      <c r="AA262" s="468">
        <v>0.41593765397938387</v>
      </c>
      <c r="AB262" s="456"/>
      <c r="AC262" s="46"/>
      <c r="AD262" s="46"/>
      <c r="AE262" s="46"/>
      <c r="AF262" s="46"/>
      <c r="AG262" s="46"/>
      <c r="AH262" s="46"/>
      <c r="AI262" s="457"/>
      <c r="AJ262" s="138"/>
      <c r="AK262" s="745"/>
      <c r="AL262" s="54"/>
      <c r="AM262" s="468"/>
      <c r="AN262" s="449"/>
      <c r="AO262" s="45"/>
      <c r="AP262" s="45"/>
      <c r="AQ262" s="45"/>
      <c r="AR262" s="45"/>
      <c r="AS262" s="45"/>
      <c r="AT262" s="45"/>
      <c r="AU262" s="463"/>
      <c r="AV262" s="449"/>
      <c r="AW262" s="45"/>
      <c r="AX262" s="45"/>
      <c r="AY262" s="45"/>
      <c r="AZ262" s="45"/>
      <c r="BA262" s="45"/>
      <c r="BB262" s="45"/>
      <c r="BC262" s="463"/>
      <c r="BD262" s="456"/>
      <c r="BE262" s="46"/>
      <c r="BF262" s="46"/>
      <c r="BG262" s="46"/>
      <c r="BH262" s="46"/>
      <c r="BI262" s="46"/>
      <c r="BJ262" s="457"/>
      <c r="BK262" s="449">
        <v>0</v>
      </c>
      <c r="BL262" s="45"/>
      <c r="BM262" s="45"/>
      <c r="BN262" s="45"/>
      <c r="BO262" s="45"/>
      <c r="BP262" s="45"/>
      <c r="BQ262" s="45"/>
      <c r="BR262" s="45"/>
      <c r="BS262" s="45"/>
      <c r="BT262" s="45"/>
      <c r="BU262" s="45"/>
      <c r="BV262" s="45"/>
      <c r="BW262" s="45"/>
      <c r="BX262" s="45"/>
      <c r="BY262" s="45"/>
      <c r="BZ262" s="45"/>
      <c r="CA262" s="45"/>
      <c r="CB262" s="45"/>
      <c r="CC262" s="45"/>
      <c r="CD262" s="463"/>
    </row>
    <row r="263" spans="2:82">
      <c r="B263" s="136">
        <v>254</v>
      </c>
      <c r="C263" s="138">
        <v>1</v>
      </c>
      <c r="D263" s="474">
        <v>3818.4367922067077</v>
      </c>
      <c r="E263" s="127">
        <v>260.7261038100267</v>
      </c>
      <c r="F263" s="447">
        <v>0.42866101313643051</v>
      </c>
      <c r="G263" s="127">
        <v>135.43046600014605</v>
      </c>
      <c r="H263" s="132">
        <v>59.038415776882914</v>
      </c>
      <c r="I263" s="456"/>
      <c r="J263" s="45"/>
      <c r="K263" s="45">
        <v>560</v>
      </c>
      <c r="L263" s="463"/>
      <c r="M263" s="456">
        <v>37.138511657714844</v>
      </c>
      <c r="N263" s="457"/>
      <c r="O263" s="456"/>
      <c r="P263" s="46"/>
      <c r="Q263" s="463">
        <v>75.605049133300781</v>
      </c>
      <c r="R263" s="449"/>
      <c r="S263" s="463"/>
      <c r="T263" s="480"/>
      <c r="U263" s="468"/>
      <c r="V263" s="449"/>
      <c r="W263" s="45">
        <v>1765.035400390625</v>
      </c>
      <c r="X263" s="463">
        <v>145.77195739746094</v>
      </c>
      <c r="Y263" s="449"/>
      <c r="Z263" s="45"/>
      <c r="AA263" s="468">
        <v>0.41986861402398473</v>
      </c>
      <c r="AB263" s="456"/>
      <c r="AC263" s="46"/>
      <c r="AD263" s="46"/>
      <c r="AE263" s="46"/>
      <c r="AF263" s="46"/>
      <c r="AG263" s="46"/>
      <c r="AH263" s="46"/>
      <c r="AI263" s="457"/>
      <c r="AJ263" s="138"/>
      <c r="AK263" s="745"/>
      <c r="AL263" s="54"/>
      <c r="AM263" s="468"/>
      <c r="AN263" s="449"/>
      <c r="AO263" s="45"/>
      <c r="AP263" s="45"/>
      <c r="AQ263" s="45"/>
      <c r="AR263" s="45"/>
      <c r="AS263" s="45"/>
      <c r="AT263" s="45"/>
      <c r="AU263" s="463"/>
      <c r="AV263" s="449"/>
      <c r="AW263" s="45"/>
      <c r="AX263" s="45"/>
      <c r="AY263" s="45"/>
      <c r="AZ263" s="45"/>
      <c r="BA263" s="45"/>
      <c r="BB263" s="45"/>
      <c r="BC263" s="463"/>
      <c r="BD263" s="456"/>
      <c r="BE263" s="46"/>
      <c r="BF263" s="46"/>
      <c r="BG263" s="46"/>
      <c r="BH263" s="46"/>
      <c r="BI263" s="46"/>
      <c r="BJ263" s="457"/>
      <c r="BK263" s="449">
        <v>0</v>
      </c>
      <c r="BL263" s="45"/>
      <c r="BM263" s="45"/>
      <c r="BN263" s="45"/>
      <c r="BO263" s="45"/>
      <c r="BP263" s="45"/>
      <c r="BQ263" s="45"/>
      <c r="BR263" s="45"/>
      <c r="BS263" s="45"/>
      <c r="BT263" s="45"/>
      <c r="BU263" s="45"/>
      <c r="BV263" s="45"/>
      <c r="BW263" s="45"/>
      <c r="BX263" s="45"/>
      <c r="BY263" s="45"/>
      <c r="BZ263" s="45"/>
      <c r="CA263" s="45"/>
      <c r="CB263" s="45"/>
      <c r="CC263" s="45"/>
      <c r="CD263" s="463"/>
    </row>
    <row r="264" spans="2:82">
      <c r="B264" s="136">
        <v>255</v>
      </c>
      <c r="C264" s="138">
        <v>1</v>
      </c>
      <c r="D264" s="474">
        <v>3627.6821861390254</v>
      </c>
      <c r="E264" s="127">
        <v>256.29904460282683</v>
      </c>
      <c r="F264" s="447">
        <v>0.37046051846571054</v>
      </c>
      <c r="G264" s="127">
        <v>152.51807762583596</v>
      </c>
      <c r="H264" s="132">
        <v>50.987642732227606</v>
      </c>
      <c r="I264" s="456"/>
      <c r="J264" s="45"/>
      <c r="K264" s="45">
        <v>570</v>
      </c>
      <c r="L264" s="463"/>
      <c r="M264" s="456">
        <v>31.824874877929688</v>
      </c>
      <c r="N264" s="457"/>
      <c r="O264" s="456"/>
      <c r="P264" s="46"/>
      <c r="Q264" s="463">
        <v>71.828109741210937</v>
      </c>
      <c r="R264" s="449"/>
      <c r="S264" s="463"/>
      <c r="T264" s="480"/>
      <c r="U264" s="468"/>
      <c r="V264" s="449"/>
      <c r="W264" s="45">
        <v>1507.986083984375</v>
      </c>
      <c r="X264" s="463">
        <v>127.150146484375</v>
      </c>
      <c r="Y264" s="449"/>
      <c r="Z264" s="45"/>
      <c r="AA264" s="468">
        <v>0.36152665692371927</v>
      </c>
      <c r="AB264" s="456"/>
      <c r="AC264" s="46"/>
      <c r="AD264" s="46"/>
      <c r="AE264" s="46"/>
      <c r="AF264" s="46"/>
      <c r="AG264" s="46"/>
      <c r="AH264" s="46"/>
      <c r="AI264" s="457"/>
      <c r="AJ264" s="138"/>
      <c r="AK264" s="745"/>
      <c r="AL264" s="54"/>
      <c r="AM264" s="468"/>
      <c r="AN264" s="449"/>
      <c r="AO264" s="45"/>
      <c r="AP264" s="45"/>
      <c r="AQ264" s="45"/>
      <c r="AR264" s="45"/>
      <c r="AS264" s="45"/>
      <c r="AT264" s="45"/>
      <c r="AU264" s="463"/>
      <c r="AV264" s="449"/>
      <c r="AW264" s="45"/>
      <c r="AX264" s="45"/>
      <c r="AY264" s="45"/>
      <c r="AZ264" s="45"/>
      <c r="BA264" s="45"/>
      <c r="BB264" s="45"/>
      <c r="BC264" s="463"/>
      <c r="BD264" s="456"/>
      <c r="BE264" s="46"/>
      <c r="BF264" s="46"/>
      <c r="BG264" s="46"/>
      <c r="BH264" s="46"/>
      <c r="BI264" s="46"/>
      <c r="BJ264" s="457"/>
      <c r="BK264" s="449">
        <v>0</v>
      </c>
      <c r="BL264" s="45"/>
      <c r="BM264" s="45"/>
      <c r="BN264" s="45"/>
      <c r="BO264" s="45"/>
      <c r="BP264" s="45"/>
      <c r="BQ264" s="45"/>
      <c r="BR264" s="45"/>
      <c r="BS264" s="45"/>
      <c r="BT264" s="45"/>
      <c r="BU264" s="45"/>
      <c r="BV264" s="45"/>
      <c r="BW264" s="45"/>
      <c r="BX264" s="45"/>
      <c r="BY264" s="45"/>
      <c r="BZ264" s="45"/>
      <c r="CA264" s="45"/>
      <c r="CB264" s="45"/>
      <c r="CC264" s="45"/>
      <c r="CD264" s="463"/>
    </row>
    <row r="265" spans="2:82">
      <c r="B265" s="136">
        <v>256</v>
      </c>
      <c r="C265" s="138">
        <v>1</v>
      </c>
      <c r="D265" s="474">
        <v>2938.7158149792385</v>
      </c>
      <c r="E265" s="127">
        <v>226.91906496933942</v>
      </c>
      <c r="F265" s="447">
        <v>0.41455464000135289</v>
      </c>
      <c r="G265" s="127">
        <v>97.856278186651849</v>
      </c>
      <c r="H265" s="132">
        <v>53.215564089925593</v>
      </c>
      <c r="I265" s="456"/>
      <c r="J265" s="45"/>
      <c r="K265" s="45">
        <v>410</v>
      </c>
      <c r="L265" s="463"/>
      <c r="M265" s="456">
        <v>32.114688873291016</v>
      </c>
      <c r="N265" s="457"/>
      <c r="O265" s="456"/>
      <c r="P265" s="46"/>
      <c r="Q265" s="463">
        <v>58.186573028564453</v>
      </c>
      <c r="R265" s="449"/>
      <c r="S265" s="463"/>
      <c r="T265" s="480"/>
      <c r="U265" s="468"/>
      <c r="V265" s="449"/>
      <c r="W265" s="45">
        <v>1295.70068359375</v>
      </c>
      <c r="X265" s="463">
        <v>111.04475402832031</v>
      </c>
      <c r="Y265" s="449"/>
      <c r="Z265" s="45"/>
      <c r="AA265" s="468">
        <v>0.4032261908092481</v>
      </c>
      <c r="AB265" s="456"/>
      <c r="AC265" s="46"/>
      <c r="AD265" s="46"/>
      <c r="AE265" s="46"/>
      <c r="AF265" s="46"/>
      <c r="AG265" s="46"/>
      <c r="AH265" s="46"/>
      <c r="AI265" s="457"/>
      <c r="AJ265" s="138"/>
      <c r="AK265" s="745"/>
      <c r="AL265" s="54"/>
      <c r="AM265" s="468"/>
      <c r="AN265" s="449"/>
      <c r="AO265" s="45"/>
      <c r="AP265" s="45"/>
      <c r="AQ265" s="45"/>
      <c r="AR265" s="45"/>
      <c r="AS265" s="45"/>
      <c r="AT265" s="45"/>
      <c r="AU265" s="463"/>
      <c r="AV265" s="449"/>
      <c r="AW265" s="45"/>
      <c r="AX265" s="45"/>
      <c r="AY265" s="45"/>
      <c r="AZ265" s="45"/>
      <c r="BA265" s="45"/>
      <c r="BB265" s="45"/>
      <c r="BC265" s="463"/>
      <c r="BD265" s="456"/>
      <c r="BE265" s="46"/>
      <c r="BF265" s="46"/>
      <c r="BG265" s="46"/>
      <c r="BH265" s="46"/>
      <c r="BI265" s="46"/>
      <c r="BJ265" s="457"/>
      <c r="BK265" s="449">
        <v>0</v>
      </c>
      <c r="BL265" s="45"/>
      <c r="BM265" s="45"/>
      <c r="BN265" s="45"/>
      <c r="BO265" s="45"/>
      <c r="BP265" s="45"/>
      <c r="BQ265" s="45"/>
      <c r="BR265" s="45"/>
      <c r="BS265" s="45"/>
      <c r="BT265" s="45"/>
      <c r="BU265" s="45"/>
      <c r="BV265" s="45"/>
      <c r="BW265" s="45"/>
      <c r="BX265" s="45"/>
      <c r="BY265" s="45"/>
      <c r="BZ265" s="45"/>
      <c r="CA265" s="45"/>
      <c r="CB265" s="45"/>
      <c r="CC265" s="45"/>
      <c r="CD265" s="463"/>
    </row>
    <row r="266" spans="2:82">
      <c r="B266" s="136">
        <v>257</v>
      </c>
      <c r="C266" s="138">
        <v>1</v>
      </c>
      <c r="D266" s="474">
        <v>3889.4367411870189</v>
      </c>
      <c r="E266" s="127">
        <v>177.02515747782087</v>
      </c>
      <c r="F266" s="447">
        <v>0.38270151267638219</v>
      </c>
      <c r="G266" s="127">
        <v>120.97819683924713</v>
      </c>
      <c r="H266" s="132">
        <v>63.220953981374173</v>
      </c>
      <c r="I266" s="456"/>
      <c r="J266" s="45"/>
      <c r="K266" s="45">
        <v>520</v>
      </c>
      <c r="L266" s="463"/>
      <c r="M266" s="456">
        <v>29.099502563476563</v>
      </c>
      <c r="N266" s="457"/>
      <c r="O266" s="456"/>
      <c r="P266" s="46"/>
      <c r="Q266" s="463">
        <v>77.010856628417969</v>
      </c>
      <c r="R266" s="449"/>
      <c r="S266" s="463"/>
      <c r="T266" s="480"/>
      <c r="U266" s="468"/>
      <c r="V266" s="449"/>
      <c r="W266" s="45">
        <v>1421.33984375</v>
      </c>
      <c r="X266" s="463">
        <v>120.62329864501953</v>
      </c>
      <c r="Y266" s="449"/>
      <c r="Z266" s="45"/>
      <c r="AA266" s="468">
        <v>0.37430594477634688</v>
      </c>
      <c r="AB266" s="456"/>
      <c r="AC266" s="46"/>
      <c r="AD266" s="46"/>
      <c r="AE266" s="46"/>
      <c r="AF266" s="46"/>
      <c r="AG266" s="46"/>
      <c r="AH266" s="46"/>
      <c r="AI266" s="457"/>
      <c r="AJ266" s="138"/>
      <c r="AK266" s="745"/>
      <c r="AL266" s="54"/>
      <c r="AM266" s="468"/>
      <c r="AN266" s="449"/>
      <c r="AO266" s="45"/>
      <c r="AP266" s="45"/>
      <c r="AQ266" s="45"/>
      <c r="AR266" s="45"/>
      <c r="AS266" s="45"/>
      <c r="AT266" s="45"/>
      <c r="AU266" s="463"/>
      <c r="AV266" s="449"/>
      <c r="AW266" s="45"/>
      <c r="AX266" s="45"/>
      <c r="AY266" s="45"/>
      <c r="AZ266" s="45"/>
      <c r="BA266" s="45"/>
      <c r="BB266" s="45"/>
      <c r="BC266" s="463"/>
      <c r="BD266" s="456"/>
      <c r="BE266" s="46"/>
      <c r="BF266" s="46"/>
      <c r="BG266" s="46"/>
      <c r="BH266" s="46"/>
      <c r="BI266" s="46"/>
      <c r="BJ266" s="457"/>
      <c r="BK266" s="449">
        <v>0</v>
      </c>
      <c r="BL266" s="45"/>
      <c r="BM266" s="45"/>
      <c r="BN266" s="45"/>
      <c r="BO266" s="45"/>
      <c r="BP266" s="45"/>
      <c r="BQ266" s="45"/>
      <c r="BR266" s="45"/>
      <c r="BS266" s="45"/>
      <c r="BT266" s="45"/>
      <c r="BU266" s="45"/>
      <c r="BV266" s="45"/>
      <c r="BW266" s="45"/>
      <c r="BX266" s="45"/>
      <c r="BY266" s="45"/>
      <c r="BZ266" s="45"/>
      <c r="CA266" s="45"/>
      <c r="CB266" s="45"/>
      <c r="CC266" s="45"/>
      <c r="CD266" s="463"/>
    </row>
    <row r="267" spans="2:82">
      <c r="B267" s="136">
        <v>258</v>
      </c>
      <c r="C267" s="138">
        <v>1</v>
      </c>
      <c r="D267" s="474">
        <v>2982.5048973991666</v>
      </c>
      <c r="E267" s="127">
        <v>207.98327943914541</v>
      </c>
      <c r="F267" s="447">
        <v>0.35733933187008565</v>
      </c>
      <c r="G267" s="127">
        <v>109.37704669673224</v>
      </c>
      <c r="H267" s="132">
        <v>58.343886351309976</v>
      </c>
      <c r="I267" s="456"/>
      <c r="J267" s="45"/>
      <c r="K267" s="45">
        <v>460</v>
      </c>
      <c r="L267" s="463"/>
      <c r="M267" s="456">
        <v>26.508308410644531</v>
      </c>
      <c r="N267" s="457"/>
      <c r="O267" s="456"/>
      <c r="P267" s="46"/>
      <c r="Q267" s="463">
        <v>67.219161987304688</v>
      </c>
      <c r="R267" s="449"/>
      <c r="S267" s="463"/>
      <c r="T267" s="480"/>
      <c r="U267" s="468"/>
      <c r="V267" s="449"/>
      <c r="W267" s="45">
        <v>1196.2747802734375</v>
      </c>
      <c r="X267" s="463">
        <v>104.00785827636719</v>
      </c>
      <c r="Y267" s="449"/>
      <c r="Z267" s="45"/>
      <c r="AA267" s="468">
        <v>0.34656087961492432</v>
      </c>
      <c r="AB267" s="456"/>
      <c r="AC267" s="46"/>
      <c r="AD267" s="46"/>
      <c r="AE267" s="46"/>
      <c r="AF267" s="46"/>
      <c r="AG267" s="46"/>
      <c r="AH267" s="46"/>
      <c r="AI267" s="457"/>
      <c r="AJ267" s="138"/>
      <c r="AK267" s="745"/>
      <c r="AL267" s="54"/>
      <c r="AM267" s="468"/>
      <c r="AN267" s="449"/>
      <c r="AO267" s="45"/>
      <c r="AP267" s="45"/>
      <c r="AQ267" s="45"/>
      <c r="AR267" s="45"/>
      <c r="AS267" s="45"/>
      <c r="AT267" s="45"/>
      <c r="AU267" s="463"/>
      <c r="AV267" s="449"/>
      <c r="AW267" s="45"/>
      <c r="AX267" s="45"/>
      <c r="AY267" s="45"/>
      <c r="AZ267" s="45"/>
      <c r="BA267" s="45"/>
      <c r="BB267" s="45"/>
      <c r="BC267" s="463"/>
      <c r="BD267" s="456"/>
      <c r="BE267" s="46"/>
      <c r="BF267" s="46"/>
      <c r="BG267" s="46"/>
      <c r="BH267" s="46"/>
      <c r="BI267" s="46"/>
      <c r="BJ267" s="457"/>
      <c r="BK267" s="449">
        <v>0</v>
      </c>
      <c r="BL267" s="45"/>
      <c r="BM267" s="45"/>
      <c r="BN267" s="45"/>
      <c r="BO267" s="45"/>
      <c r="BP267" s="45"/>
      <c r="BQ267" s="45"/>
      <c r="BR267" s="45"/>
      <c r="BS267" s="45"/>
      <c r="BT267" s="45"/>
      <c r="BU267" s="45"/>
      <c r="BV267" s="45"/>
      <c r="BW267" s="45"/>
      <c r="BX267" s="45"/>
      <c r="BY267" s="45"/>
      <c r="BZ267" s="45"/>
      <c r="CA267" s="45"/>
      <c r="CB267" s="45"/>
      <c r="CC267" s="45"/>
      <c r="CD267" s="463"/>
    </row>
    <row r="268" spans="2:82">
      <c r="B268" s="136">
        <v>259</v>
      </c>
      <c r="C268" s="138">
        <v>1</v>
      </c>
      <c r="D268" s="474">
        <v>2964.7144527234054</v>
      </c>
      <c r="E268" s="127">
        <v>285.03291887916447</v>
      </c>
      <c r="F268" s="447">
        <v>0.38376504645231441</v>
      </c>
      <c r="G268" s="127">
        <v>124.56857358918781</v>
      </c>
      <c r="H268" s="132">
        <v>53.889741970984197</v>
      </c>
      <c r="I268" s="456"/>
      <c r="J268" s="45"/>
      <c r="K268" s="45">
        <v>500</v>
      </c>
      <c r="L268" s="463"/>
      <c r="M268" s="456">
        <v>30.813962936401367</v>
      </c>
      <c r="N268" s="457"/>
      <c r="O268" s="456"/>
      <c r="P268" s="46"/>
      <c r="Q268" s="463">
        <v>66.599044799804688</v>
      </c>
      <c r="R268" s="449"/>
      <c r="S268" s="463"/>
      <c r="T268" s="480"/>
      <c r="U268" s="468"/>
      <c r="V268" s="449"/>
      <c r="W268" s="45">
        <v>1379.06640625</v>
      </c>
      <c r="X268" s="463">
        <v>117.45281219482422</v>
      </c>
      <c r="Y268" s="449"/>
      <c r="Z268" s="45"/>
      <c r="AA268" s="468">
        <v>0.37274364744404553</v>
      </c>
      <c r="AB268" s="456"/>
      <c r="AC268" s="46"/>
      <c r="AD268" s="46"/>
      <c r="AE268" s="46"/>
      <c r="AF268" s="46"/>
      <c r="AG268" s="46"/>
      <c r="AH268" s="46"/>
      <c r="AI268" s="457"/>
      <c r="AJ268" s="138"/>
      <c r="AK268" s="745"/>
      <c r="AL268" s="54"/>
      <c r="AM268" s="468"/>
      <c r="AN268" s="449"/>
      <c r="AO268" s="45"/>
      <c r="AP268" s="45"/>
      <c r="AQ268" s="45"/>
      <c r="AR268" s="45"/>
      <c r="AS268" s="45"/>
      <c r="AT268" s="45"/>
      <c r="AU268" s="463"/>
      <c r="AV268" s="449"/>
      <c r="AW268" s="45"/>
      <c r="AX268" s="45"/>
      <c r="AY268" s="45"/>
      <c r="AZ268" s="45"/>
      <c r="BA268" s="45"/>
      <c r="BB268" s="45"/>
      <c r="BC268" s="463"/>
      <c r="BD268" s="456"/>
      <c r="BE268" s="46"/>
      <c r="BF268" s="46"/>
      <c r="BG268" s="46"/>
      <c r="BH268" s="46"/>
      <c r="BI268" s="46"/>
      <c r="BJ268" s="457"/>
      <c r="BK268" s="449">
        <v>0</v>
      </c>
      <c r="BL268" s="45"/>
      <c r="BM268" s="45"/>
      <c r="BN268" s="45"/>
      <c r="BO268" s="45"/>
      <c r="BP268" s="45"/>
      <c r="BQ268" s="45"/>
      <c r="BR268" s="45"/>
      <c r="BS268" s="45"/>
      <c r="BT268" s="45"/>
      <c r="BU268" s="45"/>
      <c r="BV268" s="45"/>
      <c r="BW268" s="45"/>
      <c r="BX268" s="45"/>
      <c r="BY268" s="45"/>
      <c r="BZ268" s="45"/>
      <c r="CA268" s="45"/>
      <c r="CB268" s="45"/>
      <c r="CC268" s="45"/>
      <c r="CD268" s="463"/>
    </row>
    <row r="269" spans="2:82">
      <c r="B269" s="136">
        <v>260</v>
      </c>
      <c r="C269" s="138">
        <v>1</v>
      </c>
      <c r="D269" s="474">
        <v>2747.1337830395996</v>
      </c>
      <c r="E269" s="127">
        <v>272.91158737704399</v>
      </c>
      <c r="F269" s="447">
        <v>0.4363339107659806</v>
      </c>
      <c r="G269" s="127">
        <v>107.37336145408823</v>
      </c>
      <c r="H269" s="132">
        <v>45.744382380888872</v>
      </c>
      <c r="I269" s="456"/>
      <c r="J269" s="45"/>
      <c r="K269" s="45">
        <v>420</v>
      </c>
      <c r="L269" s="463"/>
      <c r="M269" s="456">
        <v>37.490753173828125</v>
      </c>
      <c r="N269" s="457"/>
      <c r="O269" s="456"/>
      <c r="P269" s="46"/>
      <c r="Q269" s="463">
        <v>54.39324951171875</v>
      </c>
      <c r="R269" s="449"/>
      <c r="S269" s="463"/>
      <c r="T269" s="480"/>
      <c r="U269" s="468"/>
      <c r="V269" s="449"/>
      <c r="W269" s="45">
        <v>1436.42919921875</v>
      </c>
      <c r="X269" s="463">
        <v>121.32125091552734</v>
      </c>
      <c r="Y269" s="449"/>
      <c r="Z269" s="45"/>
      <c r="AA269" s="468">
        <v>0.42405686826315708</v>
      </c>
      <c r="AB269" s="456"/>
      <c r="AC269" s="46"/>
      <c r="AD269" s="46"/>
      <c r="AE269" s="46"/>
      <c r="AF269" s="46"/>
      <c r="AG269" s="46"/>
      <c r="AH269" s="46"/>
      <c r="AI269" s="457"/>
      <c r="AJ269" s="138"/>
      <c r="AK269" s="745"/>
      <c r="AL269" s="54"/>
      <c r="AM269" s="468"/>
      <c r="AN269" s="449"/>
      <c r="AO269" s="45"/>
      <c r="AP269" s="45"/>
      <c r="AQ269" s="45"/>
      <c r="AR269" s="45"/>
      <c r="AS269" s="45"/>
      <c r="AT269" s="45"/>
      <c r="AU269" s="463"/>
      <c r="AV269" s="449"/>
      <c r="AW269" s="45"/>
      <c r="AX269" s="45"/>
      <c r="AY269" s="45"/>
      <c r="AZ269" s="45"/>
      <c r="BA269" s="45"/>
      <c r="BB269" s="45"/>
      <c r="BC269" s="463"/>
      <c r="BD269" s="456"/>
      <c r="BE269" s="46"/>
      <c r="BF269" s="46"/>
      <c r="BG269" s="46"/>
      <c r="BH269" s="46"/>
      <c r="BI269" s="46"/>
      <c r="BJ269" s="457"/>
      <c r="BK269" s="449">
        <v>0</v>
      </c>
      <c r="BL269" s="45"/>
      <c r="BM269" s="45"/>
      <c r="BN269" s="45"/>
      <c r="BO269" s="45"/>
      <c r="BP269" s="45"/>
      <c r="BQ269" s="45"/>
      <c r="BR269" s="45"/>
      <c r="BS269" s="45"/>
      <c r="BT269" s="45"/>
      <c r="BU269" s="45"/>
      <c r="BV269" s="45"/>
      <c r="BW269" s="45"/>
      <c r="BX269" s="45"/>
      <c r="BY269" s="45"/>
      <c r="BZ269" s="45"/>
      <c r="CA269" s="45"/>
      <c r="CB269" s="45"/>
      <c r="CC269" s="45"/>
      <c r="CD269" s="463"/>
    </row>
    <row r="270" spans="2:82">
      <c r="B270" s="136">
        <v>261</v>
      </c>
      <c r="C270" s="138">
        <v>1</v>
      </c>
      <c r="D270" s="474">
        <v>3243.2991388636456</v>
      </c>
      <c r="E270" s="127">
        <v>224.3651174254228</v>
      </c>
      <c r="F270" s="447">
        <v>0.37494609735173001</v>
      </c>
      <c r="G270" s="127">
        <v>106.82431118770572</v>
      </c>
      <c r="H270" s="132">
        <v>62.984310779447192</v>
      </c>
      <c r="I270" s="456"/>
      <c r="J270" s="45"/>
      <c r="K270" s="45">
        <v>470</v>
      </c>
      <c r="L270" s="463"/>
      <c r="M270" s="456">
        <v>27.133935928344727</v>
      </c>
      <c r="N270" s="457"/>
      <c r="O270" s="456"/>
      <c r="P270" s="46"/>
      <c r="Q270" s="463">
        <v>72.582733154296875</v>
      </c>
      <c r="R270" s="449"/>
      <c r="S270" s="463"/>
      <c r="T270" s="480"/>
      <c r="U270" s="468"/>
      <c r="V270" s="449"/>
      <c r="W270" s="45">
        <v>1278.40673828125</v>
      </c>
      <c r="X270" s="463">
        <v>110.02928924560547</v>
      </c>
      <c r="Y270" s="449"/>
      <c r="Z270" s="45"/>
      <c r="AA270" s="468">
        <v>0.36492576911323721</v>
      </c>
      <c r="AB270" s="456"/>
      <c r="AC270" s="46"/>
      <c r="AD270" s="46"/>
      <c r="AE270" s="46"/>
      <c r="AF270" s="46"/>
      <c r="AG270" s="46"/>
      <c r="AH270" s="46"/>
      <c r="AI270" s="457"/>
      <c r="AJ270" s="138"/>
      <c r="AK270" s="745"/>
      <c r="AL270" s="54"/>
      <c r="AM270" s="468"/>
      <c r="AN270" s="449"/>
      <c r="AO270" s="45"/>
      <c r="AP270" s="45"/>
      <c r="AQ270" s="45"/>
      <c r="AR270" s="45"/>
      <c r="AS270" s="45"/>
      <c r="AT270" s="45"/>
      <c r="AU270" s="463"/>
      <c r="AV270" s="449"/>
      <c r="AW270" s="45"/>
      <c r="AX270" s="45"/>
      <c r="AY270" s="45"/>
      <c r="AZ270" s="45"/>
      <c r="BA270" s="45"/>
      <c r="BB270" s="45"/>
      <c r="BC270" s="463"/>
      <c r="BD270" s="456"/>
      <c r="BE270" s="46"/>
      <c r="BF270" s="46"/>
      <c r="BG270" s="46"/>
      <c r="BH270" s="46"/>
      <c r="BI270" s="46"/>
      <c r="BJ270" s="457"/>
      <c r="BK270" s="449">
        <v>0</v>
      </c>
      <c r="BL270" s="45"/>
      <c r="BM270" s="45"/>
      <c r="BN270" s="45"/>
      <c r="BO270" s="45"/>
      <c r="BP270" s="45"/>
      <c r="BQ270" s="45"/>
      <c r="BR270" s="45"/>
      <c r="BS270" s="45"/>
      <c r="BT270" s="45"/>
      <c r="BU270" s="45"/>
      <c r="BV270" s="45"/>
      <c r="BW270" s="45"/>
      <c r="BX270" s="45"/>
      <c r="BY270" s="45"/>
      <c r="BZ270" s="45"/>
      <c r="CA270" s="45"/>
      <c r="CB270" s="45"/>
      <c r="CC270" s="45"/>
      <c r="CD270" s="463"/>
    </row>
    <row r="271" spans="2:82">
      <c r="B271" s="136">
        <v>262</v>
      </c>
      <c r="C271" s="138">
        <v>1</v>
      </c>
      <c r="D271" s="474">
        <v>3172.9414226592025</v>
      </c>
      <c r="E271" s="127">
        <v>234.46909176169547</v>
      </c>
      <c r="F271" s="447">
        <v>0.36774649401368897</v>
      </c>
      <c r="G271" s="127">
        <v>131.50617420388838</v>
      </c>
      <c r="H271" s="132">
        <v>47.613602323398901</v>
      </c>
      <c r="I271" s="456"/>
      <c r="J271" s="45"/>
      <c r="K271" s="45">
        <v>500</v>
      </c>
      <c r="L271" s="463"/>
      <c r="M271" s="456">
        <v>30.730266571044922</v>
      </c>
      <c r="N271" s="457"/>
      <c r="O271" s="456"/>
      <c r="P271" s="46"/>
      <c r="Q271" s="463">
        <v>62.824245452880859</v>
      </c>
      <c r="R271" s="449"/>
      <c r="S271" s="463"/>
      <c r="T271" s="480"/>
      <c r="U271" s="468"/>
      <c r="V271" s="449"/>
      <c r="W271" s="45">
        <v>1324.9659423828125</v>
      </c>
      <c r="X271" s="463">
        <v>113.52566528320312</v>
      </c>
      <c r="Y271" s="449"/>
      <c r="Z271" s="45"/>
      <c r="AA271" s="468">
        <v>0.35754935338915217</v>
      </c>
      <c r="AB271" s="456"/>
      <c r="AC271" s="46"/>
      <c r="AD271" s="46"/>
      <c r="AE271" s="46"/>
      <c r="AF271" s="46"/>
      <c r="AG271" s="46"/>
      <c r="AH271" s="46"/>
      <c r="AI271" s="457"/>
      <c r="AJ271" s="138"/>
      <c r="AK271" s="745"/>
      <c r="AL271" s="54"/>
      <c r="AM271" s="468"/>
      <c r="AN271" s="449"/>
      <c r="AO271" s="45"/>
      <c r="AP271" s="45"/>
      <c r="AQ271" s="45"/>
      <c r="AR271" s="45"/>
      <c r="AS271" s="45"/>
      <c r="AT271" s="45"/>
      <c r="AU271" s="463"/>
      <c r="AV271" s="449"/>
      <c r="AW271" s="45"/>
      <c r="AX271" s="45"/>
      <c r="AY271" s="45"/>
      <c r="AZ271" s="45"/>
      <c r="BA271" s="45"/>
      <c r="BB271" s="45"/>
      <c r="BC271" s="463"/>
      <c r="BD271" s="456"/>
      <c r="BE271" s="46"/>
      <c r="BF271" s="46"/>
      <c r="BG271" s="46"/>
      <c r="BH271" s="46"/>
      <c r="BI271" s="46"/>
      <c r="BJ271" s="457"/>
      <c r="BK271" s="449">
        <v>0</v>
      </c>
      <c r="BL271" s="45"/>
      <c r="BM271" s="45"/>
      <c r="BN271" s="45"/>
      <c r="BO271" s="45"/>
      <c r="BP271" s="45"/>
      <c r="BQ271" s="45"/>
      <c r="BR271" s="45"/>
      <c r="BS271" s="45"/>
      <c r="BT271" s="45"/>
      <c r="BU271" s="45"/>
      <c r="BV271" s="45"/>
      <c r="BW271" s="45"/>
      <c r="BX271" s="45"/>
      <c r="BY271" s="45"/>
      <c r="BZ271" s="45"/>
      <c r="CA271" s="45"/>
      <c r="CB271" s="45"/>
      <c r="CC271" s="45"/>
      <c r="CD271" s="463"/>
    </row>
    <row r="272" spans="2:82">
      <c r="B272" s="136">
        <v>263</v>
      </c>
      <c r="C272" s="138">
        <v>1</v>
      </c>
      <c r="D272" s="474">
        <v>3601.2924125373411</v>
      </c>
      <c r="E272" s="127">
        <v>217.08665141591948</v>
      </c>
      <c r="F272" s="447">
        <v>0.38501048201996046</v>
      </c>
      <c r="G272" s="127">
        <v>123.68245347052496</v>
      </c>
      <c r="H272" s="132">
        <v>58.303572340983031</v>
      </c>
      <c r="I272" s="456"/>
      <c r="J272" s="45"/>
      <c r="K272" s="45">
        <v>510</v>
      </c>
      <c r="L272" s="463"/>
      <c r="M272" s="456">
        <v>30.195457458496094</v>
      </c>
      <c r="N272" s="457"/>
      <c r="O272" s="456"/>
      <c r="P272" s="46"/>
      <c r="Q272" s="463">
        <v>71.305595397949219</v>
      </c>
      <c r="R272" s="449"/>
      <c r="S272" s="463"/>
      <c r="T272" s="480"/>
      <c r="U272" s="468"/>
      <c r="V272" s="449"/>
      <c r="W272" s="45">
        <v>1407.85791015625</v>
      </c>
      <c r="X272" s="463">
        <v>119.59439086914062</v>
      </c>
      <c r="Y272" s="449"/>
      <c r="Z272" s="45"/>
      <c r="AA272" s="468">
        <v>0.37593035025210997</v>
      </c>
      <c r="AB272" s="456"/>
      <c r="AC272" s="46"/>
      <c r="AD272" s="46"/>
      <c r="AE272" s="46"/>
      <c r="AF272" s="46"/>
      <c r="AG272" s="46"/>
      <c r="AH272" s="46"/>
      <c r="AI272" s="457"/>
      <c r="AJ272" s="138"/>
      <c r="AK272" s="745"/>
      <c r="AL272" s="54"/>
      <c r="AM272" s="468"/>
      <c r="AN272" s="449"/>
      <c r="AO272" s="45"/>
      <c r="AP272" s="45"/>
      <c r="AQ272" s="45"/>
      <c r="AR272" s="45"/>
      <c r="AS272" s="45"/>
      <c r="AT272" s="45"/>
      <c r="AU272" s="463"/>
      <c r="AV272" s="449"/>
      <c r="AW272" s="45"/>
      <c r="AX272" s="45"/>
      <c r="AY272" s="45"/>
      <c r="AZ272" s="45"/>
      <c r="BA272" s="45"/>
      <c r="BB272" s="45"/>
      <c r="BC272" s="463"/>
      <c r="BD272" s="456"/>
      <c r="BE272" s="46"/>
      <c r="BF272" s="46"/>
      <c r="BG272" s="46"/>
      <c r="BH272" s="46"/>
      <c r="BI272" s="46"/>
      <c r="BJ272" s="457"/>
      <c r="BK272" s="449">
        <v>0</v>
      </c>
      <c r="BL272" s="45"/>
      <c r="BM272" s="45"/>
      <c r="BN272" s="45"/>
      <c r="BO272" s="45"/>
      <c r="BP272" s="45"/>
      <c r="BQ272" s="45"/>
      <c r="BR272" s="45"/>
      <c r="BS272" s="45"/>
      <c r="BT272" s="45"/>
      <c r="BU272" s="45"/>
      <c r="BV272" s="45"/>
      <c r="BW272" s="45"/>
      <c r="BX272" s="45"/>
      <c r="BY272" s="45"/>
      <c r="BZ272" s="45"/>
      <c r="CA272" s="45"/>
      <c r="CB272" s="45"/>
      <c r="CC272" s="45"/>
      <c r="CD272" s="463"/>
    </row>
    <row r="273" spans="2:82">
      <c r="B273" s="136">
        <v>264</v>
      </c>
      <c r="C273" s="138">
        <v>1</v>
      </c>
      <c r="D273" s="474">
        <v>2551.5965436694514</v>
      </c>
      <c r="E273" s="127">
        <v>281.7184348998137</v>
      </c>
      <c r="F273" s="447">
        <v>0.45035370928189589</v>
      </c>
      <c r="G273" s="127">
        <v>96.08531114801886</v>
      </c>
      <c r="H273" s="132">
        <v>44.915167297351559</v>
      </c>
      <c r="I273" s="456"/>
      <c r="J273" s="45"/>
      <c r="K273" s="45">
        <v>390</v>
      </c>
      <c r="L273" s="463"/>
      <c r="M273" s="456">
        <v>38.819496154785156</v>
      </c>
      <c r="N273" s="457"/>
      <c r="O273" s="456"/>
      <c r="P273" s="46"/>
      <c r="Q273" s="463">
        <v>50.521614074707031</v>
      </c>
      <c r="R273" s="449"/>
      <c r="S273" s="463"/>
      <c r="T273" s="480"/>
      <c r="U273" s="468"/>
      <c r="V273" s="449"/>
      <c r="W273" s="45">
        <v>1399.46923828125</v>
      </c>
      <c r="X273" s="463">
        <v>118.48261260986328</v>
      </c>
      <c r="Y273" s="449"/>
      <c r="Z273" s="45"/>
      <c r="AA273" s="468">
        <v>0.43702594621135482</v>
      </c>
      <c r="AB273" s="456"/>
      <c r="AC273" s="46"/>
      <c r="AD273" s="46"/>
      <c r="AE273" s="46"/>
      <c r="AF273" s="46"/>
      <c r="AG273" s="46"/>
      <c r="AH273" s="46"/>
      <c r="AI273" s="457"/>
      <c r="AJ273" s="138"/>
      <c r="AK273" s="745"/>
      <c r="AL273" s="54"/>
      <c r="AM273" s="468"/>
      <c r="AN273" s="449"/>
      <c r="AO273" s="45"/>
      <c r="AP273" s="45"/>
      <c r="AQ273" s="45"/>
      <c r="AR273" s="45"/>
      <c r="AS273" s="45"/>
      <c r="AT273" s="45"/>
      <c r="AU273" s="463"/>
      <c r="AV273" s="449"/>
      <c r="AW273" s="45"/>
      <c r="AX273" s="45"/>
      <c r="AY273" s="45"/>
      <c r="AZ273" s="45"/>
      <c r="BA273" s="45"/>
      <c r="BB273" s="45"/>
      <c r="BC273" s="463"/>
      <c r="BD273" s="456"/>
      <c r="BE273" s="46"/>
      <c r="BF273" s="46"/>
      <c r="BG273" s="46"/>
      <c r="BH273" s="46"/>
      <c r="BI273" s="46"/>
      <c r="BJ273" s="457"/>
      <c r="BK273" s="449">
        <v>0</v>
      </c>
      <c r="BL273" s="45"/>
      <c r="BM273" s="45"/>
      <c r="BN273" s="45"/>
      <c r="BO273" s="45"/>
      <c r="BP273" s="45"/>
      <c r="BQ273" s="45"/>
      <c r="BR273" s="45"/>
      <c r="BS273" s="45"/>
      <c r="BT273" s="45"/>
      <c r="BU273" s="45"/>
      <c r="BV273" s="45"/>
      <c r="BW273" s="45"/>
      <c r="BX273" s="45"/>
      <c r="BY273" s="45"/>
      <c r="BZ273" s="45"/>
      <c r="CA273" s="45"/>
      <c r="CB273" s="45"/>
      <c r="CC273" s="45"/>
      <c r="CD273" s="463"/>
    </row>
    <row r="274" spans="2:82">
      <c r="B274" s="136">
        <v>265</v>
      </c>
      <c r="C274" s="138">
        <v>1</v>
      </c>
      <c r="D274" s="474">
        <v>3465.1769855424182</v>
      </c>
      <c r="E274" s="127">
        <v>229.87977118241253</v>
      </c>
      <c r="F274" s="447">
        <v>0.43248087943538882</v>
      </c>
      <c r="G274" s="127">
        <v>130.16524287783952</v>
      </c>
      <c r="H274" s="132">
        <v>54.266604642679916</v>
      </c>
      <c r="I274" s="456"/>
      <c r="J274" s="45"/>
      <c r="K274" s="45">
        <v>520</v>
      </c>
      <c r="L274" s="463"/>
      <c r="M274" s="456">
        <v>37.837738037109375</v>
      </c>
      <c r="N274" s="457"/>
      <c r="O274" s="456"/>
      <c r="P274" s="46"/>
      <c r="Q274" s="463">
        <v>68.610504150390625</v>
      </c>
      <c r="R274" s="449"/>
      <c r="S274" s="463"/>
      <c r="T274" s="480"/>
      <c r="U274" s="468"/>
      <c r="V274" s="449"/>
      <c r="W274" s="45">
        <v>1691.7720947265625</v>
      </c>
      <c r="X274" s="463">
        <v>140.29415893554687</v>
      </c>
      <c r="Y274" s="449"/>
      <c r="Z274" s="45"/>
      <c r="AA274" s="468">
        <v>0.422770086096664</v>
      </c>
      <c r="AB274" s="456"/>
      <c r="AC274" s="46"/>
      <c r="AD274" s="46"/>
      <c r="AE274" s="46"/>
      <c r="AF274" s="46"/>
      <c r="AG274" s="46"/>
      <c r="AH274" s="46"/>
      <c r="AI274" s="457"/>
      <c r="AJ274" s="138"/>
      <c r="AK274" s="745"/>
      <c r="AL274" s="54"/>
      <c r="AM274" s="468"/>
      <c r="AN274" s="449"/>
      <c r="AO274" s="45"/>
      <c r="AP274" s="45"/>
      <c r="AQ274" s="45"/>
      <c r="AR274" s="45"/>
      <c r="AS274" s="45"/>
      <c r="AT274" s="45"/>
      <c r="AU274" s="463"/>
      <c r="AV274" s="449"/>
      <c r="AW274" s="45"/>
      <c r="AX274" s="45"/>
      <c r="AY274" s="45"/>
      <c r="AZ274" s="45"/>
      <c r="BA274" s="45"/>
      <c r="BB274" s="45"/>
      <c r="BC274" s="463"/>
      <c r="BD274" s="456"/>
      <c r="BE274" s="46"/>
      <c r="BF274" s="46"/>
      <c r="BG274" s="46"/>
      <c r="BH274" s="46"/>
      <c r="BI274" s="46"/>
      <c r="BJ274" s="457"/>
      <c r="BK274" s="449">
        <v>0</v>
      </c>
      <c r="BL274" s="45"/>
      <c r="BM274" s="45"/>
      <c r="BN274" s="45"/>
      <c r="BO274" s="45"/>
      <c r="BP274" s="45"/>
      <c r="BQ274" s="45"/>
      <c r="BR274" s="45"/>
      <c r="BS274" s="45"/>
      <c r="BT274" s="45"/>
      <c r="BU274" s="45"/>
      <c r="BV274" s="45"/>
      <c r="BW274" s="45"/>
      <c r="BX274" s="45"/>
      <c r="BY274" s="45"/>
      <c r="BZ274" s="45"/>
      <c r="CA274" s="45"/>
      <c r="CB274" s="45"/>
      <c r="CC274" s="45"/>
      <c r="CD274" s="463"/>
    </row>
    <row r="275" spans="2:82">
      <c r="B275" s="136">
        <v>266</v>
      </c>
      <c r="C275" s="138">
        <v>1</v>
      </c>
      <c r="D275" s="474">
        <v>4188.4505112015167</v>
      </c>
      <c r="E275" s="127">
        <v>319.73286067748529</v>
      </c>
      <c r="F275" s="447">
        <v>0.47507707740862926</v>
      </c>
      <c r="G275" s="127">
        <v>176.22691022568637</v>
      </c>
      <c r="H275" s="132">
        <v>55.20617901671627</v>
      </c>
      <c r="I275" s="456"/>
      <c r="J275" s="45"/>
      <c r="K275" s="45">
        <v>680</v>
      </c>
      <c r="L275" s="463"/>
      <c r="M275" s="456">
        <v>52.783199310302734</v>
      </c>
      <c r="N275" s="457"/>
      <c r="O275" s="456"/>
      <c r="P275" s="46"/>
      <c r="Q275" s="463">
        <v>82.931327819824219</v>
      </c>
      <c r="R275" s="449"/>
      <c r="S275" s="463"/>
      <c r="T275" s="480"/>
      <c r="U275" s="468"/>
      <c r="V275" s="449"/>
      <c r="W275" s="45">
        <v>2602.06982421875</v>
      </c>
      <c r="X275" s="463">
        <v>207.15928649902344</v>
      </c>
      <c r="Y275" s="449"/>
      <c r="Z275" s="45"/>
      <c r="AA275" s="468">
        <v>0.46683977307474678</v>
      </c>
      <c r="AB275" s="456"/>
      <c r="AC275" s="46"/>
      <c r="AD275" s="46"/>
      <c r="AE275" s="46"/>
      <c r="AF275" s="46"/>
      <c r="AG275" s="46"/>
      <c r="AH275" s="46"/>
      <c r="AI275" s="457"/>
      <c r="AJ275" s="138"/>
      <c r="AK275" s="745"/>
      <c r="AL275" s="54"/>
      <c r="AM275" s="468"/>
      <c r="AN275" s="449"/>
      <c r="AO275" s="45"/>
      <c r="AP275" s="45"/>
      <c r="AQ275" s="45"/>
      <c r="AR275" s="45"/>
      <c r="AS275" s="45"/>
      <c r="AT275" s="45"/>
      <c r="AU275" s="463"/>
      <c r="AV275" s="449"/>
      <c r="AW275" s="45"/>
      <c r="AX275" s="45"/>
      <c r="AY275" s="45"/>
      <c r="AZ275" s="45"/>
      <c r="BA275" s="45"/>
      <c r="BB275" s="45"/>
      <c r="BC275" s="463"/>
      <c r="BD275" s="456"/>
      <c r="BE275" s="46"/>
      <c r="BF275" s="46"/>
      <c r="BG275" s="46"/>
      <c r="BH275" s="46"/>
      <c r="BI275" s="46"/>
      <c r="BJ275" s="457"/>
      <c r="BK275" s="449">
        <v>0</v>
      </c>
      <c r="BL275" s="45"/>
      <c r="BM275" s="45"/>
      <c r="BN275" s="45"/>
      <c r="BO275" s="45"/>
      <c r="BP275" s="45"/>
      <c r="BQ275" s="45"/>
      <c r="BR275" s="45"/>
      <c r="BS275" s="45"/>
      <c r="BT275" s="45"/>
      <c r="BU275" s="45"/>
      <c r="BV275" s="45"/>
      <c r="BW275" s="45"/>
      <c r="BX275" s="45"/>
      <c r="BY275" s="45"/>
      <c r="BZ275" s="45"/>
      <c r="CA275" s="45"/>
      <c r="CB275" s="45"/>
      <c r="CC275" s="45"/>
      <c r="CD275" s="463"/>
    </row>
    <row r="276" spans="2:82">
      <c r="B276" s="136">
        <v>267</v>
      </c>
      <c r="C276" s="138">
        <v>1</v>
      </c>
      <c r="D276" s="474">
        <v>2831.1878146624299</v>
      </c>
      <c r="E276" s="127">
        <v>255.80349019917568</v>
      </c>
      <c r="F276" s="447">
        <v>0.41177793901060811</v>
      </c>
      <c r="G276" s="127">
        <v>98.46594493733781</v>
      </c>
      <c r="H276" s="132">
        <v>50.830764611302705</v>
      </c>
      <c r="I276" s="456"/>
      <c r="J276" s="45"/>
      <c r="K276" s="45">
        <v>410</v>
      </c>
      <c r="L276" s="463"/>
      <c r="M276" s="456">
        <v>32.231132507324219</v>
      </c>
      <c r="N276" s="457"/>
      <c r="O276" s="456"/>
      <c r="P276" s="46"/>
      <c r="Q276" s="463">
        <v>56.057518005371094</v>
      </c>
      <c r="R276" s="449"/>
      <c r="S276" s="463"/>
      <c r="T276" s="480"/>
      <c r="U276" s="468"/>
      <c r="V276" s="449"/>
      <c r="W276" s="45">
        <v>1263.6806640625</v>
      </c>
      <c r="X276" s="463">
        <v>108.68132781982422</v>
      </c>
      <c r="Y276" s="449"/>
      <c r="Z276" s="45"/>
      <c r="AA276" s="468">
        <v>0.40003885246605303</v>
      </c>
      <c r="AB276" s="456"/>
      <c r="AC276" s="46"/>
      <c r="AD276" s="46"/>
      <c r="AE276" s="46"/>
      <c r="AF276" s="46"/>
      <c r="AG276" s="46"/>
      <c r="AH276" s="46"/>
      <c r="AI276" s="457"/>
      <c r="AJ276" s="138"/>
      <c r="AK276" s="745"/>
      <c r="AL276" s="54"/>
      <c r="AM276" s="468"/>
      <c r="AN276" s="449"/>
      <c r="AO276" s="45"/>
      <c r="AP276" s="45"/>
      <c r="AQ276" s="45"/>
      <c r="AR276" s="45"/>
      <c r="AS276" s="45"/>
      <c r="AT276" s="45"/>
      <c r="AU276" s="463"/>
      <c r="AV276" s="449"/>
      <c r="AW276" s="45"/>
      <c r="AX276" s="45"/>
      <c r="AY276" s="45"/>
      <c r="AZ276" s="45"/>
      <c r="BA276" s="45"/>
      <c r="BB276" s="45"/>
      <c r="BC276" s="463"/>
      <c r="BD276" s="456"/>
      <c r="BE276" s="46"/>
      <c r="BF276" s="46"/>
      <c r="BG276" s="46"/>
      <c r="BH276" s="46"/>
      <c r="BI276" s="46"/>
      <c r="BJ276" s="457"/>
      <c r="BK276" s="449">
        <v>0</v>
      </c>
      <c r="BL276" s="45"/>
      <c r="BM276" s="45"/>
      <c r="BN276" s="45"/>
      <c r="BO276" s="45"/>
      <c r="BP276" s="45"/>
      <c r="BQ276" s="45"/>
      <c r="BR276" s="45"/>
      <c r="BS276" s="45"/>
      <c r="BT276" s="45"/>
      <c r="BU276" s="45"/>
      <c r="BV276" s="45"/>
      <c r="BW276" s="45"/>
      <c r="BX276" s="45"/>
      <c r="BY276" s="45"/>
      <c r="BZ276" s="45"/>
      <c r="CA276" s="45"/>
      <c r="CB276" s="45"/>
      <c r="CC276" s="45"/>
      <c r="CD276" s="463"/>
    </row>
    <row r="277" spans="2:82">
      <c r="B277" s="136">
        <v>268</v>
      </c>
      <c r="C277" s="138">
        <v>1</v>
      </c>
      <c r="D277" s="474">
        <v>3099.0728688519039</v>
      </c>
      <c r="E277" s="127">
        <v>252.18234498176676</v>
      </c>
      <c r="F277" s="447">
        <v>0.3539259761406226</v>
      </c>
      <c r="G277" s="127">
        <v>105.86708068290852</v>
      </c>
      <c r="H277" s="132">
        <v>61.055717296679674</v>
      </c>
      <c r="I277" s="456"/>
      <c r="J277" s="45"/>
      <c r="K277" s="45">
        <v>460</v>
      </c>
      <c r="L277" s="463"/>
      <c r="M277" s="456">
        <v>25.639663696289063</v>
      </c>
      <c r="N277" s="457"/>
      <c r="O277" s="456"/>
      <c r="P277" s="46"/>
      <c r="Q277" s="463">
        <v>69.656639099121094</v>
      </c>
      <c r="R277" s="449"/>
      <c r="S277" s="463"/>
      <c r="T277" s="480"/>
      <c r="U277" s="468"/>
      <c r="V277" s="449"/>
      <c r="W277" s="45">
        <v>1185.9114990234375</v>
      </c>
      <c r="X277" s="463">
        <v>103.25777435302734</v>
      </c>
      <c r="Y277" s="449"/>
      <c r="Z277" s="45"/>
      <c r="AA277" s="468">
        <v>0.34357497089475481</v>
      </c>
      <c r="AB277" s="456"/>
      <c r="AC277" s="46"/>
      <c r="AD277" s="46"/>
      <c r="AE277" s="46"/>
      <c r="AF277" s="46"/>
      <c r="AG277" s="46"/>
      <c r="AH277" s="46"/>
      <c r="AI277" s="457"/>
      <c r="AJ277" s="138"/>
      <c r="AK277" s="745"/>
      <c r="AL277" s="54"/>
      <c r="AM277" s="468"/>
      <c r="AN277" s="449"/>
      <c r="AO277" s="45"/>
      <c r="AP277" s="45"/>
      <c r="AQ277" s="45"/>
      <c r="AR277" s="45"/>
      <c r="AS277" s="45"/>
      <c r="AT277" s="45"/>
      <c r="AU277" s="463"/>
      <c r="AV277" s="449"/>
      <c r="AW277" s="45"/>
      <c r="AX277" s="45"/>
      <c r="AY277" s="45"/>
      <c r="AZ277" s="45"/>
      <c r="BA277" s="45"/>
      <c r="BB277" s="45"/>
      <c r="BC277" s="463"/>
      <c r="BD277" s="456"/>
      <c r="BE277" s="46"/>
      <c r="BF277" s="46"/>
      <c r="BG277" s="46"/>
      <c r="BH277" s="46"/>
      <c r="BI277" s="46"/>
      <c r="BJ277" s="457"/>
      <c r="BK277" s="449">
        <v>0</v>
      </c>
      <c r="BL277" s="45"/>
      <c r="BM277" s="45"/>
      <c r="BN277" s="45"/>
      <c r="BO277" s="45"/>
      <c r="BP277" s="45"/>
      <c r="BQ277" s="45"/>
      <c r="BR277" s="45"/>
      <c r="BS277" s="45"/>
      <c r="BT277" s="45"/>
      <c r="BU277" s="45"/>
      <c r="BV277" s="45"/>
      <c r="BW277" s="45"/>
      <c r="BX277" s="45"/>
      <c r="BY277" s="45"/>
      <c r="BZ277" s="45"/>
      <c r="CA277" s="45"/>
      <c r="CB277" s="45"/>
      <c r="CC277" s="45"/>
      <c r="CD277" s="463"/>
    </row>
    <row r="278" spans="2:82">
      <c r="B278" s="136">
        <v>269</v>
      </c>
      <c r="C278" s="138">
        <v>1</v>
      </c>
      <c r="D278" s="474">
        <v>2977.417860305105</v>
      </c>
      <c r="E278" s="127">
        <v>264.89345634303299</v>
      </c>
      <c r="F278" s="447">
        <v>0.45620203732524095</v>
      </c>
      <c r="G278" s="127">
        <v>107.11352700964318</v>
      </c>
      <c r="H278" s="132">
        <v>51.25584787809872</v>
      </c>
      <c r="I278" s="456"/>
      <c r="J278" s="45"/>
      <c r="K278" s="45">
        <v>440</v>
      </c>
      <c r="L278" s="463"/>
      <c r="M278" s="456">
        <v>39.812026977539063</v>
      </c>
      <c r="N278" s="457"/>
      <c r="O278" s="456"/>
      <c r="P278" s="46"/>
      <c r="Q278" s="463">
        <v>58.952877044677734</v>
      </c>
      <c r="R278" s="449"/>
      <c r="S278" s="463"/>
      <c r="T278" s="480"/>
      <c r="U278" s="468"/>
      <c r="V278" s="449"/>
      <c r="W278" s="45">
        <v>1600.9022216796875</v>
      </c>
      <c r="X278" s="463">
        <v>133.35661315917969</v>
      </c>
      <c r="Y278" s="449"/>
      <c r="Z278" s="45"/>
      <c r="AA278" s="468">
        <v>0.44474108614286034</v>
      </c>
      <c r="AB278" s="456"/>
      <c r="AC278" s="46"/>
      <c r="AD278" s="46"/>
      <c r="AE278" s="46"/>
      <c r="AF278" s="46"/>
      <c r="AG278" s="46"/>
      <c r="AH278" s="46"/>
      <c r="AI278" s="457"/>
      <c r="AJ278" s="138"/>
      <c r="AK278" s="745"/>
      <c r="AL278" s="54"/>
      <c r="AM278" s="468"/>
      <c r="AN278" s="449"/>
      <c r="AO278" s="45"/>
      <c r="AP278" s="45"/>
      <c r="AQ278" s="45"/>
      <c r="AR278" s="45"/>
      <c r="AS278" s="45"/>
      <c r="AT278" s="45"/>
      <c r="AU278" s="463"/>
      <c r="AV278" s="449"/>
      <c r="AW278" s="45"/>
      <c r="AX278" s="45"/>
      <c r="AY278" s="45"/>
      <c r="AZ278" s="45"/>
      <c r="BA278" s="45"/>
      <c r="BB278" s="45"/>
      <c r="BC278" s="463"/>
      <c r="BD278" s="456"/>
      <c r="BE278" s="46"/>
      <c r="BF278" s="46"/>
      <c r="BG278" s="46"/>
      <c r="BH278" s="46"/>
      <c r="BI278" s="46"/>
      <c r="BJ278" s="457"/>
      <c r="BK278" s="449">
        <v>0</v>
      </c>
      <c r="BL278" s="45"/>
      <c r="BM278" s="45"/>
      <c r="BN278" s="45"/>
      <c r="BO278" s="45"/>
      <c r="BP278" s="45"/>
      <c r="BQ278" s="45"/>
      <c r="BR278" s="45"/>
      <c r="BS278" s="45"/>
      <c r="BT278" s="45"/>
      <c r="BU278" s="45"/>
      <c r="BV278" s="45"/>
      <c r="BW278" s="45"/>
      <c r="BX278" s="45"/>
      <c r="BY278" s="45"/>
      <c r="BZ278" s="45"/>
      <c r="CA278" s="45"/>
      <c r="CB278" s="45"/>
      <c r="CC278" s="45"/>
      <c r="CD278" s="463"/>
    </row>
    <row r="279" spans="2:82">
      <c r="B279" s="136">
        <v>270</v>
      </c>
      <c r="C279" s="138">
        <v>1</v>
      </c>
      <c r="D279" s="474">
        <v>2979.7238579833074</v>
      </c>
      <c r="E279" s="127">
        <v>294.92849087317711</v>
      </c>
      <c r="F279" s="447">
        <v>0.38101131454062603</v>
      </c>
      <c r="G279" s="127">
        <v>102.3641265754038</v>
      </c>
      <c r="H279" s="132">
        <v>60.014309312886319</v>
      </c>
      <c r="I279" s="456"/>
      <c r="J279" s="45"/>
      <c r="K279" s="45">
        <v>450</v>
      </c>
      <c r="L279" s="463"/>
      <c r="M279" s="456">
        <v>27.725635528564453</v>
      </c>
      <c r="N279" s="457"/>
      <c r="O279" s="456"/>
      <c r="P279" s="46"/>
      <c r="Q279" s="463">
        <v>67.281143188476563</v>
      </c>
      <c r="R279" s="449"/>
      <c r="S279" s="463"/>
      <c r="T279" s="480"/>
      <c r="U279" s="468"/>
      <c r="V279" s="449"/>
      <c r="W279" s="45">
        <v>1243.7647705078125</v>
      </c>
      <c r="X279" s="463">
        <v>107.40582275390625</v>
      </c>
      <c r="Y279" s="449"/>
      <c r="Z279" s="45"/>
      <c r="AA279" s="468">
        <v>0.37006391543737821</v>
      </c>
      <c r="AB279" s="456"/>
      <c r="AC279" s="46"/>
      <c r="AD279" s="46"/>
      <c r="AE279" s="46"/>
      <c r="AF279" s="46"/>
      <c r="AG279" s="46"/>
      <c r="AH279" s="46"/>
      <c r="AI279" s="457"/>
      <c r="AJ279" s="138"/>
      <c r="AK279" s="745"/>
      <c r="AL279" s="54"/>
      <c r="AM279" s="468"/>
      <c r="AN279" s="449"/>
      <c r="AO279" s="45"/>
      <c r="AP279" s="45"/>
      <c r="AQ279" s="45"/>
      <c r="AR279" s="45"/>
      <c r="AS279" s="45"/>
      <c r="AT279" s="45"/>
      <c r="AU279" s="463"/>
      <c r="AV279" s="449"/>
      <c r="AW279" s="45"/>
      <c r="AX279" s="45"/>
      <c r="AY279" s="45"/>
      <c r="AZ279" s="45"/>
      <c r="BA279" s="45"/>
      <c r="BB279" s="45"/>
      <c r="BC279" s="463"/>
      <c r="BD279" s="456"/>
      <c r="BE279" s="46"/>
      <c r="BF279" s="46"/>
      <c r="BG279" s="46"/>
      <c r="BH279" s="46"/>
      <c r="BI279" s="46"/>
      <c r="BJ279" s="457"/>
      <c r="BK279" s="449">
        <v>0</v>
      </c>
      <c r="BL279" s="45"/>
      <c r="BM279" s="45"/>
      <c r="BN279" s="45"/>
      <c r="BO279" s="45"/>
      <c r="BP279" s="45"/>
      <c r="BQ279" s="45"/>
      <c r="BR279" s="45"/>
      <c r="BS279" s="45"/>
      <c r="BT279" s="45"/>
      <c r="BU279" s="45"/>
      <c r="BV279" s="45"/>
      <c r="BW279" s="45"/>
      <c r="BX279" s="45"/>
      <c r="BY279" s="45"/>
      <c r="BZ279" s="45"/>
      <c r="CA279" s="45"/>
      <c r="CB279" s="45"/>
      <c r="CC279" s="45"/>
      <c r="CD279" s="463"/>
    </row>
    <row r="280" spans="2:82">
      <c r="B280" s="136">
        <v>271</v>
      </c>
      <c r="C280" s="138">
        <v>1</v>
      </c>
      <c r="D280" s="474">
        <v>2520.3239288848354</v>
      </c>
      <c r="E280" s="127">
        <v>258.56684378055428</v>
      </c>
      <c r="F280" s="447">
        <v>0.38615295110685499</v>
      </c>
      <c r="G280" s="127">
        <v>89.418174420905189</v>
      </c>
      <c r="H280" s="132">
        <v>46.662115350215089</v>
      </c>
      <c r="I280" s="456"/>
      <c r="J280" s="45"/>
      <c r="K280" s="45">
        <v>360</v>
      </c>
      <c r="L280" s="463"/>
      <c r="M280" s="456">
        <v>30.040212631225586</v>
      </c>
      <c r="N280" s="457"/>
      <c r="O280" s="456"/>
      <c r="P280" s="46"/>
      <c r="Q280" s="463">
        <v>49.902416229248047</v>
      </c>
      <c r="R280" s="449"/>
      <c r="S280" s="463"/>
      <c r="T280" s="480"/>
      <c r="U280" s="468"/>
      <c r="V280" s="449"/>
      <c r="W280" s="45">
        <v>1065.183837890625</v>
      </c>
      <c r="X280" s="463">
        <v>94.06494140625</v>
      </c>
      <c r="Y280" s="449"/>
      <c r="Z280" s="45"/>
      <c r="AA280" s="468">
        <v>0.37316927918789811</v>
      </c>
      <c r="AB280" s="456"/>
      <c r="AC280" s="46"/>
      <c r="AD280" s="46"/>
      <c r="AE280" s="46"/>
      <c r="AF280" s="46"/>
      <c r="AG280" s="46"/>
      <c r="AH280" s="46"/>
      <c r="AI280" s="457"/>
      <c r="AJ280" s="138"/>
      <c r="AK280" s="745"/>
      <c r="AL280" s="54"/>
      <c r="AM280" s="468"/>
      <c r="AN280" s="449"/>
      <c r="AO280" s="45"/>
      <c r="AP280" s="45"/>
      <c r="AQ280" s="45"/>
      <c r="AR280" s="45"/>
      <c r="AS280" s="45"/>
      <c r="AT280" s="45"/>
      <c r="AU280" s="463"/>
      <c r="AV280" s="449"/>
      <c r="AW280" s="45"/>
      <c r="AX280" s="45"/>
      <c r="AY280" s="45"/>
      <c r="AZ280" s="45"/>
      <c r="BA280" s="45"/>
      <c r="BB280" s="45"/>
      <c r="BC280" s="463"/>
      <c r="BD280" s="456"/>
      <c r="BE280" s="46"/>
      <c r="BF280" s="46"/>
      <c r="BG280" s="46"/>
      <c r="BH280" s="46"/>
      <c r="BI280" s="46"/>
      <c r="BJ280" s="457"/>
      <c r="BK280" s="449">
        <v>0</v>
      </c>
      <c r="BL280" s="45"/>
      <c r="BM280" s="45"/>
      <c r="BN280" s="45"/>
      <c r="BO280" s="45"/>
      <c r="BP280" s="45"/>
      <c r="BQ280" s="45"/>
      <c r="BR280" s="45"/>
      <c r="BS280" s="45"/>
      <c r="BT280" s="45"/>
      <c r="BU280" s="45"/>
      <c r="BV280" s="45"/>
      <c r="BW280" s="45"/>
      <c r="BX280" s="45"/>
      <c r="BY280" s="45"/>
      <c r="BZ280" s="45"/>
      <c r="CA280" s="45"/>
      <c r="CB280" s="45"/>
      <c r="CC280" s="45"/>
      <c r="CD280" s="463"/>
    </row>
    <row r="281" spans="2:82">
      <c r="B281" s="136">
        <v>272</v>
      </c>
      <c r="C281" s="138">
        <v>1</v>
      </c>
      <c r="D281" s="474">
        <v>3382.565648037224</v>
      </c>
      <c r="E281" s="127">
        <v>213.28199244423826</v>
      </c>
      <c r="F281" s="447">
        <v>0.40276155959651883</v>
      </c>
      <c r="G281" s="127">
        <v>112.4360545986321</v>
      </c>
      <c r="H281" s="132">
        <v>57.400243606569418</v>
      </c>
      <c r="I281" s="456"/>
      <c r="J281" s="45"/>
      <c r="K281" s="45">
        <v>470</v>
      </c>
      <c r="L281" s="463"/>
      <c r="M281" s="456">
        <v>31.237827301025391</v>
      </c>
      <c r="N281" s="457"/>
      <c r="O281" s="456"/>
      <c r="P281" s="46"/>
      <c r="Q281" s="463">
        <v>66.974800109863281</v>
      </c>
      <c r="R281" s="449"/>
      <c r="S281" s="463"/>
      <c r="T281" s="480"/>
      <c r="U281" s="468"/>
      <c r="V281" s="449"/>
      <c r="W281" s="45">
        <v>1388.90380859375</v>
      </c>
      <c r="X281" s="463">
        <v>118.05624389648437</v>
      </c>
      <c r="Y281" s="449"/>
      <c r="Z281" s="45"/>
      <c r="AA281" s="468">
        <v>0.3929893231844595</v>
      </c>
      <c r="AB281" s="456"/>
      <c r="AC281" s="46"/>
      <c r="AD281" s="46"/>
      <c r="AE281" s="46"/>
      <c r="AF281" s="46"/>
      <c r="AG281" s="46"/>
      <c r="AH281" s="46"/>
      <c r="AI281" s="457"/>
      <c r="AJ281" s="138"/>
      <c r="AK281" s="745"/>
      <c r="AL281" s="54"/>
      <c r="AM281" s="468"/>
      <c r="AN281" s="449"/>
      <c r="AO281" s="45"/>
      <c r="AP281" s="45"/>
      <c r="AQ281" s="45"/>
      <c r="AR281" s="45"/>
      <c r="AS281" s="45"/>
      <c r="AT281" s="45"/>
      <c r="AU281" s="463"/>
      <c r="AV281" s="449"/>
      <c r="AW281" s="45"/>
      <c r="AX281" s="45"/>
      <c r="AY281" s="45"/>
      <c r="AZ281" s="45"/>
      <c r="BA281" s="45"/>
      <c r="BB281" s="45"/>
      <c r="BC281" s="463"/>
      <c r="BD281" s="456"/>
      <c r="BE281" s="46"/>
      <c r="BF281" s="46"/>
      <c r="BG281" s="46"/>
      <c r="BH281" s="46"/>
      <c r="BI281" s="46"/>
      <c r="BJ281" s="457"/>
      <c r="BK281" s="449">
        <v>0</v>
      </c>
      <c r="BL281" s="45"/>
      <c r="BM281" s="45"/>
      <c r="BN281" s="45"/>
      <c r="BO281" s="45"/>
      <c r="BP281" s="45"/>
      <c r="BQ281" s="45"/>
      <c r="BR281" s="45"/>
      <c r="BS281" s="45"/>
      <c r="BT281" s="45"/>
      <c r="BU281" s="45"/>
      <c r="BV281" s="45"/>
      <c r="BW281" s="45"/>
      <c r="BX281" s="45"/>
      <c r="BY281" s="45"/>
      <c r="BZ281" s="45"/>
      <c r="CA281" s="45"/>
      <c r="CB281" s="45"/>
      <c r="CC281" s="45"/>
      <c r="CD281" s="463"/>
    </row>
    <row r="282" spans="2:82">
      <c r="B282" s="136">
        <v>273</v>
      </c>
      <c r="C282" s="138">
        <v>1</v>
      </c>
      <c r="D282" s="474">
        <v>3122.1876285266458</v>
      </c>
      <c r="E282" s="127">
        <v>291.86153014717729</v>
      </c>
      <c r="F282" s="447">
        <v>0.40763985964014443</v>
      </c>
      <c r="G282" s="127">
        <v>110.0862811192261</v>
      </c>
      <c r="H282" s="132">
        <v>60.433769952526191</v>
      </c>
      <c r="I282" s="456"/>
      <c r="J282" s="45"/>
      <c r="K282" s="45">
        <v>480</v>
      </c>
      <c r="L282" s="463"/>
      <c r="M282" s="456">
        <v>31.295524597167969</v>
      </c>
      <c r="N282" s="457"/>
      <c r="O282" s="456"/>
      <c r="P282" s="46"/>
      <c r="Q282" s="463">
        <v>70.0567626953125</v>
      </c>
      <c r="R282" s="449"/>
      <c r="S282" s="463"/>
      <c r="T282" s="480"/>
      <c r="U282" s="468"/>
      <c r="V282" s="449"/>
      <c r="W282" s="45">
        <v>1426.9013671875</v>
      </c>
      <c r="X282" s="463">
        <v>120.85008239746094</v>
      </c>
      <c r="Y282" s="449"/>
      <c r="Z282" s="45"/>
      <c r="AA282" s="468">
        <v>0.39702140836902472</v>
      </c>
      <c r="AB282" s="456"/>
      <c r="AC282" s="46"/>
      <c r="AD282" s="46"/>
      <c r="AE282" s="46"/>
      <c r="AF282" s="46"/>
      <c r="AG282" s="46"/>
      <c r="AH282" s="46"/>
      <c r="AI282" s="457"/>
      <c r="AJ282" s="138"/>
      <c r="AK282" s="745"/>
      <c r="AL282" s="54"/>
      <c r="AM282" s="468"/>
      <c r="AN282" s="449"/>
      <c r="AO282" s="45"/>
      <c r="AP282" s="45"/>
      <c r="AQ282" s="45"/>
      <c r="AR282" s="45"/>
      <c r="AS282" s="45"/>
      <c r="AT282" s="45"/>
      <c r="AU282" s="463"/>
      <c r="AV282" s="449"/>
      <c r="AW282" s="45"/>
      <c r="AX282" s="45"/>
      <c r="AY282" s="45"/>
      <c r="AZ282" s="45"/>
      <c r="BA282" s="45"/>
      <c r="BB282" s="45"/>
      <c r="BC282" s="463"/>
      <c r="BD282" s="456"/>
      <c r="BE282" s="46"/>
      <c r="BF282" s="46"/>
      <c r="BG282" s="46"/>
      <c r="BH282" s="46"/>
      <c r="BI282" s="46"/>
      <c r="BJ282" s="457"/>
      <c r="BK282" s="449">
        <v>0</v>
      </c>
      <c r="BL282" s="45"/>
      <c r="BM282" s="45"/>
      <c r="BN282" s="45"/>
      <c r="BO282" s="45"/>
      <c r="BP282" s="45"/>
      <c r="BQ282" s="45"/>
      <c r="BR282" s="45"/>
      <c r="BS282" s="45"/>
      <c r="BT282" s="45"/>
      <c r="BU282" s="45"/>
      <c r="BV282" s="45"/>
      <c r="BW282" s="45"/>
      <c r="BX282" s="45"/>
      <c r="BY282" s="45"/>
      <c r="BZ282" s="45"/>
      <c r="CA282" s="45"/>
      <c r="CB282" s="45"/>
      <c r="CC282" s="45"/>
      <c r="CD282" s="463"/>
    </row>
    <row r="283" spans="2:82">
      <c r="B283" s="136">
        <v>274</v>
      </c>
      <c r="C283" s="138">
        <v>1</v>
      </c>
      <c r="D283" s="474">
        <v>2801.6771446775056</v>
      </c>
      <c r="E283" s="127">
        <v>223.56980689152488</v>
      </c>
      <c r="F283" s="447">
        <v>0.40939410590371195</v>
      </c>
      <c r="G283" s="127">
        <v>117.38510329713516</v>
      </c>
      <c r="H283" s="132">
        <v>43.174963428930418</v>
      </c>
      <c r="I283" s="456"/>
      <c r="J283" s="45"/>
      <c r="K283" s="45">
        <v>440</v>
      </c>
      <c r="L283" s="463"/>
      <c r="M283" s="456">
        <v>35.061748504638672</v>
      </c>
      <c r="N283" s="457"/>
      <c r="O283" s="456"/>
      <c r="P283" s="46"/>
      <c r="Q283" s="463">
        <v>55.473209381103516</v>
      </c>
      <c r="R283" s="449"/>
      <c r="S283" s="463"/>
      <c r="T283" s="480"/>
      <c r="U283" s="468"/>
      <c r="V283" s="449"/>
      <c r="W283" s="45">
        <v>1367.0352783203125</v>
      </c>
      <c r="X283" s="463">
        <v>116.36223602294922</v>
      </c>
      <c r="Y283" s="449"/>
      <c r="Z283" s="45"/>
      <c r="AA283" s="468">
        <v>0.39754838621358884</v>
      </c>
      <c r="AB283" s="456"/>
      <c r="AC283" s="46"/>
      <c r="AD283" s="46"/>
      <c r="AE283" s="46"/>
      <c r="AF283" s="46"/>
      <c r="AG283" s="46"/>
      <c r="AH283" s="46"/>
      <c r="AI283" s="457"/>
      <c r="AJ283" s="138"/>
      <c r="AK283" s="745"/>
      <c r="AL283" s="54"/>
      <c r="AM283" s="468"/>
      <c r="AN283" s="449"/>
      <c r="AO283" s="45"/>
      <c r="AP283" s="45"/>
      <c r="AQ283" s="45"/>
      <c r="AR283" s="45"/>
      <c r="AS283" s="45"/>
      <c r="AT283" s="45"/>
      <c r="AU283" s="463"/>
      <c r="AV283" s="449"/>
      <c r="AW283" s="45"/>
      <c r="AX283" s="45"/>
      <c r="AY283" s="45"/>
      <c r="AZ283" s="45"/>
      <c r="BA283" s="45"/>
      <c r="BB283" s="45"/>
      <c r="BC283" s="463"/>
      <c r="BD283" s="456"/>
      <c r="BE283" s="46"/>
      <c r="BF283" s="46"/>
      <c r="BG283" s="46"/>
      <c r="BH283" s="46"/>
      <c r="BI283" s="46"/>
      <c r="BJ283" s="457"/>
      <c r="BK283" s="449">
        <v>0</v>
      </c>
      <c r="BL283" s="45"/>
      <c r="BM283" s="45"/>
      <c r="BN283" s="45"/>
      <c r="BO283" s="45"/>
      <c r="BP283" s="45"/>
      <c r="BQ283" s="45"/>
      <c r="BR283" s="45"/>
      <c r="BS283" s="45"/>
      <c r="BT283" s="45"/>
      <c r="BU283" s="45"/>
      <c r="BV283" s="45"/>
      <c r="BW283" s="45"/>
      <c r="BX283" s="45"/>
      <c r="BY283" s="45"/>
      <c r="BZ283" s="45"/>
      <c r="CA283" s="45"/>
      <c r="CB283" s="45"/>
      <c r="CC283" s="45"/>
      <c r="CD283" s="463"/>
    </row>
    <row r="284" spans="2:82">
      <c r="B284" s="136">
        <v>275</v>
      </c>
      <c r="C284" s="138">
        <v>1</v>
      </c>
      <c r="D284" s="474">
        <v>3310.4613691783215</v>
      </c>
      <c r="E284" s="127">
        <v>210.85751901635734</v>
      </c>
      <c r="F284" s="447">
        <v>0.39984870364749497</v>
      </c>
      <c r="G284" s="127">
        <v>121.35240637484898</v>
      </c>
      <c r="H284" s="132">
        <v>53.771679927517518</v>
      </c>
      <c r="I284" s="456"/>
      <c r="J284" s="45"/>
      <c r="K284" s="45">
        <v>490</v>
      </c>
      <c r="L284" s="463"/>
      <c r="M284" s="456">
        <v>32.423683166503906</v>
      </c>
      <c r="N284" s="457"/>
      <c r="O284" s="456"/>
      <c r="P284" s="46"/>
      <c r="Q284" s="463">
        <v>65.547134399414063</v>
      </c>
      <c r="R284" s="449"/>
      <c r="S284" s="463"/>
      <c r="T284" s="480"/>
      <c r="U284" s="468"/>
      <c r="V284" s="449"/>
      <c r="W284" s="45">
        <v>1426.899169921875</v>
      </c>
      <c r="X284" s="463">
        <v>120.89480590820312</v>
      </c>
      <c r="Y284" s="449"/>
      <c r="Z284" s="45"/>
      <c r="AA284" s="468">
        <v>0.38988121863765179</v>
      </c>
      <c r="AB284" s="456"/>
      <c r="AC284" s="46"/>
      <c r="AD284" s="46"/>
      <c r="AE284" s="46"/>
      <c r="AF284" s="46"/>
      <c r="AG284" s="46"/>
      <c r="AH284" s="46"/>
      <c r="AI284" s="457"/>
      <c r="AJ284" s="138"/>
      <c r="AK284" s="745"/>
      <c r="AL284" s="54"/>
      <c r="AM284" s="468"/>
      <c r="AN284" s="449"/>
      <c r="AO284" s="45"/>
      <c r="AP284" s="45"/>
      <c r="AQ284" s="45"/>
      <c r="AR284" s="45"/>
      <c r="AS284" s="45"/>
      <c r="AT284" s="45"/>
      <c r="AU284" s="463"/>
      <c r="AV284" s="449"/>
      <c r="AW284" s="45"/>
      <c r="AX284" s="45"/>
      <c r="AY284" s="45"/>
      <c r="AZ284" s="45"/>
      <c r="BA284" s="45"/>
      <c r="BB284" s="45"/>
      <c r="BC284" s="463"/>
      <c r="BD284" s="456"/>
      <c r="BE284" s="46"/>
      <c r="BF284" s="46"/>
      <c r="BG284" s="46"/>
      <c r="BH284" s="46"/>
      <c r="BI284" s="46"/>
      <c r="BJ284" s="457"/>
      <c r="BK284" s="449">
        <v>0</v>
      </c>
      <c r="BL284" s="45"/>
      <c r="BM284" s="45"/>
      <c r="BN284" s="45"/>
      <c r="BO284" s="45"/>
      <c r="BP284" s="45"/>
      <c r="BQ284" s="45"/>
      <c r="BR284" s="45"/>
      <c r="BS284" s="45"/>
      <c r="BT284" s="45"/>
      <c r="BU284" s="45"/>
      <c r="BV284" s="45"/>
      <c r="BW284" s="45"/>
      <c r="BX284" s="45"/>
      <c r="BY284" s="45"/>
      <c r="BZ284" s="45"/>
      <c r="CA284" s="45"/>
      <c r="CB284" s="45"/>
      <c r="CC284" s="45"/>
      <c r="CD284" s="463"/>
    </row>
    <row r="285" spans="2:82">
      <c r="B285" s="136">
        <v>276</v>
      </c>
      <c r="C285" s="138">
        <v>1</v>
      </c>
      <c r="D285" s="474">
        <v>3181.4052948977564</v>
      </c>
      <c r="E285" s="127">
        <v>261.07092310065894</v>
      </c>
      <c r="F285" s="447">
        <v>0.39683931701732988</v>
      </c>
      <c r="G285" s="127">
        <v>104.38584703446234</v>
      </c>
      <c r="H285" s="132">
        <v>62.617607911523017</v>
      </c>
      <c r="I285" s="456"/>
      <c r="J285" s="45"/>
      <c r="K285" s="45">
        <v>470</v>
      </c>
      <c r="L285" s="463"/>
      <c r="M285" s="456">
        <v>29.283178329467773</v>
      </c>
      <c r="N285" s="457"/>
      <c r="O285" s="456"/>
      <c r="P285" s="46"/>
      <c r="Q285" s="463">
        <v>71.361343383789063</v>
      </c>
      <c r="R285" s="449"/>
      <c r="S285" s="463"/>
      <c r="T285" s="480"/>
      <c r="U285" s="468"/>
      <c r="V285" s="449"/>
      <c r="W285" s="45">
        <v>1354.117919921875</v>
      </c>
      <c r="X285" s="463">
        <v>115.5194091796875</v>
      </c>
      <c r="Y285" s="449"/>
      <c r="Z285" s="45"/>
      <c r="AA285" s="468">
        <v>0.38648641215696217</v>
      </c>
      <c r="AB285" s="456"/>
      <c r="AC285" s="46"/>
      <c r="AD285" s="46"/>
      <c r="AE285" s="46"/>
      <c r="AF285" s="46"/>
      <c r="AG285" s="46"/>
      <c r="AH285" s="46"/>
      <c r="AI285" s="457"/>
      <c r="AJ285" s="138"/>
      <c r="AK285" s="745"/>
      <c r="AL285" s="54"/>
      <c r="AM285" s="468"/>
      <c r="AN285" s="449"/>
      <c r="AO285" s="45"/>
      <c r="AP285" s="45"/>
      <c r="AQ285" s="45"/>
      <c r="AR285" s="45"/>
      <c r="AS285" s="45"/>
      <c r="AT285" s="45"/>
      <c r="AU285" s="463"/>
      <c r="AV285" s="449"/>
      <c r="AW285" s="45"/>
      <c r="AX285" s="45"/>
      <c r="AY285" s="45"/>
      <c r="AZ285" s="45"/>
      <c r="BA285" s="45"/>
      <c r="BB285" s="45"/>
      <c r="BC285" s="463"/>
      <c r="BD285" s="456"/>
      <c r="BE285" s="46"/>
      <c r="BF285" s="46"/>
      <c r="BG285" s="46"/>
      <c r="BH285" s="46"/>
      <c r="BI285" s="46"/>
      <c r="BJ285" s="457"/>
      <c r="BK285" s="449">
        <v>0</v>
      </c>
      <c r="BL285" s="45"/>
      <c r="BM285" s="45"/>
      <c r="BN285" s="45"/>
      <c r="BO285" s="45"/>
      <c r="BP285" s="45"/>
      <c r="BQ285" s="45"/>
      <c r="BR285" s="45"/>
      <c r="BS285" s="45"/>
      <c r="BT285" s="45"/>
      <c r="BU285" s="45"/>
      <c r="BV285" s="45"/>
      <c r="BW285" s="45"/>
      <c r="BX285" s="45"/>
      <c r="BY285" s="45"/>
      <c r="BZ285" s="45"/>
      <c r="CA285" s="45"/>
      <c r="CB285" s="45"/>
      <c r="CC285" s="45"/>
      <c r="CD285" s="463"/>
    </row>
    <row r="286" spans="2:82">
      <c r="B286" s="136">
        <v>277</v>
      </c>
      <c r="C286" s="138">
        <v>1</v>
      </c>
      <c r="D286" s="474">
        <v>4071.4182153047968</v>
      </c>
      <c r="E286" s="127">
        <v>230.96261645840286</v>
      </c>
      <c r="F286" s="447">
        <v>0.41957236545178261</v>
      </c>
      <c r="G286" s="127">
        <v>135.46839498184713</v>
      </c>
      <c r="H286" s="132">
        <v>62.807993499106587</v>
      </c>
      <c r="I286" s="456"/>
      <c r="J286" s="45"/>
      <c r="K286" s="45">
        <v>570</v>
      </c>
      <c r="L286" s="463"/>
      <c r="M286" s="456">
        <v>35.059013366699219</v>
      </c>
      <c r="N286" s="457"/>
      <c r="O286" s="456"/>
      <c r="P286" s="46"/>
      <c r="Q286" s="463">
        <v>80.614089965820313</v>
      </c>
      <c r="R286" s="449"/>
      <c r="S286" s="463"/>
      <c r="T286" s="480"/>
      <c r="U286" s="468"/>
      <c r="V286" s="449"/>
      <c r="W286" s="45">
        <v>1737.222412109375</v>
      </c>
      <c r="X286" s="463">
        <v>143.80209350585937</v>
      </c>
      <c r="Y286" s="449"/>
      <c r="Z286" s="45"/>
      <c r="AA286" s="468">
        <v>0.41137093647956002</v>
      </c>
      <c r="AB286" s="456"/>
      <c r="AC286" s="46"/>
      <c r="AD286" s="46"/>
      <c r="AE286" s="46"/>
      <c r="AF286" s="46"/>
      <c r="AG286" s="46"/>
      <c r="AH286" s="46"/>
      <c r="AI286" s="457"/>
      <c r="AJ286" s="138"/>
      <c r="AK286" s="745"/>
      <c r="AL286" s="54"/>
      <c r="AM286" s="468"/>
      <c r="AN286" s="449"/>
      <c r="AO286" s="45"/>
      <c r="AP286" s="45"/>
      <c r="AQ286" s="45"/>
      <c r="AR286" s="45"/>
      <c r="AS286" s="45"/>
      <c r="AT286" s="45"/>
      <c r="AU286" s="463"/>
      <c r="AV286" s="449"/>
      <c r="AW286" s="45"/>
      <c r="AX286" s="45"/>
      <c r="AY286" s="45"/>
      <c r="AZ286" s="45"/>
      <c r="BA286" s="45"/>
      <c r="BB286" s="45"/>
      <c r="BC286" s="463"/>
      <c r="BD286" s="456"/>
      <c r="BE286" s="46"/>
      <c r="BF286" s="46"/>
      <c r="BG286" s="46"/>
      <c r="BH286" s="46"/>
      <c r="BI286" s="46"/>
      <c r="BJ286" s="457"/>
      <c r="BK286" s="449">
        <v>0</v>
      </c>
      <c r="BL286" s="45"/>
      <c r="BM286" s="45"/>
      <c r="BN286" s="45"/>
      <c r="BO286" s="45"/>
      <c r="BP286" s="45"/>
      <c r="BQ286" s="45"/>
      <c r="BR286" s="45"/>
      <c r="BS286" s="45"/>
      <c r="BT286" s="45"/>
      <c r="BU286" s="45"/>
      <c r="BV286" s="45"/>
      <c r="BW286" s="45"/>
      <c r="BX286" s="45"/>
      <c r="BY286" s="45"/>
      <c r="BZ286" s="45"/>
      <c r="CA286" s="45"/>
      <c r="CB286" s="45"/>
      <c r="CC286" s="45"/>
      <c r="CD286" s="463"/>
    </row>
    <row r="287" spans="2:82">
      <c r="B287" s="136">
        <v>278</v>
      </c>
      <c r="C287" s="138">
        <v>1</v>
      </c>
      <c r="D287" s="474">
        <v>3853.5868394591116</v>
      </c>
      <c r="E287" s="127">
        <v>274.4517490816358</v>
      </c>
      <c r="F287" s="447">
        <v>0.36653559792140089</v>
      </c>
      <c r="G287" s="127">
        <v>120.92776957739159</v>
      </c>
      <c r="H287" s="132">
        <v>62.730056961443097</v>
      </c>
      <c r="I287" s="456"/>
      <c r="J287" s="45"/>
      <c r="K287" s="45">
        <v>520</v>
      </c>
      <c r="L287" s="463"/>
      <c r="M287" s="456">
        <v>27.620384216308594</v>
      </c>
      <c r="N287" s="457"/>
      <c r="O287" s="456"/>
      <c r="P287" s="46"/>
      <c r="Q287" s="463">
        <v>76.301025390625</v>
      </c>
      <c r="R287" s="449"/>
      <c r="S287" s="463"/>
      <c r="T287" s="480"/>
      <c r="U287" s="468"/>
      <c r="V287" s="449"/>
      <c r="W287" s="45">
        <v>1350.604248046875</v>
      </c>
      <c r="X287" s="463">
        <v>115.46661376953125</v>
      </c>
      <c r="Y287" s="449"/>
      <c r="Z287" s="45"/>
      <c r="AA287" s="468">
        <v>0.35814582670166989</v>
      </c>
      <c r="AB287" s="456"/>
      <c r="AC287" s="46"/>
      <c r="AD287" s="46"/>
      <c r="AE287" s="46"/>
      <c r="AF287" s="46"/>
      <c r="AG287" s="46"/>
      <c r="AH287" s="46"/>
      <c r="AI287" s="457"/>
      <c r="AJ287" s="138"/>
      <c r="AK287" s="745"/>
      <c r="AL287" s="54"/>
      <c r="AM287" s="468"/>
      <c r="AN287" s="449"/>
      <c r="AO287" s="45"/>
      <c r="AP287" s="45"/>
      <c r="AQ287" s="45"/>
      <c r="AR287" s="45"/>
      <c r="AS287" s="45"/>
      <c r="AT287" s="45"/>
      <c r="AU287" s="463"/>
      <c r="AV287" s="449"/>
      <c r="AW287" s="45"/>
      <c r="AX287" s="45"/>
      <c r="AY287" s="45"/>
      <c r="AZ287" s="45"/>
      <c r="BA287" s="45"/>
      <c r="BB287" s="45"/>
      <c r="BC287" s="463"/>
      <c r="BD287" s="456"/>
      <c r="BE287" s="46"/>
      <c r="BF287" s="46"/>
      <c r="BG287" s="46"/>
      <c r="BH287" s="46"/>
      <c r="BI287" s="46"/>
      <c r="BJ287" s="457"/>
      <c r="BK287" s="449">
        <v>0</v>
      </c>
      <c r="BL287" s="45"/>
      <c r="BM287" s="45"/>
      <c r="BN287" s="45"/>
      <c r="BO287" s="45"/>
      <c r="BP287" s="45"/>
      <c r="BQ287" s="45"/>
      <c r="BR287" s="45"/>
      <c r="BS287" s="45"/>
      <c r="BT287" s="45"/>
      <c r="BU287" s="45"/>
      <c r="BV287" s="45"/>
      <c r="BW287" s="45"/>
      <c r="BX287" s="45"/>
      <c r="BY287" s="45"/>
      <c r="BZ287" s="45"/>
      <c r="CA287" s="45"/>
      <c r="CB287" s="45"/>
      <c r="CC287" s="45"/>
      <c r="CD287" s="463"/>
    </row>
    <row r="288" spans="2:82">
      <c r="B288" s="136">
        <v>279</v>
      </c>
      <c r="C288" s="138">
        <v>1</v>
      </c>
      <c r="D288" s="474">
        <v>2563.4702670094866</v>
      </c>
      <c r="E288" s="127">
        <v>173.81259507343682</v>
      </c>
      <c r="F288" s="447">
        <v>0.40374521192968765</v>
      </c>
      <c r="G288" s="127">
        <v>84.76626758428317</v>
      </c>
      <c r="H288" s="132">
        <v>49.334329804798088</v>
      </c>
      <c r="I288" s="456"/>
      <c r="J288" s="45"/>
      <c r="K288" s="45">
        <v>360</v>
      </c>
      <c r="L288" s="463"/>
      <c r="M288" s="456">
        <v>30.752111434936523</v>
      </c>
      <c r="N288" s="457"/>
      <c r="O288" s="456"/>
      <c r="P288" s="46"/>
      <c r="Q288" s="463">
        <v>50.756717681884766</v>
      </c>
      <c r="R288" s="449"/>
      <c r="S288" s="463"/>
      <c r="T288" s="480"/>
      <c r="U288" s="468"/>
      <c r="V288" s="449"/>
      <c r="W288" s="45">
        <v>1106.740966796875</v>
      </c>
      <c r="X288" s="463">
        <v>97.065948486328125</v>
      </c>
      <c r="Y288" s="449"/>
      <c r="Z288" s="45"/>
      <c r="AA288" s="468">
        <v>0.39084281759952888</v>
      </c>
      <c r="AB288" s="456"/>
      <c r="AC288" s="46"/>
      <c r="AD288" s="46"/>
      <c r="AE288" s="46"/>
      <c r="AF288" s="46"/>
      <c r="AG288" s="46"/>
      <c r="AH288" s="46"/>
      <c r="AI288" s="457"/>
      <c r="AJ288" s="138"/>
      <c r="AK288" s="745"/>
      <c r="AL288" s="54"/>
      <c r="AM288" s="468"/>
      <c r="AN288" s="449"/>
      <c r="AO288" s="45"/>
      <c r="AP288" s="45"/>
      <c r="AQ288" s="45"/>
      <c r="AR288" s="45"/>
      <c r="AS288" s="45"/>
      <c r="AT288" s="45"/>
      <c r="AU288" s="463"/>
      <c r="AV288" s="449"/>
      <c r="AW288" s="45"/>
      <c r="AX288" s="45"/>
      <c r="AY288" s="45"/>
      <c r="AZ288" s="45"/>
      <c r="BA288" s="45"/>
      <c r="BB288" s="45"/>
      <c r="BC288" s="463"/>
      <c r="BD288" s="456"/>
      <c r="BE288" s="46"/>
      <c r="BF288" s="46"/>
      <c r="BG288" s="46"/>
      <c r="BH288" s="46"/>
      <c r="BI288" s="46"/>
      <c r="BJ288" s="457"/>
      <c r="BK288" s="449">
        <v>0</v>
      </c>
      <c r="BL288" s="45"/>
      <c r="BM288" s="45"/>
      <c r="BN288" s="45"/>
      <c r="BO288" s="45"/>
      <c r="BP288" s="45"/>
      <c r="BQ288" s="45"/>
      <c r="BR288" s="45"/>
      <c r="BS288" s="45"/>
      <c r="BT288" s="45"/>
      <c r="BU288" s="45"/>
      <c r="BV288" s="45"/>
      <c r="BW288" s="45"/>
      <c r="BX288" s="45"/>
      <c r="BY288" s="45"/>
      <c r="BZ288" s="45"/>
      <c r="CA288" s="45"/>
      <c r="CB288" s="45"/>
      <c r="CC288" s="45"/>
      <c r="CD288" s="463"/>
    </row>
    <row r="289" spans="2:82">
      <c r="B289" s="136">
        <v>280</v>
      </c>
      <c r="C289" s="138">
        <v>1</v>
      </c>
      <c r="D289" s="474">
        <v>3671.7480724254838</v>
      </c>
      <c r="E289" s="127">
        <v>162.63314362728639</v>
      </c>
      <c r="F289" s="447">
        <v>0.40149980609376779</v>
      </c>
      <c r="G289" s="127">
        <v>123.20027899450466</v>
      </c>
      <c r="H289" s="132">
        <v>65.513878589238772</v>
      </c>
      <c r="I289" s="456"/>
      <c r="J289" s="45"/>
      <c r="K289" s="45">
        <v>540</v>
      </c>
      <c r="L289" s="463"/>
      <c r="M289" s="456">
        <v>31.102878570556641</v>
      </c>
      <c r="N289" s="457"/>
      <c r="O289" s="456"/>
      <c r="P289" s="46"/>
      <c r="Q289" s="463">
        <v>81.046127319335937</v>
      </c>
      <c r="R289" s="449"/>
      <c r="S289" s="463"/>
      <c r="T289" s="480"/>
      <c r="U289" s="468"/>
      <c r="V289" s="449"/>
      <c r="W289" s="45">
        <v>1554.28515625</v>
      </c>
      <c r="X289" s="463">
        <v>130.374755859375</v>
      </c>
      <c r="Y289" s="449"/>
      <c r="Z289" s="45"/>
      <c r="AA289" s="468">
        <v>0.39250409193518271</v>
      </c>
      <c r="AB289" s="456"/>
      <c r="AC289" s="46"/>
      <c r="AD289" s="46"/>
      <c r="AE289" s="46"/>
      <c r="AF289" s="46"/>
      <c r="AG289" s="46"/>
      <c r="AH289" s="46"/>
      <c r="AI289" s="457"/>
      <c r="AJ289" s="138"/>
      <c r="AK289" s="745"/>
      <c r="AL289" s="54"/>
      <c r="AM289" s="468"/>
      <c r="AN289" s="449"/>
      <c r="AO289" s="45"/>
      <c r="AP289" s="45"/>
      <c r="AQ289" s="45"/>
      <c r="AR289" s="45"/>
      <c r="AS289" s="45"/>
      <c r="AT289" s="45"/>
      <c r="AU289" s="463"/>
      <c r="AV289" s="449"/>
      <c r="AW289" s="45"/>
      <c r="AX289" s="45"/>
      <c r="AY289" s="45"/>
      <c r="AZ289" s="45"/>
      <c r="BA289" s="45"/>
      <c r="BB289" s="45"/>
      <c r="BC289" s="463"/>
      <c r="BD289" s="456"/>
      <c r="BE289" s="46"/>
      <c r="BF289" s="46"/>
      <c r="BG289" s="46"/>
      <c r="BH289" s="46"/>
      <c r="BI289" s="46"/>
      <c r="BJ289" s="457"/>
      <c r="BK289" s="449">
        <v>0</v>
      </c>
      <c r="BL289" s="45"/>
      <c r="BM289" s="45"/>
      <c r="BN289" s="45"/>
      <c r="BO289" s="45"/>
      <c r="BP289" s="45"/>
      <c r="BQ289" s="45"/>
      <c r="BR289" s="45"/>
      <c r="BS289" s="45"/>
      <c r="BT289" s="45"/>
      <c r="BU289" s="45"/>
      <c r="BV289" s="45"/>
      <c r="BW289" s="45"/>
      <c r="BX289" s="45"/>
      <c r="BY289" s="45"/>
      <c r="BZ289" s="45"/>
      <c r="CA289" s="45"/>
      <c r="CB289" s="45"/>
      <c r="CC289" s="45"/>
      <c r="CD289" s="463"/>
    </row>
    <row r="290" spans="2:82">
      <c r="B290" s="136">
        <v>281</v>
      </c>
      <c r="C290" s="138">
        <v>1</v>
      </c>
      <c r="D290" s="474">
        <v>3092.0944072389439</v>
      </c>
      <c r="E290" s="127">
        <v>267.90499979502994</v>
      </c>
      <c r="F290" s="447">
        <v>0.45568312152579027</v>
      </c>
      <c r="G290" s="127">
        <v>111.66594329483094</v>
      </c>
      <c r="H290" s="132">
        <v>52.253762816491239</v>
      </c>
      <c r="I290" s="456"/>
      <c r="J290" s="45"/>
      <c r="K290" s="45">
        <v>460</v>
      </c>
      <c r="L290" s="463"/>
      <c r="M290" s="456">
        <v>39.971893310546875</v>
      </c>
      <c r="N290" s="457"/>
      <c r="O290" s="456"/>
      <c r="P290" s="46"/>
      <c r="Q290" s="463">
        <v>61.223472595214844</v>
      </c>
      <c r="R290" s="449"/>
      <c r="S290" s="463"/>
      <c r="T290" s="480"/>
      <c r="U290" s="468"/>
      <c r="V290" s="449"/>
      <c r="W290" s="45">
        <v>1646.6885986328125</v>
      </c>
      <c r="X290" s="463">
        <v>136.75117492675781</v>
      </c>
      <c r="Y290" s="449"/>
      <c r="Z290" s="45"/>
      <c r="AA290" s="468">
        <v>0.44465057919763495</v>
      </c>
      <c r="AB290" s="456"/>
      <c r="AC290" s="46"/>
      <c r="AD290" s="46"/>
      <c r="AE290" s="46"/>
      <c r="AF290" s="46"/>
      <c r="AG290" s="46"/>
      <c r="AH290" s="46"/>
      <c r="AI290" s="457"/>
      <c r="AJ290" s="138"/>
      <c r="AK290" s="745"/>
      <c r="AL290" s="54"/>
      <c r="AM290" s="468"/>
      <c r="AN290" s="449"/>
      <c r="AO290" s="45"/>
      <c r="AP290" s="45"/>
      <c r="AQ290" s="45"/>
      <c r="AR290" s="45"/>
      <c r="AS290" s="45"/>
      <c r="AT290" s="45"/>
      <c r="AU290" s="463"/>
      <c r="AV290" s="449"/>
      <c r="AW290" s="45"/>
      <c r="AX290" s="45"/>
      <c r="AY290" s="45"/>
      <c r="AZ290" s="45"/>
      <c r="BA290" s="45"/>
      <c r="BB290" s="45"/>
      <c r="BC290" s="463"/>
      <c r="BD290" s="456"/>
      <c r="BE290" s="46"/>
      <c r="BF290" s="46"/>
      <c r="BG290" s="46"/>
      <c r="BH290" s="46"/>
      <c r="BI290" s="46"/>
      <c r="BJ290" s="457"/>
      <c r="BK290" s="449">
        <v>0</v>
      </c>
      <c r="BL290" s="45"/>
      <c r="BM290" s="45"/>
      <c r="BN290" s="45"/>
      <c r="BO290" s="45"/>
      <c r="BP290" s="45"/>
      <c r="BQ290" s="45"/>
      <c r="BR290" s="45"/>
      <c r="BS290" s="45"/>
      <c r="BT290" s="45"/>
      <c r="BU290" s="45"/>
      <c r="BV290" s="45"/>
      <c r="BW290" s="45"/>
      <c r="BX290" s="45"/>
      <c r="BY290" s="45"/>
      <c r="BZ290" s="45"/>
      <c r="CA290" s="45"/>
      <c r="CB290" s="45"/>
      <c r="CC290" s="45"/>
      <c r="CD290" s="463"/>
    </row>
    <row r="291" spans="2:82">
      <c r="B291" s="136">
        <v>282</v>
      </c>
      <c r="C291" s="138">
        <v>1</v>
      </c>
      <c r="D291" s="474">
        <v>3493.5774217875714</v>
      </c>
      <c r="E291" s="127">
        <v>222.07026075878872</v>
      </c>
      <c r="F291" s="447">
        <v>0.51273686373739225</v>
      </c>
      <c r="G291" s="127">
        <v>125.32896836870927</v>
      </c>
      <c r="H291" s="132">
        <v>56.070121295229924</v>
      </c>
      <c r="I291" s="456"/>
      <c r="J291" s="45"/>
      <c r="K291" s="45">
        <v>520</v>
      </c>
      <c r="L291" s="463"/>
      <c r="M291" s="456">
        <v>56.452079772949219</v>
      </c>
      <c r="N291" s="457"/>
      <c r="O291" s="456"/>
      <c r="P291" s="46"/>
      <c r="Q291" s="463">
        <v>69.172836303710938</v>
      </c>
      <c r="R291" s="449"/>
      <c r="S291" s="463"/>
      <c r="T291" s="480"/>
      <c r="U291" s="468"/>
      <c r="V291" s="449"/>
      <c r="W291" s="45">
        <v>2450.330322265625</v>
      </c>
      <c r="X291" s="463">
        <v>195.47990417480469</v>
      </c>
      <c r="Y291" s="449"/>
      <c r="Z291" s="45"/>
      <c r="AA291" s="468">
        <v>0.5026455638981836</v>
      </c>
      <c r="AB291" s="456"/>
      <c r="AC291" s="46"/>
      <c r="AD291" s="46"/>
      <c r="AE291" s="46"/>
      <c r="AF291" s="46"/>
      <c r="AG291" s="46"/>
      <c r="AH291" s="46"/>
      <c r="AI291" s="457"/>
      <c r="AJ291" s="138"/>
      <c r="AK291" s="745"/>
      <c r="AL291" s="54"/>
      <c r="AM291" s="468"/>
      <c r="AN291" s="449"/>
      <c r="AO291" s="45"/>
      <c r="AP291" s="45"/>
      <c r="AQ291" s="45"/>
      <c r="AR291" s="45"/>
      <c r="AS291" s="45"/>
      <c r="AT291" s="45"/>
      <c r="AU291" s="463"/>
      <c r="AV291" s="449"/>
      <c r="AW291" s="45"/>
      <c r="AX291" s="45"/>
      <c r="AY291" s="45"/>
      <c r="AZ291" s="45"/>
      <c r="BA291" s="45"/>
      <c r="BB291" s="45"/>
      <c r="BC291" s="463"/>
      <c r="BD291" s="456"/>
      <c r="BE291" s="46"/>
      <c r="BF291" s="46"/>
      <c r="BG291" s="46"/>
      <c r="BH291" s="46"/>
      <c r="BI291" s="46"/>
      <c r="BJ291" s="457"/>
      <c r="BK291" s="449">
        <v>0</v>
      </c>
      <c r="BL291" s="45"/>
      <c r="BM291" s="45"/>
      <c r="BN291" s="45"/>
      <c r="BO291" s="45"/>
      <c r="BP291" s="45"/>
      <c r="BQ291" s="45"/>
      <c r="BR291" s="45"/>
      <c r="BS291" s="45"/>
      <c r="BT291" s="45"/>
      <c r="BU291" s="45"/>
      <c r="BV291" s="45"/>
      <c r="BW291" s="45"/>
      <c r="BX291" s="45"/>
      <c r="BY291" s="45"/>
      <c r="BZ291" s="45"/>
      <c r="CA291" s="45"/>
      <c r="CB291" s="45"/>
      <c r="CC291" s="45"/>
      <c r="CD291" s="463"/>
    </row>
    <row r="292" spans="2:82">
      <c r="B292" s="136">
        <v>283</v>
      </c>
      <c r="C292" s="138">
        <v>1</v>
      </c>
      <c r="D292" s="474">
        <v>3258.4705124840912</v>
      </c>
      <c r="E292" s="127">
        <v>161.43344097057945</v>
      </c>
      <c r="F292" s="447">
        <v>0.35294794155040693</v>
      </c>
      <c r="G292" s="127">
        <v>115.44327566787945</v>
      </c>
      <c r="H292" s="132">
        <v>54.421194798180608</v>
      </c>
      <c r="I292" s="456"/>
      <c r="J292" s="45"/>
      <c r="K292" s="45">
        <v>460</v>
      </c>
      <c r="L292" s="463"/>
      <c r="M292" s="456">
        <v>27.300251007080078</v>
      </c>
      <c r="N292" s="457"/>
      <c r="O292" s="456"/>
      <c r="P292" s="46"/>
      <c r="Q292" s="463">
        <v>64.517723083496094</v>
      </c>
      <c r="R292" s="449"/>
      <c r="S292" s="463"/>
      <c r="T292" s="480"/>
      <c r="U292" s="468"/>
      <c r="V292" s="449"/>
      <c r="W292" s="45">
        <v>1195.737548828125</v>
      </c>
      <c r="X292" s="463">
        <v>103.98964691162109</v>
      </c>
      <c r="Y292" s="449"/>
      <c r="Z292" s="45"/>
      <c r="AA292" s="468">
        <v>0.34310928911878869</v>
      </c>
      <c r="AB292" s="456"/>
      <c r="AC292" s="46"/>
      <c r="AD292" s="46"/>
      <c r="AE292" s="46"/>
      <c r="AF292" s="46"/>
      <c r="AG292" s="46"/>
      <c r="AH292" s="46"/>
      <c r="AI292" s="457"/>
      <c r="AJ292" s="138"/>
      <c r="AK292" s="745"/>
      <c r="AL292" s="54"/>
      <c r="AM292" s="468"/>
      <c r="AN292" s="449"/>
      <c r="AO292" s="45"/>
      <c r="AP292" s="45"/>
      <c r="AQ292" s="45"/>
      <c r="AR292" s="45"/>
      <c r="AS292" s="45"/>
      <c r="AT292" s="45"/>
      <c r="AU292" s="463"/>
      <c r="AV292" s="449"/>
      <c r="AW292" s="45"/>
      <c r="AX292" s="45"/>
      <c r="AY292" s="45"/>
      <c r="AZ292" s="45"/>
      <c r="BA292" s="45"/>
      <c r="BB292" s="45"/>
      <c r="BC292" s="463"/>
      <c r="BD292" s="456"/>
      <c r="BE292" s="46"/>
      <c r="BF292" s="46"/>
      <c r="BG292" s="46"/>
      <c r="BH292" s="46"/>
      <c r="BI292" s="46"/>
      <c r="BJ292" s="457"/>
      <c r="BK292" s="449">
        <v>0</v>
      </c>
      <c r="BL292" s="45"/>
      <c r="BM292" s="45"/>
      <c r="BN292" s="45"/>
      <c r="BO292" s="45"/>
      <c r="BP292" s="45"/>
      <c r="BQ292" s="45"/>
      <c r="BR292" s="45"/>
      <c r="BS292" s="45"/>
      <c r="BT292" s="45"/>
      <c r="BU292" s="45"/>
      <c r="BV292" s="45"/>
      <c r="BW292" s="45"/>
      <c r="BX292" s="45"/>
      <c r="BY292" s="45"/>
      <c r="BZ292" s="45"/>
      <c r="CA292" s="45"/>
      <c r="CB292" s="45"/>
      <c r="CC292" s="45"/>
      <c r="CD292" s="463"/>
    </row>
    <row r="293" spans="2:82">
      <c r="B293" s="136">
        <v>284</v>
      </c>
      <c r="C293" s="138">
        <v>1</v>
      </c>
      <c r="D293" s="474">
        <v>2634.0362507336358</v>
      </c>
      <c r="E293" s="127">
        <v>255.48664922312508</v>
      </c>
      <c r="F293" s="447">
        <v>0.39444956818629379</v>
      </c>
      <c r="G293" s="127">
        <v>99.438716422396297</v>
      </c>
      <c r="H293" s="132">
        <v>45.817085989603882</v>
      </c>
      <c r="I293" s="456"/>
      <c r="J293" s="45"/>
      <c r="K293" s="45">
        <v>400</v>
      </c>
      <c r="L293" s="463"/>
      <c r="M293" s="456">
        <v>31.896221160888672</v>
      </c>
      <c r="N293" s="457"/>
      <c r="O293" s="456"/>
      <c r="P293" s="46"/>
      <c r="Q293" s="463">
        <v>52.153915405273438</v>
      </c>
      <c r="R293" s="449"/>
      <c r="S293" s="463"/>
      <c r="T293" s="480"/>
      <c r="U293" s="468"/>
      <c r="V293" s="449"/>
      <c r="W293" s="45">
        <v>1175.8519287109375</v>
      </c>
      <c r="X293" s="463">
        <v>102.25214385986328</v>
      </c>
      <c r="Y293" s="449"/>
      <c r="Z293" s="45"/>
      <c r="AA293" s="468">
        <v>0.38196341073323464</v>
      </c>
      <c r="AB293" s="456"/>
      <c r="AC293" s="46"/>
      <c r="AD293" s="46"/>
      <c r="AE293" s="46"/>
      <c r="AF293" s="46"/>
      <c r="AG293" s="46"/>
      <c r="AH293" s="46"/>
      <c r="AI293" s="457"/>
      <c r="AJ293" s="138"/>
      <c r="AK293" s="745"/>
      <c r="AL293" s="54"/>
      <c r="AM293" s="468"/>
      <c r="AN293" s="449"/>
      <c r="AO293" s="45"/>
      <c r="AP293" s="45"/>
      <c r="AQ293" s="45"/>
      <c r="AR293" s="45"/>
      <c r="AS293" s="45"/>
      <c r="AT293" s="45"/>
      <c r="AU293" s="463"/>
      <c r="AV293" s="449"/>
      <c r="AW293" s="45"/>
      <c r="AX293" s="45"/>
      <c r="AY293" s="45"/>
      <c r="AZ293" s="45"/>
      <c r="BA293" s="45"/>
      <c r="BB293" s="45"/>
      <c r="BC293" s="463"/>
      <c r="BD293" s="456"/>
      <c r="BE293" s="46"/>
      <c r="BF293" s="46"/>
      <c r="BG293" s="46"/>
      <c r="BH293" s="46"/>
      <c r="BI293" s="46"/>
      <c r="BJ293" s="457"/>
      <c r="BK293" s="449">
        <v>0</v>
      </c>
      <c r="BL293" s="45"/>
      <c r="BM293" s="45"/>
      <c r="BN293" s="45"/>
      <c r="BO293" s="45"/>
      <c r="BP293" s="45"/>
      <c r="BQ293" s="45"/>
      <c r="BR293" s="45"/>
      <c r="BS293" s="45"/>
      <c r="BT293" s="45"/>
      <c r="BU293" s="45"/>
      <c r="BV293" s="45"/>
      <c r="BW293" s="45"/>
      <c r="BX293" s="45"/>
      <c r="BY293" s="45"/>
      <c r="BZ293" s="45"/>
      <c r="CA293" s="45"/>
      <c r="CB293" s="45"/>
      <c r="CC293" s="45"/>
      <c r="CD293" s="463"/>
    </row>
    <row r="294" spans="2:82">
      <c r="B294" s="136">
        <v>285</v>
      </c>
      <c r="C294" s="138">
        <v>1</v>
      </c>
      <c r="D294" s="474">
        <v>3823.2949561311084</v>
      </c>
      <c r="E294" s="127">
        <v>248.20280613277637</v>
      </c>
      <c r="F294" s="447">
        <v>0.35533343100192311</v>
      </c>
      <c r="G294" s="127">
        <v>123.91426794508334</v>
      </c>
      <c r="H294" s="132">
        <v>67.337175998577919</v>
      </c>
      <c r="I294" s="456"/>
      <c r="J294" s="45"/>
      <c r="K294" s="45">
        <v>550</v>
      </c>
      <c r="L294" s="463"/>
      <c r="M294" s="456">
        <v>26.372180938720703</v>
      </c>
      <c r="N294" s="457"/>
      <c r="O294" s="456"/>
      <c r="P294" s="46"/>
      <c r="Q294" s="463">
        <v>84.125686645507813</v>
      </c>
      <c r="R294" s="449"/>
      <c r="S294" s="463"/>
      <c r="T294" s="480"/>
      <c r="U294" s="468"/>
      <c r="V294" s="449"/>
      <c r="W294" s="45">
        <v>1373.7420654296875</v>
      </c>
      <c r="X294" s="463">
        <v>117.27796936035156</v>
      </c>
      <c r="Y294" s="449"/>
      <c r="Z294" s="45"/>
      <c r="AA294" s="468">
        <v>0.34693578734941033</v>
      </c>
      <c r="AB294" s="456"/>
      <c r="AC294" s="46"/>
      <c r="AD294" s="46"/>
      <c r="AE294" s="46"/>
      <c r="AF294" s="46"/>
      <c r="AG294" s="46"/>
      <c r="AH294" s="46"/>
      <c r="AI294" s="457"/>
      <c r="AJ294" s="138"/>
      <c r="AK294" s="745"/>
      <c r="AL294" s="54"/>
      <c r="AM294" s="468"/>
      <c r="AN294" s="449"/>
      <c r="AO294" s="45"/>
      <c r="AP294" s="45"/>
      <c r="AQ294" s="45"/>
      <c r="AR294" s="45"/>
      <c r="AS294" s="45"/>
      <c r="AT294" s="45"/>
      <c r="AU294" s="463"/>
      <c r="AV294" s="449"/>
      <c r="AW294" s="45"/>
      <c r="AX294" s="45"/>
      <c r="AY294" s="45"/>
      <c r="AZ294" s="45"/>
      <c r="BA294" s="45"/>
      <c r="BB294" s="45"/>
      <c r="BC294" s="463"/>
      <c r="BD294" s="456"/>
      <c r="BE294" s="46"/>
      <c r="BF294" s="46"/>
      <c r="BG294" s="46"/>
      <c r="BH294" s="46"/>
      <c r="BI294" s="46"/>
      <c r="BJ294" s="457"/>
      <c r="BK294" s="449">
        <v>0</v>
      </c>
      <c r="BL294" s="45"/>
      <c r="BM294" s="45"/>
      <c r="BN294" s="45"/>
      <c r="BO294" s="45"/>
      <c r="BP294" s="45"/>
      <c r="BQ294" s="45"/>
      <c r="BR294" s="45"/>
      <c r="BS294" s="45"/>
      <c r="BT294" s="45"/>
      <c r="BU294" s="45"/>
      <c r="BV294" s="45"/>
      <c r="BW294" s="45"/>
      <c r="BX294" s="45"/>
      <c r="BY294" s="45"/>
      <c r="BZ294" s="45"/>
      <c r="CA294" s="45"/>
      <c r="CB294" s="45"/>
      <c r="CC294" s="45"/>
      <c r="CD294" s="463"/>
    </row>
    <row r="295" spans="2:82">
      <c r="B295" s="136">
        <v>286</v>
      </c>
      <c r="C295" s="138">
        <v>1</v>
      </c>
      <c r="D295" s="474">
        <v>3835.7764296986861</v>
      </c>
      <c r="E295" s="127">
        <v>214.55189968370874</v>
      </c>
      <c r="F295" s="447">
        <v>0.4145744895853975</v>
      </c>
      <c r="G295" s="127">
        <v>126.27721784040897</v>
      </c>
      <c r="H295" s="132">
        <v>67.046621402950052</v>
      </c>
      <c r="I295" s="456"/>
      <c r="J295" s="45"/>
      <c r="K295" s="45">
        <v>560</v>
      </c>
      <c r="L295" s="463"/>
      <c r="M295" s="456">
        <v>32.904727935791016</v>
      </c>
      <c r="N295" s="457"/>
      <c r="O295" s="456"/>
      <c r="P295" s="46"/>
      <c r="Q295" s="463">
        <v>84.340316772460938</v>
      </c>
      <c r="R295" s="449"/>
      <c r="S295" s="463"/>
      <c r="T295" s="480"/>
      <c r="U295" s="468"/>
      <c r="V295" s="449"/>
      <c r="W295" s="45">
        <v>1674.6793212890625</v>
      </c>
      <c r="X295" s="463">
        <v>139.21383666992187</v>
      </c>
      <c r="Y295" s="449"/>
      <c r="Z295" s="45"/>
      <c r="AA295" s="468">
        <v>0.40589528463123303</v>
      </c>
      <c r="AB295" s="456"/>
      <c r="AC295" s="46"/>
      <c r="AD295" s="46"/>
      <c r="AE295" s="46"/>
      <c r="AF295" s="46"/>
      <c r="AG295" s="46"/>
      <c r="AH295" s="46"/>
      <c r="AI295" s="457"/>
      <c r="AJ295" s="138"/>
      <c r="AK295" s="745"/>
      <c r="AL295" s="54"/>
      <c r="AM295" s="468"/>
      <c r="AN295" s="449"/>
      <c r="AO295" s="45"/>
      <c r="AP295" s="45"/>
      <c r="AQ295" s="45"/>
      <c r="AR295" s="45"/>
      <c r="AS295" s="45"/>
      <c r="AT295" s="45"/>
      <c r="AU295" s="463"/>
      <c r="AV295" s="449"/>
      <c r="AW295" s="45"/>
      <c r="AX295" s="45"/>
      <c r="AY295" s="45"/>
      <c r="AZ295" s="45"/>
      <c r="BA295" s="45"/>
      <c r="BB295" s="45"/>
      <c r="BC295" s="463"/>
      <c r="BD295" s="456"/>
      <c r="BE295" s="46"/>
      <c r="BF295" s="46"/>
      <c r="BG295" s="46"/>
      <c r="BH295" s="46"/>
      <c r="BI295" s="46"/>
      <c r="BJ295" s="457"/>
      <c r="BK295" s="449">
        <v>0</v>
      </c>
      <c r="BL295" s="45"/>
      <c r="BM295" s="45"/>
      <c r="BN295" s="45"/>
      <c r="BO295" s="45"/>
      <c r="BP295" s="45"/>
      <c r="BQ295" s="45"/>
      <c r="BR295" s="45"/>
      <c r="BS295" s="45"/>
      <c r="BT295" s="45"/>
      <c r="BU295" s="45"/>
      <c r="BV295" s="45"/>
      <c r="BW295" s="45"/>
      <c r="BX295" s="45"/>
      <c r="BY295" s="45"/>
      <c r="BZ295" s="45"/>
      <c r="CA295" s="45"/>
      <c r="CB295" s="45"/>
      <c r="CC295" s="45"/>
      <c r="CD295" s="463"/>
    </row>
    <row r="296" spans="2:82">
      <c r="B296" s="136">
        <v>287</v>
      </c>
      <c r="C296" s="138">
        <v>1</v>
      </c>
      <c r="D296" s="474">
        <v>3844.436413680919</v>
      </c>
      <c r="E296" s="127">
        <v>257.44243754352379</v>
      </c>
      <c r="F296" s="447">
        <v>0.48278637263727187</v>
      </c>
      <c r="G296" s="127">
        <v>135.52042308251768</v>
      </c>
      <c r="H296" s="132">
        <v>59.428518502086092</v>
      </c>
      <c r="I296" s="456"/>
      <c r="J296" s="45"/>
      <c r="K296" s="45">
        <v>560</v>
      </c>
      <c r="L296" s="463"/>
      <c r="M296" s="456">
        <v>48.090366363525391</v>
      </c>
      <c r="N296" s="457"/>
      <c r="O296" s="456"/>
      <c r="P296" s="46"/>
      <c r="Q296" s="463">
        <v>76.119842529296875</v>
      </c>
      <c r="R296" s="449"/>
      <c r="S296" s="463"/>
      <c r="T296" s="480"/>
      <c r="U296" s="468"/>
      <c r="V296" s="449"/>
      <c r="W296" s="45">
        <v>2240.211181640625</v>
      </c>
      <c r="X296" s="463">
        <v>180.3623046875</v>
      </c>
      <c r="Y296" s="449"/>
      <c r="Z296" s="45"/>
      <c r="AA296" s="468">
        <v>0.47377185822641604</v>
      </c>
      <c r="AB296" s="456"/>
      <c r="AC296" s="46"/>
      <c r="AD296" s="46"/>
      <c r="AE296" s="46"/>
      <c r="AF296" s="46"/>
      <c r="AG296" s="46"/>
      <c r="AH296" s="46"/>
      <c r="AI296" s="457"/>
      <c r="AJ296" s="138"/>
      <c r="AK296" s="745"/>
      <c r="AL296" s="54"/>
      <c r="AM296" s="468"/>
      <c r="AN296" s="449"/>
      <c r="AO296" s="45"/>
      <c r="AP296" s="45"/>
      <c r="AQ296" s="45"/>
      <c r="AR296" s="45"/>
      <c r="AS296" s="45"/>
      <c r="AT296" s="45"/>
      <c r="AU296" s="463"/>
      <c r="AV296" s="449"/>
      <c r="AW296" s="45"/>
      <c r="AX296" s="45"/>
      <c r="AY296" s="45"/>
      <c r="AZ296" s="45"/>
      <c r="BA296" s="45"/>
      <c r="BB296" s="45"/>
      <c r="BC296" s="463"/>
      <c r="BD296" s="456"/>
      <c r="BE296" s="46"/>
      <c r="BF296" s="46"/>
      <c r="BG296" s="46"/>
      <c r="BH296" s="46"/>
      <c r="BI296" s="46"/>
      <c r="BJ296" s="457"/>
      <c r="BK296" s="449">
        <v>0</v>
      </c>
      <c r="BL296" s="45"/>
      <c r="BM296" s="45"/>
      <c r="BN296" s="45"/>
      <c r="BO296" s="45"/>
      <c r="BP296" s="45"/>
      <c r="BQ296" s="45"/>
      <c r="BR296" s="45"/>
      <c r="BS296" s="45"/>
      <c r="BT296" s="45"/>
      <c r="BU296" s="45"/>
      <c r="BV296" s="45"/>
      <c r="BW296" s="45"/>
      <c r="BX296" s="45"/>
      <c r="BY296" s="45"/>
      <c r="BZ296" s="45"/>
      <c r="CA296" s="45"/>
      <c r="CB296" s="45"/>
      <c r="CC296" s="45"/>
      <c r="CD296" s="463"/>
    </row>
    <row r="297" spans="2:82">
      <c r="B297" s="136">
        <v>288</v>
      </c>
      <c r="C297" s="138">
        <v>1</v>
      </c>
      <c r="D297" s="474">
        <v>2948.0841915054789</v>
      </c>
      <c r="E297" s="127">
        <v>239.39478763708166</v>
      </c>
      <c r="F297" s="447">
        <v>0.4243196269996839</v>
      </c>
      <c r="G297" s="127">
        <v>100.89276604577509</v>
      </c>
      <c r="H297" s="132">
        <v>59.862146635503322</v>
      </c>
      <c r="I297" s="456"/>
      <c r="J297" s="45"/>
      <c r="K297" s="45">
        <v>450</v>
      </c>
      <c r="L297" s="463"/>
      <c r="M297" s="456">
        <v>32.374656677246094</v>
      </c>
      <c r="N297" s="457"/>
      <c r="O297" s="456"/>
      <c r="P297" s="46"/>
      <c r="Q297" s="463">
        <v>66.660591125488281</v>
      </c>
      <c r="R297" s="449"/>
      <c r="S297" s="463"/>
      <c r="T297" s="480"/>
      <c r="U297" s="468"/>
      <c r="V297" s="449"/>
      <c r="W297" s="45">
        <v>1420.50146484375</v>
      </c>
      <c r="X297" s="463">
        <v>120.25369262695312</v>
      </c>
      <c r="Y297" s="449"/>
      <c r="Z297" s="45"/>
      <c r="AA297" s="468">
        <v>0.41296093085508928</v>
      </c>
      <c r="AB297" s="456"/>
      <c r="AC297" s="46"/>
      <c r="AD297" s="46"/>
      <c r="AE297" s="46"/>
      <c r="AF297" s="46"/>
      <c r="AG297" s="46"/>
      <c r="AH297" s="46"/>
      <c r="AI297" s="457"/>
      <c r="AJ297" s="138"/>
      <c r="AK297" s="745"/>
      <c r="AL297" s="54"/>
      <c r="AM297" s="468"/>
      <c r="AN297" s="449"/>
      <c r="AO297" s="45"/>
      <c r="AP297" s="45"/>
      <c r="AQ297" s="45"/>
      <c r="AR297" s="45"/>
      <c r="AS297" s="45"/>
      <c r="AT297" s="45"/>
      <c r="AU297" s="463"/>
      <c r="AV297" s="449"/>
      <c r="AW297" s="45"/>
      <c r="AX297" s="45"/>
      <c r="AY297" s="45"/>
      <c r="AZ297" s="45"/>
      <c r="BA297" s="45"/>
      <c r="BB297" s="45"/>
      <c r="BC297" s="463"/>
      <c r="BD297" s="456"/>
      <c r="BE297" s="46"/>
      <c r="BF297" s="46"/>
      <c r="BG297" s="46"/>
      <c r="BH297" s="46"/>
      <c r="BI297" s="46"/>
      <c r="BJ297" s="457"/>
      <c r="BK297" s="449">
        <v>0</v>
      </c>
      <c r="BL297" s="45"/>
      <c r="BM297" s="45"/>
      <c r="BN297" s="45"/>
      <c r="BO297" s="45"/>
      <c r="BP297" s="45"/>
      <c r="BQ297" s="45"/>
      <c r="BR297" s="45"/>
      <c r="BS297" s="45"/>
      <c r="BT297" s="45"/>
      <c r="BU297" s="45"/>
      <c r="BV297" s="45"/>
      <c r="BW297" s="45"/>
      <c r="BX297" s="45"/>
      <c r="BY297" s="45"/>
      <c r="BZ297" s="45"/>
      <c r="CA297" s="45"/>
      <c r="CB297" s="45"/>
      <c r="CC297" s="45"/>
      <c r="CD297" s="463"/>
    </row>
    <row r="298" spans="2:82">
      <c r="B298" s="136">
        <v>289</v>
      </c>
      <c r="C298" s="138">
        <v>1</v>
      </c>
      <c r="D298" s="474">
        <v>3325.9296981194843</v>
      </c>
      <c r="E298" s="127">
        <v>267.03222757042317</v>
      </c>
      <c r="F298" s="447">
        <v>0.40106714949925992</v>
      </c>
      <c r="G298" s="127">
        <v>120.18406627715135</v>
      </c>
      <c r="H298" s="132">
        <v>54.388294558079579</v>
      </c>
      <c r="I298" s="456"/>
      <c r="J298" s="45"/>
      <c r="K298" s="45">
        <v>490</v>
      </c>
      <c r="L298" s="463"/>
      <c r="M298" s="456">
        <v>32.365116119384766</v>
      </c>
      <c r="N298" s="457"/>
      <c r="O298" s="456"/>
      <c r="P298" s="46"/>
      <c r="Q298" s="463">
        <v>65.853408813476562</v>
      </c>
      <c r="R298" s="449"/>
      <c r="S298" s="463"/>
      <c r="T298" s="480"/>
      <c r="U298" s="468"/>
      <c r="V298" s="449"/>
      <c r="W298" s="45">
        <v>1427.4334716796875</v>
      </c>
      <c r="X298" s="463">
        <v>120.92668151855469</v>
      </c>
      <c r="Y298" s="449"/>
      <c r="Z298" s="45"/>
      <c r="AA298" s="468">
        <v>0.39113869460478162</v>
      </c>
      <c r="AB298" s="456"/>
      <c r="AC298" s="46"/>
      <c r="AD298" s="46"/>
      <c r="AE298" s="46"/>
      <c r="AF298" s="46"/>
      <c r="AG298" s="46"/>
      <c r="AH298" s="46"/>
      <c r="AI298" s="457"/>
      <c r="AJ298" s="138"/>
      <c r="AK298" s="745"/>
      <c r="AL298" s="54"/>
      <c r="AM298" s="468"/>
      <c r="AN298" s="449"/>
      <c r="AO298" s="45"/>
      <c r="AP298" s="45"/>
      <c r="AQ298" s="45"/>
      <c r="AR298" s="45"/>
      <c r="AS298" s="45"/>
      <c r="AT298" s="45"/>
      <c r="AU298" s="463"/>
      <c r="AV298" s="449"/>
      <c r="AW298" s="45"/>
      <c r="AX298" s="45"/>
      <c r="AY298" s="45"/>
      <c r="AZ298" s="45"/>
      <c r="BA298" s="45"/>
      <c r="BB298" s="45"/>
      <c r="BC298" s="463"/>
      <c r="BD298" s="456"/>
      <c r="BE298" s="46"/>
      <c r="BF298" s="46"/>
      <c r="BG298" s="46"/>
      <c r="BH298" s="46"/>
      <c r="BI298" s="46"/>
      <c r="BJ298" s="457"/>
      <c r="BK298" s="449">
        <v>0</v>
      </c>
      <c r="BL298" s="45"/>
      <c r="BM298" s="45"/>
      <c r="BN298" s="45"/>
      <c r="BO298" s="45"/>
      <c r="BP298" s="45"/>
      <c r="BQ298" s="45"/>
      <c r="BR298" s="45"/>
      <c r="BS298" s="45"/>
      <c r="BT298" s="45"/>
      <c r="BU298" s="45"/>
      <c r="BV298" s="45"/>
      <c r="BW298" s="45"/>
      <c r="BX298" s="45"/>
      <c r="BY298" s="45"/>
      <c r="BZ298" s="45"/>
      <c r="CA298" s="45"/>
      <c r="CB298" s="45"/>
      <c r="CC298" s="45"/>
      <c r="CD298" s="463"/>
    </row>
    <row r="299" spans="2:82">
      <c r="B299" s="136">
        <v>290</v>
      </c>
      <c r="C299" s="138">
        <v>1</v>
      </c>
      <c r="D299" s="474">
        <v>3941.5414521296198</v>
      </c>
      <c r="E299" s="127">
        <v>258.83733612356332</v>
      </c>
      <c r="F299" s="447">
        <v>0.39521398937952862</v>
      </c>
      <c r="G299" s="127">
        <v>158.012533941855</v>
      </c>
      <c r="H299" s="132">
        <v>55.550062660042222</v>
      </c>
      <c r="I299" s="456"/>
      <c r="J299" s="45"/>
      <c r="K299" s="45">
        <v>610</v>
      </c>
      <c r="L299" s="463"/>
      <c r="M299" s="456">
        <v>34.694873809814453</v>
      </c>
      <c r="N299" s="457"/>
      <c r="O299" s="456"/>
      <c r="P299" s="46"/>
      <c r="Q299" s="463">
        <v>78.042526245117187</v>
      </c>
      <c r="R299" s="449"/>
      <c r="S299" s="463"/>
      <c r="T299" s="480"/>
      <c r="U299" s="468"/>
      <c r="V299" s="449"/>
      <c r="W299" s="45">
        <v>1711.3587646484375</v>
      </c>
      <c r="X299" s="463">
        <v>142.08558654785156</v>
      </c>
      <c r="Y299" s="449"/>
      <c r="Z299" s="45"/>
      <c r="AA299" s="468">
        <v>0.38686591536147857</v>
      </c>
      <c r="AB299" s="456"/>
      <c r="AC299" s="46"/>
      <c r="AD299" s="46"/>
      <c r="AE299" s="46"/>
      <c r="AF299" s="46"/>
      <c r="AG299" s="46"/>
      <c r="AH299" s="46"/>
      <c r="AI299" s="457"/>
      <c r="AJ299" s="138"/>
      <c r="AK299" s="745"/>
      <c r="AL299" s="54"/>
      <c r="AM299" s="468"/>
      <c r="AN299" s="449"/>
      <c r="AO299" s="45"/>
      <c r="AP299" s="45"/>
      <c r="AQ299" s="45"/>
      <c r="AR299" s="45"/>
      <c r="AS299" s="45"/>
      <c r="AT299" s="45"/>
      <c r="AU299" s="463"/>
      <c r="AV299" s="449"/>
      <c r="AW299" s="45"/>
      <c r="AX299" s="45"/>
      <c r="AY299" s="45"/>
      <c r="AZ299" s="45"/>
      <c r="BA299" s="45"/>
      <c r="BB299" s="45"/>
      <c r="BC299" s="463"/>
      <c r="BD299" s="456"/>
      <c r="BE299" s="46"/>
      <c r="BF299" s="46"/>
      <c r="BG299" s="46"/>
      <c r="BH299" s="46"/>
      <c r="BI299" s="46"/>
      <c r="BJ299" s="457"/>
      <c r="BK299" s="449">
        <v>0</v>
      </c>
      <c r="BL299" s="45"/>
      <c r="BM299" s="45"/>
      <c r="BN299" s="45"/>
      <c r="BO299" s="45"/>
      <c r="BP299" s="45"/>
      <c r="BQ299" s="45"/>
      <c r="BR299" s="45"/>
      <c r="BS299" s="45"/>
      <c r="BT299" s="45"/>
      <c r="BU299" s="45"/>
      <c r="BV299" s="45"/>
      <c r="BW299" s="45"/>
      <c r="BX299" s="45"/>
      <c r="BY299" s="45"/>
      <c r="BZ299" s="45"/>
      <c r="CA299" s="45"/>
      <c r="CB299" s="45"/>
      <c r="CC299" s="45"/>
      <c r="CD299" s="463"/>
    </row>
    <row r="300" spans="2:82">
      <c r="B300" s="136">
        <v>291</v>
      </c>
      <c r="C300" s="138">
        <v>1</v>
      </c>
      <c r="D300" s="474">
        <v>3516.8584222337363</v>
      </c>
      <c r="E300" s="127">
        <v>220.85121132321743</v>
      </c>
      <c r="F300" s="447">
        <v>0.44627738957222413</v>
      </c>
      <c r="G300" s="127">
        <v>146.53184940760528</v>
      </c>
      <c r="H300" s="132">
        <v>50.483084703643215</v>
      </c>
      <c r="I300" s="456"/>
      <c r="J300" s="45"/>
      <c r="K300" s="45">
        <v>560</v>
      </c>
      <c r="L300" s="463"/>
      <c r="M300" s="456">
        <v>42.756881713867188</v>
      </c>
      <c r="N300" s="457"/>
      <c r="O300" s="456"/>
      <c r="P300" s="46"/>
      <c r="Q300" s="463">
        <v>69.633796691894531</v>
      </c>
      <c r="R300" s="449"/>
      <c r="S300" s="463"/>
      <c r="T300" s="480"/>
      <c r="U300" s="468"/>
      <c r="V300" s="449"/>
      <c r="W300" s="45">
        <v>1920.7431640625</v>
      </c>
      <c r="X300" s="463">
        <v>157.11581420898437</v>
      </c>
      <c r="Y300" s="449"/>
      <c r="Z300" s="45"/>
      <c r="AA300" s="468">
        <v>0.43663084037451816</v>
      </c>
      <c r="AB300" s="456"/>
      <c r="AC300" s="46"/>
      <c r="AD300" s="46"/>
      <c r="AE300" s="46"/>
      <c r="AF300" s="46"/>
      <c r="AG300" s="46"/>
      <c r="AH300" s="46"/>
      <c r="AI300" s="457"/>
      <c r="AJ300" s="138"/>
      <c r="AK300" s="745"/>
      <c r="AL300" s="54"/>
      <c r="AM300" s="468"/>
      <c r="AN300" s="449"/>
      <c r="AO300" s="45"/>
      <c r="AP300" s="45"/>
      <c r="AQ300" s="45"/>
      <c r="AR300" s="45"/>
      <c r="AS300" s="45"/>
      <c r="AT300" s="45"/>
      <c r="AU300" s="463"/>
      <c r="AV300" s="449"/>
      <c r="AW300" s="45"/>
      <c r="AX300" s="45"/>
      <c r="AY300" s="45"/>
      <c r="AZ300" s="45"/>
      <c r="BA300" s="45"/>
      <c r="BB300" s="45"/>
      <c r="BC300" s="463"/>
      <c r="BD300" s="456"/>
      <c r="BE300" s="46"/>
      <c r="BF300" s="46"/>
      <c r="BG300" s="46"/>
      <c r="BH300" s="46"/>
      <c r="BI300" s="46"/>
      <c r="BJ300" s="457"/>
      <c r="BK300" s="449">
        <v>0</v>
      </c>
      <c r="BL300" s="45"/>
      <c r="BM300" s="45"/>
      <c r="BN300" s="45"/>
      <c r="BO300" s="45"/>
      <c r="BP300" s="45"/>
      <c r="BQ300" s="45"/>
      <c r="BR300" s="45"/>
      <c r="BS300" s="45"/>
      <c r="BT300" s="45"/>
      <c r="BU300" s="45"/>
      <c r="BV300" s="45"/>
      <c r="BW300" s="45"/>
      <c r="BX300" s="45"/>
      <c r="BY300" s="45"/>
      <c r="BZ300" s="45"/>
      <c r="CA300" s="45"/>
      <c r="CB300" s="45"/>
      <c r="CC300" s="45"/>
      <c r="CD300" s="463"/>
    </row>
    <row r="301" spans="2:82">
      <c r="B301" s="136">
        <v>292</v>
      </c>
      <c r="C301" s="138">
        <v>1</v>
      </c>
      <c r="D301" s="474">
        <v>2859.079229643191</v>
      </c>
      <c r="E301" s="127">
        <v>275.72202703868294</v>
      </c>
      <c r="F301" s="447">
        <v>0.40610834562572889</v>
      </c>
      <c r="G301" s="127">
        <v>116.71282890926999</v>
      </c>
      <c r="H301" s="132">
        <v>45.088221542332676</v>
      </c>
      <c r="I301" s="456"/>
      <c r="J301" s="45"/>
      <c r="K301" s="45">
        <v>450</v>
      </c>
      <c r="L301" s="463"/>
      <c r="M301" s="456">
        <v>34.267559051513672</v>
      </c>
      <c r="N301" s="457"/>
      <c r="O301" s="456"/>
      <c r="P301" s="46"/>
      <c r="Q301" s="463">
        <v>56.609771728515625</v>
      </c>
      <c r="R301" s="449"/>
      <c r="S301" s="463"/>
      <c r="T301" s="480"/>
      <c r="U301" s="468"/>
      <c r="V301" s="449"/>
      <c r="W301" s="45">
        <v>1357.98583984375</v>
      </c>
      <c r="X301" s="463">
        <v>115.71531677246094</v>
      </c>
      <c r="Y301" s="449"/>
      <c r="Z301" s="45"/>
      <c r="AA301" s="468">
        <v>0.39452343864969935</v>
      </c>
      <c r="AB301" s="456"/>
      <c r="AC301" s="46"/>
      <c r="AD301" s="46"/>
      <c r="AE301" s="46"/>
      <c r="AF301" s="46"/>
      <c r="AG301" s="46"/>
      <c r="AH301" s="46"/>
      <c r="AI301" s="457"/>
      <c r="AJ301" s="138"/>
      <c r="AK301" s="745"/>
      <c r="AL301" s="54"/>
      <c r="AM301" s="468"/>
      <c r="AN301" s="449"/>
      <c r="AO301" s="45"/>
      <c r="AP301" s="45"/>
      <c r="AQ301" s="45"/>
      <c r="AR301" s="45"/>
      <c r="AS301" s="45"/>
      <c r="AT301" s="45"/>
      <c r="AU301" s="463"/>
      <c r="AV301" s="449"/>
      <c r="AW301" s="45"/>
      <c r="AX301" s="45"/>
      <c r="AY301" s="45"/>
      <c r="AZ301" s="45"/>
      <c r="BA301" s="45"/>
      <c r="BB301" s="45"/>
      <c r="BC301" s="463"/>
      <c r="BD301" s="456"/>
      <c r="BE301" s="46"/>
      <c r="BF301" s="46"/>
      <c r="BG301" s="46"/>
      <c r="BH301" s="46"/>
      <c r="BI301" s="46"/>
      <c r="BJ301" s="457"/>
      <c r="BK301" s="449">
        <v>0</v>
      </c>
      <c r="BL301" s="45"/>
      <c r="BM301" s="45"/>
      <c r="BN301" s="45"/>
      <c r="BO301" s="45"/>
      <c r="BP301" s="45"/>
      <c r="BQ301" s="45"/>
      <c r="BR301" s="45"/>
      <c r="BS301" s="45"/>
      <c r="BT301" s="45"/>
      <c r="BU301" s="45"/>
      <c r="BV301" s="45"/>
      <c r="BW301" s="45"/>
      <c r="BX301" s="45"/>
      <c r="BY301" s="45"/>
      <c r="BZ301" s="45"/>
      <c r="CA301" s="45"/>
      <c r="CB301" s="45"/>
      <c r="CC301" s="45"/>
      <c r="CD301" s="463"/>
    </row>
    <row r="302" spans="2:82">
      <c r="B302" s="136">
        <v>293</v>
      </c>
      <c r="C302" s="138">
        <v>1</v>
      </c>
      <c r="D302" s="474">
        <v>3105.2687140671724</v>
      </c>
      <c r="E302" s="127">
        <v>296.10935099707126</v>
      </c>
      <c r="F302" s="447">
        <v>0.39499520677131206</v>
      </c>
      <c r="G302" s="127">
        <v>126.00169850931101</v>
      </c>
      <c r="H302" s="132">
        <v>56.136723632814224</v>
      </c>
      <c r="I302" s="456"/>
      <c r="J302" s="45"/>
      <c r="K302" s="45">
        <v>510</v>
      </c>
      <c r="L302" s="463"/>
      <c r="M302" s="456">
        <v>31.865303039550781</v>
      </c>
      <c r="N302" s="457"/>
      <c r="O302" s="456"/>
      <c r="P302" s="46"/>
      <c r="Q302" s="463">
        <v>69.442176818847656</v>
      </c>
      <c r="R302" s="449"/>
      <c r="S302" s="463"/>
      <c r="T302" s="480"/>
      <c r="U302" s="468"/>
      <c r="V302" s="449"/>
      <c r="W302" s="45">
        <v>1456.830810546875</v>
      </c>
      <c r="X302" s="463">
        <v>123.16069793701172</v>
      </c>
      <c r="Y302" s="449"/>
      <c r="Z302" s="45"/>
      <c r="AA302" s="468">
        <v>0.38440034134585421</v>
      </c>
      <c r="AB302" s="456"/>
      <c r="AC302" s="46"/>
      <c r="AD302" s="46"/>
      <c r="AE302" s="46"/>
      <c r="AF302" s="46"/>
      <c r="AG302" s="46"/>
      <c r="AH302" s="46"/>
      <c r="AI302" s="457"/>
      <c r="AJ302" s="138"/>
      <c r="AK302" s="745"/>
      <c r="AL302" s="54"/>
      <c r="AM302" s="468"/>
      <c r="AN302" s="449"/>
      <c r="AO302" s="45"/>
      <c r="AP302" s="45"/>
      <c r="AQ302" s="45"/>
      <c r="AR302" s="45"/>
      <c r="AS302" s="45"/>
      <c r="AT302" s="45"/>
      <c r="AU302" s="463"/>
      <c r="AV302" s="449"/>
      <c r="AW302" s="45"/>
      <c r="AX302" s="45"/>
      <c r="AY302" s="45"/>
      <c r="AZ302" s="45"/>
      <c r="BA302" s="45"/>
      <c r="BB302" s="45"/>
      <c r="BC302" s="463"/>
      <c r="BD302" s="456"/>
      <c r="BE302" s="46"/>
      <c r="BF302" s="46"/>
      <c r="BG302" s="46"/>
      <c r="BH302" s="46"/>
      <c r="BI302" s="46"/>
      <c r="BJ302" s="457"/>
      <c r="BK302" s="449">
        <v>0</v>
      </c>
      <c r="BL302" s="45"/>
      <c r="BM302" s="45"/>
      <c r="BN302" s="45"/>
      <c r="BO302" s="45"/>
      <c r="BP302" s="45"/>
      <c r="BQ302" s="45"/>
      <c r="BR302" s="45"/>
      <c r="BS302" s="45"/>
      <c r="BT302" s="45"/>
      <c r="BU302" s="45"/>
      <c r="BV302" s="45"/>
      <c r="BW302" s="45"/>
      <c r="BX302" s="45"/>
      <c r="BY302" s="45"/>
      <c r="BZ302" s="45"/>
      <c r="CA302" s="45"/>
      <c r="CB302" s="45"/>
      <c r="CC302" s="45"/>
      <c r="CD302" s="463"/>
    </row>
    <row r="303" spans="2:82">
      <c r="B303" s="136">
        <v>294</v>
      </c>
      <c r="C303" s="138">
        <v>1</v>
      </c>
      <c r="D303" s="474">
        <v>3342.3951649652818</v>
      </c>
      <c r="E303" s="127">
        <v>282.35809720328979</v>
      </c>
      <c r="F303" s="447">
        <v>0.36287439923735498</v>
      </c>
      <c r="G303" s="127">
        <v>140.72614841542435</v>
      </c>
      <c r="H303" s="132">
        <v>48.450914333064027</v>
      </c>
      <c r="I303" s="456"/>
      <c r="J303" s="45"/>
      <c r="K303" s="45">
        <v>530</v>
      </c>
      <c r="L303" s="463"/>
      <c r="M303" s="456">
        <v>30.518665313720703</v>
      </c>
      <c r="N303" s="457"/>
      <c r="O303" s="456"/>
      <c r="P303" s="46"/>
      <c r="Q303" s="463">
        <v>66.179428100585938</v>
      </c>
      <c r="R303" s="449"/>
      <c r="S303" s="463"/>
      <c r="T303" s="480"/>
      <c r="U303" s="468"/>
      <c r="V303" s="449"/>
      <c r="W303" s="45">
        <v>1371.0206298828125</v>
      </c>
      <c r="X303" s="463">
        <v>116.99431610107422</v>
      </c>
      <c r="Y303" s="449"/>
      <c r="Z303" s="45"/>
      <c r="AA303" s="468">
        <v>0.35322338958928362</v>
      </c>
      <c r="AB303" s="456"/>
      <c r="AC303" s="46"/>
      <c r="AD303" s="46"/>
      <c r="AE303" s="46"/>
      <c r="AF303" s="46"/>
      <c r="AG303" s="46"/>
      <c r="AH303" s="46"/>
      <c r="AI303" s="457"/>
      <c r="AJ303" s="138"/>
      <c r="AK303" s="745"/>
      <c r="AL303" s="54"/>
      <c r="AM303" s="468"/>
      <c r="AN303" s="449"/>
      <c r="AO303" s="45"/>
      <c r="AP303" s="45"/>
      <c r="AQ303" s="45"/>
      <c r="AR303" s="45"/>
      <c r="AS303" s="45"/>
      <c r="AT303" s="45"/>
      <c r="AU303" s="463"/>
      <c r="AV303" s="449"/>
      <c r="AW303" s="45"/>
      <c r="AX303" s="45"/>
      <c r="AY303" s="45"/>
      <c r="AZ303" s="45"/>
      <c r="BA303" s="45"/>
      <c r="BB303" s="45"/>
      <c r="BC303" s="463"/>
      <c r="BD303" s="456"/>
      <c r="BE303" s="46"/>
      <c r="BF303" s="46"/>
      <c r="BG303" s="46"/>
      <c r="BH303" s="46"/>
      <c r="BI303" s="46"/>
      <c r="BJ303" s="457"/>
      <c r="BK303" s="449">
        <v>0</v>
      </c>
      <c r="BL303" s="45"/>
      <c r="BM303" s="45"/>
      <c r="BN303" s="45"/>
      <c r="BO303" s="45"/>
      <c r="BP303" s="45"/>
      <c r="BQ303" s="45"/>
      <c r="BR303" s="45"/>
      <c r="BS303" s="45"/>
      <c r="BT303" s="45"/>
      <c r="BU303" s="45"/>
      <c r="BV303" s="45"/>
      <c r="BW303" s="45"/>
      <c r="BX303" s="45"/>
      <c r="BY303" s="45"/>
      <c r="BZ303" s="45"/>
      <c r="CA303" s="45"/>
      <c r="CB303" s="45"/>
      <c r="CC303" s="45"/>
      <c r="CD303" s="463"/>
    </row>
    <row r="304" spans="2:82">
      <c r="B304" s="136">
        <v>295</v>
      </c>
      <c r="C304" s="138">
        <v>1</v>
      </c>
      <c r="D304" s="474">
        <v>3132.5321173657749</v>
      </c>
      <c r="E304" s="127">
        <v>205.68399925400564</v>
      </c>
      <c r="F304" s="447">
        <v>0.50080526992931296</v>
      </c>
      <c r="G304" s="127">
        <v>127.24678901992782</v>
      </c>
      <c r="H304" s="132">
        <v>48.140364054326824</v>
      </c>
      <c r="I304" s="456"/>
      <c r="J304" s="45"/>
      <c r="K304" s="45">
        <v>500</v>
      </c>
      <c r="L304" s="463"/>
      <c r="M304" s="456">
        <v>54.729728698730469</v>
      </c>
      <c r="N304" s="457"/>
      <c r="O304" s="456"/>
      <c r="P304" s="46"/>
      <c r="Q304" s="463">
        <v>62.024139404296875</v>
      </c>
      <c r="R304" s="449"/>
      <c r="S304" s="463"/>
      <c r="T304" s="480"/>
      <c r="U304" s="468"/>
      <c r="V304" s="449"/>
      <c r="W304" s="45">
        <v>2233.08056640625</v>
      </c>
      <c r="X304" s="463">
        <v>179.58798217773437</v>
      </c>
      <c r="Y304" s="449"/>
      <c r="Z304" s="45"/>
      <c r="AA304" s="468">
        <v>0.48962705879319468</v>
      </c>
      <c r="AB304" s="456"/>
      <c r="AC304" s="46"/>
      <c r="AD304" s="46"/>
      <c r="AE304" s="46"/>
      <c r="AF304" s="46"/>
      <c r="AG304" s="46"/>
      <c r="AH304" s="46"/>
      <c r="AI304" s="457"/>
      <c r="AJ304" s="138"/>
      <c r="AK304" s="745"/>
      <c r="AL304" s="54"/>
      <c r="AM304" s="468"/>
      <c r="AN304" s="449"/>
      <c r="AO304" s="45"/>
      <c r="AP304" s="45"/>
      <c r="AQ304" s="45"/>
      <c r="AR304" s="45"/>
      <c r="AS304" s="45"/>
      <c r="AT304" s="45"/>
      <c r="AU304" s="463"/>
      <c r="AV304" s="449"/>
      <c r="AW304" s="45"/>
      <c r="AX304" s="45"/>
      <c r="AY304" s="45"/>
      <c r="AZ304" s="45"/>
      <c r="BA304" s="45"/>
      <c r="BB304" s="45"/>
      <c r="BC304" s="463"/>
      <c r="BD304" s="456"/>
      <c r="BE304" s="46"/>
      <c r="BF304" s="46"/>
      <c r="BG304" s="46"/>
      <c r="BH304" s="46"/>
      <c r="BI304" s="46"/>
      <c r="BJ304" s="457"/>
      <c r="BK304" s="449">
        <v>0</v>
      </c>
      <c r="BL304" s="45"/>
      <c r="BM304" s="45"/>
      <c r="BN304" s="45"/>
      <c r="BO304" s="45"/>
      <c r="BP304" s="45"/>
      <c r="BQ304" s="45"/>
      <c r="BR304" s="45"/>
      <c r="BS304" s="45"/>
      <c r="BT304" s="45"/>
      <c r="BU304" s="45"/>
      <c r="BV304" s="45"/>
      <c r="BW304" s="45"/>
      <c r="BX304" s="45"/>
      <c r="BY304" s="45"/>
      <c r="BZ304" s="45"/>
      <c r="CA304" s="45"/>
      <c r="CB304" s="45"/>
      <c r="CC304" s="45"/>
      <c r="CD304" s="463"/>
    </row>
    <row r="305" spans="2:125">
      <c r="B305" s="136">
        <v>296</v>
      </c>
      <c r="C305" s="138">
        <v>1</v>
      </c>
      <c r="D305" s="474">
        <v>3201.5558308430395</v>
      </c>
      <c r="E305" s="127">
        <v>189.16353463718406</v>
      </c>
      <c r="F305" s="447">
        <v>0.53551912668093804</v>
      </c>
      <c r="G305" s="127">
        <v>123.80681279133026</v>
      </c>
      <c r="H305" s="132">
        <v>58.387561742560614</v>
      </c>
      <c r="I305" s="456"/>
      <c r="J305" s="45"/>
      <c r="K305" s="45">
        <v>530</v>
      </c>
      <c r="L305" s="463"/>
      <c r="M305" s="456">
        <v>64.8826904296875</v>
      </c>
      <c r="N305" s="457"/>
      <c r="O305" s="456"/>
      <c r="P305" s="46"/>
      <c r="Q305" s="463">
        <v>71.443649291992188</v>
      </c>
      <c r="R305" s="449"/>
      <c r="S305" s="463"/>
      <c r="T305" s="480"/>
      <c r="U305" s="468"/>
      <c r="V305" s="449"/>
      <c r="W305" s="45">
        <v>2843.43017578125</v>
      </c>
      <c r="X305" s="463">
        <v>224.11000061035156</v>
      </c>
      <c r="Y305" s="449"/>
      <c r="Z305" s="45"/>
      <c r="AA305" s="468">
        <v>0.52436505521681009</v>
      </c>
      <c r="AB305" s="456"/>
      <c r="AC305" s="46"/>
      <c r="AD305" s="46"/>
      <c r="AE305" s="46"/>
      <c r="AF305" s="46"/>
      <c r="AG305" s="46"/>
      <c r="AH305" s="46"/>
      <c r="AI305" s="457"/>
      <c r="AJ305" s="138"/>
      <c r="AK305" s="745"/>
      <c r="AL305" s="54"/>
      <c r="AM305" s="468"/>
      <c r="AN305" s="449"/>
      <c r="AO305" s="45"/>
      <c r="AP305" s="45"/>
      <c r="AQ305" s="45"/>
      <c r="AR305" s="45"/>
      <c r="AS305" s="45"/>
      <c r="AT305" s="45"/>
      <c r="AU305" s="463"/>
      <c r="AV305" s="449"/>
      <c r="AW305" s="45"/>
      <c r="AX305" s="45"/>
      <c r="AY305" s="45"/>
      <c r="AZ305" s="45"/>
      <c r="BA305" s="45"/>
      <c r="BB305" s="45"/>
      <c r="BC305" s="463"/>
      <c r="BD305" s="456"/>
      <c r="BE305" s="46"/>
      <c r="BF305" s="46"/>
      <c r="BG305" s="46"/>
      <c r="BH305" s="46"/>
      <c r="BI305" s="46"/>
      <c r="BJ305" s="457"/>
      <c r="BK305" s="449">
        <v>0</v>
      </c>
      <c r="BL305" s="45"/>
      <c r="BM305" s="45"/>
      <c r="BN305" s="45"/>
      <c r="BO305" s="45"/>
      <c r="BP305" s="45"/>
      <c r="BQ305" s="45"/>
      <c r="BR305" s="45"/>
      <c r="BS305" s="45"/>
      <c r="BT305" s="45"/>
      <c r="BU305" s="45"/>
      <c r="BV305" s="45"/>
      <c r="BW305" s="45"/>
      <c r="BX305" s="45"/>
      <c r="BY305" s="45"/>
      <c r="BZ305" s="45"/>
      <c r="CA305" s="45"/>
      <c r="CB305" s="45"/>
      <c r="CC305" s="45"/>
      <c r="CD305" s="463"/>
    </row>
    <row r="306" spans="2:125">
      <c r="B306" s="136">
        <v>297</v>
      </c>
      <c r="C306" s="138">
        <v>1</v>
      </c>
      <c r="D306" s="474">
        <v>3217.0007868402208</v>
      </c>
      <c r="E306" s="127">
        <v>248.90258824015044</v>
      </c>
      <c r="F306" s="447">
        <v>0.36460768087240553</v>
      </c>
      <c r="G306" s="127">
        <v>125.58954971389838</v>
      </c>
      <c r="H306" s="132">
        <v>50.611115561510303</v>
      </c>
      <c r="I306" s="456"/>
      <c r="J306" s="45"/>
      <c r="K306" s="45">
        <v>480</v>
      </c>
      <c r="L306" s="463"/>
      <c r="M306" s="456">
        <v>29.445316314697266</v>
      </c>
      <c r="N306" s="457"/>
      <c r="O306" s="456"/>
      <c r="P306" s="46"/>
      <c r="Q306" s="463">
        <v>63.696617126464844</v>
      </c>
      <c r="R306" s="449"/>
      <c r="S306" s="463"/>
      <c r="T306" s="480"/>
      <c r="U306" s="468"/>
      <c r="V306" s="449"/>
      <c r="W306" s="45">
        <v>1281.218994140625</v>
      </c>
      <c r="X306" s="463">
        <v>110.289306640625</v>
      </c>
      <c r="Y306" s="449"/>
      <c r="Z306" s="45"/>
      <c r="AA306" s="468">
        <v>0.35456971204456267</v>
      </c>
      <c r="AB306" s="456"/>
      <c r="AC306" s="46"/>
      <c r="AD306" s="46"/>
      <c r="AE306" s="46"/>
      <c r="AF306" s="46"/>
      <c r="AG306" s="46"/>
      <c r="AH306" s="46"/>
      <c r="AI306" s="457"/>
      <c r="AJ306" s="138"/>
      <c r="AK306" s="745"/>
      <c r="AL306" s="54"/>
      <c r="AM306" s="468"/>
      <c r="AN306" s="449"/>
      <c r="AO306" s="45"/>
      <c r="AP306" s="45"/>
      <c r="AQ306" s="45"/>
      <c r="AR306" s="45"/>
      <c r="AS306" s="45"/>
      <c r="AT306" s="45"/>
      <c r="AU306" s="463"/>
      <c r="AV306" s="449"/>
      <c r="AW306" s="45"/>
      <c r="AX306" s="45"/>
      <c r="AY306" s="45"/>
      <c r="AZ306" s="45"/>
      <c r="BA306" s="45"/>
      <c r="BB306" s="45"/>
      <c r="BC306" s="463"/>
      <c r="BD306" s="456"/>
      <c r="BE306" s="46"/>
      <c r="BF306" s="46"/>
      <c r="BG306" s="46"/>
      <c r="BH306" s="46"/>
      <c r="BI306" s="46"/>
      <c r="BJ306" s="457"/>
      <c r="BK306" s="449">
        <v>0</v>
      </c>
      <c r="BL306" s="45"/>
      <c r="BM306" s="45"/>
      <c r="BN306" s="45"/>
      <c r="BO306" s="45"/>
      <c r="BP306" s="45"/>
      <c r="BQ306" s="45"/>
      <c r="BR306" s="45"/>
      <c r="BS306" s="45"/>
      <c r="BT306" s="45"/>
      <c r="BU306" s="45"/>
      <c r="BV306" s="45"/>
      <c r="BW306" s="45"/>
      <c r="BX306" s="45"/>
      <c r="BY306" s="45"/>
      <c r="BZ306" s="45"/>
      <c r="CA306" s="45"/>
      <c r="CB306" s="45"/>
      <c r="CC306" s="45"/>
      <c r="CD306" s="463"/>
    </row>
    <row r="307" spans="2:125">
      <c r="B307" s="136">
        <v>298</v>
      </c>
      <c r="C307" s="138">
        <v>1</v>
      </c>
      <c r="D307" s="474">
        <v>2548.4199788630403</v>
      </c>
      <c r="E307" s="127">
        <v>295.65753289203633</v>
      </c>
      <c r="F307" s="447">
        <v>0.42525470330067422</v>
      </c>
      <c r="G307" s="127">
        <v>99.051615571825224</v>
      </c>
      <c r="H307" s="132">
        <v>43.599436295619505</v>
      </c>
      <c r="I307" s="456"/>
      <c r="J307" s="45"/>
      <c r="K307" s="45">
        <v>390</v>
      </c>
      <c r="L307" s="463"/>
      <c r="M307" s="456">
        <v>35.869121551513672</v>
      </c>
      <c r="N307" s="457"/>
      <c r="O307" s="456"/>
      <c r="P307" s="46"/>
      <c r="Q307" s="463">
        <v>50.458713531494141</v>
      </c>
      <c r="R307" s="449"/>
      <c r="S307" s="463"/>
      <c r="T307" s="480"/>
      <c r="U307" s="468"/>
      <c r="V307" s="449"/>
      <c r="W307" s="45">
        <v>1289.7755126953125</v>
      </c>
      <c r="X307" s="463">
        <v>110.52153778076172</v>
      </c>
      <c r="Y307" s="449"/>
      <c r="Z307" s="45"/>
      <c r="AA307" s="468">
        <v>0.4121073043853033</v>
      </c>
      <c r="AB307" s="456"/>
      <c r="AC307" s="46"/>
      <c r="AD307" s="46"/>
      <c r="AE307" s="46"/>
      <c r="AF307" s="46"/>
      <c r="AG307" s="46"/>
      <c r="AH307" s="46"/>
      <c r="AI307" s="457"/>
      <c r="AJ307" s="138"/>
      <c r="AK307" s="745"/>
      <c r="AL307" s="54"/>
      <c r="AM307" s="468"/>
      <c r="AN307" s="449"/>
      <c r="AO307" s="45"/>
      <c r="AP307" s="45"/>
      <c r="AQ307" s="45"/>
      <c r="AR307" s="45"/>
      <c r="AS307" s="45"/>
      <c r="AT307" s="45"/>
      <c r="AU307" s="463"/>
      <c r="AV307" s="449"/>
      <c r="AW307" s="45"/>
      <c r="AX307" s="45"/>
      <c r="AY307" s="45"/>
      <c r="AZ307" s="45"/>
      <c r="BA307" s="45"/>
      <c r="BB307" s="45"/>
      <c r="BC307" s="463"/>
      <c r="BD307" s="456"/>
      <c r="BE307" s="46"/>
      <c r="BF307" s="46"/>
      <c r="BG307" s="46"/>
      <c r="BH307" s="46"/>
      <c r="BI307" s="46"/>
      <c r="BJ307" s="457"/>
      <c r="BK307" s="449">
        <v>0</v>
      </c>
      <c r="BL307" s="45"/>
      <c r="BM307" s="45"/>
      <c r="BN307" s="45"/>
      <c r="BO307" s="45"/>
      <c r="BP307" s="45"/>
      <c r="BQ307" s="45"/>
      <c r="BR307" s="45"/>
      <c r="BS307" s="45"/>
      <c r="BT307" s="45"/>
      <c r="BU307" s="45"/>
      <c r="BV307" s="45"/>
      <c r="BW307" s="45"/>
      <c r="BX307" s="45"/>
      <c r="BY307" s="45"/>
      <c r="BZ307" s="45"/>
      <c r="CA307" s="45"/>
      <c r="CB307" s="45"/>
      <c r="CC307" s="45"/>
      <c r="CD307" s="463"/>
    </row>
    <row r="308" spans="2:125">
      <c r="B308" s="136">
        <v>299</v>
      </c>
      <c r="C308" s="138">
        <v>1</v>
      </c>
      <c r="D308" s="474">
        <v>3768.3504535278098</v>
      </c>
      <c r="E308" s="127">
        <v>298.78377056665369</v>
      </c>
      <c r="F308" s="447">
        <v>0.43683924665339946</v>
      </c>
      <c r="G308" s="127">
        <v>125.87559884373758</v>
      </c>
      <c r="H308" s="132">
        <v>60.427789487468367</v>
      </c>
      <c r="I308" s="456"/>
      <c r="J308" s="45"/>
      <c r="K308" s="45">
        <v>530</v>
      </c>
      <c r="L308" s="463"/>
      <c r="M308" s="456">
        <v>37.140438079833984</v>
      </c>
      <c r="N308" s="457"/>
      <c r="O308" s="456"/>
      <c r="P308" s="46"/>
      <c r="Q308" s="463">
        <v>74.613334655761719</v>
      </c>
      <c r="R308" s="449"/>
      <c r="S308" s="463"/>
      <c r="T308" s="480"/>
      <c r="U308" s="468"/>
      <c r="V308" s="449"/>
      <c r="W308" s="45">
        <v>1742.628662109375</v>
      </c>
      <c r="X308" s="463">
        <v>144.0399169921875</v>
      </c>
      <c r="Y308" s="449"/>
      <c r="Z308" s="45"/>
      <c r="AA308" s="468">
        <v>0.42788658013548447</v>
      </c>
      <c r="AB308" s="456"/>
      <c r="AC308" s="46"/>
      <c r="AD308" s="46"/>
      <c r="AE308" s="46"/>
      <c r="AF308" s="46"/>
      <c r="AG308" s="46"/>
      <c r="AH308" s="46"/>
      <c r="AI308" s="457"/>
      <c r="AJ308" s="138"/>
      <c r="AK308" s="745"/>
      <c r="AL308" s="54"/>
      <c r="AM308" s="468"/>
      <c r="AN308" s="449"/>
      <c r="AO308" s="45"/>
      <c r="AP308" s="45"/>
      <c r="AQ308" s="45"/>
      <c r="AR308" s="45"/>
      <c r="AS308" s="45"/>
      <c r="AT308" s="45"/>
      <c r="AU308" s="463"/>
      <c r="AV308" s="449"/>
      <c r="AW308" s="45"/>
      <c r="AX308" s="45"/>
      <c r="AY308" s="45"/>
      <c r="AZ308" s="45"/>
      <c r="BA308" s="45"/>
      <c r="BB308" s="45"/>
      <c r="BC308" s="463"/>
      <c r="BD308" s="456"/>
      <c r="BE308" s="46"/>
      <c r="BF308" s="46"/>
      <c r="BG308" s="46"/>
      <c r="BH308" s="46"/>
      <c r="BI308" s="46"/>
      <c r="BJ308" s="457"/>
      <c r="BK308" s="449">
        <v>0</v>
      </c>
      <c r="BL308" s="45"/>
      <c r="BM308" s="45"/>
      <c r="BN308" s="45"/>
      <c r="BO308" s="45"/>
      <c r="BP308" s="45"/>
      <c r="BQ308" s="45"/>
      <c r="BR308" s="45"/>
      <c r="BS308" s="45"/>
      <c r="BT308" s="45"/>
      <c r="BU308" s="45"/>
      <c r="BV308" s="45"/>
      <c r="BW308" s="45"/>
      <c r="BX308" s="45"/>
      <c r="BY308" s="45"/>
      <c r="BZ308" s="45"/>
      <c r="CA308" s="45"/>
      <c r="CB308" s="45"/>
      <c r="CC308" s="45"/>
      <c r="CD308" s="463"/>
    </row>
    <row r="309" spans="2:125">
      <c r="B309" s="136">
        <v>300</v>
      </c>
      <c r="C309" s="138">
        <v>1</v>
      </c>
      <c r="D309" s="474">
        <v>3419.6393958870981</v>
      </c>
      <c r="E309" s="127">
        <v>194.92222780154827</v>
      </c>
      <c r="F309" s="447">
        <v>0.36400844684703137</v>
      </c>
      <c r="G309" s="127">
        <v>143.19025725161268</v>
      </c>
      <c r="H309" s="132">
        <v>49.40663991255331</v>
      </c>
      <c r="I309" s="456"/>
      <c r="J309" s="45"/>
      <c r="K309" s="45">
        <v>530</v>
      </c>
      <c r="L309" s="463"/>
      <c r="M309" s="456">
        <v>30.544084548950195</v>
      </c>
      <c r="N309" s="457"/>
      <c r="O309" s="456"/>
      <c r="P309" s="46"/>
      <c r="Q309" s="463">
        <v>67.7088623046875</v>
      </c>
      <c r="R309" s="449"/>
      <c r="S309" s="463"/>
      <c r="T309" s="480"/>
      <c r="U309" s="468"/>
      <c r="V309" s="449"/>
      <c r="W309" s="45">
        <v>1394.7042236328125</v>
      </c>
      <c r="X309" s="463">
        <v>118.75367736816406</v>
      </c>
      <c r="Y309" s="449"/>
      <c r="Z309" s="45"/>
      <c r="AA309" s="468">
        <v>0.35456880564516524</v>
      </c>
      <c r="AB309" s="456"/>
      <c r="AC309" s="46"/>
      <c r="AD309" s="46"/>
      <c r="AE309" s="46"/>
      <c r="AF309" s="46"/>
      <c r="AG309" s="46"/>
      <c r="AH309" s="46"/>
      <c r="AI309" s="457"/>
      <c r="AJ309" s="138"/>
      <c r="AK309" s="745"/>
      <c r="AL309" s="54"/>
      <c r="AM309" s="468"/>
      <c r="AN309" s="449"/>
      <c r="AO309" s="45"/>
      <c r="AP309" s="45"/>
      <c r="AQ309" s="45"/>
      <c r="AR309" s="45"/>
      <c r="AS309" s="45"/>
      <c r="AT309" s="45"/>
      <c r="AU309" s="463"/>
      <c r="AV309" s="449"/>
      <c r="AW309" s="45"/>
      <c r="AX309" s="45"/>
      <c r="AY309" s="45"/>
      <c r="AZ309" s="45"/>
      <c r="BA309" s="45"/>
      <c r="BB309" s="45"/>
      <c r="BC309" s="463"/>
      <c r="BD309" s="456"/>
      <c r="BE309" s="46"/>
      <c r="BF309" s="46"/>
      <c r="BG309" s="46"/>
      <c r="BH309" s="46"/>
      <c r="BI309" s="46"/>
      <c r="BJ309" s="457"/>
      <c r="BK309" s="449">
        <v>0</v>
      </c>
      <c r="BL309" s="45"/>
      <c r="BM309" s="45"/>
      <c r="BN309" s="45"/>
      <c r="BO309" s="45"/>
      <c r="BP309" s="45"/>
      <c r="BQ309" s="45"/>
      <c r="BR309" s="45"/>
      <c r="BS309" s="45"/>
      <c r="BT309" s="45"/>
      <c r="BU309" s="45"/>
      <c r="BV309" s="45"/>
      <c r="BW309" s="45"/>
      <c r="BX309" s="45"/>
      <c r="BY309" s="45"/>
      <c r="BZ309" s="45"/>
      <c r="CA309" s="45"/>
      <c r="CB309" s="45"/>
      <c r="CC309" s="45"/>
      <c r="CD309" s="463"/>
    </row>
    <row r="310" spans="2:125">
      <c r="B310" s="136">
        <v>301</v>
      </c>
      <c r="C310" s="138">
        <v>1</v>
      </c>
      <c r="D310" s="474">
        <v>3382.7152833047844</v>
      </c>
      <c r="E310" s="127">
        <v>222.91835727517028</v>
      </c>
      <c r="F310" s="447">
        <v>0.42143224807790902</v>
      </c>
      <c r="G310" s="127">
        <v>107.86851182562857</v>
      </c>
      <c r="H310" s="132">
        <v>58.50361007839566</v>
      </c>
      <c r="I310" s="456"/>
      <c r="J310" s="45"/>
      <c r="K310" s="45">
        <v>460</v>
      </c>
      <c r="L310" s="463"/>
      <c r="M310" s="456">
        <v>33.131118774414063</v>
      </c>
      <c r="N310" s="457"/>
      <c r="O310" s="456"/>
      <c r="P310" s="46"/>
      <c r="Q310" s="463">
        <v>66.977767944335938</v>
      </c>
      <c r="R310" s="449"/>
      <c r="S310" s="463"/>
      <c r="T310" s="480"/>
      <c r="U310" s="468"/>
      <c r="V310" s="449"/>
      <c r="W310" s="45">
        <v>1461.6192626953125</v>
      </c>
      <c r="X310" s="463">
        <v>123.32290649414062</v>
      </c>
      <c r="Y310" s="449"/>
      <c r="Z310" s="45"/>
      <c r="AA310" s="468">
        <v>0.41155005517608739</v>
      </c>
      <c r="AB310" s="456"/>
      <c r="AC310" s="46"/>
      <c r="AD310" s="46"/>
      <c r="AE310" s="46"/>
      <c r="AF310" s="46"/>
      <c r="AG310" s="46"/>
      <c r="AH310" s="46"/>
      <c r="AI310" s="457"/>
      <c r="AJ310" s="138"/>
      <c r="AK310" s="745"/>
      <c r="AL310" s="54"/>
      <c r="AM310" s="468"/>
      <c r="AN310" s="449"/>
      <c r="AO310" s="45"/>
      <c r="AP310" s="45"/>
      <c r="AQ310" s="45"/>
      <c r="AR310" s="45"/>
      <c r="AS310" s="45"/>
      <c r="AT310" s="45"/>
      <c r="AU310" s="463"/>
      <c r="AV310" s="449"/>
      <c r="AW310" s="45"/>
      <c r="AX310" s="45"/>
      <c r="AY310" s="45"/>
      <c r="AZ310" s="45"/>
      <c r="BA310" s="45"/>
      <c r="BB310" s="45"/>
      <c r="BC310" s="463"/>
      <c r="BD310" s="456"/>
      <c r="BE310" s="46"/>
      <c r="BF310" s="46"/>
      <c r="BG310" s="46"/>
      <c r="BH310" s="46"/>
      <c r="BI310" s="46"/>
      <c r="BJ310" s="457"/>
      <c r="BK310" s="449">
        <v>0</v>
      </c>
      <c r="BL310" s="45"/>
      <c r="BM310" s="45"/>
      <c r="BN310" s="45"/>
      <c r="BO310" s="45"/>
      <c r="BP310" s="45"/>
      <c r="BQ310" s="45"/>
      <c r="BR310" s="45"/>
      <c r="BS310" s="45"/>
      <c r="BT310" s="45"/>
      <c r="BU310" s="45"/>
      <c r="BV310" s="45"/>
      <c r="BW310" s="45"/>
      <c r="BX310" s="45"/>
      <c r="BY310" s="45"/>
      <c r="BZ310" s="45"/>
      <c r="CA310" s="45"/>
      <c r="CB310" s="45"/>
      <c r="CC310" s="45"/>
      <c r="CD310" s="463"/>
      <c r="CE310">
        <v>0</v>
      </c>
      <c r="CF310">
        <v>0</v>
      </c>
      <c r="CG310">
        <v>0</v>
      </c>
      <c r="CH310">
        <v>0</v>
      </c>
      <c r="CI310">
        <v>0</v>
      </c>
      <c r="CJ310">
        <v>0</v>
      </c>
      <c r="CK310">
        <v>0</v>
      </c>
      <c r="CL310">
        <v>0</v>
      </c>
      <c r="CM310">
        <v>0</v>
      </c>
      <c r="CN310">
        <v>0</v>
      </c>
      <c r="CO310">
        <v>0</v>
      </c>
      <c r="CP310">
        <v>0</v>
      </c>
      <c r="CQ310">
        <v>0</v>
      </c>
      <c r="CR310">
        <v>0</v>
      </c>
      <c r="CS310">
        <v>0</v>
      </c>
      <c r="CT310">
        <v>0</v>
      </c>
      <c r="CU310">
        <v>0</v>
      </c>
      <c r="CV310">
        <v>0</v>
      </c>
      <c r="CW310">
        <v>0</v>
      </c>
      <c r="CX310">
        <v>0</v>
      </c>
      <c r="CY310">
        <v>0</v>
      </c>
      <c r="CZ310">
        <v>0</v>
      </c>
      <c r="DA310">
        <v>0</v>
      </c>
      <c r="DB310">
        <v>0</v>
      </c>
      <c r="DC310">
        <v>0</v>
      </c>
      <c r="DD310">
        <v>0</v>
      </c>
      <c r="DE310">
        <v>0</v>
      </c>
      <c r="DF310">
        <v>0</v>
      </c>
      <c r="DG310">
        <v>0</v>
      </c>
      <c r="DH310">
        <v>0</v>
      </c>
      <c r="DI310">
        <v>0</v>
      </c>
      <c r="DJ310">
        <v>0</v>
      </c>
      <c r="DK310">
        <v>0</v>
      </c>
      <c r="DL310">
        <v>0</v>
      </c>
      <c r="DM310">
        <v>0</v>
      </c>
      <c r="DN310">
        <v>0</v>
      </c>
      <c r="DO310">
        <v>0</v>
      </c>
      <c r="DP310">
        <v>0</v>
      </c>
      <c r="DQ310">
        <v>0</v>
      </c>
      <c r="DR310">
        <v>0</v>
      </c>
      <c r="DS310">
        <v>0</v>
      </c>
      <c r="DT310">
        <v>0</v>
      </c>
      <c r="DU310">
        <v>0</v>
      </c>
    </row>
    <row r="311" spans="2:125">
      <c r="B311" s="136">
        <v>302</v>
      </c>
      <c r="C311" s="138">
        <v>1</v>
      </c>
      <c r="D311" s="474">
        <v>3068.9331190787943</v>
      </c>
      <c r="E311" s="127">
        <v>213.1629120756437</v>
      </c>
      <c r="F311" s="447">
        <v>0.42329237699261213</v>
      </c>
      <c r="G311" s="127">
        <v>98.148220505592306</v>
      </c>
      <c r="H311" s="132">
        <v>55.575397010321318</v>
      </c>
      <c r="I311" s="456"/>
      <c r="J311" s="45"/>
      <c r="K311" s="45">
        <v>420</v>
      </c>
      <c r="L311" s="463"/>
      <c r="M311" s="456">
        <v>32.784290313720703</v>
      </c>
      <c r="N311" s="457"/>
      <c r="O311" s="456"/>
      <c r="P311" s="46"/>
      <c r="Q311" s="463">
        <v>60.764881134033203</v>
      </c>
      <c r="R311" s="449"/>
      <c r="S311" s="463"/>
      <c r="T311" s="480"/>
      <c r="U311" s="468"/>
      <c r="V311" s="449"/>
      <c r="W311" s="45">
        <v>1359.2496337890625</v>
      </c>
      <c r="X311" s="463">
        <v>115.70765686035156</v>
      </c>
      <c r="Y311" s="449"/>
      <c r="Z311" s="45"/>
      <c r="AA311" s="468">
        <v>0.41238765986736642</v>
      </c>
      <c r="AB311" s="456"/>
      <c r="AC311" s="46"/>
      <c r="AD311" s="46"/>
      <c r="AE311" s="46"/>
      <c r="AF311" s="46"/>
      <c r="AG311" s="46"/>
      <c r="AH311" s="46"/>
      <c r="AI311" s="457"/>
      <c r="AJ311" s="138"/>
      <c r="AK311" s="745"/>
      <c r="AL311" s="54"/>
      <c r="AM311" s="468"/>
      <c r="AN311" s="449"/>
      <c r="AO311" s="45"/>
      <c r="AP311" s="45"/>
      <c r="AQ311" s="45"/>
      <c r="AR311" s="45"/>
      <c r="AS311" s="45"/>
      <c r="AT311" s="45"/>
      <c r="AU311" s="463"/>
      <c r="AV311" s="449"/>
      <c r="AW311" s="45"/>
      <c r="AX311" s="45"/>
      <c r="AY311" s="45"/>
      <c r="AZ311" s="45"/>
      <c r="BA311" s="45"/>
      <c r="BB311" s="45"/>
      <c r="BC311" s="463"/>
      <c r="BD311" s="456"/>
      <c r="BE311" s="46"/>
      <c r="BF311" s="46"/>
      <c r="BG311" s="46"/>
      <c r="BH311" s="46"/>
      <c r="BI311" s="46"/>
      <c r="BJ311" s="457"/>
      <c r="BK311" s="449">
        <v>0</v>
      </c>
      <c r="BL311" s="45"/>
      <c r="BM311" s="45"/>
      <c r="BN311" s="45"/>
      <c r="BO311" s="45"/>
      <c r="BP311" s="45"/>
      <c r="BQ311" s="45"/>
      <c r="BR311" s="45"/>
      <c r="BS311" s="45"/>
      <c r="BT311" s="45"/>
      <c r="BU311" s="45"/>
      <c r="BV311" s="45"/>
      <c r="BW311" s="45"/>
      <c r="BX311" s="45"/>
      <c r="BY311" s="45"/>
      <c r="BZ311" s="45"/>
      <c r="CA311" s="45"/>
      <c r="CB311" s="45"/>
      <c r="CC311" s="45"/>
      <c r="CD311" s="463"/>
      <c r="CE311">
        <v>0</v>
      </c>
      <c r="CF311">
        <v>0</v>
      </c>
      <c r="CG311">
        <v>0</v>
      </c>
      <c r="CH311">
        <v>0</v>
      </c>
      <c r="CI311">
        <v>0</v>
      </c>
      <c r="CJ311">
        <v>0</v>
      </c>
      <c r="CK311">
        <v>0</v>
      </c>
      <c r="CL311">
        <v>0</v>
      </c>
      <c r="CM311">
        <v>0</v>
      </c>
      <c r="CN311">
        <v>0</v>
      </c>
      <c r="CO311">
        <v>0</v>
      </c>
      <c r="CP311">
        <v>0</v>
      </c>
      <c r="CQ311">
        <v>0</v>
      </c>
      <c r="CR311">
        <v>0</v>
      </c>
      <c r="CS311">
        <v>0</v>
      </c>
      <c r="CT311">
        <v>0</v>
      </c>
      <c r="CU311">
        <v>0</v>
      </c>
      <c r="CV311">
        <v>0</v>
      </c>
      <c r="CW311">
        <v>0</v>
      </c>
      <c r="CX311">
        <v>0</v>
      </c>
      <c r="CY311">
        <v>0</v>
      </c>
      <c r="CZ311">
        <v>0</v>
      </c>
      <c r="DA311">
        <v>0</v>
      </c>
      <c r="DB311">
        <v>0</v>
      </c>
      <c r="DC311">
        <v>0</v>
      </c>
      <c r="DD311">
        <v>0</v>
      </c>
      <c r="DE311">
        <v>0</v>
      </c>
      <c r="DF311">
        <v>0</v>
      </c>
      <c r="DG311">
        <v>0</v>
      </c>
      <c r="DH311">
        <v>0</v>
      </c>
      <c r="DI311">
        <v>0</v>
      </c>
      <c r="DJ311">
        <v>0</v>
      </c>
      <c r="DK311">
        <v>0</v>
      </c>
      <c r="DL311">
        <v>0</v>
      </c>
      <c r="DM311">
        <v>0</v>
      </c>
      <c r="DN311">
        <v>0</v>
      </c>
      <c r="DO311">
        <v>0</v>
      </c>
      <c r="DP311">
        <v>0</v>
      </c>
      <c r="DQ311">
        <v>0</v>
      </c>
      <c r="DR311">
        <v>0</v>
      </c>
      <c r="DS311">
        <v>0</v>
      </c>
      <c r="DT311">
        <v>0</v>
      </c>
      <c r="DU311">
        <v>0</v>
      </c>
    </row>
    <row r="312" spans="2:125">
      <c r="B312" s="136">
        <v>303</v>
      </c>
      <c r="C312" s="138">
        <v>1</v>
      </c>
      <c r="D312" s="474">
        <v>2690.0032399883194</v>
      </c>
      <c r="E312" s="127">
        <v>272.545339893424</v>
      </c>
      <c r="F312" s="447">
        <v>0.36069672856456109</v>
      </c>
      <c r="G312" s="127">
        <v>86.653954579058436</v>
      </c>
      <c r="H312" s="132">
        <v>51.493124813950807</v>
      </c>
      <c r="I312" s="456"/>
      <c r="J312" s="45"/>
      <c r="K312" s="45">
        <v>370</v>
      </c>
      <c r="L312" s="463"/>
      <c r="M312" s="456">
        <v>26.842256546020508</v>
      </c>
      <c r="N312" s="457"/>
      <c r="O312" s="456"/>
      <c r="P312" s="46"/>
      <c r="Q312" s="463">
        <v>53.262069702148437</v>
      </c>
      <c r="R312" s="449"/>
      <c r="S312" s="463"/>
      <c r="T312" s="480"/>
      <c r="U312" s="468"/>
      <c r="V312" s="449"/>
      <c r="W312" s="45">
        <v>1000.5386352539062</v>
      </c>
      <c r="X312" s="463">
        <v>89.377906799316406</v>
      </c>
      <c r="Y312" s="449"/>
      <c r="Z312" s="45"/>
      <c r="AA312" s="468">
        <v>0.34872130262736739</v>
      </c>
      <c r="AB312" s="456"/>
      <c r="AC312" s="46"/>
      <c r="AD312" s="46"/>
      <c r="AE312" s="46"/>
      <c r="AF312" s="46"/>
      <c r="AG312" s="46"/>
      <c r="AH312" s="46"/>
      <c r="AI312" s="457"/>
      <c r="AJ312" s="138"/>
      <c r="AK312" s="745"/>
      <c r="AL312" s="54"/>
      <c r="AM312" s="468"/>
      <c r="AN312" s="449"/>
      <c r="AO312" s="45"/>
      <c r="AP312" s="45"/>
      <c r="AQ312" s="45"/>
      <c r="AR312" s="45"/>
      <c r="AS312" s="45"/>
      <c r="AT312" s="45"/>
      <c r="AU312" s="463"/>
      <c r="AV312" s="449"/>
      <c r="AW312" s="45"/>
      <c r="AX312" s="45"/>
      <c r="AY312" s="45"/>
      <c r="AZ312" s="45"/>
      <c r="BA312" s="45"/>
      <c r="BB312" s="45"/>
      <c r="BC312" s="463"/>
      <c r="BD312" s="456"/>
      <c r="BE312" s="46"/>
      <c r="BF312" s="46"/>
      <c r="BG312" s="46"/>
      <c r="BH312" s="46"/>
      <c r="BI312" s="46"/>
      <c r="BJ312" s="457"/>
      <c r="BK312" s="449">
        <v>0</v>
      </c>
      <c r="BL312" s="45"/>
      <c r="BM312" s="45"/>
      <c r="BN312" s="45"/>
      <c r="BO312" s="45"/>
      <c r="BP312" s="45"/>
      <c r="BQ312" s="45"/>
      <c r="BR312" s="45"/>
      <c r="BS312" s="45"/>
      <c r="BT312" s="45"/>
      <c r="BU312" s="45"/>
      <c r="BV312" s="45"/>
      <c r="BW312" s="45"/>
      <c r="BX312" s="45"/>
      <c r="BY312" s="45"/>
      <c r="BZ312" s="45"/>
      <c r="CA312" s="45"/>
      <c r="CB312" s="45"/>
      <c r="CC312" s="45"/>
      <c r="CD312" s="463"/>
      <c r="CE312">
        <v>0</v>
      </c>
      <c r="CF312">
        <v>0</v>
      </c>
      <c r="CG312">
        <v>0</v>
      </c>
      <c r="CH312">
        <v>0</v>
      </c>
      <c r="CI312">
        <v>0</v>
      </c>
      <c r="CJ312">
        <v>0</v>
      </c>
      <c r="CK312">
        <v>0</v>
      </c>
      <c r="CL312">
        <v>0</v>
      </c>
      <c r="CM312">
        <v>0</v>
      </c>
      <c r="CN312">
        <v>0</v>
      </c>
      <c r="CO312">
        <v>0</v>
      </c>
      <c r="CP312">
        <v>0</v>
      </c>
      <c r="CQ312">
        <v>0</v>
      </c>
      <c r="CR312">
        <v>0</v>
      </c>
      <c r="CS312">
        <v>0</v>
      </c>
      <c r="CT312">
        <v>0</v>
      </c>
      <c r="CU312">
        <v>0</v>
      </c>
      <c r="CV312">
        <v>0</v>
      </c>
      <c r="CW312">
        <v>0</v>
      </c>
      <c r="CX312">
        <v>0</v>
      </c>
      <c r="CY312">
        <v>0</v>
      </c>
      <c r="CZ312">
        <v>0</v>
      </c>
      <c r="DA312">
        <v>0</v>
      </c>
      <c r="DB312">
        <v>0</v>
      </c>
      <c r="DC312">
        <v>0</v>
      </c>
      <c r="DD312">
        <v>0</v>
      </c>
      <c r="DE312">
        <v>0</v>
      </c>
      <c r="DF312">
        <v>0</v>
      </c>
      <c r="DG312">
        <v>0</v>
      </c>
      <c r="DH312">
        <v>0</v>
      </c>
      <c r="DI312">
        <v>0</v>
      </c>
      <c r="DJ312">
        <v>0</v>
      </c>
      <c r="DK312">
        <v>0</v>
      </c>
      <c r="DL312">
        <v>0</v>
      </c>
      <c r="DM312">
        <v>0</v>
      </c>
      <c r="DN312">
        <v>0</v>
      </c>
      <c r="DO312">
        <v>0</v>
      </c>
      <c r="DP312">
        <v>0</v>
      </c>
      <c r="DQ312">
        <v>0</v>
      </c>
      <c r="DR312">
        <v>0</v>
      </c>
      <c r="DS312">
        <v>0</v>
      </c>
      <c r="DT312">
        <v>0</v>
      </c>
      <c r="DU312">
        <v>0</v>
      </c>
    </row>
    <row r="313" spans="2:125">
      <c r="B313" s="136">
        <v>304</v>
      </c>
      <c r="C313" s="138">
        <v>1</v>
      </c>
      <c r="D313" s="474">
        <v>2695.7709518246675</v>
      </c>
      <c r="E313" s="127">
        <v>225.86311547091648</v>
      </c>
      <c r="F313" s="447">
        <v>0.44396436806103579</v>
      </c>
      <c r="G313" s="127">
        <v>111.25425358268755</v>
      </c>
      <c r="H313" s="132">
        <v>42.68167664876669</v>
      </c>
      <c r="I313" s="456"/>
      <c r="J313" s="45"/>
      <c r="K313" s="45">
        <v>430</v>
      </c>
      <c r="L313" s="463"/>
      <c r="M313" s="456">
        <v>39.787445068359375</v>
      </c>
      <c r="N313" s="457"/>
      <c r="O313" s="456"/>
      <c r="P313" s="46"/>
      <c r="Q313" s="463">
        <v>53.376266479492188</v>
      </c>
      <c r="R313" s="449"/>
      <c r="S313" s="463"/>
      <c r="T313" s="480"/>
      <c r="U313" s="468"/>
      <c r="V313" s="449"/>
      <c r="W313" s="45">
        <v>1501.7584228515625</v>
      </c>
      <c r="X313" s="463">
        <v>126.09803009033203</v>
      </c>
      <c r="Y313" s="449"/>
      <c r="Z313" s="45"/>
      <c r="AA313" s="468">
        <v>0.43139679909220735</v>
      </c>
      <c r="AB313" s="456"/>
      <c r="AC313" s="46"/>
      <c r="AD313" s="46"/>
      <c r="AE313" s="46"/>
      <c r="AF313" s="46"/>
      <c r="AG313" s="46"/>
      <c r="AH313" s="46"/>
      <c r="AI313" s="457"/>
      <c r="AJ313" s="138"/>
      <c r="AK313" s="745"/>
      <c r="AL313" s="54"/>
      <c r="AM313" s="468"/>
      <c r="AN313" s="449"/>
      <c r="AO313" s="45"/>
      <c r="AP313" s="45"/>
      <c r="AQ313" s="45"/>
      <c r="AR313" s="45"/>
      <c r="AS313" s="45"/>
      <c r="AT313" s="45"/>
      <c r="AU313" s="463"/>
      <c r="AV313" s="449"/>
      <c r="AW313" s="45"/>
      <c r="AX313" s="45"/>
      <c r="AY313" s="45"/>
      <c r="AZ313" s="45"/>
      <c r="BA313" s="45"/>
      <c r="BB313" s="45"/>
      <c r="BC313" s="463"/>
      <c r="BD313" s="456"/>
      <c r="BE313" s="46"/>
      <c r="BF313" s="46"/>
      <c r="BG313" s="46"/>
      <c r="BH313" s="46"/>
      <c r="BI313" s="46"/>
      <c r="BJ313" s="457"/>
      <c r="BK313" s="449">
        <v>0</v>
      </c>
      <c r="BL313" s="45"/>
      <c r="BM313" s="45"/>
      <c r="BN313" s="45"/>
      <c r="BO313" s="45"/>
      <c r="BP313" s="45"/>
      <c r="BQ313" s="45"/>
      <c r="BR313" s="45"/>
      <c r="BS313" s="45"/>
      <c r="BT313" s="45"/>
      <c r="BU313" s="45"/>
      <c r="BV313" s="45"/>
      <c r="BW313" s="45"/>
      <c r="BX313" s="45"/>
      <c r="BY313" s="45"/>
      <c r="BZ313" s="45"/>
      <c r="CA313" s="45"/>
      <c r="CB313" s="45"/>
      <c r="CC313" s="45"/>
      <c r="CD313" s="463"/>
      <c r="CE313">
        <v>0</v>
      </c>
      <c r="CF313">
        <v>0</v>
      </c>
      <c r="CG313">
        <v>0</v>
      </c>
      <c r="CH313">
        <v>0</v>
      </c>
      <c r="CI313">
        <v>0</v>
      </c>
      <c r="CJ313">
        <v>0</v>
      </c>
      <c r="CK313">
        <v>0</v>
      </c>
      <c r="CL313">
        <v>0</v>
      </c>
      <c r="CM313">
        <v>0</v>
      </c>
      <c r="CN313">
        <v>0</v>
      </c>
      <c r="CO313">
        <v>0</v>
      </c>
      <c r="CP313">
        <v>0</v>
      </c>
      <c r="CQ313">
        <v>0</v>
      </c>
      <c r="CR313">
        <v>0</v>
      </c>
      <c r="CS313">
        <v>0</v>
      </c>
      <c r="CT313">
        <v>0</v>
      </c>
      <c r="CU313">
        <v>0</v>
      </c>
      <c r="CV313">
        <v>0</v>
      </c>
      <c r="CW313">
        <v>0</v>
      </c>
      <c r="CX313">
        <v>0</v>
      </c>
      <c r="CY313">
        <v>0</v>
      </c>
      <c r="CZ313">
        <v>0</v>
      </c>
      <c r="DA313">
        <v>0</v>
      </c>
      <c r="DB313">
        <v>0</v>
      </c>
      <c r="DC313">
        <v>0</v>
      </c>
      <c r="DD313">
        <v>0</v>
      </c>
      <c r="DE313">
        <v>0</v>
      </c>
      <c r="DF313">
        <v>0</v>
      </c>
      <c r="DG313">
        <v>0</v>
      </c>
      <c r="DH313">
        <v>0</v>
      </c>
      <c r="DI313">
        <v>0</v>
      </c>
      <c r="DJ313">
        <v>0</v>
      </c>
      <c r="DK313">
        <v>0</v>
      </c>
      <c r="DL313">
        <v>0</v>
      </c>
      <c r="DM313">
        <v>0</v>
      </c>
      <c r="DN313">
        <v>0</v>
      </c>
      <c r="DO313">
        <v>0</v>
      </c>
      <c r="DP313">
        <v>0</v>
      </c>
      <c r="DQ313">
        <v>0</v>
      </c>
      <c r="DR313">
        <v>0</v>
      </c>
      <c r="DS313">
        <v>0</v>
      </c>
      <c r="DT313">
        <v>0</v>
      </c>
      <c r="DU313">
        <v>0</v>
      </c>
    </row>
    <row r="314" spans="2:125">
      <c r="B314" s="136">
        <v>305</v>
      </c>
      <c r="C314" s="138">
        <v>1</v>
      </c>
      <c r="D314" s="474">
        <v>2900.8853117601047</v>
      </c>
      <c r="E314" s="127">
        <v>252.32086771672499</v>
      </c>
      <c r="F314" s="447">
        <v>0.48781215803851213</v>
      </c>
      <c r="G314" s="127">
        <v>115.54269823572707</v>
      </c>
      <c r="H314" s="132">
        <v>46.640290815075481</v>
      </c>
      <c r="I314" s="456"/>
      <c r="J314" s="45"/>
      <c r="K314" s="45">
        <v>460</v>
      </c>
      <c r="L314" s="463"/>
      <c r="M314" s="456">
        <v>49.118438720703125</v>
      </c>
      <c r="N314" s="457"/>
      <c r="O314" s="456"/>
      <c r="P314" s="46"/>
      <c r="Q314" s="463">
        <v>57.437534332275391</v>
      </c>
      <c r="R314" s="449"/>
      <c r="S314" s="463"/>
      <c r="T314" s="480"/>
      <c r="U314" s="468"/>
      <c r="V314" s="449"/>
      <c r="W314" s="45">
        <v>1919.00927734375</v>
      </c>
      <c r="X314" s="463">
        <v>156.56289672851563</v>
      </c>
      <c r="Y314" s="449"/>
      <c r="Z314" s="45"/>
      <c r="AA314" s="468">
        <v>0.47583090423993224</v>
      </c>
      <c r="AB314" s="456"/>
      <c r="AC314" s="46"/>
      <c r="AD314" s="46"/>
      <c r="AE314" s="46"/>
      <c r="AF314" s="46"/>
      <c r="AG314" s="46"/>
      <c r="AH314" s="46"/>
      <c r="AI314" s="457"/>
      <c r="AJ314" s="138"/>
      <c r="AK314" s="745"/>
      <c r="AL314" s="54"/>
      <c r="AM314" s="468"/>
      <c r="AN314" s="449"/>
      <c r="AO314" s="45"/>
      <c r="AP314" s="45"/>
      <c r="AQ314" s="45"/>
      <c r="AR314" s="45"/>
      <c r="AS314" s="45"/>
      <c r="AT314" s="45"/>
      <c r="AU314" s="463"/>
      <c r="AV314" s="449"/>
      <c r="AW314" s="45"/>
      <c r="AX314" s="45"/>
      <c r="AY314" s="45"/>
      <c r="AZ314" s="45"/>
      <c r="BA314" s="45"/>
      <c r="BB314" s="45"/>
      <c r="BC314" s="463"/>
      <c r="BD314" s="456"/>
      <c r="BE314" s="46"/>
      <c r="BF314" s="46"/>
      <c r="BG314" s="46"/>
      <c r="BH314" s="46"/>
      <c r="BI314" s="46"/>
      <c r="BJ314" s="457"/>
      <c r="BK314" s="449">
        <v>0</v>
      </c>
      <c r="BL314" s="45"/>
      <c r="BM314" s="45"/>
      <c r="BN314" s="45"/>
      <c r="BO314" s="45"/>
      <c r="BP314" s="45"/>
      <c r="BQ314" s="45"/>
      <c r="BR314" s="45"/>
      <c r="BS314" s="45"/>
      <c r="BT314" s="45"/>
      <c r="BU314" s="45"/>
      <c r="BV314" s="45"/>
      <c r="BW314" s="45"/>
      <c r="BX314" s="45"/>
      <c r="BY314" s="45"/>
      <c r="BZ314" s="45"/>
      <c r="CA314" s="45"/>
      <c r="CB314" s="45"/>
      <c r="CC314" s="45"/>
      <c r="CD314" s="463"/>
      <c r="CE314">
        <v>0</v>
      </c>
      <c r="CF314">
        <v>0</v>
      </c>
      <c r="CG314">
        <v>0</v>
      </c>
      <c r="CH314">
        <v>0</v>
      </c>
      <c r="CI314">
        <v>0</v>
      </c>
      <c r="CJ314">
        <v>0</v>
      </c>
      <c r="CK314">
        <v>0</v>
      </c>
      <c r="CL314">
        <v>0</v>
      </c>
      <c r="CM314">
        <v>0</v>
      </c>
      <c r="CN314">
        <v>0</v>
      </c>
      <c r="CO314">
        <v>0</v>
      </c>
      <c r="CP314">
        <v>0</v>
      </c>
      <c r="CQ314">
        <v>0</v>
      </c>
      <c r="CR314">
        <v>0</v>
      </c>
      <c r="CS314">
        <v>0</v>
      </c>
      <c r="CT314">
        <v>0</v>
      </c>
      <c r="CU314">
        <v>0</v>
      </c>
      <c r="CV314">
        <v>0</v>
      </c>
      <c r="CW314">
        <v>0</v>
      </c>
      <c r="CX314">
        <v>0</v>
      </c>
      <c r="CY314">
        <v>0</v>
      </c>
      <c r="CZ314">
        <v>0</v>
      </c>
      <c r="DA314">
        <v>0</v>
      </c>
      <c r="DB314">
        <v>0</v>
      </c>
      <c r="DC314">
        <v>0</v>
      </c>
      <c r="DD314">
        <v>0</v>
      </c>
      <c r="DE314">
        <v>0</v>
      </c>
      <c r="DF314">
        <v>0</v>
      </c>
      <c r="DG314">
        <v>0</v>
      </c>
      <c r="DH314">
        <v>0</v>
      </c>
      <c r="DI314">
        <v>0</v>
      </c>
      <c r="DJ314">
        <v>0</v>
      </c>
      <c r="DK314">
        <v>0</v>
      </c>
      <c r="DL314">
        <v>0</v>
      </c>
      <c r="DM314">
        <v>0</v>
      </c>
      <c r="DN314">
        <v>0</v>
      </c>
      <c r="DO314">
        <v>0</v>
      </c>
      <c r="DP314">
        <v>0</v>
      </c>
      <c r="DQ314">
        <v>0</v>
      </c>
      <c r="DR314">
        <v>0</v>
      </c>
      <c r="DS314">
        <v>0</v>
      </c>
      <c r="DT314">
        <v>0</v>
      </c>
      <c r="DU314">
        <v>0</v>
      </c>
    </row>
    <row r="315" spans="2:125">
      <c r="B315" s="136">
        <v>306</v>
      </c>
      <c r="C315" s="138">
        <v>1</v>
      </c>
      <c r="D315" s="474">
        <v>3824.5146228775266</v>
      </c>
      <c r="E315" s="127">
        <v>257.91884775682587</v>
      </c>
      <c r="F315" s="447">
        <v>0.4309558602103033</v>
      </c>
      <c r="G315" s="127">
        <v>130.10147468823968</v>
      </c>
      <c r="H315" s="132">
        <v>66.162916234888854</v>
      </c>
      <c r="I315" s="456"/>
      <c r="J315" s="45"/>
      <c r="K315" s="45">
        <v>570</v>
      </c>
      <c r="L315" s="463"/>
      <c r="M315" s="456">
        <v>35.726112365722656</v>
      </c>
      <c r="N315" s="457"/>
      <c r="O315" s="456"/>
      <c r="P315" s="46"/>
      <c r="Q315" s="463">
        <v>84.045829772949219</v>
      </c>
      <c r="R315" s="449"/>
      <c r="S315" s="463"/>
      <c r="T315" s="480"/>
      <c r="U315" s="468"/>
      <c r="V315" s="449"/>
      <c r="W315" s="45">
        <v>1802.8148193359375</v>
      </c>
      <c r="X315" s="463">
        <v>148.57151794433594</v>
      </c>
      <c r="Y315" s="449"/>
      <c r="Z315" s="45"/>
      <c r="AA315" s="468">
        <v>0.42216543305306276</v>
      </c>
      <c r="AB315" s="456"/>
      <c r="AC315" s="46"/>
      <c r="AD315" s="46"/>
      <c r="AE315" s="46"/>
      <c r="AF315" s="46"/>
      <c r="AG315" s="46"/>
      <c r="AH315" s="46"/>
      <c r="AI315" s="457"/>
      <c r="AJ315" s="138"/>
      <c r="AK315" s="745"/>
      <c r="AL315" s="54"/>
      <c r="AM315" s="468"/>
      <c r="AN315" s="449"/>
      <c r="AO315" s="45"/>
      <c r="AP315" s="45"/>
      <c r="AQ315" s="45"/>
      <c r="AR315" s="45"/>
      <c r="AS315" s="45"/>
      <c r="AT315" s="45"/>
      <c r="AU315" s="463"/>
      <c r="AV315" s="449"/>
      <c r="AW315" s="45"/>
      <c r="AX315" s="45"/>
      <c r="AY315" s="45"/>
      <c r="AZ315" s="45"/>
      <c r="BA315" s="45"/>
      <c r="BB315" s="45"/>
      <c r="BC315" s="463"/>
      <c r="BD315" s="456"/>
      <c r="BE315" s="46"/>
      <c r="BF315" s="46"/>
      <c r="BG315" s="46"/>
      <c r="BH315" s="46"/>
      <c r="BI315" s="46"/>
      <c r="BJ315" s="457"/>
      <c r="BK315" s="449">
        <v>0</v>
      </c>
      <c r="BL315" s="45"/>
      <c r="BM315" s="45"/>
      <c r="BN315" s="45"/>
      <c r="BO315" s="45"/>
      <c r="BP315" s="45"/>
      <c r="BQ315" s="45"/>
      <c r="BR315" s="45"/>
      <c r="BS315" s="45"/>
      <c r="BT315" s="45"/>
      <c r="BU315" s="45"/>
      <c r="BV315" s="45"/>
      <c r="BW315" s="45"/>
      <c r="BX315" s="45"/>
      <c r="BY315" s="45"/>
      <c r="BZ315" s="45"/>
      <c r="CA315" s="45"/>
      <c r="CB315" s="45"/>
      <c r="CC315" s="45"/>
      <c r="CD315" s="463"/>
      <c r="CE315">
        <v>0</v>
      </c>
      <c r="CF315">
        <v>0</v>
      </c>
      <c r="CG315">
        <v>0</v>
      </c>
      <c r="CH315">
        <v>0</v>
      </c>
      <c r="CI315">
        <v>0</v>
      </c>
      <c r="CJ315">
        <v>0</v>
      </c>
      <c r="CK315">
        <v>0</v>
      </c>
      <c r="CL315">
        <v>0</v>
      </c>
      <c r="CM315">
        <v>0</v>
      </c>
      <c r="CN315">
        <v>0</v>
      </c>
      <c r="CO315">
        <v>0</v>
      </c>
      <c r="CP315">
        <v>0</v>
      </c>
      <c r="CQ315">
        <v>0</v>
      </c>
      <c r="CR315">
        <v>0</v>
      </c>
      <c r="CS315">
        <v>0</v>
      </c>
      <c r="CT315">
        <v>0</v>
      </c>
      <c r="CU315">
        <v>0</v>
      </c>
      <c r="CV315">
        <v>0</v>
      </c>
      <c r="CW315">
        <v>0</v>
      </c>
      <c r="CX315">
        <v>0</v>
      </c>
      <c r="CY315">
        <v>0</v>
      </c>
      <c r="CZ315">
        <v>0</v>
      </c>
      <c r="DA315">
        <v>0</v>
      </c>
      <c r="DB315">
        <v>0</v>
      </c>
      <c r="DC315">
        <v>0</v>
      </c>
      <c r="DD315">
        <v>0</v>
      </c>
      <c r="DE315">
        <v>0</v>
      </c>
      <c r="DF315">
        <v>0</v>
      </c>
      <c r="DG315">
        <v>0</v>
      </c>
      <c r="DH315">
        <v>0</v>
      </c>
      <c r="DI315">
        <v>0</v>
      </c>
      <c r="DJ315">
        <v>0</v>
      </c>
      <c r="DK315">
        <v>0</v>
      </c>
      <c r="DL315">
        <v>0</v>
      </c>
      <c r="DM315">
        <v>0</v>
      </c>
      <c r="DN315">
        <v>0</v>
      </c>
      <c r="DO315">
        <v>0</v>
      </c>
      <c r="DP315">
        <v>0</v>
      </c>
      <c r="DQ315">
        <v>0</v>
      </c>
      <c r="DR315">
        <v>0</v>
      </c>
      <c r="DS315">
        <v>0</v>
      </c>
      <c r="DT315">
        <v>0</v>
      </c>
      <c r="DU315">
        <v>0</v>
      </c>
    </row>
    <row r="316" spans="2:125">
      <c r="B316" s="136">
        <v>307</v>
      </c>
      <c r="C316" s="138">
        <v>1</v>
      </c>
      <c r="D316" s="474">
        <v>3152.6591455637572</v>
      </c>
      <c r="E316" s="127">
        <v>279.32063484685347</v>
      </c>
      <c r="F316" s="447">
        <v>0.43228253669551164</v>
      </c>
      <c r="G316" s="127">
        <v>118.63770354212579</v>
      </c>
      <c r="H316" s="132">
        <v>51.402909547456574</v>
      </c>
      <c r="I316" s="456"/>
      <c r="J316" s="45"/>
      <c r="K316" s="45">
        <v>470</v>
      </c>
      <c r="L316" s="463"/>
      <c r="M316" s="456">
        <v>36.906425476074219</v>
      </c>
      <c r="N316" s="457"/>
      <c r="O316" s="456"/>
      <c r="P316" s="46"/>
      <c r="Q316" s="463">
        <v>62.422653198242188</v>
      </c>
      <c r="R316" s="449"/>
      <c r="S316" s="463"/>
      <c r="T316" s="480"/>
      <c r="U316" s="468"/>
      <c r="V316" s="449"/>
      <c r="W316" s="45">
        <v>1554.51611328125</v>
      </c>
      <c r="X316" s="463">
        <v>130.1153564453125</v>
      </c>
      <c r="Y316" s="449"/>
      <c r="Z316" s="45"/>
      <c r="AA316" s="468">
        <v>0.42161038687517521</v>
      </c>
      <c r="AB316" s="456"/>
      <c r="AC316" s="46"/>
      <c r="AD316" s="46"/>
      <c r="AE316" s="46"/>
      <c r="AF316" s="46"/>
      <c r="AG316" s="46"/>
      <c r="AH316" s="46"/>
      <c r="AI316" s="457"/>
      <c r="AJ316" s="138"/>
      <c r="AK316" s="745"/>
      <c r="AL316" s="54"/>
      <c r="AM316" s="468"/>
      <c r="AN316" s="449"/>
      <c r="AO316" s="45"/>
      <c r="AP316" s="45"/>
      <c r="AQ316" s="45"/>
      <c r="AR316" s="45"/>
      <c r="AS316" s="45"/>
      <c r="AT316" s="45"/>
      <c r="AU316" s="463"/>
      <c r="AV316" s="449"/>
      <c r="AW316" s="45"/>
      <c r="AX316" s="45"/>
      <c r="AY316" s="45"/>
      <c r="AZ316" s="45"/>
      <c r="BA316" s="45"/>
      <c r="BB316" s="45"/>
      <c r="BC316" s="463"/>
      <c r="BD316" s="456"/>
      <c r="BE316" s="46"/>
      <c r="BF316" s="46"/>
      <c r="BG316" s="46"/>
      <c r="BH316" s="46"/>
      <c r="BI316" s="46"/>
      <c r="BJ316" s="457"/>
      <c r="BK316" s="449">
        <v>0</v>
      </c>
      <c r="BL316" s="45"/>
      <c r="BM316" s="45"/>
      <c r="BN316" s="45"/>
      <c r="BO316" s="45"/>
      <c r="BP316" s="45"/>
      <c r="BQ316" s="45"/>
      <c r="BR316" s="45"/>
      <c r="BS316" s="45"/>
      <c r="BT316" s="45"/>
      <c r="BU316" s="45"/>
      <c r="BV316" s="45"/>
      <c r="BW316" s="45"/>
      <c r="BX316" s="45"/>
      <c r="BY316" s="45"/>
      <c r="BZ316" s="45"/>
      <c r="CA316" s="45"/>
      <c r="CB316" s="45"/>
      <c r="CC316" s="45"/>
      <c r="CD316" s="463"/>
      <c r="CE316">
        <v>0</v>
      </c>
      <c r="CF316">
        <v>0</v>
      </c>
      <c r="CG316">
        <v>0</v>
      </c>
      <c r="CH316">
        <v>0</v>
      </c>
      <c r="CI316">
        <v>0</v>
      </c>
      <c r="CJ316">
        <v>0</v>
      </c>
      <c r="CK316">
        <v>0</v>
      </c>
      <c r="CL316">
        <v>0</v>
      </c>
      <c r="CM316">
        <v>0</v>
      </c>
      <c r="CN316">
        <v>0</v>
      </c>
      <c r="CO316">
        <v>0</v>
      </c>
      <c r="CP316">
        <v>0</v>
      </c>
      <c r="CQ316">
        <v>0</v>
      </c>
      <c r="CR316">
        <v>0</v>
      </c>
      <c r="CS316">
        <v>0</v>
      </c>
      <c r="CT316">
        <v>0</v>
      </c>
      <c r="CU316">
        <v>0</v>
      </c>
      <c r="CV316">
        <v>0</v>
      </c>
      <c r="CW316">
        <v>0</v>
      </c>
      <c r="CX316">
        <v>0</v>
      </c>
      <c r="CY316">
        <v>0</v>
      </c>
      <c r="CZ316">
        <v>0</v>
      </c>
      <c r="DA316">
        <v>0</v>
      </c>
      <c r="DB316">
        <v>0</v>
      </c>
      <c r="DC316">
        <v>0</v>
      </c>
      <c r="DD316">
        <v>0</v>
      </c>
      <c r="DE316">
        <v>0</v>
      </c>
      <c r="DF316">
        <v>0</v>
      </c>
      <c r="DG316">
        <v>0</v>
      </c>
      <c r="DH316">
        <v>0</v>
      </c>
      <c r="DI316">
        <v>0</v>
      </c>
      <c r="DJ316">
        <v>0</v>
      </c>
      <c r="DK316">
        <v>0</v>
      </c>
      <c r="DL316">
        <v>0</v>
      </c>
      <c r="DM316">
        <v>0</v>
      </c>
      <c r="DN316">
        <v>0</v>
      </c>
      <c r="DO316">
        <v>0</v>
      </c>
      <c r="DP316">
        <v>0</v>
      </c>
      <c r="DQ316">
        <v>0</v>
      </c>
      <c r="DR316">
        <v>0</v>
      </c>
      <c r="DS316">
        <v>0</v>
      </c>
      <c r="DT316">
        <v>0</v>
      </c>
      <c r="DU316">
        <v>0</v>
      </c>
    </row>
    <row r="317" spans="2:125">
      <c r="B317" s="136">
        <v>308</v>
      </c>
      <c r="C317" s="138">
        <v>1</v>
      </c>
      <c r="D317" s="474">
        <v>2883.9594385647106</v>
      </c>
      <c r="E317" s="127">
        <v>241.16314706351653</v>
      </c>
      <c r="F317" s="447">
        <v>0.37946386483859967</v>
      </c>
      <c r="G317" s="127">
        <v>113.07336456748259</v>
      </c>
      <c r="H317" s="132">
        <v>47.122777691356376</v>
      </c>
      <c r="I317" s="456"/>
      <c r="J317" s="45"/>
      <c r="K317" s="45">
        <v>440</v>
      </c>
      <c r="L317" s="463"/>
      <c r="M317" s="456">
        <v>30.897216796875</v>
      </c>
      <c r="N317" s="457"/>
      <c r="O317" s="456"/>
      <c r="P317" s="46"/>
      <c r="Q317" s="463">
        <v>57.102397918701172</v>
      </c>
      <c r="R317" s="449"/>
      <c r="S317" s="463"/>
      <c r="T317" s="480"/>
      <c r="U317" s="468"/>
      <c r="V317" s="449"/>
      <c r="W317" s="45">
        <v>1228.8397216796875</v>
      </c>
      <c r="X317" s="463">
        <v>106.28722381591797</v>
      </c>
      <c r="Y317" s="449"/>
      <c r="Z317" s="45"/>
      <c r="AA317" s="468">
        <v>0.3681636791074886</v>
      </c>
      <c r="AB317" s="456"/>
      <c r="AC317" s="46"/>
      <c r="AD317" s="46"/>
      <c r="AE317" s="46"/>
      <c r="AF317" s="46"/>
      <c r="AG317" s="46"/>
      <c r="AH317" s="46"/>
      <c r="AI317" s="457"/>
      <c r="AJ317" s="138"/>
      <c r="AK317" s="745"/>
      <c r="AL317" s="54"/>
      <c r="AM317" s="468"/>
      <c r="AN317" s="449"/>
      <c r="AO317" s="45"/>
      <c r="AP317" s="45"/>
      <c r="AQ317" s="45"/>
      <c r="AR317" s="45"/>
      <c r="AS317" s="45"/>
      <c r="AT317" s="45"/>
      <c r="AU317" s="463"/>
      <c r="AV317" s="449"/>
      <c r="AW317" s="45"/>
      <c r="AX317" s="45"/>
      <c r="AY317" s="45"/>
      <c r="AZ317" s="45"/>
      <c r="BA317" s="45"/>
      <c r="BB317" s="45"/>
      <c r="BC317" s="463"/>
      <c r="BD317" s="456"/>
      <c r="BE317" s="46"/>
      <c r="BF317" s="46"/>
      <c r="BG317" s="46"/>
      <c r="BH317" s="46"/>
      <c r="BI317" s="46"/>
      <c r="BJ317" s="457"/>
      <c r="BK317" s="449">
        <v>0</v>
      </c>
      <c r="BL317" s="45"/>
      <c r="BM317" s="45"/>
      <c r="BN317" s="45"/>
      <c r="BO317" s="45"/>
      <c r="BP317" s="45"/>
      <c r="BQ317" s="45"/>
      <c r="BR317" s="45"/>
      <c r="BS317" s="45"/>
      <c r="BT317" s="45"/>
      <c r="BU317" s="45"/>
      <c r="BV317" s="45"/>
      <c r="BW317" s="45"/>
      <c r="BX317" s="45"/>
      <c r="BY317" s="45"/>
      <c r="BZ317" s="45"/>
      <c r="CA317" s="45"/>
      <c r="CB317" s="45"/>
      <c r="CC317" s="45"/>
      <c r="CD317" s="463"/>
      <c r="CE317">
        <v>0</v>
      </c>
      <c r="CF317">
        <v>0</v>
      </c>
      <c r="CG317">
        <v>0</v>
      </c>
      <c r="CH317">
        <v>0</v>
      </c>
      <c r="CI317">
        <v>0</v>
      </c>
      <c r="CJ317">
        <v>0</v>
      </c>
      <c r="CK317">
        <v>0</v>
      </c>
      <c r="CL317">
        <v>0</v>
      </c>
      <c r="CM317">
        <v>0</v>
      </c>
      <c r="CN317">
        <v>0</v>
      </c>
      <c r="CO317">
        <v>0</v>
      </c>
      <c r="CP317">
        <v>0</v>
      </c>
      <c r="CQ317">
        <v>0</v>
      </c>
      <c r="CR317">
        <v>0</v>
      </c>
      <c r="CS317">
        <v>0</v>
      </c>
      <c r="CT317">
        <v>0</v>
      </c>
      <c r="CU317">
        <v>0</v>
      </c>
      <c r="CV317">
        <v>0</v>
      </c>
      <c r="CW317">
        <v>0</v>
      </c>
      <c r="CX317">
        <v>0</v>
      </c>
      <c r="CY317">
        <v>0</v>
      </c>
      <c r="CZ317">
        <v>0</v>
      </c>
      <c r="DA317">
        <v>0</v>
      </c>
      <c r="DB317">
        <v>0</v>
      </c>
      <c r="DC317">
        <v>0</v>
      </c>
      <c r="DD317">
        <v>0</v>
      </c>
      <c r="DE317">
        <v>0</v>
      </c>
      <c r="DF317">
        <v>0</v>
      </c>
      <c r="DG317">
        <v>0</v>
      </c>
      <c r="DH317">
        <v>0</v>
      </c>
      <c r="DI317">
        <v>0</v>
      </c>
      <c r="DJ317">
        <v>0</v>
      </c>
      <c r="DK317">
        <v>0</v>
      </c>
      <c r="DL317">
        <v>0</v>
      </c>
      <c r="DM317">
        <v>0</v>
      </c>
      <c r="DN317">
        <v>0</v>
      </c>
      <c r="DO317">
        <v>0</v>
      </c>
      <c r="DP317">
        <v>0</v>
      </c>
      <c r="DQ317">
        <v>0</v>
      </c>
      <c r="DR317">
        <v>0</v>
      </c>
      <c r="DS317">
        <v>0</v>
      </c>
      <c r="DT317">
        <v>0</v>
      </c>
      <c r="DU317">
        <v>0</v>
      </c>
    </row>
    <row r="318" spans="2:125">
      <c r="B318" s="136">
        <v>309</v>
      </c>
      <c r="C318" s="138">
        <v>1</v>
      </c>
      <c r="D318" s="474">
        <v>3008.6400455238791</v>
      </c>
      <c r="E318" s="127">
        <v>256.12254622429816</v>
      </c>
      <c r="F318" s="447">
        <v>0.37399875031026747</v>
      </c>
      <c r="G318" s="127">
        <v>120.93162538661382</v>
      </c>
      <c r="H318" s="132">
        <v>47.369918990293762</v>
      </c>
      <c r="I318" s="456"/>
      <c r="J318" s="45"/>
      <c r="K318" s="45">
        <v>460</v>
      </c>
      <c r="L318" s="463"/>
      <c r="M318" s="456">
        <v>30.670755386352539</v>
      </c>
      <c r="N318" s="457"/>
      <c r="O318" s="456"/>
      <c r="P318" s="46"/>
      <c r="Q318" s="463">
        <v>59.571075439453125</v>
      </c>
      <c r="R318" s="449"/>
      <c r="S318" s="463"/>
      <c r="T318" s="480"/>
      <c r="U318" s="468"/>
      <c r="V318" s="449"/>
      <c r="W318" s="45">
        <v>1264.4005126953125</v>
      </c>
      <c r="X318" s="463">
        <v>108.97096252441406</v>
      </c>
      <c r="Y318" s="449"/>
      <c r="Z318" s="45"/>
      <c r="AA318" s="468">
        <v>0.36320318337146806</v>
      </c>
      <c r="AB318" s="456"/>
      <c r="AC318" s="46"/>
      <c r="AD318" s="46"/>
      <c r="AE318" s="46"/>
      <c r="AF318" s="46"/>
      <c r="AG318" s="46"/>
      <c r="AH318" s="46"/>
      <c r="AI318" s="457"/>
      <c r="AJ318" s="138"/>
      <c r="AK318" s="745"/>
      <c r="AL318" s="54"/>
      <c r="AM318" s="468"/>
      <c r="AN318" s="449"/>
      <c r="AO318" s="45"/>
      <c r="AP318" s="45"/>
      <c r="AQ318" s="45"/>
      <c r="AR318" s="45"/>
      <c r="AS318" s="45"/>
      <c r="AT318" s="45"/>
      <c r="AU318" s="463"/>
      <c r="AV318" s="449"/>
      <c r="AW318" s="45"/>
      <c r="AX318" s="45"/>
      <c r="AY318" s="45"/>
      <c r="AZ318" s="45"/>
      <c r="BA318" s="45"/>
      <c r="BB318" s="45"/>
      <c r="BC318" s="463"/>
      <c r="BD318" s="456"/>
      <c r="BE318" s="46"/>
      <c r="BF318" s="46"/>
      <c r="BG318" s="46"/>
      <c r="BH318" s="46"/>
      <c r="BI318" s="46"/>
      <c r="BJ318" s="457"/>
      <c r="BK318" s="449">
        <v>0</v>
      </c>
      <c r="BL318" s="45"/>
      <c r="BM318" s="45"/>
      <c r="BN318" s="45"/>
      <c r="BO318" s="45"/>
      <c r="BP318" s="45"/>
      <c r="BQ318" s="45"/>
      <c r="BR318" s="45"/>
      <c r="BS318" s="45"/>
      <c r="BT318" s="45"/>
      <c r="BU318" s="45"/>
      <c r="BV318" s="45"/>
      <c r="BW318" s="45"/>
      <c r="BX318" s="45"/>
      <c r="BY318" s="45"/>
      <c r="BZ318" s="45"/>
      <c r="CA318" s="45"/>
      <c r="CB318" s="45"/>
      <c r="CC318" s="45"/>
      <c r="CD318" s="463"/>
      <c r="CE318">
        <v>0</v>
      </c>
      <c r="CF318">
        <v>0</v>
      </c>
      <c r="CG318">
        <v>0</v>
      </c>
      <c r="CH318">
        <v>0</v>
      </c>
      <c r="CI318">
        <v>0</v>
      </c>
      <c r="CJ318">
        <v>0</v>
      </c>
      <c r="CK318">
        <v>0</v>
      </c>
      <c r="CL318">
        <v>0</v>
      </c>
      <c r="CM318">
        <v>0</v>
      </c>
      <c r="CN318">
        <v>0</v>
      </c>
      <c r="CO318">
        <v>0</v>
      </c>
      <c r="CP318">
        <v>0</v>
      </c>
      <c r="CQ318">
        <v>0</v>
      </c>
      <c r="CR318">
        <v>0</v>
      </c>
      <c r="CS318">
        <v>0</v>
      </c>
      <c r="CT318">
        <v>0</v>
      </c>
      <c r="CU318">
        <v>0</v>
      </c>
      <c r="CV318">
        <v>0</v>
      </c>
      <c r="CW318">
        <v>0</v>
      </c>
      <c r="CX318">
        <v>0</v>
      </c>
      <c r="CY318">
        <v>0</v>
      </c>
      <c r="CZ318">
        <v>0</v>
      </c>
      <c r="DA318">
        <v>0</v>
      </c>
      <c r="DB318">
        <v>0</v>
      </c>
      <c r="DC318">
        <v>0</v>
      </c>
      <c r="DD318">
        <v>0</v>
      </c>
      <c r="DE318">
        <v>0</v>
      </c>
      <c r="DF318">
        <v>0</v>
      </c>
      <c r="DG318">
        <v>0</v>
      </c>
      <c r="DH318">
        <v>0</v>
      </c>
      <c r="DI318">
        <v>0</v>
      </c>
      <c r="DJ318">
        <v>0</v>
      </c>
      <c r="DK318">
        <v>0</v>
      </c>
      <c r="DL318">
        <v>0</v>
      </c>
      <c r="DM318">
        <v>0</v>
      </c>
      <c r="DN318">
        <v>0</v>
      </c>
      <c r="DO318">
        <v>0</v>
      </c>
      <c r="DP318">
        <v>0</v>
      </c>
      <c r="DQ318">
        <v>0</v>
      </c>
      <c r="DR318">
        <v>0</v>
      </c>
      <c r="DS318">
        <v>0</v>
      </c>
      <c r="DT318">
        <v>0</v>
      </c>
      <c r="DU318">
        <v>0</v>
      </c>
    </row>
    <row r="319" spans="2:125">
      <c r="B319" s="136">
        <v>310</v>
      </c>
      <c r="C319" s="138">
        <v>1</v>
      </c>
      <c r="D319" s="474">
        <v>3656.7980707914512</v>
      </c>
      <c r="E319" s="127">
        <v>251.8948156251451</v>
      </c>
      <c r="F319" s="447">
        <v>0.43193898044640233</v>
      </c>
      <c r="G319" s="127">
        <v>152.01285435232401</v>
      </c>
      <c r="H319" s="132">
        <v>58.921431203272363</v>
      </c>
      <c r="I319" s="456"/>
      <c r="J319" s="45"/>
      <c r="K319" s="45">
        <v>610</v>
      </c>
      <c r="L319" s="463"/>
      <c r="M319" s="456">
        <v>39.318656921386719</v>
      </c>
      <c r="N319" s="457"/>
      <c r="O319" s="456"/>
      <c r="P319" s="46"/>
      <c r="Q319" s="463">
        <v>80.25335693359375</v>
      </c>
      <c r="R319" s="449"/>
      <c r="S319" s="463"/>
      <c r="T319" s="480"/>
      <c r="U319" s="468"/>
      <c r="V319" s="449"/>
      <c r="W319" s="45">
        <v>1937.0562744140625</v>
      </c>
      <c r="X319" s="463">
        <v>158.49397277832031</v>
      </c>
      <c r="Y319" s="449"/>
      <c r="Z319" s="45"/>
      <c r="AA319" s="468">
        <v>0.42274000939092721</v>
      </c>
      <c r="AB319" s="456"/>
      <c r="AC319" s="46"/>
      <c r="AD319" s="46"/>
      <c r="AE319" s="46"/>
      <c r="AF319" s="46"/>
      <c r="AG319" s="46"/>
      <c r="AH319" s="46"/>
      <c r="AI319" s="457"/>
      <c r="AJ319" s="138"/>
      <c r="AK319" s="745"/>
      <c r="AL319" s="54"/>
      <c r="AM319" s="468"/>
      <c r="AN319" s="449"/>
      <c r="AO319" s="45"/>
      <c r="AP319" s="45"/>
      <c r="AQ319" s="45"/>
      <c r="AR319" s="45"/>
      <c r="AS319" s="45"/>
      <c r="AT319" s="45"/>
      <c r="AU319" s="463"/>
      <c r="AV319" s="449"/>
      <c r="AW319" s="45"/>
      <c r="AX319" s="45"/>
      <c r="AY319" s="45"/>
      <c r="AZ319" s="45"/>
      <c r="BA319" s="45"/>
      <c r="BB319" s="45"/>
      <c r="BC319" s="463"/>
      <c r="BD319" s="456"/>
      <c r="BE319" s="46"/>
      <c r="BF319" s="46"/>
      <c r="BG319" s="46"/>
      <c r="BH319" s="46"/>
      <c r="BI319" s="46"/>
      <c r="BJ319" s="457"/>
      <c r="BK319" s="449">
        <v>0</v>
      </c>
      <c r="BL319" s="45"/>
      <c r="BM319" s="45"/>
      <c r="BN319" s="45"/>
      <c r="BO319" s="45"/>
      <c r="BP319" s="45"/>
      <c r="BQ319" s="45"/>
      <c r="BR319" s="45"/>
      <c r="BS319" s="45"/>
      <c r="BT319" s="45"/>
      <c r="BU319" s="45"/>
      <c r="BV319" s="45"/>
      <c r="BW319" s="45"/>
      <c r="BX319" s="45"/>
      <c r="BY319" s="45"/>
      <c r="BZ319" s="45"/>
      <c r="CA319" s="45"/>
      <c r="CB319" s="45"/>
      <c r="CC319" s="45"/>
      <c r="CD319" s="463"/>
      <c r="CE319">
        <v>0</v>
      </c>
      <c r="CF319">
        <v>0</v>
      </c>
      <c r="CG319">
        <v>0</v>
      </c>
      <c r="CH319">
        <v>0</v>
      </c>
      <c r="CI319">
        <v>0</v>
      </c>
      <c r="CJ319">
        <v>0</v>
      </c>
      <c r="CK319">
        <v>0</v>
      </c>
      <c r="CL319">
        <v>0</v>
      </c>
      <c r="CM319">
        <v>0</v>
      </c>
      <c r="CN319">
        <v>0</v>
      </c>
      <c r="CO319">
        <v>0</v>
      </c>
      <c r="CP319">
        <v>0</v>
      </c>
      <c r="CQ319">
        <v>0</v>
      </c>
      <c r="CR319">
        <v>0</v>
      </c>
      <c r="CS319">
        <v>0</v>
      </c>
      <c r="CT319">
        <v>0</v>
      </c>
      <c r="CU319">
        <v>0</v>
      </c>
      <c r="CV319">
        <v>0</v>
      </c>
      <c r="CW319">
        <v>0</v>
      </c>
      <c r="CX319">
        <v>0</v>
      </c>
      <c r="CY319">
        <v>0</v>
      </c>
      <c r="CZ319">
        <v>0</v>
      </c>
      <c r="DA319">
        <v>0</v>
      </c>
      <c r="DB319">
        <v>0</v>
      </c>
      <c r="DC319">
        <v>0</v>
      </c>
      <c r="DD319">
        <v>0</v>
      </c>
      <c r="DE319">
        <v>0</v>
      </c>
      <c r="DF319">
        <v>0</v>
      </c>
      <c r="DG319">
        <v>0</v>
      </c>
      <c r="DH319">
        <v>0</v>
      </c>
      <c r="DI319">
        <v>0</v>
      </c>
      <c r="DJ319">
        <v>0</v>
      </c>
      <c r="DK319">
        <v>0</v>
      </c>
      <c r="DL319">
        <v>0</v>
      </c>
      <c r="DM319">
        <v>0</v>
      </c>
      <c r="DN319">
        <v>0</v>
      </c>
      <c r="DO319">
        <v>0</v>
      </c>
      <c r="DP319">
        <v>0</v>
      </c>
      <c r="DQ319">
        <v>0</v>
      </c>
      <c r="DR319">
        <v>0</v>
      </c>
      <c r="DS319">
        <v>0</v>
      </c>
      <c r="DT319">
        <v>0</v>
      </c>
      <c r="DU319">
        <v>0</v>
      </c>
    </row>
    <row r="320" spans="2:125">
      <c r="B320" s="136">
        <v>311</v>
      </c>
      <c r="C320" s="138">
        <v>1</v>
      </c>
      <c r="D320" s="474">
        <v>2928.8907882262315</v>
      </c>
      <c r="E320" s="127">
        <v>257.23078098341693</v>
      </c>
      <c r="F320" s="447">
        <v>0.41434756022740038</v>
      </c>
      <c r="G320" s="127">
        <v>103.32793730949003</v>
      </c>
      <c r="H320" s="132">
        <v>58.9603452221045</v>
      </c>
      <c r="I320" s="456"/>
      <c r="J320" s="45"/>
      <c r="K320" s="45">
        <v>450</v>
      </c>
      <c r="L320" s="463"/>
      <c r="M320" s="456">
        <v>31.682857513427734</v>
      </c>
      <c r="N320" s="457"/>
      <c r="O320" s="456"/>
      <c r="P320" s="46"/>
      <c r="Q320" s="463">
        <v>66.227806091308594</v>
      </c>
      <c r="R320" s="449"/>
      <c r="S320" s="463"/>
      <c r="T320" s="480"/>
      <c r="U320" s="468"/>
      <c r="V320" s="449"/>
      <c r="W320" s="45">
        <v>1390.867431640625</v>
      </c>
      <c r="X320" s="463">
        <v>118.12268829345703</v>
      </c>
      <c r="Y320" s="449"/>
      <c r="Z320" s="45"/>
      <c r="AA320" s="468">
        <v>0.40298252355947228</v>
      </c>
      <c r="AB320" s="456"/>
      <c r="AC320" s="46"/>
      <c r="AD320" s="46"/>
      <c r="AE320" s="46"/>
      <c r="AF320" s="46"/>
      <c r="AG320" s="46"/>
      <c r="AH320" s="46"/>
      <c r="AI320" s="457"/>
      <c r="AJ320" s="138"/>
      <c r="AK320" s="745"/>
      <c r="AL320" s="54"/>
      <c r="AM320" s="468"/>
      <c r="AN320" s="449"/>
      <c r="AO320" s="45"/>
      <c r="AP320" s="45"/>
      <c r="AQ320" s="45"/>
      <c r="AR320" s="45"/>
      <c r="AS320" s="45"/>
      <c r="AT320" s="45"/>
      <c r="AU320" s="463"/>
      <c r="AV320" s="449"/>
      <c r="AW320" s="45"/>
      <c r="AX320" s="45"/>
      <c r="AY320" s="45"/>
      <c r="AZ320" s="45"/>
      <c r="BA320" s="45"/>
      <c r="BB320" s="45"/>
      <c r="BC320" s="463"/>
      <c r="BD320" s="456"/>
      <c r="BE320" s="46"/>
      <c r="BF320" s="46"/>
      <c r="BG320" s="46"/>
      <c r="BH320" s="46"/>
      <c r="BI320" s="46"/>
      <c r="BJ320" s="457"/>
      <c r="BK320" s="449">
        <v>0</v>
      </c>
      <c r="BL320" s="45"/>
      <c r="BM320" s="45"/>
      <c r="BN320" s="45"/>
      <c r="BO320" s="45"/>
      <c r="BP320" s="45"/>
      <c r="BQ320" s="45"/>
      <c r="BR320" s="45"/>
      <c r="BS320" s="45"/>
      <c r="BT320" s="45"/>
      <c r="BU320" s="45"/>
      <c r="BV320" s="45"/>
      <c r="BW320" s="45"/>
      <c r="BX320" s="45"/>
      <c r="BY320" s="45"/>
      <c r="BZ320" s="45"/>
      <c r="CA320" s="45"/>
      <c r="CB320" s="45"/>
      <c r="CC320" s="45"/>
      <c r="CD320" s="463"/>
      <c r="CE320">
        <v>0</v>
      </c>
      <c r="CF320">
        <v>0</v>
      </c>
      <c r="CG320">
        <v>0</v>
      </c>
      <c r="CH320">
        <v>0</v>
      </c>
      <c r="CI320">
        <v>0</v>
      </c>
      <c r="CJ320">
        <v>0</v>
      </c>
      <c r="CK320">
        <v>0</v>
      </c>
      <c r="CL320">
        <v>0</v>
      </c>
      <c r="CM320">
        <v>0</v>
      </c>
      <c r="CN320">
        <v>0</v>
      </c>
      <c r="CO320">
        <v>0</v>
      </c>
      <c r="CP320">
        <v>0</v>
      </c>
      <c r="CQ320">
        <v>0</v>
      </c>
      <c r="CR320">
        <v>0</v>
      </c>
      <c r="CS320">
        <v>0</v>
      </c>
      <c r="CT320">
        <v>0</v>
      </c>
      <c r="CU320">
        <v>0</v>
      </c>
      <c r="CV320">
        <v>0</v>
      </c>
      <c r="CW320">
        <v>0</v>
      </c>
      <c r="CX320">
        <v>0</v>
      </c>
      <c r="CY320">
        <v>0</v>
      </c>
      <c r="CZ320">
        <v>0</v>
      </c>
      <c r="DA320">
        <v>0</v>
      </c>
      <c r="DB320">
        <v>0</v>
      </c>
      <c r="DC320">
        <v>0</v>
      </c>
      <c r="DD320">
        <v>0</v>
      </c>
      <c r="DE320">
        <v>0</v>
      </c>
      <c r="DF320">
        <v>0</v>
      </c>
      <c r="DG320">
        <v>0</v>
      </c>
      <c r="DH320">
        <v>0</v>
      </c>
      <c r="DI320">
        <v>0</v>
      </c>
      <c r="DJ320">
        <v>0</v>
      </c>
      <c r="DK320">
        <v>0</v>
      </c>
      <c r="DL320">
        <v>0</v>
      </c>
      <c r="DM320">
        <v>0</v>
      </c>
      <c r="DN320">
        <v>0</v>
      </c>
      <c r="DO320">
        <v>0</v>
      </c>
      <c r="DP320">
        <v>0</v>
      </c>
      <c r="DQ320">
        <v>0</v>
      </c>
      <c r="DR320">
        <v>0</v>
      </c>
      <c r="DS320">
        <v>0</v>
      </c>
      <c r="DT320">
        <v>0</v>
      </c>
      <c r="DU320">
        <v>0</v>
      </c>
    </row>
    <row r="321" spans="2:125">
      <c r="B321" s="136">
        <v>312</v>
      </c>
      <c r="C321" s="138">
        <v>1</v>
      </c>
      <c r="D321" s="474">
        <v>2865.7596420906052</v>
      </c>
      <c r="E321" s="127">
        <v>232.60926701108636</v>
      </c>
      <c r="F321" s="447">
        <v>0.43266764246803591</v>
      </c>
      <c r="G321" s="127">
        <v>92.857631195477992</v>
      </c>
      <c r="H321" s="132">
        <v>60.465064319547366</v>
      </c>
      <c r="I321" s="456"/>
      <c r="J321" s="45"/>
      <c r="K321" s="45">
        <v>420</v>
      </c>
      <c r="L321" s="463"/>
      <c r="M321" s="456">
        <v>32.461212158203125</v>
      </c>
      <c r="N321" s="457"/>
      <c r="O321" s="456"/>
      <c r="P321" s="46"/>
      <c r="Q321" s="463">
        <v>65.117141723632813</v>
      </c>
      <c r="R321" s="449"/>
      <c r="S321" s="463"/>
      <c r="T321" s="480"/>
      <c r="U321" s="468"/>
      <c r="V321" s="449"/>
      <c r="W321" s="45">
        <v>1397.77392578125</v>
      </c>
      <c r="X321" s="463">
        <v>118.50979614257812</v>
      </c>
      <c r="Y321" s="449"/>
      <c r="Z321" s="45"/>
      <c r="AA321" s="468">
        <v>0.42092438516373165</v>
      </c>
      <c r="AB321" s="456"/>
      <c r="AC321" s="46"/>
      <c r="AD321" s="46"/>
      <c r="AE321" s="46"/>
      <c r="AF321" s="46"/>
      <c r="AG321" s="46"/>
      <c r="AH321" s="46"/>
      <c r="AI321" s="457"/>
      <c r="AJ321" s="138"/>
      <c r="AK321" s="745"/>
      <c r="AL321" s="54"/>
      <c r="AM321" s="468"/>
      <c r="AN321" s="449"/>
      <c r="AO321" s="45"/>
      <c r="AP321" s="45"/>
      <c r="AQ321" s="45"/>
      <c r="AR321" s="45"/>
      <c r="AS321" s="45"/>
      <c r="AT321" s="45"/>
      <c r="AU321" s="463"/>
      <c r="AV321" s="449"/>
      <c r="AW321" s="45"/>
      <c r="AX321" s="45"/>
      <c r="AY321" s="45"/>
      <c r="AZ321" s="45"/>
      <c r="BA321" s="45"/>
      <c r="BB321" s="45"/>
      <c r="BC321" s="463"/>
      <c r="BD321" s="456"/>
      <c r="BE321" s="46"/>
      <c r="BF321" s="46"/>
      <c r="BG321" s="46"/>
      <c r="BH321" s="46"/>
      <c r="BI321" s="46"/>
      <c r="BJ321" s="457"/>
      <c r="BK321" s="449">
        <v>0</v>
      </c>
      <c r="BL321" s="45"/>
      <c r="BM321" s="45"/>
      <c r="BN321" s="45"/>
      <c r="BO321" s="45"/>
      <c r="BP321" s="45"/>
      <c r="BQ321" s="45"/>
      <c r="BR321" s="45"/>
      <c r="BS321" s="45"/>
      <c r="BT321" s="45"/>
      <c r="BU321" s="45"/>
      <c r="BV321" s="45"/>
      <c r="BW321" s="45"/>
      <c r="BX321" s="45"/>
      <c r="BY321" s="45"/>
      <c r="BZ321" s="45"/>
      <c r="CA321" s="45"/>
      <c r="CB321" s="45"/>
      <c r="CC321" s="45"/>
      <c r="CD321" s="463"/>
      <c r="CE321">
        <v>0</v>
      </c>
      <c r="CF321">
        <v>0</v>
      </c>
      <c r="CG321">
        <v>0</v>
      </c>
      <c r="CH321">
        <v>0</v>
      </c>
      <c r="CI321">
        <v>0</v>
      </c>
      <c r="CJ321">
        <v>0</v>
      </c>
      <c r="CK321">
        <v>0</v>
      </c>
      <c r="CL321">
        <v>0</v>
      </c>
      <c r="CM321">
        <v>0</v>
      </c>
      <c r="CN321">
        <v>0</v>
      </c>
      <c r="CO321">
        <v>0</v>
      </c>
      <c r="CP321">
        <v>0</v>
      </c>
      <c r="CQ321">
        <v>0</v>
      </c>
      <c r="CR321">
        <v>0</v>
      </c>
      <c r="CS321">
        <v>0</v>
      </c>
      <c r="CT321">
        <v>0</v>
      </c>
      <c r="CU321">
        <v>0</v>
      </c>
      <c r="CV321">
        <v>0</v>
      </c>
      <c r="CW321">
        <v>0</v>
      </c>
      <c r="CX321">
        <v>0</v>
      </c>
      <c r="CY321">
        <v>0</v>
      </c>
      <c r="CZ321">
        <v>0</v>
      </c>
      <c r="DA321">
        <v>0</v>
      </c>
      <c r="DB321">
        <v>0</v>
      </c>
      <c r="DC321">
        <v>0</v>
      </c>
      <c r="DD321">
        <v>0</v>
      </c>
      <c r="DE321">
        <v>0</v>
      </c>
      <c r="DF321">
        <v>0</v>
      </c>
      <c r="DG321">
        <v>0</v>
      </c>
      <c r="DH321">
        <v>0</v>
      </c>
      <c r="DI321">
        <v>0</v>
      </c>
      <c r="DJ321">
        <v>0</v>
      </c>
      <c r="DK321">
        <v>0</v>
      </c>
      <c r="DL321">
        <v>0</v>
      </c>
      <c r="DM321">
        <v>0</v>
      </c>
      <c r="DN321">
        <v>0</v>
      </c>
      <c r="DO321">
        <v>0</v>
      </c>
      <c r="DP321">
        <v>0</v>
      </c>
      <c r="DQ321">
        <v>0</v>
      </c>
      <c r="DR321">
        <v>0</v>
      </c>
      <c r="DS321">
        <v>0</v>
      </c>
      <c r="DT321">
        <v>0</v>
      </c>
      <c r="DU321">
        <v>0</v>
      </c>
    </row>
    <row r="322" spans="2:125">
      <c r="B322" s="136">
        <v>313</v>
      </c>
      <c r="C322" s="138">
        <v>1</v>
      </c>
      <c r="D322" s="474">
        <v>2872.9530233651167</v>
      </c>
      <c r="E322" s="127">
        <v>273.55379627481528</v>
      </c>
      <c r="F322" s="447">
        <v>0.37749737254692867</v>
      </c>
      <c r="G322" s="127">
        <v>108.42219223024678</v>
      </c>
      <c r="H322" s="132">
        <v>48.502716567031236</v>
      </c>
      <c r="I322" s="456"/>
      <c r="J322" s="45"/>
      <c r="K322" s="45">
        <v>430</v>
      </c>
      <c r="L322" s="463"/>
      <c r="M322" s="456">
        <v>30.290803909301758</v>
      </c>
      <c r="N322" s="457"/>
      <c r="O322" s="456"/>
      <c r="P322" s="46"/>
      <c r="Q322" s="463">
        <v>56.884471893310547</v>
      </c>
      <c r="R322" s="449"/>
      <c r="S322" s="463"/>
      <c r="T322" s="480"/>
      <c r="U322" s="468"/>
      <c r="V322" s="449"/>
      <c r="W322" s="45">
        <v>1199.6495361328125</v>
      </c>
      <c r="X322" s="463">
        <v>104.12688446044922</v>
      </c>
      <c r="Y322" s="449"/>
      <c r="Z322" s="45"/>
      <c r="AA322" s="468">
        <v>0.3661675849777562</v>
      </c>
      <c r="AB322" s="456"/>
      <c r="AC322" s="46"/>
      <c r="AD322" s="46"/>
      <c r="AE322" s="46"/>
      <c r="AF322" s="46"/>
      <c r="AG322" s="46"/>
      <c r="AH322" s="46"/>
      <c r="AI322" s="457"/>
      <c r="AJ322" s="138"/>
      <c r="AK322" s="745"/>
      <c r="AL322" s="54"/>
      <c r="AM322" s="468"/>
      <c r="AN322" s="449"/>
      <c r="AO322" s="45"/>
      <c r="AP322" s="45"/>
      <c r="AQ322" s="45"/>
      <c r="AR322" s="45"/>
      <c r="AS322" s="45"/>
      <c r="AT322" s="45"/>
      <c r="AU322" s="463"/>
      <c r="AV322" s="449"/>
      <c r="AW322" s="45"/>
      <c r="AX322" s="45"/>
      <c r="AY322" s="45"/>
      <c r="AZ322" s="45"/>
      <c r="BA322" s="45"/>
      <c r="BB322" s="45"/>
      <c r="BC322" s="463"/>
      <c r="BD322" s="456"/>
      <c r="BE322" s="46"/>
      <c r="BF322" s="46"/>
      <c r="BG322" s="46"/>
      <c r="BH322" s="46"/>
      <c r="BI322" s="46"/>
      <c r="BJ322" s="457"/>
      <c r="BK322" s="449">
        <v>0</v>
      </c>
      <c r="BL322" s="45"/>
      <c r="BM322" s="45"/>
      <c r="BN322" s="45"/>
      <c r="BO322" s="45"/>
      <c r="BP322" s="45"/>
      <c r="BQ322" s="45"/>
      <c r="BR322" s="45"/>
      <c r="BS322" s="45"/>
      <c r="BT322" s="45"/>
      <c r="BU322" s="45"/>
      <c r="BV322" s="45"/>
      <c r="BW322" s="45"/>
      <c r="BX322" s="45"/>
      <c r="BY322" s="45"/>
      <c r="BZ322" s="45"/>
      <c r="CA322" s="45"/>
      <c r="CB322" s="45"/>
      <c r="CC322" s="45"/>
      <c r="CD322" s="463"/>
      <c r="CE322">
        <v>0</v>
      </c>
      <c r="CF322">
        <v>0</v>
      </c>
      <c r="CG322">
        <v>0</v>
      </c>
      <c r="CH322">
        <v>0</v>
      </c>
      <c r="CI322">
        <v>0</v>
      </c>
      <c r="CJ322">
        <v>0</v>
      </c>
      <c r="CK322">
        <v>0</v>
      </c>
      <c r="CL322">
        <v>0</v>
      </c>
      <c r="CM322">
        <v>0</v>
      </c>
      <c r="CN322">
        <v>0</v>
      </c>
      <c r="CO322">
        <v>0</v>
      </c>
      <c r="CP322">
        <v>0</v>
      </c>
      <c r="CQ322">
        <v>0</v>
      </c>
      <c r="CR322">
        <v>0</v>
      </c>
      <c r="CS322">
        <v>0</v>
      </c>
      <c r="CT322">
        <v>0</v>
      </c>
      <c r="CU322">
        <v>0</v>
      </c>
      <c r="CV322">
        <v>0</v>
      </c>
      <c r="CW322">
        <v>0</v>
      </c>
      <c r="CX322">
        <v>0</v>
      </c>
      <c r="CY322">
        <v>0</v>
      </c>
      <c r="CZ322">
        <v>0</v>
      </c>
      <c r="DA322">
        <v>0</v>
      </c>
      <c r="DB322">
        <v>0</v>
      </c>
      <c r="DC322">
        <v>0</v>
      </c>
      <c r="DD322">
        <v>0</v>
      </c>
      <c r="DE322">
        <v>0</v>
      </c>
      <c r="DF322">
        <v>0</v>
      </c>
      <c r="DG322">
        <v>0</v>
      </c>
      <c r="DH322">
        <v>0</v>
      </c>
      <c r="DI322">
        <v>0</v>
      </c>
      <c r="DJ322">
        <v>0</v>
      </c>
      <c r="DK322">
        <v>0</v>
      </c>
      <c r="DL322">
        <v>0</v>
      </c>
      <c r="DM322">
        <v>0</v>
      </c>
      <c r="DN322">
        <v>0</v>
      </c>
      <c r="DO322">
        <v>0</v>
      </c>
      <c r="DP322">
        <v>0</v>
      </c>
      <c r="DQ322">
        <v>0</v>
      </c>
      <c r="DR322">
        <v>0</v>
      </c>
      <c r="DS322">
        <v>0</v>
      </c>
      <c r="DT322">
        <v>0</v>
      </c>
      <c r="DU322">
        <v>0</v>
      </c>
    </row>
    <row r="323" spans="2:125">
      <c r="B323" s="136">
        <v>314</v>
      </c>
      <c r="C323" s="138">
        <v>1</v>
      </c>
      <c r="D323" s="474">
        <v>2946.9044279475879</v>
      </c>
      <c r="E323" s="127">
        <v>229.51497418853572</v>
      </c>
      <c r="F323" s="447">
        <v>0.40920708492247776</v>
      </c>
      <c r="G323" s="127">
        <v>118.25215757946258</v>
      </c>
      <c r="H323" s="132">
        <v>46.80439155212369</v>
      </c>
      <c r="I323" s="456"/>
      <c r="J323" s="45"/>
      <c r="K323" s="45">
        <v>460</v>
      </c>
      <c r="L323" s="463"/>
      <c r="M323" s="456">
        <v>34.52496337890625</v>
      </c>
      <c r="N323" s="457"/>
      <c r="O323" s="456"/>
      <c r="P323" s="46"/>
      <c r="Q323" s="463">
        <v>58.348709106445313</v>
      </c>
      <c r="R323" s="449"/>
      <c r="S323" s="463"/>
      <c r="T323" s="480"/>
      <c r="U323" s="468"/>
      <c r="V323" s="449"/>
      <c r="W323" s="45">
        <v>1400.8648681640625</v>
      </c>
      <c r="X323" s="463">
        <v>118.88076019287109</v>
      </c>
      <c r="Y323" s="449"/>
      <c r="Z323" s="45"/>
      <c r="AA323" s="468">
        <v>0.39794640697726147</v>
      </c>
      <c r="AB323" s="456"/>
      <c r="AC323" s="46"/>
      <c r="AD323" s="46"/>
      <c r="AE323" s="46"/>
      <c r="AF323" s="46"/>
      <c r="AG323" s="46"/>
      <c r="AH323" s="46"/>
      <c r="AI323" s="457"/>
      <c r="AJ323" s="138"/>
      <c r="AK323" s="745"/>
      <c r="AL323" s="54"/>
      <c r="AM323" s="468"/>
      <c r="AN323" s="449"/>
      <c r="AO323" s="45"/>
      <c r="AP323" s="45"/>
      <c r="AQ323" s="45"/>
      <c r="AR323" s="45"/>
      <c r="AS323" s="45"/>
      <c r="AT323" s="45"/>
      <c r="AU323" s="463"/>
      <c r="AV323" s="449"/>
      <c r="AW323" s="45"/>
      <c r="AX323" s="45"/>
      <c r="AY323" s="45"/>
      <c r="AZ323" s="45"/>
      <c r="BA323" s="45"/>
      <c r="BB323" s="45"/>
      <c r="BC323" s="463"/>
      <c r="BD323" s="456"/>
      <c r="BE323" s="46"/>
      <c r="BF323" s="46"/>
      <c r="BG323" s="46"/>
      <c r="BH323" s="46"/>
      <c r="BI323" s="46"/>
      <c r="BJ323" s="457"/>
      <c r="BK323" s="449">
        <v>0</v>
      </c>
      <c r="BL323" s="45"/>
      <c r="BM323" s="45"/>
      <c r="BN323" s="45"/>
      <c r="BO323" s="45"/>
      <c r="BP323" s="45"/>
      <c r="BQ323" s="45"/>
      <c r="BR323" s="45"/>
      <c r="BS323" s="45"/>
      <c r="BT323" s="45"/>
      <c r="BU323" s="45"/>
      <c r="BV323" s="45"/>
      <c r="BW323" s="45"/>
      <c r="BX323" s="45"/>
      <c r="BY323" s="45"/>
      <c r="BZ323" s="45"/>
      <c r="CA323" s="45"/>
      <c r="CB323" s="45"/>
      <c r="CC323" s="45"/>
      <c r="CD323" s="463"/>
      <c r="CE323">
        <v>0</v>
      </c>
      <c r="CF323">
        <v>0</v>
      </c>
      <c r="CG323">
        <v>0</v>
      </c>
      <c r="CH323">
        <v>0</v>
      </c>
      <c r="CI323">
        <v>0</v>
      </c>
      <c r="CJ323">
        <v>0</v>
      </c>
      <c r="CK323">
        <v>0</v>
      </c>
      <c r="CL323">
        <v>0</v>
      </c>
      <c r="CM323">
        <v>0</v>
      </c>
      <c r="CN323">
        <v>0</v>
      </c>
      <c r="CO323">
        <v>0</v>
      </c>
      <c r="CP323">
        <v>0</v>
      </c>
      <c r="CQ323">
        <v>0</v>
      </c>
      <c r="CR323">
        <v>0</v>
      </c>
      <c r="CS323">
        <v>0</v>
      </c>
      <c r="CT323">
        <v>0</v>
      </c>
      <c r="CU323">
        <v>0</v>
      </c>
      <c r="CV323">
        <v>0</v>
      </c>
      <c r="CW323">
        <v>0</v>
      </c>
      <c r="CX323">
        <v>0</v>
      </c>
      <c r="CY323">
        <v>0</v>
      </c>
      <c r="CZ323">
        <v>0</v>
      </c>
      <c r="DA323">
        <v>0</v>
      </c>
      <c r="DB323">
        <v>0</v>
      </c>
      <c r="DC323">
        <v>0</v>
      </c>
      <c r="DD323">
        <v>0</v>
      </c>
      <c r="DE323">
        <v>0</v>
      </c>
      <c r="DF323">
        <v>0</v>
      </c>
      <c r="DG323">
        <v>0</v>
      </c>
      <c r="DH323">
        <v>0</v>
      </c>
      <c r="DI323">
        <v>0</v>
      </c>
      <c r="DJ323">
        <v>0</v>
      </c>
      <c r="DK323">
        <v>0</v>
      </c>
      <c r="DL323">
        <v>0</v>
      </c>
      <c r="DM323">
        <v>0</v>
      </c>
      <c r="DN323">
        <v>0</v>
      </c>
      <c r="DO323">
        <v>0</v>
      </c>
      <c r="DP323">
        <v>0</v>
      </c>
      <c r="DQ323">
        <v>0</v>
      </c>
      <c r="DR323">
        <v>0</v>
      </c>
      <c r="DS323">
        <v>0</v>
      </c>
      <c r="DT323">
        <v>0</v>
      </c>
      <c r="DU323">
        <v>0</v>
      </c>
    </row>
    <row r="324" spans="2:125">
      <c r="B324" s="136">
        <v>315</v>
      </c>
      <c r="C324" s="138">
        <v>1</v>
      </c>
      <c r="D324" s="474">
        <v>3801.0573325650712</v>
      </c>
      <c r="E324" s="127">
        <v>214.58292704805768</v>
      </c>
      <c r="F324" s="447">
        <v>0.44839948960864107</v>
      </c>
      <c r="G324" s="127">
        <v>126.96292171129721</v>
      </c>
      <c r="H324" s="132">
        <v>60.682292748341425</v>
      </c>
      <c r="I324" s="456"/>
      <c r="J324" s="45"/>
      <c r="K324" s="45">
        <v>530</v>
      </c>
      <c r="L324" s="463"/>
      <c r="M324" s="456">
        <v>39.07537841796875</v>
      </c>
      <c r="N324" s="457"/>
      <c r="O324" s="456"/>
      <c r="P324" s="46"/>
      <c r="Q324" s="463">
        <v>75.260940551757812</v>
      </c>
      <c r="R324" s="449"/>
      <c r="S324" s="463"/>
      <c r="T324" s="480"/>
      <c r="U324" s="468"/>
      <c r="V324" s="449"/>
      <c r="W324" s="45">
        <v>1833.7808837890625</v>
      </c>
      <c r="X324" s="463">
        <v>150.68545532226562</v>
      </c>
      <c r="Y324" s="449"/>
      <c r="Z324" s="45"/>
      <c r="AA324" s="468">
        <v>0.4394630314549699</v>
      </c>
      <c r="AB324" s="456"/>
      <c r="AC324" s="46"/>
      <c r="AD324" s="46"/>
      <c r="AE324" s="46"/>
      <c r="AF324" s="46"/>
      <c r="AG324" s="46"/>
      <c r="AH324" s="46"/>
      <c r="AI324" s="457"/>
      <c r="AJ324" s="138"/>
      <c r="AK324" s="745"/>
      <c r="AL324" s="54"/>
      <c r="AM324" s="468"/>
      <c r="AN324" s="449"/>
      <c r="AO324" s="45"/>
      <c r="AP324" s="45"/>
      <c r="AQ324" s="45"/>
      <c r="AR324" s="45"/>
      <c r="AS324" s="45"/>
      <c r="AT324" s="45"/>
      <c r="AU324" s="463"/>
      <c r="AV324" s="449"/>
      <c r="AW324" s="45"/>
      <c r="AX324" s="45"/>
      <c r="AY324" s="45"/>
      <c r="AZ324" s="45"/>
      <c r="BA324" s="45"/>
      <c r="BB324" s="45"/>
      <c r="BC324" s="463"/>
      <c r="BD324" s="456"/>
      <c r="BE324" s="46"/>
      <c r="BF324" s="46"/>
      <c r="BG324" s="46"/>
      <c r="BH324" s="46"/>
      <c r="BI324" s="46"/>
      <c r="BJ324" s="457"/>
      <c r="BK324" s="449">
        <v>0</v>
      </c>
      <c r="BL324" s="45"/>
      <c r="BM324" s="45"/>
      <c r="BN324" s="45"/>
      <c r="BO324" s="45"/>
      <c r="BP324" s="45"/>
      <c r="BQ324" s="45"/>
      <c r="BR324" s="45"/>
      <c r="BS324" s="45"/>
      <c r="BT324" s="45"/>
      <c r="BU324" s="45"/>
      <c r="BV324" s="45"/>
      <c r="BW324" s="45"/>
      <c r="BX324" s="45"/>
      <c r="BY324" s="45"/>
      <c r="BZ324" s="45"/>
      <c r="CA324" s="45"/>
      <c r="CB324" s="45"/>
      <c r="CC324" s="45"/>
      <c r="CD324" s="463"/>
      <c r="CE324">
        <v>0</v>
      </c>
      <c r="CF324">
        <v>0</v>
      </c>
      <c r="CG324">
        <v>0</v>
      </c>
      <c r="CH324">
        <v>0</v>
      </c>
      <c r="CI324">
        <v>0</v>
      </c>
      <c r="CJ324">
        <v>0</v>
      </c>
      <c r="CK324">
        <v>0</v>
      </c>
      <c r="CL324">
        <v>0</v>
      </c>
      <c r="CM324">
        <v>0</v>
      </c>
      <c r="CN324">
        <v>0</v>
      </c>
      <c r="CO324">
        <v>0</v>
      </c>
      <c r="CP324">
        <v>0</v>
      </c>
      <c r="CQ324">
        <v>0</v>
      </c>
      <c r="CR324">
        <v>0</v>
      </c>
      <c r="CS324">
        <v>0</v>
      </c>
      <c r="CT324">
        <v>0</v>
      </c>
      <c r="CU324">
        <v>0</v>
      </c>
      <c r="CV324">
        <v>0</v>
      </c>
      <c r="CW324">
        <v>0</v>
      </c>
      <c r="CX324">
        <v>0</v>
      </c>
      <c r="CY324">
        <v>0</v>
      </c>
      <c r="CZ324">
        <v>0</v>
      </c>
      <c r="DA324">
        <v>0</v>
      </c>
      <c r="DB324">
        <v>0</v>
      </c>
      <c r="DC324">
        <v>0</v>
      </c>
      <c r="DD324">
        <v>0</v>
      </c>
      <c r="DE324">
        <v>0</v>
      </c>
      <c r="DF324">
        <v>0</v>
      </c>
      <c r="DG324">
        <v>0</v>
      </c>
      <c r="DH324">
        <v>0</v>
      </c>
      <c r="DI324">
        <v>0</v>
      </c>
      <c r="DJ324">
        <v>0</v>
      </c>
      <c r="DK324">
        <v>0</v>
      </c>
      <c r="DL324">
        <v>0</v>
      </c>
      <c r="DM324">
        <v>0</v>
      </c>
      <c r="DN324">
        <v>0</v>
      </c>
      <c r="DO324">
        <v>0</v>
      </c>
      <c r="DP324">
        <v>0</v>
      </c>
      <c r="DQ324">
        <v>0</v>
      </c>
      <c r="DR324">
        <v>0</v>
      </c>
      <c r="DS324">
        <v>0</v>
      </c>
      <c r="DT324">
        <v>0</v>
      </c>
      <c r="DU324">
        <v>0</v>
      </c>
    </row>
    <row r="325" spans="2:125">
      <c r="B325" s="136">
        <v>316</v>
      </c>
      <c r="C325" s="138">
        <v>1</v>
      </c>
      <c r="D325" s="474">
        <v>3742.0496636633575</v>
      </c>
      <c r="E325" s="127">
        <v>283.54276857003646</v>
      </c>
      <c r="F325" s="447">
        <v>0.46204287990704906</v>
      </c>
      <c r="G325" s="127">
        <v>151.04308160529095</v>
      </c>
      <c r="H325" s="132">
        <v>53.735306452297387</v>
      </c>
      <c r="I325" s="456"/>
      <c r="J325" s="45"/>
      <c r="K325" s="45">
        <v>590</v>
      </c>
      <c r="L325" s="463"/>
      <c r="M325" s="456">
        <v>46.283294677734375</v>
      </c>
      <c r="N325" s="457"/>
      <c r="O325" s="456"/>
      <c r="P325" s="46"/>
      <c r="Q325" s="463">
        <v>74.092582702636719</v>
      </c>
      <c r="R325" s="449"/>
      <c r="S325" s="463"/>
      <c r="T325" s="480"/>
      <c r="U325" s="468"/>
      <c r="V325" s="449"/>
      <c r="W325" s="45">
        <v>2144.43359375</v>
      </c>
      <c r="X325" s="463">
        <v>173.50430297851563</v>
      </c>
      <c r="Y325" s="449"/>
      <c r="Z325" s="45"/>
      <c r="AA325" s="468">
        <v>0.45289258510186997</v>
      </c>
      <c r="AB325" s="456"/>
      <c r="AC325" s="46"/>
      <c r="AD325" s="46"/>
      <c r="AE325" s="46"/>
      <c r="AF325" s="46"/>
      <c r="AG325" s="46"/>
      <c r="AH325" s="46"/>
      <c r="AI325" s="457"/>
      <c r="AJ325" s="138"/>
      <c r="AK325" s="745"/>
      <c r="AL325" s="54"/>
      <c r="AM325" s="468"/>
      <c r="AN325" s="449"/>
      <c r="AO325" s="45"/>
      <c r="AP325" s="45"/>
      <c r="AQ325" s="45"/>
      <c r="AR325" s="45"/>
      <c r="AS325" s="45"/>
      <c r="AT325" s="45"/>
      <c r="AU325" s="463"/>
      <c r="AV325" s="449"/>
      <c r="AW325" s="45"/>
      <c r="AX325" s="45"/>
      <c r="AY325" s="45"/>
      <c r="AZ325" s="45"/>
      <c r="BA325" s="45"/>
      <c r="BB325" s="45"/>
      <c r="BC325" s="463"/>
      <c r="BD325" s="456"/>
      <c r="BE325" s="46"/>
      <c r="BF325" s="46"/>
      <c r="BG325" s="46"/>
      <c r="BH325" s="46"/>
      <c r="BI325" s="46"/>
      <c r="BJ325" s="457"/>
      <c r="BK325" s="449">
        <v>0</v>
      </c>
      <c r="BL325" s="45"/>
      <c r="BM325" s="45"/>
      <c r="BN325" s="45"/>
      <c r="BO325" s="45"/>
      <c r="BP325" s="45"/>
      <c r="BQ325" s="45"/>
      <c r="BR325" s="45"/>
      <c r="BS325" s="45"/>
      <c r="BT325" s="45"/>
      <c r="BU325" s="45"/>
      <c r="BV325" s="45"/>
      <c r="BW325" s="45"/>
      <c r="BX325" s="45"/>
      <c r="BY325" s="45"/>
      <c r="BZ325" s="45"/>
      <c r="CA325" s="45"/>
      <c r="CB325" s="45"/>
      <c r="CC325" s="45"/>
      <c r="CD325" s="463"/>
      <c r="CE325">
        <v>0</v>
      </c>
      <c r="CF325">
        <v>0</v>
      </c>
      <c r="CG325">
        <v>0</v>
      </c>
      <c r="CH325">
        <v>0</v>
      </c>
      <c r="CI325">
        <v>0</v>
      </c>
      <c r="CJ325">
        <v>0</v>
      </c>
      <c r="CK325">
        <v>0</v>
      </c>
      <c r="CL325">
        <v>0</v>
      </c>
      <c r="CM325">
        <v>0</v>
      </c>
      <c r="CN325">
        <v>0</v>
      </c>
      <c r="CO325">
        <v>0</v>
      </c>
      <c r="CP325">
        <v>0</v>
      </c>
      <c r="CQ325">
        <v>0</v>
      </c>
      <c r="CR325">
        <v>0</v>
      </c>
      <c r="CS325">
        <v>0</v>
      </c>
      <c r="CT325">
        <v>0</v>
      </c>
      <c r="CU325">
        <v>0</v>
      </c>
      <c r="CV325">
        <v>0</v>
      </c>
      <c r="CW325">
        <v>0</v>
      </c>
      <c r="CX325">
        <v>0</v>
      </c>
      <c r="CY325">
        <v>0</v>
      </c>
      <c r="CZ325">
        <v>0</v>
      </c>
      <c r="DA325">
        <v>0</v>
      </c>
      <c r="DB325">
        <v>0</v>
      </c>
      <c r="DC325">
        <v>0</v>
      </c>
      <c r="DD325">
        <v>0</v>
      </c>
      <c r="DE325">
        <v>0</v>
      </c>
      <c r="DF325">
        <v>0</v>
      </c>
      <c r="DG325">
        <v>0</v>
      </c>
      <c r="DH325">
        <v>0</v>
      </c>
      <c r="DI325">
        <v>0</v>
      </c>
      <c r="DJ325">
        <v>0</v>
      </c>
      <c r="DK325">
        <v>0</v>
      </c>
      <c r="DL325">
        <v>0</v>
      </c>
      <c r="DM325">
        <v>0</v>
      </c>
      <c r="DN325">
        <v>0</v>
      </c>
      <c r="DO325">
        <v>0</v>
      </c>
      <c r="DP325">
        <v>0</v>
      </c>
      <c r="DQ325">
        <v>0</v>
      </c>
      <c r="DR325">
        <v>0</v>
      </c>
      <c r="DS325">
        <v>0</v>
      </c>
      <c r="DT325">
        <v>0</v>
      </c>
      <c r="DU325">
        <v>0</v>
      </c>
    </row>
    <row r="326" spans="2:125">
      <c r="B326" s="136">
        <v>317</v>
      </c>
      <c r="C326" s="138">
        <v>1</v>
      </c>
      <c r="D326" s="474">
        <v>3606.8150716888517</v>
      </c>
      <c r="E326" s="127">
        <v>248.17763700682752</v>
      </c>
      <c r="F326" s="447">
        <v>0.40986908432462366</v>
      </c>
      <c r="G326" s="127">
        <v>120.53340705873487</v>
      </c>
      <c r="H326" s="132">
        <v>59.131727703102804</v>
      </c>
      <c r="I326" s="456"/>
      <c r="J326" s="45"/>
      <c r="K326" s="45">
        <v>500</v>
      </c>
      <c r="L326" s="463"/>
      <c r="M326" s="456">
        <v>32.760475158691406</v>
      </c>
      <c r="N326" s="457"/>
      <c r="O326" s="456"/>
      <c r="P326" s="46"/>
      <c r="Q326" s="463">
        <v>71.414939880371094</v>
      </c>
      <c r="R326" s="449"/>
      <c r="S326" s="463"/>
      <c r="T326" s="480"/>
      <c r="U326" s="468"/>
      <c r="V326" s="449"/>
      <c r="W326" s="45">
        <v>1512.704833984375</v>
      </c>
      <c r="X326" s="463">
        <v>127.20535278320313</v>
      </c>
      <c r="Y326" s="449"/>
      <c r="Z326" s="45"/>
      <c r="AA326" s="468">
        <v>0.40066501341256883</v>
      </c>
      <c r="AB326" s="456"/>
      <c r="AC326" s="46"/>
      <c r="AD326" s="46"/>
      <c r="AE326" s="46"/>
      <c r="AF326" s="46"/>
      <c r="AG326" s="46"/>
      <c r="AH326" s="46"/>
      <c r="AI326" s="457"/>
      <c r="AJ326" s="138"/>
      <c r="AK326" s="745"/>
      <c r="AL326" s="54"/>
      <c r="AM326" s="468"/>
      <c r="AN326" s="449"/>
      <c r="AO326" s="45"/>
      <c r="AP326" s="45"/>
      <c r="AQ326" s="45"/>
      <c r="AR326" s="45"/>
      <c r="AS326" s="45"/>
      <c r="AT326" s="45"/>
      <c r="AU326" s="463"/>
      <c r="AV326" s="449"/>
      <c r="AW326" s="45"/>
      <c r="AX326" s="45"/>
      <c r="AY326" s="45"/>
      <c r="AZ326" s="45"/>
      <c r="BA326" s="45"/>
      <c r="BB326" s="45"/>
      <c r="BC326" s="463"/>
      <c r="BD326" s="456"/>
      <c r="BE326" s="46"/>
      <c r="BF326" s="46"/>
      <c r="BG326" s="46"/>
      <c r="BH326" s="46"/>
      <c r="BI326" s="46"/>
      <c r="BJ326" s="457"/>
      <c r="BK326" s="449">
        <v>0</v>
      </c>
      <c r="BL326" s="45"/>
      <c r="BM326" s="45"/>
      <c r="BN326" s="45"/>
      <c r="BO326" s="45"/>
      <c r="BP326" s="45"/>
      <c r="BQ326" s="45"/>
      <c r="BR326" s="45"/>
      <c r="BS326" s="45"/>
      <c r="BT326" s="45"/>
      <c r="BU326" s="45"/>
      <c r="BV326" s="45"/>
      <c r="BW326" s="45"/>
      <c r="BX326" s="45"/>
      <c r="BY326" s="45"/>
      <c r="BZ326" s="45"/>
      <c r="CA326" s="45"/>
      <c r="CB326" s="45"/>
      <c r="CC326" s="45"/>
      <c r="CD326" s="463"/>
      <c r="CE326">
        <v>0</v>
      </c>
      <c r="CF326">
        <v>0</v>
      </c>
      <c r="CG326">
        <v>0</v>
      </c>
      <c r="CH326">
        <v>0</v>
      </c>
      <c r="CI326">
        <v>0</v>
      </c>
      <c r="CJ326">
        <v>0</v>
      </c>
      <c r="CK326">
        <v>0</v>
      </c>
      <c r="CL326">
        <v>0</v>
      </c>
      <c r="CM326">
        <v>0</v>
      </c>
      <c r="CN326">
        <v>0</v>
      </c>
      <c r="CO326">
        <v>0</v>
      </c>
      <c r="CP326">
        <v>0</v>
      </c>
      <c r="CQ326">
        <v>0</v>
      </c>
      <c r="CR326">
        <v>0</v>
      </c>
      <c r="CS326">
        <v>0</v>
      </c>
      <c r="CT326">
        <v>0</v>
      </c>
      <c r="CU326">
        <v>0</v>
      </c>
      <c r="CV326">
        <v>0</v>
      </c>
      <c r="CW326">
        <v>0</v>
      </c>
      <c r="CX326">
        <v>0</v>
      </c>
      <c r="CY326">
        <v>0</v>
      </c>
      <c r="CZ326">
        <v>0</v>
      </c>
      <c r="DA326">
        <v>0</v>
      </c>
      <c r="DB326">
        <v>0</v>
      </c>
      <c r="DC326">
        <v>0</v>
      </c>
      <c r="DD326">
        <v>0</v>
      </c>
      <c r="DE326">
        <v>0</v>
      </c>
      <c r="DF326">
        <v>0</v>
      </c>
      <c r="DG326">
        <v>0</v>
      </c>
      <c r="DH326">
        <v>0</v>
      </c>
      <c r="DI326">
        <v>0</v>
      </c>
      <c r="DJ326">
        <v>0</v>
      </c>
      <c r="DK326">
        <v>0</v>
      </c>
      <c r="DL326">
        <v>0</v>
      </c>
      <c r="DM326">
        <v>0</v>
      </c>
      <c r="DN326">
        <v>0</v>
      </c>
      <c r="DO326">
        <v>0</v>
      </c>
      <c r="DP326">
        <v>0</v>
      </c>
      <c r="DQ326">
        <v>0</v>
      </c>
      <c r="DR326">
        <v>0</v>
      </c>
      <c r="DS326">
        <v>0</v>
      </c>
      <c r="DT326">
        <v>0</v>
      </c>
      <c r="DU326">
        <v>0</v>
      </c>
    </row>
    <row r="327" spans="2:125">
      <c r="B327" s="136">
        <v>318</v>
      </c>
      <c r="C327" s="138">
        <v>1</v>
      </c>
      <c r="D327" s="474">
        <v>3760.0384541095837</v>
      </c>
      <c r="E327" s="127">
        <v>301.69577460908505</v>
      </c>
      <c r="F327" s="447">
        <v>0.51062347580685208</v>
      </c>
      <c r="G327" s="127">
        <v>131.51201597630063</v>
      </c>
      <c r="H327" s="132">
        <v>59.019496713335052</v>
      </c>
      <c r="I327" s="456"/>
      <c r="J327" s="45"/>
      <c r="K327" s="45">
        <v>550</v>
      </c>
      <c r="L327" s="463"/>
      <c r="M327" s="456">
        <v>56.082778930664063</v>
      </c>
      <c r="N327" s="457"/>
      <c r="O327" s="456"/>
      <c r="P327" s="46"/>
      <c r="Q327" s="463">
        <v>74.448760986328125</v>
      </c>
      <c r="R327" s="449"/>
      <c r="S327" s="463"/>
      <c r="T327" s="480"/>
      <c r="U327" s="468"/>
      <c r="V327" s="449"/>
      <c r="W327" s="45">
        <v>2546.3828125</v>
      </c>
      <c r="X327" s="463">
        <v>202.5928955078125</v>
      </c>
      <c r="Y327" s="449"/>
      <c r="Z327" s="45"/>
      <c r="AA327" s="468">
        <v>0.50125855309505085</v>
      </c>
      <c r="AB327" s="456"/>
      <c r="AC327" s="46"/>
      <c r="AD327" s="46"/>
      <c r="AE327" s="46"/>
      <c r="AF327" s="46"/>
      <c r="AG327" s="46"/>
      <c r="AH327" s="46"/>
      <c r="AI327" s="457"/>
      <c r="AJ327" s="138"/>
      <c r="AK327" s="745"/>
      <c r="AL327" s="54"/>
      <c r="AM327" s="468"/>
      <c r="AN327" s="449"/>
      <c r="AO327" s="45"/>
      <c r="AP327" s="45"/>
      <c r="AQ327" s="45"/>
      <c r="AR327" s="45"/>
      <c r="AS327" s="45"/>
      <c r="AT327" s="45"/>
      <c r="AU327" s="463"/>
      <c r="AV327" s="449"/>
      <c r="AW327" s="45"/>
      <c r="AX327" s="45"/>
      <c r="AY327" s="45"/>
      <c r="AZ327" s="45"/>
      <c r="BA327" s="45"/>
      <c r="BB327" s="45"/>
      <c r="BC327" s="463"/>
      <c r="BD327" s="456"/>
      <c r="BE327" s="46"/>
      <c r="BF327" s="46"/>
      <c r="BG327" s="46"/>
      <c r="BH327" s="46"/>
      <c r="BI327" s="46"/>
      <c r="BJ327" s="457"/>
      <c r="BK327" s="449">
        <v>0</v>
      </c>
      <c r="BL327" s="45"/>
      <c r="BM327" s="45"/>
      <c r="BN327" s="45"/>
      <c r="BO327" s="45"/>
      <c r="BP327" s="45"/>
      <c r="BQ327" s="45"/>
      <c r="BR327" s="45"/>
      <c r="BS327" s="45"/>
      <c r="BT327" s="45"/>
      <c r="BU327" s="45"/>
      <c r="BV327" s="45"/>
      <c r="BW327" s="45"/>
      <c r="BX327" s="45"/>
      <c r="BY327" s="45"/>
      <c r="BZ327" s="45"/>
      <c r="CA327" s="45"/>
      <c r="CB327" s="45"/>
      <c r="CC327" s="45"/>
      <c r="CD327" s="463"/>
      <c r="CE327">
        <v>0</v>
      </c>
      <c r="CF327">
        <v>0</v>
      </c>
      <c r="CG327">
        <v>0</v>
      </c>
      <c r="CH327">
        <v>0</v>
      </c>
      <c r="CI327">
        <v>0</v>
      </c>
      <c r="CJ327">
        <v>0</v>
      </c>
      <c r="CK327">
        <v>0</v>
      </c>
      <c r="CL327">
        <v>0</v>
      </c>
      <c r="CM327">
        <v>0</v>
      </c>
      <c r="CN327">
        <v>0</v>
      </c>
      <c r="CO327">
        <v>0</v>
      </c>
      <c r="CP327">
        <v>0</v>
      </c>
      <c r="CQ327">
        <v>0</v>
      </c>
      <c r="CR327">
        <v>0</v>
      </c>
      <c r="CS327">
        <v>0</v>
      </c>
      <c r="CT327">
        <v>0</v>
      </c>
      <c r="CU327">
        <v>0</v>
      </c>
      <c r="CV327">
        <v>0</v>
      </c>
      <c r="CW327">
        <v>0</v>
      </c>
      <c r="CX327">
        <v>0</v>
      </c>
      <c r="CY327">
        <v>0</v>
      </c>
      <c r="CZ327">
        <v>0</v>
      </c>
      <c r="DA327">
        <v>0</v>
      </c>
      <c r="DB327">
        <v>0</v>
      </c>
      <c r="DC327">
        <v>0</v>
      </c>
      <c r="DD327">
        <v>0</v>
      </c>
      <c r="DE327">
        <v>0</v>
      </c>
      <c r="DF327">
        <v>0</v>
      </c>
      <c r="DG327">
        <v>0</v>
      </c>
      <c r="DH327">
        <v>0</v>
      </c>
      <c r="DI327">
        <v>0</v>
      </c>
      <c r="DJ327">
        <v>0</v>
      </c>
      <c r="DK327">
        <v>0</v>
      </c>
      <c r="DL327">
        <v>0</v>
      </c>
      <c r="DM327">
        <v>0</v>
      </c>
      <c r="DN327">
        <v>0</v>
      </c>
      <c r="DO327">
        <v>0</v>
      </c>
      <c r="DP327">
        <v>0</v>
      </c>
      <c r="DQ327">
        <v>0</v>
      </c>
      <c r="DR327">
        <v>0</v>
      </c>
      <c r="DS327">
        <v>0</v>
      </c>
      <c r="DT327">
        <v>0</v>
      </c>
      <c r="DU327">
        <v>0</v>
      </c>
    </row>
    <row r="328" spans="2:125">
      <c r="B328" s="136">
        <v>319</v>
      </c>
      <c r="C328" s="138">
        <v>1</v>
      </c>
      <c r="D328" s="474">
        <v>3684.823219063107</v>
      </c>
      <c r="E328" s="127">
        <v>255.21588778024659</v>
      </c>
      <c r="F328" s="447">
        <v>0.40393733187839997</v>
      </c>
      <c r="G328" s="127">
        <v>134.57719548750205</v>
      </c>
      <c r="H328" s="132">
        <v>57.04460493532811</v>
      </c>
      <c r="I328" s="456"/>
      <c r="J328" s="45"/>
      <c r="K328" s="45">
        <v>540</v>
      </c>
      <c r="L328" s="463"/>
      <c r="M328" s="456">
        <v>33.463314056396484</v>
      </c>
      <c r="N328" s="457"/>
      <c r="O328" s="456"/>
      <c r="P328" s="46"/>
      <c r="Q328" s="463">
        <v>72.959503173828125</v>
      </c>
      <c r="R328" s="449"/>
      <c r="S328" s="463"/>
      <c r="T328" s="480"/>
      <c r="U328" s="468"/>
      <c r="V328" s="449"/>
      <c r="W328" s="45">
        <v>1572.641357421875</v>
      </c>
      <c r="X328" s="463">
        <v>131.70231628417969</v>
      </c>
      <c r="Y328" s="449"/>
      <c r="Z328" s="45"/>
      <c r="AA328" s="468">
        <v>0.3949603078338168</v>
      </c>
      <c r="AB328" s="456"/>
      <c r="AC328" s="46"/>
      <c r="AD328" s="46"/>
      <c r="AE328" s="46"/>
      <c r="AF328" s="46"/>
      <c r="AG328" s="46"/>
      <c r="AH328" s="46"/>
      <c r="AI328" s="457"/>
      <c r="AJ328" s="138"/>
      <c r="AK328" s="745"/>
      <c r="AL328" s="54"/>
      <c r="AM328" s="468"/>
      <c r="AN328" s="449"/>
      <c r="AO328" s="45"/>
      <c r="AP328" s="45"/>
      <c r="AQ328" s="45"/>
      <c r="AR328" s="45"/>
      <c r="AS328" s="45"/>
      <c r="AT328" s="45"/>
      <c r="AU328" s="463"/>
      <c r="AV328" s="449"/>
      <c r="AW328" s="45"/>
      <c r="AX328" s="45"/>
      <c r="AY328" s="45"/>
      <c r="AZ328" s="45"/>
      <c r="BA328" s="45"/>
      <c r="BB328" s="45"/>
      <c r="BC328" s="463"/>
      <c r="BD328" s="456"/>
      <c r="BE328" s="46"/>
      <c r="BF328" s="46"/>
      <c r="BG328" s="46"/>
      <c r="BH328" s="46"/>
      <c r="BI328" s="46"/>
      <c r="BJ328" s="457"/>
      <c r="BK328" s="449">
        <v>0</v>
      </c>
      <c r="BL328" s="45"/>
      <c r="BM328" s="45"/>
      <c r="BN328" s="45"/>
      <c r="BO328" s="45"/>
      <c r="BP328" s="45"/>
      <c r="BQ328" s="45"/>
      <c r="BR328" s="45"/>
      <c r="BS328" s="45"/>
      <c r="BT328" s="45"/>
      <c r="BU328" s="45"/>
      <c r="BV328" s="45"/>
      <c r="BW328" s="45"/>
      <c r="BX328" s="45"/>
      <c r="BY328" s="45"/>
      <c r="BZ328" s="45"/>
      <c r="CA328" s="45"/>
      <c r="CB328" s="45"/>
      <c r="CC328" s="45"/>
      <c r="CD328" s="463"/>
      <c r="CE328">
        <v>0</v>
      </c>
      <c r="CF328">
        <v>0</v>
      </c>
      <c r="CG328">
        <v>0</v>
      </c>
      <c r="CH328">
        <v>0</v>
      </c>
      <c r="CI328">
        <v>0</v>
      </c>
      <c r="CJ328">
        <v>0</v>
      </c>
      <c r="CK328">
        <v>0</v>
      </c>
      <c r="CL328">
        <v>0</v>
      </c>
      <c r="CM328">
        <v>0</v>
      </c>
      <c r="CN328">
        <v>0</v>
      </c>
      <c r="CO328">
        <v>0</v>
      </c>
      <c r="CP328">
        <v>0</v>
      </c>
      <c r="CQ328">
        <v>0</v>
      </c>
      <c r="CR328">
        <v>0</v>
      </c>
      <c r="CS328">
        <v>0</v>
      </c>
      <c r="CT328">
        <v>0</v>
      </c>
      <c r="CU328">
        <v>0</v>
      </c>
      <c r="CV328">
        <v>0</v>
      </c>
      <c r="CW328">
        <v>0</v>
      </c>
      <c r="CX328">
        <v>0</v>
      </c>
      <c r="CY328">
        <v>0</v>
      </c>
      <c r="CZ328">
        <v>0</v>
      </c>
      <c r="DA328">
        <v>0</v>
      </c>
      <c r="DB328">
        <v>0</v>
      </c>
      <c r="DC328">
        <v>0</v>
      </c>
      <c r="DD328">
        <v>0</v>
      </c>
      <c r="DE328">
        <v>0</v>
      </c>
      <c r="DF328">
        <v>0</v>
      </c>
      <c r="DG328">
        <v>0</v>
      </c>
      <c r="DH328">
        <v>0</v>
      </c>
      <c r="DI328">
        <v>0</v>
      </c>
      <c r="DJ328">
        <v>0</v>
      </c>
      <c r="DK328">
        <v>0</v>
      </c>
      <c r="DL328">
        <v>0</v>
      </c>
      <c r="DM328">
        <v>0</v>
      </c>
      <c r="DN328">
        <v>0</v>
      </c>
      <c r="DO328">
        <v>0</v>
      </c>
      <c r="DP328">
        <v>0</v>
      </c>
      <c r="DQ328">
        <v>0</v>
      </c>
      <c r="DR328">
        <v>0</v>
      </c>
      <c r="DS328">
        <v>0</v>
      </c>
      <c r="DT328">
        <v>0</v>
      </c>
      <c r="DU328">
        <v>0</v>
      </c>
    </row>
    <row r="329" spans="2:125">
      <c r="B329" s="136">
        <v>320</v>
      </c>
      <c r="C329" s="138">
        <v>1</v>
      </c>
      <c r="D329" s="474">
        <v>3325.1126240309159</v>
      </c>
      <c r="E329" s="127">
        <v>283.57686948104032</v>
      </c>
      <c r="F329" s="447">
        <v>0.37115342721440925</v>
      </c>
      <c r="G329" s="127">
        <v>133.71947840272884</v>
      </c>
      <c r="H329" s="132">
        <v>50.380949992284073</v>
      </c>
      <c r="I329" s="456"/>
      <c r="J329" s="45"/>
      <c r="K329" s="45">
        <v>510</v>
      </c>
      <c r="L329" s="463"/>
      <c r="M329" s="456">
        <v>30.556009292602539</v>
      </c>
      <c r="N329" s="457"/>
      <c r="O329" s="456"/>
      <c r="P329" s="46"/>
      <c r="Q329" s="463">
        <v>65.837234497070312</v>
      </c>
      <c r="R329" s="449"/>
      <c r="S329" s="463"/>
      <c r="T329" s="480"/>
      <c r="U329" s="468"/>
      <c r="V329" s="449"/>
      <c r="W329" s="45">
        <v>1363.923583984375</v>
      </c>
      <c r="X329" s="463">
        <v>116.4093017578125</v>
      </c>
      <c r="Y329" s="449"/>
      <c r="Z329" s="45"/>
      <c r="AA329" s="468">
        <v>0.36140245868782062</v>
      </c>
      <c r="AB329" s="456"/>
      <c r="AC329" s="46"/>
      <c r="AD329" s="46"/>
      <c r="AE329" s="46"/>
      <c r="AF329" s="46"/>
      <c r="AG329" s="46"/>
      <c r="AH329" s="46"/>
      <c r="AI329" s="457"/>
      <c r="AJ329" s="138"/>
      <c r="AK329" s="745"/>
      <c r="AL329" s="54"/>
      <c r="AM329" s="468"/>
      <c r="AN329" s="449"/>
      <c r="AO329" s="45"/>
      <c r="AP329" s="45"/>
      <c r="AQ329" s="45"/>
      <c r="AR329" s="45"/>
      <c r="AS329" s="45"/>
      <c r="AT329" s="45"/>
      <c r="AU329" s="463"/>
      <c r="AV329" s="449"/>
      <c r="AW329" s="45"/>
      <c r="AX329" s="45"/>
      <c r="AY329" s="45"/>
      <c r="AZ329" s="45"/>
      <c r="BA329" s="45"/>
      <c r="BB329" s="45"/>
      <c r="BC329" s="463"/>
      <c r="BD329" s="456"/>
      <c r="BE329" s="46"/>
      <c r="BF329" s="46"/>
      <c r="BG329" s="46"/>
      <c r="BH329" s="46"/>
      <c r="BI329" s="46"/>
      <c r="BJ329" s="457"/>
      <c r="BK329" s="449">
        <v>0</v>
      </c>
      <c r="BL329" s="45"/>
      <c r="BM329" s="45"/>
      <c r="BN329" s="45"/>
      <c r="BO329" s="45"/>
      <c r="BP329" s="45"/>
      <c r="BQ329" s="45"/>
      <c r="BR329" s="45"/>
      <c r="BS329" s="45"/>
      <c r="BT329" s="45"/>
      <c r="BU329" s="45"/>
      <c r="BV329" s="45"/>
      <c r="BW329" s="45"/>
      <c r="BX329" s="45"/>
      <c r="BY329" s="45"/>
      <c r="BZ329" s="45"/>
      <c r="CA329" s="45"/>
      <c r="CB329" s="45"/>
      <c r="CC329" s="45"/>
      <c r="CD329" s="463"/>
      <c r="CE329">
        <v>0</v>
      </c>
      <c r="CF329">
        <v>0</v>
      </c>
      <c r="CG329">
        <v>0</v>
      </c>
      <c r="CH329">
        <v>0</v>
      </c>
      <c r="CI329">
        <v>0</v>
      </c>
      <c r="CJ329">
        <v>0</v>
      </c>
      <c r="CK329">
        <v>0</v>
      </c>
      <c r="CL329">
        <v>0</v>
      </c>
      <c r="CM329">
        <v>0</v>
      </c>
      <c r="CN329">
        <v>0</v>
      </c>
      <c r="CO329">
        <v>0</v>
      </c>
      <c r="CP329">
        <v>0</v>
      </c>
      <c r="CQ329">
        <v>0</v>
      </c>
      <c r="CR329">
        <v>0</v>
      </c>
      <c r="CS329">
        <v>0</v>
      </c>
      <c r="CT329">
        <v>0</v>
      </c>
      <c r="CU329">
        <v>0</v>
      </c>
      <c r="CV329">
        <v>0</v>
      </c>
      <c r="CW329">
        <v>0</v>
      </c>
      <c r="CX329">
        <v>0</v>
      </c>
      <c r="CY329">
        <v>0</v>
      </c>
      <c r="CZ329">
        <v>0</v>
      </c>
      <c r="DA329">
        <v>0</v>
      </c>
      <c r="DB329">
        <v>0</v>
      </c>
      <c r="DC329">
        <v>0</v>
      </c>
      <c r="DD329">
        <v>0</v>
      </c>
      <c r="DE329">
        <v>0</v>
      </c>
      <c r="DF329">
        <v>0</v>
      </c>
      <c r="DG329">
        <v>0</v>
      </c>
      <c r="DH329">
        <v>0</v>
      </c>
      <c r="DI329">
        <v>0</v>
      </c>
      <c r="DJ329">
        <v>0</v>
      </c>
      <c r="DK329">
        <v>0</v>
      </c>
      <c r="DL329">
        <v>0</v>
      </c>
      <c r="DM329">
        <v>0</v>
      </c>
      <c r="DN329">
        <v>0</v>
      </c>
      <c r="DO329">
        <v>0</v>
      </c>
      <c r="DP329">
        <v>0</v>
      </c>
      <c r="DQ329">
        <v>0</v>
      </c>
      <c r="DR329">
        <v>0</v>
      </c>
      <c r="DS329">
        <v>0</v>
      </c>
      <c r="DT329">
        <v>0</v>
      </c>
      <c r="DU329">
        <v>0</v>
      </c>
    </row>
    <row r="330" spans="2:125">
      <c r="B330" s="136">
        <v>321</v>
      </c>
      <c r="C330" s="138">
        <v>1</v>
      </c>
      <c r="D330" s="474">
        <v>3587.6443358268043</v>
      </c>
      <c r="E330" s="127">
        <v>285.48520954501606</v>
      </c>
      <c r="F330" s="447">
        <v>0.36982065602264025</v>
      </c>
      <c r="G330" s="127">
        <v>127.57074989301219</v>
      </c>
      <c r="H330" s="132">
        <v>57.131627682133391</v>
      </c>
      <c r="I330" s="456"/>
      <c r="J330" s="45"/>
      <c r="K330" s="45">
        <v>510</v>
      </c>
      <c r="L330" s="463"/>
      <c r="M330" s="456">
        <v>29.055099487304688</v>
      </c>
      <c r="N330" s="457"/>
      <c r="O330" s="456"/>
      <c r="P330" s="46"/>
      <c r="Q330" s="463">
        <v>71.035354614257813</v>
      </c>
      <c r="R330" s="449"/>
      <c r="S330" s="463"/>
      <c r="T330" s="480"/>
      <c r="U330" s="468"/>
      <c r="V330" s="449"/>
      <c r="W330" s="45">
        <v>1360.923583984375</v>
      </c>
      <c r="X330" s="463">
        <v>116.20477294921875</v>
      </c>
      <c r="Y330" s="449"/>
      <c r="Z330" s="45"/>
      <c r="AA330" s="468">
        <v>0.36079066026834072</v>
      </c>
      <c r="AB330" s="456"/>
      <c r="AC330" s="46"/>
      <c r="AD330" s="46"/>
      <c r="AE330" s="46"/>
      <c r="AF330" s="46"/>
      <c r="AG330" s="46"/>
      <c r="AH330" s="46"/>
      <c r="AI330" s="457"/>
      <c r="AJ330" s="138"/>
      <c r="AK330" s="745"/>
      <c r="AL330" s="54"/>
      <c r="AM330" s="468"/>
      <c r="AN330" s="449"/>
      <c r="AO330" s="45"/>
      <c r="AP330" s="45"/>
      <c r="AQ330" s="45"/>
      <c r="AR330" s="45"/>
      <c r="AS330" s="45"/>
      <c r="AT330" s="45"/>
      <c r="AU330" s="463"/>
      <c r="AV330" s="449"/>
      <c r="AW330" s="45"/>
      <c r="AX330" s="45"/>
      <c r="AY330" s="45"/>
      <c r="AZ330" s="45"/>
      <c r="BA330" s="45"/>
      <c r="BB330" s="45"/>
      <c r="BC330" s="463"/>
      <c r="BD330" s="456"/>
      <c r="BE330" s="46"/>
      <c r="BF330" s="46"/>
      <c r="BG330" s="46"/>
      <c r="BH330" s="46"/>
      <c r="BI330" s="46"/>
      <c r="BJ330" s="457"/>
      <c r="BK330" s="449">
        <v>0</v>
      </c>
      <c r="BL330" s="45"/>
      <c r="BM330" s="45"/>
      <c r="BN330" s="45"/>
      <c r="BO330" s="45"/>
      <c r="BP330" s="45"/>
      <c r="BQ330" s="45"/>
      <c r="BR330" s="45"/>
      <c r="BS330" s="45"/>
      <c r="BT330" s="45"/>
      <c r="BU330" s="45"/>
      <c r="BV330" s="45"/>
      <c r="BW330" s="45"/>
      <c r="BX330" s="45"/>
      <c r="BY330" s="45"/>
      <c r="BZ330" s="45"/>
      <c r="CA330" s="45"/>
      <c r="CB330" s="45"/>
      <c r="CC330" s="45"/>
      <c r="CD330" s="463"/>
      <c r="CE330">
        <v>0</v>
      </c>
      <c r="CF330">
        <v>0</v>
      </c>
      <c r="CG330">
        <v>0</v>
      </c>
      <c r="CH330">
        <v>0</v>
      </c>
      <c r="CI330">
        <v>0</v>
      </c>
      <c r="CJ330">
        <v>0</v>
      </c>
      <c r="CK330">
        <v>0</v>
      </c>
      <c r="CL330">
        <v>0</v>
      </c>
      <c r="CM330">
        <v>0</v>
      </c>
      <c r="CN330">
        <v>0</v>
      </c>
      <c r="CO330">
        <v>0</v>
      </c>
      <c r="CP330">
        <v>0</v>
      </c>
      <c r="CQ330">
        <v>0</v>
      </c>
      <c r="CR330">
        <v>0</v>
      </c>
      <c r="CS330">
        <v>0</v>
      </c>
      <c r="CT330">
        <v>0</v>
      </c>
      <c r="CU330">
        <v>0</v>
      </c>
      <c r="CV330">
        <v>0</v>
      </c>
      <c r="CW330">
        <v>0</v>
      </c>
      <c r="CX330">
        <v>0</v>
      </c>
      <c r="CY330">
        <v>0</v>
      </c>
      <c r="CZ330">
        <v>0</v>
      </c>
      <c r="DA330">
        <v>0</v>
      </c>
      <c r="DB330">
        <v>0</v>
      </c>
      <c r="DC330">
        <v>0</v>
      </c>
      <c r="DD330">
        <v>0</v>
      </c>
      <c r="DE330">
        <v>0</v>
      </c>
      <c r="DF330">
        <v>0</v>
      </c>
      <c r="DG330">
        <v>0</v>
      </c>
      <c r="DH330">
        <v>0</v>
      </c>
      <c r="DI330">
        <v>0</v>
      </c>
      <c r="DJ330">
        <v>0</v>
      </c>
      <c r="DK330">
        <v>0</v>
      </c>
      <c r="DL330">
        <v>0</v>
      </c>
      <c r="DM330">
        <v>0</v>
      </c>
      <c r="DN330">
        <v>0</v>
      </c>
      <c r="DO330">
        <v>0</v>
      </c>
      <c r="DP330">
        <v>0</v>
      </c>
      <c r="DQ330">
        <v>0</v>
      </c>
      <c r="DR330">
        <v>0</v>
      </c>
      <c r="DS330">
        <v>0</v>
      </c>
      <c r="DT330">
        <v>0</v>
      </c>
      <c r="DU330">
        <v>0</v>
      </c>
    </row>
    <row r="331" spans="2:125">
      <c r="B331" s="136">
        <v>322</v>
      </c>
      <c r="C331" s="138">
        <v>1</v>
      </c>
      <c r="D331" s="474">
        <v>4099.5215253158431</v>
      </c>
      <c r="E331" s="127">
        <v>233.51814851587585</v>
      </c>
      <c r="F331" s="447">
        <v>0.410299308928606</v>
      </c>
      <c r="G331" s="127">
        <v>133.08373380111868</v>
      </c>
      <c r="H331" s="132">
        <v>63.680156223815715</v>
      </c>
      <c r="I331" s="456"/>
      <c r="J331" s="45"/>
      <c r="K331" s="45">
        <v>560</v>
      </c>
      <c r="L331" s="463"/>
      <c r="M331" s="456">
        <v>33.443550109863281</v>
      </c>
      <c r="N331" s="457"/>
      <c r="O331" s="456"/>
      <c r="P331" s="46"/>
      <c r="Q331" s="463">
        <v>81.170539855957031</v>
      </c>
      <c r="R331" s="449"/>
      <c r="S331" s="463"/>
      <c r="T331" s="480"/>
      <c r="U331" s="468"/>
      <c r="V331" s="449"/>
      <c r="W331" s="45">
        <v>1670.0396728515625</v>
      </c>
      <c r="X331" s="463">
        <v>138.89859008789062</v>
      </c>
      <c r="Y331" s="449"/>
      <c r="Z331" s="45"/>
      <c r="AA331" s="468">
        <v>0.40219934263412144</v>
      </c>
      <c r="AB331" s="456"/>
      <c r="AC331" s="46"/>
      <c r="AD331" s="46"/>
      <c r="AE331" s="46"/>
      <c r="AF331" s="46"/>
      <c r="AG331" s="46"/>
      <c r="AH331" s="46"/>
      <c r="AI331" s="457"/>
      <c r="AJ331" s="138"/>
      <c r="AK331" s="745"/>
      <c r="AL331" s="54"/>
      <c r="AM331" s="468"/>
      <c r="AN331" s="449"/>
      <c r="AO331" s="45"/>
      <c r="AP331" s="45"/>
      <c r="AQ331" s="45"/>
      <c r="AR331" s="45"/>
      <c r="AS331" s="45"/>
      <c r="AT331" s="45"/>
      <c r="AU331" s="463"/>
      <c r="AV331" s="449"/>
      <c r="AW331" s="45"/>
      <c r="AX331" s="45"/>
      <c r="AY331" s="45"/>
      <c r="AZ331" s="45"/>
      <c r="BA331" s="45"/>
      <c r="BB331" s="45"/>
      <c r="BC331" s="463"/>
      <c r="BD331" s="456"/>
      <c r="BE331" s="46"/>
      <c r="BF331" s="46"/>
      <c r="BG331" s="46"/>
      <c r="BH331" s="46"/>
      <c r="BI331" s="46"/>
      <c r="BJ331" s="457"/>
      <c r="BK331" s="449">
        <v>0</v>
      </c>
      <c r="BL331" s="45"/>
      <c r="BM331" s="45"/>
      <c r="BN331" s="45"/>
      <c r="BO331" s="45"/>
      <c r="BP331" s="45"/>
      <c r="BQ331" s="45"/>
      <c r="BR331" s="45"/>
      <c r="BS331" s="45"/>
      <c r="BT331" s="45"/>
      <c r="BU331" s="45"/>
      <c r="BV331" s="45"/>
      <c r="BW331" s="45"/>
      <c r="BX331" s="45"/>
      <c r="BY331" s="45"/>
      <c r="BZ331" s="45"/>
      <c r="CA331" s="45"/>
      <c r="CB331" s="45"/>
      <c r="CC331" s="45"/>
      <c r="CD331" s="463"/>
      <c r="CE331">
        <v>0</v>
      </c>
      <c r="CF331">
        <v>0</v>
      </c>
      <c r="CG331">
        <v>0</v>
      </c>
      <c r="CH331">
        <v>0</v>
      </c>
      <c r="CI331">
        <v>0</v>
      </c>
      <c r="CJ331">
        <v>0</v>
      </c>
      <c r="CK331">
        <v>0</v>
      </c>
      <c r="CL331">
        <v>0</v>
      </c>
      <c r="CM331">
        <v>0</v>
      </c>
      <c r="CN331">
        <v>0</v>
      </c>
      <c r="CO331">
        <v>0</v>
      </c>
      <c r="CP331">
        <v>0</v>
      </c>
      <c r="CQ331">
        <v>0</v>
      </c>
      <c r="CR331">
        <v>0</v>
      </c>
      <c r="CS331">
        <v>0</v>
      </c>
      <c r="CT331">
        <v>0</v>
      </c>
      <c r="CU331">
        <v>0</v>
      </c>
      <c r="CV331">
        <v>0</v>
      </c>
      <c r="CW331">
        <v>0</v>
      </c>
      <c r="CX331">
        <v>0</v>
      </c>
      <c r="CY331">
        <v>0</v>
      </c>
      <c r="CZ331">
        <v>0</v>
      </c>
      <c r="DA331">
        <v>0</v>
      </c>
      <c r="DB331">
        <v>0</v>
      </c>
      <c r="DC331">
        <v>0</v>
      </c>
      <c r="DD331">
        <v>0</v>
      </c>
      <c r="DE331">
        <v>0</v>
      </c>
      <c r="DF331">
        <v>0</v>
      </c>
      <c r="DG331">
        <v>0</v>
      </c>
      <c r="DH331">
        <v>0</v>
      </c>
      <c r="DI331">
        <v>0</v>
      </c>
      <c r="DJ331">
        <v>0</v>
      </c>
      <c r="DK331">
        <v>0</v>
      </c>
      <c r="DL331">
        <v>0</v>
      </c>
      <c r="DM331">
        <v>0</v>
      </c>
      <c r="DN331">
        <v>0</v>
      </c>
      <c r="DO331">
        <v>0</v>
      </c>
      <c r="DP331">
        <v>0</v>
      </c>
      <c r="DQ331">
        <v>0</v>
      </c>
      <c r="DR331">
        <v>0</v>
      </c>
      <c r="DS331">
        <v>0</v>
      </c>
      <c r="DT331">
        <v>0</v>
      </c>
      <c r="DU331">
        <v>0</v>
      </c>
    </row>
    <row r="332" spans="2:125">
      <c r="B332" s="136">
        <v>323</v>
      </c>
      <c r="C332" s="138">
        <v>1</v>
      </c>
      <c r="D332" s="474">
        <v>2970.5203204337358</v>
      </c>
      <c r="E332" s="127">
        <v>306.99238281452256</v>
      </c>
      <c r="F332" s="447">
        <v>0.38210022308591546</v>
      </c>
      <c r="G332" s="127">
        <v>102.23967262828232</v>
      </c>
      <c r="H332" s="132">
        <v>52.577651704916327</v>
      </c>
      <c r="I332" s="456"/>
      <c r="J332" s="45"/>
      <c r="K332" s="45">
        <v>420</v>
      </c>
      <c r="L332" s="463"/>
      <c r="M332" s="456">
        <v>29.361854553222656</v>
      </c>
      <c r="N332" s="457"/>
      <c r="O332" s="456"/>
      <c r="P332" s="46"/>
      <c r="Q332" s="463">
        <v>58.816303253173828</v>
      </c>
      <c r="R332" s="449"/>
      <c r="S332" s="463"/>
      <c r="T332" s="480"/>
      <c r="U332" s="468"/>
      <c r="V332" s="449"/>
      <c r="W332" s="45">
        <v>1194.4429931640625</v>
      </c>
      <c r="X332" s="463">
        <v>103.71649169921875</v>
      </c>
      <c r="Y332" s="449"/>
      <c r="Z332" s="45"/>
      <c r="AA332" s="468">
        <v>0.37111157431715291</v>
      </c>
      <c r="AB332" s="456"/>
      <c r="AC332" s="46"/>
      <c r="AD332" s="46"/>
      <c r="AE332" s="46"/>
      <c r="AF332" s="46"/>
      <c r="AG332" s="46"/>
      <c r="AH332" s="46"/>
      <c r="AI332" s="457"/>
      <c r="AJ332" s="138"/>
      <c r="AK332" s="745"/>
      <c r="AL332" s="54"/>
      <c r="AM332" s="468"/>
      <c r="AN332" s="449"/>
      <c r="AO332" s="45"/>
      <c r="AP332" s="45"/>
      <c r="AQ332" s="45"/>
      <c r="AR332" s="45"/>
      <c r="AS332" s="45"/>
      <c r="AT332" s="45"/>
      <c r="AU332" s="463"/>
      <c r="AV332" s="449"/>
      <c r="AW332" s="45"/>
      <c r="AX332" s="45"/>
      <c r="AY332" s="45"/>
      <c r="AZ332" s="45"/>
      <c r="BA332" s="45"/>
      <c r="BB332" s="45"/>
      <c r="BC332" s="463"/>
      <c r="BD332" s="456"/>
      <c r="BE332" s="46"/>
      <c r="BF332" s="46"/>
      <c r="BG332" s="46"/>
      <c r="BH332" s="46"/>
      <c r="BI332" s="46"/>
      <c r="BJ332" s="457"/>
      <c r="BK332" s="449">
        <v>0</v>
      </c>
      <c r="BL332" s="45"/>
      <c r="BM332" s="45"/>
      <c r="BN332" s="45"/>
      <c r="BO332" s="45"/>
      <c r="BP332" s="45"/>
      <c r="BQ332" s="45"/>
      <c r="BR332" s="45"/>
      <c r="BS332" s="45"/>
      <c r="BT332" s="45"/>
      <c r="BU332" s="45"/>
      <c r="BV332" s="45"/>
      <c r="BW332" s="45"/>
      <c r="BX332" s="45"/>
      <c r="BY332" s="45"/>
      <c r="BZ332" s="45"/>
      <c r="CA332" s="45"/>
      <c r="CB332" s="45"/>
      <c r="CC332" s="45"/>
      <c r="CD332" s="463"/>
      <c r="CE332">
        <v>0</v>
      </c>
      <c r="CF332">
        <v>0</v>
      </c>
      <c r="CG332">
        <v>0</v>
      </c>
      <c r="CH332">
        <v>0</v>
      </c>
      <c r="CI332">
        <v>0</v>
      </c>
      <c r="CJ332">
        <v>0</v>
      </c>
      <c r="CK332">
        <v>0</v>
      </c>
      <c r="CL332">
        <v>0</v>
      </c>
      <c r="CM332">
        <v>0</v>
      </c>
      <c r="CN332">
        <v>0</v>
      </c>
      <c r="CO332">
        <v>0</v>
      </c>
      <c r="CP332">
        <v>0</v>
      </c>
      <c r="CQ332">
        <v>0</v>
      </c>
      <c r="CR332">
        <v>0</v>
      </c>
      <c r="CS332">
        <v>0</v>
      </c>
      <c r="CT332">
        <v>0</v>
      </c>
      <c r="CU332">
        <v>0</v>
      </c>
      <c r="CV332">
        <v>0</v>
      </c>
      <c r="CW332">
        <v>0</v>
      </c>
      <c r="CX332">
        <v>0</v>
      </c>
      <c r="CY332">
        <v>0</v>
      </c>
      <c r="CZ332">
        <v>0</v>
      </c>
      <c r="DA332">
        <v>0</v>
      </c>
      <c r="DB332">
        <v>0</v>
      </c>
      <c r="DC332">
        <v>0</v>
      </c>
      <c r="DD332">
        <v>0</v>
      </c>
      <c r="DE332">
        <v>0</v>
      </c>
      <c r="DF332">
        <v>0</v>
      </c>
      <c r="DG332">
        <v>0</v>
      </c>
      <c r="DH332">
        <v>0</v>
      </c>
      <c r="DI332">
        <v>0</v>
      </c>
      <c r="DJ332">
        <v>0</v>
      </c>
      <c r="DK332">
        <v>0</v>
      </c>
      <c r="DL332">
        <v>0</v>
      </c>
      <c r="DM332">
        <v>0</v>
      </c>
      <c r="DN332">
        <v>0</v>
      </c>
      <c r="DO332">
        <v>0</v>
      </c>
      <c r="DP332">
        <v>0</v>
      </c>
      <c r="DQ332">
        <v>0</v>
      </c>
      <c r="DR332">
        <v>0</v>
      </c>
      <c r="DS332">
        <v>0</v>
      </c>
      <c r="DT332">
        <v>0</v>
      </c>
      <c r="DU332">
        <v>0</v>
      </c>
    </row>
    <row r="333" spans="2:125">
      <c r="B333" s="136">
        <v>324</v>
      </c>
      <c r="C333" s="138">
        <v>1</v>
      </c>
      <c r="D333" s="474">
        <v>3773.0679713739273</v>
      </c>
      <c r="E333" s="127">
        <v>215.15924577635806</v>
      </c>
      <c r="F333" s="447">
        <v>0.39785883462847382</v>
      </c>
      <c r="G333" s="127">
        <v>130.43521459334576</v>
      </c>
      <c r="H333" s="132">
        <v>59.473628112375231</v>
      </c>
      <c r="I333" s="456"/>
      <c r="J333" s="45"/>
      <c r="K333" s="45">
        <v>540</v>
      </c>
      <c r="L333" s="463"/>
      <c r="M333" s="456">
        <v>32.151206970214844</v>
      </c>
      <c r="N333" s="457"/>
      <c r="O333" s="456"/>
      <c r="P333" s="46"/>
      <c r="Q333" s="463">
        <v>74.706748962402344</v>
      </c>
      <c r="R333" s="449"/>
      <c r="S333" s="463"/>
      <c r="T333" s="480"/>
      <c r="U333" s="468"/>
      <c r="V333" s="449"/>
      <c r="W333" s="45">
        <v>1535.8193359375</v>
      </c>
      <c r="X333" s="463">
        <v>129.01863098144531</v>
      </c>
      <c r="Y333" s="449"/>
      <c r="Z333" s="45"/>
      <c r="AA333" s="468">
        <v>0.38912398623914879</v>
      </c>
      <c r="AB333" s="456"/>
      <c r="AC333" s="46"/>
      <c r="AD333" s="46"/>
      <c r="AE333" s="46"/>
      <c r="AF333" s="46"/>
      <c r="AG333" s="46"/>
      <c r="AH333" s="46"/>
      <c r="AI333" s="457"/>
      <c r="AJ333" s="138"/>
      <c r="AK333" s="745"/>
      <c r="AL333" s="54"/>
      <c r="AM333" s="468"/>
      <c r="AN333" s="449"/>
      <c r="AO333" s="45"/>
      <c r="AP333" s="45"/>
      <c r="AQ333" s="45"/>
      <c r="AR333" s="45"/>
      <c r="AS333" s="45"/>
      <c r="AT333" s="45"/>
      <c r="AU333" s="463"/>
      <c r="AV333" s="449"/>
      <c r="AW333" s="45"/>
      <c r="AX333" s="45"/>
      <c r="AY333" s="45"/>
      <c r="AZ333" s="45"/>
      <c r="BA333" s="45"/>
      <c r="BB333" s="45"/>
      <c r="BC333" s="463"/>
      <c r="BD333" s="456"/>
      <c r="BE333" s="46"/>
      <c r="BF333" s="46"/>
      <c r="BG333" s="46"/>
      <c r="BH333" s="46"/>
      <c r="BI333" s="46"/>
      <c r="BJ333" s="457"/>
      <c r="BK333" s="449">
        <v>0</v>
      </c>
      <c r="BL333" s="45"/>
      <c r="BM333" s="45"/>
      <c r="BN333" s="45"/>
      <c r="BO333" s="45"/>
      <c r="BP333" s="45"/>
      <c r="BQ333" s="45"/>
      <c r="BR333" s="45"/>
      <c r="BS333" s="45"/>
      <c r="BT333" s="45"/>
      <c r="BU333" s="45"/>
      <c r="BV333" s="45"/>
      <c r="BW333" s="45"/>
      <c r="BX333" s="45"/>
      <c r="BY333" s="45"/>
      <c r="BZ333" s="45"/>
      <c r="CA333" s="45"/>
      <c r="CB333" s="45"/>
      <c r="CC333" s="45"/>
      <c r="CD333" s="463"/>
      <c r="CE333">
        <v>0</v>
      </c>
      <c r="CF333">
        <v>0</v>
      </c>
      <c r="CG333">
        <v>0</v>
      </c>
      <c r="CH333">
        <v>0</v>
      </c>
      <c r="CI333">
        <v>0</v>
      </c>
      <c r="CJ333">
        <v>0</v>
      </c>
      <c r="CK333">
        <v>0</v>
      </c>
      <c r="CL333">
        <v>0</v>
      </c>
      <c r="CM333">
        <v>0</v>
      </c>
      <c r="CN333">
        <v>0</v>
      </c>
      <c r="CO333">
        <v>0</v>
      </c>
      <c r="CP333">
        <v>0</v>
      </c>
      <c r="CQ333">
        <v>0</v>
      </c>
      <c r="CR333">
        <v>0</v>
      </c>
      <c r="CS333">
        <v>0</v>
      </c>
      <c r="CT333">
        <v>0</v>
      </c>
      <c r="CU333">
        <v>0</v>
      </c>
      <c r="CV333">
        <v>0</v>
      </c>
      <c r="CW333">
        <v>0</v>
      </c>
      <c r="CX333">
        <v>0</v>
      </c>
      <c r="CY333">
        <v>0</v>
      </c>
      <c r="CZ333">
        <v>0</v>
      </c>
      <c r="DA333">
        <v>0</v>
      </c>
      <c r="DB333">
        <v>0</v>
      </c>
      <c r="DC333">
        <v>0</v>
      </c>
      <c r="DD333">
        <v>0</v>
      </c>
      <c r="DE333">
        <v>0</v>
      </c>
      <c r="DF333">
        <v>0</v>
      </c>
      <c r="DG333">
        <v>0</v>
      </c>
      <c r="DH333">
        <v>0</v>
      </c>
      <c r="DI333">
        <v>0</v>
      </c>
      <c r="DJ333">
        <v>0</v>
      </c>
      <c r="DK333">
        <v>0</v>
      </c>
      <c r="DL333">
        <v>0</v>
      </c>
      <c r="DM333">
        <v>0</v>
      </c>
      <c r="DN333">
        <v>0</v>
      </c>
      <c r="DO333">
        <v>0</v>
      </c>
      <c r="DP333">
        <v>0</v>
      </c>
      <c r="DQ333">
        <v>0</v>
      </c>
      <c r="DR333">
        <v>0</v>
      </c>
      <c r="DS333">
        <v>0</v>
      </c>
      <c r="DT333">
        <v>0</v>
      </c>
      <c r="DU333">
        <v>0</v>
      </c>
    </row>
    <row r="334" spans="2:125">
      <c r="B334" s="136">
        <v>325</v>
      </c>
      <c r="C334" s="138">
        <v>1</v>
      </c>
      <c r="D334" s="474">
        <v>3610.4131008269869</v>
      </c>
      <c r="E334" s="127">
        <v>224.86960814268821</v>
      </c>
      <c r="F334" s="447">
        <v>0.41697175116606638</v>
      </c>
      <c r="G334" s="127">
        <v>121.17978851087315</v>
      </c>
      <c r="H334" s="132">
        <v>59.038991606875427</v>
      </c>
      <c r="I334" s="456"/>
      <c r="J334" s="45"/>
      <c r="K334" s="45">
        <v>510</v>
      </c>
      <c r="L334" s="463"/>
      <c r="M334" s="456">
        <v>33.841278076171875</v>
      </c>
      <c r="N334" s="457"/>
      <c r="O334" s="456"/>
      <c r="P334" s="46"/>
      <c r="Q334" s="463">
        <v>71.486183166503906</v>
      </c>
      <c r="R334" s="449"/>
      <c r="S334" s="463"/>
      <c r="T334" s="480"/>
      <c r="U334" s="468"/>
      <c r="V334" s="449"/>
      <c r="W334" s="45">
        <v>1559.333251953125</v>
      </c>
      <c r="X334" s="463">
        <v>130.61131286621094</v>
      </c>
      <c r="Y334" s="449"/>
      <c r="Z334" s="45"/>
      <c r="AA334" s="468">
        <v>0.40773750730192665</v>
      </c>
      <c r="AB334" s="456"/>
      <c r="AC334" s="46"/>
      <c r="AD334" s="46"/>
      <c r="AE334" s="46"/>
      <c r="AF334" s="46"/>
      <c r="AG334" s="46"/>
      <c r="AH334" s="46"/>
      <c r="AI334" s="457"/>
      <c r="AJ334" s="138"/>
      <c r="AK334" s="745"/>
      <c r="AL334" s="54"/>
      <c r="AM334" s="468"/>
      <c r="AN334" s="449"/>
      <c r="AO334" s="45"/>
      <c r="AP334" s="45"/>
      <c r="AQ334" s="45"/>
      <c r="AR334" s="45"/>
      <c r="AS334" s="45"/>
      <c r="AT334" s="45"/>
      <c r="AU334" s="463"/>
      <c r="AV334" s="449"/>
      <c r="AW334" s="45"/>
      <c r="AX334" s="45"/>
      <c r="AY334" s="45"/>
      <c r="AZ334" s="45"/>
      <c r="BA334" s="45"/>
      <c r="BB334" s="45"/>
      <c r="BC334" s="463"/>
      <c r="BD334" s="456"/>
      <c r="BE334" s="46"/>
      <c r="BF334" s="46"/>
      <c r="BG334" s="46"/>
      <c r="BH334" s="46"/>
      <c r="BI334" s="46"/>
      <c r="BJ334" s="457"/>
      <c r="BK334" s="449">
        <v>0</v>
      </c>
      <c r="BL334" s="45"/>
      <c r="BM334" s="45"/>
      <c r="BN334" s="45"/>
      <c r="BO334" s="45"/>
      <c r="BP334" s="45"/>
      <c r="BQ334" s="45"/>
      <c r="BR334" s="45"/>
      <c r="BS334" s="45"/>
      <c r="BT334" s="45"/>
      <c r="BU334" s="45"/>
      <c r="BV334" s="45"/>
      <c r="BW334" s="45"/>
      <c r="BX334" s="45"/>
      <c r="BY334" s="45"/>
      <c r="BZ334" s="45"/>
      <c r="CA334" s="45"/>
      <c r="CB334" s="45"/>
      <c r="CC334" s="45"/>
      <c r="CD334" s="463"/>
      <c r="CE334">
        <v>0</v>
      </c>
      <c r="CF334">
        <v>0</v>
      </c>
      <c r="CG334">
        <v>0</v>
      </c>
      <c r="CH334">
        <v>0</v>
      </c>
      <c r="CI334">
        <v>0</v>
      </c>
      <c r="CJ334">
        <v>0</v>
      </c>
      <c r="CK334">
        <v>0</v>
      </c>
      <c r="CL334">
        <v>0</v>
      </c>
      <c r="CM334">
        <v>0</v>
      </c>
      <c r="CN334">
        <v>0</v>
      </c>
      <c r="CO334">
        <v>0</v>
      </c>
      <c r="CP334">
        <v>0</v>
      </c>
      <c r="CQ334">
        <v>0</v>
      </c>
      <c r="CR334">
        <v>0</v>
      </c>
      <c r="CS334">
        <v>0</v>
      </c>
      <c r="CT334">
        <v>0</v>
      </c>
      <c r="CU334">
        <v>0</v>
      </c>
      <c r="CV334">
        <v>0</v>
      </c>
      <c r="CW334">
        <v>0</v>
      </c>
      <c r="CX334">
        <v>0</v>
      </c>
      <c r="CY334">
        <v>0</v>
      </c>
      <c r="CZ334">
        <v>0</v>
      </c>
      <c r="DA334">
        <v>0</v>
      </c>
      <c r="DB334">
        <v>0</v>
      </c>
      <c r="DC334">
        <v>0</v>
      </c>
      <c r="DD334">
        <v>0</v>
      </c>
      <c r="DE334">
        <v>0</v>
      </c>
      <c r="DF334">
        <v>0</v>
      </c>
      <c r="DG334">
        <v>0</v>
      </c>
      <c r="DH334">
        <v>0</v>
      </c>
      <c r="DI334">
        <v>0</v>
      </c>
      <c r="DJ334">
        <v>0</v>
      </c>
      <c r="DK334">
        <v>0</v>
      </c>
      <c r="DL334">
        <v>0</v>
      </c>
      <c r="DM334">
        <v>0</v>
      </c>
      <c r="DN334">
        <v>0</v>
      </c>
      <c r="DO334">
        <v>0</v>
      </c>
      <c r="DP334">
        <v>0</v>
      </c>
      <c r="DQ334">
        <v>0</v>
      </c>
      <c r="DR334">
        <v>0</v>
      </c>
      <c r="DS334">
        <v>0</v>
      </c>
      <c r="DT334">
        <v>0</v>
      </c>
      <c r="DU334">
        <v>0</v>
      </c>
    </row>
    <row r="335" spans="2:125">
      <c r="B335" s="136">
        <v>326</v>
      </c>
      <c r="C335" s="138">
        <v>1</v>
      </c>
      <c r="D335" s="474">
        <v>3705.973807992536</v>
      </c>
      <c r="E335" s="127">
        <v>161.79296125288846</v>
      </c>
      <c r="F335" s="447">
        <v>0.43401289479960314</v>
      </c>
      <c r="G335" s="127">
        <v>148.92040600525459</v>
      </c>
      <c r="H335" s="132">
        <v>53.637491716340143</v>
      </c>
      <c r="I335" s="456"/>
      <c r="J335" s="45"/>
      <c r="K335" s="45">
        <v>580</v>
      </c>
      <c r="L335" s="463"/>
      <c r="M335" s="456">
        <v>40.146533966064453</v>
      </c>
      <c r="N335" s="457"/>
      <c r="O335" s="456"/>
      <c r="P335" s="46"/>
      <c r="Q335" s="463">
        <v>73.378288269042969</v>
      </c>
      <c r="R335" s="449"/>
      <c r="S335" s="463"/>
      <c r="T335" s="480"/>
      <c r="U335" s="468"/>
      <c r="V335" s="449"/>
      <c r="W335" s="45">
        <v>1872.4608154296875</v>
      </c>
      <c r="X335" s="463">
        <v>153.6708984375</v>
      </c>
      <c r="Y335" s="449"/>
      <c r="Z335" s="45"/>
      <c r="AA335" s="468">
        <v>0.42492479551963652</v>
      </c>
      <c r="AB335" s="456"/>
      <c r="AC335" s="46"/>
      <c r="AD335" s="46"/>
      <c r="AE335" s="46"/>
      <c r="AF335" s="46"/>
      <c r="AG335" s="46"/>
      <c r="AH335" s="46"/>
      <c r="AI335" s="457"/>
      <c r="AJ335" s="138"/>
      <c r="AK335" s="745"/>
      <c r="AL335" s="54"/>
      <c r="AM335" s="468"/>
      <c r="AN335" s="449"/>
      <c r="AO335" s="45"/>
      <c r="AP335" s="45"/>
      <c r="AQ335" s="45"/>
      <c r="AR335" s="45"/>
      <c r="AS335" s="45"/>
      <c r="AT335" s="45"/>
      <c r="AU335" s="463"/>
      <c r="AV335" s="449"/>
      <c r="AW335" s="45"/>
      <c r="AX335" s="45"/>
      <c r="AY335" s="45"/>
      <c r="AZ335" s="45"/>
      <c r="BA335" s="45"/>
      <c r="BB335" s="45"/>
      <c r="BC335" s="463"/>
      <c r="BD335" s="456"/>
      <c r="BE335" s="46"/>
      <c r="BF335" s="46"/>
      <c r="BG335" s="46"/>
      <c r="BH335" s="46"/>
      <c r="BI335" s="46"/>
      <c r="BJ335" s="457"/>
      <c r="BK335" s="449">
        <v>0</v>
      </c>
      <c r="BL335" s="45"/>
      <c r="BM335" s="45"/>
      <c r="BN335" s="45"/>
      <c r="BO335" s="45"/>
      <c r="BP335" s="45"/>
      <c r="BQ335" s="45"/>
      <c r="BR335" s="45"/>
      <c r="BS335" s="45"/>
      <c r="BT335" s="45"/>
      <c r="BU335" s="45"/>
      <c r="BV335" s="45"/>
      <c r="BW335" s="45"/>
      <c r="BX335" s="45"/>
      <c r="BY335" s="45"/>
      <c r="BZ335" s="45"/>
      <c r="CA335" s="45"/>
      <c r="CB335" s="45"/>
      <c r="CC335" s="45"/>
      <c r="CD335" s="463"/>
      <c r="CE335">
        <v>0</v>
      </c>
      <c r="CF335">
        <v>0</v>
      </c>
      <c r="CG335">
        <v>0</v>
      </c>
      <c r="CH335">
        <v>0</v>
      </c>
      <c r="CI335">
        <v>0</v>
      </c>
      <c r="CJ335">
        <v>0</v>
      </c>
      <c r="CK335">
        <v>0</v>
      </c>
      <c r="CL335">
        <v>0</v>
      </c>
      <c r="CM335">
        <v>0</v>
      </c>
      <c r="CN335">
        <v>0</v>
      </c>
      <c r="CO335">
        <v>0</v>
      </c>
      <c r="CP335">
        <v>0</v>
      </c>
      <c r="CQ335">
        <v>0</v>
      </c>
      <c r="CR335">
        <v>0</v>
      </c>
      <c r="CS335">
        <v>0</v>
      </c>
      <c r="CT335">
        <v>0</v>
      </c>
      <c r="CU335">
        <v>0</v>
      </c>
      <c r="CV335">
        <v>0</v>
      </c>
      <c r="CW335">
        <v>0</v>
      </c>
      <c r="CX335">
        <v>0</v>
      </c>
      <c r="CY335">
        <v>0</v>
      </c>
      <c r="CZ335">
        <v>0</v>
      </c>
      <c r="DA335">
        <v>0</v>
      </c>
      <c r="DB335">
        <v>0</v>
      </c>
      <c r="DC335">
        <v>0</v>
      </c>
      <c r="DD335">
        <v>0</v>
      </c>
      <c r="DE335">
        <v>0</v>
      </c>
      <c r="DF335">
        <v>0</v>
      </c>
      <c r="DG335">
        <v>0</v>
      </c>
      <c r="DH335">
        <v>0</v>
      </c>
      <c r="DI335">
        <v>0</v>
      </c>
      <c r="DJ335">
        <v>0</v>
      </c>
      <c r="DK335">
        <v>0</v>
      </c>
      <c r="DL335">
        <v>0</v>
      </c>
      <c r="DM335">
        <v>0</v>
      </c>
      <c r="DN335">
        <v>0</v>
      </c>
      <c r="DO335">
        <v>0</v>
      </c>
      <c r="DP335">
        <v>0</v>
      </c>
      <c r="DQ335">
        <v>0</v>
      </c>
      <c r="DR335">
        <v>0</v>
      </c>
      <c r="DS335">
        <v>0</v>
      </c>
      <c r="DT335">
        <v>0</v>
      </c>
      <c r="DU335">
        <v>0</v>
      </c>
    </row>
    <row r="336" spans="2:125">
      <c r="B336" s="136">
        <v>327</v>
      </c>
      <c r="C336" s="138">
        <v>1</v>
      </c>
      <c r="D336" s="474">
        <v>3736.7474793052625</v>
      </c>
      <c r="E336" s="127">
        <v>291.84111326664873</v>
      </c>
      <c r="F336" s="447">
        <v>0.43331842227185724</v>
      </c>
      <c r="G336" s="127">
        <v>138.69987532960278</v>
      </c>
      <c r="H336" s="132">
        <v>56.903400950435646</v>
      </c>
      <c r="I336" s="456"/>
      <c r="J336" s="45"/>
      <c r="K336" s="45">
        <v>550</v>
      </c>
      <c r="L336" s="463"/>
      <c r="M336" s="456">
        <v>38.384819030761719</v>
      </c>
      <c r="N336" s="457"/>
      <c r="O336" s="456"/>
      <c r="P336" s="46"/>
      <c r="Q336" s="463">
        <v>73.987602233886719</v>
      </c>
      <c r="R336" s="449"/>
      <c r="S336" s="463"/>
      <c r="T336" s="480"/>
      <c r="U336" s="468"/>
      <c r="V336" s="449"/>
      <c r="W336" s="45">
        <v>1797.581787109375</v>
      </c>
      <c r="X336" s="463">
        <v>148.13655090332031</v>
      </c>
      <c r="Y336" s="449"/>
      <c r="Z336" s="45"/>
      <c r="AA336" s="468">
        <v>0.42430888426269625</v>
      </c>
      <c r="AB336" s="456"/>
      <c r="AC336" s="46"/>
      <c r="AD336" s="46"/>
      <c r="AE336" s="46"/>
      <c r="AF336" s="46"/>
      <c r="AG336" s="46"/>
      <c r="AH336" s="46"/>
      <c r="AI336" s="457"/>
      <c r="AJ336" s="138"/>
      <c r="AK336" s="745"/>
      <c r="AL336" s="54"/>
      <c r="AM336" s="468"/>
      <c r="AN336" s="449"/>
      <c r="AO336" s="45"/>
      <c r="AP336" s="45"/>
      <c r="AQ336" s="45"/>
      <c r="AR336" s="45"/>
      <c r="AS336" s="45"/>
      <c r="AT336" s="45"/>
      <c r="AU336" s="463"/>
      <c r="AV336" s="449"/>
      <c r="AW336" s="45"/>
      <c r="AX336" s="45"/>
      <c r="AY336" s="45"/>
      <c r="AZ336" s="45"/>
      <c r="BA336" s="45"/>
      <c r="BB336" s="45"/>
      <c r="BC336" s="463"/>
      <c r="BD336" s="456"/>
      <c r="BE336" s="46"/>
      <c r="BF336" s="46"/>
      <c r="BG336" s="46"/>
      <c r="BH336" s="46"/>
      <c r="BI336" s="46"/>
      <c r="BJ336" s="457"/>
      <c r="BK336" s="449">
        <v>0</v>
      </c>
      <c r="BL336" s="45"/>
      <c r="BM336" s="45"/>
      <c r="BN336" s="45"/>
      <c r="BO336" s="45"/>
      <c r="BP336" s="45"/>
      <c r="BQ336" s="45"/>
      <c r="BR336" s="45"/>
      <c r="BS336" s="45"/>
      <c r="BT336" s="45"/>
      <c r="BU336" s="45"/>
      <c r="BV336" s="45"/>
      <c r="BW336" s="45"/>
      <c r="BX336" s="45"/>
      <c r="BY336" s="45"/>
      <c r="BZ336" s="45"/>
      <c r="CA336" s="45"/>
      <c r="CB336" s="45"/>
      <c r="CC336" s="45"/>
      <c r="CD336" s="463"/>
      <c r="CE336">
        <v>0</v>
      </c>
      <c r="CF336">
        <v>0</v>
      </c>
      <c r="CG336">
        <v>0</v>
      </c>
      <c r="CH336">
        <v>0</v>
      </c>
      <c r="CI336">
        <v>0</v>
      </c>
      <c r="CJ336">
        <v>0</v>
      </c>
      <c r="CK336">
        <v>0</v>
      </c>
      <c r="CL336">
        <v>0</v>
      </c>
      <c r="CM336">
        <v>0</v>
      </c>
      <c r="CN336">
        <v>0</v>
      </c>
      <c r="CO336">
        <v>0</v>
      </c>
      <c r="CP336">
        <v>0</v>
      </c>
      <c r="CQ336">
        <v>0</v>
      </c>
      <c r="CR336">
        <v>0</v>
      </c>
      <c r="CS336">
        <v>0</v>
      </c>
      <c r="CT336">
        <v>0</v>
      </c>
      <c r="CU336">
        <v>0</v>
      </c>
      <c r="CV336">
        <v>0</v>
      </c>
      <c r="CW336">
        <v>0</v>
      </c>
      <c r="CX336">
        <v>0</v>
      </c>
      <c r="CY336">
        <v>0</v>
      </c>
      <c r="CZ336">
        <v>0</v>
      </c>
      <c r="DA336">
        <v>0</v>
      </c>
      <c r="DB336">
        <v>0</v>
      </c>
      <c r="DC336">
        <v>0</v>
      </c>
      <c r="DD336">
        <v>0</v>
      </c>
      <c r="DE336">
        <v>0</v>
      </c>
      <c r="DF336">
        <v>0</v>
      </c>
      <c r="DG336">
        <v>0</v>
      </c>
      <c r="DH336">
        <v>0</v>
      </c>
      <c r="DI336">
        <v>0</v>
      </c>
      <c r="DJ336">
        <v>0</v>
      </c>
      <c r="DK336">
        <v>0</v>
      </c>
      <c r="DL336">
        <v>0</v>
      </c>
      <c r="DM336">
        <v>0</v>
      </c>
      <c r="DN336">
        <v>0</v>
      </c>
      <c r="DO336">
        <v>0</v>
      </c>
      <c r="DP336">
        <v>0</v>
      </c>
      <c r="DQ336">
        <v>0</v>
      </c>
      <c r="DR336">
        <v>0</v>
      </c>
      <c r="DS336">
        <v>0</v>
      </c>
      <c r="DT336">
        <v>0</v>
      </c>
      <c r="DU336">
        <v>0</v>
      </c>
    </row>
    <row r="337" spans="2:125">
      <c r="B337" s="136">
        <v>328</v>
      </c>
      <c r="C337" s="138">
        <v>1</v>
      </c>
      <c r="D337" s="474">
        <v>4287.9799906318631</v>
      </c>
      <c r="E337" s="127">
        <v>164.05418469215283</v>
      </c>
      <c r="F337" s="447">
        <v>0.46028220590831026</v>
      </c>
      <c r="G337" s="127">
        <v>161.82416954504771</v>
      </c>
      <c r="H337" s="132">
        <v>60.348430950909147</v>
      </c>
      <c r="I337" s="456"/>
      <c r="J337" s="45"/>
      <c r="K337" s="45">
        <v>650</v>
      </c>
      <c r="L337" s="463"/>
      <c r="M337" s="456">
        <v>45.954723358154297</v>
      </c>
      <c r="N337" s="457"/>
      <c r="O337" s="456"/>
      <c r="P337" s="46"/>
      <c r="Q337" s="463">
        <v>84.902008056640625</v>
      </c>
      <c r="R337" s="449"/>
      <c r="S337" s="463"/>
      <c r="T337" s="480"/>
      <c r="U337" s="468"/>
      <c r="V337" s="449"/>
      <c r="W337" s="45">
        <v>2310.567138671875</v>
      </c>
      <c r="X337" s="463">
        <v>185.8326416015625</v>
      </c>
      <c r="Y337" s="449"/>
      <c r="Z337" s="45"/>
      <c r="AA337" s="468">
        <v>0.452305106156703</v>
      </c>
      <c r="AB337" s="456"/>
      <c r="AC337" s="46"/>
      <c r="AD337" s="46"/>
      <c r="AE337" s="46"/>
      <c r="AF337" s="46"/>
      <c r="AG337" s="46"/>
      <c r="AH337" s="46"/>
      <c r="AI337" s="457"/>
      <c r="AJ337" s="138"/>
      <c r="AK337" s="745"/>
      <c r="AL337" s="54"/>
      <c r="AM337" s="468"/>
      <c r="AN337" s="449"/>
      <c r="AO337" s="45"/>
      <c r="AP337" s="45"/>
      <c r="AQ337" s="45"/>
      <c r="AR337" s="45"/>
      <c r="AS337" s="45"/>
      <c r="AT337" s="45"/>
      <c r="AU337" s="463"/>
      <c r="AV337" s="449"/>
      <c r="AW337" s="45"/>
      <c r="AX337" s="45"/>
      <c r="AY337" s="45"/>
      <c r="AZ337" s="45"/>
      <c r="BA337" s="45"/>
      <c r="BB337" s="45"/>
      <c r="BC337" s="463"/>
      <c r="BD337" s="456"/>
      <c r="BE337" s="46"/>
      <c r="BF337" s="46"/>
      <c r="BG337" s="46"/>
      <c r="BH337" s="46"/>
      <c r="BI337" s="46"/>
      <c r="BJ337" s="457"/>
      <c r="BK337" s="449">
        <v>0</v>
      </c>
      <c r="BL337" s="45"/>
      <c r="BM337" s="45"/>
      <c r="BN337" s="45"/>
      <c r="BO337" s="45"/>
      <c r="BP337" s="45"/>
      <c r="BQ337" s="45"/>
      <c r="BR337" s="45"/>
      <c r="BS337" s="45"/>
      <c r="BT337" s="45"/>
      <c r="BU337" s="45"/>
      <c r="BV337" s="45"/>
      <c r="BW337" s="45"/>
      <c r="BX337" s="45"/>
      <c r="BY337" s="45"/>
      <c r="BZ337" s="45"/>
      <c r="CA337" s="45"/>
      <c r="CB337" s="45"/>
      <c r="CC337" s="45"/>
      <c r="CD337" s="463"/>
      <c r="CE337">
        <v>0</v>
      </c>
      <c r="CF337">
        <v>0</v>
      </c>
      <c r="CG337">
        <v>0</v>
      </c>
      <c r="CH337">
        <v>0</v>
      </c>
      <c r="CI337">
        <v>0</v>
      </c>
      <c r="CJ337">
        <v>0</v>
      </c>
      <c r="CK337">
        <v>0</v>
      </c>
      <c r="CL337">
        <v>0</v>
      </c>
      <c r="CM337">
        <v>0</v>
      </c>
      <c r="CN337">
        <v>0</v>
      </c>
      <c r="CO337">
        <v>0</v>
      </c>
      <c r="CP337">
        <v>0</v>
      </c>
      <c r="CQ337">
        <v>0</v>
      </c>
      <c r="CR337">
        <v>0</v>
      </c>
      <c r="CS337">
        <v>0</v>
      </c>
      <c r="CT337">
        <v>0</v>
      </c>
      <c r="CU337">
        <v>0</v>
      </c>
      <c r="CV337">
        <v>0</v>
      </c>
      <c r="CW337">
        <v>0</v>
      </c>
      <c r="CX337">
        <v>0</v>
      </c>
      <c r="CY337">
        <v>0</v>
      </c>
      <c r="CZ337">
        <v>0</v>
      </c>
      <c r="DA337">
        <v>0</v>
      </c>
      <c r="DB337">
        <v>0</v>
      </c>
      <c r="DC337">
        <v>0</v>
      </c>
      <c r="DD337">
        <v>0</v>
      </c>
      <c r="DE337">
        <v>0</v>
      </c>
      <c r="DF337">
        <v>0</v>
      </c>
      <c r="DG337">
        <v>0</v>
      </c>
      <c r="DH337">
        <v>0</v>
      </c>
      <c r="DI337">
        <v>0</v>
      </c>
      <c r="DJ337">
        <v>0</v>
      </c>
      <c r="DK337">
        <v>0</v>
      </c>
      <c r="DL337">
        <v>0</v>
      </c>
      <c r="DM337">
        <v>0</v>
      </c>
      <c r="DN337">
        <v>0</v>
      </c>
      <c r="DO337">
        <v>0</v>
      </c>
      <c r="DP337">
        <v>0</v>
      </c>
      <c r="DQ337">
        <v>0</v>
      </c>
      <c r="DR337">
        <v>0</v>
      </c>
      <c r="DS337">
        <v>0</v>
      </c>
      <c r="DT337">
        <v>0</v>
      </c>
      <c r="DU337">
        <v>0</v>
      </c>
    </row>
    <row r="338" spans="2:125">
      <c r="B338" s="136">
        <v>329</v>
      </c>
      <c r="C338" s="138">
        <v>1</v>
      </c>
      <c r="D338" s="474">
        <v>4477.8846840840579</v>
      </c>
      <c r="E338" s="127">
        <v>152.02720720584608</v>
      </c>
      <c r="F338" s="447">
        <v>0.35617044569371187</v>
      </c>
      <c r="G338" s="127">
        <v>181.05421050134848</v>
      </c>
      <c r="H338" s="132">
        <v>58.932303479190686</v>
      </c>
      <c r="I338" s="456"/>
      <c r="J338" s="45"/>
      <c r="K338" s="45">
        <v>680</v>
      </c>
      <c r="L338" s="463"/>
      <c r="M338" s="456">
        <v>31.045221328735352</v>
      </c>
      <c r="N338" s="457"/>
      <c r="O338" s="456"/>
      <c r="P338" s="46"/>
      <c r="Q338" s="463">
        <v>88.662117004394531</v>
      </c>
      <c r="R338" s="449"/>
      <c r="S338" s="463"/>
      <c r="T338" s="480"/>
      <c r="U338" s="468"/>
      <c r="V338" s="449"/>
      <c r="W338" s="45">
        <v>1689.509033203125</v>
      </c>
      <c r="X338" s="463">
        <v>140.82118225097656</v>
      </c>
      <c r="Y338" s="449"/>
      <c r="Z338" s="45"/>
      <c r="AA338" s="468">
        <v>0.34899665467849167</v>
      </c>
      <c r="AB338" s="456"/>
      <c r="AC338" s="46"/>
      <c r="AD338" s="46"/>
      <c r="AE338" s="46"/>
      <c r="AF338" s="46"/>
      <c r="AG338" s="46"/>
      <c r="AH338" s="46"/>
      <c r="AI338" s="457"/>
      <c r="AJ338" s="138"/>
      <c r="AK338" s="745"/>
      <c r="AL338" s="54"/>
      <c r="AM338" s="468"/>
      <c r="AN338" s="449"/>
      <c r="AO338" s="45"/>
      <c r="AP338" s="45"/>
      <c r="AQ338" s="45"/>
      <c r="AR338" s="45"/>
      <c r="AS338" s="45"/>
      <c r="AT338" s="45"/>
      <c r="AU338" s="463"/>
      <c r="AV338" s="449"/>
      <c r="AW338" s="45"/>
      <c r="AX338" s="45"/>
      <c r="AY338" s="45"/>
      <c r="AZ338" s="45"/>
      <c r="BA338" s="45"/>
      <c r="BB338" s="45"/>
      <c r="BC338" s="463"/>
      <c r="BD338" s="456"/>
      <c r="BE338" s="46"/>
      <c r="BF338" s="46"/>
      <c r="BG338" s="46"/>
      <c r="BH338" s="46"/>
      <c r="BI338" s="46"/>
      <c r="BJ338" s="457"/>
      <c r="BK338" s="449">
        <v>0</v>
      </c>
      <c r="BL338" s="45"/>
      <c r="BM338" s="45"/>
      <c r="BN338" s="45"/>
      <c r="BO338" s="45"/>
      <c r="BP338" s="45"/>
      <c r="BQ338" s="45"/>
      <c r="BR338" s="45"/>
      <c r="BS338" s="45"/>
      <c r="BT338" s="45"/>
      <c r="BU338" s="45"/>
      <c r="BV338" s="45"/>
      <c r="BW338" s="45"/>
      <c r="BX338" s="45"/>
      <c r="BY338" s="45"/>
      <c r="BZ338" s="45"/>
      <c r="CA338" s="45"/>
      <c r="CB338" s="45"/>
      <c r="CC338" s="45"/>
      <c r="CD338" s="463"/>
      <c r="CE338">
        <v>0</v>
      </c>
      <c r="CF338">
        <v>0</v>
      </c>
      <c r="CG338">
        <v>0</v>
      </c>
      <c r="CH338">
        <v>0</v>
      </c>
      <c r="CI338">
        <v>0</v>
      </c>
      <c r="CJ338">
        <v>0</v>
      </c>
      <c r="CK338">
        <v>0</v>
      </c>
      <c r="CL338">
        <v>0</v>
      </c>
      <c r="CM338">
        <v>0</v>
      </c>
      <c r="CN338">
        <v>0</v>
      </c>
      <c r="CO338">
        <v>0</v>
      </c>
      <c r="CP338">
        <v>0</v>
      </c>
      <c r="CQ338">
        <v>0</v>
      </c>
      <c r="CR338">
        <v>0</v>
      </c>
      <c r="CS338">
        <v>0</v>
      </c>
      <c r="CT338">
        <v>0</v>
      </c>
      <c r="CU338">
        <v>0</v>
      </c>
      <c r="CV338">
        <v>0</v>
      </c>
      <c r="CW338">
        <v>0</v>
      </c>
      <c r="CX338">
        <v>0</v>
      </c>
      <c r="CY338">
        <v>0</v>
      </c>
      <c r="CZ338">
        <v>0</v>
      </c>
      <c r="DA338">
        <v>0</v>
      </c>
      <c r="DB338">
        <v>0</v>
      </c>
      <c r="DC338">
        <v>0</v>
      </c>
      <c r="DD338">
        <v>0</v>
      </c>
      <c r="DE338">
        <v>0</v>
      </c>
      <c r="DF338">
        <v>0</v>
      </c>
      <c r="DG338">
        <v>0</v>
      </c>
      <c r="DH338">
        <v>0</v>
      </c>
      <c r="DI338">
        <v>0</v>
      </c>
      <c r="DJ338">
        <v>0</v>
      </c>
      <c r="DK338">
        <v>0</v>
      </c>
      <c r="DL338">
        <v>0</v>
      </c>
      <c r="DM338">
        <v>0</v>
      </c>
      <c r="DN338">
        <v>0</v>
      </c>
      <c r="DO338">
        <v>0</v>
      </c>
      <c r="DP338">
        <v>0</v>
      </c>
      <c r="DQ338">
        <v>0</v>
      </c>
      <c r="DR338">
        <v>0</v>
      </c>
      <c r="DS338">
        <v>0</v>
      </c>
      <c r="DT338">
        <v>0</v>
      </c>
      <c r="DU338">
        <v>0</v>
      </c>
    </row>
    <row r="339" spans="2:125">
      <c r="B339" s="136">
        <v>330</v>
      </c>
      <c r="C339" s="138">
        <v>1</v>
      </c>
      <c r="D339" s="474">
        <v>3725.3040200711685</v>
      </c>
      <c r="E339" s="127">
        <v>262.25000030699522</v>
      </c>
      <c r="F339" s="447">
        <v>0.39828489421366142</v>
      </c>
      <c r="G339" s="127">
        <v>139.24964876978467</v>
      </c>
      <c r="H339" s="132">
        <v>62.921243479669947</v>
      </c>
      <c r="I339" s="456"/>
      <c r="J339" s="45"/>
      <c r="K339" s="45">
        <v>580</v>
      </c>
      <c r="L339" s="463"/>
      <c r="M339" s="456">
        <v>32.475696563720703</v>
      </c>
      <c r="N339" s="457"/>
      <c r="O339" s="456"/>
      <c r="P339" s="46"/>
      <c r="Q339" s="463">
        <v>81.866996765136719</v>
      </c>
      <c r="R339" s="449"/>
      <c r="S339" s="463"/>
      <c r="T339" s="480"/>
      <c r="U339" s="468"/>
      <c r="V339" s="449"/>
      <c r="W339" s="45">
        <v>1640.23095703125</v>
      </c>
      <c r="X339" s="463">
        <v>136.78590393066406</v>
      </c>
      <c r="Y339" s="449"/>
      <c r="Z339" s="45"/>
      <c r="AA339" s="468">
        <v>0.38943576466432511</v>
      </c>
      <c r="AB339" s="456"/>
      <c r="AC339" s="46"/>
      <c r="AD339" s="46"/>
      <c r="AE339" s="46"/>
      <c r="AF339" s="46"/>
      <c r="AG339" s="46"/>
      <c r="AH339" s="46"/>
      <c r="AI339" s="457"/>
      <c r="AJ339" s="138"/>
      <c r="AK339" s="745"/>
      <c r="AL339" s="54"/>
      <c r="AM339" s="468"/>
      <c r="AN339" s="449"/>
      <c r="AO339" s="45"/>
      <c r="AP339" s="45"/>
      <c r="AQ339" s="45"/>
      <c r="AR339" s="45"/>
      <c r="AS339" s="45"/>
      <c r="AT339" s="45"/>
      <c r="AU339" s="463"/>
      <c r="AV339" s="449"/>
      <c r="AW339" s="45"/>
      <c r="AX339" s="45"/>
      <c r="AY339" s="45"/>
      <c r="AZ339" s="45"/>
      <c r="BA339" s="45"/>
      <c r="BB339" s="45"/>
      <c r="BC339" s="463"/>
      <c r="BD339" s="456"/>
      <c r="BE339" s="46"/>
      <c r="BF339" s="46"/>
      <c r="BG339" s="46"/>
      <c r="BH339" s="46"/>
      <c r="BI339" s="46"/>
      <c r="BJ339" s="457"/>
      <c r="BK339" s="449">
        <v>0</v>
      </c>
      <c r="BL339" s="45"/>
      <c r="BM339" s="45"/>
      <c r="BN339" s="45"/>
      <c r="BO339" s="45"/>
      <c r="BP339" s="45"/>
      <c r="BQ339" s="45"/>
      <c r="BR339" s="45"/>
      <c r="BS339" s="45"/>
      <c r="BT339" s="45"/>
      <c r="BU339" s="45"/>
      <c r="BV339" s="45"/>
      <c r="BW339" s="45"/>
      <c r="BX339" s="45"/>
      <c r="BY339" s="45"/>
      <c r="BZ339" s="45"/>
      <c r="CA339" s="45"/>
      <c r="CB339" s="45"/>
      <c r="CC339" s="45"/>
      <c r="CD339" s="463"/>
      <c r="CE339">
        <v>0</v>
      </c>
      <c r="CF339">
        <v>0</v>
      </c>
      <c r="CG339">
        <v>0</v>
      </c>
      <c r="CH339">
        <v>0</v>
      </c>
      <c r="CI339">
        <v>0</v>
      </c>
      <c r="CJ339">
        <v>0</v>
      </c>
      <c r="CK339">
        <v>0</v>
      </c>
      <c r="CL339">
        <v>0</v>
      </c>
      <c r="CM339">
        <v>0</v>
      </c>
      <c r="CN339">
        <v>0</v>
      </c>
      <c r="CO339">
        <v>0</v>
      </c>
      <c r="CP339">
        <v>0</v>
      </c>
      <c r="CQ339">
        <v>0</v>
      </c>
      <c r="CR339">
        <v>0</v>
      </c>
      <c r="CS339">
        <v>0</v>
      </c>
      <c r="CT339">
        <v>0</v>
      </c>
      <c r="CU339">
        <v>0</v>
      </c>
      <c r="CV339">
        <v>0</v>
      </c>
      <c r="CW339">
        <v>0</v>
      </c>
      <c r="CX339">
        <v>0</v>
      </c>
      <c r="CY339">
        <v>0</v>
      </c>
      <c r="CZ339">
        <v>0</v>
      </c>
      <c r="DA339">
        <v>0</v>
      </c>
      <c r="DB339">
        <v>0</v>
      </c>
      <c r="DC339">
        <v>0</v>
      </c>
      <c r="DD339">
        <v>0</v>
      </c>
      <c r="DE339">
        <v>0</v>
      </c>
      <c r="DF339">
        <v>0</v>
      </c>
      <c r="DG339">
        <v>0</v>
      </c>
      <c r="DH339">
        <v>0</v>
      </c>
      <c r="DI339">
        <v>0</v>
      </c>
      <c r="DJ339">
        <v>0</v>
      </c>
      <c r="DK339">
        <v>0</v>
      </c>
      <c r="DL339">
        <v>0</v>
      </c>
      <c r="DM339">
        <v>0</v>
      </c>
      <c r="DN339">
        <v>0</v>
      </c>
      <c r="DO339">
        <v>0</v>
      </c>
      <c r="DP339">
        <v>0</v>
      </c>
      <c r="DQ339">
        <v>0</v>
      </c>
      <c r="DR339">
        <v>0</v>
      </c>
      <c r="DS339">
        <v>0</v>
      </c>
      <c r="DT339">
        <v>0</v>
      </c>
      <c r="DU339">
        <v>0</v>
      </c>
    </row>
    <row r="340" spans="2:125">
      <c r="B340" s="136">
        <v>331</v>
      </c>
      <c r="C340" s="138">
        <v>1</v>
      </c>
      <c r="D340" s="474">
        <v>3905.90373305915</v>
      </c>
      <c r="E340" s="127">
        <v>281.0349313689419</v>
      </c>
      <c r="F340" s="447">
        <v>0.4142121104924017</v>
      </c>
      <c r="G340" s="127">
        <v>143.13548434425772</v>
      </c>
      <c r="H340" s="132">
        <v>58.637605129269424</v>
      </c>
      <c r="I340" s="456"/>
      <c r="J340" s="45"/>
      <c r="K340" s="45">
        <v>570</v>
      </c>
      <c r="L340" s="463"/>
      <c r="M340" s="456">
        <v>35.668800354003906</v>
      </c>
      <c r="N340" s="457"/>
      <c r="O340" s="456"/>
      <c r="P340" s="46"/>
      <c r="Q340" s="463">
        <v>77.336898803710937</v>
      </c>
      <c r="R340" s="449"/>
      <c r="S340" s="463"/>
      <c r="T340" s="480"/>
      <c r="U340" s="468"/>
      <c r="V340" s="449"/>
      <c r="W340" s="45">
        <v>1731.0181884765625</v>
      </c>
      <c r="X340" s="463">
        <v>143.37998962402344</v>
      </c>
      <c r="Y340" s="449"/>
      <c r="Z340" s="45"/>
      <c r="AA340" s="468">
        <v>0.40569058910206796</v>
      </c>
      <c r="AB340" s="456"/>
      <c r="AC340" s="46"/>
      <c r="AD340" s="46"/>
      <c r="AE340" s="46"/>
      <c r="AF340" s="46"/>
      <c r="AG340" s="46"/>
      <c r="AH340" s="46"/>
      <c r="AI340" s="457"/>
      <c r="AJ340" s="138"/>
      <c r="AK340" s="745"/>
      <c r="AL340" s="54"/>
      <c r="AM340" s="468"/>
      <c r="AN340" s="449"/>
      <c r="AO340" s="45"/>
      <c r="AP340" s="45"/>
      <c r="AQ340" s="45"/>
      <c r="AR340" s="45"/>
      <c r="AS340" s="45"/>
      <c r="AT340" s="45"/>
      <c r="AU340" s="463"/>
      <c r="AV340" s="449"/>
      <c r="AW340" s="45"/>
      <c r="AX340" s="45"/>
      <c r="AY340" s="45"/>
      <c r="AZ340" s="45"/>
      <c r="BA340" s="45"/>
      <c r="BB340" s="45"/>
      <c r="BC340" s="463"/>
      <c r="BD340" s="456"/>
      <c r="BE340" s="46"/>
      <c r="BF340" s="46"/>
      <c r="BG340" s="46"/>
      <c r="BH340" s="46"/>
      <c r="BI340" s="46"/>
      <c r="BJ340" s="457"/>
      <c r="BK340" s="449">
        <v>0</v>
      </c>
      <c r="BL340" s="45"/>
      <c r="BM340" s="45"/>
      <c r="BN340" s="45"/>
      <c r="BO340" s="45"/>
      <c r="BP340" s="45"/>
      <c r="BQ340" s="45"/>
      <c r="BR340" s="45"/>
      <c r="BS340" s="45"/>
      <c r="BT340" s="45"/>
      <c r="BU340" s="45"/>
      <c r="BV340" s="45"/>
      <c r="BW340" s="45"/>
      <c r="BX340" s="45"/>
      <c r="BY340" s="45"/>
      <c r="BZ340" s="45"/>
      <c r="CA340" s="45"/>
      <c r="CB340" s="45"/>
      <c r="CC340" s="45"/>
      <c r="CD340" s="463"/>
      <c r="CE340">
        <v>0</v>
      </c>
      <c r="CF340">
        <v>0</v>
      </c>
      <c r="CG340">
        <v>0</v>
      </c>
      <c r="CH340">
        <v>0</v>
      </c>
      <c r="CI340">
        <v>0</v>
      </c>
      <c r="CJ340">
        <v>0</v>
      </c>
      <c r="CK340">
        <v>0</v>
      </c>
      <c r="CL340">
        <v>0</v>
      </c>
      <c r="CM340">
        <v>0</v>
      </c>
      <c r="CN340">
        <v>0</v>
      </c>
      <c r="CO340">
        <v>0</v>
      </c>
      <c r="CP340">
        <v>0</v>
      </c>
      <c r="CQ340">
        <v>0</v>
      </c>
      <c r="CR340">
        <v>0</v>
      </c>
      <c r="CS340">
        <v>0</v>
      </c>
      <c r="CT340">
        <v>0</v>
      </c>
      <c r="CU340">
        <v>0</v>
      </c>
      <c r="CV340">
        <v>0</v>
      </c>
      <c r="CW340">
        <v>0</v>
      </c>
      <c r="CX340">
        <v>0</v>
      </c>
      <c r="CY340">
        <v>0</v>
      </c>
      <c r="CZ340">
        <v>0</v>
      </c>
      <c r="DA340">
        <v>0</v>
      </c>
      <c r="DB340">
        <v>0</v>
      </c>
      <c r="DC340">
        <v>0</v>
      </c>
      <c r="DD340">
        <v>0</v>
      </c>
      <c r="DE340">
        <v>0</v>
      </c>
      <c r="DF340">
        <v>0</v>
      </c>
      <c r="DG340">
        <v>0</v>
      </c>
      <c r="DH340">
        <v>0</v>
      </c>
      <c r="DI340">
        <v>0</v>
      </c>
      <c r="DJ340">
        <v>0</v>
      </c>
      <c r="DK340">
        <v>0</v>
      </c>
      <c r="DL340">
        <v>0</v>
      </c>
      <c r="DM340">
        <v>0</v>
      </c>
      <c r="DN340">
        <v>0</v>
      </c>
      <c r="DO340">
        <v>0</v>
      </c>
      <c r="DP340">
        <v>0</v>
      </c>
      <c r="DQ340">
        <v>0</v>
      </c>
      <c r="DR340">
        <v>0</v>
      </c>
      <c r="DS340">
        <v>0</v>
      </c>
      <c r="DT340">
        <v>0</v>
      </c>
      <c r="DU340">
        <v>0</v>
      </c>
    </row>
    <row r="341" spans="2:125">
      <c r="B341" s="136">
        <v>332</v>
      </c>
      <c r="C341" s="138">
        <v>1</v>
      </c>
      <c r="D341" s="474">
        <v>3470.1876164964051</v>
      </c>
      <c r="E341" s="127">
        <v>218.4035942713829</v>
      </c>
      <c r="F341" s="447">
        <v>0.40744064847035555</v>
      </c>
      <c r="G341" s="127">
        <v>117.95018356184248</v>
      </c>
      <c r="H341" s="132">
        <v>63.83674852326606</v>
      </c>
      <c r="I341" s="456"/>
      <c r="J341" s="45"/>
      <c r="K341" s="45">
        <v>520</v>
      </c>
      <c r="L341" s="463"/>
      <c r="M341" s="456">
        <v>31.565765380859375</v>
      </c>
      <c r="N341" s="457"/>
      <c r="O341" s="456"/>
      <c r="P341" s="46"/>
      <c r="Q341" s="463">
        <v>77.023048400878906</v>
      </c>
      <c r="R341" s="449"/>
      <c r="S341" s="463"/>
      <c r="T341" s="480"/>
      <c r="U341" s="468"/>
      <c r="V341" s="449"/>
      <c r="W341" s="45">
        <v>1525.5340576171875</v>
      </c>
      <c r="X341" s="463">
        <v>128.18705749511719</v>
      </c>
      <c r="Y341" s="449"/>
      <c r="Z341" s="45"/>
      <c r="AA341" s="468">
        <v>0.39788819291670596</v>
      </c>
      <c r="AB341" s="456"/>
      <c r="AC341" s="46"/>
      <c r="AD341" s="46"/>
      <c r="AE341" s="46"/>
      <c r="AF341" s="46"/>
      <c r="AG341" s="46"/>
      <c r="AH341" s="46"/>
      <c r="AI341" s="457"/>
      <c r="AJ341" s="138"/>
      <c r="AK341" s="745"/>
      <c r="AL341" s="54"/>
      <c r="AM341" s="468"/>
      <c r="AN341" s="449"/>
      <c r="AO341" s="45"/>
      <c r="AP341" s="45"/>
      <c r="AQ341" s="45"/>
      <c r="AR341" s="45"/>
      <c r="AS341" s="45"/>
      <c r="AT341" s="45"/>
      <c r="AU341" s="463"/>
      <c r="AV341" s="449"/>
      <c r="AW341" s="45"/>
      <c r="AX341" s="45"/>
      <c r="AY341" s="45"/>
      <c r="AZ341" s="45"/>
      <c r="BA341" s="45"/>
      <c r="BB341" s="45"/>
      <c r="BC341" s="463"/>
      <c r="BD341" s="456"/>
      <c r="BE341" s="46"/>
      <c r="BF341" s="46"/>
      <c r="BG341" s="46"/>
      <c r="BH341" s="46"/>
      <c r="BI341" s="46"/>
      <c r="BJ341" s="457"/>
      <c r="BK341" s="449">
        <v>0</v>
      </c>
      <c r="BL341" s="45"/>
      <c r="BM341" s="45"/>
      <c r="BN341" s="45"/>
      <c r="BO341" s="45"/>
      <c r="BP341" s="45"/>
      <c r="BQ341" s="45"/>
      <c r="BR341" s="45"/>
      <c r="BS341" s="45"/>
      <c r="BT341" s="45"/>
      <c r="BU341" s="45"/>
      <c r="BV341" s="45"/>
      <c r="BW341" s="45"/>
      <c r="BX341" s="45"/>
      <c r="BY341" s="45"/>
      <c r="BZ341" s="45"/>
      <c r="CA341" s="45"/>
      <c r="CB341" s="45"/>
      <c r="CC341" s="45"/>
      <c r="CD341" s="463"/>
      <c r="CE341">
        <v>0</v>
      </c>
      <c r="CF341">
        <v>0</v>
      </c>
      <c r="CG341">
        <v>0</v>
      </c>
      <c r="CH341">
        <v>0</v>
      </c>
      <c r="CI341">
        <v>0</v>
      </c>
      <c r="CJ341">
        <v>0</v>
      </c>
      <c r="CK341">
        <v>0</v>
      </c>
      <c r="CL341">
        <v>0</v>
      </c>
      <c r="CM341">
        <v>0</v>
      </c>
      <c r="CN341">
        <v>0</v>
      </c>
      <c r="CO341">
        <v>0</v>
      </c>
      <c r="CP341">
        <v>0</v>
      </c>
      <c r="CQ341">
        <v>0</v>
      </c>
      <c r="CR341">
        <v>0</v>
      </c>
      <c r="CS341">
        <v>0</v>
      </c>
      <c r="CT341">
        <v>0</v>
      </c>
      <c r="CU341">
        <v>0</v>
      </c>
      <c r="CV341">
        <v>0</v>
      </c>
      <c r="CW341">
        <v>0</v>
      </c>
      <c r="CX341">
        <v>0</v>
      </c>
      <c r="CY341">
        <v>0</v>
      </c>
      <c r="CZ341">
        <v>0</v>
      </c>
      <c r="DA341">
        <v>0</v>
      </c>
      <c r="DB341">
        <v>0</v>
      </c>
      <c r="DC341">
        <v>0</v>
      </c>
      <c r="DD341">
        <v>0</v>
      </c>
      <c r="DE341">
        <v>0</v>
      </c>
      <c r="DF341">
        <v>0</v>
      </c>
      <c r="DG341">
        <v>0</v>
      </c>
      <c r="DH341">
        <v>0</v>
      </c>
      <c r="DI341">
        <v>0</v>
      </c>
      <c r="DJ341">
        <v>0</v>
      </c>
      <c r="DK341">
        <v>0</v>
      </c>
      <c r="DL341">
        <v>0</v>
      </c>
      <c r="DM341">
        <v>0</v>
      </c>
      <c r="DN341">
        <v>0</v>
      </c>
      <c r="DO341">
        <v>0</v>
      </c>
      <c r="DP341">
        <v>0</v>
      </c>
      <c r="DQ341">
        <v>0</v>
      </c>
      <c r="DR341">
        <v>0</v>
      </c>
      <c r="DS341">
        <v>0</v>
      </c>
      <c r="DT341">
        <v>0</v>
      </c>
      <c r="DU341">
        <v>0</v>
      </c>
    </row>
    <row r="342" spans="2:125">
      <c r="B342" s="136">
        <v>333</v>
      </c>
      <c r="C342" s="138">
        <v>1</v>
      </c>
      <c r="D342" s="474">
        <v>3235.3405672262447</v>
      </c>
      <c r="E342" s="127">
        <v>198.63258419150389</v>
      </c>
      <c r="F342" s="447">
        <v>0.41713941118517556</v>
      </c>
      <c r="G342" s="127">
        <v>133.62608335604114</v>
      </c>
      <c r="H342" s="132">
        <v>48.370627846878065</v>
      </c>
      <c r="I342" s="456"/>
      <c r="J342" s="45"/>
      <c r="K342" s="45">
        <v>510</v>
      </c>
      <c r="L342" s="463"/>
      <c r="M342" s="456">
        <v>36.665134429931641</v>
      </c>
      <c r="N342" s="457"/>
      <c r="O342" s="456"/>
      <c r="P342" s="46"/>
      <c r="Q342" s="463">
        <v>64.059745788574219</v>
      </c>
      <c r="R342" s="449"/>
      <c r="S342" s="463"/>
      <c r="T342" s="480"/>
      <c r="U342" s="468"/>
      <c r="V342" s="449"/>
      <c r="W342" s="45">
        <v>1582.018798828125</v>
      </c>
      <c r="X342" s="463">
        <v>132.27206420898437</v>
      </c>
      <c r="Y342" s="449"/>
      <c r="Z342" s="45"/>
      <c r="AA342" s="468">
        <v>0.4068336064233945</v>
      </c>
      <c r="AB342" s="456"/>
      <c r="AC342" s="46"/>
      <c r="AD342" s="46"/>
      <c r="AE342" s="46"/>
      <c r="AF342" s="46"/>
      <c r="AG342" s="46"/>
      <c r="AH342" s="46"/>
      <c r="AI342" s="457"/>
      <c r="AJ342" s="138"/>
      <c r="AK342" s="745"/>
      <c r="AL342" s="54"/>
      <c r="AM342" s="468"/>
      <c r="AN342" s="449"/>
      <c r="AO342" s="45"/>
      <c r="AP342" s="45"/>
      <c r="AQ342" s="45"/>
      <c r="AR342" s="45"/>
      <c r="AS342" s="45"/>
      <c r="AT342" s="45"/>
      <c r="AU342" s="463"/>
      <c r="AV342" s="449"/>
      <c r="AW342" s="45"/>
      <c r="AX342" s="45"/>
      <c r="AY342" s="45"/>
      <c r="AZ342" s="45"/>
      <c r="BA342" s="45"/>
      <c r="BB342" s="45"/>
      <c r="BC342" s="463"/>
      <c r="BD342" s="456"/>
      <c r="BE342" s="46"/>
      <c r="BF342" s="46"/>
      <c r="BG342" s="46"/>
      <c r="BH342" s="46"/>
      <c r="BI342" s="46"/>
      <c r="BJ342" s="457"/>
      <c r="BK342" s="449">
        <v>0</v>
      </c>
      <c r="BL342" s="45"/>
      <c r="BM342" s="45"/>
      <c r="BN342" s="45"/>
      <c r="BO342" s="45"/>
      <c r="BP342" s="45"/>
      <c r="BQ342" s="45"/>
      <c r="BR342" s="45"/>
      <c r="BS342" s="45"/>
      <c r="BT342" s="45"/>
      <c r="BU342" s="45"/>
      <c r="BV342" s="45"/>
      <c r="BW342" s="45"/>
      <c r="BX342" s="45"/>
      <c r="BY342" s="45"/>
      <c r="BZ342" s="45"/>
      <c r="CA342" s="45"/>
      <c r="CB342" s="45"/>
      <c r="CC342" s="45"/>
      <c r="CD342" s="463"/>
      <c r="CE342">
        <v>0</v>
      </c>
      <c r="CF342">
        <v>0</v>
      </c>
      <c r="CG342">
        <v>0</v>
      </c>
      <c r="CH342">
        <v>0</v>
      </c>
      <c r="CI342">
        <v>0</v>
      </c>
      <c r="CJ342">
        <v>0</v>
      </c>
      <c r="CK342">
        <v>0</v>
      </c>
      <c r="CL342">
        <v>0</v>
      </c>
      <c r="CM342">
        <v>0</v>
      </c>
      <c r="CN342">
        <v>0</v>
      </c>
      <c r="CO342">
        <v>0</v>
      </c>
      <c r="CP342">
        <v>0</v>
      </c>
      <c r="CQ342">
        <v>0</v>
      </c>
      <c r="CR342">
        <v>0</v>
      </c>
      <c r="CS342">
        <v>0</v>
      </c>
      <c r="CT342">
        <v>0</v>
      </c>
      <c r="CU342">
        <v>0</v>
      </c>
      <c r="CV342">
        <v>0</v>
      </c>
      <c r="CW342">
        <v>0</v>
      </c>
      <c r="CX342">
        <v>0</v>
      </c>
      <c r="CY342">
        <v>0</v>
      </c>
      <c r="CZ342">
        <v>0</v>
      </c>
      <c r="DA342">
        <v>0</v>
      </c>
      <c r="DB342">
        <v>0</v>
      </c>
      <c r="DC342">
        <v>0</v>
      </c>
      <c r="DD342">
        <v>0</v>
      </c>
      <c r="DE342">
        <v>0</v>
      </c>
      <c r="DF342">
        <v>0</v>
      </c>
      <c r="DG342">
        <v>0</v>
      </c>
      <c r="DH342">
        <v>0</v>
      </c>
      <c r="DI342">
        <v>0</v>
      </c>
      <c r="DJ342">
        <v>0</v>
      </c>
      <c r="DK342">
        <v>0</v>
      </c>
      <c r="DL342">
        <v>0</v>
      </c>
      <c r="DM342">
        <v>0</v>
      </c>
      <c r="DN342">
        <v>0</v>
      </c>
      <c r="DO342">
        <v>0</v>
      </c>
      <c r="DP342">
        <v>0</v>
      </c>
      <c r="DQ342">
        <v>0</v>
      </c>
      <c r="DR342">
        <v>0</v>
      </c>
      <c r="DS342">
        <v>0</v>
      </c>
      <c r="DT342">
        <v>0</v>
      </c>
      <c r="DU342">
        <v>0</v>
      </c>
    </row>
    <row r="343" spans="2:125">
      <c r="B343" s="136">
        <v>334</v>
      </c>
      <c r="C343" s="138">
        <v>1</v>
      </c>
      <c r="D343" s="474">
        <v>3045.3765347061903</v>
      </c>
      <c r="E343" s="127">
        <v>283.73905431250722</v>
      </c>
      <c r="F343" s="447">
        <v>0.45269554678649981</v>
      </c>
      <c r="G343" s="127">
        <v>115.55353414672186</v>
      </c>
      <c r="H343" s="132">
        <v>50.061909034882881</v>
      </c>
      <c r="I343" s="456"/>
      <c r="J343" s="45"/>
      <c r="K343" s="45">
        <v>460</v>
      </c>
      <c r="L343" s="463"/>
      <c r="M343" s="456">
        <v>40.359092712402344</v>
      </c>
      <c r="N343" s="457"/>
      <c r="O343" s="456"/>
      <c r="P343" s="46"/>
      <c r="Q343" s="463">
        <v>60.298458099365234</v>
      </c>
      <c r="R343" s="449"/>
      <c r="S343" s="463"/>
      <c r="T343" s="480"/>
      <c r="U343" s="468"/>
      <c r="V343" s="449"/>
      <c r="W343" s="45">
        <v>1649.4251708984375</v>
      </c>
      <c r="X343" s="463">
        <v>136.97358703613281</v>
      </c>
      <c r="Y343" s="449"/>
      <c r="Z343" s="45"/>
      <c r="AA343" s="468">
        <v>0.44151337914724748</v>
      </c>
      <c r="AB343" s="456"/>
      <c r="AC343" s="46"/>
      <c r="AD343" s="46"/>
      <c r="AE343" s="46"/>
      <c r="AF343" s="46"/>
      <c r="AG343" s="46"/>
      <c r="AH343" s="46"/>
      <c r="AI343" s="457"/>
      <c r="AJ343" s="138"/>
      <c r="AK343" s="745"/>
      <c r="AL343" s="54"/>
      <c r="AM343" s="468"/>
      <c r="AN343" s="449"/>
      <c r="AO343" s="45"/>
      <c r="AP343" s="45"/>
      <c r="AQ343" s="45"/>
      <c r="AR343" s="45"/>
      <c r="AS343" s="45"/>
      <c r="AT343" s="45"/>
      <c r="AU343" s="463"/>
      <c r="AV343" s="449"/>
      <c r="AW343" s="45"/>
      <c r="AX343" s="45"/>
      <c r="AY343" s="45"/>
      <c r="AZ343" s="45"/>
      <c r="BA343" s="45"/>
      <c r="BB343" s="45"/>
      <c r="BC343" s="463"/>
      <c r="BD343" s="456"/>
      <c r="BE343" s="46"/>
      <c r="BF343" s="46"/>
      <c r="BG343" s="46"/>
      <c r="BH343" s="46"/>
      <c r="BI343" s="46"/>
      <c r="BJ343" s="457"/>
      <c r="BK343" s="449">
        <v>0</v>
      </c>
      <c r="BL343" s="45"/>
      <c r="BM343" s="45"/>
      <c r="BN343" s="45"/>
      <c r="BO343" s="45"/>
      <c r="BP343" s="45"/>
      <c r="BQ343" s="45"/>
      <c r="BR343" s="45"/>
      <c r="BS343" s="45"/>
      <c r="BT343" s="45"/>
      <c r="BU343" s="45"/>
      <c r="BV343" s="45"/>
      <c r="BW343" s="45"/>
      <c r="BX343" s="45"/>
      <c r="BY343" s="45"/>
      <c r="BZ343" s="45"/>
      <c r="CA343" s="45"/>
      <c r="CB343" s="45"/>
      <c r="CC343" s="45"/>
      <c r="CD343" s="463"/>
      <c r="CE343">
        <v>0</v>
      </c>
      <c r="CF343">
        <v>0</v>
      </c>
      <c r="CG343">
        <v>0</v>
      </c>
      <c r="CH343">
        <v>0</v>
      </c>
      <c r="CI343">
        <v>0</v>
      </c>
      <c r="CJ343">
        <v>0</v>
      </c>
      <c r="CK343">
        <v>0</v>
      </c>
      <c r="CL343">
        <v>0</v>
      </c>
      <c r="CM343">
        <v>0</v>
      </c>
      <c r="CN343">
        <v>0</v>
      </c>
      <c r="CO343">
        <v>0</v>
      </c>
      <c r="CP343">
        <v>0</v>
      </c>
      <c r="CQ343">
        <v>0</v>
      </c>
      <c r="CR343">
        <v>0</v>
      </c>
      <c r="CS343">
        <v>0</v>
      </c>
      <c r="CT343">
        <v>0</v>
      </c>
      <c r="CU343">
        <v>0</v>
      </c>
      <c r="CV343">
        <v>0</v>
      </c>
      <c r="CW343">
        <v>0</v>
      </c>
      <c r="CX343">
        <v>0</v>
      </c>
      <c r="CY343">
        <v>0</v>
      </c>
      <c r="CZ343">
        <v>0</v>
      </c>
      <c r="DA343">
        <v>0</v>
      </c>
      <c r="DB343">
        <v>0</v>
      </c>
      <c r="DC343">
        <v>0</v>
      </c>
      <c r="DD343">
        <v>0</v>
      </c>
      <c r="DE343">
        <v>0</v>
      </c>
      <c r="DF343">
        <v>0</v>
      </c>
      <c r="DG343">
        <v>0</v>
      </c>
      <c r="DH343">
        <v>0</v>
      </c>
      <c r="DI343">
        <v>0</v>
      </c>
      <c r="DJ343">
        <v>0</v>
      </c>
      <c r="DK343">
        <v>0</v>
      </c>
      <c r="DL343">
        <v>0</v>
      </c>
      <c r="DM343">
        <v>0</v>
      </c>
      <c r="DN343">
        <v>0</v>
      </c>
      <c r="DO343">
        <v>0</v>
      </c>
      <c r="DP343">
        <v>0</v>
      </c>
      <c r="DQ343">
        <v>0</v>
      </c>
      <c r="DR343">
        <v>0</v>
      </c>
      <c r="DS343">
        <v>0</v>
      </c>
      <c r="DT343">
        <v>0</v>
      </c>
      <c r="DU343">
        <v>0</v>
      </c>
    </row>
    <row r="344" spans="2:125">
      <c r="B344" s="136">
        <v>335</v>
      </c>
      <c r="C344" s="138">
        <v>1</v>
      </c>
      <c r="D344" s="474">
        <v>3780.0202869520062</v>
      </c>
      <c r="E344" s="127">
        <v>246.6687048197914</v>
      </c>
      <c r="F344" s="447">
        <v>0.36043801226885358</v>
      </c>
      <c r="G344" s="127">
        <v>148.98506128475526</v>
      </c>
      <c r="H344" s="132">
        <v>61.57504248897088</v>
      </c>
      <c r="I344" s="456"/>
      <c r="J344" s="45"/>
      <c r="K344" s="45">
        <v>590</v>
      </c>
      <c r="L344" s="463"/>
      <c r="M344" s="456">
        <v>29.062606811523437</v>
      </c>
      <c r="N344" s="457"/>
      <c r="O344" s="456"/>
      <c r="P344" s="46"/>
      <c r="Q344" s="463">
        <v>82.818435668945313</v>
      </c>
      <c r="R344" s="449"/>
      <c r="S344" s="463"/>
      <c r="T344" s="480"/>
      <c r="U344" s="468"/>
      <c r="V344" s="449"/>
      <c r="W344" s="45">
        <v>1505.7705078125</v>
      </c>
      <c r="X344" s="463">
        <v>127.08251953125</v>
      </c>
      <c r="Y344" s="449"/>
      <c r="Z344" s="45"/>
      <c r="AA344" s="468">
        <v>0.35191722195549036</v>
      </c>
      <c r="AB344" s="456"/>
      <c r="AC344" s="46"/>
      <c r="AD344" s="46"/>
      <c r="AE344" s="46"/>
      <c r="AF344" s="46"/>
      <c r="AG344" s="46"/>
      <c r="AH344" s="46"/>
      <c r="AI344" s="457"/>
      <c r="AJ344" s="138"/>
      <c r="AK344" s="745"/>
      <c r="AL344" s="54"/>
      <c r="AM344" s="468"/>
      <c r="AN344" s="449"/>
      <c r="AO344" s="45"/>
      <c r="AP344" s="45"/>
      <c r="AQ344" s="45"/>
      <c r="AR344" s="45"/>
      <c r="AS344" s="45"/>
      <c r="AT344" s="45"/>
      <c r="AU344" s="463"/>
      <c r="AV344" s="449"/>
      <c r="AW344" s="45"/>
      <c r="AX344" s="45"/>
      <c r="AY344" s="45"/>
      <c r="AZ344" s="45"/>
      <c r="BA344" s="45"/>
      <c r="BB344" s="45"/>
      <c r="BC344" s="463"/>
      <c r="BD344" s="456"/>
      <c r="BE344" s="46"/>
      <c r="BF344" s="46"/>
      <c r="BG344" s="46"/>
      <c r="BH344" s="46"/>
      <c r="BI344" s="46"/>
      <c r="BJ344" s="457"/>
      <c r="BK344" s="449">
        <v>0</v>
      </c>
      <c r="BL344" s="45"/>
      <c r="BM344" s="45"/>
      <c r="BN344" s="45"/>
      <c r="BO344" s="45"/>
      <c r="BP344" s="45"/>
      <c r="BQ344" s="45"/>
      <c r="BR344" s="45"/>
      <c r="BS344" s="45"/>
      <c r="BT344" s="45"/>
      <c r="BU344" s="45"/>
      <c r="BV344" s="45"/>
      <c r="BW344" s="45"/>
      <c r="BX344" s="45"/>
      <c r="BY344" s="45"/>
      <c r="BZ344" s="45"/>
      <c r="CA344" s="45"/>
      <c r="CB344" s="45"/>
      <c r="CC344" s="45"/>
      <c r="CD344" s="463"/>
      <c r="CE344">
        <v>0</v>
      </c>
      <c r="CF344">
        <v>0</v>
      </c>
      <c r="CG344">
        <v>0</v>
      </c>
      <c r="CH344">
        <v>0</v>
      </c>
      <c r="CI344">
        <v>0</v>
      </c>
      <c r="CJ344">
        <v>0</v>
      </c>
      <c r="CK344">
        <v>0</v>
      </c>
      <c r="CL344">
        <v>0</v>
      </c>
      <c r="CM344">
        <v>0</v>
      </c>
      <c r="CN344">
        <v>0</v>
      </c>
      <c r="CO344">
        <v>0</v>
      </c>
      <c r="CP344">
        <v>0</v>
      </c>
      <c r="CQ344">
        <v>0</v>
      </c>
      <c r="CR344">
        <v>0</v>
      </c>
      <c r="CS344">
        <v>0</v>
      </c>
      <c r="CT344">
        <v>0</v>
      </c>
      <c r="CU344">
        <v>0</v>
      </c>
      <c r="CV344">
        <v>0</v>
      </c>
      <c r="CW344">
        <v>0</v>
      </c>
      <c r="CX344">
        <v>0</v>
      </c>
      <c r="CY344">
        <v>0</v>
      </c>
      <c r="CZ344">
        <v>0</v>
      </c>
      <c r="DA344">
        <v>0</v>
      </c>
      <c r="DB344">
        <v>0</v>
      </c>
      <c r="DC344">
        <v>0</v>
      </c>
      <c r="DD344">
        <v>0</v>
      </c>
      <c r="DE344">
        <v>0</v>
      </c>
      <c r="DF344">
        <v>0</v>
      </c>
      <c r="DG344">
        <v>0</v>
      </c>
      <c r="DH344">
        <v>0</v>
      </c>
      <c r="DI344">
        <v>0</v>
      </c>
      <c r="DJ344">
        <v>0</v>
      </c>
      <c r="DK344">
        <v>0</v>
      </c>
      <c r="DL344">
        <v>0</v>
      </c>
      <c r="DM344">
        <v>0</v>
      </c>
      <c r="DN344">
        <v>0</v>
      </c>
      <c r="DO344">
        <v>0</v>
      </c>
      <c r="DP344">
        <v>0</v>
      </c>
      <c r="DQ344">
        <v>0</v>
      </c>
      <c r="DR344">
        <v>0</v>
      </c>
      <c r="DS344">
        <v>0</v>
      </c>
      <c r="DT344">
        <v>0</v>
      </c>
      <c r="DU344">
        <v>0</v>
      </c>
    </row>
    <row r="345" spans="2:125">
      <c r="B345" s="136">
        <v>336</v>
      </c>
      <c r="C345" s="138">
        <v>1</v>
      </c>
      <c r="D345" s="474">
        <v>3398.2923623773868</v>
      </c>
      <c r="E345" s="127">
        <v>198.12992969420756</v>
      </c>
      <c r="F345" s="447">
        <v>0.36087978398886372</v>
      </c>
      <c r="G345" s="127">
        <v>122.43183874201472</v>
      </c>
      <c r="H345" s="132">
        <v>55.119628698531024</v>
      </c>
      <c r="I345" s="456"/>
      <c r="J345" s="45"/>
      <c r="K345" s="45">
        <v>490</v>
      </c>
      <c r="L345" s="463"/>
      <c r="M345" s="456">
        <v>28.172966003417969</v>
      </c>
      <c r="N345" s="457"/>
      <c r="O345" s="456"/>
      <c r="P345" s="46"/>
      <c r="Q345" s="463">
        <v>67.28619384765625</v>
      </c>
      <c r="R345" s="449"/>
      <c r="S345" s="463"/>
      <c r="T345" s="480"/>
      <c r="U345" s="468"/>
      <c r="V345" s="449"/>
      <c r="W345" s="45">
        <v>1276.246826171875</v>
      </c>
      <c r="X345" s="463">
        <v>109.94843292236328</v>
      </c>
      <c r="Y345" s="449"/>
      <c r="Z345" s="45"/>
      <c r="AA345" s="468">
        <v>0.35139925899446967</v>
      </c>
      <c r="AB345" s="456"/>
      <c r="AC345" s="46"/>
      <c r="AD345" s="46"/>
      <c r="AE345" s="46"/>
      <c r="AF345" s="46"/>
      <c r="AG345" s="46"/>
      <c r="AH345" s="46"/>
      <c r="AI345" s="457"/>
      <c r="AJ345" s="138"/>
      <c r="AK345" s="745"/>
      <c r="AL345" s="54"/>
      <c r="AM345" s="468"/>
      <c r="AN345" s="449"/>
      <c r="AO345" s="45"/>
      <c r="AP345" s="45"/>
      <c r="AQ345" s="45"/>
      <c r="AR345" s="45"/>
      <c r="AS345" s="45"/>
      <c r="AT345" s="45"/>
      <c r="AU345" s="463"/>
      <c r="AV345" s="449"/>
      <c r="AW345" s="45"/>
      <c r="AX345" s="45"/>
      <c r="AY345" s="45"/>
      <c r="AZ345" s="45"/>
      <c r="BA345" s="45"/>
      <c r="BB345" s="45"/>
      <c r="BC345" s="463"/>
      <c r="BD345" s="456"/>
      <c r="BE345" s="46"/>
      <c r="BF345" s="46"/>
      <c r="BG345" s="46"/>
      <c r="BH345" s="46"/>
      <c r="BI345" s="46"/>
      <c r="BJ345" s="457"/>
      <c r="BK345" s="449">
        <v>0</v>
      </c>
      <c r="BL345" s="45"/>
      <c r="BM345" s="45"/>
      <c r="BN345" s="45"/>
      <c r="BO345" s="45"/>
      <c r="BP345" s="45"/>
      <c r="BQ345" s="45"/>
      <c r="BR345" s="45"/>
      <c r="BS345" s="45"/>
      <c r="BT345" s="45"/>
      <c r="BU345" s="45"/>
      <c r="BV345" s="45"/>
      <c r="BW345" s="45"/>
      <c r="BX345" s="45"/>
      <c r="BY345" s="45"/>
      <c r="BZ345" s="45"/>
      <c r="CA345" s="45"/>
      <c r="CB345" s="45"/>
      <c r="CC345" s="45"/>
      <c r="CD345" s="463"/>
      <c r="CE345">
        <v>0</v>
      </c>
      <c r="CF345">
        <v>0</v>
      </c>
      <c r="CG345">
        <v>0</v>
      </c>
      <c r="CH345">
        <v>0</v>
      </c>
      <c r="CI345">
        <v>0</v>
      </c>
      <c r="CJ345">
        <v>0</v>
      </c>
      <c r="CK345">
        <v>0</v>
      </c>
      <c r="CL345">
        <v>0</v>
      </c>
      <c r="CM345">
        <v>0</v>
      </c>
      <c r="CN345">
        <v>0</v>
      </c>
      <c r="CO345">
        <v>0</v>
      </c>
      <c r="CP345">
        <v>0</v>
      </c>
      <c r="CQ345">
        <v>0</v>
      </c>
      <c r="CR345">
        <v>0</v>
      </c>
      <c r="CS345">
        <v>0</v>
      </c>
      <c r="CT345">
        <v>0</v>
      </c>
      <c r="CU345">
        <v>0</v>
      </c>
      <c r="CV345">
        <v>0</v>
      </c>
      <c r="CW345">
        <v>0</v>
      </c>
      <c r="CX345">
        <v>0</v>
      </c>
      <c r="CY345">
        <v>0</v>
      </c>
      <c r="CZ345">
        <v>0</v>
      </c>
      <c r="DA345">
        <v>0</v>
      </c>
      <c r="DB345">
        <v>0</v>
      </c>
      <c r="DC345">
        <v>0</v>
      </c>
      <c r="DD345">
        <v>0</v>
      </c>
      <c r="DE345">
        <v>0</v>
      </c>
      <c r="DF345">
        <v>0</v>
      </c>
      <c r="DG345">
        <v>0</v>
      </c>
      <c r="DH345">
        <v>0</v>
      </c>
      <c r="DI345">
        <v>0</v>
      </c>
      <c r="DJ345">
        <v>0</v>
      </c>
      <c r="DK345">
        <v>0</v>
      </c>
      <c r="DL345">
        <v>0</v>
      </c>
      <c r="DM345">
        <v>0</v>
      </c>
      <c r="DN345">
        <v>0</v>
      </c>
      <c r="DO345">
        <v>0</v>
      </c>
      <c r="DP345">
        <v>0</v>
      </c>
      <c r="DQ345">
        <v>0</v>
      </c>
      <c r="DR345">
        <v>0</v>
      </c>
      <c r="DS345">
        <v>0</v>
      </c>
      <c r="DT345">
        <v>0</v>
      </c>
      <c r="DU345">
        <v>0</v>
      </c>
    </row>
    <row r="346" spans="2:125">
      <c r="B346" s="136">
        <v>337</v>
      </c>
      <c r="C346" s="138">
        <v>1</v>
      </c>
      <c r="D346" s="474">
        <v>4187.6749595464962</v>
      </c>
      <c r="E346" s="127">
        <v>264.73398858662313</v>
      </c>
      <c r="F346" s="447">
        <v>0.3532870905224943</v>
      </c>
      <c r="G346" s="127">
        <v>135.16127685507021</v>
      </c>
      <c r="H346" s="132">
        <v>64.461108099802559</v>
      </c>
      <c r="I346" s="456"/>
      <c r="J346" s="45"/>
      <c r="K346" s="45">
        <v>570</v>
      </c>
      <c r="L346" s="463"/>
      <c r="M346" s="456">
        <v>27.183929443359375</v>
      </c>
      <c r="N346" s="457"/>
      <c r="O346" s="456"/>
      <c r="P346" s="46"/>
      <c r="Q346" s="463">
        <v>82.915962219238281</v>
      </c>
      <c r="R346" s="449"/>
      <c r="S346" s="463"/>
      <c r="T346" s="480"/>
      <c r="U346" s="468"/>
      <c r="V346" s="449"/>
      <c r="W346" s="45">
        <v>1409.2269287109375</v>
      </c>
      <c r="X346" s="463">
        <v>119.93715667724609</v>
      </c>
      <c r="Y346" s="449"/>
      <c r="Z346" s="45"/>
      <c r="AA346" s="468">
        <v>0.34562991986808361</v>
      </c>
      <c r="AB346" s="456"/>
      <c r="AC346" s="46"/>
      <c r="AD346" s="46"/>
      <c r="AE346" s="46"/>
      <c r="AF346" s="46"/>
      <c r="AG346" s="46"/>
      <c r="AH346" s="46"/>
      <c r="AI346" s="457"/>
      <c r="AJ346" s="138"/>
      <c r="AK346" s="745"/>
      <c r="AL346" s="54"/>
      <c r="AM346" s="468"/>
      <c r="AN346" s="449"/>
      <c r="AO346" s="45"/>
      <c r="AP346" s="45"/>
      <c r="AQ346" s="45"/>
      <c r="AR346" s="45"/>
      <c r="AS346" s="45"/>
      <c r="AT346" s="45"/>
      <c r="AU346" s="463"/>
      <c r="AV346" s="449"/>
      <c r="AW346" s="45"/>
      <c r="AX346" s="45"/>
      <c r="AY346" s="45"/>
      <c r="AZ346" s="45"/>
      <c r="BA346" s="45"/>
      <c r="BB346" s="45"/>
      <c r="BC346" s="463"/>
      <c r="BD346" s="456"/>
      <c r="BE346" s="46"/>
      <c r="BF346" s="46"/>
      <c r="BG346" s="46"/>
      <c r="BH346" s="46"/>
      <c r="BI346" s="46"/>
      <c r="BJ346" s="457"/>
      <c r="BK346" s="449">
        <v>0</v>
      </c>
      <c r="BL346" s="45"/>
      <c r="BM346" s="45"/>
      <c r="BN346" s="45"/>
      <c r="BO346" s="45"/>
      <c r="BP346" s="45"/>
      <c r="BQ346" s="45"/>
      <c r="BR346" s="45"/>
      <c r="BS346" s="45"/>
      <c r="BT346" s="45"/>
      <c r="BU346" s="45"/>
      <c r="BV346" s="45"/>
      <c r="BW346" s="45"/>
      <c r="BX346" s="45"/>
      <c r="BY346" s="45"/>
      <c r="BZ346" s="45"/>
      <c r="CA346" s="45"/>
      <c r="CB346" s="45"/>
      <c r="CC346" s="45"/>
      <c r="CD346" s="463"/>
      <c r="CE346">
        <v>0</v>
      </c>
      <c r="CF346">
        <v>0</v>
      </c>
      <c r="CG346">
        <v>0</v>
      </c>
      <c r="CH346">
        <v>0</v>
      </c>
      <c r="CI346">
        <v>0</v>
      </c>
      <c r="CJ346">
        <v>0</v>
      </c>
      <c r="CK346">
        <v>0</v>
      </c>
      <c r="CL346">
        <v>0</v>
      </c>
      <c r="CM346">
        <v>0</v>
      </c>
      <c r="CN346">
        <v>0</v>
      </c>
      <c r="CO346">
        <v>0</v>
      </c>
      <c r="CP346">
        <v>0</v>
      </c>
      <c r="CQ346">
        <v>0</v>
      </c>
      <c r="CR346">
        <v>0</v>
      </c>
      <c r="CS346">
        <v>0</v>
      </c>
      <c r="CT346">
        <v>0</v>
      </c>
      <c r="CU346">
        <v>0</v>
      </c>
      <c r="CV346">
        <v>0</v>
      </c>
      <c r="CW346">
        <v>0</v>
      </c>
      <c r="CX346">
        <v>0</v>
      </c>
      <c r="CY346">
        <v>0</v>
      </c>
      <c r="CZ346">
        <v>0</v>
      </c>
      <c r="DA346">
        <v>0</v>
      </c>
      <c r="DB346">
        <v>0</v>
      </c>
      <c r="DC346">
        <v>0</v>
      </c>
      <c r="DD346">
        <v>0</v>
      </c>
      <c r="DE346">
        <v>0</v>
      </c>
      <c r="DF346">
        <v>0</v>
      </c>
      <c r="DG346">
        <v>0</v>
      </c>
      <c r="DH346">
        <v>0</v>
      </c>
      <c r="DI346">
        <v>0</v>
      </c>
      <c r="DJ346">
        <v>0</v>
      </c>
      <c r="DK346">
        <v>0</v>
      </c>
      <c r="DL346">
        <v>0</v>
      </c>
      <c r="DM346">
        <v>0</v>
      </c>
      <c r="DN346">
        <v>0</v>
      </c>
      <c r="DO346">
        <v>0</v>
      </c>
      <c r="DP346">
        <v>0</v>
      </c>
      <c r="DQ346">
        <v>0</v>
      </c>
      <c r="DR346">
        <v>0</v>
      </c>
      <c r="DS346">
        <v>0</v>
      </c>
      <c r="DT346">
        <v>0</v>
      </c>
      <c r="DU346">
        <v>0</v>
      </c>
    </row>
    <row r="347" spans="2:125">
      <c r="B347" s="136">
        <v>338</v>
      </c>
      <c r="C347" s="138">
        <v>1</v>
      </c>
      <c r="D347" s="474">
        <v>2655.2007999502484</v>
      </c>
      <c r="E347" s="127">
        <v>248.48456718063085</v>
      </c>
      <c r="F347" s="447">
        <v>0.44842464647730951</v>
      </c>
      <c r="G347" s="127">
        <v>110.82924749379102</v>
      </c>
      <c r="H347" s="132">
        <v>41.609036597454121</v>
      </c>
      <c r="I347" s="456"/>
      <c r="J347" s="45"/>
      <c r="K347" s="45">
        <v>430</v>
      </c>
      <c r="L347" s="463"/>
      <c r="M347" s="456">
        <v>41.011844635009766</v>
      </c>
      <c r="N347" s="457"/>
      <c r="O347" s="456"/>
      <c r="P347" s="46"/>
      <c r="Q347" s="463">
        <v>52.572978973388672</v>
      </c>
      <c r="R347" s="449"/>
      <c r="S347" s="463"/>
      <c r="T347" s="480"/>
      <c r="U347" s="468"/>
      <c r="V347" s="449"/>
      <c r="W347" s="45">
        <v>1529.248291015625</v>
      </c>
      <c r="X347" s="463">
        <v>128.09602355957031</v>
      </c>
      <c r="Y347" s="449"/>
      <c r="Z347" s="45"/>
      <c r="AA347" s="468">
        <v>0.43563145474198667</v>
      </c>
      <c r="AB347" s="456"/>
      <c r="AC347" s="46"/>
      <c r="AD347" s="46"/>
      <c r="AE347" s="46"/>
      <c r="AF347" s="46"/>
      <c r="AG347" s="46"/>
      <c r="AH347" s="46"/>
      <c r="AI347" s="457"/>
      <c r="AJ347" s="138"/>
      <c r="AK347" s="745"/>
      <c r="AL347" s="54"/>
      <c r="AM347" s="468"/>
      <c r="AN347" s="449"/>
      <c r="AO347" s="45"/>
      <c r="AP347" s="45"/>
      <c r="AQ347" s="45"/>
      <c r="AR347" s="45"/>
      <c r="AS347" s="45"/>
      <c r="AT347" s="45"/>
      <c r="AU347" s="463"/>
      <c r="AV347" s="449"/>
      <c r="AW347" s="45"/>
      <c r="AX347" s="45"/>
      <c r="AY347" s="45"/>
      <c r="AZ347" s="45"/>
      <c r="BA347" s="45"/>
      <c r="BB347" s="45"/>
      <c r="BC347" s="463"/>
      <c r="BD347" s="456"/>
      <c r="BE347" s="46"/>
      <c r="BF347" s="46"/>
      <c r="BG347" s="46"/>
      <c r="BH347" s="46"/>
      <c r="BI347" s="46"/>
      <c r="BJ347" s="457"/>
      <c r="BK347" s="449">
        <v>0</v>
      </c>
      <c r="BL347" s="45"/>
      <c r="BM347" s="45"/>
      <c r="BN347" s="45"/>
      <c r="BO347" s="45"/>
      <c r="BP347" s="45"/>
      <c r="BQ347" s="45"/>
      <c r="BR347" s="45"/>
      <c r="BS347" s="45"/>
      <c r="BT347" s="45"/>
      <c r="BU347" s="45"/>
      <c r="BV347" s="45"/>
      <c r="BW347" s="45"/>
      <c r="BX347" s="45"/>
      <c r="BY347" s="45"/>
      <c r="BZ347" s="45"/>
      <c r="CA347" s="45"/>
      <c r="CB347" s="45"/>
      <c r="CC347" s="45"/>
      <c r="CD347" s="463"/>
      <c r="CE347">
        <v>0</v>
      </c>
      <c r="CF347">
        <v>0</v>
      </c>
      <c r="CG347">
        <v>0</v>
      </c>
      <c r="CH347">
        <v>0</v>
      </c>
      <c r="CI347">
        <v>0</v>
      </c>
      <c r="CJ347">
        <v>0</v>
      </c>
      <c r="CK347">
        <v>0</v>
      </c>
      <c r="CL347">
        <v>0</v>
      </c>
      <c r="CM347">
        <v>0</v>
      </c>
      <c r="CN347">
        <v>0</v>
      </c>
      <c r="CO347">
        <v>0</v>
      </c>
      <c r="CP347">
        <v>0</v>
      </c>
      <c r="CQ347">
        <v>0</v>
      </c>
      <c r="CR347">
        <v>0</v>
      </c>
      <c r="CS347">
        <v>0</v>
      </c>
      <c r="CT347">
        <v>0</v>
      </c>
      <c r="CU347">
        <v>0</v>
      </c>
      <c r="CV347">
        <v>0</v>
      </c>
      <c r="CW347">
        <v>0</v>
      </c>
      <c r="CX347">
        <v>0</v>
      </c>
      <c r="CY347">
        <v>0</v>
      </c>
      <c r="CZ347">
        <v>0</v>
      </c>
      <c r="DA347">
        <v>0</v>
      </c>
      <c r="DB347">
        <v>0</v>
      </c>
      <c r="DC347">
        <v>0</v>
      </c>
      <c r="DD347">
        <v>0</v>
      </c>
      <c r="DE347">
        <v>0</v>
      </c>
      <c r="DF347">
        <v>0</v>
      </c>
      <c r="DG347">
        <v>0</v>
      </c>
      <c r="DH347">
        <v>0</v>
      </c>
      <c r="DI347">
        <v>0</v>
      </c>
      <c r="DJ347">
        <v>0</v>
      </c>
      <c r="DK347">
        <v>0</v>
      </c>
      <c r="DL347">
        <v>0</v>
      </c>
      <c r="DM347">
        <v>0</v>
      </c>
      <c r="DN347">
        <v>0</v>
      </c>
      <c r="DO347">
        <v>0</v>
      </c>
      <c r="DP347">
        <v>0</v>
      </c>
      <c r="DQ347">
        <v>0</v>
      </c>
      <c r="DR347">
        <v>0</v>
      </c>
      <c r="DS347">
        <v>0</v>
      </c>
      <c r="DT347">
        <v>0</v>
      </c>
      <c r="DU347">
        <v>0</v>
      </c>
    </row>
    <row r="348" spans="2:125">
      <c r="B348" s="136">
        <v>339</v>
      </c>
      <c r="C348" s="138">
        <v>1</v>
      </c>
      <c r="D348" s="474">
        <v>3014.2005147874293</v>
      </c>
      <c r="E348" s="127">
        <v>226.77788674221438</v>
      </c>
      <c r="F348" s="447">
        <v>0.39390771578296913</v>
      </c>
      <c r="G348" s="127">
        <v>110.09541445315413</v>
      </c>
      <c r="H348" s="132">
        <v>51.112933845971455</v>
      </c>
      <c r="I348" s="456"/>
      <c r="J348" s="45"/>
      <c r="K348" s="45">
        <v>440</v>
      </c>
      <c r="L348" s="463"/>
      <c r="M348" s="456">
        <v>31.201128005981445</v>
      </c>
      <c r="N348" s="457"/>
      <c r="O348" s="456"/>
      <c r="P348" s="46"/>
      <c r="Q348" s="463">
        <v>59.681171417236328</v>
      </c>
      <c r="R348" s="449"/>
      <c r="S348" s="463"/>
      <c r="T348" s="480"/>
      <c r="U348" s="468"/>
      <c r="V348" s="449"/>
      <c r="W348" s="45">
        <v>1287.3775634765625</v>
      </c>
      <c r="X348" s="463">
        <v>110.55718994140625</v>
      </c>
      <c r="Y348" s="449"/>
      <c r="Z348" s="45"/>
      <c r="AA348" s="468">
        <v>0.38299996291305821</v>
      </c>
      <c r="AB348" s="456"/>
      <c r="AC348" s="46"/>
      <c r="AD348" s="46"/>
      <c r="AE348" s="46"/>
      <c r="AF348" s="46"/>
      <c r="AG348" s="46"/>
      <c r="AH348" s="46"/>
      <c r="AI348" s="457"/>
      <c r="AJ348" s="138"/>
      <c r="AK348" s="745"/>
      <c r="AL348" s="54"/>
      <c r="AM348" s="468"/>
      <c r="AN348" s="449"/>
      <c r="AO348" s="45"/>
      <c r="AP348" s="45"/>
      <c r="AQ348" s="45"/>
      <c r="AR348" s="45"/>
      <c r="AS348" s="45"/>
      <c r="AT348" s="45"/>
      <c r="AU348" s="463"/>
      <c r="AV348" s="449"/>
      <c r="AW348" s="45"/>
      <c r="AX348" s="45"/>
      <c r="AY348" s="45"/>
      <c r="AZ348" s="45"/>
      <c r="BA348" s="45"/>
      <c r="BB348" s="45"/>
      <c r="BC348" s="463"/>
      <c r="BD348" s="456"/>
      <c r="BE348" s="46"/>
      <c r="BF348" s="46"/>
      <c r="BG348" s="46"/>
      <c r="BH348" s="46"/>
      <c r="BI348" s="46"/>
      <c r="BJ348" s="457"/>
      <c r="BK348" s="449">
        <v>0</v>
      </c>
      <c r="BL348" s="45"/>
      <c r="BM348" s="45"/>
      <c r="BN348" s="45"/>
      <c r="BO348" s="45"/>
      <c r="BP348" s="45"/>
      <c r="BQ348" s="45"/>
      <c r="BR348" s="45"/>
      <c r="BS348" s="45"/>
      <c r="BT348" s="45"/>
      <c r="BU348" s="45"/>
      <c r="BV348" s="45"/>
      <c r="BW348" s="45"/>
      <c r="BX348" s="45"/>
      <c r="BY348" s="45"/>
      <c r="BZ348" s="45"/>
      <c r="CA348" s="45"/>
      <c r="CB348" s="45"/>
      <c r="CC348" s="45"/>
      <c r="CD348" s="463"/>
      <c r="CE348">
        <v>0</v>
      </c>
      <c r="CF348">
        <v>0</v>
      </c>
      <c r="CG348">
        <v>0</v>
      </c>
      <c r="CH348">
        <v>0</v>
      </c>
      <c r="CI348">
        <v>0</v>
      </c>
      <c r="CJ348">
        <v>0</v>
      </c>
      <c r="CK348">
        <v>0</v>
      </c>
      <c r="CL348">
        <v>0</v>
      </c>
      <c r="CM348">
        <v>0</v>
      </c>
      <c r="CN348">
        <v>0</v>
      </c>
      <c r="CO348">
        <v>0</v>
      </c>
      <c r="CP348">
        <v>0</v>
      </c>
      <c r="CQ348">
        <v>0</v>
      </c>
      <c r="CR348">
        <v>0</v>
      </c>
      <c r="CS348">
        <v>0</v>
      </c>
      <c r="CT348">
        <v>0</v>
      </c>
      <c r="CU348">
        <v>0</v>
      </c>
      <c r="CV348">
        <v>0</v>
      </c>
      <c r="CW348">
        <v>0</v>
      </c>
      <c r="CX348">
        <v>0</v>
      </c>
      <c r="CY348">
        <v>0</v>
      </c>
      <c r="CZ348">
        <v>0</v>
      </c>
      <c r="DA348">
        <v>0</v>
      </c>
      <c r="DB348">
        <v>0</v>
      </c>
      <c r="DC348">
        <v>0</v>
      </c>
      <c r="DD348">
        <v>0</v>
      </c>
      <c r="DE348">
        <v>0</v>
      </c>
      <c r="DF348">
        <v>0</v>
      </c>
      <c r="DG348">
        <v>0</v>
      </c>
      <c r="DH348">
        <v>0</v>
      </c>
      <c r="DI348">
        <v>0</v>
      </c>
      <c r="DJ348">
        <v>0</v>
      </c>
      <c r="DK348">
        <v>0</v>
      </c>
      <c r="DL348">
        <v>0</v>
      </c>
      <c r="DM348">
        <v>0</v>
      </c>
      <c r="DN348">
        <v>0</v>
      </c>
      <c r="DO348">
        <v>0</v>
      </c>
      <c r="DP348">
        <v>0</v>
      </c>
      <c r="DQ348">
        <v>0</v>
      </c>
      <c r="DR348">
        <v>0</v>
      </c>
      <c r="DS348">
        <v>0</v>
      </c>
      <c r="DT348">
        <v>0</v>
      </c>
      <c r="DU348">
        <v>0</v>
      </c>
    </row>
    <row r="349" spans="2:125">
      <c r="B349" s="136">
        <v>340</v>
      </c>
      <c r="C349" s="138">
        <v>1</v>
      </c>
      <c r="D349" s="474">
        <v>3527.0466953600417</v>
      </c>
      <c r="E349" s="127">
        <v>196.26606831050665</v>
      </c>
      <c r="F349" s="447">
        <v>0.47060411376047201</v>
      </c>
      <c r="G349" s="127">
        <v>133.14141039165605</v>
      </c>
      <c r="H349" s="132">
        <v>61.343362204793742</v>
      </c>
      <c r="I349" s="456"/>
      <c r="J349" s="45"/>
      <c r="K349" s="45">
        <v>560</v>
      </c>
      <c r="L349" s="463"/>
      <c r="M349" s="456">
        <v>44.448329925537109</v>
      </c>
      <c r="N349" s="457"/>
      <c r="O349" s="456"/>
      <c r="P349" s="46"/>
      <c r="Q349" s="463">
        <v>77.925827026367188</v>
      </c>
      <c r="R349" s="449"/>
      <c r="S349" s="463"/>
      <c r="T349" s="480"/>
      <c r="U349" s="468"/>
      <c r="V349" s="449"/>
      <c r="W349" s="45">
        <v>2110.287841796875</v>
      </c>
      <c r="X349" s="463">
        <v>170.91107177734375</v>
      </c>
      <c r="Y349" s="449"/>
      <c r="Z349" s="45"/>
      <c r="AA349" s="468">
        <v>0.46084748583703683</v>
      </c>
      <c r="AB349" s="456"/>
      <c r="AC349" s="46"/>
      <c r="AD349" s="46"/>
      <c r="AE349" s="46"/>
      <c r="AF349" s="46"/>
      <c r="AG349" s="46"/>
      <c r="AH349" s="46"/>
      <c r="AI349" s="457"/>
      <c r="AJ349" s="138"/>
      <c r="AK349" s="745"/>
      <c r="AL349" s="54"/>
      <c r="AM349" s="468"/>
      <c r="AN349" s="449"/>
      <c r="AO349" s="45"/>
      <c r="AP349" s="45"/>
      <c r="AQ349" s="45"/>
      <c r="AR349" s="45"/>
      <c r="AS349" s="45"/>
      <c r="AT349" s="45"/>
      <c r="AU349" s="463"/>
      <c r="AV349" s="449"/>
      <c r="AW349" s="45"/>
      <c r="AX349" s="45"/>
      <c r="AY349" s="45"/>
      <c r="AZ349" s="45"/>
      <c r="BA349" s="45"/>
      <c r="BB349" s="45"/>
      <c r="BC349" s="463"/>
      <c r="BD349" s="456"/>
      <c r="BE349" s="46"/>
      <c r="BF349" s="46"/>
      <c r="BG349" s="46"/>
      <c r="BH349" s="46"/>
      <c r="BI349" s="46"/>
      <c r="BJ349" s="457"/>
      <c r="BK349" s="449">
        <v>0</v>
      </c>
      <c r="BL349" s="45"/>
      <c r="BM349" s="45"/>
      <c r="BN349" s="45"/>
      <c r="BO349" s="45"/>
      <c r="BP349" s="45"/>
      <c r="BQ349" s="45"/>
      <c r="BR349" s="45"/>
      <c r="BS349" s="45"/>
      <c r="BT349" s="45"/>
      <c r="BU349" s="45"/>
      <c r="BV349" s="45"/>
      <c r="BW349" s="45"/>
      <c r="BX349" s="45"/>
      <c r="BY349" s="45"/>
      <c r="BZ349" s="45"/>
      <c r="CA349" s="45"/>
      <c r="CB349" s="45"/>
      <c r="CC349" s="45"/>
      <c r="CD349" s="463"/>
      <c r="CE349">
        <v>0</v>
      </c>
      <c r="CF349">
        <v>0</v>
      </c>
      <c r="CG349">
        <v>0</v>
      </c>
      <c r="CH349">
        <v>0</v>
      </c>
      <c r="CI349">
        <v>0</v>
      </c>
      <c r="CJ349">
        <v>0</v>
      </c>
      <c r="CK349">
        <v>0</v>
      </c>
      <c r="CL349">
        <v>0</v>
      </c>
      <c r="CM349">
        <v>0</v>
      </c>
      <c r="CN349">
        <v>0</v>
      </c>
      <c r="CO349">
        <v>0</v>
      </c>
      <c r="CP349">
        <v>0</v>
      </c>
      <c r="CQ349">
        <v>0</v>
      </c>
      <c r="CR349">
        <v>0</v>
      </c>
      <c r="CS349">
        <v>0</v>
      </c>
      <c r="CT349">
        <v>0</v>
      </c>
      <c r="CU349">
        <v>0</v>
      </c>
      <c r="CV349">
        <v>0</v>
      </c>
      <c r="CW349">
        <v>0</v>
      </c>
      <c r="CX349">
        <v>0</v>
      </c>
      <c r="CY349">
        <v>0</v>
      </c>
      <c r="CZ349">
        <v>0</v>
      </c>
      <c r="DA349">
        <v>0</v>
      </c>
      <c r="DB349">
        <v>0</v>
      </c>
      <c r="DC349">
        <v>0</v>
      </c>
      <c r="DD349">
        <v>0</v>
      </c>
      <c r="DE349">
        <v>0</v>
      </c>
      <c r="DF349">
        <v>0</v>
      </c>
      <c r="DG349">
        <v>0</v>
      </c>
      <c r="DH349">
        <v>0</v>
      </c>
      <c r="DI349">
        <v>0</v>
      </c>
      <c r="DJ349">
        <v>0</v>
      </c>
      <c r="DK349">
        <v>0</v>
      </c>
      <c r="DL349">
        <v>0</v>
      </c>
      <c r="DM349">
        <v>0</v>
      </c>
      <c r="DN349">
        <v>0</v>
      </c>
      <c r="DO349">
        <v>0</v>
      </c>
      <c r="DP349">
        <v>0</v>
      </c>
      <c r="DQ349">
        <v>0</v>
      </c>
      <c r="DR349">
        <v>0</v>
      </c>
      <c r="DS349">
        <v>0</v>
      </c>
      <c r="DT349">
        <v>0</v>
      </c>
      <c r="DU349">
        <v>0</v>
      </c>
    </row>
    <row r="350" spans="2:125">
      <c r="B350" s="136">
        <v>341</v>
      </c>
      <c r="C350" s="138">
        <v>1</v>
      </c>
      <c r="D350" s="474">
        <v>3848.6417181337615</v>
      </c>
      <c r="E350" s="127">
        <v>272.84126119514781</v>
      </c>
      <c r="F350" s="447">
        <v>0.50343164182513933</v>
      </c>
      <c r="G350" s="127">
        <v>135.93046792668622</v>
      </c>
      <c r="H350" s="132">
        <v>59.40054004452044</v>
      </c>
      <c r="I350" s="456"/>
      <c r="J350" s="45"/>
      <c r="K350" s="45">
        <v>570</v>
      </c>
      <c r="L350" s="463"/>
      <c r="M350" s="456">
        <v>54.335182189941406</v>
      </c>
      <c r="N350" s="457"/>
      <c r="O350" s="456"/>
      <c r="P350" s="46"/>
      <c r="Q350" s="463">
        <v>76.203109741210937</v>
      </c>
      <c r="R350" s="449"/>
      <c r="S350" s="463"/>
      <c r="T350" s="480"/>
      <c r="U350" s="468"/>
      <c r="V350" s="449"/>
      <c r="W350" s="45">
        <v>2509.646240234375</v>
      </c>
      <c r="X350" s="463">
        <v>199.98086547851563</v>
      </c>
      <c r="Y350" s="449"/>
      <c r="Z350" s="45"/>
      <c r="AA350" s="468">
        <v>0.49431969132289627</v>
      </c>
      <c r="AB350" s="456"/>
      <c r="AC350" s="46"/>
      <c r="AD350" s="46"/>
      <c r="AE350" s="46"/>
      <c r="AF350" s="46"/>
      <c r="AG350" s="46"/>
      <c r="AH350" s="46"/>
      <c r="AI350" s="457"/>
      <c r="AJ350" s="138"/>
      <c r="AK350" s="745"/>
      <c r="AL350" s="54"/>
      <c r="AM350" s="468"/>
      <c r="AN350" s="449"/>
      <c r="AO350" s="45"/>
      <c r="AP350" s="45"/>
      <c r="AQ350" s="45"/>
      <c r="AR350" s="45"/>
      <c r="AS350" s="45"/>
      <c r="AT350" s="45"/>
      <c r="AU350" s="463"/>
      <c r="AV350" s="449"/>
      <c r="AW350" s="45"/>
      <c r="AX350" s="45"/>
      <c r="AY350" s="45"/>
      <c r="AZ350" s="45"/>
      <c r="BA350" s="45"/>
      <c r="BB350" s="45"/>
      <c r="BC350" s="463"/>
      <c r="BD350" s="456"/>
      <c r="BE350" s="46"/>
      <c r="BF350" s="46"/>
      <c r="BG350" s="46"/>
      <c r="BH350" s="46"/>
      <c r="BI350" s="46"/>
      <c r="BJ350" s="457"/>
      <c r="BK350" s="449">
        <v>0</v>
      </c>
      <c r="BL350" s="45"/>
      <c r="BM350" s="45"/>
      <c r="BN350" s="45"/>
      <c r="BO350" s="45"/>
      <c r="BP350" s="45"/>
      <c r="BQ350" s="45"/>
      <c r="BR350" s="45"/>
      <c r="BS350" s="45"/>
      <c r="BT350" s="45"/>
      <c r="BU350" s="45"/>
      <c r="BV350" s="45"/>
      <c r="BW350" s="45"/>
      <c r="BX350" s="45"/>
      <c r="BY350" s="45"/>
      <c r="BZ350" s="45"/>
      <c r="CA350" s="45"/>
      <c r="CB350" s="45"/>
      <c r="CC350" s="45"/>
      <c r="CD350" s="463"/>
      <c r="CE350">
        <v>0</v>
      </c>
      <c r="CF350">
        <v>0</v>
      </c>
      <c r="CG350">
        <v>0</v>
      </c>
      <c r="CH350">
        <v>0</v>
      </c>
      <c r="CI350">
        <v>0</v>
      </c>
      <c r="CJ350">
        <v>0</v>
      </c>
      <c r="CK350">
        <v>0</v>
      </c>
      <c r="CL350">
        <v>0</v>
      </c>
      <c r="CM350">
        <v>0</v>
      </c>
      <c r="CN350">
        <v>0</v>
      </c>
      <c r="CO350">
        <v>0</v>
      </c>
      <c r="CP350">
        <v>0</v>
      </c>
      <c r="CQ350">
        <v>0</v>
      </c>
      <c r="CR350">
        <v>0</v>
      </c>
      <c r="CS350">
        <v>0</v>
      </c>
      <c r="CT350">
        <v>0</v>
      </c>
      <c r="CU350">
        <v>0</v>
      </c>
      <c r="CV350">
        <v>0</v>
      </c>
      <c r="CW350">
        <v>0</v>
      </c>
      <c r="CX350">
        <v>0</v>
      </c>
      <c r="CY350">
        <v>0</v>
      </c>
      <c r="CZ350">
        <v>0</v>
      </c>
      <c r="DA350">
        <v>0</v>
      </c>
      <c r="DB350">
        <v>0</v>
      </c>
      <c r="DC350">
        <v>0</v>
      </c>
      <c r="DD350">
        <v>0</v>
      </c>
      <c r="DE350">
        <v>0</v>
      </c>
      <c r="DF350">
        <v>0</v>
      </c>
      <c r="DG350">
        <v>0</v>
      </c>
      <c r="DH350">
        <v>0</v>
      </c>
      <c r="DI350">
        <v>0</v>
      </c>
      <c r="DJ350">
        <v>0</v>
      </c>
      <c r="DK350">
        <v>0</v>
      </c>
      <c r="DL350">
        <v>0</v>
      </c>
      <c r="DM350">
        <v>0</v>
      </c>
      <c r="DN350">
        <v>0</v>
      </c>
      <c r="DO350">
        <v>0</v>
      </c>
      <c r="DP350">
        <v>0</v>
      </c>
      <c r="DQ350">
        <v>0</v>
      </c>
      <c r="DR350">
        <v>0</v>
      </c>
      <c r="DS350">
        <v>0</v>
      </c>
      <c r="DT350">
        <v>0</v>
      </c>
      <c r="DU350">
        <v>0</v>
      </c>
    </row>
    <row r="351" spans="2:125">
      <c r="B351" s="136">
        <v>342</v>
      </c>
      <c r="C351" s="138">
        <v>1</v>
      </c>
      <c r="D351" s="474">
        <v>3263.5416355921625</v>
      </c>
      <c r="E351" s="127">
        <v>199.99778231514199</v>
      </c>
      <c r="F351" s="447">
        <v>0.38695402996425554</v>
      </c>
      <c r="G351" s="127">
        <v>109.2785709137587</v>
      </c>
      <c r="H351" s="132">
        <v>56.145853476016306</v>
      </c>
      <c r="I351" s="456"/>
      <c r="J351" s="45"/>
      <c r="K351" s="45">
        <v>460</v>
      </c>
      <c r="L351" s="463"/>
      <c r="M351" s="456">
        <v>29.530057907104492</v>
      </c>
      <c r="N351" s="457"/>
      <c r="O351" s="456"/>
      <c r="P351" s="46"/>
      <c r="Q351" s="463">
        <v>64.618125915527344</v>
      </c>
      <c r="R351" s="449"/>
      <c r="S351" s="463"/>
      <c r="T351" s="480"/>
      <c r="U351" s="468"/>
      <c r="V351" s="449"/>
      <c r="W351" s="45">
        <v>1291.0001220703125</v>
      </c>
      <c r="X351" s="463">
        <v>110.87923431396484</v>
      </c>
      <c r="Y351" s="449"/>
      <c r="Z351" s="45"/>
      <c r="AA351" s="468">
        <v>0.37692226562509928</v>
      </c>
      <c r="AB351" s="456"/>
      <c r="AC351" s="46"/>
      <c r="AD351" s="46"/>
      <c r="AE351" s="46"/>
      <c r="AF351" s="46"/>
      <c r="AG351" s="46"/>
      <c r="AH351" s="46"/>
      <c r="AI351" s="457"/>
      <c r="AJ351" s="138"/>
      <c r="AK351" s="745"/>
      <c r="AL351" s="54"/>
      <c r="AM351" s="468"/>
      <c r="AN351" s="449"/>
      <c r="AO351" s="45"/>
      <c r="AP351" s="45"/>
      <c r="AQ351" s="45"/>
      <c r="AR351" s="45"/>
      <c r="AS351" s="45"/>
      <c r="AT351" s="45"/>
      <c r="AU351" s="463"/>
      <c r="AV351" s="449"/>
      <c r="AW351" s="45"/>
      <c r="AX351" s="45"/>
      <c r="AY351" s="45"/>
      <c r="AZ351" s="45"/>
      <c r="BA351" s="45"/>
      <c r="BB351" s="45"/>
      <c r="BC351" s="463"/>
      <c r="BD351" s="456"/>
      <c r="BE351" s="46"/>
      <c r="BF351" s="46"/>
      <c r="BG351" s="46"/>
      <c r="BH351" s="46"/>
      <c r="BI351" s="46"/>
      <c r="BJ351" s="457"/>
      <c r="BK351" s="449">
        <v>0</v>
      </c>
      <c r="BL351" s="45"/>
      <c r="BM351" s="45"/>
      <c r="BN351" s="45"/>
      <c r="BO351" s="45"/>
      <c r="BP351" s="45"/>
      <c r="BQ351" s="45"/>
      <c r="BR351" s="45"/>
      <c r="BS351" s="45"/>
      <c r="BT351" s="45"/>
      <c r="BU351" s="45"/>
      <c r="BV351" s="45"/>
      <c r="BW351" s="45"/>
      <c r="BX351" s="45"/>
      <c r="BY351" s="45"/>
      <c r="BZ351" s="45"/>
      <c r="CA351" s="45"/>
      <c r="CB351" s="45"/>
      <c r="CC351" s="45"/>
      <c r="CD351" s="463"/>
      <c r="CE351">
        <v>0</v>
      </c>
      <c r="CF351">
        <v>0</v>
      </c>
      <c r="CG351">
        <v>0</v>
      </c>
      <c r="CH351">
        <v>0</v>
      </c>
      <c r="CI351">
        <v>0</v>
      </c>
      <c r="CJ351">
        <v>0</v>
      </c>
      <c r="CK351">
        <v>0</v>
      </c>
      <c r="CL351">
        <v>0</v>
      </c>
      <c r="CM351">
        <v>0</v>
      </c>
      <c r="CN351">
        <v>0</v>
      </c>
      <c r="CO351">
        <v>0</v>
      </c>
      <c r="CP351">
        <v>0</v>
      </c>
      <c r="CQ351">
        <v>0</v>
      </c>
      <c r="CR351">
        <v>0</v>
      </c>
      <c r="CS351">
        <v>0</v>
      </c>
      <c r="CT351">
        <v>0</v>
      </c>
      <c r="CU351">
        <v>0</v>
      </c>
      <c r="CV351">
        <v>0</v>
      </c>
      <c r="CW351">
        <v>0</v>
      </c>
      <c r="CX351">
        <v>0</v>
      </c>
      <c r="CY351">
        <v>0</v>
      </c>
      <c r="CZ351">
        <v>0</v>
      </c>
      <c r="DA351">
        <v>0</v>
      </c>
      <c r="DB351">
        <v>0</v>
      </c>
      <c r="DC351">
        <v>0</v>
      </c>
      <c r="DD351">
        <v>0</v>
      </c>
      <c r="DE351">
        <v>0</v>
      </c>
      <c r="DF351">
        <v>0</v>
      </c>
      <c r="DG351">
        <v>0</v>
      </c>
      <c r="DH351">
        <v>0</v>
      </c>
      <c r="DI351">
        <v>0</v>
      </c>
      <c r="DJ351">
        <v>0</v>
      </c>
      <c r="DK351">
        <v>0</v>
      </c>
      <c r="DL351">
        <v>0</v>
      </c>
      <c r="DM351">
        <v>0</v>
      </c>
      <c r="DN351">
        <v>0</v>
      </c>
      <c r="DO351">
        <v>0</v>
      </c>
      <c r="DP351">
        <v>0</v>
      </c>
      <c r="DQ351">
        <v>0</v>
      </c>
      <c r="DR351">
        <v>0</v>
      </c>
      <c r="DS351">
        <v>0</v>
      </c>
      <c r="DT351">
        <v>0</v>
      </c>
      <c r="DU351">
        <v>0</v>
      </c>
    </row>
    <row r="352" spans="2:125">
      <c r="B352" s="136">
        <v>343</v>
      </c>
      <c r="C352" s="138">
        <v>1</v>
      </c>
      <c r="D352" s="474">
        <v>3157.845767392535</v>
      </c>
      <c r="E352" s="127">
        <v>218.90959995798642</v>
      </c>
      <c r="F352" s="447">
        <v>0.36009657549435842</v>
      </c>
      <c r="G352" s="127">
        <v>126.70002578598107</v>
      </c>
      <c r="H352" s="132">
        <v>48.924130600631216</v>
      </c>
      <c r="I352" s="456"/>
      <c r="J352" s="45"/>
      <c r="K352" s="45">
        <v>480</v>
      </c>
      <c r="L352" s="463"/>
      <c r="M352" s="456">
        <v>29.530252456665039</v>
      </c>
      <c r="N352" s="457"/>
      <c r="O352" s="456"/>
      <c r="P352" s="46"/>
      <c r="Q352" s="463">
        <v>62.525352478027344</v>
      </c>
      <c r="R352" s="449"/>
      <c r="S352" s="463"/>
      <c r="T352" s="480"/>
      <c r="U352" s="468"/>
      <c r="V352" s="449"/>
      <c r="W352" s="45">
        <v>1266.1302490234375</v>
      </c>
      <c r="X352" s="463">
        <v>109.19123840332031</v>
      </c>
      <c r="Y352" s="449"/>
      <c r="Z352" s="45"/>
      <c r="AA352" s="468">
        <v>0.34989913905132514</v>
      </c>
      <c r="AB352" s="456"/>
      <c r="AC352" s="46"/>
      <c r="AD352" s="46"/>
      <c r="AE352" s="46"/>
      <c r="AF352" s="46"/>
      <c r="AG352" s="46"/>
      <c r="AH352" s="46"/>
      <c r="AI352" s="457"/>
      <c r="AJ352" s="138"/>
      <c r="AK352" s="745"/>
      <c r="AL352" s="54"/>
      <c r="AM352" s="468"/>
      <c r="AN352" s="449"/>
      <c r="AO352" s="45"/>
      <c r="AP352" s="45"/>
      <c r="AQ352" s="45"/>
      <c r="AR352" s="45"/>
      <c r="AS352" s="45"/>
      <c r="AT352" s="45"/>
      <c r="AU352" s="463"/>
      <c r="AV352" s="449"/>
      <c r="AW352" s="45"/>
      <c r="AX352" s="45"/>
      <c r="AY352" s="45"/>
      <c r="AZ352" s="45"/>
      <c r="BA352" s="45"/>
      <c r="BB352" s="45"/>
      <c r="BC352" s="463"/>
      <c r="BD352" s="456"/>
      <c r="BE352" s="46"/>
      <c r="BF352" s="46"/>
      <c r="BG352" s="46"/>
      <c r="BH352" s="46"/>
      <c r="BI352" s="46"/>
      <c r="BJ352" s="457"/>
      <c r="BK352" s="449">
        <v>0</v>
      </c>
      <c r="BL352" s="45"/>
      <c r="BM352" s="45"/>
      <c r="BN352" s="45"/>
      <c r="BO352" s="45"/>
      <c r="BP352" s="45"/>
      <c r="BQ352" s="45"/>
      <c r="BR352" s="45"/>
      <c r="BS352" s="45"/>
      <c r="BT352" s="45"/>
      <c r="BU352" s="45"/>
      <c r="BV352" s="45"/>
      <c r="BW352" s="45"/>
      <c r="BX352" s="45"/>
      <c r="BY352" s="45"/>
      <c r="BZ352" s="45"/>
      <c r="CA352" s="45"/>
      <c r="CB352" s="45"/>
      <c r="CC352" s="45"/>
      <c r="CD352" s="463"/>
      <c r="CE352">
        <v>0</v>
      </c>
      <c r="CF352">
        <v>0</v>
      </c>
      <c r="CG352">
        <v>0</v>
      </c>
      <c r="CH352">
        <v>0</v>
      </c>
      <c r="CI352">
        <v>0</v>
      </c>
      <c r="CJ352">
        <v>0</v>
      </c>
      <c r="CK352">
        <v>0</v>
      </c>
      <c r="CL352">
        <v>0</v>
      </c>
      <c r="CM352">
        <v>0</v>
      </c>
      <c r="CN352">
        <v>0</v>
      </c>
      <c r="CO352">
        <v>0</v>
      </c>
      <c r="CP352">
        <v>0</v>
      </c>
      <c r="CQ352">
        <v>0</v>
      </c>
      <c r="CR352">
        <v>0</v>
      </c>
      <c r="CS352">
        <v>0</v>
      </c>
      <c r="CT352">
        <v>0</v>
      </c>
      <c r="CU352">
        <v>0</v>
      </c>
      <c r="CV352">
        <v>0</v>
      </c>
      <c r="CW352">
        <v>0</v>
      </c>
      <c r="CX352">
        <v>0</v>
      </c>
      <c r="CY352">
        <v>0</v>
      </c>
      <c r="CZ352">
        <v>0</v>
      </c>
      <c r="DA352">
        <v>0</v>
      </c>
      <c r="DB352">
        <v>0</v>
      </c>
      <c r="DC352">
        <v>0</v>
      </c>
      <c r="DD352">
        <v>0</v>
      </c>
      <c r="DE352">
        <v>0</v>
      </c>
      <c r="DF352">
        <v>0</v>
      </c>
      <c r="DG352">
        <v>0</v>
      </c>
      <c r="DH352">
        <v>0</v>
      </c>
      <c r="DI352">
        <v>0</v>
      </c>
      <c r="DJ352">
        <v>0</v>
      </c>
      <c r="DK352">
        <v>0</v>
      </c>
      <c r="DL352">
        <v>0</v>
      </c>
      <c r="DM352">
        <v>0</v>
      </c>
      <c r="DN352">
        <v>0</v>
      </c>
      <c r="DO352">
        <v>0</v>
      </c>
      <c r="DP352">
        <v>0</v>
      </c>
      <c r="DQ352">
        <v>0</v>
      </c>
      <c r="DR352">
        <v>0</v>
      </c>
      <c r="DS352">
        <v>0</v>
      </c>
      <c r="DT352">
        <v>0</v>
      </c>
      <c r="DU352">
        <v>0</v>
      </c>
    </row>
    <row r="353" spans="2:125">
      <c r="B353" s="136">
        <v>344</v>
      </c>
      <c r="C353" s="138">
        <v>1</v>
      </c>
      <c r="D353" s="474">
        <v>3458.9363560593106</v>
      </c>
      <c r="E353" s="127">
        <v>213.26271006377877</v>
      </c>
      <c r="F353" s="447">
        <v>0.44599897903467012</v>
      </c>
      <c r="G353" s="127">
        <v>144.57569054414844</v>
      </c>
      <c r="H353" s="132">
        <v>49.836040313235536</v>
      </c>
      <c r="I353" s="456"/>
      <c r="J353" s="45"/>
      <c r="K353" s="45">
        <v>550</v>
      </c>
      <c r="L353" s="463"/>
      <c r="M353" s="456">
        <v>42.677452087402344</v>
      </c>
      <c r="N353" s="457"/>
      <c r="O353" s="456"/>
      <c r="P353" s="46"/>
      <c r="Q353" s="463">
        <v>68.4869384765625</v>
      </c>
      <c r="R353" s="449"/>
      <c r="S353" s="463"/>
      <c r="T353" s="480"/>
      <c r="U353" s="468"/>
      <c r="V353" s="449"/>
      <c r="W353" s="45">
        <v>1897.75634765625</v>
      </c>
      <c r="X353" s="463">
        <v>155.41471862792969</v>
      </c>
      <c r="Y353" s="449"/>
      <c r="Z353" s="45"/>
      <c r="AA353" s="468">
        <v>0.43619250210390126</v>
      </c>
      <c r="AB353" s="456"/>
      <c r="AC353" s="46"/>
      <c r="AD353" s="46"/>
      <c r="AE353" s="46"/>
      <c r="AF353" s="46"/>
      <c r="AG353" s="46"/>
      <c r="AH353" s="46"/>
      <c r="AI353" s="457"/>
      <c r="AJ353" s="138"/>
      <c r="AK353" s="745"/>
      <c r="AL353" s="54"/>
      <c r="AM353" s="468"/>
      <c r="AN353" s="449"/>
      <c r="AO353" s="45"/>
      <c r="AP353" s="45"/>
      <c r="AQ353" s="45"/>
      <c r="AR353" s="45"/>
      <c r="AS353" s="45"/>
      <c r="AT353" s="45"/>
      <c r="AU353" s="463"/>
      <c r="AV353" s="449"/>
      <c r="AW353" s="45"/>
      <c r="AX353" s="45"/>
      <c r="AY353" s="45"/>
      <c r="AZ353" s="45"/>
      <c r="BA353" s="45"/>
      <c r="BB353" s="45"/>
      <c r="BC353" s="463"/>
      <c r="BD353" s="456"/>
      <c r="BE353" s="46"/>
      <c r="BF353" s="46"/>
      <c r="BG353" s="46"/>
      <c r="BH353" s="46"/>
      <c r="BI353" s="46"/>
      <c r="BJ353" s="457"/>
      <c r="BK353" s="449">
        <v>0</v>
      </c>
      <c r="BL353" s="45"/>
      <c r="BM353" s="45"/>
      <c r="BN353" s="45"/>
      <c r="BO353" s="45"/>
      <c r="BP353" s="45"/>
      <c r="BQ353" s="45"/>
      <c r="BR353" s="45"/>
      <c r="BS353" s="45"/>
      <c r="BT353" s="45"/>
      <c r="BU353" s="45"/>
      <c r="BV353" s="45"/>
      <c r="BW353" s="45"/>
      <c r="BX353" s="45"/>
      <c r="BY353" s="45"/>
      <c r="BZ353" s="45"/>
      <c r="CA353" s="45"/>
      <c r="CB353" s="45"/>
      <c r="CC353" s="45"/>
      <c r="CD353" s="463"/>
      <c r="CE353">
        <v>0</v>
      </c>
      <c r="CF353">
        <v>0</v>
      </c>
      <c r="CG353">
        <v>0</v>
      </c>
      <c r="CH353">
        <v>0</v>
      </c>
      <c r="CI353">
        <v>0</v>
      </c>
      <c r="CJ353">
        <v>0</v>
      </c>
      <c r="CK353">
        <v>0</v>
      </c>
      <c r="CL353">
        <v>0</v>
      </c>
      <c r="CM353">
        <v>0</v>
      </c>
      <c r="CN353">
        <v>0</v>
      </c>
      <c r="CO353">
        <v>0</v>
      </c>
      <c r="CP353">
        <v>0</v>
      </c>
      <c r="CQ353">
        <v>0</v>
      </c>
      <c r="CR353">
        <v>0</v>
      </c>
      <c r="CS353">
        <v>0</v>
      </c>
      <c r="CT353">
        <v>0</v>
      </c>
      <c r="CU353">
        <v>0</v>
      </c>
      <c r="CV353">
        <v>0</v>
      </c>
      <c r="CW353">
        <v>0</v>
      </c>
      <c r="CX353">
        <v>0</v>
      </c>
      <c r="CY353">
        <v>0</v>
      </c>
      <c r="CZ353">
        <v>0</v>
      </c>
      <c r="DA353">
        <v>0</v>
      </c>
      <c r="DB353">
        <v>0</v>
      </c>
      <c r="DC353">
        <v>0</v>
      </c>
      <c r="DD353">
        <v>0</v>
      </c>
      <c r="DE353">
        <v>0</v>
      </c>
      <c r="DF353">
        <v>0</v>
      </c>
      <c r="DG353">
        <v>0</v>
      </c>
      <c r="DH353">
        <v>0</v>
      </c>
      <c r="DI353">
        <v>0</v>
      </c>
      <c r="DJ353">
        <v>0</v>
      </c>
      <c r="DK353">
        <v>0</v>
      </c>
      <c r="DL353">
        <v>0</v>
      </c>
      <c r="DM353">
        <v>0</v>
      </c>
      <c r="DN353">
        <v>0</v>
      </c>
      <c r="DO353">
        <v>0</v>
      </c>
      <c r="DP353">
        <v>0</v>
      </c>
      <c r="DQ353">
        <v>0</v>
      </c>
      <c r="DR353">
        <v>0</v>
      </c>
      <c r="DS353">
        <v>0</v>
      </c>
      <c r="DT353">
        <v>0</v>
      </c>
      <c r="DU353">
        <v>0</v>
      </c>
    </row>
    <row r="354" spans="2:125">
      <c r="B354" s="136">
        <v>345</v>
      </c>
      <c r="C354" s="138">
        <v>1</v>
      </c>
      <c r="D354" s="474">
        <v>3137.7353456288965</v>
      </c>
      <c r="E354" s="127">
        <v>222.73819478004643</v>
      </c>
      <c r="F354" s="447">
        <v>0.41205365915891334</v>
      </c>
      <c r="G354" s="127">
        <v>128.76566189880037</v>
      </c>
      <c r="H354" s="132">
        <v>47.730837672895568</v>
      </c>
      <c r="I354" s="456"/>
      <c r="J354" s="45"/>
      <c r="K354" s="45">
        <v>490</v>
      </c>
      <c r="L354" s="463"/>
      <c r="M354" s="456">
        <v>35.553810119628906</v>
      </c>
      <c r="N354" s="457"/>
      <c r="O354" s="456"/>
      <c r="P354" s="46"/>
      <c r="Q354" s="463">
        <v>62.127162933349609</v>
      </c>
      <c r="R354" s="449"/>
      <c r="S354" s="463"/>
      <c r="T354" s="480"/>
      <c r="U354" s="468"/>
      <c r="V354" s="449"/>
      <c r="W354" s="45">
        <v>1507.2362060546875</v>
      </c>
      <c r="X354" s="463">
        <v>126.76036834716797</v>
      </c>
      <c r="Y354" s="449"/>
      <c r="Z354" s="45"/>
      <c r="AA354" s="468">
        <v>0.40145968945733046</v>
      </c>
      <c r="AB354" s="456"/>
      <c r="AC354" s="46"/>
      <c r="AD354" s="46"/>
      <c r="AE354" s="46"/>
      <c r="AF354" s="46"/>
      <c r="AG354" s="46"/>
      <c r="AH354" s="46"/>
      <c r="AI354" s="457"/>
      <c r="AJ354" s="138"/>
      <c r="AK354" s="745"/>
      <c r="AL354" s="54"/>
      <c r="AM354" s="468"/>
      <c r="AN354" s="449"/>
      <c r="AO354" s="45"/>
      <c r="AP354" s="45"/>
      <c r="AQ354" s="45"/>
      <c r="AR354" s="45"/>
      <c r="AS354" s="45"/>
      <c r="AT354" s="45"/>
      <c r="AU354" s="463"/>
      <c r="AV354" s="449"/>
      <c r="AW354" s="45"/>
      <c r="AX354" s="45"/>
      <c r="AY354" s="45"/>
      <c r="AZ354" s="45"/>
      <c r="BA354" s="45"/>
      <c r="BB354" s="45"/>
      <c r="BC354" s="463"/>
      <c r="BD354" s="456"/>
      <c r="BE354" s="46"/>
      <c r="BF354" s="46"/>
      <c r="BG354" s="46"/>
      <c r="BH354" s="46"/>
      <c r="BI354" s="46"/>
      <c r="BJ354" s="457"/>
      <c r="BK354" s="449">
        <v>0</v>
      </c>
      <c r="BL354" s="45"/>
      <c r="BM354" s="45"/>
      <c r="BN354" s="45"/>
      <c r="BO354" s="45"/>
      <c r="BP354" s="45"/>
      <c r="BQ354" s="45"/>
      <c r="BR354" s="45"/>
      <c r="BS354" s="45"/>
      <c r="BT354" s="45"/>
      <c r="BU354" s="45"/>
      <c r="BV354" s="45"/>
      <c r="BW354" s="45"/>
      <c r="BX354" s="45"/>
      <c r="BY354" s="45"/>
      <c r="BZ354" s="45"/>
      <c r="CA354" s="45"/>
      <c r="CB354" s="45"/>
      <c r="CC354" s="45"/>
      <c r="CD354" s="463"/>
      <c r="CE354">
        <v>0</v>
      </c>
      <c r="CF354">
        <v>0</v>
      </c>
      <c r="CG354">
        <v>0</v>
      </c>
      <c r="CH354">
        <v>0</v>
      </c>
      <c r="CI354">
        <v>0</v>
      </c>
      <c r="CJ354">
        <v>0</v>
      </c>
      <c r="CK354">
        <v>0</v>
      </c>
      <c r="CL354">
        <v>0</v>
      </c>
      <c r="CM354">
        <v>0</v>
      </c>
      <c r="CN354">
        <v>0</v>
      </c>
      <c r="CO354">
        <v>0</v>
      </c>
      <c r="CP354">
        <v>0</v>
      </c>
      <c r="CQ354">
        <v>0</v>
      </c>
      <c r="CR354">
        <v>0</v>
      </c>
      <c r="CS354">
        <v>0</v>
      </c>
      <c r="CT354">
        <v>0</v>
      </c>
      <c r="CU354">
        <v>0</v>
      </c>
      <c r="CV354">
        <v>0</v>
      </c>
      <c r="CW354">
        <v>0</v>
      </c>
      <c r="CX354">
        <v>0</v>
      </c>
      <c r="CY354">
        <v>0</v>
      </c>
      <c r="CZ354">
        <v>0</v>
      </c>
      <c r="DA354">
        <v>0</v>
      </c>
      <c r="DB354">
        <v>0</v>
      </c>
      <c r="DC354">
        <v>0</v>
      </c>
      <c r="DD354">
        <v>0</v>
      </c>
      <c r="DE354">
        <v>0</v>
      </c>
      <c r="DF354">
        <v>0</v>
      </c>
      <c r="DG354">
        <v>0</v>
      </c>
      <c r="DH354">
        <v>0</v>
      </c>
      <c r="DI354">
        <v>0</v>
      </c>
      <c r="DJ354">
        <v>0</v>
      </c>
      <c r="DK354">
        <v>0</v>
      </c>
      <c r="DL354">
        <v>0</v>
      </c>
      <c r="DM354">
        <v>0</v>
      </c>
      <c r="DN354">
        <v>0</v>
      </c>
      <c r="DO354">
        <v>0</v>
      </c>
      <c r="DP354">
        <v>0</v>
      </c>
      <c r="DQ354">
        <v>0</v>
      </c>
      <c r="DR354">
        <v>0</v>
      </c>
      <c r="DS354">
        <v>0</v>
      </c>
      <c r="DT354">
        <v>0</v>
      </c>
      <c r="DU354">
        <v>0</v>
      </c>
    </row>
    <row r="355" spans="2:125">
      <c r="B355" s="136">
        <v>346</v>
      </c>
      <c r="C355" s="138">
        <v>1</v>
      </c>
      <c r="D355" s="474">
        <v>3534.9876126141521</v>
      </c>
      <c r="E355" s="127">
        <v>266.66267880006058</v>
      </c>
      <c r="F355" s="447">
        <v>0.3888220902637668</v>
      </c>
      <c r="G355" s="127">
        <v>117.09203962767123</v>
      </c>
      <c r="H355" s="132">
        <v>58.787479890541888</v>
      </c>
      <c r="I355" s="456"/>
      <c r="J355" s="45"/>
      <c r="K355" s="45">
        <v>490</v>
      </c>
      <c r="L355" s="463"/>
      <c r="M355" s="456">
        <v>30.034912109375</v>
      </c>
      <c r="N355" s="457"/>
      <c r="O355" s="456"/>
      <c r="P355" s="46"/>
      <c r="Q355" s="463">
        <v>69.992759704589844</v>
      </c>
      <c r="R355" s="449"/>
      <c r="S355" s="463"/>
      <c r="T355" s="480"/>
      <c r="U355" s="468"/>
      <c r="V355" s="449"/>
      <c r="W355" s="45">
        <v>1380.8179931640625</v>
      </c>
      <c r="X355" s="463">
        <v>117.55530548095703</v>
      </c>
      <c r="Y355" s="449"/>
      <c r="Z355" s="45"/>
      <c r="AA355" s="468">
        <v>0.37955007989283462</v>
      </c>
      <c r="AB355" s="456"/>
      <c r="AC355" s="46"/>
      <c r="AD355" s="46"/>
      <c r="AE355" s="46"/>
      <c r="AF355" s="46"/>
      <c r="AG355" s="46"/>
      <c r="AH355" s="46"/>
      <c r="AI355" s="457"/>
      <c r="AJ355" s="138"/>
      <c r="AK355" s="745"/>
      <c r="AL355" s="54"/>
      <c r="AM355" s="468"/>
      <c r="AN355" s="449"/>
      <c r="AO355" s="45"/>
      <c r="AP355" s="45"/>
      <c r="AQ355" s="45"/>
      <c r="AR355" s="45"/>
      <c r="AS355" s="45"/>
      <c r="AT355" s="45"/>
      <c r="AU355" s="463"/>
      <c r="AV355" s="449"/>
      <c r="AW355" s="45"/>
      <c r="AX355" s="45"/>
      <c r="AY355" s="45"/>
      <c r="AZ355" s="45"/>
      <c r="BA355" s="45"/>
      <c r="BB355" s="45"/>
      <c r="BC355" s="463"/>
      <c r="BD355" s="456"/>
      <c r="BE355" s="46"/>
      <c r="BF355" s="46"/>
      <c r="BG355" s="46"/>
      <c r="BH355" s="46"/>
      <c r="BI355" s="46"/>
      <c r="BJ355" s="457"/>
      <c r="BK355" s="449">
        <v>0</v>
      </c>
      <c r="BL355" s="45"/>
      <c r="BM355" s="45"/>
      <c r="BN355" s="45"/>
      <c r="BO355" s="45"/>
      <c r="BP355" s="45"/>
      <c r="BQ355" s="45"/>
      <c r="BR355" s="45"/>
      <c r="BS355" s="45"/>
      <c r="BT355" s="45"/>
      <c r="BU355" s="45"/>
      <c r="BV355" s="45"/>
      <c r="BW355" s="45"/>
      <c r="BX355" s="45"/>
      <c r="BY355" s="45"/>
      <c r="BZ355" s="45"/>
      <c r="CA355" s="45"/>
      <c r="CB355" s="45"/>
      <c r="CC355" s="45"/>
      <c r="CD355" s="463"/>
      <c r="CE355">
        <v>0</v>
      </c>
      <c r="CF355">
        <v>0</v>
      </c>
      <c r="CG355">
        <v>0</v>
      </c>
      <c r="CH355">
        <v>0</v>
      </c>
      <c r="CI355">
        <v>0</v>
      </c>
      <c r="CJ355">
        <v>0</v>
      </c>
      <c r="CK355">
        <v>0</v>
      </c>
      <c r="CL355">
        <v>0</v>
      </c>
      <c r="CM355">
        <v>0</v>
      </c>
      <c r="CN355">
        <v>0</v>
      </c>
      <c r="CO355">
        <v>0</v>
      </c>
      <c r="CP355">
        <v>0</v>
      </c>
      <c r="CQ355">
        <v>0</v>
      </c>
      <c r="CR355">
        <v>0</v>
      </c>
      <c r="CS355">
        <v>0</v>
      </c>
      <c r="CT355">
        <v>0</v>
      </c>
      <c r="CU355">
        <v>0</v>
      </c>
      <c r="CV355">
        <v>0</v>
      </c>
      <c r="CW355">
        <v>0</v>
      </c>
      <c r="CX355">
        <v>0</v>
      </c>
      <c r="CY355">
        <v>0</v>
      </c>
      <c r="CZ355">
        <v>0</v>
      </c>
      <c r="DA355">
        <v>0</v>
      </c>
      <c r="DB355">
        <v>0</v>
      </c>
      <c r="DC355">
        <v>0</v>
      </c>
      <c r="DD355">
        <v>0</v>
      </c>
      <c r="DE355">
        <v>0</v>
      </c>
      <c r="DF355">
        <v>0</v>
      </c>
      <c r="DG355">
        <v>0</v>
      </c>
      <c r="DH355">
        <v>0</v>
      </c>
      <c r="DI355">
        <v>0</v>
      </c>
      <c r="DJ355">
        <v>0</v>
      </c>
      <c r="DK355">
        <v>0</v>
      </c>
      <c r="DL355">
        <v>0</v>
      </c>
      <c r="DM355">
        <v>0</v>
      </c>
      <c r="DN355">
        <v>0</v>
      </c>
      <c r="DO355">
        <v>0</v>
      </c>
      <c r="DP355">
        <v>0</v>
      </c>
      <c r="DQ355">
        <v>0</v>
      </c>
      <c r="DR355">
        <v>0</v>
      </c>
      <c r="DS355">
        <v>0</v>
      </c>
      <c r="DT355">
        <v>0</v>
      </c>
      <c r="DU355">
        <v>0</v>
      </c>
    </row>
    <row r="356" spans="2:125">
      <c r="B356" s="136">
        <v>347</v>
      </c>
      <c r="C356" s="138">
        <v>1</v>
      </c>
      <c r="D356" s="474">
        <v>3118.1400367102287</v>
      </c>
      <c r="E356" s="127">
        <v>211.63237002439058</v>
      </c>
      <c r="F356" s="447">
        <v>0.36433235268632042</v>
      </c>
      <c r="G356" s="127">
        <v>110.45871534083589</v>
      </c>
      <c r="H356" s="132">
        <v>53.125912130819671</v>
      </c>
      <c r="I356" s="456"/>
      <c r="J356" s="45"/>
      <c r="K356" s="45">
        <v>440</v>
      </c>
      <c r="L356" s="463"/>
      <c r="M356" s="456">
        <v>28.110015869140625</v>
      </c>
      <c r="N356" s="457"/>
      <c r="O356" s="456"/>
      <c r="P356" s="46"/>
      <c r="Q356" s="463">
        <v>61.739173889160156</v>
      </c>
      <c r="R356" s="449"/>
      <c r="S356" s="463"/>
      <c r="T356" s="480"/>
      <c r="U356" s="468"/>
      <c r="V356" s="449"/>
      <c r="W356" s="45">
        <v>1188.510498046875</v>
      </c>
      <c r="X356" s="463">
        <v>103.38095092773437</v>
      </c>
      <c r="Y356" s="449"/>
      <c r="Z356" s="45"/>
      <c r="AA356" s="468">
        <v>0.35397789564667115</v>
      </c>
      <c r="AB356" s="456"/>
      <c r="AC356" s="46"/>
      <c r="AD356" s="46"/>
      <c r="AE356" s="46"/>
      <c r="AF356" s="46"/>
      <c r="AG356" s="46"/>
      <c r="AH356" s="46"/>
      <c r="AI356" s="457"/>
      <c r="AJ356" s="138"/>
      <c r="AK356" s="745"/>
      <c r="AL356" s="54"/>
      <c r="AM356" s="468"/>
      <c r="AN356" s="449"/>
      <c r="AO356" s="45"/>
      <c r="AP356" s="45"/>
      <c r="AQ356" s="45"/>
      <c r="AR356" s="45"/>
      <c r="AS356" s="45"/>
      <c r="AT356" s="45"/>
      <c r="AU356" s="463"/>
      <c r="AV356" s="449"/>
      <c r="AW356" s="45"/>
      <c r="AX356" s="45"/>
      <c r="AY356" s="45"/>
      <c r="AZ356" s="45"/>
      <c r="BA356" s="45"/>
      <c r="BB356" s="45"/>
      <c r="BC356" s="463"/>
      <c r="BD356" s="456"/>
      <c r="BE356" s="46"/>
      <c r="BF356" s="46"/>
      <c r="BG356" s="46"/>
      <c r="BH356" s="46"/>
      <c r="BI356" s="46"/>
      <c r="BJ356" s="457"/>
      <c r="BK356" s="449">
        <v>0</v>
      </c>
      <c r="BL356" s="45"/>
      <c r="BM356" s="45"/>
      <c r="BN356" s="45"/>
      <c r="BO356" s="45"/>
      <c r="BP356" s="45"/>
      <c r="BQ356" s="45"/>
      <c r="BR356" s="45"/>
      <c r="BS356" s="45"/>
      <c r="BT356" s="45"/>
      <c r="BU356" s="45"/>
      <c r="BV356" s="45"/>
      <c r="BW356" s="45"/>
      <c r="BX356" s="45"/>
      <c r="BY356" s="45"/>
      <c r="BZ356" s="45"/>
      <c r="CA356" s="45"/>
      <c r="CB356" s="45"/>
      <c r="CC356" s="45"/>
      <c r="CD356" s="463"/>
      <c r="CE356">
        <v>0</v>
      </c>
      <c r="CF356">
        <v>0</v>
      </c>
      <c r="CG356">
        <v>0</v>
      </c>
      <c r="CH356">
        <v>0</v>
      </c>
      <c r="CI356">
        <v>0</v>
      </c>
      <c r="CJ356">
        <v>0</v>
      </c>
      <c r="CK356">
        <v>0</v>
      </c>
      <c r="CL356">
        <v>0</v>
      </c>
      <c r="CM356">
        <v>0</v>
      </c>
      <c r="CN356">
        <v>0</v>
      </c>
      <c r="CO356">
        <v>0</v>
      </c>
      <c r="CP356">
        <v>0</v>
      </c>
      <c r="CQ356">
        <v>0</v>
      </c>
      <c r="CR356">
        <v>0</v>
      </c>
      <c r="CS356">
        <v>0</v>
      </c>
      <c r="CT356">
        <v>0</v>
      </c>
      <c r="CU356">
        <v>0</v>
      </c>
      <c r="CV356">
        <v>0</v>
      </c>
      <c r="CW356">
        <v>0</v>
      </c>
      <c r="CX356">
        <v>0</v>
      </c>
      <c r="CY356">
        <v>0</v>
      </c>
      <c r="CZ356">
        <v>0</v>
      </c>
      <c r="DA356">
        <v>0</v>
      </c>
      <c r="DB356">
        <v>0</v>
      </c>
      <c r="DC356">
        <v>0</v>
      </c>
      <c r="DD356">
        <v>0</v>
      </c>
      <c r="DE356">
        <v>0</v>
      </c>
      <c r="DF356">
        <v>0</v>
      </c>
      <c r="DG356">
        <v>0</v>
      </c>
      <c r="DH356">
        <v>0</v>
      </c>
      <c r="DI356">
        <v>0</v>
      </c>
      <c r="DJ356">
        <v>0</v>
      </c>
      <c r="DK356">
        <v>0</v>
      </c>
      <c r="DL356">
        <v>0</v>
      </c>
      <c r="DM356">
        <v>0</v>
      </c>
      <c r="DN356">
        <v>0</v>
      </c>
      <c r="DO356">
        <v>0</v>
      </c>
      <c r="DP356">
        <v>0</v>
      </c>
      <c r="DQ356">
        <v>0</v>
      </c>
      <c r="DR356">
        <v>0</v>
      </c>
      <c r="DS356">
        <v>0</v>
      </c>
      <c r="DT356">
        <v>0</v>
      </c>
      <c r="DU356">
        <v>0</v>
      </c>
    </row>
    <row r="357" spans="2:125">
      <c r="B357" s="136">
        <v>348</v>
      </c>
      <c r="C357" s="138">
        <v>1</v>
      </c>
      <c r="D357" s="474">
        <v>2845.8751176369424</v>
      </c>
      <c r="E357" s="127">
        <v>262.15887225135117</v>
      </c>
      <c r="F357" s="447">
        <v>0.40480700619912319</v>
      </c>
      <c r="G357" s="127">
        <v>98.864028570447189</v>
      </c>
      <c r="H357" s="132">
        <v>51.020508804326546</v>
      </c>
      <c r="I357" s="456"/>
      <c r="J357" s="45"/>
      <c r="K357" s="45">
        <v>410</v>
      </c>
      <c r="L357" s="463"/>
      <c r="M357" s="456">
        <v>31.604082107543945</v>
      </c>
      <c r="N357" s="457"/>
      <c r="O357" s="456"/>
      <c r="P357" s="46"/>
      <c r="Q357" s="463">
        <v>56.348331451416016</v>
      </c>
      <c r="R357" s="449"/>
      <c r="S357" s="463"/>
      <c r="T357" s="480"/>
      <c r="U357" s="468"/>
      <c r="V357" s="449"/>
      <c r="W357" s="45">
        <v>1243.9229736328125</v>
      </c>
      <c r="X357" s="463">
        <v>107.25706481933594</v>
      </c>
      <c r="Y357" s="449"/>
      <c r="Z357" s="45"/>
      <c r="AA357" s="468">
        <v>0.39317749374480876</v>
      </c>
      <c r="AB357" s="456"/>
      <c r="AC357" s="46"/>
      <c r="AD357" s="46"/>
      <c r="AE357" s="46"/>
      <c r="AF357" s="46"/>
      <c r="AG357" s="46"/>
      <c r="AH357" s="46"/>
      <c r="AI357" s="457"/>
      <c r="AJ357" s="138"/>
      <c r="AK357" s="745"/>
      <c r="AL357" s="54"/>
      <c r="AM357" s="468"/>
      <c r="AN357" s="449"/>
      <c r="AO357" s="45"/>
      <c r="AP357" s="45"/>
      <c r="AQ357" s="45"/>
      <c r="AR357" s="45"/>
      <c r="AS357" s="45"/>
      <c r="AT357" s="45"/>
      <c r="AU357" s="463"/>
      <c r="AV357" s="449"/>
      <c r="AW357" s="45"/>
      <c r="AX357" s="45"/>
      <c r="AY357" s="45"/>
      <c r="AZ357" s="45"/>
      <c r="BA357" s="45"/>
      <c r="BB357" s="45"/>
      <c r="BC357" s="463"/>
      <c r="BD357" s="456"/>
      <c r="BE357" s="46"/>
      <c r="BF357" s="46"/>
      <c r="BG357" s="46"/>
      <c r="BH357" s="46"/>
      <c r="BI357" s="46"/>
      <c r="BJ357" s="457"/>
      <c r="BK357" s="449">
        <v>0</v>
      </c>
      <c r="BL357" s="45"/>
      <c r="BM357" s="45"/>
      <c r="BN357" s="45"/>
      <c r="BO357" s="45"/>
      <c r="BP357" s="45"/>
      <c r="BQ357" s="45"/>
      <c r="BR357" s="45"/>
      <c r="BS357" s="45"/>
      <c r="BT357" s="45"/>
      <c r="BU357" s="45"/>
      <c r="BV357" s="45"/>
      <c r="BW357" s="45"/>
      <c r="BX357" s="45"/>
      <c r="BY357" s="45"/>
      <c r="BZ357" s="45"/>
      <c r="CA357" s="45"/>
      <c r="CB357" s="45"/>
      <c r="CC357" s="45"/>
      <c r="CD357" s="463"/>
      <c r="CE357">
        <v>0</v>
      </c>
      <c r="CF357">
        <v>0</v>
      </c>
      <c r="CG357">
        <v>0</v>
      </c>
      <c r="CH357">
        <v>0</v>
      </c>
      <c r="CI357">
        <v>0</v>
      </c>
      <c r="CJ357">
        <v>0</v>
      </c>
      <c r="CK357">
        <v>0</v>
      </c>
      <c r="CL357">
        <v>0</v>
      </c>
      <c r="CM357">
        <v>0</v>
      </c>
      <c r="CN357">
        <v>0</v>
      </c>
      <c r="CO357">
        <v>0</v>
      </c>
      <c r="CP357">
        <v>0</v>
      </c>
      <c r="CQ357">
        <v>0</v>
      </c>
      <c r="CR357">
        <v>0</v>
      </c>
      <c r="CS357">
        <v>0</v>
      </c>
      <c r="CT357">
        <v>0</v>
      </c>
      <c r="CU357">
        <v>0</v>
      </c>
      <c r="CV357">
        <v>0</v>
      </c>
      <c r="CW357">
        <v>0</v>
      </c>
      <c r="CX357">
        <v>0</v>
      </c>
      <c r="CY357">
        <v>0</v>
      </c>
      <c r="CZ357">
        <v>0</v>
      </c>
      <c r="DA357">
        <v>0</v>
      </c>
      <c r="DB357">
        <v>0</v>
      </c>
      <c r="DC357">
        <v>0</v>
      </c>
      <c r="DD357">
        <v>0</v>
      </c>
      <c r="DE357">
        <v>0</v>
      </c>
      <c r="DF357">
        <v>0</v>
      </c>
      <c r="DG357">
        <v>0</v>
      </c>
      <c r="DH357">
        <v>0</v>
      </c>
      <c r="DI357">
        <v>0</v>
      </c>
      <c r="DJ357">
        <v>0</v>
      </c>
      <c r="DK357">
        <v>0</v>
      </c>
      <c r="DL357">
        <v>0</v>
      </c>
      <c r="DM357">
        <v>0</v>
      </c>
      <c r="DN357">
        <v>0</v>
      </c>
      <c r="DO357">
        <v>0</v>
      </c>
      <c r="DP357">
        <v>0</v>
      </c>
      <c r="DQ357">
        <v>0</v>
      </c>
      <c r="DR357">
        <v>0</v>
      </c>
      <c r="DS357">
        <v>0</v>
      </c>
      <c r="DT357">
        <v>0</v>
      </c>
      <c r="DU357">
        <v>0</v>
      </c>
    </row>
    <row r="358" spans="2:125">
      <c r="B358" s="136">
        <v>349</v>
      </c>
      <c r="C358" s="138">
        <v>1</v>
      </c>
      <c r="D358" s="474">
        <v>3093.0444060818168</v>
      </c>
      <c r="E358" s="127">
        <v>244.59454458829825</v>
      </c>
      <c r="F358" s="447">
        <v>0.4667213705196353</v>
      </c>
      <c r="G358" s="127">
        <v>117.46674069745782</v>
      </c>
      <c r="H358" s="132">
        <v>58.161973667707421</v>
      </c>
      <c r="I358" s="456"/>
      <c r="J358" s="45"/>
      <c r="K358" s="45">
        <v>500</v>
      </c>
      <c r="L358" s="463"/>
      <c r="M358" s="456">
        <v>41.841094970703125</v>
      </c>
      <c r="N358" s="457"/>
      <c r="O358" s="456"/>
      <c r="P358" s="46"/>
      <c r="Q358" s="463">
        <v>69.337272644042969</v>
      </c>
      <c r="R358" s="449"/>
      <c r="S358" s="463"/>
      <c r="T358" s="480"/>
      <c r="U358" s="468"/>
      <c r="V358" s="449"/>
      <c r="W358" s="45">
        <v>1853.19970703125</v>
      </c>
      <c r="X358" s="463">
        <v>151.94017028808594</v>
      </c>
      <c r="Y358" s="449"/>
      <c r="Z358" s="45"/>
      <c r="AA358" s="468">
        <v>0.45562084207494785</v>
      </c>
      <c r="AB358" s="456"/>
      <c r="AC358" s="46"/>
      <c r="AD358" s="46"/>
      <c r="AE358" s="46"/>
      <c r="AF358" s="46"/>
      <c r="AG358" s="46"/>
      <c r="AH358" s="46"/>
      <c r="AI358" s="457"/>
      <c r="AJ358" s="138"/>
      <c r="AK358" s="745"/>
      <c r="AL358" s="54"/>
      <c r="AM358" s="468"/>
      <c r="AN358" s="449"/>
      <c r="AO358" s="45"/>
      <c r="AP358" s="45"/>
      <c r="AQ358" s="45"/>
      <c r="AR358" s="45"/>
      <c r="AS358" s="45"/>
      <c r="AT358" s="45"/>
      <c r="AU358" s="463"/>
      <c r="AV358" s="449"/>
      <c r="AW358" s="45"/>
      <c r="AX358" s="45"/>
      <c r="AY358" s="45"/>
      <c r="AZ358" s="45"/>
      <c r="BA358" s="45"/>
      <c r="BB358" s="45"/>
      <c r="BC358" s="463"/>
      <c r="BD358" s="456"/>
      <c r="BE358" s="46"/>
      <c r="BF358" s="46"/>
      <c r="BG358" s="46"/>
      <c r="BH358" s="46"/>
      <c r="BI358" s="46"/>
      <c r="BJ358" s="457"/>
      <c r="BK358" s="449">
        <v>0</v>
      </c>
      <c r="BL358" s="45"/>
      <c r="BM358" s="45"/>
      <c r="BN358" s="45"/>
      <c r="BO358" s="45"/>
      <c r="BP358" s="45"/>
      <c r="BQ358" s="45"/>
      <c r="BR358" s="45"/>
      <c r="BS358" s="45"/>
      <c r="BT358" s="45"/>
      <c r="BU358" s="45"/>
      <c r="BV358" s="45"/>
      <c r="BW358" s="45"/>
      <c r="BX358" s="45"/>
      <c r="BY358" s="45"/>
      <c r="BZ358" s="45"/>
      <c r="CA358" s="45"/>
      <c r="CB358" s="45"/>
      <c r="CC358" s="45"/>
      <c r="CD358" s="463"/>
      <c r="CE358">
        <v>0</v>
      </c>
      <c r="CF358">
        <v>0</v>
      </c>
      <c r="CG358">
        <v>0</v>
      </c>
      <c r="CH358">
        <v>0</v>
      </c>
      <c r="CI358">
        <v>0</v>
      </c>
      <c r="CJ358">
        <v>0</v>
      </c>
      <c r="CK358">
        <v>0</v>
      </c>
      <c r="CL358">
        <v>0</v>
      </c>
      <c r="CM358">
        <v>0</v>
      </c>
      <c r="CN358">
        <v>0</v>
      </c>
      <c r="CO358">
        <v>0</v>
      </c>
      <c r="CP358">
        <v>0</v>
      </c>
      <c r="CQ358">
        <v>0</v>
      </c>
      <c r="CR358">
        <v>0</v>
      </c>
      <c r="CS358">
        <v>0</v>
      </c>
      <c r="CT358">
        <v>0</v>
      </c>
      <c r="CU358">
        <v>0</v>
      </c>
      <c r="CV358">
        <v>0</v>
      </c>
      <c r="CW358">
        <v>0</v>
      </c>
      <c r="CX358">
        <v>0</v>
      </c>
      <c r="CY358">
        <v>0</v>
      </c>
      <c r="CZ358">
        <v>0</v>
      </c>
      <c r="DA358">
        <v>0</v>
      </c>
      <c r="DB358">
        <v>0</v>
      </c>
      <c r="DC358">
        <v>0</v>
      </c>
      <c r="DD358">
        <v>0</v>
      </c>
      <c r="DE358">
        <v>0</v>
      </c>
      <c r="DF358">
        <v>0</v>
      </c>
      <c r="DG358">
        <v>0</v>
      </c>
      <c r="DH358">
        <v>0</v>
      </c>
      <c r="DI358">
        <v>0</v>
      </c>
      <c r="DJ358">
        <v>0</v>
      </c>
      <c r="DK358">
        <v>0</v>
      </c>
      <c r="DL358">
        <v>0</v>
      </c>
      <c r="DM358">
        <v>0</v>
      </c>
      <c r="DN358">
        <v>0</v>
      </c>
      <c r="DO358">
        <v>0</v>
      </c>
      <c r="DP358">
        <v>0</v>
      </c>
      <c r="DQ358">
        <v>0</v>
      </c>
      <c r="DR358">
        <v>0</v>
      </c>
      <c r="DS358">
        <v>0</v>
      </c>
      <c r="DT358">
        <v>0</v>
      </c>
      <c r="DU358">
        <v>0</v>
      </c>
    </row>
    <row r="359" spans="2:125">
      <c r="B359" s="136">
        <v>350</v>
      </c>
      <c r="C359" s="138">
        <v>1</v>
      </c>
      <c r="D359" s="474">
        <v>3447.7867632723155</v>
      </c>
      <c r="E359" s="127">
        <v>219.75856235454643</v>
      </c>
      <c r="F359" s="447">
        <v>0.41998073167396027</v>
      </c>
      <c r="G359" s="127">
        <v>111.38569826020536</v>
      </c>
      <c r="H359" s="132">
        <v>58.725033492687189</v>
      </c>
      <c r="I359" s="456"/>
      <c r="J359" s="45"/>
      <c r="K359" s="45">
        <v>470</v>
      </c>
      <c r="L359" s="463"/>
      <c r="M359" s="456">
        <v>33.221187591552734</v>
      </c>
      <c r="N359" s="457"/>
      <c r="O359" s="456"/>
      <c r="P359" s="46"/>
      <c r="Q359" s="463">
        <v>68.26617431640625</v>
      </c>
      <c r="R359" s="449"/>
      <c r="S359" s="463"/>
      <c r="T359" s="480"/>
      <c r="U359" s="468"/>
      <c r="V359" s="449"/>
      <c r="W359" s="45">
        <v>1484.2841796875</v>
      </c>
      <c r="X359" s="463">
        <v>125.01646423339844</v>
      </c>
      <c r="Y359" s="449"/>
      <c r="Z359" s="45"/>
      <c r="AA359" s="468">
        <v>0.41029346940203848</v>
      </c>
      <c r="AB359" s="456"/>
      <c r="AC359" s="46"/>
      <c r="AD359" s="46"/>
      <c r="AE359" s="46"/>
      <c r="AF359" s="46"/>
      <c r="AG359" s="46"/>
      <c r="AH359" s="46"/>
      <c r="AI359" s="457"/>
      <c r="AJ359" s="138"/>
      <c r="AK359" s="745"/>
      <c r="AL359" s="54"/>
      <c r="AM359" s="468"/>
      <c r="AN359" s="449"/>
      <c r="AO359" s="45"/>
      <c r="AP359" s="45"/>
      <c r="AQ359" s="45"/>
      <c r="AR359" s="45"/>
      <c r="AS359" s="45"/>
      <c r="AT359" s="45"/>
      <c r="AU359" s="463"/>
      <c r="AV359" s="449"/>
      <c r="AW359" s="45"/>
      <c r="AX359" s="45"/>
      <c r="AY359" s="45"/>
      <c r="AZ359" s="45"/>
      <c r="BA359" s="45"/>
      <c r="BB359" s="45"/>
      <c r="BC359" s="463"/>
      <c r="BD359" s="456"/>
      <c r="BE359" s="46"/>
      <c r="BF359" s="46"/>
      <c r="BG359" s="46"/>
      <c r="BH359" s="46"/>
      <c r="BI359" s="46"/>
      <c r="BJ359" s="457"/>
      <c r="BK359" s="449">
        <v>0</v>
      </c>
      <c r="BL359" s="45"/>
      <c r="BM359" s="45"/>
      <c r="BN359" s="45"/>
      <c r="BO359" s="45"/>
      <c r="BP359" s="45"/>
      <c r="BQ359" s="45"/>
      <c r="BR359" s="45"/>
      <c r="BS359" s="45"/>
      <c r="BT359" s="45"/>
      <c r="BU359" s="45"/>
      <c r="BV359" s="45"/>
      <c r="BW359" s="45"/>
      <c r="BX359" s="45"/>
      <c r="BY359" s="45"/>
      <c r="BZ359" s="45"/>
      <c r="CA359" s="45"/>
      <c r="CB359" s="45"/>
      <c r="CC359" s="45"/>
      <c r="CD359" s="463"/>
      <c r="CE359">
        <v>0</v>
      </c>
      <c r="CF359">
        <v>0</v>
      </c>
      <c r="CG359">
        <v>0</v>
      </c>
      <c r="CH359">
        <v>0</v>
      </c>
      <c r="CI359">
        <v>0</v>
      </c>
      <c r="CJ359">
        <v>0</v>
      </c>
      <c r="CK359">
        <v>0</v>
      </c>
      <c r="CL359">
        <v>0</v>
      </c>
      <c r="CM359">
        <v>0</v>
      </c>
      <c r="CN359">
        <v>0</v>
      </c>
      <c r="CO359">
        <v>0</v>
      </c>
      <c r="CP359">
        <v>0</v>
      </c>
      <c r="CQ359">
        <v>0</v>
      </c>
      <c r="CR359">
        <v>0</v>
      </c>
      <c r="CS359">
        <v>0</v>
      </c>
      <c r="CT359">
        <v>0</v>
      </c>
      <c r="CU359">
        <v>0</v>
      </c>
      <c r="CV359">
        <v>0</v>
      </c>
      <c r="CW359">
        <v>0</v>
      </c>
      <c r="CX359">
        <v>0</v>
      </c>
      <c r="CY359">
        <v>0</v>
      </c>
      <c r="CZ359">
        <v>0</v>
      </c>
      <c r="DA359">
        <v>0</v>
      </c>
      <c r="DB359">
        <v>0</v>
      </c>
      <c r="DC359">
        <v>0</v>
      </c>
      <c r="DD359">
        <v>0</v>
      </c>
      <c r="DE359">
        <v>0</v>
      </c>
      <c r="DF359">
        <v>0</v>
      </c>
      <c r="DG359">
        <v>0</v>
      </c>
      <c r="DH359">
        <v>0</v>
      </c>
      <c r="DI359">
        <v>0</v>
      </c>
      <c r="DJ359">
        <v>0</v>
      </c>
      <c r="DK359">
        <v>0</v>
      </c>
      <c r="DL359">
        <v>0</v>
      </c>
      <c r="DM359">
        <v>0</v>
      </c>
      <c r="DN359">
        <v>0</v>
      </c>
      <c r="DO359">
        <v>0</v>
      </c>
      <c r="DP359">
        <v>0</v>
      </c>
      <c r="DQ359">
        <v>0</v>
      </c>
      <c r="DR359">
        <v>0</v>
      </c>
      <c r="DS359">
        <v>0</v>
      </c>
      <c r="DT359">
        <v>0</v>
      </c>
      <c r="DU359">
        <v>0</v>
      </c>
    </row>
    <row r="360" spans="2:125">
      <c r="B360" s="136">
        <v>351</v>
      </c>
      <c r="C360" s="138">
        <v>1</v>
      </c>
      <c r="D360" s="474">
        <v>3549.1236437766229</v>
      </c>
      <c r="E360" s="127">
        <v>279.73165744131916</v>
      </c>
      <c r="F360" s="447">
        <v>0.43401043087938213</v>
      </c>
      <c r="G360" s="127">
        <v>109.60128191581516</v>
      </c>
      <c r="H360" s="132">
        <v>60.705565599858886</v>
      </c>
      <c r="I360" s="456"/>
      <c r="J360" s="45"/>
      <c r="K360" s="45">
        <v>480</v>
      </c>
      <c r="L360" s="463"/>
      <c r="M360" s="456">
        <v>34.596714019775391</v>
      </c>
      <c r="N360" s="457"/>
      <c r="O360" s="456"/>
      <c r="P360" s="46"/>
      <c r="Q360" s="463">
        <v>70.272651672363281</v>
      </c>
      <c r="R360" s="449"/>
      <c r="S360" s="463"/>
      <c r="T360" s="480"/>
      <c r="U360" s="468"/>
      <c r="V360" s="449"/>
      <c r="W360" s="45">
        <v>1563.6527099609375</v>
      </c>
      <c r="X360" s="463">
        <v>130.79920959472656</v>
      </c>
      <c r="Y360" s="449"/>
      <c r="Z360" s="45"/>
      <c r="AA360" s="468">
        <v>0.42452070552798565</v>
      </c>
      <c r="AB360" s="456"/>
      <c r="AC360" s="46"/>
      <c r="AD360" s="46"/>
      <c r="AE360" s="46"/>
      <c r="AF360" s="46"/>
      <c r="AG360" s="46"/>
      <c r="AH360" s="46"/>
      <c r="AI360" s="457"/>
      <c r="AJ360" s="138"/>
      <c r="AK360" s="745"/>
      <c r="AL360" s="54"/>
      <c r="AM360" s="468"/>
      <c r="AN360" s="449"/>
      <c r="AO360" s="45"/>
      <c r="AP360" s="45"/>
      <c r="AQ360" s="45"/>
      <c r="AR360" s="45"/>
      <c r="AS360" s="45"/>
      <c r="AT360" s="45"/>
      <c r="AU360" s="463"/>
      <c r="AV360" s="449"/>
      <c r="AW360" s="45"/>
      <c r="AX360" s="45"/>
      <c r="AY360" s="45"/>
      <c r="AZ360" s="45"/>
      <c r="BA360" s="45"/>
      <c r="BB360" s="45"/>
      <c r="BC360" s="463"/>
      <c r="BD360" s="456"/>
      <c r="BE360" s="46"/>
      <c r="BF360" s="46"/>
      <c r="BG360" s="46"/>
      <c r="BH360" s="46"/>
      <c r="BI360" s="46"/>
      <c r="BJ360" s="457"/>
      <c r="BK360" s="449">
        <v>0</v>
      </c>
      <c r="BL360" s="45"/>
      <c r="BM360" s="45"/>
      <c r="BN360" s="45"/>
      <c r="BO360" s="45"/>
      <c r="BP360" s="45"/>
      <c r="BQ360" s="45"/>
      <c r="BR360" s="45"/>
      <c r="BS360" s="45"/>
      <c r="BT360" s="45"/>
      <c r="BU360" s="45"/>
      <c r="BV360" s="45"/>
      <c r="BW360" s="45"/>
      <c r="BX360" s="45"/>
      <c r="BY360" s="45"/>
      <c r="BZ360" s="45"/>
      <c r="CA360" s="45"/>
      <c r="CB360" s="45"/>
      <c r="CC360" s="45"/>
      <c r="CD360" s="463"/>
      <c r="CE360">
        <v>0</v>
      </c>
      <c r="CF360">
        <v>0</v>
      </c>
      <c r="CG360">
        <v>0</v>
      </c>
      <c r="CH360">
        <v>0</v>
      </c>
      <c r="CI360">
        <v>0</v>
      </c>
      <c r="CJ360">
        <v>0</v>
      </c>
      <c r="CK360">
        <v>0</v>
      </c>
      <c r="CL360">
        <v>0</v>
      </c>
      <c r="CM360">
        <v>0</v>
      </c>
      <c r="CN360">
        <v>0</v>
      </c>
      <c r="CO360">
        <v>0</v>
      </c>
      <c r="CP360">
        <v>0</v>
      </c>
      <c r="CQ360">
        <v>0</v>
      </c>
      <c r="CR360">
        <v>0</v>
      </c>
      <c r="CS360">
        <v>0</v>
      </c>
      <c r="CT360">
        <v>0</v>
      </c>
      <c r="CU360">
        <v>0</v>
      </c>
      <c r="CV360">
        <v>0</v>
      </c>
      <c r="CW360">
        <v>0</v>
      </c>
      <c r="CX360">
        <v>0</v>
      </c>
      <c r="CY360">
        <v>0</v>
      </c>
      <c r="CZ360">
        <v>0</v>
      </c>
      <c r="DA360">
        <v>0</v>
      </c>
      <c r="DB360">
        <v>0</v>
      </c>
      <c r="DC360">
        <v>0</v>
      </c>
      <c r="DD360">
        <v>0</v>
      </c>
      <c r="DE360">
        <v>0</v>
      </c>
      <c r="DF360">
        <v>0</v>
      </c>
      <c r="DG360">
        <v>0</v>
      </c>
      <c r="DH360">
        <v>0</v>
      </c>
      <c r="DI360">
        <v>0</v>
      </c>
      <c r="DJ360">
        <v>0</v>
      </c>
      <c r="DK360">
        <v>0</v>
      </c>
      <c r="DL360">
        <v>0</v>
      </c>
      <c r="DM360">
        <v>0</v>
      </c>
      <c r="DN360">
        <v>0</v>
      </c>
      <c r="DO360">
        <v>0</v>
      </c>
      <c r="DP360">
        <v>0</v>
      </c>
      <c r="DQ360">
        <v>0</v>
      </c>
      <c r="DR360">
        <v>0</v>
      </c>
      <c r="DS360">
        <v>0</v>
      </c>
      <c r="DT360">
        <v>0</v>
      </c>
      <c r="DU360">
        <v>0</v>
      </c>
    </row>
    <row r="361" spans="2:125">
      <c r="B361" s="136">
        <v>352</v>
      </c>
      <c r="C361" s="138">
        <v>1</v>
      </c>
      <c r="D361" s="474">
        <v>3523.8634055730045</v>
      </c>
      <c r="E361" s="127">
        <v>215.13483842727462</v>
      </c>
      <c r="F361" s="447">
        <v>0.43931146258727499</v>
      </c>
      <c r="G361" s="127">
        <v>108.93558932963427</v>
      </c>
      <c r="H361" s="132">
        <v>66.38191327151921</v>
      </c>
      <c r="I361" s="456"/>
      <c r="J361" s="45"/>
      <c r="K361" s="45">
        <v>500</v>
      </c>
      <c r="L361" s="463"/>
      <c r="M361" s="456">
        <v>34.687480926513672</v>
      </c>
      <c r="N361" s="457"/>
      <c r="O361" s="456"/>
      <c r="P361" s="46"/>
      <c r="Q361" s="463">
        <v>78.270675659179688</v>
      </c>
      <c r="R361" s="449"/>
      <c r="S361" s="463"/>
      <c r="T361" s="480"/>
      <c r="U361" s="468"/>
      <c r="V361" s="449"/>
      <c r="W361" s="45">
        <v>1667.58984375</v>
      </c>
      <c r="X361" s="463">
        <v>138.47233581542969</v>
      </c>
      <c r="Y361" s="449"/>
      <c r="Z361" s="45"/>
      <c r="AA361" s="468">
        <v>0.42972362521585122</v>
      </c>
      <c r="AB361" s="456"/>
      <c r="AC361" s="46"/>
      <c r="AD361" s="46"/>
      <c r="AE361" s="46"/>
      <c r="AF361" s="46"/>
      <c r="AG361" s="46"/>
      <c r="AH361" s="46"/>
      <c r="AI361" s="457"/>
      <c r="AJ361" s="138"/>
      <c r="AK361" s="745"/>
      <c r="AL361" s="54"/>
      <c r="AM361" s="468"/>
      <c r="AN361" s="449"/>
      <c r="AO361" s="45"/>
      <c r="AP361" s="45"/>
      <c r="AQ361" s="45"/>
      <c r="AR361" s="45"/>
      <c r="AS361" s="45"/>
      <c r="AT361" s="45"/>
      <c r="AU361" s="463"/>
      <c r="AV361" s="449"/>
      <c r="AW361" s="45"/>
      <c r="AX361" s="45"/>
      <c r="AY361" s="45"/>
      <c r="AZ361" s="45"/>
      <c r="BA361" s="45"/>
      <c r="BB361" s="45"/>
      <c r="BC361" s="463"/>
      <c r="BD361" s="456"/>
      <c r="BE361" s="46"/>
      <c r="BF361" s="46"/>
      <c r="BG361" s="46"/>
      <c r="BH361" s="46"/>
      <c r="BI361" s="46"/>
      <c r="BJ361" s="457"/>
      <c r="BK361" s="449">
        <v>0</v>
      </c>
      <c r="BL361" s="45"/>
      <c r="BM361" s="45"/>
      <c r="BN361" s="45"/>
      <c r="BO361" s="45"/>
      <c r="BP361" s="45"/>
      <c r="BQ361" s="45"/>
      <c r="BR361" s="45"/>
      <c r="BS361" s="45"/>
      <c r="BT361" s="45"/>
      <c r="BU361" s="45"/>
      <c r="BV361" s="45"/>
      <c r="BW361" s="45"/>
      <c r="BX361" s="45"/>
      <c r="BY361" s="45"/>
      <c r="BZ361" s="45"/>
      <c r="CA361" s="45"/>
      <c r="CB361" s="45"/>
      <c r="CC361" s="45"/>
      <c r="CD361" s="463"/>
      <c r="CE361">
        <v>0</v>
      </c>
      <c r="CF361">
        <v>0</v>
      </c>
      <c r="CG361">
        <v>0</v>
      </c>
      <c r="CH361">
        <v>0</v>
      </c>
      <c r="CI361">
        <v>0</v>
      </c>
      <c r="CJ361">
        <v>0</v>
      </c>
      <c r="CK361">
        <v>0</v>
      </c>
      <c r="CL361">
        <v>0</v>
      </c>
      <c r="CM361">
        <v>0</v>
      </c>
      <c r="CN361">
        <v>0</v>
      </c>
      <c r="CO361">
        <v>0</v>
      </c>
      <c r="CP361">
        <v>0</v>
      </c>
      <c r="CQ361">
        <v>0</v>
      </c>
      <c r="CR361">
        <v>0</v>
      </c>
      <c r="CS361">
        <v>0</v>
      </c>
      <c r="CT361">
        <v>0</v>
      </c>
      <c r="CU361">
        <v>0</v>
      </c>
      <c r="CV361">
        <v>0</v>
      </c>
      <c r="CW361">
        <v>0</v>
      </c>
      <c r="CX361">
        <v>0</v>
      </c>
      <c r="CY361">
        <v>0</v>
      </c>
      <c r="CZ361">
        <v>0</v>
      </c>
      <c r="DA361">
        <v>0</v>
      </c>
      <c r="DB361">
        <v>0</v>
      </c>
      <c r="DC361">
        <v>0</v>
      </c>
      <c r="DD361">
        <v>0</v>
      </c>
      <c r="DE361">
        <v>0</v>
      </c>
      <c r="DF361">
        <v>0</v>
      </c>
      <c r="DG361">
        <v>0</v>
      </c>
      <c r="DH361">
        <v>0</v>
      </c>
      <c r="DI361">
        <v>0</v>
      </c>
      <c r="DJ361">
        <v>0</v>
      </c>
      <c r="DK361">
        <v>0</v>
      </c>
      <c r="DL361">
        <v>0</v>
      </c>
      <c r="DM361">
        <v>0</v>
      </c>
      <c r="DN361">
        <v>0</v>
      </c>
      <c r="DO361">
        <v>0</v>
      </c>
      <c r="DP361">
        <v>0</v>
      </c>
      <c r="DQ361">
        <v>0</v>
      </c>
      <c r="DR361">
        <v>0</v>
      </c>
      <c r="DS361">
        <v>0</v>
      </c>
      <c r="DT361">
        <v>0</v>
      </c>
      <c r="DU361">
        <v>0</v>
      </c>
    </row>
    <row r="362" spans="2:125">
      <c r="B362" s="136">
        <v>353</v>
      </c>
      <c r="C362" s="138">
        <v>1</v>
      </c>
      <c r="D362" s="474">
        <v>2694.3833703552446</v>
      </c>
      <c r="E362" s="127">
        <v>177.73810962136858</v>
      </c>
      <c r="F362" s="447">
        <v>0.44589386224074884</v>
      </c>
      <c r="G362" s="127">
        <v>86.006213805161082</v>
      </c>
      <c r="H362" s="132">
        <v>51.780853616603423</v>
      </c>
      <c r="I362" s="456"/>
      <c r="J362" s="45"/>
      <c r="K362" s="45">
        <v>370</v>
      </c>
      <c r="L362" s="463"/>
      <c r="M362" s="456">
        <v>35.17950439453125</v>
      </c>
      <c r="N362" s="457"/>
      <c r="O362" s="456"/>
      <c r="P362" s="46"/>
      <c r="Q362" s="463">
        <v>53.348789215087891</v>
      </c>
      <c r="R362" s="449"/>
      <c r="S362" s="463"/>
      <c r="T362" s="480"/>
      <c r="U362" s="468"/>
      <c r="V362" s="449"/>
      <c r="W362" s="45">
        <v>1323.8555908203125</v>
      </c>
      <c r="X362" s="463">
        <v>112.92644500732422</v>
      </c>
      <c r="Y362" s="449"/>
      <c r="Z362" s="45"/>
      <c r="AA362" s="468">
        <v>0.43330549875172425</v>
      </c>
      <c r="AB362" s="456"/>
      <c r="AC362" s="46"/>
      <c r="AD362" s="46"/>
      <c r="AE362" s="46"/>
      <c r="AF362" s="46"/>
      <c r="AG362" s="46"/>
      <c r="AH362" s="46"/>
      <c r="AI362" s="457"/>
      <c r="AJ362" s="138"/>
      <c r="AK362" s="745"/>
      <c r="AL362" s="54"/>
      <c r="AM362" s="468"/>
      <c r="AN362" s="449"/>
      <c r="AO362" s="45"/>
      <c r="AP362" s="45"/>
      <c r="AQ362" s="45"/>
      <c r="AR362" s="45"/>
      <c r="AS362" s="45"/>
      <c r="AT362" s="45"/>
      <c r="AU362" s="463"/>
      <c r="AV362" s="449"/>
      <c r="AW362" s="45"/>
      <c r="AX362" s="45"/>
      <c r="AY362" s="45"/>
      <c r="AZ362" s="45"/>
      <c r="BA362" s="45"/>
      <c r="BB362" s="45"/>
      <c r="BC362" s="463"/>
      <c r="BD362" s="456"/>
      <c r="BE362" s="46"/>
      <c r="BF362" s="46"/>
      <c r="BG362" s="46"/>
      <c r="BH362" s="46"/>
      <c r="BI362" s="46"/>
      <c r="BJ362" s="457"/>
      <c r="BK362" s="449">
        <v>0</v>
      </c>
      <c r="BL362" s="45"/>
      <c r="BM362" s="45"/>
      <c r="BN362" s="45"/>
      <c r="BO362" s="45"/>
      <c r="BP362" s="45"/>
      <c r="BQ362" s="45"/>
      <c r="BR362" s="45"/>
      <c r="BS362" s="45"/>
      <c r="BT362" s="45"/>
      <c r="BU362" s="45"/>
      <c r="BV362" s="45"/>
      <c r="BW362" s="45"/>
      <c r="BX362" s="45"/>
      <c r="BY362" s="45"/>
      <c r="BZ362" s="45"/>
      <c r="CA362" s="45"/>
      <c r="CB362" s="45"/>
      <c r="CC362" s="45"/>
      <c r="CD362" s="463"/>
      <c r="CE362">
        <v>0</v>
      </c>
      <c r="CF362">
        <v>0</v>
      </c>
      <c r="CG362">
        <v>0</v>
      </c>
      <c r="CH362">
        <v>0</v>
      </c>
      <c r="CI362">
        <v>0</v>
      </c>
      <c r="CJ362">
        <v>0</v>
      </c>
      <c r="CK362">
        <v>0</v>
      </c>
      <c r="CL362">
        <v>0</v>
      </c>
      <c r="CM362">
        <v>0</v>
      </c>
      <c r="CN362">
        <v>0</v>
      </c>
      <c r="CO362">
        <v>0</v>
      </c>
      <c r="CP362">
        <v>0</v>
      </c>
      <c r="CQ362">
        <v>0</v>
      </c>
      <c r="CR362">
        <v>0</v>
      </c>
      <c r="CS362">
        <v>0</v>
      </c>
      <c r="CT362">
        <v>0</v>
      </c>
      <c r="CU362">
        <v>0</v>
      </c>
      <c r="CV362">
        <v>0</v>
      </c>
      <c r="CW362">
        <v>0</v>
      </c>
      <c r="CX362">
        <v>0</v>
      </c>
      <c r="CY362">
        <v>0</v>
      </c>
      <c r="CZ362">
        <v>0</v>
      </c>
      <c r="DA362">
        <v>0</v>
      </c>
      <c r="DB362">
        <v>0</v>
      </c>
      <c r="DC362">
        <v>0</v>
      </c>
      <c r="DD362">
        <v>0</v>
      </c>
      <c r="DE362">
        <v>0</v>
      </c>
      <c r="DF362">
        <v>0</v>
      </c>
      <c r="DG362">
        <v>0</v>
      </c>
      <c r="DH362">
        <v>0</v>
      </c>
      <c r="DI362">
        <v>0</v>
      </c>
      <c r="DJ362">
        <v>0</v>
      </c>
      <c r="DK362">
        <v>0</v>
      </c>
      <c r="DL362">
        <v>0</v>
      </c>
      <c r="DM362">
        <v>0</v>
      </c>
      <c r="DN362">
        <v>0</v>
      </c>
      <c r="DO362">
        <v>0</v>
      </c>
      <c r="DP362">
        <v>0</v>
      </c>
      <c r="DQ362">
        <v>0</v>
      </c>
      <c r="DR362">
        <v>0</v>
      </c>
      <c r="DS362">
        <v>0</v>
      </c>
      <c r="DT362">
        <v>0</v>
      </c>
      <c r="DU362">
        <v>0</v>
      </c>
    </row>
    <row r="363" spans="2:125">
      <c r="B363" s="136">
        <v>354</v>
      </c>
      <c r="C363" s="138">
        <v>1</v>
      </c>
      <c r="D363" s="474">
        <v>3748.486979328306</v>
      </c>
      <c r="E363" s="127">
        <v>274.09917975969893</v>
      </c>
      <c r="F363" s="447">
        <v>0.40587088745009781</v>
      </c>
      <c r="G363" s="127">
        <v>117.0459715353328</v>
      </c>
      <c r="H363" s="132">
        <v>62.040185162516913</v>
      </c>
      <c r="I363" s="456"/>
      <c r="J363" s="45"/>
      <c r="K363" s="45">
        <v>510</v>
      </c>
      <c r="L363" s="463"/>
      <c r="M363" s="456">
        <v>31.629514694213867</v>
      </c>
      <c r="N363" s="457"/>
      <c r="O363" s="456"/>
      <c r="P363" s="46"/>
      <c r="Q363" s="463">
        <v>74.220046997070313</v>
      </c>
      <c r="R363" s="449"/>
      <c r="S363" s="463"/>
      <c r="T363" s="480"/>
      <c r="U363" s="468"/>
      <c r="V363" s="449"/>
      <c r="W363" s="45">
        <v>1496.3226318359375</v>
      </c>
      <c r="X363" s="463">
        <v>126.02481842041016</v>
      </c>
      <c r="Y363" s="449"/>
      <c r="Z363" s="45"/>
      <c r="AA363" s="468">
        <v>0.39703601142368133</v>
      </c>
      <c r="AB363" s="456"/>
      <c r="AC363" s="46"/>
      <c r="AD363" s="46"/>
      <c r="AE363" s="46"/>
      <c r="AF363" s="46"/>
      <c r="AG363" s="46"/>
      <c r="AH363" s="46"/>
      <c r="AI363" s="457"/>
      <c r="AJ363" s="138"/>
      <c r="AK363" s="745"/>
      <c r="AL363" s="54"/>
      <c r="AM363" s="468"/>
      <c r="AN363" s="449"/>
      <c r="AO363" s="45"/>
      <c r="AP363" s="45"/>
      <c r="AQ363" s="45"/>
      <c r="AR363" s="45"/>
      <c r="AS363" s="45"/>
      <c r="AT363" s="45"/>
      <c r="AU363" s="463"/>
      <c r="AV363" s="449"/>
      <c r="AW363" s="45"/>
      <c r="AX363" s="45"/>
      <c r="AY363" s="45"/>
      <c r="AZ363" s="45"/>
      <c r="BA363" s="45"/>
      <c r="BB363" s="45"/>
      <c r="BC363" s="463"/>
      <c r="BD363" s="456"/>
      <c r="BE363" s="46"/>
      <c r="BF363" s="46"/>
      <c r="BG363" s="46"/>
      <c r="BH363" s="46"/>
      <c r="BI363" s="46"/>
      <c r="BJ363" s="457"/>
      <c r="BK363" s="449">
        <v>0</v>
      </c>
      <c r="BL363" s="45"/>
      <c r="BM363" s="45"/>
      <c r="BN363" s="45"/>
      <c r="BO363" s="45"/>
      <c r="BP363" s="45"/>
      <c r="BQ363" s="45"/>
      <c r="BR363" s="45"/>
      <c r="BS363" s="45"/>
      <c r="BT363" s="45"/>
      <c r="BU363" s="45"/>
      <c r="BV363" s="45"/>
      <c r="BW363" s="45"/>
      <c r="BX363" s="45"/>
      <c r="BY363" s="45"/>
      <c r="BZ363" s="45"/>
      <c r="CA363" s="45"/>
      <c r="CB363" s="45"/>
      <c r="CC363" s="45"/>
      <c r="CD363" s="463"/>
      <c r="CE363">
        <v>0</v>
      </c>
      <c r="CF363">
        <v>0</v>
      </c>
      <c r="CG363">
        <v>0</v>
      </c>
      <c r="CH363">
        <v>0</v>
      </c>
      <c r="CI363">
        <v>0</v>
      </c>
      <c r="CJ363">
        <v>0</v>
      </c>
      <c r="CK363">
        <v>0</v>
      </c>
      <c r="CL363">
        <v>0</v>
      </c>
      <c r="CM363">
        <v>0</v>
      </c>
      <c r="CN363">
        <v>0</v>
      </c>
      <c r="CO363">
        <v>0</v>
      </c>
      <c r="CP363">
        <v>0</v>
      </c>
      <c r="CQ363">
        <v>0</v>
      </c>
      <c r="CR363">
        <v>0</v>
      </c>
      <c r="CS363">
        <v>0</v>
      </c>
      <c r="CT363">
        <v>0</v>
      </c>
      <c r="CU363">
        <v>0</v>
      </c>
      <c r="CV363">
        <v>0</v>
      </c>
      <c r="CW363">
        <v>0</v>
      </c>
      <c r="CX363">
        <v>0</v>
      </c>
      <c r="CY363">
        <v>0</v>
      </c>
      <c r="CZ363">
        <v>0</v>
      </c>
      <c r="DA363">
        <v>0</v>
      </c>
      <c r="DB363">
        <v>0</v>
      </c>
      <c r="DC363">
        <v>0</v>
      </c>
      <c r="DD363">
        <v>0</v>
      </c>
      <c r="DE363">
        <v>0</v>
      </c>
      <c r="DF363">
        <v>0</v>
      </c>
      <c r="DG363">
        <v>0</v>
      </c>
      <c r="DH363">
        <v>0</v>
      </c>
      <c r="DI363">
        <v>0</v>
      </c>
      <c r="DJ363">
        <v>0</v>
      </c>
      <c r="DK363">
        <v>0</v>
      </c>
      <c r="DL363">
        <v>0</v>
      </c>
      <c r="DM363">
        <v>0</v>
      </c>
      <c r="DN363">
        <v>0</v>
      </c>
      <c r="DO363">
        <v>0</v>
      </c>
      <c r="DP363">
        <v>0</v>
      </c>
      <c r="DQ363">
        <v>0</v>
      </c>
      <c r="DR363">
        <v>0</v>
      </c>
      <c r="DS363">
        <v>0</v>
      </c>
      <c r="DT363">
        <v>0</v>
      </c>
      <c r="DU363">
        <v>0</v>
      </c>
    </row>
    <row r="364" spans="2:125">
      <c r="B364" s="136">
        <v>355</v>
      </c>
      <c r="C364" s="138">
        <v>1</v>
      </c>
      <c r="D364" s="474">
        <v>3108.7690009543276</v>
      </c>
      <c r="E364" s="127">
        <v>218.00770726301465</v>
      </c>
      <c r="F364" s="447">
        <v>0.4629608597774641</v>
      </c>
      <c r="G364" s="127">
        <v>109.32606707427932</v>
      </c>
      <c r="H364" s="132">
        <v>53.266307920844376</v>
      </c>
      <c r="I364" s="456"/>
      <c r="J364" s="45"/>
      <c r="K364" s="45">
        <v>450</v>
      </c>
      <c r="L364" s="463"/>
      <c r="M364" s="456">
        <v>40.934257507324219</v>
      </c>
      <c r="N364" s="457"/>
      <c r="O364" s="456"/>
      <c r="P364" s="46"/>
      <c r="Q364" s="463">
        <v>61.553627014160156</v>
      </c>
      <c r="R364" s="449"/>
      <c r="S364" s="463"/>
      <c r="T364" s="480"/>
      <c r="U364" s="468"/>
      <c r="V364" s="449"/>
      <c r="W364" s="45">
        <v>1686.7735595703125</v>
      </c>
      <c r="X364" s="463">
        <v>139.65638732910156</v>
      </c>
      <c r="Y364" s="449"/>
      <c r="Z364" s="45"/>
      <c r="AA364" s="468">
        <v>0.45194067230614265</v>
      </c>
      <c r="AB364" s="456"/>
      <c r="AC364" s="46"/>
      <c r="AD364" s="46"/>
      <c r="AE364" s="46"/>
      <c r="AF364" s="46"/>
      <c r="AG364" s="46"/>
      <c r="AH364" s="46"/>
      <c r="AI364" s="457"/>
      <c r="AJ364" s="138"/>
      <c r="AK364" s="745"/>
      <c r="AL364" s="54"/>
      <c r="AM364" s="468"/>
      <c r="AN364" s="449"/>
      <c r="AO364" s="45"/>
      <c r="AP364" s="45"/>
      <c r="AQ364" s="45"/>
      <c r="AR364" s="45"/>
      <c r="AS364" s="45"/>
      <c r="AT364" s="45"/>
      <c r="AU364" s="463"/>
      <c r="AV364" s="449"/>
      <c r="AW364" s="45"/>
      <c r="AX364" s="45"/>
      <c r="AY364" s="45"/>
      <c r="AZ364" s="45"/>
      <c r="BA364" s="45"/>
      <c r="BB364" s="45"/>
      <c r="BC364" s="463"/>
      <c r="BD364" s="456"/>
      <c r="BE364" s="46"/>
      <c r="BF364" s="46"/>
      <c r="BG364" s="46"/>
      <c r="BH364" s="46"/>
      <c r="BI364" s="46"/>
      <c r="BJ364" s="457"/>
      <c r="BK364" s="449">
        <v>0</v>
      </c>
      <c r="BL364" s="45"/>
      <c r="BM364" s="45"/>
      <c r="BN364" s="45"/>
      <c r="BO364" s="45"/>
      <c r="BP364" s="45"/>
      <c r="BQ364" s="45"/>
      <c r="BR364" s="45"/>
      <c r="BS364" s="45"/>
      <c r="BT364" s="45"/>
      <c r="BU364" s="45"/>
      <c r="BV364" s="45"/>
      <c r="BW364" s="45"/>
      <c r="BX364" s="45"/>
      <c r="BY364" s="45"/>
      <c r="BZ364" s="45"/>
      <c r="CA364" s="45"/>
      <c r="CB364" s="45"/>
      <c r="CC364" s="45"/>
      <c r="CD364" s="463"/>
      <c r="CE364">
        <v>0</v>
      </c>
      <c r="CF364">
        <v>0</v>
      </c>
      <c r="CG364">
        <v>0</v>
      </c>
      <c r="CH364">
        <v>0</v>
      </c>
      <c r="CI364">
        <v>0</v>
      </c>
      <c r="CJ364">
        <v>0</v>
      </c>
      <c r="CK364">
        <v>0</v>
      </c>
      <c r="CL364">
        <v>0</v>
      </c>
      <c r="CM364">
        <v>0</v>
      </c>
      <c r="CN364">
        <v>0</v>
      </c>
      <c r="CO364">
        <v>0</v>
      </c>
      <c r="CP364">
        <v>0</v>
      </c>
      <c r="CQ364">
        <v>0</v>
      </c>
      <c r="CR364">
        <v>0</v>
      </c>
      <c r="CS364">
        <v>0</v>
      </c>
      <c r="CT364">
        <v>0</v>
      </c>
      <c r="CU364">
        <v>0</v>
      </c>
      <c r="CV364">
        <v>0</v>
      </c>
      <c r="CW364">
        <v>0</v>
      </c>
      <c r="CX364">
        <v>0</v>
      </c>
      <c r="CY364">
        <v>0</v>
      </c>
      <c r="CZ364">
        <v>0</v>
      </c>
      <c r="DA364">
        <v>0</v>
      </c>
      <c r="DB364">
        <v>0</v>
      </c>
      <c r="DC364">
        <v>0</v>
      </c>
      <c r="DD364">
        <v>0</v>
      </c>
      <c r="DE364">
        <v>0</v>
      </c>
      <c r="DF364">
        <v>0</v>
      </c>
      <c r="DG364">
        <v>0</v>
      </c>
      <c r="DH364">
        <v>0</v>
      </c>
      <c r="DI364">
        <v>0</v>
      </c>
      <c r="DJ364">
        <v>0</v>
      </c>
      <c r="DK364">
        <v>0</v>
      </c>
      <c r="DL364">
        <v>0</v>
      </c>
      <c r="DM364">
        <v>0</v>
      </c>
      <c r="DN364">
        <v>0</v>
      </c>
      <c r="DO364">
        <v>0</v>
      </c>
      <c r="DP364">
        <v>0</v>
      </c>
      <c r="DQ364">
        <v>0</v>
      </c>
      <c r="DR364">
        <v>0</v>
      </c>
      <c r="DS364">
        <v>0</v>
      </c>
      <c r="DT364">
        <v>0</v>
      </c>
      <c r="DU364">
        <v>0</v>
      </c>
    </row>
    <row r="365" spans="2:125">
      <c r="B365" s="136">
        <v>356</v>
      </c>
      <c r="C365" s="138">
        <v>1</v>
      </c>
      <c r="D365" s="474">
        <v>3231.5041836266573</v>
      </c>
      <c r="E365" s="127">
        <v>289.43675343008374</v>
      </c>
      <c r="F365" s="447">
        <v>0.46306661680538186</v>
      </c>
      <c r="G365" s="127">
        <v>121.13573840640302</v>
      </c>
      <c r="H365" s="132">
        <v>52.277119878175121</v>
      </c>
      <c r="I365" s="456"/>
      <c r="J365" s="45"/>
      <c r="K365" s="45">
        <v>490</v>
      </c>
      <c r="L365" s="463"/>
      <c r="M365" s="456">
        <v>42.917812347412109</v>
      </c>
      <c r="N365" s="457"/>
      <c r="O365" s="456"/>
      <c r="P365" s="46"/>
      <c r="Q365" s="463">
        <v>63.983783721923828</v>
      </c>
      <c r="R365" s="449"/>
      <c r="S365" s="463"/>
      <c r="T365" s="480"/>
      <c r="U365" s="468"/>
      <c r="V365" s="449"/>
      <c r="W365" s="45">
        <v>1813.3399658203125</v>
      </c>
      <c r="X365" s="463">
        <v>149.01048278808594</v>
      </c>
      <c r="Y365" s="449"/>
      <c r="Z365" s="45"/>
      <c r="AA365" s="468">
        <v>0.45246433056676194</v>
      </c>
      <c r="AB365" s="456"/>
      <c r="AC365" s="46"/>
      <c r="AD365" s="46"/>
      <c r="AE365" s="46"/>
      <c r="AF365" s="46"/>
      <c r="AG365" s="46"/>
      <c r="AH365" s="46"/>
      <c r="AI365" s="457"/>
      <c r="AJ365" s="138"/>
      <c r="AK365" s="745"/>
      <c r="AL365" s="54"/>
      <c r="AM365" s="468"/>
      <c r="AN365" s="449"/>
      <c r="AO365" s="45"/>
      <c r="AP365" s="45"/>
      <c r="AQ365" s="45"/>
      <c r="AR365" s="45"/>
      <c r="AS365" s="45"/>
      <c r="AT365" s="45"/>
      <c r="AU365" s="463"/>
      <c r="AV365" s="449"/>
      <c r="AW365" s="45"/>
      <c r="AX365" s="45"/>
      <c r="AY365" s="45"/>
      <c r="AZ365" s="45"/>
      <c r="BA365" s="45"/>
      <c r="BB365" s="45"/>
      <c r="BC365" s="463"/>
      <c r="BD365" s="456"/>
      <c r="BE365" s="46"/>
      <c r="BF365" s="46"/>
      <c r="BG365" s="46"/>
      <c r="BH365" s="46"/>
      <c r="BI365" s="46"/>
      <c r="BJ365" s="457"/>
      <c r="BK365" s="449">
        <v>0</v>
      </c>
      <c r="BL365" s="45"/>
      <c r="BM365" s="45"/>
      <c r="BN365" s="45"/>
      <c r="BO365" s="45"/>
      <c r="BP365" s="45"/>
      <c r="BQ365" s="45"/>
      <c r="BR365" s="45"/>
      <c r="BS365" s="45"/>
      <c r="BT365" s="45"/>
      <c r="BU365" s="45"/>
      <c r="BV365" s="45"/>
      <c r="BW365" s="45"/>
      <c r="BX365" s="45"/>
      <c r="BY365" s="45"/>
      <c r="BZ365" s="45"/>
      <c r="CA365" s="45"/>
      <c r="CB365" s="45"/>
      <c r="CC365" s="45"/>
      <c r="CD365" s="463"/>
      <c r="CE365">
        <v>0</v>
      </c>
      <c r="CF365">
        <v>0</v>
      </c>
      <c r="CG365">
        <v>0</v>
      </c>
      <c r="CH365">
        <v>0</v>
      </c>
      <c r="CI365">
        <v>0</v>
      </c>
      <c r="CJ365">
        <v>0</v>
      </c>
      <c r="CK365">
        <v>0</v>
      </c>
      <c r="CL365">
        <v>0</v>
      </c>
      <c r="CM365">
        <v>0</v>
      </c>
      <c r="CN365">
        <v>0</v>
      </c>
      <c r="CO365">
        <v>0</v>
      </c>
      <c r="CP365">
        <v>0</v>
      </c>
      <c r="CQ365">
        <v>0</v>
      </c>
      <c r="CR365">
        <v>0</v>
      </c>
      <c r="CS365">
        <v>0</v>
      </c>
      <c r="CT365">
        <v>0</v>
      </c>
      <c r="CU365">
        <v>0</v>
      </c>
      <c r="CV365">
        <v>0</v>
      </c>
      <c r="CW365">
        <v>0</v>
      </c>
      <c r="CX365">
        <v>0</v>
      </c>
      <c r="CY365">
        <v>0</v>
      </c>
      <c r="CZ365">
        <v>0</v>
      </c>
      <c r="DA365">
        <v>0</v>
      </c>
      <c r="DB365">
        <v>0</v>
      </c>
      <c r="DC365">
        <v>0</v>
      </c>
      <c r="DD365">
        <v>0</v>
      </c>
      <c r="DE365">
        <v>0</v>
      </c>
      <c r="DF365">
        <v>0</v>
      </c>
      <c r="DG365">
        <v>0</v>
      </c>
      <c r="DH365">
        <v>0</v>
      </c>
      <c r="DI365">
        <v>0</v>
      </c>
      <c r="DJ365">
        <v>0</v>
      </c>
      <c r="DK365">
        <v>0</v>
      </c>
      <c r="DL365">
        <v>0</v>
      </c>
      <c r="DM365">
        <v>0</v>
      </c>
      <c r="DN365">
        <v>0</v>
      </c>
      <c r="DO365">
        <v>0</v>
      </c>
      <c r="DP365">
        <v>0</v>
      </c>
      <c r="DQ365">
        <v>0</v>
      </c>
      <c r="DR365">
        <v>0</v>
      </c>
      <c r="DS365">
        <v>0</v>
      </c>
      <c r="DT365">
        <v>0</v>
      </c>
      <c r="DU365">
        <v>0</v>
      </c>
    </row>
    <row r="366" spans="2:125">
      <c r="B366" s="136">
        <v>357</v>
      </c>
      <c r="C366" s="138">
        <v>1</v>
      </c>
      <c r="D366" s="474">
        <v>4390.6639550992923</v>
      </c>
      <c r="E366" s="127">
        <v>275.0119822506482</v>
      </c>
      <c r="F366" s="447">
        <v>0.41608236102768842</v>
      </c>
      <c r="G366" s="127">
        <v>177.6866206331722</v>
      </c>
      <c r="H366" s="132">
        <v>58.318422637110203</v>
      </c>
      <c r="I366" s="456"/>
      <c r="J366" s="45"/>
      <c r="K366" s="45">
        <v>680</v>
      </c>
      <c r="L366" s="463"/>
      <c r="M366" s="456">
        <v>39.000408172607422</v>
      </c>
      <c r="N366" s="457"/>
      <c r="O366" s="456"/>
      <c r="P366" s="46"/>
      <c r="Q366" s="463">
        <v>86.935150146484375</v>
      </c>
      <c r="R366" s="449"/>
      <c r="S366" s="463"/>
      <c r="T366" s="480"/>
      <c r="U366" s="468"/>
      <c r="V366" s="449"/>
      <c r="W366" s="45">
        <v>2035.0745849609375</v>
      </c>
      <c r="X366" s="463">
        <v>165.9322509765625</v>
      </c>
      <c r="Y366" s="449"/>
      <c r="Z366" s="45"/>
      <c r="AA366" s="468">
        <v>0.40849315639683659</v>
      </c>
      <c r="AB366" s="456"/>
      <c r="AC366" s="46"/>
      <c r="AD366" s="46"/>
      <c r="AE366" s="46"/>
      <c r="AF366" s="46"/>
      <c r="AG366" s="46"/>
      <c r="AH366" s="46"/>
      <c r="AI366" s="457"/>
      <c r="AJ366" s="138"/>
      <c r="AK366" s="745"/>
      <c r="AL366" s="54"/>
      <c r="AM366" s="468"/>
      <c r="AN366" s="449"/>
      <c r="AO366" s="45"/>
      <c r="AP366" s="45"/>
      <c r="AQ366" s="45"/>
      <c r="AR366" s="45"/>
      <c r="AS366" s="45"/>
      <c r="AT366" s="45"/>
      <c r="AU366" s="463"/>
      <c r="AV366" s="449"/>
      <c r="AW366" s="45"/>
      <c r="AX366" s="45"/>
      <c r="AY366" s="45"/>
      <c r="AZ366" s="45"/>
      <c r="BA366" s="45"/>
      <c r="BB366" s="45"/>
      <c r="BC366" s="463"/>
      <c r="BD366" s="456"/>
      <c r="BE366" s="46"/>
      <c r="BF366" s="46"/>
      <c r="BG366" s="46"/>
      <c r="BH366" s="46"/>
      <c r="BI366" s="46"/>
      <c r="BJ366" s="457"/>
      <c r="BK366" s="449">
        <v>0</v>
      </c>
      <c r="BL366" s="45"/>
      <c r="BM366" s="45"/>
      <c r="BN366" s="45"/>
      <c r="BO366" s="45"/>
      <c r="BP366" s="45"/>
      <c r="BQ366" s="45"/>
      <c r="BR366" s="45"/>
      <c r="BS366" s="45"/>
      <c r="BT366" s="45"/>
      <c r="BU366" s="45"/>
      <c r="BV366" s="45"/>
      <c r="BW366" s="45"/>
      <c r="BX366" s="45"/>
      <c r="BY366" s="45"/>
      <c r="BZ366" s="45"/>
      <c r="CA366" s="45"/>
      <c r="CB366" s="45"/>
      <c r="CC366" s="45"/>
      <c r="CD366" s="463"/>
      <c r="CE366">
        <v>0</v>
      </c>
      <c r="CF366">
        <v>0</v>
      </c>
      <c r="CG366">
        <v>0</v>
      </c>
      <c r="CH366">
        <v>0</v>
      </c>
      <c r="CI366">
        <v>0</v>
      </c>
      <c r="CJ366">
        <v>0</v>
      </c>
      <c r="CK366">
        <v>0</v>
      </c>
      <c r="CL366">
        <v>0</v>
      </c>
      <c r="CM366">
        <v>0</v>
      </c>
      <c r="CN366">
        <v>0</v>
      </c>
      <c r="CO366">
        <v>0</v>
      </c>
      <c r="CP366">
        <v>0</v>
      </c>
      <c r="CQ366">
        <v>0</v>
      </c>
      <c r="CR366">
        <v>0</v>
      </c>
      <c r="CS366">
        <v>0</v>
      </c>
      <c r="CT366">
        <v>0</v>
      </c>
      <c r="CU366">
        <v>0</v>
      </c>
      <c r="CV366">
        <v>0</v>
      </c>
      <c r="CW366">
        <v>0</v>
      </c>
      <c r="CX366">
        <v>0</v>
      </c>
      <c r="CY366">
        <v>0</v>
      </c>
      <c r="CZ366">
        <v>0</v>
      </c>
      <c r="DA366">
        <v>0</v>
      </c>
      <c r="DB366">
        <v>0</v>
      </c>
      <c r="DC366">
        <v>0</v>
      </c>
      <c r="DD366">
        <v>0</v>
      </c>
      <c r="DE366">
        <v>0</v>
      </c>
      <c r="DF366">
        <v>0</v>
      </c>
      <c r="DG366">
        <v>0</v>
      </c>
      <c r="DH366">
        <v>0</v>
      </c>
      <c r="DI366">
        <v>0</v>
      </c>
      <c r="DJ366">
        <v>0</v>
      </c>
      <c r="DK366">
        <v>0</v>
      </c>
      <c r="DL366">
        <v>0</v>
      </c>
      <c r="DM366">
        <v>0</v>
      </c>
      <c r="DN366">
        <v>0</v>
      </c>
      <c r="DO366">
        <v>0</v>
      </c>
      <c r="DP366">
        <v>0</v>
      </c>
      <c r="DQ366">
        <v>0</v>
      </c>
      <c r="DR366">
        <v>0</v>
      </c>
      <c r="DS366">
        <v>0</v>
      </c>
      <c r="DT366">
        <v>0</v>
      </c>
      <c r="DU366">
        <v>0</v>
      </c>
    </row>
    <row r="367" spans="2:125">
      <c r="B367" s="136">
        <v>358</v>
      </c>
      <c r="C367" s="138">
        <v>1</v>
      </c>
      <c r="D367" s="474">
        <v>3996.8953909260081</v>
      </c>
      <c r="E367" s="127">
        <v>226.13238822182666</v>
      </c>
      <c r="F367" s="447">
        <v>0.36011172579160217</v>
      </c>
      <c r="G367" s="127">
        <v>152.82520160107592</v>
      </c>
      <c r="H367" s="132">
        <v>57.812061613908917</v>
      </c>
      <c r="I367" s="456"/>
      <c r="J367" s="45"/>
      <c r="K367" s="45">
        <v>590</v>
      </c>
      <c r="L367" s="463"/>
      <c r="M367" s="456">
        <v>29.739231109619141</v>
      </c>
      <c r="N367" s="457"/>
      <c r="O367" s="456"/>
      <c r="P367" s="46"/>
      <c r="Q367" s="463">
        <v>79.138526916503906</v>
      </c>
      <c r="R367" s="449"/>
      <c r="S367" s="463"/>
      <c r="T367" s="480"/>
      <c r="U367" s="468"/>
      <c r="V367" s="449"/>
      <c r="W367" s="45">
        <v>1501.12451171875</v>
      </c>
      <c r="X367" s="463">
        <v>126.73221588134766</v>
      </c>
      <c r="Y367" s="449"/>
      <c r="Z367" s="45"/>
      <c r="AA367" s="468">
        <v>0.35205491384977861</v>
      </c>
      <c r="AB367" s="456"/>
      <c r="AC367" s="46"/>
      <c r="AD367" s="46"/>
      <c r="AE367" s="46"/>
      <c r="AF367" s="46"/>
      <c r="AG367" s="46"/>
      <c r="AH367" s="46"/>
      <c r="AI367" s="457"/>
      <c r="AJ367" s="138"/>
      <c r="AK367" s="745"/>
      <c r="AL367" s="54"/>
      <c r="AM367" s="468"/>
      <c r="AN367" s="449"/>
      <c r="AO367" s="45"/>
      <c r="AP367" s="45"/>
      <c r="AQ367" s="45"/>
      <c r="AR367" s="45"/>
      <c r="AS367" s="45"/>
      <c r="AT367" s="45"/>
      <c r="AU367" s="463"/>
      <c r="AV367" s="449"/>
      <c r="AW367" s="45"/>
      <c r="AX367" s="45"/>
      <c r="AY367" s="45"/>
      <c r="AZ367" s="45"/>
      <c r="BA367" s="45"/>
      <c r="BB367" s="45"/>
      <c r="BC367" s="463"/>
      <c r="BD367" s="456"/>
      <c r="BE367" s="46"/>
      <c r="BF367" s="46"/>
      <c r="BG367" s="46"/>
      <c r="BH367" s="46"/>
      <c r="BI367" s="46"/>
      <c r="BJ367" s="457"/>
      <c r="BK367" s="449">
        <v>0</v>
      </c>
      <c r="BL367" s="45"/>
      <c r="BM367" s="45"/>
      <c r="BN367" s="45"/>
      <c r="BO367" s="45"/>
      <c r="BP367" s="45"/>
      <c r="BQ367" s="45"/>
      <c r="BR367" s="45"/>
      <c r="BS367" s="45"/>
      <c r="BT367" s="45"/>
      <c r="BU367" s="45"/>
      <c r="BV367" s="45"/>
      <c r="BW367" s="45"/>
      <c r="BX367" s="45"/>
      <c r="BY367" s="45"/>
      <c r="BZ367" s="45"/>
      <c r="CA367" s="45"/>
      <c r="CB367" s="45"/>
      <c r="CC367" s="45"/>
      <c r="CD367" s="463"/>
      <c r="CE367">
        <v>0</v>
      </c>
      <c r="CF367">
        <v>0</v>
      </c>
      <c r="CG367">
        <v>0</v>
      </c>
      <c r="CH367">
        <v>0</v>
      </c>
      <c r="CI367">
        <v>0</v>
      </c>
      <c r="CJ367">
        <v>0</v>
      </c>
      <c r="CK367">
        <v>0</v>
      </c>
      <c r="CL367">
        <v>0</v>
      </c>
      <c r="CM367">
        <v>0</v>
      </c>
      <c r="CN367">
        <v>0</v>
      </c>
      <c r="CO367">
        <v>0</v>
      </c>
      <c r="CP367">
        <v>0</v>
      </c>
      <c r="CQ367">
        <v>0</v>
      </c>
      <c r="CR367">
        <v>0</v>
      </c>
      <c r="CS367">
        <v>0</v>
      </c>
      <c r="CT367">
        <v>0</v>
      </c>
      <c r="CU367">
        <v>0</v>
      </c>
      <c r="CV367">
        <v>0</v>
      </c>
      <c r="CW367">
        <v>0</v>
      </c>
      <c r="CX367">
        <v>0</v>
      </c>
      <c r="CY367">
        <v>0</v>
      </c>
      <c r="CZ367">
        <v>0</v>
      </c>
      <c r="DA367">
        <v>0</v>
      </c>
      <c r="DB367">
        <v>0</v>
      </c>
      <c r="DC367">
        <v>0</v>
      </c>
      <c r="DD367">
        <v>0</v>
      </c>
      <c r="DE367">
        <v>0</v>
      </c>
      <c r="DF367">
        <v>0</v>
      </c>
      <c r="DG367">
        <v>0</v>
      </c>
      <c r="DH367">
        <v>0</v>
      </c>
      <c r="DI367">
        <v>0</v>
      </c>
      <c r="DJ367">
        <v>0</v>
      </c>
      <c r="DK367">
        <v>0</v>
      </c>
      <c r="DL367">
        <v>0</v>
      </c>
      <c r="DM367">
        <v>0</v>
      </c>
      <c r="DN367">
        <v>0</v>
      </c>
      <c r="DO367">
        <v>0</v>
      </c>
      <c r="DP367">
        <v>0</v>
      </c>
      <c r="DQ367">
        <v>0</v>
      </c>
      <c r="DR367">
        <v>0</v>
      </c>
      <c r="DS367">
        <v>0</v>
      </c>
      <c r="DT367">
        <v>0</v>
      </c>
      <c r="DU367">
        <v>0</v>
      </c>
    </row>
    <row r="368" spans="2:125">
      <c r="B368" s="136">
        <v>359</v>
      </c>
      <c r="C368" s="138">
        <v>1</v>
      </c>
      <c r="D368" s="474">
        <v>3206.474742375096</v>
      </c>
      <c r="E368" s="127">
        <v>267.24096657634044</v>
      </c>
      <c r="F368" s="447">
        <v>0.43128511992960045</v>
      </c>
      <c r="G368" s="127">
        <v>99.923069966517062</v>
      </c>
      <c r="H368" s="132">
        <v>63.930447260590341</v>
      </c>
      <c r="I368" s="456"/>
      <c r="J368" s="45"/>
      <c r="K368" s="45">
        <v>460</v>
      </c>
      <c r="L368" s="463"/>
      <c r="M368" s="456">
        <v>32.621551513671875</v>
      </c>
      <c r="N368" s="457"/>
      <c r="O368" s="456"/>
      <c r="P368" s="46"/>
      <c r="Q368" s="463">
        <v>71.948326110839844</v>
      </c>
      <c r="R368" s="449"/>
      <c r="S368" s="463"/>
      <c r="T368" s="480"/>
      <c r="U368" s="468"/>
      <c r="V368" s="449"/>
      <c r="W368" s="45">
        <v>1494.204345703125</v>
      </c>
      <c r="X368" s="463">
        <v>125.67790222167969</v>
      </c>
      <c r="Y368" s="449"/>
      <c r="Z368" s="45"/>
      <c r="AA368" s="468">
        <v>0.42079830649732475</v>
      </c>
      <c r="AB368" s="456"/>
      <c r="AC368" s="46"/>
      <c r="AD368" s="46"/>
      <c r="AE368" s="46"/>
      <c r="AF368" s="46"/>
      <c r="AG368" s="46"/>
      <c r="AH368" s="46"/>
      <c r="AI368" s="457"/>
      <c r="AJ368" s="138"/>
      <c r="AK368" s="745"/>
      <c r="AL368" s="54"/>
      <c r="AM368" s="468"/>
      <c r="AN368" s="449"/>
      <c r="AO368" s="45"/>
      <c r="AP368" s="45"/>
      <c r="AQ368" s="45"/>
      <c r="AR368" s="45"/>
      <c r="AS368" s="45"/>
      <c r="AT368" s="45"/>
      <c r="AU368" s="463"/>
      <c r="AV368" s="449"/>
      <c r="AW368" s="45"/>
      <c r="AX368" s="45"/>
      <c r="AY368" s="45"/>
      <c r="AZ368" s="45"/>
      <c r="BA368" s="45"/>
      <c r="BB368" s="45"/>
      <c r="BC368" s="463"/>
      <c r="BD368" s="456"/>
      <c r="BE368" s="46"/>
      <c r="BF368" s="46"/>
      <c r="BG368" s="46"/>
      <c r="BH368" s="46"/>
      <c r="BI368" s="46"/>
      <c r="BJ368" s="457"/>
      <c r="BK368" s="449">
        <v>0</v>
      </c>
      <c r="BL368" s="45"/>
      <c r="BM368" s="45"/>
      <c r="BN368" s="45"/>
      <c r="BO368" s="45"/>
      <c r="BP368" s="45"/>
      <c r="BQ368" s="45"/>
      <c r="BR368" s="45"/>
      <c r="BS368" s="45"/>
      <c r="BT368" s="45"/>
      <c r="BU368" s="45"/>
      <c r="BV368" s="45"/>
      <c r="BW368" s="45"/>
      <c r="BX368" s="45"/>
      <c r="BY368" s="45"/>
      <c r="BZ368" s="45"/>
      <c r="CA368" s="45"/>
      <c r="CB368" s="45"/>
      <c r="CC368" s="45"/>
      <c r="CD368" s="463"/>
      <c r="CE368">
        <v>0</v>
      </c>
      <c r="CF368">
        <v>0</v>
      </c>
      <c r="CG368">
        <v>0</v>
      </c>
      <c r="CH368">
        <v>0</v>
      </c>
      <c r="CI368">
        <v>0</v>
      </c>
      <c r="CJ368">
        <v>0</v>
      </c>
      <c r="CK368">
        <v>0</v>
      </c>
      <c r="CL368">
        <v>0</v>
      </c>
      <c r="CM368">
        <v>0</v>
      </c>
      <c r="CN368">
        <v>0</v>
      </c>
      <c r="CO368">
        <v>0</v>
      </c>
      <c r="CP368">
        <v>0</v>
      </c>
      <c r="CQ368">
        <v>0</v>
      </c>
      <c r="CR368">
        <v>0</v>
      </c>
      <c r="CS368">
        <v>0</v>
      </c>
      <c r="CT368">
        <v>0</v>
      </c>
      <c r="CU368">
        <v>0</v>
      </c>
      <c r="CV368">
        <v>0</v>
      </c>
      <c r="CW368">
        <v>0</v>
      </c>
      <c r="CX368">
        <v>0</v>
      </c>
      <c r="CY368">
        <v>0</v>
      </c>
      <c r="CZ368">
        <v>0</v>
      </c>
      <c r="DA368">
        <v>0</v>
      </c>
      <c r="DB368">
        <v>0</v>
      </c>
      <c r="DC368">
        <v>0</v>
      </c>
      <c r="DD368">
        <v>0</v>
      </c>
      <c r="DE368">
        <v>0</v>
      </c>
      <c r="DF368">
        <v>0</v>
      </c>
      <c r="DG368">
        <v>0</v>
      </c>
      <c r="DH368">
        <v>0</v>
      </c>
      <c r="DI368">
        <v>0</v>
      </c>
      <c r="DJ368">
        <v>0</v>
      </c>
      <c r="DK368">
        <v>0</v>
      </c>
      <c r="DL368">
        <v>0</v>
      </c>
      <c r="DM368">
        <v>0</v>
      </c>
      <c r="DN368">
        <v>0</v>
      </c>
      <c r="DO368">
        <v>0</v>
      </c>
      <c r="DP368">
        <v>0</v>
      </c>
      <c r="DQ368">
        <v>0</v>
      </c>
      <c r="DR368">
        <v>0</v>
      </c>
      <c r="DS368">
        <v>0</v>
      </c>
      <c r="DT368">
        <v>0</v>
      </c>
      <c r="DU368">
        <v>0</v>
      </c>
    </row>
    <row r="369" spans="2:125">
      <c r="B369" s="136">
        <v>360</v>
      </c>
      <c r="C369" s="138">
        <v>1</v>
      </c>
      <c r="D369" s="474">
        <v>3662.7010231233876</v>
      </c>
      <c r="E369" s="127">
        <v>200.28205861340732</v>
      </c>
      <c r="F369" s="447">
        <v>0.45531417625902959</v>
      </c>
      <c r="G369" s="127">
        <v>138.26176150522011</v>
      </c>
      <c r="H369" s="132">
        <v>55.720605578168126</v>
      </c>
      <c r="I369" s="456"/>
      <c r="J369" s="45"/>
      <c r="K369" s="45">
        <v>550</v>
      </c>
      <c r="L369" s="463"/>
      <c r="M369" s="456">
        <v>42.721088409423828</v>
      </c>
      <c r="N369" s="457"/>
      <c r="O369" s="456"/>
      <c r="P369" s="46"/>
      <c r="Q369" s="463">
        <v>72.521476745605469</v>
      </c>
      <c r="R369" s="449"/>
      <c r="S369" s="463"/>
      <c r="T369" s="480"/>
      <c r="U369" s="468"/>
      <c r="V369" s="449"/>
      <c r="W369" s="45">
        <v>1957.7125244140625</v>
      </c>
      <c r="X369" s="463">
        <v>159.77430725097656</v>
      </c>
      <c r="Y369" s="449"/>
      <c r="Z369" s="45"/>
      <c r="AA369" s="468">
        <v>0.44600239151059928</v>
      </c>
      <c r="AB369" s="456"/>
      <c r="AC369" s="46"/>
      <c r="AD369" s="46"/>
      <c r="AE369" s="46"/>
      <c r="AF369" s="46"/>
      <c r="AG369" s="46"/>
      <c r="AH369" s="46"/>
      <c r="AI369" s="457"/>
      <c r="AJ369" s="138"/>
      <c r="AK369" s="745"/>
      <c r="AL369" s="54"/>
      <c r="AM369" s="468"/>
      <c r="AN369" s="449"/>
      <c r="AO369" s="45"/>
      <c r="AP369" s="45"/>
      <c r="AQ369" s="45"/>
      <c r="AR369" s="45"/>
      <c r="AS369" s="45"/>
      <c r="AT369" s="45"/>
      <c r="AU369" s="463"/>
      <c r="AV369" s="449"/>
      <c r="AW369" s="45"/>
      <c r="AX369" s="45"/>
      <c r="AY369" s="45"/>
      <c r="AZ369" s="45"/>
      <c r="BA369" s="45"/>
      <c r="BB369" s="45"/>
      <c r="BC369" s="463"/>
      <c r="BD369" s="456"/>
      <c r="BE369" s="46"/>
      <c r="BF369" s="46"/>
      <c r="BG369" s="46"/>
      <c r="BH369" s="46"/>
      <c r="BI369" s="46"/>
      <c r="BJ369" s="457"/>
      <c r="BK369" s="449">
        <v>0</v>
      </c>
      <c r="BL369" s="45"/>
      <c r="BM369" s="45"/>
      <c r="BN369" s="45"/>
      <c r="BO369" s="45"/>
      <c r="BP369" s="45"/>
      <c r="BQ369" s="45"/>
      <c r="BR369" s="45"/>
      <c r="BS369" s="45"/>
      <c r="BT369" s="45"/>
      <c r="BU369" s="45"/>
      <c r="BV369" s="45"/>
      <c r="BW369" s="45"/>
      <c r="BX369" s="45"/>
      <c r="BY369" s="45"/>
      <c r="BZ369" s="45"/>
      <c r="CA369" s="45"/>
      <c r="CB369" s="45"/>
      <c r="CC369" s="45"/>
      <c r="CD369" s="463"/>
      <c r="CE369">
        <v>0</v>
      </c>
      <c r="CF369">
        <v>0</v>
      </c>
      <c r="CG369">
        <v>0</v>
      </c>
      <c r="CH369">
        <v>0</v>
      </c>
      <c r="CI369">
        <v>0</v>
      </c>
      <c r="CJ369">
        <v>0</v>
      </c>
      <c r="CK369">
        <v>0</v>
      </c>
      <c r="CL369">
        <v>0</v>
      </c>
      <c r="CM369">
        <v>0</v>
      </c>
      <c r="CN369">
        <v>0</v>
      </c>
      <c r="CO369">
        <v>0</v>
      </c>
      <c r="CP369">
        <v>0</v>
      </c>
      <c r="CQ369">
        <v>0</v>
      </c>
      <c r="CR369">
        <v>0</v>
      </c>
      <c r="CS369">
        <v>0</v>
      </c>
      <c r="CT369">
        <v>0</v>
      </c>
      <c r="CU369">
        <v>0</v>
      </c>
      <c r="CV369">
        <v>0</v>
      </c>
      <c r="CW369">
        <v>0</v>
      </c>
      <c r="CX369">
        <v>0</v>
      </c>
      <c r="CY369">
        <v>0</v>
      </c>
      <c r="CZ369">
        <v>0</v>
      </c>
      <c r="DA369">
        <v>0</v>
      </c>
      <c r="DB369">
        <v>0</v>
      </c>
      <c r="DC369">
        <v>0</v>
      </c>
      <c r="DD369">
        <v>0</v>
      </c>
      <c r="DE369">
        <v>0</v>
      </c>
      <c r="DF369">
        <v>0</v>
      </c>
      <c r="DG369">
        <v>0</v>
      </c>
      <c r="DH369">
        <v>0</v>
      </c>
      <c r="DI369">
        <v>0</v>
      </c>
      <c r="DJ369">
        <v>0</v>
      </c>
      <c r="DK369">
        <v>0</v>
      </c>
      <c r="DL369">
        <v>0</v>
      </c>
      <c r="DM369">
        <v>0</v>
      </c>
      <c r="DN369">
        <v>0</v>
      </c>
      <c r="DO369">
        <v>0</v>
      </c>
      <c r="DP369">
        <v>0</v>
      </c>
      <c r="DQ369">
        <v>0</v>
      </c>
      <c r="DR369">
        <v>0</v>
      </c>
      <c r="DS369">
        <v>0</v>
      </c>
      <c r="DT369">
        <v>0</v>
      </c>
      <c r="DU369">
        <v>0</v>
      </c>
    </row>
    <row r="370" spans="2:125">
      <c r="B370" s="136">
        <v>361</v>
      </c>
      <c r="C370" s="138">
        <v>1</v>
      </c>
      <c r="D370" s="474">
        <v>3958.3801106494025</v>
      </c>
      <c r="E370" s="127">
        <v>197.37670967016044</v>
      </c>
      <c r="F370" s="447">
        <v>0.42100691385291245</v>
      </c>
      <c r="G370" s="127">
        <v>122.8469577981852</v>
      </c>
      <c r="H370" s="132">
        <v>63.793648655706221</v>
      </c>
      <c r="I370" s="456"/>
      <c r="J370" s="45"/>
      <c r="K370" s="45">
        <v>530</v>
      </c>
      <c r="L370" s="463"/>
      <c r="M370" s="456">
        <v>33.868476867675781</v>
      </c>
      <c r="N370" s="457"/>
      <c r="O370" s="456"/>
      <c r="P370" s="46"/>
      <c r="Q370" s="463">
        <v>78.375930786132812</v>
      </c>
      <c r="R370" s="449"/>
      <c r="S370" s="463"/>
      <c r="T370" s="480"/>
      <c r="U370" s="468"/>
      <c r="V370" s="449"/>
      <c r="W370" s="45">
        <v>1646.0787353515625</v>
      </c>
      <c r="X370" s="463">
        <v>137.02732849121094</v>
      </c>
      <c r="Y370" s="449"/>
      <c r="Z370" s="45"/>
      <c r="AA370" s="468">
        <v>0.41256403132448966</v>
      </c>
      <c r="AB370" s="456"/>
      <c r="AC370" s="46"/>
      <c r="AD370" s="46"/>
      <c r="AE370" s="46"/>
      <c r="AF370" s="46"/>
      <c r="AG370" s="46"/>
      <c r="AH370" s="46"/>
      <c r="AI370" s="457"/>
      <c r="AJ370" s="138"/>
      <c r="AK370" s="745"/>
      <c r="AL370" s="54"/>
      <c r="AM370" s="468"/>
      <c r="AN370" s="449"/>
      <c r="AO370" s="45"/>
      <c r="AP370" s="45"/>
      <c r="AQ370" s="45"/>
      <c r="AR370" s="45"/>
      <c r="AS370" s="45"/>
      <c r="AT370" s="45"/>
      <c r="AU370" s="463"/>
      <c r="AV370" s="449"/>
      <c r="AW370" s="45"/>
      <c r="AX370" s="45"/>
      <c r="AY370" s="45"/>
      <c r="AZ370" s="45"/>
      <c r="BA370" s="45"/>
      <c r="BB370" s="45"/>
      <c r="BC370" s="463"/>
      <c r="BD370" s="456"/>
      <c r="BE370" s="46"/>
      <c r="BF370" s="46"/>
      <c r="BG370" s="46"/>
      <c r="BH370" s="46"/>
      <c r="BI370" s="46"/>
      <c r="BJ370" s="457"/>
      <c r="BK370" s="449">
        <v>0</v>
      </c>
      <c r="BL370" s="45"/>
      <c r="BM370" s="45"/>
      <c r="BN370" s="45"/>
      <c r="BO370" s="45"/>
      <c r="BP370" s="45"/>
      <c r="BQ370" s="45"/>
      <c r="BR370" s="45"/>
      <c r="BS370" s="45"/>
      <c r="BT370" s="45"/>
      <c r="BU370" s="45"/>
      <c r="BV370" s="45"/>
      <c r="BW370" s="45"/>
      <c r="BX370" s="45"/>
      <c r="BY370" s="45"/>
      <c r="BZ370" s="45"/>
      <c r="CA370" s="45"/>
      <c r="CB370" s="45"/>
      <c r="CC370" s="45"/>
      <c r="CD370" s="463"/>
      <c r="CE370">
        <v>0</v>
      </c>
      <c r="CF370">
        <v>0</v>
      </c>
      <c r="CG370">
        <v>0</v>
      </c>
      <c r="CH370">
        <v>0</v>
      </c>
      <c r="CI370">
        <v>0</v>
      </c>
      <c r="CJ370">
        <v>0</v>
      </c>
      <c r="CK370">
        <v>0</v>
      </c>
      <c r="CL370">
        <v>0</v>
      </c>
      <c r="CM370">
        <v>0</v>
      </c>
      <c r="CN370">
        <v>0</v>
      </c>
      <c r="CO370">
        <v>0</v>
      </c>
      <c r="CP370">
        <v>0</v>
      </c>
      <c r="CQ370">
        <v>0</v>
      </c>
      <c r="CR370">
        <v>0</v>
      </c>
      <c r="CS370">
        <v>0</v>
      </c>
      <c r="CT370">
        <v>0</v>
      </c>
      <c r="CU370">
        <v>0</v>
      </c>
      <c r="CV370">
        <v>0</v>
      </c>
      <c r="CW370">
        <v>0</v>
      </c>
      <c r="CX370">
        <v>0</v>
      </c>
      <c r="CY370">
        <v>0</v>
      </c>
      <c r="CZ370">
        <v>0</v>
      </c>
      <c r="DA370">
        <v>0</v>
      </c>
      <c r="DB370">
        <v>0</v>
      </c>
      <c r="DC370">
        <v>0</v>
      </c>
      <c r="DD370">
        <v>0</v>
      </c>
      <c r="DE370">
        <v>0</v>
      </c>
      <c r="DF370">
        <v>0</v>
      </c>
      <c r="DG370">
        <v>0</v>
      </c>
      <c r="DH370">
        <v>0</v>
      </c>
      <c r="DI370">
        <v>0</v>
      </c>
      <c r="DJ370">
        <v>0</v>
      </c>
      <c r="DK370">
        <v>0</v>
      </c>
      <c r="DL370">
        <v>0</v>
      </c>
      <c r="DM370">
        <v>0</v>
      </c>
      <c r="DN370">
        <v>0</v>
      </c>
      <c r="DO370">
        <v>0</v>
      </c>
      <c r="DP370">
        <v>0</v>
      </c>
      <c r="DQ370">
        <v>0</v>
      </c>
      <c r="DR370">
        <v>0</v>
      </c>
      <c r="DS370">
        <v>0</v>
      </c>
      <c r="DT370">
        <v>0</v>
      </c>
      <c r="DU370">
        <v>0</v>
      </c>
    </row>
    <row r="371" spans="2:125">
      <c r="B371" s="136">
        <v>362</v>
      </c>
      <c r="C371" s="138">
        <v>1</v>
      </c>
      <c r="D371" s="474">
        <v>3166.5438402080676</v>
      </c>
      <c r="E371" s="127">
        <v>223.12371505695992</v>
      </c>
      <c r="F371" s="447">
        <v>0.41718286351351141</v>
      </c>
      <c r="G371" s="127">
        <v>108.07464330638182</v>
      </c>
      <c r="H371" s="132">
        <v>61.577751772205559</v>
      </c>
      <c r="I371" s="456"/>
      <c r="J371" s="45"/>
      <c r="K371" s="45">
        <v>480</v>
      </c>
      <c r="L371" s="463"/>
      <c r="M371" s="456">
        <v>32.165515899658203</v>
      </c>
      <c r="N371" s="457"/>
      <c r="O371" s="456"/>
      <c r="P371" s="46"/>
      <c r="Q371" s="463">
        <v>70.995712280273438</v>
      </c>
      <c r="R371" s="449"/>
      <c r="S371" s="463"/>
      <c r="T371" s="480"/>
      <c r="U371" s="468"/>
      <c r="V371" s="449"/>
      <c r="W371" s="45">
        <v>1472.395751953125</v>
      </c>
      <c r="X371" s="463">
        <v>124.16069793701172</v>
      </c>
      <c r="Y371" s="449"/>
      <c r="Z371" s="45"/>
      <c r="AA371" s="468">
        <v>0.40665287910373316</v>
      </c>
      <c r="AB371" s="456"/>
      <c r="AC371" s="46"/>
      <c r="AD371" s="46"/>
      <c r="AE371" s="46"/>
      <c r="AF371" s="46"/>
      <c r="AG371" s="46"/>
      <c r="AH371" s="46"/>
      <c r="AI371" s="457"/>
      <c r="AJ371" s="138"/>
      <c r="AK371" s="745"/>
      <c r="AL371" s="54"/>
      <c r="AM371" s="468"/>
      <c r="AN371" s="449"/>
      <c r="AO371" s="45"/>
      <c r="AP371" s="45"/>
      <c r="AQ371" s="45"/>
      <c r="AR371" s="45"/>
      <c r="AS371" s="45"/>
      <c r="AT371" s="45"/>
      <c r="AU371" s="463"/>
      <c r="AV371" s="449"/>
      <c r="AW371" s="45"/>
      <c r="AX371" s="45"/>
      <c r="AY371" s="45"/>
      <c r="AZ371" s="45"/>
      <c r="BA371" s="45"/>
      <c r="BB371" s="45"/>
      <c r="BC371" s="463"/>
      <c r="BD371" s="456"/>
      <c r="BE371" s="46"/>
      <c r="BF371" s="46"/>
      <c r="BG371" s="46"/>
      <c r="BH371" s="46"/>
      <c r="BI371" s="46"/>
      <c r="BJ371" s="457"/>
      <c r="BK371" s="449">
        <v>0</v>
      </c>
      <c r="BL371" s="45"/>
      <c r="BM371" s="45"/>
      <c r="BN371" s="45"/>
      <c r="BO371" s="45"/>
      <c r="BP371" s="45"/>
      <c r="BQ371" s="45"/>
      <c r="BR371" s="45"/>
      <c r="BS371" s="45"/>
      <c r="BT371" s="45"/>
      <c r="BU371" s="45"/>
      <c r="BV371" s="45"/>
      <c r="BW371" s="45"/>
      <c r="BX371" s="45"/>
      <c r="BY371" s="45"/>
      <c r="BZ371" s="45"/>
      <c r="CA371" s="45"/>
      <c r="CB371" s="45"/>
      <c r="CC371" s="45"/>
      <c r="CD371" s="463"/>
      <c r="CE371">
        <v>0</v>
      </c>
      <c r="CF371">
        <v>0</v>
      </c>
      <c r="CG371">
        <v>0</v>
      </c>
      <c r="CH371">
        <v>0</v>
      </c>
      <c r="CI371">
        <v>0</v>
      </c>
      <c r="CJ371">
        <v>0</v>
      </c>
      <c r="CK371">
        <v>0</v>
      </c>
      <c r="CL371">
        <v>0</v>
      </c>
      <c r="CM371">
        <v>0</v>
      </c>
      <c r="CN371">
        <v>0</v>
      </c>
      <c r="CO371">
        <v>0</v>
      </c>
      <c r="CP371">
        <v>0</v>
      </c>
      <c r="CQ371">
        <v>0</v>
      </c>
      <c r="CR371">
        <v>0</v>
      </c>
      <c r="CS371">
        <v>0</v>
      </c>
      <c r="CT371">
        <v>0</v>
      </c>
      <c r="CU371">
        <v>0</v>
      </c>
      <c r="CV371">
        <v>0</v>
      </c>
      <c r="CW371">
        <v>0</v>
      </c>
      <c r="CX371">
        <v>0</v>
      </c>
      <c r="CY371">
        <v>0</v>
      </c>
      <c r="CZ371">
        <v>0</v>
      </c>
      <c r="DA371">
        <v>0</v>
      </c>
      <c r="DB371">
        <v>0</v>
      </c>
      <c r="DC371">
        <v>0</v>
      </c>
      <c r="DD371">
        <v>0</v>
      </c>
      <c r="DE371">
        <v>0</v>
      </c>
      <c r="DF371">
        <v>0</v>
      </c>
      <c r="DG371">
        <v>0</v>
      </c>
      <c r="DH371">
        <v>0</v>
      </c>
      <c r="DI371">
        <v>0</v>
      </c>
      <c r="DJ371">
        <v>0</v>
      </c>
      <c r="DK371">
        <v>0</v>
      </c>
      <c r="DL371">
        <v>0</v>
      </c>
      <c r="DM371">
        <v>0</v>
      </c>
      <c r="DN371">
        <v>0</v>
      </c>
      <c r="DO371">
        <v>0</v>
      </c>
      <c r="DP371">
        <v>0</v>
      </c>
      <c r="DQ371">
        <v>0</v>
      </c>
      <c r="DR371">
        <v>0</v>
      </c>
      <c r="DS371">
        <v>0</v>
      </c>
      <c r="DT371">
        <v>0</v>
      </c>
      <c r="DU371">
        <v>0</v>
      </c>
    </row>
    <row r="372" spans="2:125">
      <c r="B372" s="136">
        <v>363</v>
      </c>
      <c r="C372" s="138">
        <v>1</v>
      </c>
      <c r="D372" s="474">
        <v>3776.9702344651487</v>
      </c>
      <c r="E372" s="127">
        <v>240.55860309573995</v>
      </c>
      <c r="F372" s="447">
        <v>0.42436079675593652</v>
      </c>
      <c r="G372" s="127">
        <v>148.27218103827533</v>
      </c>
      <c r="H372" s="132">
        <v>55.145327748225569</v>
      </c>
      <c r="I372" s="456"/>
      <c r="J372" s="45"/>
      <c r="K372" s="45">
        <v>580</v>
      </c>
      <c r="L372" s="463"/>
      <c r="M372" s="456">
        <v>38.1995849609375</v>
      </c>
      <c r="N372" s="457"/>
      <c r="O372" s="456"/>
      <c r="P372" s="46"/>
      <c r="Q372" s="463">
        <v>74.784019470214844</v>
      </c>
      <c r="R372" s="449"/>
      <c r="S372" s="463"/>
      <c r="T372" s="480"/>
      <c r="U372" s="468"/>
      <c r="V372" s="449"/>
      <c r="W372" s="45">
        <v>1809.8721923828125</v>
      </c>
      <c r="X372" s="463">
        <v>149.1282958984375</v>
      </c>
      <c r="Y372" s="449"/>
      <c r="Z372" s="45"/>
      <c r="AA372" s="468">
        <v>0.41549463847130264</v>
      </c>
      <c r="AB372" s="456"/>
      <c r="AC372" s="46"/>
      <c r="AD372" s="46"/>
      <c r="AE372" s="46"/>
      <c r="AF372" s="46"/>
      <c r="AG372" s="46"/>
      <c r="AH372" s="46"/>
      <c r="AI372" s="457"/>
      <c r="AJ372" s="138"/>
      <c r="AK372" s="745"/>
      <c r="AL372" s="54"/>
      <c r="AM372" s="468"/>
      <c r="AN372" s="449"/>
      <c r="AO372" s="45"/>
      <c r="AP372" s="45"/>
      <c r="AQ372" s="45"/>
      <c r="AR372" s="45"/>
      <c r="AS372" s="45"/>
      <c r="AT372" s="45"/>
      <c r="AU372" s="463"/>
      <c r="AV372" s="449"/>
      <c r="AW372" s="45"/>
      <c r="AX372" s="45"/>
      <c r="AY372" s="45"/>
      <c r="AZ372" s="45"/>
      <c r="BA372" s="45"/>
      <c r="BB372" s="45"/>
      <c r="BC372" s="463"/>
      <c r="BD372" s="456"/>
      <c r="BE372" s="46"/>
      <c r="BF372" s="46"/>
      <c r="BG372" s="46"/>
      <c r="BH372" s="46"/>
      <c r="BI372" s="46"/>
      <c r="BJ372" s="457"/>
      <c r="BK372" s="449">
        <v>0</v>
      </c>
      <c r="BL372" s="45"/>
      <c r="BM372" s="45"/>
      <c r="BN372" s="45"/>
      <c r="BO372" s="45"/>
      <c r="BP372" s="45"/>
      <c r="BQ372" s="45"/>
      <c r="BR372" s="45"/>
      <c r="BS372" s="45"/>
      <c r="BT372" s="45"/>
      <c r="BU372" s="45"/>
      <c r="BV372" s="45"/>
      <c r="BW372" s="45"/>
      <c r="BX372" s="45"/>
      <c r="BY372" s="45"/>
      <c r="BZ372" s="45"/>
      <c r="CA372" s="45"/>
      <c r="CB372" s="45"/>
      <c r="CC372" s="45"/>
      <c r="CD372" s="463"/>
      <c r="CE372">
        <v>0</v>
      </c>
      <c r="CF372">
        <v>0</v>
      </c>
      <c r="CG372">
        <v>0</v>
      </c>
      <c r="CH372">
        <v>0</v>
      </c>
      <c r="CI372">
        <v>0</v>
      </c>
      <c r="CJ372">
        <v>0</v>
      </c>
      <c r="CK372">
        <v>0</v>
      </c>
      <c r="CL372">
        <v>0</v>
      </c>
      <c r="CM372">
        <v>0</v>
      </c>
      <c r="CN372">
        <v>0</v>
      </c>
      <c r="CO372">
        <v>0</v>
      </c>
      <c r="CP372">
        <v>0</v>
      </c>
      <c r="CQ372">
        <v>0</v>
      </c>
      <c r="CR372">
        <v>0</v>
      </c>
      <c r="CS372">
        <v>0</v>
      </c>
      <c r="CT372">
        <v>0</v>
      </c>
      <c r="CU372">
        <v>0</v>
      </c>
      <c r="CV372">
        <v>0</v>
      </c>
      <c r="CW372">
        <v>0</v>
      </c>
      <c r="CX372">
        <v>0</v>
      </c>
      <c r="CY372">
        <v>0</v>
      </c>
      <c r="CZ372">
        <v>0</v>
      </c>
      <c r="DA372">
        <v>0</v>
      </c>
      <c r="DB372">
        <v>0</v>
      </c>
      <c r="DC372">
        <v>0</v>
      </c>
      <c r="DD372">
        <v>0</v>
      </c>
      <c r="DE372">
        <v>0</v>
      </c>
      <c r="DF372">
        <v>0</v>
      </c>
      <c r="DG372">
        <v>0</v>
      </c>
      <c r="DH372">
        <v>0</v>
      </c>
      <c r="DI372">
        <v>0</v>
      </c>
      <c r="DJ372">
        <v>0</v>
      </c>
      <c r="DK372">
        <v>0</v>
      </c>
      <c r="DL372">
        <v>0</v>
      </c>
      <c r="DM372">
        <v>0</v>
      </c>
      <c r="DN372">
        <v>0</v>
      </c>
      <c r="DO372">
        <v>0</v>
      </c>
      <c r="DP372">
        <v>0</v>
      </c>
      <c r="DQ372">
        <v>0</v>
      </c>
      <c r="DR372">
        <v>0</v>
      </c>
      <c r="DS372">
        <v>0</v>
      </c>
      <c r="DT372">
        <v>0</v>
      </c>
      <c r="DU372">
        <v>0</v>
      </c>
    </row>
    <row r="373" spans="2:125">
      <c r="B373" s="136">
        <v>364</v>
      </c>
      <c r="C373" s="138">
        <v>1</v>
      </c>
      <c r="D373" s="474">
        <v>2551.9875066651407</v>
      </c>
      <c r="E373" s="127">
        <v>234.5338590119504</v>
      </c>
      <c r="F373" s="447">
        <v>0.42896417179238083</v>
      </c>
      <c r="G373" s="127">
        <v>96.546708537725124</v>
      </c>
      <c r="H373" s="132">
        <v>44.740090193223978</v>
      </c>
      <c r="I373" s="456"/>
      <c r="J373" s="45"/>
      <c r="K373" s="45">
        <v>390</v>
      </c>
      <c r="L373" s="463"/>
      <c r="M373" s="456">
        <v>35.820388793945313</v>
      </c>
      <c r="N373" s="457"/>
      <c r="O373" s="456"/>
      <c r="P373" s="46"/>
      <c r="Q373" s="463">
        <v>50.529354095458984</v>
      </c>
      <c r="R373" s="449"/>
      <c r="S373" s="463"/>
      <c r="T373" s="480"/>
      <c r="U373" s="468"/>
      <c r="V373" s="449"/>
      <c r="W373" s="45">
        <v>1289.5335693359375</v>
      </c>
      <c r="X373" s="463">
        <v>110.4814453125</v>
      </c>
      <c r="Y373" s="449"/>
      <c r="Z373" s="45"/>
      <c r="AA373" s="468">
        <v>0.41580608095214472</v>
      </c>
      <c r="AB373" s="456"/>
      <c r="AC373" s="46"/>
      <c r="AD373" s="46"/>
      <c r="AE373" s="46"/>
      <c r="AF373" s="46"/>
      <c r="AG373" s="46"/>
      <c r="AH373" s="46"/>
      <c r="AI373" s="457"/>
      <c r="AJ373" s="138"/>
      <c r="AK373" s="745"/>
      <c r="AL373" s="54"/>
      <c r="AM373" s="468"/>
      <c r="AN373" s="449"/>
      <c r="AO373" s="45"/>
      <c r="AP373" s="45"/>
      <c r="AQ373" s="45"/>
      <c r="AR373" s="45"/>
      <c r="AS373" s="45"/>
      <c r="AT373" s="45"/>
      <c r="AU373" s="463"/>
      <c r="AV373" s="449"/>
      <c r="AW373" s="45"/>
      <c r="AX373" s="45"/>
      <c r="AY373" s="45"/>
      <c r="AZ373" s="45"/>
      <c r="BA373" s="45"/>
      <c r="BB373" s="45"/>
      <c r="BC373" s="463"/>
      <c r="BD373" s="456"/>
      <c r="BE373" s="46"/>
      <c r="BF373" s="46"/>
      <c r="BG373" s="46"/>
      <c r="BH373" s="46"/>
      <c r="BI373" s="46"/>
      <c r="BJ373" s="457"/>
      <c r="BK373" s="449">
        <v>0</v>
      </c>
      <c r="BL373" s="45"/>
      <c r="BM373" s="45"/>
      <c r="BN373" s="45"/>
      <c r="BO373" s="45"/>
      <c r="BP373" s="45"/>
      <c r="BQ373" s="45"/>
      <c r="BR373" s="45"/>
      <c r="BS373" s="45"/>
      <c r="BT373" s="45"/>
      <c r="BU373" s="45"/>
      <c r="BV373" s="45"/>
      <c r="BW373" s="45"/>
      <c r="BX373" s="45"/>
      <c r="BY373" s="45"/>
      <c r="BZ373" s="45"/>
      <c r="CA373" s="45"/>
      <c r="CB373" s="45"/>
      <c r="CC373" s="45"/>
      <c r="CD373" s="463"/>
      <c r="CE373">
        <v>0</v>
      </c>
      <c r="CF373">
        <v>0</v>
      </c>
      <c r="CG373">
        <v>0</v>
      </c>
      <c r="CH373">
        <v>0</v>
      </c>
      <c r="CI373">
        <v>0</v>
      </c>
      <c r="CJ373">
        <v>0</v>
      </c>
      <c r="CK373">
        <v>0</v>
      </c>
      <c r="CL373">
        <v>0</v>
      </c>
      <c r="CM373">
        <v>0</v>
      </c>
      <c r="CN373">
        <v>0</v>
      </c>
      <c r="CO373">
        <v>0</v>
      </c>
      <c r="CP373">
        <v>0</v>
      </c>
      <c r="CQ373">
        <v>0</v>
      </c>
      <c r="CR373">
        <v>0</v>
      </c>
      <c r="CS373">
        <v>0</v>
      </c>
      <c r="CT373">
        <v>0</v>
      </c>
      <c r="CU373">
        <v>0</v>
      </c>
      <c r="CV373">
        <v>0</v>
      </c>
      <c r="CW373">
        <v>0</v>
      </c>
      <c r="CX373">
        <v>0</v>
      </c>
      <c r="CY373">
        <v>0</v>
      </c>
      <c r="CZ373">
        <v>0</v>
      </c>
      <c r="DA373">
        <v>0</v>
      </c>
      <c r="DB373">
        <v>0</v>
      </c>
      <c r="DC373">
        <v>0</v>
      </c>
      <c r="DD373">
        <v>0</v>
      </c>
      <c r="DE373">
        <v>0</v>
      </c>
      <c r="DF373">
        <v>0</v>
      </c>
      <c r="DG373">
        <v>0</v>
      </c>
      <c r="DH373">
        <v>0</v>
      </c>
      <c r="DI373">
        <v>0</v>
      </c>
      <c r="DJ373">
        <v>0</v>
      </c>
      <c r="DK373">
        <v>0</v>
      </c>
      <c r="DL373">
        <v>0</v>
      </c>
      <c r="DM373">
        <v>0</v>
      </c>
      <c r="DN373">
        <v>0</v>
      </c>
      <c r="DO373">
        <v>0</v>
      </c>
      <c r="DP373">
        <v>0</v>
      </c>
      <c r="DQ373">
        <v>0</v>
      </c>
      <c r="DR373">
        <v>0</v>
      </c>
      <c r="DS373">
        <v>0</v>
      </c>
      <c r="DT373">
        <v>0</v>
      </c>
      <c r="DU373">
        <v>0</v>
      </c>
    </row>
    <row r="374" spans="2:125">
      <c r="B374" s="136">
        <v>365</v>
      </c>
      <c r="C374" s="138">
        <v>1</v>
      </c>
      <c r="D374" s="474">
        <v>3215.1654742560977</v>
      </c>
      <c r="E374" s="127">
        <v>194.70827686074759</v>
      </c>
      <c r="F374" s="447">
        <v>0.42447420503368988</v>
      </c>
      <c r="G374" s="127">
        <v>103.6327630714536</v>
      </c>
      <c r="H374" s="132">
        <v>56.738504365919454</v>
      </c>
      <c r="I374" s="456"/>
      <c r="J374" s="45"/>
      <c r="K374" s="45">
        <v>440</v>
      </c>
      <c r="L374" s="463"/>
      <c r="M374" s="456">
        <v>33.176296234130859</v>
      </c>
      <c r="N374" s="457"/>
      <c r="O374" s="456"/>
      <c r="P374" s="46"/>
      <c r="Q374" s="463">
        <v>63.6602783203125</v>
      </c>
      <c r="R374" s="449"/>
      <c r="S374" s="463"/>
      <c r="T374" s="480"/>
      <c r="U374" s="468"/>
      <c r="V374" s="449"/>
      <c r="W374" s="45">
        <v>1415.89599609375</v>
      </c>
      <c r="X374" s="463">
        <v>119.90495300292969</v>
      </c>
      <c r="Y374" s="449"/>
      <c r="Z374" s="45"/>
      <c r="AA374" s="468">
        <v>0.41405810534338627</v>
      </c>
      <c r="AB374" s="456"/>
      <c r="AC374" s="46"/>
      <c r="AD374" s="46"/>
      <c r="AE374" s="46"/>
      <c r="AF374" s="46"/>
      <c r="AG374" s="46"/>
      <c r="AH374" s="46"/>
      <c r="AI374" s="457"/>
      <c r="AJ374" s="138"/>
      <c r="AK374" s="745"/>
      <c r="AL374" s="54"/>
      <c r="AM374" s="468"/>
      <c r="AN374" s="449"/>
      <c r="AO374" s="45"/>
      <c r="AP374" s="45"/>
      <c r="AQ374" s="45"/>
      <c r="AR374" s="45"/>
      <c r="AS374" s="45"/>
      <c r="AT374" s="45"/>
      <c r="AU374" s="463"/>
      <c r="AV374" s="449"/>
      <c r="AW374" s="45"/>
      <c r="AX374" s="45"/>
      <c r="AY374" s="45"/>
      <c r="AZ374" s="45"/>
      <c r="BA374" s="45"/>
      <c r="BB374" s="45"/>
      <c r="BC374" s="463"/>
      <c r="BD374" s="456"/>
      <c r="BE374" s="46"/>
      <c r="BF374" s="46"/>
      <c r="BG374" s="46"/>
      <c r="BH374" s="46"/>
      <c r="BI374" s="46"/>
      <c r="BJ374" s="457"/>
      <c r="BK374" s="449">
        <v>0</v>
      </c>
      <c r="BL374" s="45"/>
      <c r="BM374" s="45"/>
      <c r="BN374" s="45"/>
      <c r="BO374" s="45"/>
      <c r="BP374" s="45"/>
      <c r="BQ374" s="45"/>
      <c r="BR374" s="45"/>
      <c r="BS374" s="45"/>
      <c r="BT374" s="45"/>
      <c r="BU374" s="45"/>
      <c r="BV374" s="45"/>
      <c r="BW374" s="45"/>
      <c r="BX374" s="45"/>
      <c r="BY374" s="45"/>
      <c r="BZ374" s="45"/>
      <c r="CA374" s="45"/>
      <c r="CB374" s="45"/>
      <c r="CC374" s="45"/>
      <c r="CD374" s="463"/>
      <c r="CE374">
        <v>0</v>
      </c>
      <c r="CF374">
        <v>0</v>
      </c>
      <c r="CG374">
        <v>0</v>
      </c>
      <c r="CH374">
        <v>0</v>
      </c>
      <c r="CI374">
        <v>0</v>
      </c>
      <c r="CJ374">
        <v>0</v>
      </c>
      <c r="CK374">
        <v>0</v>
      </c>
      <c r="CL374">
        <v>0</v>
      </c>
      <c r="CM374">
        <v>0</v>
      </c>
      <c r="CN374">
        <v>0</v>
      </c>
      <c r="CO374">
        <v>0</v>
      </c>
      <c r="CP374">
        <v>0</v>
      </c>
      <c r="CQ374">
        <v>0</v>
      </c>
      <c r="CR374">
        <v>0</v>
      </c>
      <c r="CS374">
        <v>0</v>
      </c>
      <c r="CT374">
        <v>0</v>
      </c>
      <c r="CU374">
        <v>0</v>
      </c>
      <c r="CV374">
        <v>0</v>
      </c>
      <c r="CW374">
        <v>0</v>
      </c>
      <c r="CX374">
        <v>0</v>
      </c>
      <c r="CY374">
        <v>0</v>
      </c>
      <c r="CZ374">
        <v>0</v>
      </c>
      <c r="DA374">
        <v>0</v>
      </c>
      <c r="DB374">
        <v>0</v>
      </c>
      <c r="DC374">
        <v>0</v>
      </c>
      <c r="DD374">
        <v>0</v>
      </c>
      <c r="DE374">
        <v>0</v>
      </c>
      <c r="DF374">
        <v>0</v>
      </c>
      <c r="DG374">
        <v>0</v>
      </c>
      <c r="DH374">
        <v>0</v>
      </c>
      <c r="DI374">
        <v>0</v>
      </c>
      <c r="DJ374">
        <v>0</v>
      </c>
      <c r="DK374">
        <v>0</v>
      </c>
      <c r="DL374">
        <v>0</v>
      </c>
      <c r="DM374">
        <v>0</v>
      </c>
      <c r="DN374">
        <v>0</v>
      </c>
      <c r="DO374">
        <v>0</v>
      </c>
      <c r="DP374">
        <v>0</v>
      </c>
      <c r="DQ374">
        <v>0</v>
      </c>
      <c r="DR374">
        <v>0</v>
      </c>
      <c r="DS374">
        <v>0</v>
      </c>
      <c r="DT374">
        <v>0</v>
      </c>
      <c r="DU374">
        <v>0</v>
      </c>
    </row>
    <row r="375" spans="2:125">
      <c r="B375" s="136">
        <v>366</v>
      </c>
      <c r="C375" s="138">
        <v>1</v>
      </c>
      <c r="D375" s="474">
        <v>3840.7154644489515</v>
      </c>
      <c r="E375" s="127">
        <v>192.02718410000509</v>
      </c>
      <c r="F375" s="447">
        <v>0.3823875872047614</v>
      </c>
      <c r="G375" s="127">
        <v>144.4829184995962</v>
      </c>
      <c r="H375" s="132">
        <v>57.235963534731987</v>
      </c>
      <c r="I375" s="456"/>
      <c r="J375" s="45"/>
      <c r="K375" s="45">
        <v>570</v>
      </c>
      <c r="L375" s="463"/>
      <c r="M375" s="456">
        <v>31.614673614501953</v>
      </c>
      <c r="N375" s="457"/>
      <c r="O375" s="456"/>
      <c r="P375" s="46"/>
      <c r="Q375" s="463">
        <v>76.046173095703125</v>
      </c>
      <c r="R375" s="449"/>
      <c r="S375" s="463"/>
      <c r="T375" s="480"/>
      <c r="U375" s="468"/>
      <c r="V375" s="449"/>
      <c r="W375" s="45">
        <v>1540.20166015625</v>
      </c>
      <c r="X375" s="463">
        <v>129.46528625488281</v>
      </c>
      <c r="Y375" s="449"/>
      <c r="Z375" s="45"/>
      <c r="AA375" s="468">
        <v>0.37388715231280062</v>
      </c>
      <c r="AB375" s="456"/>
      <c r="AC375" s="46"/>
      <c r="AD375" s="46"/>
      <c r="AE375" s="46"/>
      <c r="AF375" s="46"/>
      <c r="AG375" s="46"/>
      <c r="AH375" s="46"/>
      <c r="AI375" s="457"/>
      <c r="AJ375" s="138"/>
      <c r="AK375" s="745"/>
      <c r="AL375" s="54"/>
      <c r="AM375" s="468"/>
      <c r="AN375" s="449"/>
      <c r="AO375" s="45"/>
      <c r="AP375" s="45"/>
      <c r="AQ375" s="45"/>
      <c r="AR375" s="45"/>
      <c r="AS375" s="45"/>
      <c r="AT375" s="45"/>
      <c r="AU375" s="463"/>
      <c r="AV375" s="449"/>
      <c r="AW375" s="45"/>
      <c r="AX375" s="45"/>
      <c r="AY375" s="45"/>
      <c r="AZ375" s="45"/>
      <c r="BA375" s="45"/>
      <c r="BB375" s="45"/>
      <c r="BC375" s="463"/>
      <c r="BD375" s="456"/>
      <c r="BE375" s="46"/>
      <c r="BF375" s="46"/>
      <c r="BG375" s="46"/>
      <c r="BH375" s="46"/>
      <c r="BI375" s="46"/>
      <c r="BJ375" s="457"/>
      <c r="BK375" s="449">
        <v>0</v>
      </c>
      <c r="BL375" s="45"/>
      <c r="BM375" s="45"/>
      <c r="BN375" s="45"/>
      <c r="BO375" s="45"/>
      <c r="BP375" s="45"/>
      <c r="BQ375" s="45"/>
      <c r="BR375" s="45"/>
      <c r="BS375" s="45"/>
      <c r="BT375" s="45"/>
      <c r="BU375" s="45"/>
      <c r="BV375" s="45"/>
      <c r="BW375" s="45"/>
      <c r="BX375" s="45"/>
      <c r="BY375" s="45"/>
      <c r="BZ375" s="45"/>
      <c r="CA375" s="45"/>
      <c r="CB375" s="45"/>
      <c r="CC375" s="45"/>
      <c r="CD375" s="463"/>
      <c r="CE375">
        <v>0</v>
      </c>
      <c r="CF375">
        <v>0</v>
      </c>
      <c r="CG375">
        <v>0</v>
      </c>
      <c r="CH375">
        <v>0</v>
      </c>
      <c r="CI375">
        <v>0</v>
      </c>
      <c r="CJ375">
        <v>0</v>
      </c>
      <c r="CK375">
        <v>0</v>
      </c>
      <c r="CL375">
        <v>0</v>
      </c>
      <c r="CM375">
        <v>0</v>
      </c>
      <c r="CN375">
        <v>0</v>
      </c>
      <c r="CO375">
        <v>0</v>
      </c>
      <c r="CP375">
        <v>0</v>
      </c>
      <c r="CQ375">
        <v>0</v>
      </c>
      <c r="CR375">
        <v>0</v>
      </c>
      <c r="CS375">
        <v>0</v>
      </c>
      <c r="CT375">
        <v>0</v>
      </c>
      <c r="CU375">
        <v>0</v>
      </c>
      <c r="CV375">
        <v>0</v>
      </c>
      <c r="CW375">
        <v>0</v>
      </c>
      <c r="CX375">
        <v>0</v>
      </c>
      <c r="CY375">
        <v>0</v>
      </c>
      <c r="CZ375">
        <v>0</v>
      </c>
      <c r="DA375">
        <v>0</v>
      </c>
      <c r="DB375">
        <v>0</v>
      </c>
      <c r="DC375">
        <v>0</v>
      </c>
      <c r="DD375">
        <v>0</v>
      </c>
      <c r="DE375">
        <v>0</v>
      </c>
      <c r="DF375">
        <v>0</v>
      </c>
      <c r="DG375">
        <v>0</v>
      </c>
      <c r="DH375">
        <v>0</v>
      </c>
      <c r="DI375">
        <v>0</v>
      </c>
      <c r="DJ375">
        <v>0</v>
      </c>
      <c r="DK375">
        <v>0</v>
      </c>
      <c r="DL375">
        <v>0</v>
      </c>
      <c r="DM375">
        <v>0</v>
      </c>
      <c r="DN375">
        <v>0</v>
      </c>
      <c r="DO375">
        <v>0</v>
      </c>
      <c r="DP375">
        <v>0</v>
      </c>
      <c r="DQ375">
        <v>0</v>
      </c>
      <c r="DR375">
        <v>0</v>
      </c>
      <c r="DS375">
        <v>0</v>
      </c>
      <c r="DT375">
        <v>0</v>
      </c>
      <c r="DU375">
        <v>0</v>
      </c>
    </row>
    <row r="376" spans="2:125">
      <c r="B376" s="136">
        <v>367</v>
      </c>
      <c r="C376" s="138">
        <v>1</v>
      </c>
      <c r="D376" s="474">
        <v>3122.538740226787</v>
      </c>
      <c r="E376" s="127">
        <v>189.35722616677648</v>
      </c>
      <c r="F376" s="447">
        <v>0.46464035146088423</v>
      </c>
      <c r="G376" s="127">
        <v>101.73728955868391</v>
      </c>
      <c r="H376" s="132">
        <v>55.597023669329701</v>
      </c>
      <c r="I376" s="456"/>
      <c r="J376" s="45"/>
      <c r="K376" s="45">
        <v>440</v>
      </c>
      <c r="L376" s="463"/>
      <c r="M376" s="456">
        <v>40.021846771240234</v>
      </c>
      <c r="N376" s="457"/>
      <c r="O376" s="456"/>
      <c r="P376" s="46"/>
      <c r="Q376" s="463">
        <v>61.826271057128906</v>
      </c>
      <c r="R376" s="449"/>
      <c r="S376" s="463"/>
      <c r="T376" s="480"/>
      <c r="U376" s="468"/>
      <c r="V376" s="449"/>
      <c r="W376" s="45">
        <v>1651.699951171875</v>
      </c>
      <c r="X376" s="463">
        <v>137.0538330078125</v>
      </c>
      <c r="Y376" s="449"/>
      <c r="Z376" s="45"/>
      <c r="AA376" s="468">
        <v>0.45365800347991819</v>
      </c>
      <c r="AB376" s="456"/>
      <c r="AC376" s="46"/>
      <c r="AD376" s="46"/>
      <c r="AE376" s="46"/>
      <c r="AF376" s="46"/>
      <c r="AG376" s="46"/>
      <c r="AH376" s="46"/>
      <c r="AI376" s="457"/>
      <c r="AJ376" s="138"/>
      <c r="AK376" s="745"/>
      <c r="AL376" s="54"/>
      <c r="AM376" s="468"/>
      <c r="AN376" s="449"/>
      <c r="AO376" s="45"/>
      <c r="AP376" s="45"/>
      <c r="AQ376" s="45"/>
      <c r="AR376" s="45"/>
      <c r="AS376" s="45"/>
      <c r="AT376" s="45"/>
      <c r="AU376" s="463"/>
      <c r="AV376" s="449"/>
      <c r="AW376" s="45"/>
      <c r="AX376" s="45"/>
      <c r="AY376" s="45"/>
      <c r="AZ376" s="45"/>
      <c r="BA376" s="45"/>
      <c r="BB376" s="45"/>
      <c r="BC376" s="463"/>
      <c r="BD376" s="456"/>
      <c r="BE376" s="46"/>
      <c r="BF376" s="46"/>
      <c r="BG376" s="46"/>
      <c r="BH376" s="46"/>
      <c r="BI376" s="46"/>
      <c r="BJ376" s="457"/>
      <c r="BK376" s="449">
        <v>0</v>
      </c>
      <c r="BL376" s="45"/>
      <c r="BM376" s="45"/>
      <c r="BN376" s="45"/>
      <c r="BO376" s="45"/>
      <c r="BP376" s="45"/>
      <c r="BQ376" s="45"/>
      <c r="BR376" s="45"/>
      <c r="BS376" s="45"/>
      <c r="BT376" s="45"/>
      <c r="BU376" s="45"/>
      <c r="BV376" s="45"/>
      <c r="BW376" s="45"/>
      <c r="BX376" s="45"/>
      <c r="BY376" s="45"/>
      <c r="BZ376" s="45"/>
      <c r="CA376" s="45"/>
      <c r="CB376" s="45"/>
      <c r="CC376" s="45"/>
      <c r="CD376" s="463"/>
      <c r="CE376">
        <v>0</v>
      </c>
      <c r="CF376">
        <v>0</v>
      </c>
      <c r="CG376">
        <v>0</v>
      </c>
      <c r="CH376">
        <v>0</v>
      </c>
      <c r="CI376">
        <v>0</v>
      </c>
      <c r="CJ376">
        <v>0</v>
      </c>
      <c r="CK376">
        <v>0</v>
      </c>
      <c r="CL376">
        <v>0</v>
      </c>
      <c r="CM376">
        <v>0</v>
      </c>
      <c r="CN376">
        <v>0</v>
      </c>
      <c r="CO376">
        <v>0</v>
      </c>
      <c r="CP376">
        <v>0</v>
      </c>
      <c r="CQ376">
        <v>0</v>
      </c>
      <c r="CR376">
        <v>0</v>
      </c>
      <c r="CS376">
        <v>0</v>
      </c>
      <c r="CT376">
        <v>0</v>
      </c>
      <c r="CU376">
        <v>0</v>
      </c>
      <c r="CV376">
        <v>0</v>
      </c>
      <c r="CW376">
        <v>0</v>
      </c>
      <c r="CX376">
        <v>0</v>
      </c>
      <c r="CY376">
        <v>0</v>
      </c>
      <c r="CZ376">
        <v>0</v>
      </c>
      <c r="DA376">
        <v>0</v>
      </c>
      <c r="DB376">
        <v>0</v>
      </c>
      <c r="DC376">
        <v>0</v>
      </c>
      <c r="DD376">
        <v>0</v>
      </c>
      <c r="DE376">
        <v>0</v>
      </c>
      <c r="DF376">
        <v>0</v>
      </c>
      <c r="DG376">
        <v>0</v>
      </c>
      <c r="DH376">
        <v>0</v>
      </c>
      <c r="DI376">
        <v>0</v>
      </c>
      <c r="DJ376">
        <v>0</v>
      </c>
      <c r="DK376">
        <v>0</v>
      </c>
      <c r="DL376">
        <v>0</v>
      </c>
      <c r="DM376">
        <v>0</v>
      </c>
      <c r="DN376">
        <v>0</v>
      </c>
      <c r="DO376">
        <v>0</v>
      </c>
      <c r="DP376">
        <v>0</v>
      </c>
      <c r="DQ376">
        <v>0</v>
      </c>
      <c r="DR376">
        <v>0</v>
      </c>
      <c r="DS376">
        <v>0</v>
      </c>
      <c r="DT376">
        <v>0</v>
      </c>
      <c r="DU376">
        <v>0</v>
      </c>
    </row>
    <row r="377" spans="2:125">
      <c r="B377" s="136">
        <v>368</v>
      </c>
      <c r="C377" s="138">
        <v>1</v>
      </c>
      <c r="D377" s="474">
        <v>3707.9392215229946</v>
      </c>
      <c r="E377" s="127">
        <v>281.89366556294965</v>
      </c>
      <c r="F377" s="447">
        <v>0.41942653077485575</v>
      </c>
      <c r="G377" s="127">
        <v>115.70125522497635</v>
      </c>
      <c r="H377" s="132">
        <v>61.737430766933478</v>
      </c>
      <c r="I377" s="456"/>
      <c r="J377" s="45"/>
      <c r="K377" s="45">
        <v>500</v>
      </c>
      <c r="L377" s="463"/>
      <c r="M377" s="456">
        <v>33.229598999023438</v>
      </c>
      <c r="N377" s="457"/>
      <c r="O377" s="456"/>
      <c r="P377" s="46"/>
      <c r="Q377" s="463">
        <v>73.417198181152344</v>
      </c>
      <c r="R377" s="449"/>
      <c r="S377" s="463"/>
      <c r="T377" s="480"/>
      <c r="U377" s="468"/>
      <c r="V377" s="449"/>
      <c r="W377" s="45">
        <v>1552.7734375</v>
      </c>
      <c r="X377" s="463">
        <v>130.11048889160156</v>
      </c>
      <c r="Y377" s="449"/>
      <c r="Z377" s="45"/>
      <c r="AA377" s="468">
        <v>0.41042192508399361</v>
      </c>
      <c r="AB377" s="456"/>
      <c r="AC377" s="46"/>
      <c r="AD377" s="46"/>
      <c r="AE377" s="46"/>
      <c r="AF377" s="46"/>
      <c r="AG377" s="46"/>
      <c r="AH377" s="46"/>
      <c r="AI377" s="457"/>
      <c r="AJ377" s="138"/>
      <c r="AK377" s="745"/>
      <c r="AL377" s="54"/>
      <c r="AM377" s="468"/>
      <c r="AN377" s="449"/>
      <c r="AO377" s="45"/>
      <c r="AP377" s="45"/>
      <c r="AQ377" s="45"/>
      <c r="AR377" s="45"/>
      <c r="AS377" s="45"/>
      <c r="AT377" s="45"/>
      <c r="AU377" s="463"/>
      <c r="AV377" s="449"/>
      <c r="AW377" s="45"/>
      <c r="AX377" s="45"/>
      <c r="AY377" s="45"/>
      <c r="AZ377" s="45"/>
      <c r="BA377" s="45"/>
      <c r="BB377" s="45"/>
      <c r="BC377" s="463"/>
      <c r="BD377" s="456"/>
      <c r="BE377" s="46"/>
      <c r="BF377" s="46"/>
      <c r="BG377" s="46"/>
      <c r="BH377" s="46"/>
      <c r="BI377" s="46"/>
      <c r="BJ377" s="457"/>
      <c r="BK377" s="449">
        <v>0</v>
      </c>
      <c r="BL377" s="45"/>
      <c r="BM377" s="45"/>
      <c r="BN377" s="45"/>
      <c r="BO377" s="45"/>
      <c r="BP377" s="45"/>
      <c r="BQ377" s="45"/>
      <c r="BR377" s="45"/>
      <c r="BS377" s="45"/>
      <c r="BT377" s="45"/>
      <c r="BU377" s="45"/>
      <c r="BV377" s="45"/>
      <c r="BW377" s="45"/>
      <c r="BX377" s="45"/>
      <c r="BY377" s="45"/>
      <c r="BZ377" s="45"/>
      <c r="CA377" s="45"/>
      <c r="CB377" s="45"/>
      <c r="CC377" s="45"/>
      <c r="CD377" s="463"/>
      <c r="CE377">
        <v>0</v>
      </c>
      <c r="CF377">
        <v>0</v>
      </c>
      <c r="CG377">
        <v>0</v>
      </c>
      <c r="CH377">
        <v>0</v>
      </c>
      <c r="CI377">
        <v>0</v>
      </c>
      <c r="CJ377">
        <v>0</v>
      </c>
      <c r="CK377">
        <v>0</v>
      </c>
      <c r="CL377">
        <v>0</v>
      </c>
      <c r="CM377">
        <v>0</v>
      </c>
      <c r="CN377">
        <v>0</v>
      </c>
      <c r="CO377">
        <v>0</v>
      </c>
      <c r="CP377">
        <v>0</v>
      </c>
      <c r="CQ377">
        <v>0</v>
      </c>
      <c r="CR377">
        <v>0</v>
      </c>
      <c r="CS377">
        <v>0</v>
      </c>
      <c r="CT377">
        <v>0</v>
      </c>
      <c r="CU377">
        <v>0</v>
      </c>
      <c r="CV377">
        <v>0</v>
      </c>
      <c r="CW377">
        <v>0</v>
      </c>
      <c r="CX377">
        <v>0</v>
      </c>
      <c r="CY377">
        <v>0</v>
      </c>
      <c r="CZ377">
        <v>0</v>
      </c>
      <c r="DA377">
        <v>0</v>
      </c>
      <c r="DB377">
        <v>0</v>
      </c>
      <c r="DC377">
        <v>0</v>
      </c>
      <c r="DD377">
        <v>0</v>
      </c>
      <c r="DE377">
        <v>0</v>
      </c>
      <c r="DF377">
        <v>0</v>
      </c>
      <c r="DG377">
        <v>0</v>
      </c>
      <c r="DH377">
        <v>0</v>
      </c>
      <c r="DI377">
        <v>0</v>
      </c>
      <c r="DJ377">
        <v>0</v>
      </c>
      <c r="DK377">
        <v>0</v>
      </c>
      <c r="DL377">
        <v>0</v>
      </c>
      <c r="DM377">
        <v>0</v>
      </c>
      <c r="DN377">
        <v>0</v>
      </c>
      <c r="DO377">
        <v>0</v>
      </c>
      <c r="DP377">
        <v>0</v>
      </c>
      <c r="DQ377">
        <v>0</v>
      </c>
      <c r="DR377">
        <v>0</v>
      </c>
      <c r="DS377">
        <v>0</v>
      </c>
      <c r="DT377">
        <v>0</v>
      </c>
      <c r="DU377">
        <v>0</v>
      </c>
    </row>
    <row r="378" spans="2:125">
      <c r="B378" s="136">
        <v>369</v>
      </c>
      <c r="C378" s="138">
        <v>1</v>
      </c>
      <c r="D378" s="474">
        <v>3547.200328362399</v>
      </c>
      <c r="E378" s="127">
        <v>217.50586976220077</v>
      </c>
      <c r="F378" s="447">
        <v>0.43403785379262566</v>
      </c>
      <c r="G378" s="127">
        <v>120.51910856816434</v>
      </c>
      <c r="H378" s="132">
        <v>64.371662878455766</v>
      </c>
      <c r="I378" s="456"/>
      <c r="J378" s="45"/>
      <c r="K378" s="45">
        <v>530</v>
      </c>
      <c r="L378" s="463"/>
      <c r="M378" s="456">
        <v>35.387062072753906</v>
      </c>
      <c r="N378" s="457"/>
      <c r="O378" s="456"/>
      <c r="P378" s="46"/>
      <c r="Q378" s="463">
        <v>78.550674438476563</v>
      </c>
      <c r="R378" s="449"/>
      <c r="S378" s="463"/>
      <c r="T378" s="480"/>
      <c r="U378" s="468"/>
      <c r="V378" s="449"/>
      <c r="W378" s="45">
        <v>1711.8341064453125</v>
      </c>
      <c r="X378" s="463">
        <v>141.79298400878906</v>
      </c>
      <c r="Y378" s="449"/>
      <c r="Z378" s="45"/>
      <c r="AA378" s="468">
        <v>0.42454282843232927</v>
      </c>
      <c r="AB378" s="456"/>
      <c r="AC378" s="46"/>
      <c r="AD378" s="46"/>
      <c r="AE378" s="46"/>
      <c r="AF378" s="46"/>
      <c r="AG378" s="46"/>
      <c r="AH378" s="46"/>
      <c r="AI378" s="457"/>
      <c r="AJ378" s="138"/>
      <c r="AK378" s="745"/>
      <c r="AL378" s="54"/>
      <c r="AM378" s="468"/>
      <c r="AN378" s="449"/>
      <c r="AO378" s="45"/>
      <c r="AP378" s="45"/>
      <c r="AQ378" s="45"/>
      <c r="AR378" s="45"/>
      <c r="AS378" s="45"/>
      <c r="AT378" s="45"/>
      <c r="AU378" s="463"/>
      <c r="AV378" s="449"/>
      <c r="AW378" s="45"/>
      <c r="AX378" s="45"/>
      <c r="AY378" s="45"/>
      <c r="AZ378" s="45"/>
      <c r="BA378" s="45"/>
      <c r="BB378" s="45"/>
      <c r="BC378" s="463"/>
      <c r="BD378" s="456"/>
      <c r="BE378" s="46"/>
      <c r="BF378" s="46"/>
      <c r="BG378" s="46"/>
      <c r="BH378" s="46"/>
      <c r="BI378" s="46"/>
      <c r="BJ378" s="457"/>
      <c r="BK378" s="449">
        <v>0</v>
      </c>
      <c r="BL378" s="45"/>
      <c r="BM378" s="45"/>
      <c r="BN378" s="45"/>
      <c r="BO378" s="45"/>
      <c r="BP378" s="45"/>
      <c r="BQ378" s="45"/>
      <c r="BR378" s="45"/>
      <c r="BS378" s="45"/>
      <c r="BT378" s="45"/>
      <c r="BU378" s="45"/>
      <c r="BV378" s="45"/>
      <c r="BW378" s="45"/>
      <c r="BX378" s="45"/>
      <c r="BY378" s="45"/>
      <c r="BZ378" s="45"/>
      <c r="CA378" s="45"/>
      <c r="CB378" s="45"/>
      <c r="CC378" s="45"/>
      <c r="CD378" s="463"/>
      <c r="CE378">
        <v>0</v>
      </c>
      <c r="CF378">
        <v>0</v>
      </c>
      <c r="CG378">
        <v>0</v>
      </c>
      <c r="CH378">
        <v>0</v>
      </c>
      <c r="CI378">
        <v>0</v>
      </c>
      <c r="CJ378">
        <v>0</v>
      </c>
      <c r="CK378">
        <v>0</v>
      </c>
      <c r="CL378">
        <v>0</v>
      </c>
      <c r="CM378">
        <v>0</v>
      </c>
      <c r="CN378">
        <v>0</v>
      </c>
      <c r="CO378">
        <v>0</v>
      </c>
      <c r="CP378">
        <v>0</v>
      </c>
      <c r="CQ378">
        <v>0</v>
      </c>
      <c r="CR378">
        <v>0</v>
      </c>
      <c r="CS378">
        <v>0</v>
      </c>
      <c r="CT378">
        <v>0</v>
      </c>
      <c r="CU378">
        <v>0</v>
      </c>
      <c r="CV378">
        <v>0</v>
      </c>
      <c r="CW378">
        <v>0</v>
      </c>
      <c r="CX378">
        <v>0</v>
      </c>
      <c r="CY378">
        <v>0</v>
      </c>
      <c r="CZ378">
        <v>0</v>
      </c>
      <c r="DA378">
        <v>0</v>
      </c>
      <c r="DB378">
        <v>0</v>
      </c>
      <c r="DC378">
        <v>0</v>
      </c>
      <c r="DD378">
        <v>0</v>
      </c>
      <c r="DE378">
        <v>0</v>
      </c>
      <c r="DF378">
        <v>0</v>
      </c>
      <c r="DG378">
        <v>0</v>
      </c>
      <c r="DH378">
        <v>0</v>
      </c>
      <c r="DI378">
        <v>0</v>
      </c>
      <c r="DJ378">
        <v>0</v>
      </c>
      <c r="DK378">
        <v>0</v>
      </c>
      <c r="DL378">
        <v>0</v>
      </c>
      <c r="DM378">
        <v>0</v>
      </c>
      <c r="DN378">
        <v>0</v>
      </c>
      <c r="DO378">
        <v>0</v>
      </c>
      <c r="DP378">
        <v>0</v>
      </c>
      <c r="DQ378">
        <v>0</v>
      </c>
      <c r="DR378">
        <v>0</v>
      </c>
      <c r="DS378">
        <v>0</v>
      </c>
      <c r="DT378">
        <v>0</v>
      </c>
      <c r="DU378">
        <v>0</v>
      </c>
    </row>
    <row r="379" spans="2:125">
      <c r="B379" s="136">
        <v>370</v>
      </c>
      <c r="C379" s="138">
        <v>1</v>
      </c>
      <c r="D379" s="474">
        <v>3411.4820824690169</v>
      </c>
      <c r="E379" s="127">
        <v>176.0252932757013</v>
      </c>
      <c r="F379" s="447">
        <v>0.414466568591631</v>
      </c>
      <c r="G379" s="127">
        <v>142.44992442185898</v>
      </c>
      <c r="H379" s="132">
        <v>49.466793236617491</v>
      </c>
      <c r="I379" s="456"/>
      <c r="J379" s="45"/>
      <c r="K379" s="45">
        <v>540</v>
      </c>
      <c r="L379" s="463"/>
      <c r="M379" s="456">
        <v>37.001541137695313</v>
      </c>
      <c r="N379" s="457"/>
      <c r="O379" s="456"/>
      <c r="P379" s="46"/>
      <c r="Q379" s="463">
        <v>67.547348022460938</v>
      </c>
      <c r="R379" s="449"/>
      <c r="S379" s="463"/>
      <c r="T379" s="480"/>
      <c r="U379" s="468"/>
      <c r="V379" s="449"/>
      <c r="W379" s="45">
        <v>1653.6851806640625</v>
      </c>
      <c r="X379" s="463">
        <v>137.61604309082031</v>
      </c>
      <c r="Y379" s="449"/>
      <c r="Z379" s="45"/>
      <c r="AA379" s="468">
        <v>0.40470854244138377</v>
      </c>
      <c r="AB379" s="456"/>
      <c r="AC379" s="46"/>
      <c r="AD379" s="46"/>
      <c r="AE379" s="46"/>
      <c r="AF379" s="46"/>
      <c r="AG379" s="46"/>
      <c r="AH379" s="46"/>
      <c r="AI379" s="457"/>
      <c r="AJ379" s="138"/>
      <c r="AK379" s="745"/>
      <c r="AL379" s="54"/>
      <c r="AM379" s="468"/>
      <c r="AN379" s="449"/>
      <c r="AO379" s="45"/>
      <c r="AP379" s="45"/>
      <c r="AQ379" s="45"/>
      <c r="AR379" s="45"/>
      <c r="AS379" s="45"/>
      <c r="AT379" s="45"/>
      <c r="AU379" s="463"/>
      <c r="AV379" s="449"/>
      <c r="AW379" s="45"/>
      <c r="AX379" s="45"/>
      <c r="AY379" s="45"/>
      <c r="AZ379" s="45"/>
      <c r="BA379" s="45"/>
      <c r="BB379" s="45"/>
      <c r="BC379" s="463"/>
      <c r="BD379" s="456"/>
      <c r="BE379" s="46"/>
      <c r="BF379" s="46"/>
      <c r="BG379" s="46"/>
      <c r="BH379" s="46"/>
      <c r="BI379" s="46"/>
      <c r="BJ379" s="457"/>
      <c r="BK379" s="449">
        <v>0</v>
      </c>
      <c r="BL379" s="45"/>
      <c r="BM379" s="45"/>
      <c r="BN379" s="45"/>
      <c r="BO379" s="45"/>
      <c r="BP379" s="45"/>
      <c r="BQ379" s="45"/>
      <c r="BR379" s="45"/>
      <c r="BS379" s="45"/>
      <c r="BT379" s="45"/>
      <c r="BU379" s="45"/>
      <c r="BV379" s="45"/>
      <c r="BW379" s="45"/>
      <c r="BX379" s="45"/>
      <c r="BY379" s="45"/>
      <c r="BZ379" s="45"/>
      <c r="CA379" s="45"/>
      <c r="CB379" s="45"/>
      <c r="CC379" s="45"/>
      <c r="CD379" s="463"/>
      <c r="CE379">
        <v>0</v>
      </c>
      <c r="CF379">
        <v>0</v>
      </c>
      <c r="CG379">
        <v>0</v>
      </c>
      <c r="CH379">
        <v>0</v>
      </c>
      <c r="CI379">
        <v>0</v>
      </c>
      <c r="CJ379">
        <v>0</v>
      </c>
      <c r="CK379">
        <v>0</v>
      </c>
      <c r="CL379">
        <v>0</v>
      </c>
      <c r="CM379">
        <v>0</v>
      </c>
      <c r="CN379">
        <v>0</v>
      </c>
      <c r="CO379">
        <v>0</v>
      </c>
      <c r="CP379">
        <v>0</v>
      </c>
      <c r="CQ379">
        <v>0</v>
      </c>
      <c r="CR379">
        <v>0</v>
      </c>
      <c r="CS379">
        <v>0</v>
      </c>
      <c r="CT379">
        <v>0</v>
      </c>
      <c r="CU379">
        <v>0</v>
      </c>
      <c r="CV379">
        <v>0</v>
      </c>
      <c r="CW379">
        <v>0</v>
      </c>
      <c r="CX379">
        <v>0</v>
      </c>
      <c r="CY379">
        <v>0</v>
      </c>
      <c r="CZ379">
        <v>0</v>
      </c>
      <c r="DA379">
        <v>0</v>
      </c>
      <c r="DB379">
        <v>0</v>
      </c>
      <c r="DC379">
        <v>0</v>
      </c>
      <c r="DD379">
        <v>0</v>
      </c>
      <c r="DE379">
        <v>0</v>
      </c>
      <c r="DF379">
        <v>0</v>
      </c>
      <c r="DG379">
        <v>0</v>
      </c>
      <c r="DH379">
        <v>0</v>
      </c>
      <c r="DI379">
        <v>0</v>
      </c>
      <c r="DJ379">
        <v>0</v>
      </c>
      <c r="DK379">
        <v>0</v>
      </c>
      <c r="DL379">
        <v>0</v>
      </c>
      <c r="DM379">
        <v>0</v>
      </c>
      <c r="DN379">
        <v>0</v>
      </c>
      <c r="DO379">
        <v>0</v>
      </c>
      <c r="DP379">
        <v>0</v>
      </c>
      <c r="DQ379">
        <v>0</v>
      </c>
      <c r="DR379">
        <v>0</v>
      </c>
      <c r="DS379">
        <v>0</v>
      </c>
      <c r="DT379">
        <v>0</v>
      </c>
      <c r="DU379">
        <v>0</v>
      </c>
    </row>
    <row r="380" spans="2:125">
      <c r="B380" s="136">
        <v>371</v>
      </c>
      <c r="C380" s="138">
        <v>1</v>
      </c>
      <c r="D380" s="474">
        <v>3143.5020455859203</v>
      </c>
      <c r="E380" s="127">
        <v>268.05016016003594</v>
      </c>
      <c r="F380" s="447">
        <v>0.37682278104940303</v>
      </c>
      <c r="G380" s="127">
        <v>130.22563637693358</v>
      </c>
      <c r="H380" s="132">
        <v>47.349387808201676</v>
      </c>
      <c r="I380" s="456"/>
      <c r="J380" s="45"/>
      <c r="K380" s="45">
        <v>490</v>
      </c>
      <c r="L380" s="463"/>
      <c r="M380" s="456">
        <v>31.447528839111328</v>
      </c>
      <c r="N380" s="457"/>
      <c r="O380" s="456"/>
      <c r="P380" s="46"/>
      <c r="Q380" s="463">
        <v>62.241340637207031</v>
      </c>
      <c r="R380" s="449"/>
      <c r="S380" s="463"/>
      <c r="T380" s="480"/>
      <c r="U380" s="468"/>
      <c r="V380" s="449"/>
      <c r="W380" s="45">
        <v>1345.438720703125</v>
      </c>
      <c r="X380" s="463">
        <v>114.98841857910156</v>
      </c>
      <c r="Y380" s="449"/>
      <c r="Z380" s="45"/>
      <c r="AA380" s="468">
        <v>0.36647239630361433</v>
      </c>
      <c r="AB380" s="456"/>
      <c r="AC380" s="46"/>
      <c r="AD380" s="46"/>
      <c r="AE380" s="46"/>
      <c r="AF380" s="46"/>
      <c r="AG380" s="46"/>
      <c r="AH380" s="46"/>
      <c r="AI380" s="457"/>
      <c r="AJ380" s="138"/>
      <c r="AK380" s="745"/>
      <c r="AL380" s="54"/>
      <c r="AM380" s="468"/>
      <c r="AN380" s="449"/>
      <c r="AO380" s="45"/>
      <c r="AP380" s="45"/>
      <c r="AQ380" s="45"/>
      <c r="AR380" s="45"/>
      <c r="AS380" s="45"/>
      <c r="AT380" s="45"/>
      <c r="AU380" s="463"/>
      <c r="AV380" s="449"/>
      <c r="AW380" s="45"/>
      <c r="AX380" s="45"/>
      <c r="AY380" s="45"/>
      <c r="AZ380" s="45"/>
      <c r="BA380" s="45"/>
      <c r="BB380" s="45"/>
      <c r="BC380" s="463"/>
      <c r="BD380" s="456"/>
      <c r="BE380" s="46"/>
      <c r="BF380" s="46"/>
      <c r="BG380" s="46"/>
      <c r="BH380" s="46"/>
      <c r="BI380" s="46"/>
      <c r="BJ380" s="457"/>
      <c r="BK380" s="449">
        <v>0</v>
      </c>
      <c r="BL380" s="45"/>
      <c r="BM380" s="45"/>
      <c r="BN380" s="45"/>
      <c r="BO380" s="45"/>
      <c r="BP380" s="45"/>
      <c r="BQ380" s="45"/>
      <c r="BR380" s="45"/>
      <c r="BS380" s="45"/>
      <c r="BT380" s="45"/>
      <c r="BU380" s="45"/>
      <c r="BV380" s="45"/>
      <c r="BW380" s="45"/>
      <c r="BX380" s="45"/>
      <c r="BY380" s="45"/>
      <c r="BZ380" s="45"/>
      <c r="CA380" s="45"/>
      <c r="CB380" s="45"/>
      <c r="CC380" s="45"/>
      <c r="CD380" s="463"/>
      <c r="CE380">
        <v>0</v>
      </c>
      <c r="CF380">
        <v>0</v>
      </c>
      <c r="CG380">
        <v>0</v>
      </c>
      <c r="CH380">
        <v>0</v>
      </c>
      <c r="CI380">
        <v>0</v>
      </c>
      <c r="CJ380">
        <v>0</v>
      </c>
      <c r="CK380">
        <v>0</v>
      </c>
      <c r="CL380">
        <v>0</v>
      </c>
      <c r="CM380">
        <v>0</v>
      </c>
      <c r="CN380">
        <v>0</v>
      </c>
      <c r="CO380">
        <v>0</v>
      </c>
      <c r="CP380">
        <v>0</v>
      </c>
      <c r="CQ380">
        <v>0</v>
      </c>
      <c r="CR380">
        <v>0</v>
      </c>
      <c r="CS380">
        <v>0</v>
      </c>
      <c r="CT380">
        <v>0</v>
      </c>
      <c r="CU380">
        <v>0</v>
      </c>
      <c r="CV380">
        <v>0</v>
      </c>
      <c r="CW380">
        <v>0</v>
      </c>
      <c r="CX380">
        <v>0</v>
      </c>
      <c r="CY380">
        <v>0</v>
      </c>
      <c r="CZ380">
        <v>0</v>
      </c>
      <c r="DA380">
        <v>0</v>
      </c>
      <c r="DB380">
        <v>0</v>
      </c>
      <c r="DC380">
        <v>0</v>
      </c>
      <c r="DD380">
        <v>0</v>
      </c>
      <c r="DE380">
        <v>0</v>
      </c>
      <c r="DF380">
        <v>0</v>
      </c>
      <c r="DG380">
        <v>0</v>
      </c>
      <c r="DH380">
        <v>0</v>
      </c>
      <c r="DI380">
        <v>0</v>
      </c>
      <c r="DJ380">
        <v>0</v>
      </c>
      <c r="DK380">
        <v>0</v>
      </c>
      <c r="DL380">
        <v>0</v>
      </c>
      <c r="DM380">
        <v>0</v>
      </c>
      <c r="DN380">
        <v>0</v>
      </c>
      <c r="DO380">
        <v>0</v>
      </c>
      <c r="DP380">
        <v>0</v>
      </c>
      <c r="DQ380">
        <v>0</v>
      </c>
      <c r="DR380">
        <v>0</v>
      </c>
      <c r="DS380">
        <v>0</v>
      </c>
      <c r="DT380">
        <v>0</v>
      </c>
      <c r="DU380">
        <v>0</v>
      </c>
    </row>
    <row r="381" spans="2:125">
      <c r="B381" s="136">
        <v>372</v>
      </c>
      <c r="C381" s="138">
        <v>1</v>
      </c>
      <c r="D381" s="474">
        <v>3395.1897817214194</v>
      </c>
      <c r="E381" s="127">
        <v>255.26960153147562</v>
      </c>
      <c r="F381" s="447">
        <v>0.48274967865516727</v>
      </c>
      <c r="G381" s="127">
        <v>127.1131081808396</v>
      </c>
      <c r="H381" s="132">
        <v>53.783607790096084</v>
      </c>
      <c r="I381" s="456"/>
      <c r="J381" s="45"/>
      <c r="K381" s="45">
        <v>520</v>
      </c>
      <c r="L381" s="463"/>
      <c r="M381" s="456">
        <v>48.045318603515625</v>
      </c>
      <c r="N381" s="457"/>
      <c r="O381" s="456"/>
      <c r="P381" s="46"/>
      <c r="Q381" s="463">
        <v>67.224761962890625</v>
      </c>
      <c r="R381" s="449"/>
      <c r="S381" s="463"/>
      <c r="T381" s="480"/>
      <c r="U381" s="468"/>
      <c r="V381" s="449"/>
      <c r="W381" s="45">
        <v>2076.175537109375</v>
      </c>
      <c r="X381" s="463">
        <v>168.23423767089844</v>
      </c>
      <c r="Y381" s="449"/>
      <c r="Z381" s="45"/>
      <c r="AA381" s="468">
        <v>0.47254259280692557</v>
      </c>
      <c r="AB381" s="456"/>
      <c r="AC381" s="46"/>
      <c r="AD381" s="46"/>
      <c r="AE381" s="46"/>
      <c r="AF381" s="46"/>
      <c r="AG381" s="46"/>
      <c r="AH381" s="46"/>
      <c r="AI381" s="457"/>
      <c r="AJ381" s="138"/>
      <c r="AK381" s="745"/>
      <c r="AL381" s="54"/>
      <c r="AM381" s="468"/>
      <c r="AN381" s="449"/>
      <c r="AO381" s="45"/>
      <c r="AP381" s="45"/>
      <c r="AQ381" s="45"/>
      <c r="AR381" s="45"/>
      <c r="AS381" s="45"/>
      <c r="AT381" s="45"/>
      <c r="AU381" s="463"/>
      <c r="AV381" s="449"/>
      <c r="AW381" s="45"/>
      <c r="AX381" s="45"/>
      <c r="AY381" s="45"/>
      <c r="AZ381" s="45"/>
      <c r="BA381" s="45"/>
      <c r="BB381" s="45"/>
      <c r="BC381" s="463"/>
      <c r="BD381" s="456"/>
      <c r="BE381" s="46"/>
      <c r="BF381" s="46"/>
      <c r="BG381" s="46"/>
      <c r="BH381" s="46"/>
      <c r="BI381" s="46"/>
      <c r="BJ381" s="457"/>
      <c r="BK381" s="449">
        <v>0</v>
      </c>
      <c r="BL381" s="45"/>
      <c r="BM381" s="45"/>
      <c r="BN381" s="45"/>
      <c r="BO381" s="45"/>
      <c r="BP381" s="45"/>
      <c r="BQ381" s="45"/>
      <c r="BR381" s="45"/>
      <c r="BS381" s="45"/>
      <c r="BT381" s="45"/>
      <c r="BU381" s="45"/>
      <c r="BV381" s="45"/>
      <c r="BW381" s="45"/>
      <c r="BX381" s="45"/>
      <c r="BY381" s="45"/>
      <c r="BZ381" s="45"/>
      <c r="CA381" s="45"/>
      <c r="CB381" s="45"/>
      <c r="CC381" s="45"/>
      <c r="CD381" s="463"/>
      <c r="CE381">
        <v>0</v>
      </c>
      <c r="CF381">
        <v>0</v>
      </c>
      <c r="CG381">
        <v>0</v>
      </c>
      <c r="CH381">
        <v>0</v>
      </c>
      <c r="CI381">
        <v>0</v>
      </c>
      <c r="CJ381">
        <v>0</v>
      </c>
      <c r="CK381">
        <v>0</v>
      </c>
      <c r="CL381">
        <v>0</v>
      </c>
      <c r="CM381">
        <v>0</v>
      </c>
      <c r="CN381">
        <v>0</v>
      </c>
      <c r="CO381">
        <v>0</v>
      </c>
      <c r="CP381">
        <v>0</v>
      </c>
      <c r="CQ381">
        <v>0</v>
      </c>
      <c r="CR381">
        <v>0</v>
      </c>
      <c r="CS381">
        <v>0</v>
      </c>
      <c r="CT381">
        <v>0</v>
      </c>
      <c r="CU381">
        <v>0</v>
      </c>
      <c r="CV381">
        <v>0</v>
      </c>
      <c r="CW381">
        <v>0</v>
      </c>
      <c r="CX381">
        <v>0</v>
      </c>
      <c r="CY381">
        <v>0</v>
      </c>
      <c r="CZ381">
        <v>0</v>
      </c>
      <c r="DA381">
        <v>0</v>
      </c>
      <c r="DB381">
        <v>0</v>
      </c>
      <c r="DC381">
        <v>0</v>
      </c>
      <c r="DD381">
        <v>0</v>
      </c>
      <c r="DE381">
        <v>0</v>
      </c>
      <c r="DF381">
        <v>0</v>
      </c>
      <c r="DG381">
        <v>0</v>
      </c>
      <c r="DH381">
        <v>0</v>
      </c>
      <c r="DI381">
        <v>0</v>
      </c>
      <c r="DJ381">
        <v>0</v>
      </c>
      <c r="DK381">
        <v>0</v>
      </c>
      <c r="DL381">
        <v>0</v>
      </c>
      <c r="DM381">
        <v>0</v>
      </c>
      <c r="DN381">
        <v>0</v>
      </c>
      <c r="DO381">
        <v>0</v>
      </c>
      <c r="DP381">
        <v>0</v>
      </c>
      <c r="DQ381">
        <v>0</v>
      </c>
      <c r="DR381">
        <v>0</v>
      </c>
      <c r="DS381">
        <v>0</v>
      </c>
      <c r="DT381">
        <v>0</v>
      </c>
      <c r="DU381">
        <v>0</v>
      </c>
    </row>
    <row r="382" spans="2:125">
      <c r="B382" s="136">
        <v>373</v>
      </c>
      <c r="C382" s="138">
        <v>1</v>
      </c>
      <c r="D382" s="474">
        <v>3032.29770441449</v>
      </c>
      <c r="E382" s="127">
        <v>320.16985352038489</v>
      </c>
      <c r="F382" s="447">
        <v>0.39055736194616453</v>
      </c>
      <c r="G382" s="127">
        <v>97.2338278741301</v>
      </c>
      <c r="H382" s="132">
        <v>55.154213233978631</v>
      </c>
      <c r="I382" s="456"/>
      <c r="J382" s="45"/>
      <c r="K382" s="45">
        <v>410</v>
      </c>
      <c r="L382" s="463"/>
      <c r="M382" s="456">
        <v>29.092960357666016</v>
      </c>
      <c r="N382" s="457"/>
      <c r="O382" s="456"/>
      <c r="P382" s="46"/>
      <c r="Q382" s="463">
        <v>60.039497375488281</v>
      </c>
      <c r="R382" s="449"/>
      <c r="S382" s="463"/>
      <c r="T382" s="480"/>
      <c r="U382" s="468"/>
      <c r="V382" s="449"/>
      <c r="W382" s="45">
        <v>1202.6851806640625</v>
      </c>
      <c r="X382" s="463">
        <v>104.28285217285156</v>
      </c>
      <c r="Y382" s="449"/>
      <c r="Z382" s="45"/>
      <c r="AA382" s="468">
        <v>0.37973680590671105</v>
      </c>
      <c r="AB382" s="456"/>
      <c r="AC382" s="46"/>
      <c r="AD382" s="46"/>
      <c r="AE382" s="46"/>
      <c r="AF382" s="46"/>
      <c r="AG382" s="46"/>
      <c r="AH382" s="46"/>
      <c r="AI382" s="457"/>
      <c r="AJ382" s="138"/>
      <c r="AK382" s="745"/>
      <c r="AL382" s="54"/>
      <c r="AM382" s="468"/>
      <c r="AN382" s="449"/>
      <c r="AO382" s="45"/>
      <c r="AP382" s="45"/>
      <c r="AQ382" s="45"/>
      <c r="AR382" s="45"/>
      <c r="AS382" s="45"/>
      <c r="AT382" s="45"/>
      <c r="AU382" s="463"/>
      <c r="AV382" s="449"/>
      <c r="AW382" s="45"/>
      <c r="AX382" s="45"/>
      <c r="AY382" s="45"/>
      <c r="AZ382" s="45"/>
      <c r="BA382" s="45"/>
      <c r="BB382" s="45"/>
      <c r="BC382" s="463"/>
      <c r="BD382" s="456"/>
      <c r="BE382" s="46"/>
      <c r="BF382" s="46"/>
      <c r="BG382" s="46"/>
      <c r="BH382" s="46"/>
      <c r="BI382" s="46"/>
      <c r="BJ382" s="457"/>
      <c r="BK382" s="449">
        <v>0</v>
      </c>
      <c r="BL382" s="45"/>
      <c r="BM382" s="45"/>
      <c r="BN382" s="45"/>
      <c r="BO382" s="45"/>
      <c r="BP382" s="45"/>
      <c r="BQ382" s="45"/>
      <c r="BR382" s="45"/>
      <c r="BS382" s="45"/>
      <c r="BT382" s="45"/>
      <c r="BU382" s="45"/>
      <c r="BV382" s="45"/>
      <c r="BW382" s="45"/>
      <c r="BX382" s="45"/>
      <c r="BY382" s="45"/>
      <c r="BZ382" s="45"/>
      <c r="CA382" s="45"/>
      <c r="CB382" s="45"/>
      <c r="CC382" s="45"/>
      <c r="CD382" s="463"/>
      <c r="CE382">
        <v>0</v>
      </c>
      <c r="CF382">
        <v>0</v>
      </c>
      <c r="CG382">
        <v>0</v>
      </c>
      <c r="CH382">
        <v>0</v>
      </c>
      <c r="CI382">
        <v>0</v>
      </c>
      <c r="CJ382">
        <v>0</v>
      </c>
      <c r="CK382">
        <v>0</v>
      </c>
      <c r="CL382">
        <v>0</v>
      </c>
      <c r="CM382">
        <v>0</v>
      </c>
      <c r="CN382">
        <v>0</v>
      </c>
      <c r="CO382">
        <v>0</v>
      </c>
      <c r="CP382">
        <v>0</v>
      </c>
      <c r="CQ382">
        <v>0</v>
      </c>
      <c r="CR382">
        <v>0</v>
      </c>
      <c r="CS382">
        <v>0</v>
      </c>
      <c r="CT382">
        <v>0</v>
      </c>
      <c r="CU382">
        <v>0</v>
      </c>
      <c r="CV382">
        <v>0</v>
      </c>
      <c r="CW382">
        <v>0</v>
      </c>
      <c r="CX382">
        <v>0</v>
      </c>
      <c r="CY382">
        <v>0</v>
      </c>
      <c r="CZ382">
        <v>0</v>
      </c>
      <c r="DA382">
        <v>0</v>
      </c>
      <c r="DB382">
        <v>0</v>
      </c>
      <c r="DC382">
        <v>0</v>
      </c>
      <c r="DD382">
        <v>0</v>
      </c>
      <c r="DE382">
        <v>0</v>
      </c>
      <c r="DF382">
        <v>0</v>
      </c>
      <c r="DG382">
        <v>0</v>
      </c>
      <c r="DH382">
        <v>0</v>
      </c>
      <c r="DI382">
        <v>0</v>
      </c>
      <c r="DJ382">
        <v>0</v>
      </c>
      <c r="DK382">
        <v>0</v>
      </c>
      <c r="DL382">
        <v>0</v>
      </c>
      <c r="DM382">
        <v>0</v>
      </c>
      <c r="DN382">
        <v>0</v>
      </c>
      <c r="DO382">
        <v>0</v>
      </c>
      <c r="DP382">
        <v>0</v>
      </c>
      <c r="DQ382">
        <v>0</v>
      </c>
      <c r="DR382">
        <v>0</v>
      </c>
      <c r="DS382">
        <v>0</v>
      </c>
      <c r="DT382">
        <v>0</v>
      </c>
      <c r="DU382">
        <v>0</v>
      </c>
    </row>
    <row r="383" spans="2:125">
      <c r="B383" s="136">
        <v>374</v>
      </c>
      <c r="C383" s="138">
        <v>1</v>
      </c>
      <c r="D383" s="474">
        <v>3052.1153466343312</v>
      </c>
      <c r="E383" s="127">
        <v>246.70908805779499</v>
      </c>
      <c r="F383" s="447">
        <v>0.46589261110795932</v>
      </c>
      <c r="G383" s="127">
        <v>98.308726768185451</v>
      </c>
      <c r="H383" s="132">
        <v>55.229279110259377</v>
      </c>
      <c r="I383" s="456"/>
      <c r="J383" s="45"/>
      <c r="K383" s="45">
        <v>430</v>
      </c>
      <c r="L383" s="463"/>
      <c r="M383" s="456">
        <v>39.49066162109375</v>
      </c>
      <c r="N383" s="457"/>
      <c r="O383" s="456"/>
      <c r="P383" s="46"/>
      <c r="Q383" s="463">
        <v>60.431880950927734</v>
      </c>
      <c r="R383" s="449"/>
      <c r="S383" s="463"/>
      <c r="T383" s="480"/>
      <c r="U383" s="468"/>
      <c r="V383" s="449"/>
      <c r="W383" s="45">
        <v>1605.2784423828125</v>
      </c>
      <c r="X383" s="463">
        <v>133.61146545410156</v>
      </c>
      <c r="Y383" s="449"/>
      <c r="Z383" s="45"/>
      <c r="AA383" s="468">
        <v>0.45464865459759918</v>
      </c>
      <c r="AB383" s="456"/>
      <c r="AC383" s="46"/>
      <c r="AD383" s="46"/>
      <c r="AE383" s="46"/>
      <c r="AF383" s="46"/>
      <c r="AG383" s="46"/>
      <c r="AH383" s="46"/>
      <c r="AI383" s="457"/>
      <c r="AJ383" s="138"/>
      <c r="AK383" s="745"/>
      <c r="AL383" s="54"/>
      <c r="AM383" s="468"/>
      <c r="AN383" s="449"/>
      <c r="AO383" s="45"/>
      <c r="AP383" s="45"/>
      <c r="AQ383" s="45"/>
      <c r="AR383" s="45"/>
      <c r="AS383" s="45"/>
      <c r="AT383" s="45"/>
      <c r="AU383" s="463"/>
      <c r="AV383" s="449"/>
      <c r="AW383" s="45"/>
      <c r="AX383" s="45"/>
      <c r="AY383" s="45"/>
      <c r="AZ383" s="45"/>
      <c r="BA383" s="45"/>
      <c r="BB383" s="45"/>
      <c r="BC383" s="463"/>
      <c r="BD383" s="456"/>
      <c r="BE383" s="46"/>
      <c r="BF383" s="46"/>
      <c r="BG383" s="46"/>
      <c r="BH383" s="46"/>
      <c r="BI383" s="46"/>
      <c r="BJ383" s="457"/>
      <c r="BK383" s="449">
        <v>0</v>
      </c>
      <c r="BL383" s="45"/>
      <c r="BM383" s="45"/>
      <c r="BN383" s="45"/>
      <c r="BO383" s="45"/>
      <c r="BP383" s="45"/>
      <c r="BQ383" s="45"/>
      <c r="BR383" s="45"/>
      <c r="BS383" s="45"/>
      <c r="BT383" s="45"/>
      <c r="BU383" s="45"/>
      <c r="BV383" s="45"/>
      <c r="BW383" s="45"/>
      <c r="BX383" s="45"/>
      <c r="BY383" s="45"/>
      <c r="BZ383" s="45"/>
      <c r="CA383" s="45"/>
      <c r="CB383" s="45"/>
      <c r="CC383" s="45"/>
      <c r="CD383" s="463"/>
      <c r="CE383">
        <v>0</v>
      </c>
      <c r="CF383">
        <v>0</v>
      </c>
      <c r="CG383">
        <v>0</v>
      </c>
      <c r="CH383">
        <v>0</v>
      </c>
      <c r="CI383">
        <v>0</v>
      </c>
      <c r="CJ383">
        <v>0</v>
      </c>
      <c r="CK383">
        <v>0</v>
      </c>
      <c r="CL383">
        <v>0</v>
      </c>
      <c r="CM383">
        <v>0</v>
      </c>
      <c r="CN383">
        <v>0</v>
      </c>
      <c r="CO383">
        <v>0</v>
      </c>
      <c r="CP383">
        <v>0</v>
      </c>
      <c r="CQ383">
        <v>0</v>
      </c>
      <c r="CR383">
        <v>0</v>
      </c>
      <c r="CS383">
        <v>0</v>
      </c>
      <c r="CT383">
        <v>0</v>
      </c>
      <c r="CU383">
        <v>0</v>
      </c>
      <c r="CV383">
        <v>0</v>
      </c>
      <c r="CW383">
        <v>0</v>
      </c>
      <c r="CX383">
        <v>0</v>
      </c>
      <c r="CY383">
        <v>0</v>
      </c>
      <c r="CZ383">
        <v>0</v>
      </c>
      <c r="DA383">
        <v>0</v>
      </c>
      <c r="DB383">
        <v>0</v>
      </c>
      <c r="DC383">
        <v>0</v>
      </c>
      <c r="DD383">
        <v>0</v>
      </c>
      <c r="DE383">
        <v>0</v>
      </c>
      <c r="DF383">
        <v>0</v>
      </c>
      <c r="DG383">
        <v>0</v>
      </c>
      <c r="DH383">
        <v>0</v>
      </c>
      <c r="DI383">
        <v>0</v>
      </c>
      <c r="DJ383">
        <v>0</v>
      </c>
      <c r="DK383">
        <v>0</v>
      </c>
      <c r="DL383">
        <v>0</v>
      </c>
      <c r="DM383">
        <v>0</v>
      </c>
      <c r="DN383">
        <v>0</v>
      </c>
      <c r="DO383">
        <v>0</v>
      </c>
      <c r="DP383">
        <v>0</v>
      </c>
      <c r="DQ383">
        <v>0</v>
      </c>
      <c r="DR383">
        <v>0</v>
      </c>
      <c r="DS383">
        <v>0</v>
      </c>
      <c r="DT383">
        <v>0</v>
      </c>
      <c r="DU383">
        <v>0</v>
      </c>
    </row>
    <row r="384" spans="2:125">
      <c r="B384" s="136">
        <v>375</v>
      </c>
      <c r="C384" s="138">
        <v>1</v>
      </c>
      <c r="D384" s="474">
        <v>3287.9190394540656</v>
      </c>
      <c r="E384" s="127">
        <v>330.29620667282438</v>
      </c>
      <c r="F384" s="447">
        <v>0.43175864547454906</v>
      </c>
      <c r="G384" s="127">
        <v>116.5373315122867</v>
      </c>
      <c r="H384" s="132">
        <v>61.493794692011093</v>
      </c>
      <c r="I384" s="456"/>
      <c r="J384" s="45"/>
      <c r="K384" s="45">
        <v>500</v>
      </c>
      <c r="L384" s="463"/>
      <c r="M384" s="456">
        <v>35.02490234375</v>
      </c>
      <c r="N384" s="457"/>
      <c r="O384" s="456"/>
      <c r="P384" s="46"/>
      <c r="Q384" s="463">
        <v>73.328575134277344</v>
      </c>
      <c r="R384" s="449"/>
      <c r="S384" s="463"/>
      <c r="T384" s="480"/>
      <c r="U384" s="468"/>
      <c r="V384" s="449"/>
      <c r="W384" s="45">
        <v>1627.3466796875</v>
      </c>
      <c r="X384" s="463">
        <v>135.54147338867187</v>
      </c>
      <c r="Y384" s="449"/>
      <c r="Z384" s="45"/>
      <c r="AA384" s="468">
        <v>0.42152871812357756</v>
      </c>
      <c r="AB384" s="456"/>
      <c r="AC384" s="46"/>
      <c r="AD384" s="46"/>
      <c r="AE384" s="46"/>
      <c r="AF384" s="46"/>
      <c r="AG384" s="46"/>
      <c r="AH384" s="46"/>
      <c r="AI384" s="457"/>
      <c r="AJ384" s="138"/>
      <c r="AK384" s="745"/>
      <c r="AL384" s="54"/>
      <c r="AM384" s="468"/>
      <c r="AN384" s="449"/>
      <c r="AO384" s="45"/>
      <c r="AP384" s="45"/>
      <c r="AQ384" s="45"/>
      <c r="AR384" s="45"/>
      <c r="AS384" s="45"/>
      <c r="AT384" s="45"/>
      <c r="AU384" s="463"/>
      <c r="AV384" s="449"/>
      <c r="AW384" s="45"/>
      <c r="AX384" s="45"/>
      <c r="AY384" s="45"/>
      <c r="AZ384" s="45"/>
      <c r="BA384" s="45"/>
      <c r="BB384" s="45"/>
      <c r="BC384" s="463"/>
      <c r="BD384" s="456"/>
      <c r="BE384" s="46"/>
      <c r="BF384" s="46"/>
      <c r="BG384" s="46"/>
      <c r="BH384" s="46"/>
      <c r="BI384" s="46"/>
      <c r="BJ384" s="457"/>
      <c r="BK384" s="449">
        <v>0</v>
      </c>
      <c r="BL384" s="45"/>
      <c r="BM384" s="45"/>
      <c r="BN384" s="45"/>
      <c r="BO384" s="45"/>
      <c r="BP384" s="45"/>
      <c r="BQ384" s="45"/>
      <c r="BR384" s="45"/>
      <c r="BS384" s="45"/>
      <c r="BT384" s="45"/>
      <c r="BU384" s="45"/>
      <c r="BV384" s="45"/>
      <c r="BW384" s="45"/>
      <c r="BX384" s="45"/>
      <c r="BY384" s="45"/>
      <c r="BZ384" s="45"/>
      <c r="CA384" s="45"/>
      <c r="CB384" s="45"/>
      <c r="CC384" s="45"/>
      <c r="CD384" s="463"/>
      <c r="CE384">
        <v>0</v>
      </c>
      <c r="CF384">
        <v>0</v>
      </c>
      <c r="CG384">
        <v>0</v>
      </c>
      <c r="CH384">
        <v>0</v>
      </c>
      <c r="CI384">
        <v>0</v>
      </c>
      <c r="CJ384">
        <v>0</v>
      </c>
      <c r="CK384">
        <v>0</v>
      </c>
      <c r="CL384">
        <v>0</v>
      </c>
      <c r="CM384">
        <v>0</v>
      </c>
      <c r="CN384">
        <v>0</v>
      </c>
      <c r="CO384">
        <v>0</v>
      </c>
      <c r="CP384">
        <v>0</v>
      </c>
      <c r="CQ384">
        <v>0</v>
      </c>
      <c r="CR384">
        <v>0</v>
      </c>
      <c r="CS384">
        <v>0</v>
      </c>
      <c r="CT384">
        <v>0</v>
      </c>
      <c r="CU384">
        <v>0</v>
      </c>
      <c r="CV384">
        <v>0</v>
      </c>
      <c r="CW384">
        <v>0</v>
      </c>
      <c r="CX384">
        <v>0</v>
      </c>
      <c r="CY384">
        <v>0</v>
      </c>
      <c r="CZ384">
        <v>0</v>
      </c>
      <c r="DA384">
        <v>0</v>
      </c>
      <c r="DB384">
        <v>0</v>
      </c>
      <c r="DC384">
        <v>0</v>
      </c>
      <c r="DD384">
        <v>0</v>
      </c>
      <c r="DE384">
        <v>0</v>
      </c>
      <c r="DF384">
        <v>0</v>
      </c>
      <c r="DG384">
        <v>0</v>
      </c>
      <c r="DH384">
        <v>0</v>
      </c>
      <c r="DI384">
        <v>0</v>
      </c>
      <c r="DJ384">
        <v>0</v>
      </c>
      <c r="DK384">
        <v>0</v>
      </c>
      <c r="DL384">
        <v>0</v>
      </c>
      <c r="DM384">
        <v>0</v>
      </c>
      <c r="DN384">
        <v>0</v>
      </c>
      <c r="DO384">
        <v>0</v>
      </c>
      <c r="DP384">
        <v>0</v>
      </c>
      <c r="DQ384">
        <v>0</v>
      </c>
      <c r="DR384">
        <v>0</v>
      </c>
      <c r="DS384">
        <v>0</v>
      </c>
      <c r="DT384">
        <v>0</v>
      </c>
      <c r="DU384">
        <v>0</v>
      </c>
    </row>
    <row r="385" spans="2:125">
      <c r="B385" s="136">
        <v>376</v>
      </c>
      <c r="C385" s="138">
        <v>1</v>
      </c>
      <c r="D385" s="474">
        <v>3774.6138685500314</v>
      </c>
      <c r="E385" s="127">
        <v>268.73414019068963</v>
      </c>
      <c r="F385" s="447">
        <v>0.41271531996008348</v>
      </c>
      <c r="G385" s="127">
        <v>152.13782424171555</v>
      </c>
      <c r="H385" s="132">
        <v>60.770576337634097</v>
      </c>
      <c r="I385" s="456"/>
      <c r="J385" s="45"/>
      <c r="K385" s="45">
        <v>610</v>
      </c>
      <c r="L385" s="463"/>
      <c r="M385" s="456">
        <v>36.025703430175781</v>
      </c>
      <c r="N385" s="457"/>
      <c r="O385" s="456"/>
      <c r="P385" s="46"/>
      <c r="Q385" s="463">
        <v>82.654762268066406</v>
      </c>
      <c r="R385" s="449"/>
      <c r="S385" s="463"/>
      <c r="T385" s="480"/>
      <c r="U385" s="468"/>
      <c r="V385" s="449"/>
      <c r="W385" s="45">
        <v>1822.25</v>
      </c>
      <c r="X385" s="463">
        <v>150.17308044433594</v>
      </c>
      <c r="Y385" s="449"/>
      <c r="Z385" s="45"/>
      <c r="AA385" s="468">
        <v>0.40390533102948706</v>
      </c>
      <c r="AB385" s="456"/>
      <c r="AC385" s="46"/>
      <c r="AD385" s="46"/>
      <c r="AE385" s="46"/>
      <c r="AF385" s="46"/>
      <c r="AG385" s="46"/>
      <c r="AH385" s="46"/>
      <c r="AI385" s="457"/>
      <c r="AJ385" s="138"/>
      <c r="AK385" s="745"/>
      <c r="AL385" s="54"/>
      <c r="AM385" s="468"/>
      <c r="AN385" s="449"/>
      <c r="AO385" s="45"/>
      <c r="AP385" s="45"/>
      <c r="AQ385" s="45"/>
      <c r="AR385" s="45"/>
      <c r="AS385" s="45"/>
      <c r="AT385" s="45"/>
      <c r="AU385" s="463"/>
      <c r="AV385" s="449"/>
      <c r="AW385" s="45"/>
      <c r="AX385" s="45"/>
      <c r="AY385" s="45"/>
      <c r="AZ385" s="45"/>
      <c r="BA385" s="45"/>
      <c r="BB385" s="45"/>
      <c r="BC385" s="463"/>
      <c r="BD385" s="456"/>
      <c r="BE385" s="46"/>
      <c r="BF385" s="46"/>
      <c r="BG385" s="46"/>
      <c r="BH385" s="46"/>
      <c r="BI385" s="46"/>
      <c r="BJ385" s="457"/>
      <c r="BK385" s="449">
        <v>0</v>
      </c>
      <c r="BL385" s="45"/>
      <c r="BM385" s="45"/>
      <c r="BN385" s="45"/>
      <c r="BO385" s="45"/>
      <c r="BP385" s="45"/>
      <c r="BQ385" s="45"/>
      <c r="BR385" s="45"/>
      <c r="BS385" s="45"/>
      <c r="BT385" s="45"/>
      <c r="BU385" s="45"/>
      <c r="BV385" s="45"/>
      <c r="BW385" s="45"/>
      <c r="BX385" s="45"/>
      <c r="BY385" s="45"/>
      <c r="BZ385" s="45"/>
      <c r="CA385" s="45"/>
      <c r="CB385" s="45"/>
      <c r="CC385" s="45"/>
      <c r="CD385" s="463"/>
      <c r="CE385">
        <v>0</v>
      </c>
      <c r="CF385">
        <v>0</v>
      </c>
      <c r="CG385">
        <v>0</v>
      </c>
      <c r="CH385">
        <v>0</v>
      </c>
      <c r="CI385">
        <v>0</v>
      </c>
      <c r="CJ385">
        <v>0</v>
      </c>
      <c r="CK385">
        <v>0</v>
      </c>
      <c r="CL385">
        <v>0</v>
      </c>
      <c r="CM385">
        <v>0</v>
      </c>
      <c r="CN385">
        <v>0</v>
      </c>
      <c r="CO385">
        <v>0</v>
      </c>
      <c r="CP385">
        <v>0</v>
      </c>
      <c r="CQ385">
        <v>0</v>
      </c>
      <c r="CR385">
        <v>0</v>
      </c>
      <c r="CS385">
        <v>0</v>
      </c>
      <c r="CT385">
        <v>0</v>
      </c>
      <c r="CU385">
        <v>0</v>
      </c>
      <c r="CV385">
        <v>0</v>
      </c>
      <c r="CW385">
        <v>0</v>
      </c>
      <c r="CX385">
        <v>0</v>
      </c>
      <c r="CY385">
        <v>0</v>
      </c>
      <c r="CZ385">
        <v>0</v>
      </c>
      <c r="DA385">
        <v>0</v>
      </c>
      <c r="DB385">
        <v>0</v>
      </c>
      <c r="DC385">
        <v>0</v>
      </c>
      <c r="DD385">
        <v>0</v>
      </c>
      <c r="DE385">
        <v>0</v>
      </c>
      <c r="DF385">
        <v>0</v>
      </c>
      <c r="DG385">
        <v>0</v>
      </c>
      <c r="DH385">
        <v>0</v>
      </c>
      <c r="DI385">
        <v>0</v>
      </c>
      <c r="DJ385">
        <v>0</v>
      </c>
      <c r="DK385">
        <v>0</v>
      </c>
      <c r="DL385">
        <v>0</v>
      </c>
      <c r="DM385">
        <v>0</v>
      </c>
      <c r="DN385">
        <v>0</v>
      </c>
      <c r="DO385">
        <v>0</v>
      </c>
      <c r="DP385">
        <v>0</v>
      </c>
      <c r="DQ385">
        <v>0</v>
      </c>
      <c r="DR385">
        <v>0</v>
      </c>
      <c r="DS385">
        <v>0</v>
      </c>
      <c r="DT385">
        <v>0</v>
      </c>
      <c r="DU385">
        <v>0</v>
      </c>
    </row>
    <row r="386" spans="2:125">
      <c r="B386" s="136">
        <v>377</v>
      </c>
      <c r="C386" s="138">
        <v>1</v>
      </c>
      <c r="D386" s="474">
        <v>3873.0512355493443</v>
      </c>
      <c r="E386" s="127">
        <v>221.13946468666984</v>
      </c>
      <c r="F386" s="447">
        <v>0.40768979140911699</v>
      </c>
      <c r="G386" s="127">
        <v>137.52823976323845</v>
      </c>
      <c r="H386" s="132">
        <v>59.417538187671262</v>
      </c>
      <c r="I386" s="456"/>
      <c r="J386" s="45"/>
      <c r="K386" s="45">
        <v>560</v>
      </c>
      <c r="L386" s="463"/>
      <c r="M386" s="456">
        <v>33.929130554199219</v>
      </c>
      <c r="N386" s="457"/>
      <c r="O386" s="456"/>
      <c r="P386" s="46"/>
      <c r="Q386" s="463">
        <v>76.686416625976563</v>
      </c>
      <c r="R386" s="449"/>
      <c r="S386" s="463"/>
      <c r="T386" s="480"/>
      <c r="U386" s="468"/>
      <c r="V386" s="449"/>
      <c r="W386" s="45">
        <v>1641.1439208984375</v>
      </c>
      <c r="X386" s="463">
        <v>136.76548767089844</v>
      </c>
      <c r="Y386" s="449"/>
      <c r="Z386" s="45"/>
      <c r="AA386" s="468">
        <v>0.39912966818537143</v>
      </c>
      <c r="AB386" s="456"/>
      <c r="AC386" s="46"/>
      <c r="AD386" s="46"/>
      <c r="AE386" s="46"/>
      <c r="AF386" s="46"/>
      <c r="AG386" s="46"/>
      <c r="AH386" s="46"/>
      <c r="AI386" s="457"/>
      <c r="AJ386" s="138"/>
      <c r="AK386" s="745"/>
      <c r="AL386" s="54"/>
      <c r="AM386" s="468"/>
      <c r="AN386" s="449"/>
      <c r="AO386" s="45"/>
      <c r="AP386" s="45"/>
      <c r="AQ386" s="45"/>
      <c r="AR386" s="45"/>
      <c r="AS386" s="45"/>
      <c r="AT386" s="45"/>
      <c r="AU386" s="463"/>
      <c r="AV386" s="449"/>
      <c r="AW386" s="45"/>
      <c r="AX386" s="45"/>
      <c r="AY386" s="45"/>
      <c r="AZ386" s="45"/>
      <c r="BA386" s="45"/>
      <c r="BB386" s="45"/>
      <c r="BC386" s="463"/>
      <c r="BD386" s="456"/>
      <c r="BE386" s="46"/>
      <c r="BF386" s="46"/>
      <c r="BG386" s="46"/>
      <c r="BH386" s="46"/>
      <c r="BI386" s="46"/>
      <c r="BJ386" s="457"/>
      <c r="BK386" s="449">
        <v>0</v>
      </c>
      <c r="BL386" s="45"/>
      <c r="BM386" s="45"/>
      <c r="BN386" s="45"/>
      <c r="BO386" s="45"/>
      <c r="BP386" s="45"/>
      <c r="BQ386" s="45"/>
      <c r="BR386" s="45"/>
      <c r="BS386" s="45"/>
      <c r="BT386" s="45"/>
      <c r="BU386" s="45"/>
      <c r="BV386" s="45"/>
      <c r="BW386" s="45"/>
      <c r="BX386" s="45"/>
      <c r="BY386" s="45"/>
      <c r="BZ386" s="45"/>
      <c r="CA386" s="45"/>
      <c r="CB386" s="45"/>
      <c r="CC386" s="45"/>
      <c r="CD386" s="463"/>
      <c r="CE386">
        <v>0</v>
      </c>
      <c r="CF386">
        <v>0</v>
      </c>
      <c r="CG386">
        <v>0</v>
      </c>
      <c r="CH386">
        <v>0</v>
      </c>
      <c r="CI386">
        <v>0</v>
      </c>
      <c r="CJ386">
        <v>0</v>
      </c>
      <c r="CK386">
        <v>0</v>
      </c>
      <c r="CL386">
        <v>0</v>
      </c>
      <c r="CM386">
        <v>0</v>
      </c>
      <c r="CN386">
        <v>0</v>
      </c>
      <c r="CO386">
        <v>0</v>
      </c>
      <c r="CP386">
        <v>0</v>
      </c>
      <c r="CQ386">
        <v>0</v>
      </c>
      <c r="CR386">
        <v>0</v>
      </c>
      <c r="CS386">
        <v>0</v>
      </c>
      <c r="CT386">
        <v>0</v>
      </c>
      <c r="CU386">
        <v>0</v>
      </c>
      <c r="CV386">
        <v>0</v>
      </c>
      <c r="CW386">
        <v>0</v>
      </c>
      <c r="CX386">
        <v>0</v>
      </c>
      <c r="CY386">
        <v>0</v>
      </c>
      <c r="CZ386">
        <v>0</v>
      </c>
      <c r="DA386">
        <v>0</v>
      </c>
      <c r="DB386">
        <v>0</v>
      </c>
      <c r="DC386">
        <v>0</v>
      </c>
      <c r="DD386">
        <v>0</v>
      </c>
      <c r="DE386">
        <v>0</v>
      </c>
      <c r="DF386">
        <v>0</v>
      </c>
      <c r="DG386">
        <v>0</v>
      </c>
      <c r="DH386">
        <v>0</v>
      </c>
      <c r="DI386">
        <v>0</v>
      </c>
      <c r="DJ386">
        <v>0</v>
      </c>
      <c r="DK386">
        <v>0</v>
      </c>
      <c r="DL386">
        <v>0</v>
      </c>
      <c r="DM386">
        <v>0</v>
      </c>
      <c r="DN386">
        <v>0</v>
      </c>
      <c r="DO386">
        <v>0</v>
      </c>
      <c r="DP386">
        <v>0</v>
      </c>
      <c r="DQ386">
        <v>0</v>
      </c>
      <c r="DR386">
        <v>0</v>
      </c>
      <c r="DS386">
        <v>0</v>
      </c>
      <c r="DT386">
        <v>0</v>
      </c>
      <c r="DU386">
        <v>0</v>
      </c>
    </row>
    <row r="387" spans="2:125">
      <c r="B387" s="136">
        <v>378</v>
      </c>
      <c r="C387" s="138">
        <v>1</v>
      </c>
      <c r="D387" s="474">
        <v>3178.9367266643458</v>
      </c>
      <c r="E387" s="127">
        <v>223.72115416688973</v>
      </c>
      <c r="F387" s="447">
        <v>0.43236888956445635</v>
      </c>
      <c r="G387" s="127">
        <v>112.37225985011419</v>
      </c>
      <c r="H387" s="132">
        <v>53.763730337814756</v>
      </c>
      <c r="I387" s="456"/>
      <c r="J387" s="45"/>
      <c r="K387" s="45">
        <v>460</v>
      </c>
      <c r="L387" s="463"/>
      <c r="M387" s="456">
        <v>35.932548522949219</v>
      </c>
      <c r="N387" s="457"/>
      <c r="O387" s="456"/>
      <c r="P387" s="46"/>
      <c r="Q387" s="463">
        <v>62.942947387695313</v>
      </c>
      <c r="R387" s="449"/>
      <c r="S387" s="463"/>
      <c r="T387" s="480"/>
      <c r="U387" s="468"/>
      <c r="V387" s="449"/>
      <c r="W387" s="45">
        <v>1520.2742919921875</v>
      </c>
      <c r="X387" s="463">
        <v>127.58074951171875</v>
      </c>
      <c r="Y387" s="449"/>
      <c r="Z387" s="45"/>
      <c r="AA387" s="468">
        <v>0.42178441409847395</v>
      </c>
      <c r="AB387" s="456"/>
      <c r="AC387" s="46"/>
      <c r="AD387" s="46"/>
      <c r="AE387" s="46"/>
      <c r="AF387" s="46"/>
      <c r="AG387" s="46"/>
      <c r="AH387" s="46"/>
      <c r="AI387" s="457"/>
      <c r="AJ387" s="138"/>
      <c r="AK387" s="745"/>
      <c r="AL387" s="54"/>
      <c r="AM387" s="468"/>
      <c r="AN387" s="449"/>
      <c r="AO387" s="45"/>
      <c r="AP387" s="45"/>
      <c r="AQ387" s="45"/>
      <c r="AR387" s="45"/>
      <c r="AS387" s="45"/>
      <c r="AT387" s="45"/>
      <c r="AU387" s="463"/>
      <c r="AV387" s="449"/>
      <c r="AW387" s="45"/>
      <c r="AX387" s="45"/>
      <c r="AY387" s="45"/>
      <c r="AZ387" s="45"/>
      <c r="BA387" s="45"/>
      <c r="BB387" s="45"/>
      <c r="BC387" s="463"/>
      <c r="BD387" s="456"/>
      <c r="BE387" s="46"/>
      <c r="BF387" s="46"/>
      <c r="BG387" s="46"/>
      <c r="BH387" s="46"/>
      <c r="BI387" s="46"/>
      <c r="BJ387" s="457"/>
      <c r="BK387" s="449">
        <v>0</v>
      </c>
      <c r="BL387" s="45"/>
      <c r="BM387" s="45"/>
      <c r="BN387" s="45"/>
      <c r="BO387" s="45"/>
      <c r="BP387" s="45"/>
      <c r="BQ387" s="45"/>
      <c r="BR387" s="45"/>
      <c r="BS387" s="45"/>
      <c r="BT387" s="45"/>
      <c r="BU387" s="45"/>
      <c r="BV387" s="45"/>
      <c r="BW387" s="45"/>
      <c r="BX387" s="45"/>
      <c r="BY387" s="45"/>
      <c r="BZ387" s="45"/>
      <c r="CA387" s="45"/>
      <c r="CB387" s="45"/>
      <c r="CC387" s="45"/>
      <c r="CD387" s="463"/>
      <c r="CE387">
        <v>0</v>
      </c>
      <c r="CF387">
        <v>0</v>
      </c>
      <c r="CG387">
        <v>0</v>
      </c>
      <c r="CH387">
        <v>0</v>
      </c>
      <c r="CI387">
        <v>0</v>
      </c>
      <c r="CJ387">
        <v>0</v>
      </c>
      <c r="CK387">
        <v>0</v>
      </c>
      <c r="CL387">
        <v>0</v>
      </c>
      <c r="CM387">
        <v>0</v>
      </c>
      <c r="CN387">
        <v>0</v>
      </c>
      <c r="CO387">
        <v>0</v>
      </c>
      <c r="CP387">
        <v>0</v>
      </c>
      <c r="CQ387">
        <v>0</v>
      </c>
      <c r="CR387">
        <v>0</v>
      </c>
      <c r="CS387">
        <v>0</v>
      </c>
      <c r="CT387">
        <v>0</v>
      </c>
      <c r="CU387">
        <v>0</v>
      </c>
      <c r="CV387">
        <v>0</v>
      </c>
      <c r="CW387">
        <v>0</v>
      </c>
      <c r="CX387">
        <v>0</v>
      </c>
      <c r="CY387">
        <v>0</v>
      </c>
      <c r="CZ387">
        <v>0</v>
      </c>
      <c r="DA387">
        <v>0</v>
      </c>
      <c r="DB387">
        <v>0</v>
      </c>
      <c r="DC387">
        <v>0</v>
      </c>
      <c r="DD387">
        <v>0</v>
      </c>
      <c r="DE387">
        <v>0</v>
      </c>
      <c r="DF387">
        <v>0</v>
      </c>
      <c r="DG387">
        <v>0</v>
      </c>
      <c r="DH387">
        <v>0</v>
      </c>
      <c r="DI387">
        <v>0</v>
      </c>
      <c r="DJ387">
        <v>0</v>
      </c>
      <c r="DK387">
        <v>0</v>
      </c>
      <c r="DL387">
        <v>0</v>
      </c>
      <c r="DM387">
        <v>0</v>
      </c>
      <c r="DN387">
        <v>0</v>
      </c>
      <c r="DO387">
        <v>0</v>
      </c>
      <c r="DP387">
        <v>0</v>
      </c>
      <c r="DQ387">
        <v>0</v>
      </c>
      <c r="DR387">
        <v>0</v>
      </c>
      <c r="DS387">
        <v>0</v>
      </c>
      <c r="DT387">
        <v>0</v>
      </c>
      <c r="DU387">
        <v>0</v>
      </c>
    </row>
    <row r="388" spans="2:125">
      <c r="B388" s="136">
        <v>379</v>
      </c>
      <c r="C388" s="138">
        <v>1</v>
      </c>
      <c r="D388" s="474">
        <v>3330.345980646719</v>
      </c>
      <c r="E388" s="127">
        <v>294.16780218061342</v>
      </c>
      <c r="F388" s="447">
        <v>0.50632661009999436</v>
      </c>
      <c r="G388" s="127">
        <v>110.03145387010834</v>
      </c>
      <c r="H388" s="132">
        <v>57.110817742353746</v>
      </c>
      <c r="I388" s="456"/>
      <c r="J388" s="45"/>
      <c r="K388" s="45">
        <v>480</v>
      </c>
      <c r="L388" s="463"/>
      <c r="M388" s="456">
        <v>50.913002014160156</v>
      </c>
      <c r="N388" s="457"/>
      <c r="O388" s="456"/>
      <c r="P388" s="46"/>
      <c r="Q388" s="463">
        <v>65.940849304199219</v>
      </c>
      <c r="R388" s="449"/>
      <c r="S388" s="463"/>
      <c r="T388" s="480"/>
      <c r="U388" s="468"/>
      <c r="V388" s="449"/>
      <c r="W388" s="45">
        <v>2150.749755859375</v>
      </c>
      <c r="X388" s="463">
        <v>173.49238586425781</v>
      </c>
      <c r="Y388" s="449"/>
      <c r="Z388" s="45"/>
      <c r="AA388" s="468">
        <v>0.49577919778724155</v>
      </c>
      <c r="AB388" s="456"/>
      <c r="AC388" s="46"/>
      <c r="AD388" s="46"/>
      <c r="AE388" s="46"/>
      <c r="AF388" s="46"/>
      <c r="AG388" s="46"/>
      <c r="AH388" s="46"/>
      <c r="AI388" s="457"/>
      <c r="AJ388" s="138"/>
      <c r="AK388" s="745"/>
      <c r="AL388" s="54"/>
      <c r="AM388" s="468"/>
      <c r="AN388" s="449"/>
      <c r="AO388" s="45"/>
      <c r="AP388" s="45"/>
      <c r="AQ388" s="45"/>
      <c r="AR388" s="45"/>
      <c r="AS388" s="45"/>
      <c r="AT388" s="45"/>
      <c r="AU388" s="463"/>
      <c r="AV388" s="449"/>
      <c r="AW388" s="45"/>
      <c r="AX388" s="45"/>
      <c r="AY388" s="45"/>
      <c r="AZ388" s="45"/>
      <c r="BA388" s="45"/>
      <c r="BB388" s="45"/>
      <c r="BC388" s="463"/>
      <c r="BD388" s="456"/>
      <c r="BE388" s="46"/>
      <c r="BF388" s="46"/>
      <c r="BG388" s="46"/>
      <c r="BH388" s="46"/>
      <c r="BI388" s="46"/>
      <c r="BJ388" s="457"/>
      <c r="BK388" s="449">
        <v>0</v>
      </c>
      <c r="BL388" s="45"/>
      <c r="BM388" s="45"/>
      <c r="BN388" s="45"/>
      <c r="BO388" s="45"/>
      <c r="BP388" s="45"/>
      <c r="BQ388" s="45"/>
      <c r="BR388" s="45"/>
      <c r="BS388" s="45"/>
      <c r="BT388" s="45"/>
      <c r="BU388" s="45"/>
      <c r="BV388" s="45"/>
      <c r="BW388" s="45"/>
      <c r="BX388" s="45"/>
      <c r="BY388" s="45"/>
      <c r="BZ388" s="45"/>
      <c r="CA388" s="45"/>
      <c r="CB388" s="45"/>
      <c r="CC388" s="45"/>
      <c r="CD388" s="463"/>
      <c r="CE388">
        <v>0</v>
      </c>
      <c r="CF388">
        <v>0</v>
      </c>
      <c r="CG388">
        <v>0</v>
      </c>
      <c r="CH388">
        <v>0</v>
      </c>
      <c r="CI388">
        <v>0</v>
      </c>
      <c r="CJ388">
        <v>0</v>
      </c>
      <c r="CK388">
        <v>0</v>
      </c>
      <c r="CL388">
        <v>0</v>
      </c>
      <c r="CM388">
        <v>0</v>
      </c>
      <c r="CN388">
        <v>0</v>
      </c>
      <c r="CO388">
        <v>0</v>
      </c>
      <c r="CP388">
        <v>0</v>
      </c>
      <c r="CQ388">
        <v>0</v>
      </c>
      <c r="CR388">
        <v>0</v>
      </c>
      <c r="CS388">
        <v>0</v>
      </c>
      <c r="CT388">
        <v>0</v>
      </c>
      <c r="CU388">
        <v>0</v>
      </c>
      <c r="CV388">
        <v>0</v>
      </c>
      <c r="CW388">
        <v>0</v>
      </c>
      <c r="CX388">
        <v>0</v>
      </c>
      <c r="CY388">
        <v>0</v>
      </c>
      <c r="CZ388">
        <v>0</v>
      </c>
      <c r="DA388">
        <v>0</v>
      </c>
      <c r="DB388">
        <v>0</v>
      </c>
      <c r="DC388">
        <v>0</v>
      </c>
      <c r="DD388">
        <v>0</v>
      </c>
      <c r="DE388">
        <v>0</v>
      </c>
      <c r="DF388">
        <v>0</v>
      </c>
      <c r="DG388">
        <v>0</v>
      </c>
      <c r="DH388">
        <v>0</v>
      </c>
      <c r="DI388">
        <v>0</v>
      </c>
      <c r="DJ388">
        <v>0</v>
      </c>
      <c r="DK388">
        <v>0</v>
      </c>
      <c r="DL388">
        <v>0</v>
      </c>
      <c r="DM388">
        <v>0</v>
      </c>
      <c r="DN388">
        <v>0</v>
      </c>
      <c r="DO388">
        <v>0</v>
      </c>
      <c r="DP388">
        <v>0</v>
      </c>
      <c r="DQ388">
        <v>0</v>
      </c>
      <c r="DR388">
        <v>0</v>
      </c>
      <c r="DS388">
        <v>0</v>
      </c>
      <c r="DT388">
        <v>0</v>
      </c>
      <c r="DU388">
        <v>0</v>
      </c>
    </row>
    <row r="389" spans="2:125">
      <c r="B389" s="136">
        <v>380</v>
      </c>
      <c r="C389" s="138">
        <v>1</v>
      </c>
      <c r="D389" s="474">
        <v>3285.4401984384967</v>
      </c>
      <c r="E389" s="127">
        <v>281.68548415911846</v>
      </c>
      <c r="F389" s="447">
        <v>0.39487671069312158</v>
      </c>
      <c r="G389" s="127">
        <v>111.77287359725906</v>
      </c>
      <c r="H389" s="132">
        <v>62.518809316608241</v>
      </c>
      <c r="I389" s="456"/>
      <c r="J389" s="45"/>
      <c r="K389" s="45">
        <v>490</v>
      </c>
      <c r="L389" s="463"/>
      <c r="M389" s="456">
        <v>29.65443229675293</v>
      </c>
      <c r="N389" s="457"/>
      <c r="O389" s="456"/>
      <c r="P389" s="46"/>
      <c r="Q389" s="463">
        <v>73.358665466308594</v>
      </c>
      <c r="R389" s="449"/>
      <c r="S389" s="463"/>
      <c r="T389" s="480"/>
      <c r="U389" s="468"/>
      <c r="V389" s="449"/>
      <c r="W389" s="45">
        <v>1397.244140625</v>
      </c>
      <c r="X389" s="463">
        <v>118.74098205566406</v>
      </c>
      <c r="Y389" s="449"/>
      <c r="Z389" s="45"/>
      <c r="AA389" s="468">
        <v>0.3848635823977114</v>
      </c>
      <c r="AB389" s="456"/>
      <c r="AC389" s="46"/>
      <c r="AD389" s="46"/>
      <c r="AE389" s="46"/>
      <c r="AF389" s="46"/>
      <c r="AG389" s="46"/>
      <c r="AH389" s="46"/>
      <c r="AI389" s="457"/>
      <c r="AJ389" s="138"/>
      <c r="AK389" s="745"/>
      <c r="AL389" s="54"/>
      <c r="AM389" s="468"/>
      <c r="AN389" s="449"/>
      <c r="AO389" s="45"/>
      <c r="AP389" s="45"/>
      <c r="AQ389" s="45"/>
      <c r="AR389" s="45"/>
      <c r="AS389" s="45"/>
      <c r="AT389" s="45"/>
      <c r="AU389" s="463"/>
      <c r="AV389" s="449"/>
      <c r="AW389" s="45"/>
      <c r="AX389" s="45"/>
      <c r="AY389" s="45"/>
      <c r="AZ389" s="45"/>
      <c r="BA389" s="45"/>
      <c r="BB389" s="45"/>
      <c r="BC389" s="463"/>
      <c r="BD389" s="456"/>
      <c r="BE389" s="46"/>
      <c r="BF389" s="46"/>
      <c r="BG389" s="46"/>
      <c r="BH389" s="46"/>
      <c r="BI389" s="46"/>
      <c r="BJ389" s="457"/>
      <c r="BK389" s="449">
        <v>0</v>
      </c>
      <c r="BL389" s="45"/>
      <c r="BM389" s="45"/>
      <c r="BN389" s="45"/>
      <c r="BO389" s="45"/>
      <c r="BP389" s="45"/>
      <c r="BQ389" s="45"/>
      <c r="BR389" s="45"/>
      <c r="BS389" s="45"/>
      <c r="BT389" s="45"/>
      <c r="BU389" s="45"/>
      <c r="BV389" s="45"/>
      <c r="BW389" s="45"/>
      <c r="BX389" s="45"/>
      <c r="BY389" s="45"/>
      <c r="BZ389" s="45"/>
      <c r="CA389" s="45"/>
      <c r="CB389" s="45"/>
      <c r="CC389" s="45"/>
      <c r="CD389" s="463"/>
      <c r="CE389">
        <v>0</v>
      </c>
      <c r="CF389">
        <v>0</v>
      </c>
      <c r="CG389">
        <v>0</v>
      </c>
      <c r="CH389">
        <v>0</v>
      </c>
      <c r="CI389">
        <v>0</v>
      </c>
      <c r="CJ389">
        <v>0</v>
      </c>
      <c r="CK389">
        <v>0</v>
      </c>
      <c r="CL389">
        <v>0</v>
      </c>
      <c r="CM389">
        <v>0</v>
      </c>
      <c r="CN389">
        <v>0</v>
      </c>
      <c r="CO389">
        <v>0</v>
      </c>
      <c r="CP389">
        <v>0</v>
      </c>
      <c r="CQ389">
        <v>0</v>
      </c>
      <c r="CR389">
        <v>0</v>
      </c>
      <c r="CS389">
        <v>0</v>
      </c>
      <c r="CT389">
        <v>0</v>
      </c>
      <c r="CU389">
        <v>0</v>
      </c>
      <c r="CV389">
        <v>0</v>
      </c>
      <c r="CW389">
        <v>0</v>
      </c>
      <c r="CX389">
        <v>0</v>
      </c>
      <c r="CY389">
        <v>0</v>
      </c>
      <c r="CZ389">
        <v>0</v>
      </c>
      <c r="DA389">
        <v>0</v>
      </c>
      <c r="DB389">
        <v>0</v>
      </c>
      <c r="DC389">
        <v>0</v>
      </c>
      <c r="DD389">
        <v>0</v>
      </c>
      <c r="DE389">
        <v>0</v>
      </c>
      <c r="DF389">
        <v>0</v>
      </c>
      <c r="DG389">
        <v>0</v>
      </c>
      <c r="DH389">
        <v>0</v>
      </c>
      <c r="DI389">
        <v>0</v>
      </c>
      <c r="DJ389">
        <v>0</v>
      </c>
      <c r="DK389">
        <v>0</v>
      </c>
      <c r="DL389">
        <v>0</v>
      </c>
      <c r="DM389">
        <v>0</v>
      </c>
      <c r="DN389">
        <v>0</v>
      </c>
      <c r="DO389">
        <v>0</v>
      </c>
      <c r="DP389">
        <v>0</v>
      </c>
      <c r="DQ389">
        <v>0</v>
      </c>
      <c r="DR389">
        <v>0</v>
      </c>
      <c r="DS389">
        <v>0</v>
      </c>
      <c r="DT389">
        <v>0</v>
      </c>
      <c r="DU389">
        <v>0</v>
      </c>
    </row>
    <row r="390" spans="2:125">
      <c r="B390" s="136">
        <v>381</v>
      </c>
      <c r="C390" s="138">
        <v>1</v>
      </c>
      <c r="D390" s="474">
        <v>3001.1297264893492</v>
      </c>
      <c r="E390" s="127">
        <v>239.11497119143041</v>
      </c>
      <c r="F390" s="447">
        <v>0.3868877929364915</v>
      </c>
      <c r="G390" s="127">
        <v>124.64839276036864</v>
      </c>
      <c r="H390" s="132">
        <v>45.79151000458647</v>
      </c>
      <c r="I390" s="456"/>
      <c r="J390" s="45"/>
      <c r="K390" s="45">
        <v>470</v>
      </c>
      <c r="L390" s="463"/>
      <c r="M390" s="456">
        <v>32.401180267333984</v>
      </c>
      <c r="N390" s="457"/>
      <c r="O390" s="456"/>
      <c r="P390" s="46"/>
      <c r="Q390" s="463">
        <v>59.422370910644531</v>
      </c>
      <c r="R390" s="449"/>
      <c r="S390" s="463"/>
      <c r="T390" s="480"/>
      <c r="U390" s="468"/>
      <c r="V390" s="449"/>
      <c r="W390" s="45">
        <v>1335.6370849609375</v>
      </c>
      <c r="X390" s="463">
        <v>114.18750762939453</v>
      </c>
      <c r="Y390" s="449"/>
      <c r="Z390" s="45"/>
      <c r="AA390" s="468">
        <v>0.37597931551554858</v>
      </c>
      <c r="AB390" s="456"/>
      <c r="AC390" s="46"/>
      <c r="AD390" s="46"/>
      <c r="AE390" s="46"/>
      <c r="AF390" s="46"/>
      <c r="AG390" s="46"/>
      <c r="AH390" s="46"/>
      <c r="AI390" s="457"/>
      <c r="AJ390" s="138"/>
      <c r="AK390" s="745"/>
      <c r="AL390" s="54"/>
      <c r="AM390" s="468"/>
      <c r="AN390" s="449"/>
      <c r="AO390" s="45"/>
      <c r="AP390" s="45"/>
      <c r="AQ390" s="45"/>
      <c r="AR390" s="45"/>
      <c r="AS390" s="45"/>
      <c r="AT390" s="45"/>
      <c r="AU390" s="463"/>
      <c r="AV390" s="449"/>
      <c r="AW390" s="45"/>
      <c r="AX390" s="45"/>
      <c r="AY390" s="45"/>
      <c r="AZ390" s="45"/>
      <c r="BA390" s="45"/>
      <c r="BB390" s="45"/>
      <c r="BC390" s="463"/>
      <c r="BD390" s="456"/>
      <c r="BE390" s="46"/>
      <c r="BF390" s="46"/>
      <c r="BG390" s="46"/>
      <c r="BH390" s="46"/>
      <c r="BI390" s="46"/>
      <c r="BJ390" s="457"/>
      <c r="BK390" s="449">
        <v>0</v>
      </c>
      <c r="BL390" s="45"/>
      <c r="BM390" s="45"/>
      <c r="BN390" s="45"/>
      <c r="BO390" s="45"/>
      <c r="BP390" s="45"/>
      <c r="BQ390" s="45"/>
      <c r="BR390" s="45"/>
      <c r="BS390" s="45"/>
      <c r="BT390" s="45"/>
      <c r="BU390" s="45"/>
      <c r="BV390" s="45"/>
      <c r="BW390" s="45"/>
      <c r="BX390" s="45"/>
      <c r="BY390" s="45"/>
      <c r="BZ390" s="45"/>
      <c r="CA390" s="45"/>
      <c r="CB390" s="45"/>
      <c r="CC390" s="45"/>
      <c r="CD390" s="463"/>
      <c r="CE390">
        <v>0</v>
      </c>
      <c r="CF390">
        <v>0</v>
      </c>
      <c r="CG390">
        <v>0</v>
      </c>
      <c r="CH390">
        <v>0</v>
      </c>
      <c r="CI390">
        <v>0</v>
      </c>
      <c r="CJ390">
        <v>0</v>
      </c>
      <c r="CK390">
        <v>0</v>
      </c>
      <c r="CL390">
        <v>0</v>
      </c>
      <c r="CM390">
        <v>0</v>
      </c>
      <c r="CN390">
        <v>0</v>
      </c>
      <c r="CO390">
        <v>0</v>
      </c>
      <c r="CP390">
        <v>0</v>
      </c>
      <c r="CQ390">
        <v>0</v>
      </c>
      <c r="CR390">
        <v>0</v>
      </c>
      <c r="CS390">
        <v>0</v>
      </c>
      <c r="CT390">
        <v>0</v>
      </c>
      <c r="CU390">
        <v>0</v>
      </c>
      <c r="CV390">
        <v>0</v>
      </c>
      <c r="CW390">
        <v>0</v>
      </c>
      <c r="CX390">
        <v>0</v>
      </c>
      <c r="CY390">
        <v>0</v>
      </c>
      <c r="CZ390">
        <v>0</v>
      </c>
      <c r="DA390">
        <v>0</v>
      </c>
      <c r="DB390">
        <v>0</v>
      </c>
      <c r="DC390">
        <v>0</v>
      </c>
      <c r="DD390">
        <v>0</v>
      </c>
      <c r="DE390">
        <v>0</v>
      </c>
      <c r="DF390">
        <v>0</v>
      </c>
      <c r="DG390">
        <v>0</v>
      </c>
      <c r="DH390">
        <v>0</v>
      </c>
      <c r="DI390">
        <v>0</v>
      </c>
      <c r="DJ390">
        <v>0</v>
      </c>
      <c r="DK390">
        <v>0</v>
      </c>
      <c r="DL390">
        <v>0</v>
      </c>
      <c r="DM390">
        <v>0</v>
      </c>
      <c r="DN390">
        <v>0</v>
      </c>
      <c r="DO390">
        <v>0</v>
      </c>
      <c r="DP390">
        <v>0</v>
      </c>
      <c r="DQ390">
        <v>0</v>
      </c>
      <c r="DR390">
        <v>0</v>
      </c>
      <c r="DS390">
        <v>0</v>
      </c>
      <c r="DT390">
        <v>0</v>
      </c>
      <c r="DU390">
        <v>0</v>
      </c>
    </row>
    <row r="391" spans="2:125">
      <c r="B391" s="136">
        <v>382</v>
      </c>
      <c r="C391" s="138">
        <v>1</v>
      </c>
      <c r="D391" s="474">
        <v>3312.6506709655755</v>
      </c>
      <c r="E391" s="127">
        <v>220.07461994336145</v>
      </c>
      <c r="F391" s="447">
        <v>0.4449831214244937</v>
      </c>
      <c r="G391" s="127">
        <v>105.8671654841713</v>
      </c>
      <c r="H391" s="132">
        <v>57.834325687964295</v>
      </c>
      <c r="I391" s="456"/>
      <c r="J391" s="45"/>
      <c r="K391" s="45">
        <v>460</v>
      </c>
      <c r="L391" s="463"/>
      <c r="M391" s="456">
        <v>36.438690185546875</v>
      </c>
      <c r="N391" s="457"/>
      <c r="O391" s="456"/>
      <c r="P391" s="46"/>
      <c r="Q391" s="463">
        <v>65.590484619140625</v>
      </c>
      <c r="R391" s="449"/>
      <c r="S391" s="463"/>
      <c r="T391" s="480"/>
      <c r="U391" s="468"/>
      <c r="V391" s="449"/>
      <c r="W391" s="45">
        <v>1572.05908203125</v>
      </c>
      <c r="X391" s="463">
        <v>131.327392578125</v>
      </c>
      <c r="Y391" s="449"/>
      <c r="Z391" s="45"/>
      <c r="AA391" s="468">
        <v>0.4347497265405687</v>
      </c>
      <c r="AB391" s="456"/>
      <c r="AC391" s="46"/>
      <c r="AD391" s="46"/>
      <c r="AE391" s="46"/>
      <c r="AF391" s="46"/>
      <c r="AG391" s="46"/>
      <c r="AH391" s="46"/>
      <c r="AI391" s="457"/>
      <c r="AJ391" s="138"/>
      <c r="AK391" s="745"/>
      <c r="AL391" s="54"/>
      <c r="AM391" s="468"/>
      <c r="AN391" s="449"/>
      <c r="AO391" s="45"/>
      <c r="AP391" s="45"/>
      <c r="AQ391" s="45"/>
      <c r="AR391" s="45"/>
      <c r="AS391" s="45"/>
      <c r="AT391" s="45"/>
      <c r="AU391" s="463"/>
      <c r="AV391" s="449"/>
      <c r="AW391" s="45"/>
      <c r="AX391" s="45"/>
      <c r="AY391" s="45"/>
      <c r="AZ391" s="45"/>
      <c r="BA391" s="45"/>
      <c r="BB391" s="45"/>
      <c r="BC391" s="463"/>
      <c r="BD391" s="456"/>
      <c r="BE391" s="46"/>
      <c r="BF391" s="46"/>
      <c r="BG391" s="46"/>
      <c r="BH391" s="46"/>
      <c r="BI391" s="46"/>
      <c r="BJ391" s="457"/>
      <c r="BK391" s="449">
        <v>0</v>
      </c>
      <c r="BL391" s="45"/>
      <c r="BM391" s="45"/>
      <c r="BN391" s="45"/>
      <c r="BO391" s="45"/>
      <c r="BP391" s="45"/>
      <c r="BQ391" s="45"/>
      <c r="BR391" s="45"/>
      <c r="BS391" s="45"/>
      <c r="BT391" s="45"/>
      <c r="BU391" s="45"/>
      <c r="BV391" s="45"/>
      <c r="BW391" s="45"/>
      <c r="BX391" s="45"/>
      <c r="BY391" s="45"/>
      <c r="BZ391" s="45"/>
      <c r="CA391" s="45"/>
      <c r="CB391" s="45"/>
      <c r="CC391" s="45"/>
      <c r="CD391" s="463"/>
      <c r="CE391">
        <v>0</v>
      </c>
      <c r="CF391">
        <v>0</v>
      </c>
      <c r="CG391">
        <v>0</v>
      </c>
      <c r="CH391">
        <v>0</v>
      </c>
      <c r="CI391">
        <v>0</v>
      </c>
      <c r="CJ391">
        <v>0</v>
      </c>
      <c r="CK391">
        <v>0</v>
      </c>
      <c r="CL391">
        <v>0</v>
      </c>
      <c r="CM391">
        <v>0</v>
      </c>
      <c r="CN391">
        <v>0</v>
      </c>
      <c r="CO391">
        <v>0</v>
      </c>
      <c r="CP391">
        <v>0</v>
      </c>
      <c r="CQ391">
        <v>0</v>
      </c>
      <c r="CR391">
        <v>0</v>
      </c>
      <c r="CS391">
        <v>0</v>
      </c>
      <c r="CT391">
        <v>0</v>
      </c>
      <c r="CU391">
        <v>0</v>
      </c>
      <c r="CV391">
        <v>0</v>
      </c>
      <c r="CW391">
        <v>0</v>
      </c>
      <c r="CX391">
        <v>0</v>
      </c>
      <c r="CY391">
        <v>0</v>
      </c>
      <c r="CZ391">
        <v>0</v>
      </c>
      <c r="DA391">
        <v>0</v>
      </c>
      <c r="DB391">
        <v>0</v>
      </c>
      <c r="DC391">
        <v>0</v>
      </c>
      <c r="DD391">
        <v>0</v>
      </c>
      <c r="DE391">
        <v>0</v>
      </c>
      <c r="DF391">
        <v>0</v>
      </c>
      <c r="DG391">
        <v>0</v>
      </c>
      <c r="DH391">
        <v>0</v>
      </c>
      <c r="DI391">
        <v>0</v>
      </c>
      <c r="DJ391">
        <v>0</v>
      </c>
      <c r="DK391">
        <v>0</v>
      </c>
      <c r="DL391">
        <v>0</v>
      </c>
      <c r="DM391">
        <v>0</v>
      </c>
      <c r="DN391">
        <v>0</v>
      </c>
      <c r="DO391">
        <v>0</v>
      </c>
      <c r="DP391">
        <v>0</v>
      </c>
      <c r="DQ391">
        <v>0</v>
      </c>
      <c r="DR391">
        <v>0</v>
      </c>
      <c r="DS391">
        <v>0</v>
      </c>
      <c r="DT391">
        <v>0</v>
      </c>
      <c r="DU391">
        <v>0</v>
      </c>
    </row>
    <row r="392" spans="2:125">
      <c r="B392" s="136">
        <v>383</v>
      </c>
      <c r="C392" s="138">
        <v>1</v>
      </c>
      <c r="D392" s="474">
        <v>4043.0841321176176</v>
      </c>
      <c r="E392" s="127">
        <v>227.31099347560811</v>
      </c>
      <c r="F392" s="447">
        <v>0.41948282805042381</v>
      </c>
      <c r="G392" s="127">
        <v>166.53306483076764</v>
      </c>
      <c r="H392" s="132">
        <v>55.136301159924663</v>
      </c>
      <c r="I392" s="456"/>
      <c r="J392" s="45"/>
      <c r="K392" s="45">
        <v>630</v>
      </c>
      <c r="L392" s="463"/>
      <c r="M392" s="456">
        <v>39.047588348388672</v>
      </c>
      <c r="N392" s="457"/>
      <c r="O392" s="456"/>
      <c r="P392" s="46"/>
      <c r="Q392" s="463">
        <v>80.053070068359375</v>
      </c>
      <c r="R392" s="449"/>
      <c r="S392" s="463"/>
      <c r="T392" s="480"/>
      <c r="U392" s="468"/>
      <c r="V392" s="449"/>
      <c r="W392" s="45">
        <v>1935.378662109375</v>
      </c>
      <c r="X392" s="463">
        <v>158.48837280273437</v>
      </c>
      <c r="Y392" s="449"/>
      <c r="Z392" s="45"/>
      <c r="AA392" s="468">
        <v>0.41122436607686097</v>
      </c>
      <c r="AB392" s="456"/>
      <c r="AC392" s="46"/>
      <c r="AD392" s="46"/>
      <c r="AE392" s="46"/>
      <c r="AF392" s="46"/>
      <c r="AG392" s="46"/>
      <c r="AH392" s="46"/>
      <c r="AI392" s="457"/>
      <c r="AJ392" s="138"/>
      <c r="AK392" s="745"/>
      <c r="AL392" s="54"/>
      <c r="AM392" s="468"/>
      <c r="AN392" s="449"/>
      <c r="AO392" s="45"/>
      <c r="AP392" s="45"/>
      <c r="AQ392" s="45"/>
      <c r="AR392" s="45"/>
      <c r="AS392" s="45"/>
      <c r="AT392" s="45"/>
      <c r="AU392" s="463"/>
      <c r="AV392" s="449"/>
      <c r="AW392" s="45"/>
      <c r="AX392" s="45"/>
      <c r="AY392" s="45"/>
      <c r="AZ392" s="45"/>
      <c r="BA392" s="45"/>
      <c r="BB392" s="45"/>
      <c r="BC392" s="463"/>
      <c r="BD392" s="456"/>
      <c r="BE392" s="46"/>
      <c r="BF392" s="46"/>
      <c r="BG392" s="46"/>
      <c r="BH392" s="46"/>
      <c r="BI392" s="46"/>
      <c r="BJ392" s="457"/>
      <c r="BK392" s="449">
        <v>0</v>
      </c>
      <c r="BL392" s="45"/>
      <c r="BM392" s="45"/>
      <c r="BN392" s="45"/>
      <c r="BO392" s="45"/>
      <c r="BP392" s="45"/>
      <c r="BQ392" s="45"/>
      <c r="BR392" s="45"/>
      <c r="BS392" s="45"/>
      <c r="BT392" s="45"/>
      <c r="BU392" s="45"/>
      <c r="BV392" s="45"/>
      <c r="BW392" s="45"/>
      <c r="BX392" s="45"/>
      <c r="BY392" s="45"/>
      <c r="BZ392" s="45"/>
      <c r="CA392" s="45"/>
      <c r="CB392" s="45"/>
      <c r="CC392" s="45"/>
      <c r="CD392" s="463"/>
      <c r="CE392">
        <v>0</v>
      </c>
      <c r="CF392">
        <v>0</v>
      </c>
      <c r="CG392">
        <v>0</v>
      </c>
      <c r="CH392">
        <v>0</v>
      </c>
      <c r="CI392">
        <v>0</v>
      </c>
      <c r="CJ392">
        <v>0</v>
      </c>
      <c r="CK392">
        <v>0</v>
      </c>
      <c r="CL392">
        <v>0</v>
      </c>
      <c r="CM392">
        <v>0</v>
      </c>
      <c r="CN392">
        <v>0</v>
      </c>
      <c r="CO392">
        <v>0</v>
      </c>
      <c r="CP392">
        <v>0</v>
      </c>
      <c r="CQ392">
        <v>0</v>
      </c>
      <c r="CR392">
        <v>0</v>
      </c>
      <c r="CS392">
        <v>0</v>
      </c>
      <c r="CT392">
        <v>0</v>
      </c>
      <c r="CU392">
        <v>0</v>
      </c>
      <c r="CV392">
        <v>0</v>
      </c>
      <c r="CW392">
        <v>0</v>
      </c>
      <c r="CX392">
        <v>0</v>
      </c>
      <c r="CY392">
        <v>0</v>
      </c>
      <c r="CZ392">
        <v>0</v>
      </c>
      <c r="DA392">
        <v>0</v>
      </c>
      <c r="DB392">
        <v>0</v>
      </c>
      <c r="DC392">
        <v>0</v>
      </c>
      <c r="DD392">
        <v>0</v>
      </c>
      <c r="DE392">
        <v>0</v>
      </c>
      <c r="DF392">
        <v>0</v>
      </c>
      <c r="DG392">
        <v>0</v>
      </c>
      <c r="DH392">
        <v>0</v>
      </c>
      <c r="DI392">
        <v>0</v>
      </c>
      <c r="DJ392">
        <v>0</v>
      </c>
      <c r="DK392">
        <v>0</v>
      </c>
      <c r="DL392">
        <v>0</v>
      </c>
      <c r="DM392">
        <v>0</v>
      </c>
      <c r="DN392">
        <v>0</v>
      </c>
      <c r="DO392">
        <v>0</v>
      </c>
      <c r="DP392">
        <v>0</v>
      </c>
      <c r="DQ392">
        <v>0</v>
      </c>
      <c r="DR392">
        <v>0</v>
      </c>
      <c r="DS392">
        <v>0</v>
      </c>
      <c r="DT392">
        <v>0</v>
      </c>
      <c r="DU392">
        <v>0</v>
      </c>
    </row>
    <row r="393" spans="2:125">
      <c r="B393" s="136">
        <v>384</v>
      </c>
      <c r="C393" s="138">
        <v>1</v>
      </c>
      <c r="D393" s="474">
        <v>3106.5446500793178</v>
      </c>
      <c r="E393" s="127">
        <v>213.32363520863791</v>
      </c>
      <c r="F393" s="447">
        <v>0.47357627896300158</v>
      </c>
      <c r="G393" s="127">
        <v>98.806167553557714</v>
      </c>
      <c r="H393" s="132">
        <v>56.073650365945042</v>
      </c>
      <c r="I393" s="456"/>
      <c r="J393" s="45"/>
      <c r="K393" s="45">
        <v>430</v>
      </c>
      <c r="L393" s="463"/>
      <c r="M393" s="456">
        <v>40.871871948242187</v>
      </c>
      <c r="N393" s="457"/>
      <c r="O393" s="456"/>
      <c r="P393" s="46"/>
      <c r="Q393" s="463">
        <v>61.509586334228516</v>
      </c>
      <c r="R393" s="449"/>
      <c r="S393" s="463"/>
      <c r="T393" s="480"/>
      <c r="U393" s="468"/>
      <c r="V393" s="449"/>
      <c r="W393" s="45">
        <v>1674.7559814453125</v>
      </c>
      <c r="X393" s="463">
        <v>138.68536376953125</v>
      </c>
      <c r="Y393" s="449"/>
      <c r="Z393" s="45"/>
      <c r="AA393" s="468">
        <v>0.46247985851452039</v>
      </c>
      <c r="AB393" s="456"/>
      <c r="AC393" s="46"/>
      <c r="AD393" s="46"/>
      <c r="AE393" s="46"/>
      <c r="AF393" s="46"/>
      <c r="AG393" s="46"/>
      <c r="AH393" s="46"/>
      <c r="AI393" s="457"/>
      <c r="AJ393" s="138"/>
      <c r="AK393" s="745"/>
      <c r="AL393" s="54"/>
      <c r="AM393" s="468"/>
      <c r="AN393" s="449"/>
      <c r="AO393" s="45"/>
      <c r="AP393" s="45"/>
      <c r="AQ393" s="45"/>
      <c r="AR393" s="45"/>
      <c r="AS393" s="45"/>
      <c r="AT393" s="45"/>
      <c r="AU393" s="463"/>
      <c r="AV393" s="449"/>
      <c r="AW393" s="45"/>
      <c r="AX393" s="45"/>
      <c r="AY393" s="45"/>
      <c r="AZ393" s="45"/>
      <c r="BA393" s="45"/>
      <c r="BB393" s="45"/>
      <c r="BC393" s="463"/>
      <c r="BD393" s="456"/>
      <c r="BE393" s="46"/>
      <c r="BF393" s="46"/>
      <c r="BG393" s="46"/>
      <c r="BH393" s="46"/>
      <c r="BI393" s="46"/>
      <c r="BJ393" s="457"/>
      <c r="BK393" s="449">
        <v>0</v>
      </c>
      <c r="BL393" s="45"/>
      <c r="BM393" s="45"/>
      <c r="BN393" s="45"/>
      <c r="BO393" s="45"/>
      <c r="BP393" s="45"/>
      <c r="BQ393" s="45"/>
      <c r="BR393" s="45"/>
      <c r="BS393" s="45"/>
      <c r="BT393" s="45"/>
      <c r="BU393" s="45"/>
      <c r="BV393" s="45"/>
      <c r="BW393" s="45"/>
      <c r="BX393" s="45"/>
      <c r="BY393" s="45"/>
      <c r="BZ393" s="45"/>
      <c r="CA393" s="45"/>
      <c r="CB393" s="45"/>
      <c r="CC393" s="45"/>
      <c r="CD393" s="463"/>
      <c r="CE393">
        <v>0</v>
      </c>
      <c r="CF393">
        <v>0</v>
      </c>
      <c r="CG393">
        <v>0</v>
      </c>
      <c r="CH393">
        <v>0</v>
      </c>
      <c r="CI393">
        <v>0</v>
      </c>
      <c r="CJ393">
        <v>0</v>
      </c>
      <c r="CK393">
        <v>0</v>
      </c>
      <c r="CL393">
        <v>0</v>
      </c>
      <c r="CM393">
        <v>0</v>
      </c>
      <c r="CN393">
        <v>0</v>
      </c>
      <c r="CO393">
        <v>0</v>
      </c>
      <c r="CP393">
        <v>0</v>
      </c>
      <c r="CQ393">
        <v>0</v>
      </c>
      <c r="CR393">
        <v>0</v>
      </c>
      <c r="CS393">
        <v>0</v>
      </c>
      <c r="CT393">
        <v>0</v>
      </c>
      <c r="CU393">
        <v>0</v>
      </c>
      <c r="CV393">
        <v>0</v>
      </c>
      <c r="CW393">
        <v>0</v>
      </c>
      <c r="CX393">
        <v>0</v>
      </c>
      <c r="CY393">
        <v>0</v>
      </c>
      <c r="CZ393">
        <v>0</v>
      </c>
      <c r="DA393">
        <v>0</v>
      </c>
      <c r="DB393">
        <v>0</v>
      </c>
      <c r="DC393">
        <v>0</v>
      </c>
      <c r="DD393">
        <v>0</v>
      </c>
      <c r="DE393">
        <v>0</v>
      </c>
      <c r="DF393">
        <v>0</v>
      </c>
      <c r="DG393">
        <v>0</v>
      </c>
      <c r="DH393">
        <v>0</v>
      </c>
      <c r="DI393">
        <v>0</v>
      </c>
      <c r="DJ393">
        <v>0</v>
      </c>
      <c r="DK393">
        <v>0</v>
      </c>
      <c r="DL393">
        <v>0</v>
      </c>
      <c r="DM393">
        <v>0</v>
      </c>
      <c r="DN393">
        <v>0</v>
      </c>
      <c r="DO393">
        <v>0</v>
      </c>
      <c r="DP393">
        <v>0</v>
      </c>
      <c r="DQ393">
        <v>0</v>
      </c>
      <c r="DR393">
        <v>0</v>
      </c>
      <c r="DS393">
        <v>0</v>
      </c>
      <c r="DT393">
        <v>0</v>
      </c>
      <c r="DU393">
        <v>0</v>
      </c>
    </row>
    <row r="394" spans="2:125">
      <c r="B394" s="136">
        <v>385</v>
      </c>
      <c r="C394" s="138">
        <v>1</v>
      </c>
      <c r="D394" s="474">
        <v>2813.6615883801073</v>
      </c>
      <c r="E394" s="127">
        <v>249.01275708229446</v>
      </c>
      <c r="F394" s="447">
        <v>0.42665202098194677</v>
      </c>
      <c r="G394" s="127">
        <v>114.71112215247534</v>
      </c>
      <c r="H394" s="132">
        <v>44.642199156603738</v>
      </c>
      <c r="I394" s="456"/>
      <c r="J394" s="45"/>
      <c r="K394" s="45">
        <v>440</v>
      </c>
      <c r="L394" s="463"/>
      <c r="M394" s="456">
        <v>37.024539947509766</v>
      </c>
      <c r="N394" s="457"/>
      <c r="O394" s="456"/>
      <c r="P394" s="46"/>
      <c r="Q394" s="463">
        <v>55.710502624511719</v>
      </c>
      <c r="R394" s="449"/>
      <c r="S394" s="463"/>
      <c r="T394" s="480"/>
      <c r="U394" s="468"/>
      <c r="V394" s="449"/>
      <c r="W394" s="45">
        <v>1447.3287353515625</v>
      </c>
      <c r="X394" s="463">
        <v>122.19826507568359</v>
      </c>
      <c r="Y394" s="449"/>
      <c r="Z394" s="45"/>
      <c r="AA394" s="468">
        <v>0.41473408438355702</v>
      </c>
      <c r="AB394" s="456"/>
      <c r="AC394" s="46"/>
      <c r="AD394" s="46"/>
      <c r="AE394" s="46"/>
      <c r="AF394" s="46"/>
      <c r="AG394" s="46"/>
      <c r="AH394" s="46"/>
      <c r="AI394" s="457"/>
      <c r="AJ394" s="138"/>
      <c r="AK394" s="745"/>
      <c r="AL394" s="54"/>
      <c r="AM394" s="468"/>
      <c r="AN394" s="449"/>
      <c r="AO394" s="45"/>
      <c r="AP394" s="45"/>
      <c r="AQ394" s="45"/>
      <c r="AR394" s="45"/>
      <c r="AS394" s="45"/>
      <c r="AT394" s="45"/>
      <c r="AU394" s="463"/>
      <c r="AV394" s="449"/>
      <c r="AW394" s="45"/>
      <c r="AX394" s="45"/>
      <c r="AY394" s="45"/>
      <c r="AZ394" s="45"/>
      <c r="BA394" s="45"/>
      <c r="BB394" s="45"/>
      <c r="BC394" s="463"/>
      <c r="BD394" s="456"/>
      <c r="BE394" s="46"/>
      <c r="BF394" s="46"/>
      <c r="BG394" s="46"/>
      <c r="BH394" s="46"/>
      <c r="BI394" s="46"/>
      <c r="BJ394" s="457"/>
      <c r="BK394" s="449">
        <v>0</v>
      </c>
      <c r="BL394" s="45"/>
      <c r="BM394" s="45"/>
      <c r="BN394" s="45"/>
      <c r="BO394" s="45"/>
      <c r="BP394" s="45"/>
      <c r="BQ394" s="45"/>
      <c r="BR394" s="45"/>
      <c r="BS394" s="45"/>
      <c r="BT394" s="45"/>
      <c r="BU394" s="45"/>
      <c r="BV394" s="45"/>
      <c r="BW394" s="45"/>
      <c r="BX394" s="45"/>
      <c r="BY394" s="45"/>
      <c r="BZ394" s="45"/>
      <c r="CA394" s="45"/>
      <c r="CB394" s="45"/>
      <c r="CC394" s="45"/>
      <c r="CD394" s="463"/>
      <c r="CE394">
        <v>0</v>
      </c>
      <c r="CF394">
        <v>0</v>
      </c>
      <c r="CG394">
        <v>0</v>
      </c>
      <c r="CH394">
        <v>0</v>
      </c>
      <c r="CI394">
        <v>0</v>
      </c>
      <c r="CJ394">
        <v>0</v>
      </c>
      <c r="CK394">
        <v>0</v>
      </c>
      <c r="CL394">
        <v>0</v>
      </c>
      <c r="CM394">
        <v>0</v>
      </c>
      <c r="CN394">
        <v>0</v>
      </c>
      <c r="CO394">
        <v>0</v>
      </c>
      <c r="CP394">
        <v>0</v>
      </c>
      <c r="CQ394">
        <v>0</v>
      </c>
      <c r="CR394">
        <v>0</v>
      </c>
      <c r="CS394">
        <v>0</v>
      </c>
      <c r="CT394">
        <v>0</v>
      </c>
      <c r="CU394">
        <v>0</v>
      </c>
      <c r="CV394">
        <v>0</v>
      </c>
      <c r="CW394">
        <v>0</v>
      </c>
      <c r="CX394">
        <v>0</v>
      </c>
      <c r="CY394">
        <v>0</v>
      </c>
      <c r="CZ394">
        <v>0</v>
      </c>
      <c r="DA394">
        <v>0</v>
      </c>
      <c r="DB394">
        <v>0</v>
      </c>
      <c r="DC394">
        <v>0</v>
      </c>
      <c r="DD394">
        <v>0</v>
      </c>
      <c r="DE394">
        <v>0</v>
      </c>
      <c r="DF394">
        <v>0</v>
      </c>
      <c r="DG394">
        <v>0</v>
      </c>
      <c r="DH394">
        <v>0</v>
      </c>
      <c r="DI394">
        <v>0</v>
      </c>
      <c r="DJ394">
        <v>0</v>
      </c>
      <c r="DK394">
        <v>0</v>
      </c>
      <c r="DL394">
        <v>0</v>
      </c>
      <c r="DM394">
        <v>0</v>
      </c>
      <c r="DN394">
        <v>0</v>
      </c>
      <c r="DO394">
        <v>0</v>
      </c>
      <c r="DP394">
        <v>0</v>
      </c>
      <c r="DQ394">
        <v>0</v>
      </c>
      <c r="DR394">
        <v>0</v>
      </c>
      <c r="DS394">
        <v>0</v>
      </c>
      <c r="DT394">
        <v>0</v>
      </c>
      <c r="DU394">
        <v>0</v>
      </c>
    </row>
    <row r="395" spans="2:125">
      <c r="B395" s="136">
        <v>386</v>
      </c>
      <c r="C395" s="138">
        <v>1</v>
      </c>
      <c r="D395" s="474">
        <v>3413.844841020079</v>
      </c>
      <c r="E395" s="127">
        <v>248.37300854336098</v>
      </c>
      <c r="F395" s="447">
        <v>0.41850694614170464</v>
      </c>
      <c r="G395" s="127">
        <v>117.27183189698212</v>
      </c>
      <c r="H395" s="132">
        <v>56.730735158901339</v>
      </c>
      <c r="I395" s="456"/>
      <c r="J395" s="45"/>
      <c r="K395" s="45">
        <v>480</v>
      </c>
      <c r="L395" s="463"/>
      <c r="M395" s="456">
        <v>33.874496459960938</v>
      </c>
      <c r="N395" s="457"/>
      <c r="O395" s="456"/>
      <c r="P395" s="46"/>
      <c r="Q395" s="463">
        <v>67.594131469726563</v>
      </c>
      <c r="R395" s="449"/>
      <c r="S395" s="463"/>
      <c r="T395" s="480"/>
      <c r="U395" s="468"/>
      <c r="V395" s="449"/>
      <c r="W395" s="45">
        <v>1506.62255859375</v>
      </c>
      <c r="X395" s="463">
        <v>126.68197631835938</v>
      </c>
      <c r="Y395" s="449"/>
      <c r="Z395" s="45"/>
      <c r="AA395" s="468">
        <v>0.40873200308575053</v>
      </c>
      <c r="AB395" s="456"/>
      <c r="AC395" s="46"/>
      <c r="AD395" s="46"/>
      <c r="AE395" s="46"/>
      <c r="AF395" s="46"/>
      <c r="AG395" s="46"/>
      <c r="AH395" s="46"/>
      <c r="AI395" s="457"/>
      <c r="AJ395" s="138"/>
      <c r="AK395" s="745"/>
      <c r="AL395" s="54"/>
      <c r="AM395" s="468"/>
      <c r="AN395" s="449"/>
      <c r="AO395" s="45"/>
      <c r="AP395" s="45"/>
      <c r="AQ395" s="45"/>
      <c r="AR395" s="45"/>
      <c r="AS395" s="45"/>
      <c r="AT395" s="45"/>
      <c r="AU395" s="463"/>
      <c r="AV395" s="449"/>
      <c r="AW395" s="45"/>
      <c r="AX395" s="45"/>
      <c r="AY395" s="45"/>
      <c r="AZ395" s="45"/>
      <c r="BA395" s="45"/>
      <c r="BB395" s="45"/>
      <c r="BC395" s="463"/>
      <c r="BD395" s="456"/>
      <c r="BE395" s="46"/>
      <c r="BF395" s="46"/>
      <c r="BG395" s="46"/>
      <c r="BH395" s="46"/>
      <c r="BI395" s="46"/>
      <c r="BJ395" s="457"/>
      <c r="BK395" s="449">
        <v>0</v>
      </c>
      <c r="BL395" s="45"/>
      <c r="BM395" s="45"/>
      <c r="BN395" s="45"/>
      <c r="BO395" s="45"/>
      <c r="BP395" s="45"/>
      <c r="BQ395" s="45"/>
      <c r="BR395" s="45"/>
      <c r="BS395" s="45"/>
      <c r="BT395" s="45"/>
      <c r="BU395" s="45"/>
      <c r="BV395" s="45"/>
      <c r="BW395" s="45"/>
      <c r="BX395" s="45"/>
      <c r="BY395" s="45"/>
      <c r="BZ395" s="45"/>
      <c r="CA395" s="45"/>
      <c r="CB395" s="45"/>
      <c r="CC395" s="45"/>
      <c r="CD395" s="463"/>
      <c r="CE395">
        <v>0</v>
      </c>
      <c r="CF395">
        <v>0</v>
      </c>
      <c r="CG395">
        <v>0</v>
      </c>
      <c r="CH395">
        <v>0</v>
      </c>
      <c r="CI395">
        <v>0</v>
      </c>
      <c r="CJ395">
        <v>0</v>
      </c>
      <c r="CK395">
        <v>0</v>
      </c>
      <c r="CL395">
        <v>0</v>
      </c>
      <c r="CM395">
        <v>0</v>
      </c>
      <c r="CN395">
        <v>0</v>
      </c>
      <c r="CO395">
        <v>0</v>
      </c>
      <c r="CP395">
        <v>0</v>
      </c>
      <c r="CQ395">
        <v>0</v>
      </c>
      <c r="CR395">
        <v>0</v>
      </c>
      <c r="CS395">
        <v>0</v>
      </c>
      <c r="CT395">
        <v>0</v>
      </c>
      <c r="CU395">
        <v>0</v>
      </c>
      <c r="CV395">
        <v>0</v>
      </c>
      <c r="CW395">
        <v>0</v>
      </c>
      <c r="CX395">
        <v>0</v>
      </c>
      <c r="CY395">
        <v>0</v>
      </c>
      <c r="CZ395">
        <v>0</v>
      </c>
      <c r="DA395">
        <v>0</v>
      </c>
      <c r="DB395">
        <v>0</v>
      </c>
      <c r="DC395">
        <v>0</v>
      </c>
      <c r="DD395">
        <v>0</v>
      </c>
      <c r="DE395">
        <v>0</v>
      </c>
      <c r="DF395">
        <v>0</v>
      </c>
      <c r="DG395">
        <v>0</v>
      </c>
      <c r="DH395">
        <v>0</v>
      </c>
      <c r="DI395">
        <v>0</v>
      </c>
      <c r="DJ395">
        <v>0</v>
      </c>
      <c r="DK395">
        <v>0</v>
      </c>
      <c r="DL395">
        <v>0</v>
      </c>
      <c r="DM395">
        <v>0</v>
      </c>
      <c r="DN395">
        <v>0</v>
      </c>
      <c r="DO395">
        <v>0</v>
      </c>
      <c r="DP395">
        <v>0</v>
      </c>
      <c r="DQ395">
        <v>0</v>
      </c>
      <c r="DR395">
        <v>0</v>
      </c>
      <c r="DS395">
        <v>0</v>
      </c>
      <c r="DT395">
        <v>0</v>
      </c>
      <c r="DU395">
        <v>0</v>
      </c>
    </row>
    <row r="396" spans="2:125">
      <c r="B396" s="136">
        <v>387</v>
      </c>
      <c r="C396" s="138">
        <v>1</v>
      </c>
      <c r="D396" s="474">
        <v>3743.3852839508518</v>
      </c>
      <c r="E396" s="127">
        <v>240.27728265149767</v>
      </c>
      <c r="F396" s="447">
        <v>0.41033704998259191</v>
      </c>
      <c r="G396" s="127">
        <v>134.79959342644088</v>
      </c>
      <c r="H396" s="132">
        <v>57.971932406165791</v>
      </c>
      <c r="I396" s="456"/>
      <c r="J396" s="45"/>
      <c r="K396" s="45">
        <v>540</v>
      </c>
      <c r="L396" s="463"/>
      <c r="M396" s="456">
        <v>34.276706695556641</v>
      </c>
      <c r="N396" s="457"/>
      <c r="O396" s="456"/>
      <c r="P396" s="46"/>
      <c r="Q396" s="463">
        <v>74.119026184082031</v>
      </c>
      <c r="R396" s="449"/>
      <c r="S396" s="463"/>
      <c r="T396" s="480"/>
      <c r="U396" s="468"/>
      <c r="V396" s="449"/>
      <c r="W396" s="45">
        <v>1622.000732421875</v>
      </c>
      <c r="X396" s="463">
        <v>135.31758117675781</v>
      </c>
      <c r="Y396" s="449"/>
      <c r="Z396" s="45"/>
      <c r="AA396" s="468">
        <v>0.401466271668102</v>
      </c>
      <c r="AB396" s="456"/>
      <c r="AC396" s="46"/>
      <c r="AD396" s="46"/>
      <c r="AE396" s="46"/>
      <c r="AF396" s="46"/>
      <c r="AG396" s="46"/>
      <c r="AH396" s="46"/>
      <c r="AI396" s="457"/>
      <c r="AJ396" s="138"/>
      <c r="AK396" s="745"/>
      <c r="AL396" s="54"/>
      <c r="AM396" s="468"/>
      <c r="AN396" s="449"/>
      <c r="AO396" s="45"/>
      <c r="AP396" s="45"/>
      <c r="AQ396" s="45"/>
      <c r="AR396" s="45"/>
      <c r="AS396" s="45"/>
      <c r="AT396" s="45"/>
      <c r="AU396" s="463"/>
      <c r="AV396" s="449"/>
      <c r="AW396" s="45"/>
      <c r="AX396" s="45"/>
      <c r="AY396" s="45"/>
      <c r="AZ396" s="45"/>
      <c r="BA396" s="45"/>
      <c r="BB396" s="45"/>
      <c r="BC396" s="463"/>
      <c r="BD396" s="456"/>
      <c r="BE396" s="46"/>
      <c r="BF396" s="46"/>
      <c r="BG396" s="46"/>
      <c r="BH396" s="46"/>
      <c r="BI396" s="46"/>
      <c r="BJ396" s="457"/>
      <c r="BK396" s="449">
        <v>0</v>
      </c>
      <c r="BL396" s="45"/>
      <c r="BM396" s="45"/>
      <c r="BN396" s="45"/>
      <c r="BO396" s="45"/>
      <c r="BP396" s="45"/>
      <c r="BQ396" s="45"/>
      <c r="BR396" s="45"/>
      <c r="BS396" s="45"/>
      <c r="BT396" s="45"/>
      <c r="BU396" s="45"/>
      <c r="BV396" s="45"/>
      <c r="BW396" s="45"/>
      <c r="BX396" s="45"/>
      <c r="BY396" s="45"/>
      <c r="BZ396" s="45"/>
      <c r="CA396" s="45"/>
      <c r="CB396" s="45"/>
      <c r="CC396" s="45"/>
      <c r="CD396" s="463"/>
      <c r="CE396">
        <v>0</v>
      </c>
      <c r="CF396">
        <v>0</v>
      </c>
      <c r="CG396">
        <v>0</v>
      </c>
      <c r="CH396">
        <v>0</v>
      </c>
      <c r="CI396">
        <v>0</v>
      </c>
      <c r="CJ396">
        <v>0</v>
      </c>
      <c r="CK396">
        <v>0</v>
      </c>
      <c r="CL396">
        <v>0</v>
      </c>
      <c r="CM396">
        <v>0</v>
      </c>
      <c r="CN396">
        <v>0</v>
      </c>
      <c r="CO396">
        <v>0</v>
      </c>
      <c r="CP396">
        <v>0</v>
      </c>
      <c r="CQ396">
        <v>0</v>
      </c>
      <c r="CR396">
        <v>0</v>
      </c>
      <c r="CS396">
        <v>0</v>
      </c>
      <c r="CT396">
        <v>0</v>
      </c>
      <c r="CU396">
        <v>0</v>
      </c>
      <c r="CV396">
        <v>0</v>
      </c>
      <c r="CW396">
        <v>0</v>
      </c>
      <c r="CX396">
        <v>0</v>
      </c>
      <c r="CY396">
        <v>0</v>
      </c>
      <c r="CZ396">
        <v>0</v>
      </c>
      <c r="DA396">
        <v>0</v>
      </c>
      <c r="DB396">
        <v>0</v>
      </c>
      <c r="DC396">
        <v>0</v>
      </c>
      <c r="DD396">
        <v>0</v>
      </c>
      <c r="DE396">
        <v>0</v>
      </c>
      <c r="DF396">
        <v>0</v>
      </c>
      <c r="DG396">
        <v>0</v>
      </c>
      <c r="DH396">
        <v>0</v>
      </c>
      <c r="DI396">
        <v>0</v>
      </c>
      <c r="DJ396">
        <v>0</v>
      </c>
      <c r="DK396">
        <v>0</v>
      </c>
      <c r="DL396">
        <v>0</v>
      </c>
      <c r="DM396">
        <v>0</v>
      </c>
      <c r="DN396">
        <v>0</v>
      </c>
      <c r="DO396">
        <v>0</v>
      </c>
      <c r="DP396">
        <v>0</v>
      </c>
      <c r="DQ396">
        <v>0</v>
      </c>
      <c r="DR396">
        <v>0</v>
      </c>
      <c r="DS396">
        <v>0</v>
      </c>
      <c r="DT396">
        <v>0</v>
      </c>
      <c r="DU396">
        <v>0</v>
      </c>
    </row>
    <row r="397" spans="2:125">
      <c r="B397" s="136">
        <v>388</v>
      </c>
      <c r="C397" s="138">
        <v>1</v>
      </c>
      <c r="D397" s="474">
        <v>3009.7985055310037</v>
      </c>
      <c r="E397" s="127">
        <v>201.6857331886421</v>
      </c>
      <c r="F397" s="447">
        <v>0.35419573386676234</v>
      </c>
      <c r="G397" s="127">
        <v>94.580001609178808</v>
      </c>
      <c r="H397" s="132">
        <v>55.448756687641456</v>
      </c>
      <c r="I397" s="456"/>
      <c r="J397" s="45"/>
      <c r="K397" s="45">
        <v>410</v>
      </c>
      <c r="L397" s="463"/>
      <c r="M397" s="456">
        <v>26.165073394775391</v>
      </c>
      <c r="N397" s="457"/>
      <c r="O397" s="456"/>
      <c r="P397" s="46"/>
      <c r="Q397" s="463">
        <v>59.594013214111328</v>
      </c>
      <c r="R397" s="449"/>
      <c r="S397" s="463"/>
      <c r="T397" s="480"/>
      <c r="U397" s="468"/>
      <c r="V397" s="449"/>
      <c r="W397" s="45">
        <v>1068.8050537109375</v>
      </c>
      <c r="X397" s="463">
        <v>94.50848388671875</v>
      </c>
      <c r="Y397" s="449"/>
      <c r="Z397" s="45"/>
      <c r="AA397" s="468">
        <v>0.34353591241413828</v>
      </c>
      <c r="AB397" s="456"/>
      <c r="AC397" s="46"/>
      <c r="AD397" s="46"/>
      <c r="AE397" s="46"/>
      <c r="AF397" s="46"/>
      <c r="AG397" s="46"/>
      <c r="AH397" s="46"/>
      <c r="AI397" s="457"/>
      <c r="AJ397" s="138"/>
      <c r="AK397" s="745"/>
      <c r="AL397" s="54"/>
      <c r="AM397" s="468"/>
      <c r="AN397" s="449"/>
      <c r="AO397" s="45"/>
      <c r="AP397" s="45"/>
      <c r="AQ397" s="45"/>
      <c r="AR397" s="45"/>
      <c r="AS397" s="45"/>
      <c r="AT397" s="45"/>
      <c r="AU397" s="463"/>
      <c r="AV397" s="449"/>
      <c r="AW397" s="45"/>
      <c r="AX397" s="45"/>
      <c r="AY397" s="45"/>
      <c r="AZ397" s="45"/>
      <c r="BA397" s="45"/>
      <c r="BB397" s="45"/>
      <c r="BC397" s="463"/>
      <c r="BD397" s="456"/>
      <c r="BE397" s="46"/>
      <c r="BF397" s="46"/>
      <c r="BG397" s="46"/>
      <c r="BH397" s="46"/>
      <c r="BI397" s="46"/>
      <c r="BJ397" s="457"/>
      <c r="BK397" s="449">
        <v>0</v>
      </c>
      <c r="BL397" s="45"/>
      <c r="BM397" s="45"/>
      <c r="BN397" s="45"/>
      <c r="BO397" s="45"/>
      <c r="BP397" s="45"/>
      <c r="BQ397" s="45"/>
      <c r="BR397" s="45"/>
      <c r="BS397" s="45"/>
      <c r="BT397" s="45"/>
      <c r="BU397" s="45"/>
      <c r="BV397" s="45"/>
      <c r="BW397" s="45"/>
      <c r="BX397" s="45"/>
      <c r="BY397" s="45"/>
      <c r="BZ397" s="45"/>
      <c r="CA397" s="45"/>
      <c r="CB397" s="45"/>
      <c r="CC397" s="45"/>
      <c r="CD397" s="463"/>
      <c r="CE397">
        <v>0</v>
      </c>
      <c r="CF397">
        <v>0</v>
      </c>
      <c r="CG397">
        <v>0</v>
      </c>
      <c r="CH397">
        <v>0</v>
      </c>
      <c r="CI397">
        <v>0</v>
      </c>
      <c r="CJ397">
        <v>0</v>
      </c>
      <c r="CK397">
        <v>0</v>
      </c>
      <c r="CL397">
        <v>0</v>
      </c>
      <c r="CM397">
        <v>0</v>
      </c>
      <c r="CN397">
        <v>0</v>
      </c>
      <c r="CO397">
        <v>0</v>
      </c>
      <c r="CP397">
        <v>0</v>
      </c>
      <c r="CQ397">
        <v>0</v>
      </c>
      <c r="CR397">
        <v>0</v>
      </c>
      <c r="CS397">
        <v>0</v>
      </c>
      <c r="CT397">
        <v>0</v>
      </c>
      <c r="CU397">
        <v>0</v>
      </c>
      <c r="CV397">
        <v>0</v>
      </c>
      <c r="CW397">
        <v>0</v>
      </c>
      <c r="CX397">
        <v>0</v>
      </c>
      <c r="CY397">
        <v>0</v>
      </c>
      <c r="CZ397">
        <v>0</v>
      </c>
      <c r="DA397">
        <v>0</v>
      </c>
      <c r="DB397">
        <v>0</v>
      </c>
      <c r="DC397">
        <v>0</v>
      </c>
      <c r="DD397">
        <v>0</v>
      </c>
      <c r="DE397">
        <v>0</v>
      </c>
      <c r="DF397">
        <v>0</v>
      </c>
      <c r="DG397">
        <v>0</v>
      </c>
      <c r="DH397">
        <v>0</v>
      </c>
      <c r="DI397">
        <v>0</v>
      </c>
      <c r="DJ397">
        <v>0</v>
      </c>
      <c r="DK397">
        <v>0</v>
      </c>
      <c r="DL397">
        <v>0</v>
      </c>
      <c r="DM397">
        <v>0</v>
      </c>
      <c r="DN397">
        <v>0</v>
      </c>
      <c r="DO397">
        <v>0</v>
      </c>
      <c r="DP397">
        <v>0</v>
      </c>
      <c r="DQ397">
        <v>0</v>
      </c>
      <c r="DR397">
        <v>0</v>
      </c>
      <c r="DS397">
        <v>0</v>
      </c>
      <c r="DT397">
        <v>0</v>
      </c>
      <c r="DU397">
        <v>0</v>
      </c>
    </row>
    <row r="398" spans="2:125">
      <c r="B398" s="136">
        <v>389</v>
      </c>
      <c r="C398" s="138">
        <v>1</v>
      </c>
      <c r="D398" s="474">
        <v>3822.0070501201544</v>
      </c>
      <c r="E398" s="127">
        <v>260.52635546825957</v>
      </c>
      <c r="F398" s="447">
        <v>0.36527960811149646</v>
      </c>
      <c r="G398" s="127">
        <v>126.47529908270639</v>
      </c>
      <c r="H398" s="132">
        <v>61.102015432639384</v>
      </c>
      <c r="I398" s="456"/>
      <c r="J398" s="45"/>
      <c r="K398" s="45">
        <v>520</v>
      </c>
      <c r="L398" s="463"/>
      <c r="M398" s="456">
        <v>28.066118240356445</v>
      </c>
      <c r="N398" s="457"/>
      <c r="O398" s="456"/>
      <c r="P398" s="46"/>
      <c r="Q398" s="463">
        <v>75.675743103027344</v>
      </c>
      <c r="R398" s="449"/>
      <c r="S398" s="463"/>
      <c r="T398" s="480"/>
      <c r="U398" s="468"/>
      <c r="V398" s="449"/>
      <c r="W398" s="45">
        <v>1368.0972900390625</v>
      </c>
      <c r="X398" s="463">
        <v>116.77738189697266</v>
      </c>
      <c r="Y398" s="449"/>
      <c r="Z398" s="45"/>
      <c r="AA398" s="468">
        <v>0.35682708781559219</v>
      </c>
      <c r="AB398" s="456"/>
      <c r="AC398" s="46"/>
      <c r="AD398" s="46"/>
      <c r="AE398" s="46"/>
      <c r="AF398" s="46"/>
      <c r="AG398" s="46"/>
      <c r="AH398" s="46"/>
      <c r="AI398" s="457"/>
      <c r="AJ398" s="138"/>
      <c r="AK398" s="745"/>
      <c r="AL398" s="54"/>
      <c r="AM398" s="468"/>
      <c r="AN398" s="449"/>
      <c r="AO398" s="45"/>
      <c r="AP398" s="45"/>
      <c r="AQ398" s="45"/>
      <c r="AR398" s="45"/>
      <c r="AS398" s="45"/>
      <c r="AT398" s="45"/>
      <c r="AU398" s="463"/>
      <c r="AV398" s="449"/>
      <c r="AW398" s="45"/>
      <c r="AX398" s="45"/>
      <c r="AY398" s="45"/>
      <c r="AZ398" s="45"/>
      <c r="BA398" s="45"/>
      <c r="BB398" s="45"/>
      <c r="BC398" s="463"/>
      <c r="BD398" s="456"/>
      <c r="BE398" s="46"/>
      <c r="BF398" s="46"/>
      <c r="BG398" s="46"/>
      <c r="BH398" s="46"/>
      <c r="BI398" s="46"/>
      <c r="BJ398" s="457"/>
      <c r="BK398" s="449">
        <v>0</v>
      </c>
      <c r="BL398" s="45"/>
      <c r="BM398" s="45"/>
      <c r="BN398" s="45"/>
      <c r="BO398" s="45"/>
      <c r="BP398" s="45"/>
      <c r="BQ398" s="45"/>
      <c r="BR398" s="45"/>
      <c r="BS398" s="45"/>
      <c r="BT398" s="45"/>
      <c r="BU398" s="45"/>
      <c r="BV398" s="45"/>
      <c r="BW398" s="45"/>
      <c r="BX398" s="45"/>
      <c r="BY398" s="45"/>
      <c r="BZ398" s="45"/>
      <c r="CA398" s="45"/>
      <c r="CB398" s="45"/>
      <c r="CC398" s="45"/>
      <c r="CD398" s="463"/>
      <c r="CE398">
        <v>0</v>
      </c>
      <c r="CF398">
        <v>0</v>
      </c>
      <c r="CG398">
        <v>0</v>
      </c>
      <c r="CH398">
        <v>0</v>
      </c>
      <c r="CI398">
        <v>0</v>
      </c>
      <c r="CJ398">
        <v>0</v>
      </c>
      <c r="CK398">
        <v>0</v>
      </c>
      <c r="CL398">
        <v>0</v>
      </c>
      <c r="CM398">
        <v>0</v>
      </c>
      <c r="CN398">
        <v>0</v>
      </c>
      <c r="CO398">
        <v>0</v>
      </c>
      <c r="CP398">
        <v>0</v>
      </c>
      <c r="CQ398">
        <v>0</v>
      </c>
      <c r="CR398">
        <v>0</v>
      </c>
      <c r="CS398">
        <v>0</v>
      </c>
      <c r="CT398">
        <v>0</v>
      </c>
      <c r="CU398">
        <v>0</v>
      </c>
      <c r="CV398">
        <v>0</v>
      </c>
      <c r="CW398">
        <v>0</v>
      </c>
      <c r="CX398">
        <v>0</v>
      </c>
      <c r="CY398">
        <v>0</v>
      </c>
      <c r="CZ398">
        <v>0</v>
      </c>
      <c r="DA398">
        <v>0</v>
      </c>
      <c r="DB398">
        <v>0</v>
      </c>
      <c r="DC398">
        <v>0</v>
      </c>
      <c r="DD398">
        <v>0</v>
      </c>
      <c r="DE398">
        <v>0</v>
      </c>
      <c r="DF398">
        <v>0</v>
      </c>
      <c r="DG398">
        <v>0</v>
      </c>
      <c r="DH398">
        <v>0</v>
      </c>
      <c r="DI398">
        <v>0</v>
      </c>
      <c r="DJ398">
        <v>0</v>
      </c>
      <c r="DK398">
        <v>0</v>
      </c>
      <c r="DL398">
        <v>0</v>
      </c>
      <c r="DM398">
        <v>0</v>
      </c>
      <c r="DN398">
        <v>0</v>
      </c>
      <c r="DO398">
        <v>0</v>
      </c>
      <c r="DP398">
        <v>0</v>
      </c>
      <c r="DQ398">
        <v>0</v>
      </c>
      <c r="DR398">
        <v>0</v>
      </c>
      <c r="DS398">
        <v>0</v>
      </c>
      <c r="DT398">
        <v>0</v>
      </c>
      <c r="DU398">
        <v>0</v>
      </c>
    </row>
    <row r="399" spans="2:125">
      <c r="B399" s="136">
        <v>390</v>
      </c>
      <c r="C399" s="138">
        <v>1</v>
      </c>
      <c r="D399" s="474">
        <v>4455.201571749205</v>
      </c>
      <c r="E399" s="127">
        <v>227.04724272604091</v>
      </c>
      <c r="F399" s="447">
        <v>0.42459349483392539</v>
      </c>
      <c r="G399" s="127">
        <v>175.76840119907624</v>
      </c>
      <c r="H399" s="132">
        <v>59.789665961073069</v>
      </c>
      <c r="I399" s="456"/>
      <c r="J399" s="45"/>
      <c r="K399" s="45">
        <v>680</v>
      </c>
      <c r="L399" s="463"/>
      <c r="M399" s="456">
        <v>40.061393737792969</v>
      </c>
      <c r="N399" s="457"/>
      <c r="O399" s="456"/>
      <c r="P399" s="46"/>
      <c r="Q399" s="463">
        <v>88.212997436523438</v>
      </c>
      <c r="R399" s="449"/>
      <c r="S399" s="463"/>
      <c r="T399" s="480"/>
      <c r="U399" s="468"/>
      <c r="V399" s="449"/>
      <c r="W399" s="45">
        <v>2098.62646484375</v>
      </c>
      <c r="X399" s="463">
        <v>170.55718994140625</v>
      </c>
      <c r="Y399" s="449"/>
      <c r="Z399" s="45"/>
      <c r="AA399" s="468">
        <v>0.41707601905705971</v>
      </c>
      <c r="AB399" s="456"/>
      <c r="AC399" s="46"/>
      <c r="AD399" s="46"/>
      <c r="AE399" s="46"/>
      <c r="AF399" s="46"/>
      <c r="AG399" s="46"/>
      <c r="AH399" s="46"/>
      <c r="AI399" s="457"/>
      <c r="AJ399" s="138"/>
      <c r="AK399" s="745"/>
      <c r="AL399" s="54"/>
      <c r="AM399" s="468"/>
      <c r="AN399" s="449"/>
      <c r="AO399" s="45"/>
      <c r="AP399" s="45"/>
      <c r="AQ399" s="45"/>
      <c r="AR399" s="45"/>
      <c r="AS399" s="45"/>
      <c r="AT399" s="45"/>
      <c r="AU399" s="463"/>
      <c r="AV399" s="449"/>
      <c r="AW399" s="45"/>
      <c r="AX399" s="45"/>
      <c r="AY399" s="45"/>
      <c r="AZ399" s="45"/>
      <c r="BA399" s="45"/>
      <c r="BB399" s="45"/>
      <c r="BC399" s="463"/>
      <c r="BD399" s="456"/>
      <c r="BE399" s="46"/>
      <c r="BF399" s="46"/>
      <c r="BG399" s="46"/>
      <c r="BH399" s="46"/>
      <c r="BI399" s="46"/>
      <c r="BJ399" s="457"/>
      <c r="BK399" s="449">
        <v>0</v>
      </c>
      <c r="BL399" s="45"/>
      <c r="BM399" s="45"/>
      <c r="BN399" s="45"/>
      <c r="BO399" s="45"/>
      <c r="BP399" s="45"/>
      <c r="BQ399" s="45"/>
      <c r="BR399" s="45"/>
      <c r="BS399" s="45"/>
      <c r="BT399" s="45"/>
      <c r="BU399" s="45"/>
      <c r="BV399" s="45"/>
      <c r="BW399" s="45"/>
      <c r="BX399" s="45"/>
      <c r="BY399" s="45"/>
      <c r="BZ399" s="45"/>
      <c r="CA399" s="45"/>
      <c r="CB399" s="45"/>
      <c r="CC399" s="45"/>
      <c r="CD399" s="463"/>
      <c r="CE399">
        <v>0</v>
      </c>
      <c r="CF399">
        <v>0</v>
      </c>
      <c r="CG399">
        <v>0</v>
      </c>
      <c r="CH399">
        <v>0</v>
      </c>
      <c r="CI399">
        <v>0</v>
      </c>
      <c r="CJ399">
        <v>0</v>
      </c>
      <c r="CK399">
        <v>0</v>
      </c>
      <c r="CL399">
        <v>0</v>
      </c>
      <c r="CM399">
        <v>0</v>
      </c>
      <c r="CN399">
        <v>0</v>
      </c>
      <c r="CO399">
        <v>0</v>
      </c>
      <c r="CP399">
        <v>0</v>
      </c>
      <c r="CQ399">
        <v>0</v>
      </c>
      <c r="CR399">
        <v>0</v>
      </c>
      <c r="CS399">
        <v>0</v>
      </c>
      <c r="CT399">
        <v>0</v>
      </c>
      <c r="CU399">
        <v>0</v>
      </c>
      <c r="CV399">
        <v>0</v>
      </c>
      <c r="CW399">
        <v>0</v>
      </c>
      <c r="CX399">
        <v>0</v>
      </c>
      <c r="CY399">
        <v>0</v>
      </c>
      <c r="CZ399">
        <v>0</v>
      </c>
      <c r="DA399">
        <v>0</v>
      </c>
      <c r="DB399">
        <v>0</v>
      </c>
      <c r="DC399">
        <v>0</v>
      </c>
      <c r="DD399">
        <v>0</v>
      </c>
      <c r="DE399">
        <v>0</v>
      </c>
      <c r="DF399">
        <v>0</v>
      </c>
      <c r="DG399">
        <v>0</v>
      </c>
      <c r="DH399">
        <v>0</v>
      </c>
      <c r="DI399">
        <v>0</v>
      </c>
      <c r="DJ399">
        <v>0</v>
      </c>
      <c r="DK399">
        <v>0</v>
      </c>
      <c r="DL399">
        <v>0</v>
      </c>
      <c r="DM399">
        <v>0</v>
      </c>
      <c r="DN399">
        <v>0</v>
      </c>
      <c r="DO399">
        <v>0</v>
      </c>
      <c r="DP399">
        <v>0</v>
      </c>
      <c r="DQ399">
        <v>0</v>
      </c>
      <c r="DR399">
        <v>0</v>
      </c>
      <c r="DS399">
        <v>0</v>
      </c>
      <c r="DT399">
        <v>0</v>
      </c>
      <c r="DU399">
        <v>0</v>
      </c>
    </row>
    <row r="400" spans="2:125">
      <c r="B400" s="136">
        <v>391</v>
      </c>
      <c r="C400" s="138">
        <v>1</v>
      </c>
      <c r="D400" s="474">
        <v>3169.0911676911091</v>
      </c>
      <c r="E400" s="127">
        <v>280.4392226659308</v>
      </c>
      <c r="F400" s="447">
        <v>0.46024668742784264</v>
      </c>
      <c r="G400" s="127">
        <v>127.74193620051352</v>
      </c>
      <c r="H400" s="132">
        <v>48.832077696191959</v>
      </c>
      <c r="I400" s="456"/>
      <c r="J400" s="45"/>
      <c r="K400" s="45">
        <v>500</v>
      </c>
      <c r="L400" s="463"/>
      <c r="M400" s="456">
        <v>43.846858978271484</v>
      </c>
      <c r="N400" s="457"/>
      <c r="O400" s="456"/>
      <c r="P400" s="46"/>
      <c r="Q400" s="463">
        <v>62.748008728027344</v>
      </c>
      <c r="R400" s="449"/>
      <c r="S400" s="463"/>
      <c r="T400" s="480"/>
      <c r="U400" s="468"/>
      <c r="V400" s="449"/>
      <c r="W400" s="45">
        <v>1833.27392578125</v>
      </c>
      <c r="X400" s="463">
        <v>150.50178527832031</v>
      </c>
      <c r="Y400" s="449"/>
      <c r="Z400" s="45"/>
      <c r="AA400" s="468">
        <v>0.44945339309245835</v>
      </c>
      <c r="AB400" s="456"/>
      <c r="AC400" s="46"/>
      <c r="AD400" s="46"/>
      <c r="AE400" s="46"/>
      <c r="AF400" s="46"/>
      <c r="AG400" s="46"/>
      <c r="AH400" s="46"/>
      <c r="AI400" s="457"/>
      <c r="AJ400" s="138"/>
      <c r="AK400" s="745"/>
      <c r="AL400" s="54"/>
      <c r="AM400" s="468"/>
      <c r="AN400" s="449"/>
      <c r="AO400" s="45"/>
      <c r="AP400" s="45"/>
      <c r="AQ400" s="45"/>
      <c r="AR400" s="45"/>
      <c r="AS400" s="45"/>
      <c r="AT400" s="45"/>
      <c r="AU400" s="463"/>
      <c r="AV400" s="449"/>
      <c r="AW400" s="45"/>
      <c r="AX400" s="45"/>
      <c r="AY400" s="45"/>
      <c r="AZ400" s="45"/>
      <c r="BA400" s="45"/>
      <c r="BB400" s="45"/>
      <c r="BC400" s="463"/>
      <c r="BD400" s="456"/>
      <c r="BE400" s="46"/>
      <c r="BF400" s="46"/>
      <c r="BG400" s="46"/>
      <c r="BH400" s="46"/>
      <c r="BI400" s="46"/>
      <c r="BJ400" s="457"/>
      <c r="BK400" s="449">
        <v>0</v>
      </c>
      <c r="BL400" s="45"/>
      <c r="BM400" s="45"/>
      <c r="BN400" s="45"/>
      <c r="BO400" s="45"/>
      <c r="BP400" s="45"/>
      <c r="BQ400" s="45"/>
      <c r="BR400" s="45"/>
      <c r="BS400" s="45"/>
      <c r="BT400" s="45"/>
      <c r="BU400" s="45"/>
      <c r="BV400" s="45"/>
      <c r="BW400" s="45"/>
      <c r="BX400" s="45"/>
      <c r="BY400" s="45"/>
      <c r="BZ400" s="45"/>
      <c r="CA400" s="45"/>
      <c r="CB400" s="45"/>
      <c r="CC400" s="45"/>
      <c r="CD400" s="463"/>
      <c r="CE400">
        <v>0</v>
      </c>
      <c r="CF400">
        <v>0</v>
      </c>
      <c r="CG400">
        <v>0</v>
      </c>
      <c r="CH400">
        <v>0</v>
      </c>
      <c r="CI400">
        <v>0</v>
      </c>
      <c r="CJ400">
        <v>0</v>
      </c>
      <c r="CK400">
        <v>0</v>
      </c>
      <c r="CL400">
        <v>0</v>
      </c>
      <c r="CM400">
        <v>0</v>
      </c>
      <c r="CN400">
        <v>0</v>
      </c>
      <c r="CO400">
        <v>0</v>
      </c>
      <c r="CP400">
        <v>0</v>
      </c>
      <c r="CQ400">
        <v>0</v>
      </c>
      <c r="CR400">
        <v>0</v>
      </c>
      <c r="CS400">
        <v>0</v>
      </c>
      <c r="CT400">
        <v>0</v>
      </c>
      <c r="CU400">
        <v>0</v>
      </c>
      <c r="CV400">
        <v>0</v>
      </c>
      <c r="CW400">
        <v>0</v>
      </c>
      <c r="CX400">
        <v>0</v>
      </c>
      <c r="CY400">
        <v>0</v>
      </c>
      <c r="CZ400">
        <v>0</v>
      </c>
      <c r="DA400">
        <v>0</v>
      </c>
      <c r="DB400">
        <v>0</v>
      </c>
      <c r="DC400">
        <v>0</v>
      </c>
      <c r="DD400">
        <v>0</v>
      </c>
      <c r="DE400">
        <v>0</v>
      </c>
      <c r="DF400">
        <v>0</v>
      </c>
      <c r="DG400">
        <v>0</v>
      </c>
      <c r="DH400">
        <v>0</v>
      </c>
      <c r="DI400">
        <v>0</v>
      </c>
      <c r="DJ400">
        <v>0</v>
      </c>
      <c r="DK400">
        <v>0</v>
      </c>
      <c r="DL400">
        <v>0</v>
      </c>
      <c r="DM400">
        <v>0</v>
      </c>
      <c r="DN400">
        <v>0</v>
      </c>
      <c r="DO400">
        <v>0</v>
      </c>
      <c r="DP400">
        <v>0</v>
      </c>
      <c r="DQ400">
        <v>0</v>
      </c>
      <c r="DR400">
        <v>0</v>
      </c>
      <c r="DS400">
        <v>0</v>
      </c>
      <c r="DT400">
        <v>0</v>
      </c>
      <c r="DU400">
        <v>0</v>
      </c>
    </row>
    <row r="401" spans="2:125">
      <c r="B401" s="136">
        <v>392</v>
      </c>
      <c r="C401" s="138">
        <v>1</v>
      </c>
      <c r="D401" s="474">
        <v>3148.8203983906878</v>
      </c>
      <c r="E401" s="127">
        <v>225.73678259608263</v>
      </c>
      <c r="F401" s="447">
        <v>0.36037200706547473</v>
      </c>
      <c r="G401" s="127">
        <v>100.60350183313712</v>
      </c>
      <c r="H401" s="132">
        <v>62.967506843215673</v>
      </c>
      <c r="I401" s="456"/>
      <c r="J401" s="45"/>
      <c r="K401" s="45">
        <v>450</v>
      </c>
      <c r="L401" s="463"/>
      <c r="M401" s="456">
        <v>25.468891143798828</v>
      </c>
      <c r="N401" s="457"/>
      <c r="O401" s="456"/>
      <c r="P401" s="46"/>
      <c r="Q401" s="463">
        <v>70.760627746582031</v>
      </c>
      <c r="R401" s="449"/>
      <c r="S401" s="463"/>
      <c r="T401" s="480"/>
      <c r="U401" s="468"/>
      <c r="V401" s="449"/>
      <c r="W401" s="45">
        <v>1186.314453125</v>
      </c>
      <c r="X401" s="463">
        <v>103.25192260742187</v>
      </c>
      <c r="Y401" s="449"/>
      <c r="Z401" s="45"/>
      <c r="AA401" s="468">
        <v>0.35014359259071776</v>
      </c>
      <c r="AB401" s="456"/>
      <c r="AC401" s="46"/>
      <c r="AD401" s="46"/>
      <c r="AE401" s="46"/>
      <c r="AF401" s="46"/>
      <c r="AG401" s="46"/>
      <c r="AH401" s="46"/>
      <c r="AI401" s="457"/>
      <c r="AJ401" s="138"/>
      <c r="AK401" s="745"/>
      <c r="AL401" s="54"/>
      <c r="AM401" s="468"/>
      <c r="AN401" s="449"/>
      <c r="AO401" s="45"/>
      <c r="AP401" s="45"/>
      <c r="AQ401" s="45"/>
      <c r="AR401" s="45"/>
      <c r="AS401" s="45"/>
      <c r="AT401" s="45"/>
      <c r="AU401" s="463"/>
      <c r="AV401" s="449"/>
      <c r="AW401" s="45"/>
      <c r="AX401" s="45"/>
      <c r="AY401" s="45"/>
      <c r="AZ401" s="45"/>
      <c r="BA401" s="45"/>
      <c r="BB401" s="45"/>
      <c r="BC401" s="463"/>
      <c r="BD401" s="456"/>
      <c r="BE401" s="46"/>
      <c r="BF401" s="46"/>
      <c r="BG401" s="46"/>
      <c r="BH401" s="46"/>
      <c r="BI401" s="46"/>
      <c r="BJ401" s="457"/>
      <c r="BK401" s="449">
        <v>0</v>
      </c>
      <c r="BL401" s="45"/>
      <c r="BM401" s="45"/>
      <c r="BN401" s="45"/>
      <c r="BO401" s="45"/>
      <c r="BP401" s="45"/>
      <c r="BQ401" s="45"/>
      <c r="BR401" s="45"/>
      <c r="BS401" s="45"/>
      <c r="BT401" s="45"/>
      <c r="BU401" s="45"/>
      <c r="BV401" s="45"/>
      <c r="BW401" s="45"/>
      <c r="BX401" s="45"/>
      <c r="BY401" s="45"/>
      <c r="BZ401" s="45"/>
      <c r="CA401" s="45"/>
      <c r="CB401" s="45"/>
      <c r="CC401" s="45"/>
      <c r="CD401" s="463"/>
      <c r="CE401">
        <v>0</v>
      </c>
      <c r="CF401">
        <v>0</v>
      </c>
      <c r="CG401">
        <v>0</v>
      </c>
      <c r="CH401">
        <v>0</v>
      </c>
      <c r="CI401">
        <v>0</v>
      </c>
      <c r="CJ401">
        <v>0</v>
      </c>
      <c r="CK401">
        <v>0</v>
      </c>
      <c r="CL401">
        <v>0</v>
      </c>
      <c r="CM401">
        <v>0</v>
      </c>
      <c r="CN401">
        <v>0</v>
      </c>
      <c r="CO401">
        <v>0</v>
      </c>
      <c r="CP401">
        <v>0</v>
      </c>
      <c r="CQ401">
        <v>0</v>
      </c>
      <c r="CR401">
        <v>0</v>
      </c>
      <c r="CS401">
        <v>0</v>
      </c>
      <c r="CT401">
        <v>0</v>
      </c>
      <c r="CU401">
        <v>0</v>
      </c>
      <c r="CV401">
        <v>0</v>
      </c>
      <c r="CW401">
        <v>0</v>
      </c>
      <c r="CX401">
        <v>0</v>
      </c>
      <c r="CY401">
        <v>0</v>
      </c>
      <c r="CZ401">
        <v>0</v>
      </c>
      <c r="DA401">
        <v>0</v>
      </c>
      <c r="DB401">
        <v>0</v>
      </c>
      <c r="DC401">
        <v>0</v>
      </c>
      <c r="DD401">
        <v>0</v>
      </c>
      <c r="DE401">
        <v>0</v>
      </c>
      <c r="DF401">
        <v>0</v>
      </c>
      <c r="DG401">
        <v>0</v>
      </c>
      <c r="DH401">
        <v>0</v>
      </c>
      <c r="DI401">
        <v>0</v>
      </c>
      <c r="DJ401">
        <v>0</v>
      </c>
      <c r="DK401">
        <v>0</v>
      </c>
      <c r="DL401">
        <v>0</v>
      </c>
      <c r="DM401">
        <v>0</v>
      </c>
      <c r="DN401">
        <v>0</v>
      </c>
      <c r="DO401">
        <v>0</v>
      </c>
      <c r="DP401">
        <v>0</v>
      </c>
      <c r="DQ401">
        <v>0</v>
      </c>
      <c r="DR401">
        <v>0</v>
      </c>
      <c r="DS401">
        <v>0</v>
      </c>
      <c r="DT401">
        <v>0</v>
      </c>
      <c r="DU401">
        <v>0</v>
      </c>
    </row>
    <row r="402" spans="2:125">
      <c r="B402" s="136">
        <v>393</v>
      </c>
      <c r="C402" s="138">
        <v>1</v>
      </c>
      <c r="D402" s="474">
        <v>3978.5180977841997</v>
      </c>
      <c r="E402" s="127">
        <v>188.96722199143812</v>
      </c>
      <c r="F402" s="447">
        <v>0.36423515886856206</v>
      </c>
      <c r="G402" s="127">
        <v>163.40804831541672</v>
      </c>
      <c r="H402" s="132">
        <v>54.788665922919172</v>
      </c>
      <c r="I402" s="456"/>
      <c r="J402" s="45"/>
      <c r="K402" s="45">
        <v>610</v>
      </c>
      <c r="L402" s="463"/>
      <c r="M402" s="456">
        <v>31.273014068603516</v>
      </c>
      <c r="N402" s="457"/>
      <c r="O402" s="456"/>
      <c r="P402" s="46"/>
      <c r="Q402" s="463">
        <v>78.774665832519531</v>
      </c>
      <c r="R402" s="449"/>
      <c r="S402" s="463"/>
      <c r="T402" s="480"/>
      <c r="U402" s="468"/>
      <c r="V402" s="449"/>
      <c r="W402" s="45">
        <v>1574.615966796875</v>
      </c>
      <c r="X402" s="463">
        <v>132.17402648925781</v>
      </c>
      <c r="Y402" s="449"/>
      <c r="Z402" s="45"/>
      <c r="AA402" s="468">
        <v>0.35612040297607239</v>
      </c>
      <c r="AB402" s="456"/>
      <c r="AC402" s="46"/>
      <c r="AD402" s="46"/>
      <c r="AE402" s="46"/>
      <c r="AF402" s="46"/>
      <c r="AG402" s="46"/>
      <c r="AH402" s="46"/>
      <c r="AI402" s="457"/>
      <c r="AJ402" s="138"/>
      <c r="AK402" s="745"/>
      <c r="AL402" s="54"/>
      <c r="AM402" s="468"/>
      <c r="AN402" s="449"/>
      <c r="AO402" s="45"/>
      <c r="AP402" s="45"/>
      <c r="AQ402" s="45"/>
      <c r="AR402" s="45"/>
      <c r="AS402" s="45"/>
      <c r="AT402" s="45"/>
      <c r="AU402" s="463"/>
      <c r="AV402" s="449"/>
      <c r="AW402" s="45"/>
      <c r="AX402" s="45"/>
      <c r="AY402" s="45"/>
      <c r="AZ402" s="45"/>
      <c r="BA402" s="45"/>
      <c r="BB402" s="45"/>
      <c r="BC402" s="463"/>
      <c r="BD402" s="456"/>
      <c r="BE402" s="46"/>
      <c r="BF402" s="46"/>
      <c r="BG402" s="46"/>
      <c r="BH402" s="46"/>
      <c r="BI402" s="46"/>
      <c r="BJ402" s="457"/>
      <c r="BK402" s="449">
        <v>0</v>
      </c>
      <c r="BL402" s="45"/>
      <c r="BM402" s="45"/>
      <c r="BN402" s="45"/>
      <c r="BO402" s="45"/>
      <c r="BP402" s="45"/>
      <c r="BQ402" s="45"/>
      <c r="BR402" s="45"/>
      <c r="BS402" s="45"/>
      <c r="BT402" s="45"/>
      <c r="BU402" s="45"/>
      <c r="BV402" s="45"/>
      <c r="BW402" s="45"/>
      <c r="BX402" s="45"/>
      <c r="BY402" s="45"/>
      <c r="BZ402" s="45"/>
      <c r="CA402" s="45"/>
      <c r="CB402" s="45"/>
      <c r="CC402" s="45"/>
      <c r="CD402" s="463"/>
      <c r="CE402">
        <v>0</v>
      </c>
      <c r="CF402">
        <v>0</v>
      </c>
      <c r="CG402">
        <v>0</v>
      </c>
      <c r="CH402">
        <v>0</v>
      </c>
      <c r="CI402">
        <v>0</v>
      </c>
      <c r="CJ402">
        <v>0</v>
      </c>
      <c r="CK402">
        <v>0</v>
      </c>
      <c r="CL402">
        <v>0</v>
      </c>
      <c r="CM402">
        <v>0</v>
      </c>
      <c r="CN402">
        <v>0</v>
      </c>
      <c r="CO402">
        <v>0</v>
      </c>
      <c r="CP402">
        <v>0</v>
      </c>
      <c r="CQ402">
        <v>0</v>
      </c>
      <c r="CR402">
        <v>0</v>
      </c>
      <c r="CS402">
        <v>0</v>
      </c>
      <c r="CT402">
        <v>0</v>
      </c>
      <c r="CU402">
        <v>0</v>
      </c>
      <c r="CV402">
        <v>0</v>
      </c>
      <c r="CW402">
        <v>0</v>
      </c>
      <c r="CX402">
        <v>0</v>
      </c>
      <c r="CY402">
        <v>0</v>
      </c>
      <c r="CZ402">
        <v>0</v>
      </c>
      <c r="DA402">
        <v>0</v>
      </c>
      <c r="DB402">
        <v>0</v>
      </c>
      <c r="DC402">
        <v>0</v>
      </c>
      <c r="DD402">
        <v>0</v>
      </c>
      <c r="DE402">
        <v>0</v>
      </c>
      <c r="DF402">
        <v>0</v>
      </c>
      <c r="DG402">
        <v>0</v>
      </c>
      <c r="DH402">
        <v>0</v>
      </c>
      <c r="DI402">
        <v>0</v>
      </c>
      <c r="DJ402">
        <v>0</v>
      </c>
      <c r="DK402">
        <v>0</v>
      </c>
      <c r="DL402">
        <v>0</v>
      </c>
      <c r="DM402">
        <v>0</v>
      </c>
      <c r="DN402">
        <v>0</v>
      </c>
      <c r="DO402">
        <v>0</v>
      </c>
      <c r="DP402">
        <v>0</v>
      </c>
      <c r="DQ402">
        <v>0</v>
      </c>
      <c r="DR402">
        <v>0</v>
      </c>
      <c r="DS402">
        <v>0</v>
      </c>
      <c r="DT402">
        <v>0</v>
      </c>
      <c r="DU402">
        <v>0</v>
      </c>
    </row>
    <row r="403" spans="2:125">
      <c r="B403" s="136">
        <v>394</v>
      </c>
      <c r="C403" s="138">
        <v>1</v>
      </c>
      <c r="D403" s="474">
        <v>3433.7337968526144</v>
      </c>
      <c r="E403" s="127">
        <v>229.7228141221629</v>
      </c>
      <c r="F403" s="447">
        <v>0.40529046996413109</v>
      </c>
      <c r="G403" s="127">
        <v>134.13821952076381</v>
      </c>
      <c r="H403" s="132">
        <v>52.527355631687357</v>
      </c>
      <c r="I403" s="456"/>
      <c r="J403" s="45"/>
      <c r="K403" s="45">
        <v>520</v>
      </c>
      <c r="L403" s="463"/>
      <c r="M403" s="456">
        <v>34.332267761230469</v>
      </c>
      <c r="N403" s="457"/>
      <c r="O403" s="456"/>
      <c r="P403" s="46"/>
      <c r="Q403" s="463">
        <v>67.987930297851562</v>
      </c>
      <c r="R403" s="449"/>
      <c r="S403" s="463"/>
      <c r="T403" s="480"/>
      <c r="U403" s="468"/>
      <c r="V403" s="449"/>
      <c r="W403" s="45">
        <v>1544.687744140625</v>
      </c>
      <c r="X403" s="463">
        <v>129.60487365722656</v>
      </c>
      <c r="Y403" s="449"/>
      <c r="Z403" s="45"/>
      <c r="AA403" s="468">
        <v>0.3956491257720951</v>
      </c>
      <c r="AB403" s="456"/>
      <c r="AC403" s="46"/>
      <c r="AD403" s="46"/>
      <c r="AE403" s="46"/>
      <c r="AF403" s="46"/>
      <c r="AG403" s="46"/>
      <c r="AH403" s="46"/>
      <c r="AI403" s="457"/>
      <c r="AJ403" s="138"/>
      <c r="AK403" s="745"/>
      <c r="AL403" s="54"/>
      <c r="AM403" s="468"/>
      <c r="AN403" s="449"/>
      <c r="AO403" s="45"/>
      <c r="AP403" s="45"/>
      <c r="AQ403" s="45"/>
      <c r="AR403" s="45"/>
      <c r="AS403" s="45"/>
      <c r="AT403" s="45"/>
      <c r="AU403" s="463"/>
      <c r="AV403" s="449"/>
      <c r="AW403" s="45"/>
      <c r="AX403" s="45"/>
      <c r="AY403" s="45"/>
      <c r="AZ403" s="45"/>
      <c r="BA403" s="45"/>
      <c r="BB403" s="45"/>
      <c r="BC403" s="463"/>
      <c r="BD403" s="456"/>
      <c r="BE403" s="46"/>
      <c r="BF403" s="46"/>
      <c r="BG403" s="46"/>
      <c r="BH403" s="46"/>
      <c r="BI403" s="46"/>
      <c r="BJ403" s="457"/>
      <c r="BK403" s="449">
        <v>0</v>
      </c>
      <c r="BL403" s="45"/>
      <c r="BM403" s="45"/>
      <c r="BN403" s="45"/>
      <c r="BO403" s="45"/>
      <c r="BP403" s="45"/>
      <c r="BQ403" s="45"/>
      <c r="BR403" s="45"/>
      <c r="BS403" s="45"/>
      <c r="BT403" s="45"/>
      <c r="BU403" s="45"/>
      <c r="BV403" s="45"/>
      <c r="BW403" s="45"/>
      <c r="BX403" s="45"/>
      <c r="BY403" s="45"/>
      <c r="BZ403" s="45"/>
      <c r="CA403" s="45"/>
      <c r="CB403" s="45"/>
      <c r="CC403" s="45"/>
      <c r="CD403" s="463"/>
      <c r="CE403">
        <v>0</v>
      </c>
      <c r="CF403">
        <v>0</v>
      </c>
      <c r="CG403">
        <v>0</v>
      </c>
      <c r="CH403">
        <v>0</v>
      </c>
      <c r="CI403">
        <v>0</v>
      </c>
      <c r="CJ403">
        <v>0</v>
      </c>
      <c r="CK403">
        <v>0</v>
      </c>
      <c r="CL403">
        <v>0</v>
      </c>
      <c r="CM403">
        <v>0</v>
      </c>
      <c r="CN403">
        <v>0</v>
      </c>
      <c r="CO403">
        <v>0</v>
      </c>
      <c r="CP403">
        <v>0</v>
      </c>
      <c r="CQ403">
        <v>0</v>
      </c>
      <c r="CR403">
        <v>0</v>
      </c>
      <c r="CS403">
        <v>0</v>
      </c>
      <c r="CT403">
        <v>0</v>
      </c>
      <c r="CU403">
        <v>0</v>
      </c>
      <c r="CV403">
        <v>0</v>
      </c>
      <c r="CW403">
        <v>0</v>
      </c>
      <c r="CX403">
        <v>0</v>
      </c>
      <c r="CY403">
        <v>0</v>
      </c>
      <c r="CZ403">
        <v>0</v>
      </c>
      <c r="DA403">
        <v>0</v>
      </c>
      <c r="DB403">
        <v>0</v>
      </c>
      <c r="DC403">
        <v>0</v>
      </c>
      <c r="DD403">
        <v>0</v>
      </c>
      <c r="DE403">
        <v>0</v>
      </c>
      <c r="DF403">
        <v>0</v>
      </c>
      <c r="DG403">
        <v>0</v>
      </c>
      <c r="DH403">
        <v>0</v>
      </c>
      <c r="DI403">
        <v>0</v>
      </c>
      <c r="DJ403">
        <v>0</v>
      </c>
      <c r="DK403">
        <v>0</v>
      </c>
      <c r="DL403">
        <v>0</v>
      </c>
      <c r="DM403">
        <v>0</v>
      </c>
      <c r="DN403">
        <v>0</v>
      </c>
      <c r="DO403">
        <v>0</v>
      </c>
      <c r="DP403">
        <v>0</v>
      </c>
      <c r="DQ403">
        <v>0</v>
      </c>
      <c r="DR403">
        <v>0</v>
      </c>
      <c r="DS403">
        <v>0</v>
      </c>
      <c r="DT403">
        <v>0</v>
      </c>
      <c r="DU403">
        <v>0</v>
      </c>
    </row>
    <row r="404" spans="2:125">
      <c r="B404" s="136">
        <v>395</v>
      </c>
      <c r="C404" s="138">
        <v>1</v>
      </c>
      <c r="D404" s="474">
        <v>3457.3290743973844</v>
      </c>
      <c r="E404" s="127">
        <v>234.69269406541497</v>
      </c>
      <c r="F404" s="447">
        <v>0.39995478292391196</v>
      </c>
      <c r="G404" s="127">
        <v>134.82249717312504</v>
      </c>
      <c r="H404" s="132">
        <v>52.799334304106374</v>
      </c>
      <c r="I404" s="456"/>
      <c r="J404" s="45"/>
      <c r="K404" s="45">
        <v>530</v>
      </c>
      <c r="L404" s="463"/>
      <c r="M404" s="456">
        <v>33.742691040039063</v>
      </c>
      <c r="N404" s="457"/>
      <c r="O404" s="456"/>
      <c r="P404" s="46"/>
      <c r="Q404" s="463">
        <v>68.455116271972656</v>
      </c>
      <c r="R404" s="449"/>
      <c r="S404" s="463"/>
      <c r="T404" s="480"/>
      <c r="U404" s="468"/>
      <c r="V404" s="449"/>
      <c r="W404" s="45">
        <v>1528.3106689453125</v>
      </c>
      <c r="X404" s="463">
        <v>128.43074035644531</v>
      </c>
      <c r="Y404" s="449"/>
      <c r="Z404" s="45"/>
      <c r="AA404" s="468">
        <v>0.39041010408415472</v>
      </c>
      <c r="AB404" s="456"/>
      <c r="AC404" s="46"/>
      <c r="AD404" s="46"/>
      <c r="AE404" s="46"/>
      <c r="AF404" s="46"/>
      <c r="AG404" s="46"/>
      <c r="AH404" s="46"/>
      <c r="AI404" s="457"/>
      <c r="AJ404" s="138"/>
      <c r="AK404" s="745"/>
      <c r="AL404" s="54"/>
      <c r="AM404" s="468"/>
      <c r="AN404" s="449"/>
      <c r="AO404" s="45"/>
      <c r="AP404" s="45"/>
      <c r="AQ404" s="45"/>
      <c r="AR404" s="45"/>
      <c r="AS404" s="45"/>
      <c r="AT404" s="45"/>
      <c r="AU404" s="463"/>
      <c r="AV404" s="449"/>
      <c r="AW404" s="45"/>
      <c r="AX404" s="45"/>
      <c r="AY404" s="45"/>
      <c r="AZ404" s="45"/>
      <c r="BA404" s="45"/>
      <c r="BB404" s="45"/>
      <c r="BC404" s="463"/>
      <c r="BD404" s="456"/>
      <c r="BE404" s="46"/>
      <c r="BF404" s="46"/>
      <c r="BG404" s="46"/>
      <c r="BH404" s="46"/>
      <c r="BI404" s="46"/>
      <c r="BJ404" s="457"/>
      <c r="BK404" s="449">
        <v>0</v>
      </c>
      <c r="BL404" s="45"/>
      <c r="BM404" s="45"/>
      <c r="BN404" s="45"/>
      <c r="BO404" s="45"/>
      <c r="BP404" s="45"/>
      <c r="BQ404" s="45"/>
      <c r="BR404" s="45"/>
      <c r="BS404" s="45"/>
      <c r="BT404" s="45"/>
      <c r="BU404" s="45"/>
      <c r="BV404" s="45"/>
      <c r="BW404" s="45"/>
      <c r="BX404" s="45"/>
      <c r="BY404" s="45"/>
      <c r="BZ404" s="45"/>
      <c r="CA404" s="45"/>
      <c r="CB404" s="45"/>
      <c r="CC404" s="45"/>
      <c r="CD404" s="463"/>
      <c r="CE404">
        <v>0</v>
      </c>
      <c r="CF404">
        <v>0</v>
      </c>
      <c r="CG404">
        <v>0</v>
      </c>
      <c r="CH404">
        <v>0</v>
      </c>
      <c r="CI404">
        <v>0</v>
      </c>
      <c r="CJ404">
        <v>0</v>
      </c>
      <c r="CK404">
        <v>0</v>
      </c>
      <c r="CL404">
        <v>0</v>
      </c>
      <c r="CM404">
        <v>0</v>
      </c>
      <c r="CN404">
        <v>0</v>
      </c>
      <c r="CO404">
        <v>0</v>
      </c>
      <c r="CP404">
        <v>0</v>
      </c>
      <c r="CQ404">
        <v>0</v>
      </c>
      <c r="CR404">
        <v>0</v>
      </c>
      <c r="CS404">
        <v>0</v>
      </c>
      <c r="CT404">
        <v>0</v>
      </c>
      <c r="CU404">
        <v>0</v>
      </c>
      <c r="CV404">
        <v>0</v>
      </c>
      <c r="CW404">
        <v>0</v>
      </c>
      <c r="CX404">
        <v>0</v>
      </c>
      <c r="CY404">
        <v>0</v>
      </c>
      <c r="CZ404">
        <v>0</v>
      </c>
      <c r="DA404">
        <v>0</v>
      </c>
      <c r="DB404">
        <v>0</v>
      </c>
      <c r="DC404">
        <v>0</v>
      </c>
      <c r="DD404">
        <v>0</v>
      </c>
      <c r="DE404">
        <v>0</v>
      </c>
      <c r="DF404">
        <v>0</v>
      </c>
      <c r="DG404">
        <v>0</v>
      </c>
      <c r="DH404">
        <v>0</v>
      </c>
      <c r="DI404">
        <v>0</v>
      </c>
      <c r="DJ404">
        <v>0</v>
      </c>
      <c r="DK404">
        <v>0</v>
      </c>
      <c r="DL404">
        <v>0</v>
      </c>
      <c r="DM404">
        <v>0</v>
      </c>
      <c r="DN404">
        <v>0</v>
      </c>
      <c r="DO404">
        <v>0</v>
      </c>
      <c r="DP404">
        <v>0</v>
      </c>
      <c r="DQ404">
        <v>0</v>
      </c>
      <c r="DR404">
        <v>0</v>
      </c>
      <c r="DS404">
        <v>0</v>
      </c>
      <c r="DT404">
        <v>0</v>
      </c>
      <c r="DU404">
        <v>0</v>
      </c>
    </row>
    <row r="405" spans="2:125">
      <c r="B405" s="136">
        <v>396</v>
      </c>
      <c r="C405" s="138">
        <v>1</v>
      </c>
      <c r="D405" s="474">
        <v>2651.3783368887853</v>
      </c>
      <c r="E405" s="127">
        <v>164.30436727168126</v>
      </c>
      <c r="F405" s="447">
        <v>0.35766956589069343</v>
      </c>
      <c r="G405" s="127">
        <v>95.433775022015453</v>
      </c>
      <c r="H405" s="132">
        <v>47.737858742783672</v>
      </c>
      <c r="I405" s="456"/>
      <c r="J405" s="45"/>
      <c r="K405" s="45">
        <v>380</v>
      </c>
      <c r="L405" s="463"/>
      <c r="M405" s="456">
        <v>27.865081787109375</v>
      </c>
      <c r="N405" s="457"/>
      <c r="O405" s="456"/>
      <c r="P405" s="46"/>
      <c r="Q405" s="463">
        <v>52.497295379638672</v>
      </c>
      <c r="R405" s="449"/>
      <c r="S405" s="463"/>
      <c r="T405" s="480"/>
      <c r="U405" s="468"/>
      <c r="V405" s="449"/>
      <c r="W405" s="45">
        <v>1027.93310546875</v>
      </c>
      <c r="X405" s="463">
        <v>91.434043884277344</v>
      </c>
      <c r="Y405" s="449"/>
      <c r="Z405" s="45"/>
      <c r="AA405" s="468">
        <v>0.34554251828286553</v>
      </c>
      <c r="AB405" s="456"/>
      <c r="AC405" s="46"/>
      <c r="AD405" s="46"/>
      <c r="AE405" s="46"/>
      <c r="AF405" s="46"/>
      <c r="AG405" s="46"/>
      <c r="AH405" s="46"/>
      <c r="AI405" s="457"/>
      <c r="AJ405" s="138"/>
      <c r="AK405" s="745"/>
      <c r="AL405" s="54"/>
      <c r="AM405" s="468"/>
      <c r="AN405" s="449"/>
      <c r="AO405" s="45"/>
      <c r="AP405" s="45"/>
      <c r="AQ405" s="45"/>
      <c r="AR405" s="45"/>
      <c r="AS405" s="45"/>
      <c r="AT405" s="45"/>
      <c r="AU405" s="463"/>
      <c r="AV405" s="449"/>
      <c r="AW405" s="45"/>
      <c r="AX405" s="45"/>
      <c r="AY405" s="45"/>
      <c r="AZ405" s="45"/>
      <c r="BA405" s="45"/>
      <c r="BB405" s="45"/>
      <c r="BC405" s="463"/>
      <c r="BD405" s="456"/>
      <c r="BE405" s="46"/>
      <c r="BF405" s="46"/>
      <c r="BG405" s="46"/>
      <c r="BH405" s="46"/>
      <c r="BI405" s="46"/>
      <c r="BJ405" s="457"/>
      <c r="BK405" s="449">
        <v>0</v>
      </c>
      <c r="BL405" s="45"/>
      <c r="BM405" s="45"/>
      <c r="BN405" s="45"/>
      <c r="BO405" s="45"/>
      <c r="BP405" s="45"/>
      <c r="BQ405" s="45"/>
      <c r="BR405" s="45"/>
      <c r="BS405" s="45"/>
      <c r="BT405" s="45"/>
      <c r="BU405" s="45"/>
      <c r="BV405" s="45"/>
      <c r="BW405" s="45"/>
      <c r="BX405" s="45"/>
      <c r="BY405" s="45"/>
      <c r="BZ405" s="45"/>
      <c r="CA405" s="45"/>
      <c r="CB405" s="45"/>
      <c r="CC405" s="45"/>
      <c r="CD405" s="463"/>
      <c r="CE405">
        <v>0</v>
      </c>
      <c r="CF405">
        <v>0</v>
      </c>
      <c r="CG405">
        <v>0</v>
      </c>
      <c r="CH405">
        <v>0</v>
      </c>
      <c r="CI405">
        <v>0</v>
      </c>
      <c r="CJ405">
        <v>0</v>
      </c>
      <c r="CK405">
        <v>0</v>
      </c>
      <c r="CL405">
        <v>0</v>
      </c>
      <c r="CM405">
        <v>0</v>
      </c>
      <c r="CN405">
        <v>0</v>
      </c>
      <c r="CO405">
        <v>0</v>
      </c>
      <c r="CP405">
        <v>0</v>
      </c>
      <c r="CQ405">
        <v>0</v>
      </c>
      <c r="CR405">
        <v>0</v>
      </c>
      <c r="CS405">
        <v>0</v>
      </c>
      <c r="CT405">
        <v>0</v>
      </c>
      <c r="CU405">
        <v>0</v>
      </c>
      <c r="CV405">
        <v>0</v>
      </c>
      <c r="CW405">
        <v>0</v>
      </c>
      <c r="CX405">
        <v>0</v>
      </c>
      <c r="CY405">
        <v>0</v>
      </c>
      <c r="CZ405">
        <v>0</v>
      </c>
      <c r="DA405">
        <v>0</v>
      </c>
      <c r="DB405">
        <v>0</v>
      </c>
      <c r="DC405">
        <v>0</v>
      </c>
      <c r="DD405">
        <v>0</v>
      </c>
      <c r="DE405">
        <v>0</v>
      </c>
      <c r="DF405">
        <v>0</v>
      </c>
      <c r="DG405">
        <v>0</v>
      </c>
      <c r="DH405">
        <v>0</v>
      </c>
      <c r="DI405">
        <v>0</v>
      </c>
      <c r="DJ405">
        <v>0</v>
      </c>
      <c r="DK405">
        <v>0</v>
      </c>
      <c r="DL405">
        <v>0</v>
      </c>
      <c r="DM405">
        <v>0</v>
      </c>
      <c r="DN405">
        <v>0</v>
      </c>
      <c r="DO405">
        <v>0</v>
      </c>
      <c r="DP405">
        <v>0</v>
      </c>
      <c r="DQ405">
        <v>0</v>
      </c>
      <c r="DR405">
        <v>0</v>
      </c>
      <c r="DS405">
        <v>0</v>
      </c>
      <c r="DT405">
        <v>0</v>
      </c>
      <c r="DU405">
        <v>0</v>
      </c>
    </row>
    <row r="406" spans="2:125">
      <c r="B406" s="136">
        <v>397</v>
      </c>
      <c r="C406" s="138">
        <v>1</v>
      </c>
      <c r="D406" s="474">
        <v>3777.4755555328261</v>
      </c>
      <c r="E406" s="127">
        <v>287.64185287865513</v>
      </c>
      <c r="F406" s="447">
        <v>0.41736206072711007</v>
      </c>
      <c r="G406" s="127">
        <v>156.60536833230555</v>
      </c>
      <c r="H406" s="132">
        <v>52.841396117191188</v>
      </c>
      <c r="I406" s="456"/>
      <c r="J406" s="45"/>
      <c r="K406" s="45">
        <v>600</v>
      </c>
      <c r="L406" s="463"/>
      <c r="M406" s="456">
        <v>38.243556976318359</v>
      </c>
      <c r="N406" s="457"/>
      <c r="O406" s="456"/>
      <c r="P406" s="46"/>
      <c r="Q406" s="463">
        <v>74.794021606445312</v>
      </c>
      <c r="R406" s="449"/>
      <c r="S406" s="463"/>
      <c r="T406" s="480"/>
      <c r="U406" s="468"/>
      <c r="V406" s="449"/>
      <c r="W406" s="45">
        <v>1819.781494140625</v>
      </c>
      <c r="X406" s="463">
        <v>149.92515563964844</v>
      </c>
      <c r="Y406" s="449"/>
      <c r="Z406" s="45"/>
      <c r="AA406" s="468">
        <v>0.40853414358395373</v>
      </c>
      <c r="AB406" s="456"/>
      <c r="AC406" s="46"/>
      <c r="AD406" s="46"/>
      <c r="AE406" s="46"/>
      <c r="AF406" s="46"/>
      <c r="AG406" s="46"/>
      <c r="AH406" s="46"/>
      <c r="AI406" s="457"/>
      <c r="AJ406" s="138"/>
      <c r="AK406" s="745"/>
      <c r="AL406" s="54"/>
      <c r="AM406" s="468"/>
      <c r="AN406" s="449"/>
      <c r="AO406" s="45"/>
      <c r="AP406" s="45"/>
      <c r="AQ406" s="45"/>
      <c r="AR406" s="45"/>
      <c r="AS406" s="45"/>
      <c r="AT406" s="45"/>
      <c r="AU406" s="463"/>
      <c r="AV406" s="449"/>
      <c r="AW406" s="45"/>
      <c r="AX406" s="45"/>
      <c r="AY406" s="45"/>
      <c r="AZ406" s="45"/>
      <c r="BA406" s="45"/>
      <c r="BB406" s="45"/>
      <c r="BC406" s="463"/>
      <c r="BD406" s="456"/>
      <c r="BE406" s="46"/>
      <c r="BF406" s="46"/>
      <c r="BG406" s="46"/>
      <c r="BH406" s="46"/>
      <c r="BI406" s="46"/>
      <c r="BJ406" s="457"/>
      <c r="BK406" s="449">
        <v>0</v>
      </c>
      <c r="BL406" s="45"/>
      <c r="BM406" s="45"/>
      <c r="BN406" s="45"/>
      <c r="BO406" s="45"/>
      <c r="BP406" s="45"/>
      <c r="BQ406" s="45"/>
      <c r="BR406" s="45"/>
      <c r="BS406" s="45"/>
      <c r="BT406" s="45"/>
      <c r="BU406" s="45"/>
      <c r="BV406" s="45"/>
      <c r="BW406" s="45"/>
      <c r="BX406" s="45"/>
      <c r="BY406" s="45"/>
      <c r="BZ406" s="45"/>
      <c r="CA406" s="45"/>
      <c r="CB406" s="45"/>
      <c r="CC406" s="45"/>
      <c r="CD406" s="463"/>
      <c r="CE406">
        <v>0</v>
      </c>
      <c r="CF406">
        <v>0</v>
      </c>
      <c r="CG406">
        <v>0</v>
      </c>
      <c r="CH406">
        <v>0</v>
      </c>
      <c r="CI406">
        <v>0</v>
      </c>
      <c r="CJ406">
        <v>0</v>
      </c>
      <c r="CK406">
        <v>0</v>
      </c>
      <c r="CL406">
        <v>0</v>
      </c>
      <c r="CM406">
        <v>0</v>
      </c>
      <c r="CN406">
        <v>0</v>
      </c>
      <c r="CO406">
        <v>0</v>
      </c>
      <c r="CP406">
        <v>0</v>
      </c>
      <c r="CQ406">
        <v>0</v>
      </c>
      <c r="CR406">
        <v>0</v>
      </c>
      <c r="CS406">
        <v>0</v>
      </c>
      <c r="CT406">
        <v>0</v>
      </c>
      <c r="CU406">
        <v>0</v>
      </c>
      <c r="CV406">
        <v>0</v>
      </c>
      <c r="CW406">
        <v>0</v>
      </c>
      <c r="CX406">
        <v>0</v>
      </c>
      <c r="CY406">
        <v>0</v>
      </c>
      <c r="CZ406">
        <v>0</v>
      </c>
      <c r="DA406">
        <v>0</v>
      </c>
      <c r="DB406">
        <v>0</v>
      </c>
      <c r="DC406">
        <v>0</v>
      </c>
      <c r="DD406">
        <v>0</v>
      </c>
      <c r="DE406">
        <v>0</v>
      </c>
      <c r="DF406">
        <v>0</v>
      </c>
      <c r="DG406">
        <v>0</v>
      </c>
      <c r="DH406">
        <v>0</v>
      </c>
      <c r="DI406">
        <v>0</v>
      </c>
      <c r="DJ406">
        <v>0</v>
      </c>
      <c r="DK406">
        <v>0</v>
      </c>
      <c r="DL406">
        <v>0</v>
      </c>
      <c r="DM406">
        <v>0</v>
      </c>
      <c r="DN406">
        <v>0</v>
      </c>
      <c r="DO406">
        <v>0</v>
      </c>
      <c r="DP406">
        <v>0</v>
      </c>
      <c r="DQ406">
        <v>0</v>
      </c>
      <c r="DR406">
        <v>0</v>
      </c>
      <c r="DS406">
        <v>0</v>
      </c>
      <c r="DT406">
        <v>0</v>
      </c>
      <c r="DU406">
        <v>0</v>
      </c>
    </row>
    <row r="407" spans="2:125">
      <c r="B407" s="136">
        <v>398</v>
      </c>
      <c r="C407" s="138">
        <v>1</v>
      </c>
      <c r="D407" s="474">
        <v>3161.6012309134112</v>
      </c>
      <c r="E407" s="127">
        <v>220.83811579126984</v>
      </c>
      <c r="F407" s="447">
        <v>0.36265001540029401</v>
      </c>
      <c r="G407" s="127">
        <v>101.02006787193307</v>
      </c>
      <c r="H407" s="132">
        <v>63.061484753397082</v>
      </c>
      <c r="I407" s="456"/>
      <c r="J407" s="45"/>
      <c r="K407" s="45">
        <v>450</v>
      </c>
      <c r="L407" s="463"/>
      <c r="M407" s="456">
        <v>25.636211395263672</v>
      </c>
      <c r="N407" s="457"/>
      <c r="O407" s="456"/>
      <c r="P407" s="46"/>
      <c r="Q407" s="463">
        <v>71.014312744140625</v>
      </c>
      <c r="R407" s="449"/>
      <c r="S407" s="463"/>
      <c r="T407" s="480"/>
      <c r="U407" s="468"/>
      <c r="V407" s="449"/>
      <c r="W407" s="45">
        <v>1195.6998291015625</v>
      </c>
      <c r="X407" s="463">
        <v>103.93882751464844</v>
      </c>
      <c r="Y407" s="449"/>
      <c r="Z407" s="45"/>
      <c r="AA407" s="468">
        <v>0.35244853901148082</v>
      </c>
      <c r="AB407" s="456"/>
      <c r="AC407" s="46"/>
      <c r="AD407" s="46"/>
      <c r="AE407" s="46"/>
      <c r="AF407" s="46"/>
      <c r="AG407" s="46"/>
      <c r="AH407" s="46"/>
      <c r="AI407" s="457"/>
      <c r="AJ407" s="138"/>
      <c r="AK407" s="745"/>
      <c r="AL407" s="54"/>
      <c r="AM407" s="468"/>
      <c r="AN407" s="449"/>
      <c r="AO407" s="45"/>
      <c r="AP407" s="45"/>
      <c r="AQ407" s="45"/>
      <c r="AR407" s="45"/>
      <c r="AS407" s="45"/>
      <c r="AT407" s="45"/>
      <c r="AU407" s="463"/>
      <c r="AV407" s="449"/>
      <c r="AW407" s="45"/>
      <c r="AX407" s="45"/>
      <c r="AY407" s="45"/>
      <c r="AZ407" s="45"/>
      <c r="BA407" s="45"/>
      <c r="BB407" s="45"/>
      <c r="BC407" s="463"/>
      <c r="BD407" s="456"/>
      <c r="BE407" s="46"/>
      <c r="BF407" s="46"/>
      <c r="BG407" s="46"/>
      <c r="BH407" s="46"/>
      <c r="BI407" s="46"/>
      <c r="BJ407" s="457"/>
      <c r="BK407" s="449">
        <v>0</v>
      </c>
      <c r="BL407" s="45"/>
      <c r="BM407" s="45"/>
      <c r="BN407" s="45"/>
      <c r="BO407" s="45"/>
      <c r="BP407" s="45"/>
      <c r="BQ407" s="45"/>
      <c r="BR407" s="45"/>
      <c r="BS407" s="45"/>
      <c r="BT407" s="45"/>
      <c r="BU407" s="45"/>
      <c r="BV407" s="45"/>
      <c r="BW407" s="45"/>
      <c r="BX407" s="45"/>
      <c r="BY407" s="45"/>
      <c r="BZ407" s="45"/>
      <c r="CA407" s="45"/>
      <c r="CB407" s="45"/>
      <c r="CC407" s="45"/>
      <c r="CD407" s="463"/>
      <c r="CE407">
        <v>0</v>
      </c>
      <c r="CF407">
        <v>0</v>
      </c>
      <c r="CG407">
        <v>0</v>
      </c>
      <c r="CH407">
        <v>0</v>
      </c>
      <c r="CI407">
        <v>0</v>
      </c>
      <c r="CJ407">
        <v>0</v>
      </c>
      <c r="CK407">
        <v>0</v>
      </c>
      <c r="CL407">
        <v>0</v>
      </c>
      <c r="CM407">
        <v>0</v>
      </c>
      <c r="CN407">
        <v>0</v>
      </c>
      <c r="CO407">
        <v>0</v>
      </c>
      <c r="CP407">
        <v>0</v>
      </c>
      <c r="CQ407">
        <v>0</v>
      </c>
      <c r="CR407">
        <v>0</v>
      </c>
      <c r="CS407">
        <v>0</v>
      </c>
      <c r="CT407">
        <v>0</v>
      </c>
      <c r="CU407">
        <v>0</v>
      </c>
      <c r="CV407">
        <v>0</v>
      </c>
      <c r="CW407">
        <v>0</v>
      </c>
      <c r="CX407">
        <v>0</v>
      </c>
      <c r="CY407">
        <v>0</v>
      </c>
      <c r="CZ407">
        <v>0</v>
      </c>
      <c r="DA407">
        <v>0</v>
      </c>
      <c r="DB407">
        <v>0</v>
      </c>
      <c r="DC407">
        <v>0</v>
      </c>
      <c r="DD407">
        <v>0</v>
      </c>
      <c r="DE407">
        <v>0</v>
      </c>
      <c r="DF407">
        <v>0</v>
      </c>
      <c r="DG407">
        <v>0</v>
      </c>
      <c r="DH407">
        <v>0</v>
      </c>
      <c r="DI407">
        <v>0</v>
      </c>
      <c r="DJ407">
        <v>0</v>
      </c>
      <c r="DK407">
        <v>0</v>
      </c>
      <c r="DL407">
        <v>0</v>
      </c>
      <c r="DM407">
        <v>0</v>
      </c>
      <c r="DN407">
        <v>0</v>
      </c>
      <c r="DO407">
        <v>0</v>
      </c>
      <c r="DP407">
        <v>0</v>
      </c>
      <c r="DQ407">
        <v>0</v>
      </c>
      <c r="DR407">
        <v>0</v>
      </c>
      <c r="DS407">
        <v>0</v>
      </c>
      <c r="DT407">
        <v>0</v>
      </c>
      <c r="DU407">
        <v>0</v>
      </c>
    </row>
    <row r="408" spans="2:125">
      <c r="B408" s="136">
        <v>399</v>
      </c>
      <c r="C408" s="138">
        <v>1</v>
      </c>
      <c r="D408" s="474">
        <v>3459.9551239324883</v>
      </c>
      <c r="E408" s="127">
        <v>262.95801134881566</v>
      </c>
      <c r="F408" s="447">
        <v>0.43239622135681038</v>
      </c>
      <c r="G408" s="127">
        <v>132.40719563807613</v>
      </c>
      <c r="H408" s="132">
        <v>60.479936201049604</v>
      </c>
      <c r="I408" s="456"/>
      <c r="J408" s="45"/>
      <c r="K408" s="45">
        <v>550</v>
      </c>
      <c r="L408" s="463"/>
      <c r="M408" s="456">
        <v>37.081897735595703</v>
      </c>
      <c r="N408" s="457"/>
      <c r="O408" s="456"/>
      <c r="P408" s="46"/>
      <c r="Q408" s="463">
        <v>76.569549560546875</v>
      </c>
      <c r="R408" s="449"/>
      <c r="S408" s="463"/>
      <c r="T408" s="480"/>
      <c r="U408" s="468"/>
      <c r="V408" s="449"/>
      <c r="W408" s="45">
        <v>1771.79052734375</v>
      </c>
      <c r="X408" s="463">
        <v>146.24235534667969</v>
      </c>
      <c r="Y408" s="449"/>
      <c r="Z408" s="45"/>
      <c r="AA408" s="468">
        <v>0.42267126157499307</v>
      </c>
      <c r="AB408" s="456"/>
      <c r="AC408" s="46"/>
      <c r="AD408" s="46"/>
      <c r="AE408" s="46"/>
      <c r="AF408" s="46"/>
      <c r="AG408" s="46"/>
      <c r="AH408" s="46"/>
      <c r="AI408" s="457"/>
      <c r="AJ408" s="138"/>
      <c r="AK408" s="745"/>
      <c r="AL408" s="54"/>
      <c r="AM408" s="468"/>
      <c r="AN408" s="449"/>
      <c r="AO408" s="45"/>
      <c r="AP408" s="45"/>
      <c r="AQ408" s="45"/>
      <c r="AR408" s="45"/>
      <c r="AS408" s="45"/>
      <c r="AT408" s="45"/>
      <c r="AU408" s="463"/>
      <c r="AV408" s="449"/>
      <c r="AW408" s="45"/>
      <c r="AX408" s="45"/>
      <c r="AY408" s="45"/>
      <c r="AZ408" s="45"/>
      <c r="BA408" s="45"/>
      <c r="BB408" s="45"/>
      <c r="BC408" s="463"/>
      <c r="BD408" s="456"/>
      <c r="BE408" s="46"/>
      <c r="BF408" s="46"/>
      <c r="BG408" s="46"/>
      <c r="BH408" s="46"/>
      <c r="BI408" s="46"/>
      <c r="BJ408" s="457"/>
      <c r="BK408" s="449">
        <v>0</v>
      </c>
      <c r="BL408" s="45"/>
      <c r="BM408" s="45"/>
      <c r="BN408" s="45"/>
      <c r="BO408" s="45"/>
      <c r="BP408" s="45"/>
      <c r="BQ408" s="45"/>
      <c r="BR408" s="45"/>
      <c r="BS408" s="45"/>
      <c r="BT408" s="45"/>
      <c r="BU408" s="45"/>
      <c r="BV408" s="45"/>
      <c r="BW408" s="45"/>
      <c r="BX408" s="45"/>
      <c r="BY408" s="45"/>
      <c r="BZ408" s="45"/>
      <c r="CA408" s="45"/>
      <c r="CB408" s="45"/>
      <c r="CC408" s="45"/>
      <c r="CD408" s="463"/>
      <c r="CE408">
        <v>0</v>
      </c>
      <c r="CF408">
        <v>0</v>
      </c>
      <c r="CG408">
        <v>0</v>
      </c>
      <c r="CH408">
        <v>0</v>
      </c>
      <c r="CI408">
        <v>0</v>
      </c>
      <c r="CJ408">
        <v>0</v>
      </c>
      <c r="CK408">
        <v>0</v>
      </c>
      <c r="CL408">
        <v>0</v>
      </c>
      <c r="CM408">
        <v>0</v>
      </c>
      <c r="CN408">
        <v>0</v>
      </c>
      <c r="CO408">
        <v>0</v>
      </c>
      <c r="CP408">
        <v>0</v>
      </c>
      <c r="CQ408">
        <v>0</v>
      </c>
      <c r="CR408">
        <v>0</v>
      </c>
      <c r="CS408">
        <v>0</v>
      </c>
      <c r="CT408">
        <v>0</v>
      </c>
      <c r="CU408">
        <v>0</v>
      </c>
      <c r="CV408">
        <v>0</v>
      </c>
      <c r="CW408">
        <v>0</v>
      </c>
      <c r="CX408">
        <v>0</v>
      </c>
      <c r="CY408">
        <v>0</v>
      </c>
      <c r="CZ408">
        <v>0</v>
      </c>
      <c r="DA408">
        <v>0</v>
      </c>
      <c r="DB408">
        <v>0</v>
      </c>
      <c r="DC408">
        <v>0</v>
      </c>
      <c r="DD408">
        <v>0</v>
      </c>
      <c r="DE408">
        <v>0</v>
      </c>
      <c r="DF408">
        <v>0</v>
      </c>
      <c r="DG408">
        <v>0</v>
      </c>
      <c r="DH408">
        <v>0</v>
      </c>
      <c r="DI408">
        <v>0</v>
      </c>
      <c r="DJ408">
        <v>0</v>
      </c>
      <c r="DK408">
        <v>0</v>
      </c>
      <c r="DL408">
        <v>0</v>
      </c>
      <c r="DM408">
        <v>0</v>
      </c>
      <c r="DN408">
        <v>0</v>
      </c>
      <c r="DO408">
        <v>0</v>
      </c>
      <c r="DP408">
        <v>0</v>
      </c>
      <c r="DQ408">
        <v>0</v>
      </c>
      <c r="DR408">
        <v>0</v>
      </c>
      <c r="DS408">
        <v>0</v>
      </c>
      <c r="DT408">
        <v>0</v>
      </c>
      <c r="DU408">
        <v>0</v>
      </c>
    </row>
    <row r="409" spans="2:125">
      <c r="B409" s="136">
        <v>400</v>
      </c>
      <c r="C409" s="138">
        <v>1</v>
      </c>
      <c r="D409" s="474">
        <v>3347.7039375608942</v>
      </c>
      <c r="E409" s="127">
        <v>282.10451215234667</v>
      </c>
      <c r="F409" s="447">
        <v>0.439581365826821</v>
      </c>
      <c r="G409" s="127">
        <v>134.02635140900773</v>
      </c>
      <c r="H409" s="132">
        <v>58.267586823570454</v>
      </c>
      <c r="I409" s="456"/>
      <c r="J409" s="45"/>
      <c r="K409" s="45">
        <v>550</v>
      </c>
      <c r="L409" s="463"/>
      <c r="M409" s="456">
        <v>38.865127563476563</v>
      </c>
      <c r="N409" s="457"/>
      <c r="O409" s="456"/>
      <c r="P409" s="46"/>
      <c r="Q409" s="463">
        <v>74.252143859863281</v>
      </c>
      <c r="R409" s="449"/>
      <c r="S409" s="463"/>
      <c r="T409" s="480"/>
      <c r="U409" s="468"/>
      <c r="V409" s="449"/>
      <c r="W409" s="45">
        <v>1818.1260986328125</v>
      </c>
      <c r="X409" s="463">
        <v>149.602783203125</v>
      </c>
      <c r="Y409" s="449"/>
      <c r="Z409" s="45"/>
      <c r="AA409" s="468">
        <v>0.42948739457165774</v>
      </c>
      <c r="AB409" s="456"/>
      <c r="AC409" s="46"/>
      <c r="AD409" s="46"/>
      <c r="AE409" s="46"/>
      <c r="AF409" s="46"/>
      <c r="AG409" s="46"/>
      <c r="AH409" s="46"/>
      <c r="AI409" s="457"/>
      <c r="AJ409" s="138"/>
      <c r="AK409" s="745"/>
      <c r="AL409" s="54"/>
      <c r="AM409" s="468"/>
      <c r="AN409" s="449"/>
      <c r="AO409" s="45"/>
      <c r="AP409" s="45"/>
      <c r="AQ409" s="45"/>
      <c r="AR409" s="45"/>
      <c r="AS409" s="45"/>
      <c r="AT409" s="45"/>
      <c r="AU409" s="463"/>
      <c r="AV409" s="449"/>
      <c r="AW409" s="45"/>
      <c r="AX409" s="45"/>
      <c r="AY409" s="45"/>
      <c r="AZ409" s="45"/>
      <c r="BA409" s="45"/>
      <c r="BB409" s="45"/>
      <c r="BC409" s="463"/>
      <c r="BD409" s="456"/>
      <c r="BE409" s="46"/>
      <c r="BF409" s="46"/>
      <c r="BG409" s="46"/>
      <c r="BH409" s="46"/>
      <c r="BI409" s="46"/>
      <c r="BJ409" s="457"/>
      <c r="BK409" s="449">
        <v>0</v>
      </c>
      <c r="BL409" s="45"/>
      <c r="BM409" s="45"/>
      <c r="BN409" s="45"/>
      <c r="BO409" s="45"/>
      <c r="BP409" s="45"/>
      <c r="BQ409" s="45"/>
      <c r="BR409" s="45"/>
      <c r="BS409" s="45"/>
      <c r="BT409" s="45"/>
      <c r="BU409" s="45"/>
      <c r="BV409" s="45"/>
      <c r="BW409" s="45"/>
      <c r="BX409" s="45"/>
      <c r="BY409" s="45"/>
      <c r="BZ409" s="45"/>
      <c r="CA409" s="45"/>
      <c r="CB409" s="45"/>
      <c r="CC409" s="45"/>
      <c r="CD409" s="463"/>
      <c r="CE409">
        <v>0</v>
      </c>
      <c r="CF409">
        <v>0</v>
      </c>
      <c r="CG409">
        <v>0</v>
      </c>
      <c r="CH409">
        <v>0</v>
      </c>
      <c r="CI409">
        <v>0</v>
      </c>
      <c r="CJ409">
        <v>0</v>
      </c>
      <c r="CK409">
        <v>0</v>
      </c>
      <c r="CL409">
        <v>0</v>
      </c>
      <c r="CM409">
        <v>0</v>
      </c>
      <c r="CN409">
        <v>0</v>
      </c>
      <c r="CO409">
        <v>0</v>
      </c>
      <c r="CP409">
        <v>0</v>
      </c>
      <c r="CQ409">
        <v>0</v>
      </c>
      <c r="CR409">
        <v>0</v>
      </c>
      <c r="CS409">
        <v>0</v>
      </c>
      <c r="CT409">
        <v>0</v>
      </c>
      <c r="CU409">
        <v>0</v>
      </c>
      <c r="CV409">
        <v>0</v>
      </c>
      <c r="CW409">
        <v>0</v>
      </c>
      <c r="CX409">
        <v>0</v>
      </c>
      <c r="CY409">
        <v>0</v>
      </c>
      <c r="CZ409">
        <v>0</v>
      </c>
      <c r="DA409">
        <v>0</v>
      </c>
      <c r="DB409">
        <v>0</v>
      </c>
      <c r="DC409">
        <v>0</v>
      </c>
      <c r="DD409">
        <v>0</v>
      </c>
      <c r="DE409">
        <v>0</v>
      </c>
      <c r="DF409">
        <v>0</v>
      </c>
      <c r="DG409">
        <v>0</v>
      </c>
      <c r="DH409">
        <v>0</v>
      </c>
      <c r="DI409">
        <v>0</v>
      </c>
      <c r="DJ409">
        <v>0</v>
      </c>
      <c r="DK409">
        <v>0</v>
      </c>
      <c r="DL409">
        <v>0</v>
      </c>
      <c r="DM409">
        <v>0</v>
      </c>
      <c r="DN409">
        <v>0</v>
      </c>
      <c r="DO409">
        <v>0</v>
      </c>
      <c r="DP409">
        <v>0</v>
      </c>
      <c r="DQ409">
        <v>0</v>
      </c>
      <c r="DR409">
        <v>0</v>
      </c>
      <c r="DS409">
        <v>0</v>
      </c>
      <c r="DT409">
        <v>0</v>
      </c>
      <c r="DU409">
        <v>0</v>
      </c>
    </row>
    <row r="410" spans="2:125">
      <c r="B410" s="136">
        <v>401</v>
      </c>
      <c r="C410" s="138">
        <v>1</v>
      </c>
      <c r="D410" s="474">
        <v>3423.0303555048745</v>
      </c>
      <c r="E410" s="127">
        <v>267.62986115075046</v>
      </c>
      <c r="F410" s="447">
        <v>0.46935727310428532</v>
      </c>
      <c r="G410" s="127">
        <v>143.11222415151863</v>
      </c>
      <c r="H410" s="132">
        <v>49.509325220405486</v>
      </c>
      <c r="I410" s="456"/>
      <c r="J410" s="45"/>
      <c r="K410" s="45">
        <v>550</v>
      </c>
      <c r="L410" s="463"/>
      <c r="M410" s="456">
        <v>47.952751159667969</v>
      </c>
      <c r="N410" s="457"/>
      <c r="O410" s="456"/>
      <c r="P410" s="46"/>
      <c r="Q410" s="463">
        <v>67.776008605957031</v>
      </c>
      <c r="R410" s="449"/>
      <c r="S410" s="463"/>
      <c r="T410" s="480"/>
      <c r="U410" s="468"/>
      <c r="V410" s="449"/>
      <c r="W410" s="45">
        <v>2096.864013671875</v>
      </c>
      <c r="X410" s="463">
        <v>169.89299011230469</v>
      </c>
      <c r="Y410" s="449"/>
      <c r="Z410" s="45"/>
      <c r="AA410" s="468">
        <v>0.45931145349687669</v>
      </c>
      <c r="AB410" s="456"/>
      <c r="AC410" s="46"/>
      <c r="AD410" s="46"/>
      <c r="AE410" s="46"/>
      <c r="AF410" s="46"/>
      <c r="AG410" s="46"/>
      <c r="AH410" s="46"/>
      <c r="AI410" s="457"/>
      <c r="AJ410" s="138"/>
      <c r="AK410" s="745"/>
      <c r="AL410" s="54"/>
      <c r="AM410" s="468"/>
      <c r="AN410" s="449"/>
      <c r="AO410" s="45"/>
      <c r="AP410" s="45"/>
      <c r="AQ410" s="45"/>
      <c r="AR410" s="45"/>
      <c r="AS410" s="45"/>
      <c r="AT410" s="45"/>
      <c r="AU410" s="463"/>
      <c r="AV410" s="449"/>
      <c r="AW410" s="45"/>
      <c r="AX410" s="45"/>
      <c r="AY410" s="45"/>
      <c r="AZ410" s="45"/>
      <c r="BA410" s="45"/>
      <c r="BB410" s="45"/>
      <c r="BC410" s="463"/>
      <c r="BD410" s="456"/>
      <c r="BE410" s="46"/>
      <c r="BF410" s="46"/>
      <c r="BG410" s="46"/>
      <c r="BH410" s="46"/>
      <c r="BI410" s="46"/>
      <c r="BJ410" s="457"/>
      <c r="BK410" s="449">
        <v>0</v>
      </c>
      <c r="BL410" s="45"/>
      <c r="BM410" s="45"/>
      <c r="BN410" s="45"/>
      <c r="BO410" s="45"/>
      <c r="BP410" s="45"/>
      <c r="BQ410" s="45"/>
      <c r="BR410" s="45"/>
      <c r="BS410" s="45"/>
      <c r="BT410" s="45"/>
      <c r="BU410" s="45"/>
      <c r="BV410" s="45"/>
      <c r="BW410" s="45"/>
      <c r="BX410" s="45"/>
      <c r="BY410" s="45"/>
      <c r="BZ410" s="45"/>
      <c r="CA410" s="45"/>
      <c r="CB410" s="45"/>
      <c r="CC410" s="45"/>
      <c r="CD410" s="463"/>
      <c r="CE410">
        <v>0</v>
      </c>
      <c r="CF410">
        <v>0</v>
      </c>
      <c r="CG410">
        <v>0</v>
      </c>
      <c r="CH410">
        <v>0</v>
      </c>
      <c r="CI410">
        <v>0</v>
      </c>
      <c r="CJ410">
        <v>0</v>
      </c>
      <c r="CK410">
        <v>0</v>
      </c>
      <c r="CL410">
        <v>0</v>
      </c>
      <c r="CM410">
        <v>0</v>
      </c>
      <c r="CN410">
        <v>0</v>
      </c>
      <c r="CO410">
        <v>0</v>
      </c>
      <c r="CP410">
        <v>0</v>
      </c>
      <c r="CQ410">
        <v>0</v>
      </c>
      <c r="CR410">
        <v>0</v>
      </c>
      <c r="CS410">
        <v>0</v>
      </c>
      <c r="CT410">
        <v>0</v>
      </c>
      <c r="CU410">
        <v>0</v>
      </c>
      <c r="CV410">
        <v>0</v>
      </c>
      <c r="CW410">
        <v>0</v>
      </c>
      <c r="CX410">
        <v>0</v>
      </c>
      <c r="CY410">
        <v>0</v>
      </c>
      <c r="CZ410">
        <v>0</v>
      </c>
      <c r="DA410">
        <v>0</v>
      </c>
      <c r="DB410">
        <v>0</v>
      </c>
      <c r="DC410">
        <v>0</v>
      </c>
      <c r="DD410">
        <v>0</v>
      </c>
      <c r="DE410">
        <v>0</v>
      </c>
      <c r="DF410">
        <v>0</v>
      </c>
      <c r="DG410">
        <v>0</v>
      </c>
      <c r="DH410">
        <v>0</v>
      </c>
      <c r="DI410">
        <v>0</v>
      </c>
      <c r="DJ410">
        <v>0</v>
      </c>
      <c r="DK410">
        <v>0</v>
      </c>
      <c r="DL410">
        <v>0</v>
      </c>
      <c r="DM410">
        <v>0</v>
      </c>
      <c r="DN410">
        <v>0</v>
      </c>
      <c r="DO410">
        <v>0</v>
      </c>
      <c r="DP410">
        <v>0</v>
      </c>
      <c r="DQ410">
        <v>0</v>
      </c>
      <c r="DR410">
        <v>0</v>
      </c>
      <c r="DS410">
        <v>0</v>
      </c>
      <c r="DT410">
        <v>0</v>
      </c>
      <c r="DU410">
        <v>0</v>
      </c>
    </row>
    <row r="411" spans="2:125">
      <c r="B411" s="136">
        <v>402</v>
      </c>
      <c r="C411" s="138">
        <v>1</v>
      </c>
      <c r="D411" s="474">
        <v>3919.8036124840705</v>
      </c>
      <c r="E411" s="127">
        <v>246.72893863302204</v>
      </c>
      <c r="F411" s="447">
        <v>0.38125483272126764</v>
      </c>
      <c r="G411" s="127">
        <v>159.510708756816</v>
      </c>
      <c r="H411" s="132">
        <v>61.301090835286956</v>
      </c>
      <c r="I411" s="456"/>
      <c r="J411" s="45"/>
      <c r="K411" s="45">
        <v>630</v>
      </c>
      <c r="L411" s="463"/>
      <c r="M411" s="456">
        <v>32.217094421386719</v>
      </c>
      <c r="N411" s="457"/>
      <c r="O411" s="456"/>
      <c r="P411" s="46"/>
      <c r="Q411" s="463">
        <v>85.491905212402344</v>
      </c>
      <c r="R411" s="449"/>
      <c r="S411" s="463"/>
      <c r="T411" s="480"/>
      <c r="U411" s="468"/>
      <c r="V411" s="449"/>
      <c r="W411" s="45">
        <v>1688.6209716796875</v>
      </c>
      <c r="X411" s="463">
        <v>140.53273010253906</v>
      </c>
      <c r="Y411" s="449"/>
      <c r="Z411" s="45"/>
      <c r="AA411" s="468">
        <v>0.37293168700281415</v>
      </c>
      <c r="AB411" s="456"/>
      <c r="AC411" s="46"/>
      <c r="AD411" s="46"/>
      <c r="AE411" s="46"/>
      <c r="AF411" s="46"/>
      <c r="AG411" s="46"/>
      <c r="AH411" s="46"/>
      <c r="AI411" s="457"/>
      <c r="AJ411" s="138"/>
      <c r="AK411" s="745"/>
      <c r="AL411" s="54"/>
      <c r="AM411" s="468"/>
      <c r="AN411" s="449"/>
      <c r="AO411" s="45"/>
      <c r="AP411" s="45"/>
      <c r="AQ411" s="45"/>
      <c r="AR411" s="45"/>
      <c r="AS411" s="45"/>
      <c r="AT411" s="45"/>
      <c r="AU411" s="463"/>
      <c r="AV411" s="449"/>
      <c r="AW411" s="45"/>
      <c r="AX411" s="45"/>
      <c r="AY411" s="45"/>
      <c r="AZ411" s="45"/>
      <c r="BA411" s="45"/>
      <c r="BB411" s="45"/>
      <c r="BC411" s="463"/>
      <c r="BD411" s="456"/>
      <c r="BE411" s="46"/>
      <c r="BF411" s="46"/>
      <c r="BG411" s="46"/>
      <c r="BH411" s="46"/>
      <c r="BI411" s="46"/>
      <c r="BJ411" s="457"/>
      <c r="BK411" s="449">
        <v>0</v>
      </c>
      <c r="BL411" s="45"/>
      <c r="BM411" s="45"/>
      <c r="BN411" s="45"/>
      <c r="BO411" s="45"/>
      <c r="BP411" s="45"/>
      <c r="BQ411" s="45"/>
      <c r="BR411" s="45"/>
      <c r="BS411" s="45"/>
      <c r="BT411" s="45"/>
      <c r="BU411" s="45"/>
      <c r="BV411" s="45"/>
      <c r="BW411" s="45"/>
      <c r="BX411" s="45"/>
      <c r="BY411" s="45"/>
      <c r="BZ411" s="45"/>
      <c r="CA411" s="45"/>
      <c r="CB411" s="45"/>
      <c r="CC411" s="45"/>
      <c r="CD411" s="463"/>
      <c r="CE411">
        <v>0</v>
      </c>
      <c r="CF411">
        <v>0</v>
      </c>
      <c r="CG411">
        <v>0</v>
      </c>
      <c r="CH411">
        <v>0</v>
      </c>
      <c r="CI411">
        <v>0</v>
      </c>
      <c r="CJ411">
        <v>0</v>
      </c>
      <c r="CK411">
        <v>0</v>
      </c>
      <c r="CL411">
        <v>0</v>
      </c>
      <c r="CM411">
        <v>0</v>
      </c>
      <c r="CN411">
        <v>0</v>
      </c>
      <c r="CO411">
        <v>0</v>
      </c>
      <c r="CP411">
        <v>0</v>
      </c>
      <c r="CQ411">
        <v>0</v>
      </c>
      <c r="CR411">
        <v>0</v>
      </c>
      <c r="CS411">
        <v>0</v>
      </c>
      <c r="CT411">
        <v>0</v>
      </c>
      <c r="CU411">
        <v>0</v>
      </c>
      <c r="CV411">
        <v>0</v>
      </c>
      <c r="CW411">
        <v>0</v>
      </c>
      <c r="CX411">
        <v>0</v>
      </c>
      <c r="CY411">
        <v>0</v>
      </c>
      <c r="CZ411">
        <v>0</v>
      </c>
      <c r="DA411">
        <v>0</v>
      </c>
      <c r="DB411">
        <v>0</v>
      </c>
      <c r="DC411">
        <v>0</v>
      </c>
      <c r="DD411">
        <v>0</v>
      </c>
      <c r="DE411">
        <v>0</v>
      </c>
      <c r="DF411">
        <v>0</v>
      </c>
      <c r="DG411">
        <v>0</v>
      </c>
      <c r="DH411">
        <v>0</v>
      </c>
      <c r="DI411">
        <v>0</v>
      </c>
      <c r="DJ411">
        <v>0</v>
      </c>
      <c r="DK411">
        <v>0</v>
      </c>
      <c r="DL411">
        <v>0</v>
      </c>
      <c r="DM411">
        <v>0</v>
      </c>
      <c r="DN411">
        <v>0</v>
      </c>
      <c r="DO411">
        <v>0</v>
      </c>
      <c r="DP411">
        <v>0</v>
      </c>
      <c r="DQ411">
        <v>0</v>
      </c>
      <c r="DR411">
        <v>0</v>
      </c>
      <c r="DS411">
        <v>0</v>
      </c>
      <c r="DT411">
        <v>0</v>
      </c>
      <c r="DU411">
        <v>0</v>
      </c>
    </row>
    <row r="412" spans="2:125">
      <c r="B412" s="136">
        <v>403</v>
      </c>
      <c r="C412" s="138">
        <v>1</v>
      </c>
      <c r="D412" s="474">
        <v>3423.1732755520843</v>
      </c>
      <c r="E412" s="127">
        <v>208.72995344087408</v>
      </c>
      <c r="F412" s="447">
        <v>0.43997713221672102</v>
      </c>
      <c r="G412" s="127">
        <v>139.64715187353087</v>
      </c>
      <c r="H412" s="132">
        <v>50.63127027189951</v>
      </c>
      <c r="I412" s="456"/>
      <c r="J412" s="45"/>
      <c r="K412" s="45">
        <v>540</v>
      </c>
      <c r="L412" s="463"/>
      <c r="M412" s="456">
        <v>40.896339416503906</v>
      </c>
      <c r="N412" s="457"/>
      <c r="O412" s="456"/>
      <c r="P412" s="46"/>
      <c r="Q412" s="463">
        <v>67.778831481933594</v>
      </c>
      <c r="R412" s="449"/>
      <c r="S412" s="463"/>
      <c r="T412" s="480"/>
      <c r="U412" s="468"/>
      <c r="V412" s="449"/>
      <c r="W412" s="45">
        <v>1811.0355224609375</v>
      </c>
      <c r="X412" s="463">
        <v>149.05352783203125</v>
      </c>
      <c r="Y412" s="449"/>
      <c r="Z412" s="45"/>
      <c r="AA412" s="468">
        <v>0.43010338644821816</v>
      </c>
      <c r="AB412" s="456"/>
      <c r="AC412" s="46"/>
      <c r="AD412" s="46"/>
      <c r="AE412" s="46"/>
      <c r="AF412" s="46"/>
      <c r="AG412" s="46"/>
      <c r="AH412" s="46"/>
      <c r="AI412" s="457"/>
      <c r="AJ412" s="138"/>
      <c r="AK412" s="745"/>
      <c r="AL412" s="54"/>
      <c r="AM412" s="468"/>
      <c r="AN412" s="449"/>
      <c r="AO412" s="45"/>
      <c r="AP412" s="45"/>
      <c r="AQ412" s="45"/>
      <c r="AR412" s="45"/>
      <c r="AS412" s="45"/>
      <c r="AT412" s="45"/>
      <c r="AU412" s="463"/>
      <c r="AV412" s="449"/>
      <c r="AW412" s="45"/>
      <c r="AX412" s="45"/>
      <c r="AY412" s="45"/>
      <c r="AZ412" s="45"/>
      <c r="BA412" s="45"/>
      <c r="BB412" s="45"/>
      <c r="BC412" s="463"/>
      <c r="BD412" s="456"/>
      <c r="BE412" s="46"/>
      <c r="BF412" s="46"/>
      <c r="BG412" s="46"/>
      <c r="BH412" s="46"/>
      <c r="BI412" s="46"/>
      <c r="BJ412" s="457"/>
      <c r="BK412" s="449">
        <v>0</v>
      </c>
      <c r="BL412" s="45"/>
      <c r="BM412" s="45"/>
      <c r="BN412" s="45"/>
      <c r="BO412" s="45"/>
      <c r="BP412" s="45"/>
      <c r="BQ412" s="45"/>
      <c r="BR412" s="45"/>
      <c r="BS412" s="45"/>
      <c r="BT412" s="45"/>
      <c r="BU412" s="45"/>
      <c r="BV412" s="45"/>
      <c r="BW412" s="45"/>
      <c r="BX412" s="45"/>
      <c r="BY412" s="45"/>
      <c r="BZ412" s="45"/>
      <c r="CA412" s="45"/>
      <c r="CB412" s="45"/>
      <c r="CC412" s="45"/>
      <c r="CD412" s="463"/>
      <c r="CE412">
        <v>0</v>
      </c>
      <c r="CF412">
        <v>0</v>
      </c>
      <c r="CG412">
        <v>0</v>
      </c>
      <c r="CH412">
        <v>0</v>
      </c>
      <c r="CI412">
        <v>0</v>
      </c>
      <c r="CJ412">
        <v>0</v>
      </c>
      <c r="CK412">
        <v>0</v>
      </c>
      <c r="CL412">
        <v>0</v>
      </c>
      <c r="CM412">
        <v>0</v>
      </c>
      <c r="CN412">
        <v>0</v>
      </c>
      <c r="CO412">
        <v>0</v>
      </c>
      <c r="CP412">
        <v>0</v>
      </c>
      <c r="CQ412">
        <v>0</v>
      </c>
      <c r="CR412">
        <v>0</v>
      </c>
      <c r="CS412">
        <v>0</v>
      </c>
      <c r="CT412">
        <v>0</v>
      </c>
      <c r="CU412">
        <v>0</v>
      </c>
      <c r="CV412">
        <v>0</v>
      </c>
      <c r="CW412">
        <v>0</v>
      </c>
      <c r="CX412">
        <v>0</v>
      </c>
      <c r="CY412">
        <v>0</v>
      </c>
      <c r="CZ412">
        <v>0</v>
      </c>
      <c r="DA412">
        <v>0</v>
      </c>
      <c r="DB412">
        <v>0</v>
      </c>
      <c r="DC412">
        <v>0</v>
      </c>
      <c r="DD412">
        <v>0</v>
      </c>
      <c r="DE412">
        <v>0</v>
      </c>
      <c r="DF412">
        <v>0</v>
      </c>
      <c r="DG412">
        <v>0</v>
      </c>
      <c r="DH412">
        <v>0</v>
      </c>
      <c r="DI412">
        <v>0</v>
      </c>
      <c r="DJ412">
        <v>0</v>
      </c>
      <c r="DK412">
        <v>0</v>
      </c>
      <c r="DL412">
        <v>0</v>
      </c>
      <c r="DM412">
        <v>0</v>
      </c>
      <c r="DN412">
        <v>0</v>
      </c>
      <c r="DO412">
        <v>0</v>
      </c>
      <c r="DP412">
        <v>0</v>
      </c>
      <c r="DQ412">
        <v>0</v>
      </c>
      <c r="DR412">
        <v>0</v>
      </c>
      <c r="DS412">
        <v>0</v>
      </c>
      <c r="DT412">
        <v>0</v>
      </c>
      <c r="DU412">
        <v>0</v>
      </c>
    </row>
    <row r="413" spans="2:125">
      <c r="B413" s="136">
        <v>404</v>
      </c>
      <c r="C413" s="138">
        <v>1</v>
      </c>
      <c r="D413" s="474">
        <v>3493.5657286234482</v>
      </c>
      <c r="E413" s="127">
        <v>203.97879389694023</v>
      </c>
      <c r="F413" s="447">
        <v>0.38612429740392246</v>
      </c>
      <c r="G413" s="127">
        <v>120.59777155668378</v>
      </c>
      <c r="H413" s="132">
        <v>57.262580688061128</v>
      </c>
      <c r="I413" s="456"/>
      <c r="J413" s="45"/>
      <c r="K413" s="45">
        <v>490</v>
      </c>
      <c r="L413" s="463"/>
      <c r="M413" s="456">
        <v>30.25590705871582</v>
      </c>
      <c r="N413" s="457"/>
      <c r="O413" s="456"/>
      <c r="P413" s="46"/>
      <c r="Q413" s="463">
        <v>69.172607421875</v>
      </c>
      <c r="R413" s="449"/>
      <c r="S413" s="463"/>
      <c r="T413" s="480"/>
      <c r="U413" s="468"/>
      <c r="V413" s="449"/>
      <c r="W413" s="45">
        <v>1383.535888671875</v>
      </c>
      <c r="X413" s="463">
        <v>117.77416229248047</v>
      </c>
      <c r="Y413" s="449"/>
      <c r="Z413" s="45"/>
      <c r="AA413" s="468">
        <v>0.37675779667374387</v>
      </c>
      <c r="AB413" s="456"/>
      <c r="AC413" s="46"/>
      <c r="AD413" s="46"/>
      <c r="AE413" s="46"/>
      <c r="AF413" s="46"/>
      <c r="AG413" s="46"/>
      <c r="AH413" s="46"/>
      <c r="AI413" s="457"/>
      <c r="AJ413" s="138"/>
      <c r="AK413" s="745"/>
      <c r="AL413" s="54"/>
      <c r="AM413" s="468"/>
      <c r="AN413" s="449"/>
      <c r="AO413" s="45"/>
      <c r="AP413" s="45"/>
      <c r="AQ413" s="45"/>
      <c r="AR413" s="45"/>
      <c r="AS413" s="45"/>
      <c r="AT413" s="45"/>
      <c r="AU413" s="463"/>
      <c r="AV413" s="449"/>
      <c r="AW413" s="45"/>
      <c r="AX413" s="45"/>
      <c r="AY413" s="45"/>
      <c r="AZ413" s="45"/>
      <c r="BA413" s="45"/>
      <c r="BB413" s="45"/>
      <c r="BC413" s="463"/>
      <c r="BD413" s="456"/>
      <c r="BE413" s="46"/>
      <c r="BF413" s="46"/>
      <c r="BG413" s="46"/>
      <c r="BH413" s="46"/>
      <c r="BI413" s="46"/>
      <c r="BJ413" s="457"/>
      <c r="BK413" s="449">
        <v>0</v>
      </c>
      <c r="BL413" s="45"/>
      <c r="BM413" s="45"/>
      <c r="BN413" s="45"/>
      <c r="BO413" s="45"/>
      <c r="BP413" s="45"/>
      <c r="BQ413" s="45"/>
      <c r="BR413" s="45"/>
      <c r="BS413" s="45"/>
      <c r="BT413" s="45"/>
      <c r="BU413" s="45"/>
      <c r="BV413" s="45"/>
      <c r="BW413" s="45"/>
      <c r="BX413" s="45"/>
      <c r="BY413" s="45"/>
      <c r="BZ413" s="45"/>
      <c r="CA413" s="45"/>
      <c r="CB413" s="45"/>
      <c r="CC413" s="45"/>
      <c r="CD413" s="463"/>
      <c r="CE413">
        <v>0</v>
      </c>
      <c r="CF413">
        <v>0</v>
      </c>
      <c r="CG413">
        <v>0</v>
      </c>
      <c r="CH413">
        <v>0</v>
      </c>
      <c r="CI413">
        <v>0</v>
      </c>
      <c r="CJ413">
        <v>0</v>
      </c>
      <c r="CK413">
        <v>0</v>
      </c>
      <c r="CL413">
        <v>0</v>
      </c>
      <c r="CM413">
        <v>0</v>
      </c>
      <c r="CN413">
        <v>0</v>
      </c>
      <c r="CO413">
        <v>0</v>
      </c>
      <c r="CP413">
        <v>0</v>
      </c>
      <c r="CQ413">
        <v>0</v>
      </c>
      <c r="CR413">
        <v>0</v>
      </c>
      <c r="CS413">
        <v>0</v>
      </c>
      <c r="CT413">
        <v>0</v>
      </c>
      <c r="CU413">
        <v>0</v>
      </c>
      <c r="CV413">
        <v>0</v>
      </c>
      <c r="CW413">
        <v>0</v>
      </c>
      <c r="CX413">
        <v>0</v>
      </c>
      <c r="CY413">
        <v>0</v>
      </c>
      <c r="CZ413">
        <v>0</v>
      </c>
      <c r="DA413">
        <v>0</v>
      </c>
      <c r="DB413">
        <v>0</v>
      </c>
      <c r="DC413">
        <v>0</v>
      </c>
      <c r="DD413">
        <v>0</v>
      </c>
      <c r="DE413">
        <v>0</v>
      </c>
      <c r="DF413">
        <v>0</v>
      </c>
      <c r="DG413">
        <v>0</v>
      </c>
      <c r="DH413">
        <v>0</v>
      </c>
      <c r="DI413">
        <v>0</v>
      </c>
      <c r="DJ413">
        <v>0</v>
      </c>
      <c r="DK413">
        <v>0</v>
      </c>
      <c r="DL413">
        <v>0</v>
      </c>
      <c r="DM413">
        <v>0</v>
      </c>
      <c r="DN413">
        <v>0</v>
      </c>
      <c r="DO413">
        <v>0</v>
      </c>
      <c r="DP413">
        <v>0</v>
      </c>
      <c r="DQ413">
        <v>0</v>
      </c>
      <c r="DR413">
        <v>0</v>
      </c>
      <c r="DS413">
        <v>0</v>
      </c>
      <c r="DT413">
        <v>0</v>
      </c>
      <c r="DU413">
        <v>0</v>
      </c>
    </row>
    <row r="414" spans="2:125">
      <c r="B414" s="136">
        <v>405</v>
      </c>
      <c r="C414" s="138">
        <v>1</v>
      </c>
      <c r="D414" s="474">
        <v>2796.4539047787766</v>
      </c>
      <c r="E414" s="127">
        <v>235.18023487810794</v>
      </c>
      <c r="F414" s="447">
        <v>0.42873267769048651</v>
      </c>
      <c r="G414" s="127">
        <v>105.07578364705141</v>
      </c>
      <c r="H414" s="132">
        <v>47.842301640854473</v>
      </c>
      <c r="I414" s="456"/>
      <c r="J414" s="45"/>
      <c r="K414" s="45">
        <v>420</v>
      </c>
      <c r="L414" s="463"/>
      <c r="M414" s="456">
        <v>35.635662078857422</v>
      </c>
      <c r="N414" s="457"/>
      <c r="O414" s="456"/>
      <c r="P414" s="46"/>
      <c r="Q414" s="463">
        <v>55.369789123535156</v>
      </c>
      <c r="R414" s="449"/>
      <c r="S414" s="463"/>
      <c r="T414" s="480"/>
      <c r="U414" s="468"/>
      <c r="V414" s="449"/>
      <c r="W414" s="45">
        <v>1384.6680908203125</v>
      </c>
      <c r="X414" s="463">
        <v>117.54238128662109</v>
      </c>
      <c r="Y414" s="449"/>
      <c r="Z414" s="45"/>
      <c r="AA414" s="468">
        <v>0.41672652464915266</v>
      </c>
      <c r="AB414" s="456"/>
      <c r="AC414" s="46"/>
      <c r="AD414" s="46"/>
      <c r="AE414" s="46"/>
      <c r="AF414" s="46"/>
      <c r="AG414" s="46"/>
      <c r="AH414" s="46"/>
      <c r="AI414" s="457"/>
      <c r="AJ414" s="138"/>
      <c r="AK414" s="745"/>
      <c r="AL414" s="54"/>
      <c r="AM414" s="468"/>
      <c r="AN414" s="449"/>
      <c r="AO414" s="45"/>
      <c r="AP414" s="45"/>
      <c r="AQ414" s="45"/>
      <c r="AR414" s="45"/>
      <c r="AS414" s="45"/>
      <c r="AT414" s="45"/>
      <c r="AU414" s="463"/>
      <c r="AV414" s="449"/>
      <c r="AW414" s="45"/>
      <c r="AX414" s="45"/>
      <c r="AY414" s="45"/>
      <c r="AZ414" s="45"/>
      <c r="BA414" s="45"/>
      <c r="BB414" s="45"/>
      <c r="BC414" s="463"/>
      <c r="BD414" s="456"/>
      <c r="BE414" s="46"/>
      <c r="BF414" s="46"/>
      <c r="BG414" s="46"/>
      <c r="BH414" s="46"/>
      <c r="BI414" s="46"/>
      <c r="BJ414" s="457"/>
      <c r="BK414" s="449">
        <v>0</v>
      </c>
      <c r="BL414" s="45"/>
      <c r="BM414" s="45"/>
      <c r="BN414" s="45"/>
      <c r="BO414" s="45"/>
      <c r="BP414" s="45"/>
      <c r="BQ414" s="45"/>
      <c r="BR414" s="45"/>
      <c r="BS414" s="45"/>
      <c r="BT414" s="45"/>
      <c r="BU414" s="45"/>
      <c r="BV414" s="45"/>
      <c r="BW414" s="45"/>
      <c r="BX414" s="45"/>
      <c r="BY414" s="45"/>
      <c r="BZ414" s="45"/>
      <c r="CA414" s="45"/>
      <c r="CB414" s="45"/>
      <c r="CC414" s="45"/>
      <c r="CD414" s="463"/>
      <c r="CE414">
        <v>0</v>
      </c>
      <c r="CF414">
        <v>0</v>
      </c>
      <c r="CG414">
        <v>0</v>
      </c>
      <c r="CH414">
        <v>0</v>
      </c>
      <c r="CI414">
        <v>0</v>
      </c>
      <c r="CJ414">
        <v>0</v>
      </c>
      <c r="CK414">
        <v>0</v>
      </c>
      <c r="CL414">
        <v>0</v>
      </c>
      <c r="CM414">
        <v>0</v>
      </c>
      <c r="CN414">
        <v>0</v>
      </c>
      <c r="CO414">
        <v>0</v>
      </c>
      <c r="CP414">
        <v>0</v>
      </c>
      <c r="CQ414">
        <v>0</v>
      </c>
      <c r="CR414">
        <v>0</v>
      </c>
      <c r="CS414">
        <v>0</v>
      </c>
      <c r="CT414">
        <v>0</v>
      </c>
      <c r="CU414">
        <v>0</v>
      </c>
      <c r="CV414">
        <v>0</v>
      </c>
      <c r="CW414">
        <v>0</v>
      </c>
      <c r="CX414">
        <v>0</v>
      </c>
      <c r="CY414">
        <v>0</v>
      </c>
      <c r="CZ414">
        <v>0</v>
      </c>
      <c r="DA414">
        <v>0</v>
      </c>
      <c r="DB414">
        <v>0</v>
      </c>
      <c r="DC414">
        <v>0</v>
      </c>
      <c r="DD414">
        <v>0</v>
      </c>
      <c r="DE414">
        <v>0</v>
      </c>
      <c r="DF414">
        <v>0</v>
      </c>
      <c r="DG414">
        <v>0</v>
      </c>
      <c r="DH414">
        <v>0</v>
      </c>
      <c r="DI414">
        <v>0</v>
      </c>
      <c r="DJ414">
        <v>0</v>
      </c>
      <c r="DK414">
        <v>0</v>
      </c>
      <c r="DL414">
        <v>0</v>
      </c>
      <c r="DM414">
        <v>0</v>
      </c>
      <c r="DN414">
        <v>0</v>
      </c>
      <c r="DO414">
        <v>0</v>
      </c>
      <c r="DP414">
        <v>0</v>
      </c>
      <c r="DQ414">
        <v>0</v>
      </c>
      <c r="DR414">
        <v>0</v>
      </c>
      <c r="DS414">
        <v>0</v>
      </c>
      <c r="DT414">
        <v>0</v>
      </c>
      <c r="DU414">
        <v>0</v>
      </c>
    </row>
    <row r="415" spans="2:125">
      <c r="B415" s="136">
        <v>406</v>
      </c>
      <c r="C415" s="138">
        <v>1</v>
      </c>
      <c r="D415" s="474">
        <v>2637.3507932826592</v>
      </c>
      <c r="E415" s="127">
        <v>239.50671000585825</v>
      </c>
      <c r="F415" s="447">
        <v>0.40686499539175947</v>
      </c>
      <c r="G415" s="127">
        <v>92.830153479392365</v>
      </c>
      <c r="H415" s="132">
        <v>48.314419294598075</v>
      </c>
      <c r="I415" s="456"/>
      <c r="J415" s="45"/>
      <c r="K415" s="45">
        <v>380</v>
      </c>
      <c r="L415" s="463"/>
      <c r="M415" s="456">
        <v>31.971773147583008</v>
      </c>
      <c r="N415" s="457"/>
      <c r="O415" s="456"/>
      <c r="P415" s="46"/>
      <c r="Q415" s="463">
        <v>52.219547271728516</v>
      </c>
      <c r="R415" s="449"/>
      <c r="S415" s="463"/>
      <c r="T415" s="480"/>
      <c r="U415" s="468"/>
      <c r="V415" s="449"/>
      <c r="W415" s="45">
        <v>1179.9871826171875</v>
      </c>
      <c r="X415" s="463">
        <v>102.49043273925781</v>
      </c>
      <c r="Y415" s="449"/>
      <c r="Z415" s="45"/>
      <c r="AA415" s="468">
        <v>0.39430037941718538</v>
      </c>
      <c r="AB415" s="456"/>
      <c r="AC415" s="46"/>
      <c r="AD415" s="46"/>
      <c r="AE415" s="46"/>
      <c r="AF415" s="46"/>
      <c r="AG415" s="46"/>
      <c r="AH415" s="46"/>
      <c r="AI415" s="457"/>
      <c r="AJ415" s="138"/>
      <c r="AK415" s="745"/>
      <c r="AL415" s="54"/>
      <c r="AM415" s="468"/>
      <c r="AN415" s="449"/>
      <c r="AO415" s="45"/>
      <c r="AP415" s="45"/>
      <c r="AQ415" s="45"/>
      <c r="AR415" s="45"/>
      <c r="AS415" s="45"/>
      <c r="AT415" s="45"/>
      <c r="AU415" s="463"/>
      <c r="AV415" s="449"/>
      <c r="AW415" s="45"/>
      <c r="AX415" s="45"/>
      <c r="AY415" s="45"/>
      <c r="AZ415" s="45"/>
      <c r="BA415" s="45"/>
      <c r="BB415" s="45"/>
      <c r="BC415" s="463"/>
      <c r="BD415" s="456"/>
      <c r="BE415" s="46"/>
      <c r="BF415" s="46"/>
      <c r="BG415" s="46"/>
      <c r="BH415" s="46"/>
      <c r="BI415" s="46"/>
      <c r="BJ415" s="457"/>
      <c r="BK415" s="449">
        <v>0</v>
      </c>
      <c r="BL415" s="45"/>
      <c r="BM415" s="45"/>
      <c r="BN415" s="45"/>
      <c r="BO415" s="45"/>
      <c r="BP415" s="45"/>
      <c r="BQ415" s="45"/>
      <c r="BR415" s="45"/>
      <c r="BS415" s="45"/>
      <c r="BT415" s="45"/>
      <c r="BU415" s="45"/>
      <c r="BV415" s="45"/>
      <c r="BW415" s="45"/>
      <c r="BX415" s="45"/>
      <c r="BY415" s="45"/>
      <c r="BZ415" s="45"/>
      <c r="CA415" s="45"/>
      <c r="CB415" s="45"/>
      <c r="CC415" s="45"/>
      <c r="CD415" s="463"/>
      <c r="CE415">
        <v>0</v>
      </c>
      <c r="CF415">
        <v>0</v>
      </c>
      <c r="CG415">
        <v>0</v>
      </c>
      <c r="CH415">
        <v>0</v>
      </c>
      <c r="CI415">
        <v>0</v>
      </c>
      <c r="CJ415">
        <v>0</v>
      </c>
      <c r="CK415">
        <v>0</v>
      </c>
      <c r="CL415">
        <v>0</v>
      </c>
      <c r="CM415">
        <v>0</v>
      </c>
      <c r="CN415">
        <v>0</v>
      </c>
      <c r="CO415">
        <v>0</v>
      </c>
      <c r="CP415">
        <v>0</v>
      </c>
      <c r="CQ415">
        <v>0</v>
      </c>
      <c r="CR415">
        <v>0</v>
      </c>
      <c r="CS415">
        <v>0</v>
      </c>
      <c r="CT415">
        <v>0</v>
      </c>
      <c r="CU415">
        <v>0</v>
      </c>
      <c r="CV415">
        <v>0</v>
      </c>
      <c r="CW415">
        <v>0</v>
      </c>
      <c r="CX415">
        <v>0</v>
      </c>
      <c r="CY415">
        <v>0</v>
      </c>
      <c r="CZ415">
        <v>0</v>
      </c>
      <c r="DA415">
        <v>0</v>
      </c>
      <c r="DB415">
        <v>0</v>
      </c>
      <c r="DC415">
        <v>0</v>
      </c>
      <c r="DD415">
        <v>0</v>
      </c>
      <c r="DE415">
        <v>0</v>
      </c>
      <c r="DF415">
        <v>0</v>
      </c>
      <c r="DG415">
        <v>0</v>
      </c>
      <c r="DH415">
        <v>0</v>
      </c>
      <c r="DI415">
        <v>0</v>
      </c>
      <c r="DJ415">
        <v>0</v>
      </c>
      <c r="DK415">
        <v>0</v>
      </c>
      <c r="DL415">
        <v>0</v>
      </c>
      <c r="DM415">
        <v>0</v>
      </c>
      <c r="DN415">
        <v>0</v>
      </c>
      <c r="DO415">
        <v>0</v>
      </c>
      <c r="DP415">
        <v>0</v>
      </c>
      <c r="DQ415">
        <v>0</v>
      </c>
      <c r="DR415">
        <v>0</v>
      </c>
      <c r="DS415">
        <v>0</v>
      </c>
      <c r="DT415">
        <v>0</v>
      </c>
      <c r="DU415">
        <v>0</v>
      </c>
    </row>
    <row r="416" spans="2:125">
      <c r="B416" s="136">
        <v>407</v>
      </c>
      <c r="C416" s="138">
        <v>1</v>
      </c>
      <c r="D416" s="474">
        <v>2867.905362463549</v>
      </c>
      <c r="E416" s="127">
        <v>287.16531583793295</v>
      </c>
      <c r="F416" s="447">
        <v>0.38090710572460112</v>
      </c>
      <c r="G416" s="127">
        <v>90.046248679550644</v>
      </c>
      <c r="H416" s="132">
        <v>54.048566671539348</v>
      </c>
      <c r="I416" s="456"/>
      <c r="J416" s="45"/>
      <c r="K416" s="45">
        <v>390</v>
      </c>
      <c r="L416" s="463"/>
      <c r="M416" s="456">
        <v>28.140079498291016</v>
      </c>
      <c r="N416" s="457"/>
      <c r="O416" s="456"/>
      <c r="P416" s="46"/>
      <c r="Q416" s="463">
        <v>56.784526824951172</v>
      </c>
      <c r="R416" s="449"/>
      <c r="S416" s="463"/>
      <c r="T416" s="480"/>
      <c r="U416" s="468"/>
      <c r="V416" s="449"/>
      <c r="W416" s="45">
        <v>1108.7020263671875</v>
      </c>
      <c r="X416" s="463">
        <v>97.339935302734375</v>
      </c>
      <c r="Y416" s="449"/>
      <c r="Z416" s="45"/>
      <c r="AA416" s="468">
        <v>0.36953359858541407</v>
      </c>
      <c r="AB416" s="456"/>
      <c r="AC416" s="46"/>
      <c r="AD416" s="46"/>
      <c r="AE416" s="46"/>
      <c r="AF416" s="46"/>
      <c r="AG416" s="46"/>
      <c r="AH416" s="46"/>
      <c r="AI416" s="457"/>
      <c r="AJ416" s="138"/>
      <c r="AK416" s="745"/>
      <c r="AL416" s="54"/>
      <c r="AM416" s="468"/>
      <c r="AN416" s="449"/>
      <c r="AO416" s="45"/>
      <c r="AP416" s="45"/>
      <c r="AQ416" s="45"/>
      <c r="AR416" s="45"/>
      <c r="AS416" s="45"/>
      <c r="AT416" s="45"/>
      <c r="AU416" s="463"/>
      <c r="AV416" s="449"/>
      <c r="AW416" s="45"/>
      <c r="AX416" s="45"/>
      <c r="AY416" s="45"/>
      <c r="AZ416" s="45"/>
      <c r="BA416" s="45"/>
      <c r="BB416" s="45"/>
      <c r="BC416" s="463"/>
      <c r="BD416" s="456"/>
      <c r="BE416" s="46"/>
      <c r="BF416" s="46"/>
      <c r="BG416" s="46"/>
      <c r="BH416" s="46"/>
      <c r="BI416" s="46"/>
      <c r="BJ416" s="457"/>
      <c r="BK416" s="449">
        <v>0</v>
      </c>
      <c r="BL416" s="45"/>
      <c r="BM416" s="45"/>
      <c r="BN416" s="45"/>
      <c r="BO416" s="45"/>
      <c r="BP416" s="45"/>
      <c r="BQ416" s="45"/>
      <c r="BR416" s="45"/>
      <c r="BS416" s="45"/>
      <c r="BT416" s="45"/>
      <c r="BU416" s="45"/>
      <c r="BV416" s="45"/>
      <c r="BW416" s="45"/>
      <c r="BX416" s="45"/>
      <c r="BY416" s="45"/>
      <c r="BZ416" s="45"/>
      <c r="CA416" s="45"/>
      <c r="CB416" s="45"/>
      <c r="CC416" s="45"/>
      <c r="CD416" s="463"/>
      <c r="CE416">
        <v>0</v>
      </c>
      <c r="CF416">
        <v>0</v>
      </c>
      <c r="CG416">
        <v>0</v>
      </c>
      <c r="CH416">
        <v>0</v>
      </c>
      <c r="CI416">
        <v>0</v>
      </c>
      <c r="CJ416">
        <v>0</v>
      </c>
      <c r="CK416">
        <v>0</v>
      </c>
      <c r="CL416">
        <v>0</v>
      </c>
      <c r="CM416">
        <v>0</v>
      </c>
      <c r="CN416">
        <v>0</v>
      </c>
      <c r="CO416">
        <v>0</v>
      </c>
      <c r="CP416">
        <v>0</v>
      </c>
      <c r="CQ416">
        <v>0</v>
      </c>
      <c r="CR416">
        <v>0</v>
      </c>
      <c r="CS416">
        <v>0</v>
      </c>
      <c r="CT416">
        <v>0</v>
      </c>
      <c r="CU416">
        <v>0</v>
      </c>
      <c r="CV416">
        <v>0</v>
      </c>
      <c r="CW416">
        <v>0</v>
      </c>
      <c r="CX416">
        <v>0</v>
      </c>
      <c r="CY416">
        <v>0</v>
      </c>
      <c r="CZ416">
        <v>0</v>
      </c>
      <c r="DA416">
        <v>0</v>
      </c>
      <c r="DB416">
        <v>0</v>
      </c>
      <c r="DC416">
        <v>0</v>
      </c>
      <c r="DD416">
        <v>0</v>
      </c>
      <c r="DE416">
        <v>0</v>
      </c>
      <c r="DF416">
        <v>0</v>
      </c>
      <c r="DG416">
        <v>0</v>
      </c>
      <c r="DH416">
        <v>0</v>
      </c>
      <c r="DI416">
        <v>0</v>
      </c>
      <c r="DJ416">
        <v>0</v>
      </c>
      <c r="DK416">
        <v>0</v>
      </c>
      <c r="DL416">
        <v>0</v>
      </c>
      <c r="DM416">
        <v>0</v>
      </c>
      <c r="DN416">
        <v>0</v>
      </c>
      <c r="DO416">
        <v>0</v>
      </c>
      <c r="DP416">
        <v>0</v>
      </c>
      <c r="DQ416">
        <v>0</v>
      </c>
      <c r="DR416">
        <v>0</v>
      </c>
      <c r="DS416">
        <v>0</v>
      </c>
      <c r="DT416">
        <v>0</v>
      </c>
      <c r="DU416">
        <v>0</v>
      </c>
    </row>
    <row r="417" spans="2:125">
      <c r="B417" s="136">
        <v>408</v>
      </c>
      <c r="C417" s="138">
        <v>1</v>
      </c>
      <c r="D417" s="474">
        <v>3282.3419584606645</v>
      </c>
      <c r="E417" s="127">
        <v>262.3159580374757</v>
      </c>
      <c r="F417" s="447">
        <v>0.40643682391578217</v>
      </c>
      <c r="G417" s="127">
        <v>122.8428721990993</v>
      </c>
      <c r="H417" s="132">
        <v>52.797651852816607</v>
      </c>
      <c r="I417" s="456"/>
      <c r="J417" s="45"/>
      <c r="K417" s="45">
        <v>490</v>
      </c>
      <c r="L417" s="463"/>
      <c r="M417" s="456">
        <v>33.383438110351563</v>
      </c>
      <c r="N417" s="457"/>
      <c r="O417" s="456"/>
      <c r="P417" s="46"/>
      <c r="Q417" s="463">
        <v>64.990371704101563</v>
      </c>
      <c r="R417" s="449"/>
      <c r="S417" s="463"/>
      <c r="T417" s="480"/>
      <c r="U417" s="468"/>
      <c r="V417" s="449"/>
      <c r="W417" s="45">
        <v>1457.6153564453125</v>
      </c>
      <c r="X417" s="463">
        <v>123.1273193359375</v>
      </c>
      <c r="Y417" s="449"/>
      <c r="Z417" s="45"/>
      <c r="AA417" s="468">
        <v>0.39634380591291318</v>
      </c>
      <c r="AB417" s="456"/>
      <c r="AC417" s="46"/>
      <c r="AD417" s="46"/>
      <c r="AE417" s="46"/>
      <c r="AF417" s="46"/>
      <c r="AG417" s="46"/>
      <c r="AH417" s="46"/>
      <c r="AI417" s="457"/>
      <c r="AJ417" s="138"/>
      <c r="AK417" s="745"/>
      <c r="AL417" s="54"/>
      <c r="AM417" s="468"/>
      <c r="AN417" s="449"/>
      <c r="AO417" s="45"/>
      <c r="AP417" s="45"/>
      <c r="AQ417" s="45"/>
      <c r="AR417" s="45"/>
      <c r="AS417" s="45"/>
      <c r="AT417" s="45"/>
      <c r="AU417" s="463"/>
      <c r="AV417" s="449"/>
      <c r="AW417" s="45"/>
      <c r="AX417" s="45"/>
      <c r="AY417" s="45"/>
      <c r="AZ417" s="45"/>
      <c r="BA417" s="45"/>
      <c r="BB417" s="45"/>
      <c r="BC417" s="463"/>
      <c r="BD417" s="456"/>
      <c r="BE417" s="46"/>
      <c r="BF417" s="46"/>
      <c r="BG417" s="46"/>
      <c r="BH417" s="46"/>
      <c r="BI417" s="46"/>
      <c r="BJ417" s="457"/>
      <c r="BK417" s="449">
        <v>0</v>
      </c>
      <c r="BL417" s="45"/>
      <c r="BM417" s="45"/>
      <c r="BN417" s="45"/>
      <c r="BO417" s="45"/>
      <c r="BP417" s="45"/>
      <c r="BQ417" s="45"/>
      <c r="BR417" s="45"/>
      <c r="BS417" s="45"/>
      <c r="BT417" s="45"/>
      <c r="BU417" s="45"/>
      <c r="BV417" s="45"/>
      <c r="BW417" s="45"/>
      <c r="BX417" s="45"/>
      <c r="BY417" s="45"/>
      <c r="BZ417" s="45"/>
      <c r="CA417" s="45"/>
      <c r="CB417" s="45"/>
      <c r="CC417" s="45"/>
      <c r="CD417" s="463"/>
      <c r="CE417">
        <v>0</v>
      </c>
      <c r="CF417">
        <v>0</v>
      </c>
      <c r="CG417">
        <v>0</v>
      </c>
      <c r="CH417">
        <v>0</v>
      </c>
      <c r="CI417">
        <v>0</v>
      </c>
      <c r="CJ417">
        <v>0</v>
      </c>
      <c r="CK417">
        <v>0</v>
      </c>
      <c r="CL417">
        <v>0</v>
      </c>
      <c r="CM417">
        <v>0</v>
      </c>
      <c r="CN417">
        <v>0</v>
      </c>
      <c r="CO417">
        <v>0</v>
      </c>
      <c r="CP417">
        <v>0</v>
      </c>
      <c r="CQ417">
        <v>0</v>
      </c>
      <c r="CR417">
        <v>0</v>
      </c>
      <c r="CS417">
        <v>0</v>
      </c>
      <c r="CT417">
        <v>0</v>
      </c>
      <c r="CU417">
        <v>0</v>
      </c>
      <c r="CV417">
        <v>0</v>
      </c>
      <c r="CW417">
        <v>0</v>
      </c>
      <c r="CX417">
        <v>0</v>
      </c>
      <c r="CY417">
        <v>0</v>
      </c>
      <c r="CZ417">
        <v>0</v>
      </c>
      <c r="DA417">
        <v>0</v>
      </c>
      <c r="DB417">
        <v>0</v>
      </c>
      <c r="DC417">
        <v>0</v>
      </c>
      <c r="DD417">
        <v>0</v>
      </c>
      <c r="DE417">
        <v>0</v>
      </c>
      <c r="DF417">
        <v>0</v>
      </c>
      <c r="DG417">
        <v>0</v>
      </c>
      <c r="DH417">
        <v>0</v>
      </c>
      <c r="DI417">
        <v>0</v>
      </c>
      <c r="DJ417">
        <v>0</v>
      </c>
      <c r="DK417">
        <v>0</v>
      </c>
      <c r="DL417">
        <v>0</v>
      </c>
      <c r="DM417">
        <v>0</v>
      </c>
      <c r="DN417">
        <v>0</v>
      </c>
      <c r="DO417">
        <v>0</v>
      </c>
      <c r="DP417">
        <v>0</v>
      </c>
      <c r="DQ417">
        <v>0</v>
      </c>
      <c r="DR417">
        <v>0</v>
      </c>
      <c r="DS417">
        <v>0</v>
      </c>
      <c r="DT417">
        <v>0</v>
      </c>
      <c r="DU417">
        <v>0</v>
      </c>
    </row>
    <row r="418" spans="2:125">
      <c r="B418" s="136">
        <v>409</v>
      </c>
      <c r="C418" s="138">
        <v>1</v>
      </c>
      <c r="D418" s="474">
        <v>4385.6785796032036</v>
      </c>
      <c r="E418" s="127">
        <v>240.10766583670252</v>
      </c>
      <c r="F418" s="447">
        <v>0.36080174906066026</v>
      </c>
      <c r="G418" s="127">
        <v>143.16285409859987</v>
      </c>
      <c r="H418" s="132">
        <v>65.52661817138619</v>
      </c>
      <c r="I418" s="456"/>
      <c r="J418" s="45"/>
      <c r="K418" s="45">
        <v>590</v>
      </c>
      <c r="L418" s="463"/>
      <c r="M418" s="456">
        <v>28.271633148193359</v>
      </c>
      <c r="N418" s="457"/>
      <c r="O418" s="456"/>
      <c r="P418" s="46"/>
      <c r="Q418" s="463">
        <v>86.836441040039062</v>
      </c>
      <c r="R418" s="449"/>
      <c r="S418" s="463"/>
      <c r="T418" s="480"/>
      <c r="U418" s="468"/>
      <c r="V418" s="449"/>
      <c r="W418" s="45">
        <v>1503.8984375</v>
      </c>
      <c r="X418" s="463">
        <v>126.94673919677734</v>
      </c>
      <c r="Y418" s="449"/>
      <c r="Z418" s="45"/>
      <c r="AA418" s="468">
        <v>0.35345601352704353</v>
      </c>
      <c r="AB418" s="456"/>
      <c r="AC418" s="46"/>
      <c r="AD418" s="46"/>
      <c r="AE418" s="46"/>
      <c r="AF418" s="46"/>
      <c r="AG418" s="46"/>
      <c r="AH418" s="46"/>
      <c r="AI418" s="457"/>
      <c r="AJ418" s="138"/>
      <c r="AK418" s="745"/>
      <c r="AL418" s="54"/>
      <c r="AM418" s="468"/>
      <c r="AN418" s="449"/>
      <c r="AO418" s="45"/>
      <c r="AP418" s="45"/>
      <c r="AQ418" s="45"/>
      <c r="AR418" s="45"/>
      <c r="AS418" s="45"/>
      <c r="AT418" s="45"/>
      <c r="AU418" s="463"/>
      <c r="AV418" s="449"/>
      <c r="AW418" s="45"/>
      <c r="AX418" s="45"/>
      <c r="AY418" s="45"/>
      <c r="AZ418" s="45"/>
      <c r="BA418" s="45"/>
      <c r="BB418" s="45"/>
      <c r="BC418" s="463"/>
      <c r="BD418" s="456"/>
      <c r="BE418" s="46"/>
      <c r="BF418" s="46"/>
      <c r="BG418" s="46"/>
      <c r="BH418" s="46"/>
      <c r="BI418" s="46"/>
      <c r="BJ418" s="457"/>
      <c r="BK418" s="449">
        <v>0</v>
      </c>
      <c r="BL418" s="45"/>
      <c r="BM418" s="45"/>
      <c r="BN418" s="45"/>
      <c r="BO418" s="45"/>
      <c r="BP418" s="45"/>
      <c r="BQ418" s="45"/>
      <c r="BR418" s="45"/>
      <c r="BS418" s="45"/>
      <c r="BT418" s="45"/>
      <c r="BU418" s="45"/>
      <c r="BV418" s="45"/>
      <c r="BW418" s="45"/>
      <c r="BX418" s="45"/>
      <c r="BY418" s="45"/>
      <c r="BZ418" s="45"/>
      <c r="CA418" s="45"/>
      <c r="CB418" s="45"/>
      <c r="CC418" s="45"/>
      <c r="CD418" s="463"/>
      <c r="CE418">
        <v>0</v>
      </c>
      <c r="CF418">
        <v>0</v>
      </c>
      <c r="CG418">
        <v>0</v>
      </c>
      <c r="CH418">
        <v>0</v>
      </c>
      <c r="CI418">
        <v>0</v>
      </c>
      <c r="CJ418">
        <v>0</v>
      </c>
      <c r="CK418">
        <v>0</v>
      </c>
      <c r="CL418">
        <v>0</v>
      </c>
      <c r="CM418">
        <v>0</v>
      </c>
      <c r="CN418">
        <v>0</v>
      </c>
      <c r="CO418">
        <v>0</v>
      </c>
      <c r="CP418">
        <v>0</v>
      </c>
      <c r="CQ418">
        <v>0</v>
      </c>
      <c r="CR418">
        <v>0</v>
      </c>
      <c r="CS418">
        <v>0</v>
      </c>
      <c r="CT418">
        <v>0</v>
      </c>
      <c r="CU418">
        <v>0</v>
      </c>
      <c r="CV418">
        <v>0</v>
      </c>
      <c r="CW418">
        <v>0</v>
      </c>
      <c r="CX418">
        <v>0</v>
      </c>
      <c r="CY418">
        <v>0</v>
      </c>
      <c r="CZ418">
        <v>0</v>
      </c>
      <c r="DA418">
        <v>0</v>
      </c>
      <c r="DB418">
        <v>0</v>
      </c>
      <c r="DC418">
        <v>0</v>
      </c>
      <c r="DD418">
        <v>0</v>
      </c>
      <c r="DE418">
        <v>0</v>
      </c>
      <c r="DF418">
        <v>0</v>
      </c>
      <c r="DG418">
        <v>0</v>
      </c>
      <c r="DH418">
        <v>0</v>
      </c>
      <c r="DI418">
        <v>0</v>
      </c>
      <c r="DJ418">
        <v>0</v>
      </c>
      <c r="DK418">
        <v>0</v>
      </c>
      <c r="DL418">
        <v>0</v>
      </c>
      <c r="DM418">
        <v>0</v>
      </c>
      <c r="DN418">
        <v>0</v>
      </c>
      <c r="DO418">
        <v>0</v>
      </c>
      <c r="DP418">
        <v>0</v>
      </c>
      <c r="DQ418">
        <v>0</v>
      </c>
      <c r="DR418">
        <v>0</v>
      </c>
      <c r="DS418">
        <v>0</v>
      </c>
      <c r="DT418">
        <v>0</v>
      </c>
      <c r="DU418">
        <v>0</v>
      </c>
    </row>
    <row r="419" spans="2:125">
      <c r="B419" s="136">
        <v>410</v>
      </c>
      <c r="C419" s="138">
        <v>1</v>
      </c>
      <c r="D419" s="474">
        <v>2880.3150252877249</v>
      </c>
      <c r="E419" s="127">
        <v>254.5330520945393</v>
      </c>
      <c r="F419" s="447">
        <v>0.42520182123397099</v>
      </c>
      <c r="G419" s="127">
        <v>93.137072345327994</v>
      </c>
      <c r="H419" s="132">
        <v>60.626569678038265</v>
      </c>
      <c r="I419" s="456"/>
      <c r="J419" s="45"/>
      <c r="K419" s="45">
        <v>430</v>
      </c>
      <c r="L419" s="463"/>
      <c r="M419" s="456">
        <v>31.656362533569336</v>
      </c>
      <c r="N419" s="457"/>
      <c r="O419" s="456"/>
      <c r="P419" s="46"/>
      <c r="Q419" s="463">
        <v>65.409347534179688</v>
      </c>
      <c r="R419" s="449"/>
      <c r="S419" s="463"/>
      <c r="T419" s="480"/>
      <c r="U419" s="468"/>
      <c r="V419" s="449"/>
      <c r="W419" s="45">
        <v>1370.946533203125</v>
      </c>
      <c r="X419" s="463">
        <v>116.57154083251953</v>
      </c>
      <c r="Y419" s="449"/>
      <c r="Z419" s="45"/>
      <c r="AA419" s="468">
        <v>0.41356974761336668</v>
      </c>
      <c r="AB419" s="456"/>
      <c r="AC419" s="46"/>
      <c r="AD419" s="46"/>
      <c r="AE419" s="46"/>
      <c r="AF419" s="46"/>
      <c r="AG419" s="46"/>
      <c r="AH419" s="46"/>
      <c r="AI419" s="457"/>
      <c r="AJ419" s="138"/>
      <c r="AK419" s="745"/>
      <c r="AL419" s="54"/>
      <c r="AM419" s="468"/>
      <c r="AN419" s="449"/>
      <c r="AO419" s="45"/>
      <c r="AP419" s="45"/>
      <c r="AQ419" s="45"/>
      <c r="AR419" s="45"/>
      <c r="AS419" s="45"/>
      <c r="AT419" s="45"/>
      <c r="AU419" s="463"/>
      <c r="AV419" s="449"/>
      <c r="AW419" s="45"/>
      <c r="AX419" s="45"/>
      <c r="AY419" s="45"/>
      <c r="AZ419" s="45"/>
      <c r="BA419" s="45"/>
      <c r="BB419" s="45"/>
      <c r="BC419" s="463"/>
      <c r="BD419" s="456"/>
      <c r="BE419" s="46"/>
      <c r="BF419" s="46"/>
      <c r="BG419" s="46"/>
      <c r="BH419" s="46"/>
      <c r="BI419" s="46"/>
      <c r="BJ419" s="457"/>
      <c r="BK419" s="449">
        <v>0</v>
      </c>
      <c r="BL419" s="45"/>
      <c r="BM419" s="45"/>
      <c r="BN419" s="45"/>
      <c r="BO419" s="45"/>
      <c r="BP419" s="45"/>
      <c r="BQ419" s="45"/>
      <c r="BR419" s="45"/>
      <c r="BS419" s="45"/>
      <c r="BT419" s="45"/>
      <c r="BU419" s="45"/>
      <c r="BV419" s="45"/>
      <c r="BW419" s="45"/>
      <c r="BX419" s="45"/>
      <c r="BY419" s="45"/>
      <c r="BZ419" s="45"/>
      <c r="CA419" s="45"/>
      <c r="CB419" s="45"/>
      <c r="CC419" s="45"/>
      <c r="CD419" s="463"/>
      <c r="CE419">
        <v>0</v>
      </c>
      <c r="CF419">
        <v>0</v>
      </c>
      <c r="CG419">
        <v>0</v>
      </c>
      <c r="CH419">
        <v>0</v>
      </c>
      <c r="CI419">
        <v>0</v>
      </c>
      <c r="CJ419">
        <v>0</v>
      </c>
      <c r="CK419">
        <v>0</v>
      </c>
      <c r="CL419">
        <v>0</v>
      </c>
      <c r="CM419">
        <v>0</v>
      </c>
      <c r="CN419">
        <v>0</v>
      </c>
      <c r="CO419">
        <v>0</v>
      </c>
      <c r="CP419">
        <v>0</v>
      </c>
      <c r="CQ419">
        <v>0</v>
      </c>
      <c r="CR419">
        <v>0</v>
      </c>
      <c r="CS419">
        <v>0</v>
      </c>
      <c r="CT419">
        <v>0</v>
      </c>
      <c r="CU419">
        <v>0</v>
      </c>
      <c r="CV419">
        <v>0</v>
      </c>
      <c r="CW419">
        <v>0</v>
      </c>
      <c r="CX419">
        <v>0</v>
      </c>
      <c r="CY419">
        <v>0</v>
      </c>
      <c r="CZ419">
        <v>0</v>
      </c>
      <c r="DA419">
        <v>0</v>
      </c>
      <c r="DB419">
        <v>0</v>
      </c>
      <c r="DC419">
        <v>0</v>
      </c>
      <c r="DD419">
        <v>0</v>
      </c>
      <c r="DE419">
        <v>0</v>
      </c>
      <c r="DF419">
        <v>0</v>
      </c>
      <c r="DG419">
        <v>0</v>
      </c>
      <c r="DH419">
        <v>0</v>
      </c>
      <c r="DI419">
        <v>0</v>
      </c>
      <c r="DJ419">
        <v>0</v>
      </c>
      <c r="DK419">
        <v>0</v>
      </c>
      <c r="DL419">
        <v>0</v>
      </c>
      <c r="DM419">
        <v>0</v>
      </c>
      <c r="DN419">
        <v>0</v>
      </c>
      <c r="DO419">
        <v>0</v>
      </c>
      <c r="DP419">
        <v>0</v>
      </c>
      <c r="DQ419">
        <v>0</v>
      </c>
      <c r="DR419">
        <v>0</v>
      </c>
      <c r="DS419">
        <v>0</v>
      </c>
      <c r="DT419">
        <v>0</v>
      </c>
      <c r="DU419">
        <v>0</v>
      </c>
    </row>
    <row r="420" spans="2:125">
      <c r="B420" s="136">
        <v>411</v>
      </c>
      <c r="C420" s="138">
        <v>1</v>
      </c>
      <c r="D420" s="474">
        <v>2690.4580595260081</v>
      </c>
      <c r="E420" s="127">
        <v>220.37307344882458</v>
      </c>
      <c r="F420" s="447">
        <v>0.39141728224330685</v>
      </c>
      <c r="G420" s="127">
        <v>103.62148875868483</v>
      </c>
      <c r="H420" s="132">
        <v>45.694026982096993</v>
      </c>
      <c r="I420" s="456"/>
      <c r="J420" s="45"/>
      <c r="K420" s="45">
        <v>410</v>
      </c>
      <c r="L420" s="463"/>
      <c r="M420" s="456">
        <v>31.83970832824707</v>
      </c>
      <c r="N420" s="457"/>
      <c r="O420" s="456"/>
      <c r="P420" s="46"/>
      <c r="Q420" s="463">
        <v>53.271068572998047</v>
      </c>
      <c r="R420" s="449"/>
      <c r="S420" s="463"/>
      <c r="T420" s="480"/>
      <c r="U420" s="468"/>
      <c r="V420" s="449"/>
      <c r="W420" s="45">
        <v>1195.0177001953125</v>
      </c>
      <c r="X420" s="463">
        <v>103.69552612304687</v>
      </c>
      <c r="Y420" s="449"/>
      <c r="Z420" s="45"/>
      <c r="AA420" s="468">
        <v>0.37921551402445958</v>
      </c>
      <c r="AB420" s="456"/>
      <c r="AC420" s="46"/>
      <c r="AD420" s="46"/>
      <c r="AE420" s="46"/>
      <c r="AF420" s="46"/>
      <c r="AG420" s="46"/>
      <c r="AH420" s="46"/>
      <c r="AI420" s="457"/>
      <c r="AJ420" s="138"/>
      <c r="AK420" s="745"/>
      <c r="AL420" s="54"/>
      <c r="AM420" s="468"/>
      <c r="AN420" s="449"/>
      <c r="AO420" s="45"/>
      <c r="AP420" s="45"/>
      <c r="AQ420" s="45"/>
      <c r="AR420" s="45"/>
      <c r="AS420" s="45"/>
      <c r="AT420" s="45"/>
      <c r="AU420" s="463"/>
      <c r="AV420" s="449"/>
      <c r="AW420" s="45"/>
      <c r="AX420" s="45"/>
      <c r="AY420" s="45"/>
      <c r="AZ420" s="45"/>
      <c r="BA420" s="45"/>
      <c r="BB420" s="45"/>
      <c r="BC420" s="463"/>
      <c r="BD420" s="456"/>
      <c r="BE420" s="46"/>
      <c r="BF420" s="46"/>
      <c r="BG420" s="46"/>
      <c r="BH420" s="46"/>
      <c r="BI420" s="46"/>
      <c r="BJ420" s="457"/>
      <c r="BK420" s="449">
        <v>0</v>
      </c>
      <c r="BL420" s="45"/>
      <c r="BM420" s="45"/>
      <c r="BN420" s="45"/>
      <c r="BO420" s="45"/>
      <c r="BP420" s="45"/>
      <c r="BQ420" s="45"/>
      <c r="BR420" s="45"/>
      <c r="BS420" s="45"/>
      <c r="BT420" s="45"/>
      <c r="BU420" s="45"/>
      <c r="BV420" s="45"/>
      <c r="BW420" s="45"/>
      <c r="BX420" s="45"/>
      <c r="BY420" s="45"/>
      <c r="BZ420" s="45"/>
      <c r="CA420" s="45"/>
      <c r="CB420" s="45"/>
      <c r="CC420" s="45"/>
      <c r="CD420" s="463"/>
      <c r="CE420">
        <v>0</v>
      </c>
      <c r="CF420">
        <v>0</v>
      </c>
      <c r="CG420">
        <v>0</v>
      </c>
      <c r="CH420">
        <v>0</v>
      </c>
      <c r="CI420">
        <v>0</v>
      </c>
      <c r="CJ420">
        <v>0</v>
      </c>
      <c r="CK420">
        <v>0</v>
      </c>
      <c r="CL420">
        <v>0</v>
      </c>
      <c r="CM420">
        <v>0</v>
      </c>
      <c r="CN420">
        <v>0</v>
      </c>
      <c r="CO420">
        <v>0</v>
      </c>
      <c r="CP420">
        <v>0</v>
      </c>
      <c r="CQ420">
        <v>0</v>
      </c>
      <c r="CR420">
        <v>0</v>
      </c>
      <c r="CS420">
        <v>0</v>
      </c>
      <c r="CT420">
        <v>0</v>
      </c>
      <c r="CU420">
        <v>0</v>
      </c>
      <c r="CV420">
        <v>0</v>
      </c>
      <c r="CW420">
        <v>0</v>
      </c>
      <c r="CX420">
        <v>0</v>
      </c>
      <c r="CY420">
        <v>0</v>
      </c>
      <c r="CZ420">
        <v>0</v>
      </c>
      <c r="DA420">
        <v>0</v>
      </c>
      <c r="DB420">
        <v>0</v>
      </c>
      <c r="DC420">
        <v>0</v>
      </c>
      <c r="DD420">
        <v>0</v>
      </c>
      <c r="DE420">
        <v>0</v>
      </c>
      <c r="DF420">
        <v>0</v>
      </c>
      <c r="DG420">
        <v>0</v>
      </c>
      <c r="DH420">
        <v>0</v>
      </c>
      <c r="DI420">
        <v>0</v>
      </c>
      <c r="DJ420">
        <v>0</v>
      </c>
      <c r="DK420">
        <v>0</v>
      </c>
      <c r="DL420">
        <v>0</v>
      </c>
      <c r="DM420">
        <v>0</v>
      </c>
      <c r="DN420">
        <v>0</v>
      </c>
      <c r="DO420">
        <v>0</v>
      </c>
      <c r="DP420">
        <v>0</v>
      </c>
      <c r="DQ420">
        <v>0</v>
      </c>
      <c r="DR420">
        <v>0</v>
      </c>
      <c r="DS420">
        <v>0</v>
      </c>
      <c r="DT420">
        <v>0</v>
      </c>
      <c r="DU420">
        <v>0</v>
      </c>
    </row>
    <row r="421" spans="2:125">
      <c r="B421" s="136">
        <v>412</v>
      </c>
      <c r="C421" s="138">
        <v>1</v>
      </c>
      <c r="D421" s="474">
        <v>2700.9959163699154</v>
      </c>
      <c r="E421" s="127">
        <v>282.5726014277937</v>
      </c>
      <c r="F421" s="447">
        <v>0.35905439306396159</v>
      </c>
      <c r="G421" s="127">
        <v>98.531905958922593</v>
      </c>
      <c r="H421" s="132">
        <v>47.844303038349828</v>
      </c>
      <c r="I421" s="456"/>
      <c r="J421" s="45"/>
      <c r="K421" s="45">
        <v>390</v>
      </c>
      <c r="L421" s="463"/>
      <c r="M421" s="456">
        <v>28.339649200439453</v>
      </c>
      <c r="N421" s="457"/>
      <c r="O421" s="456"/>
      <c r="P421" s="46"/>
      <c r="Q421" s="463">
        <v>53.479724884033203</v>
      </c>
      <c r="R421" s="449"/>
      <c r="S421" s="463"/>
      <c r="T421" s="480"/>
      <c r="U421" s="468"/>
      <c r="V421" s="449"/>
      <c r="W421" s="45">
        <v>1062.3564453125</v>
      </c>
      <c r="X421" s="463">
        <v>93.995162963867188</v>
      </c>
      <c r="Y421" s="449"/>
      <c r="Z421" s="45"/>
      <c r="AA421" s="468">
        <v>0.34713986640131855</v>
      </c>
      <c r="AB421" s="456"/>
      <c r="AC421" s="46"/>
      <c r="AD421" s="46"/>
      <c r="AE421" s="46"/>
      <c r="AF421" s="46"/>
      <c r="AG421" s="46"/>
      <c r="AH421" s="46"/>
      <c r="AI421" s="457"/>
      <c r="AJ421" s="138"/>
      <c r="AK421" s="745"/>
      <c r="AL421" s="54"/>
      <c r="AM421" s="468"/>
      <c r="AN421" s="449"/>
      <c r="AO421" s="45"/>
      <c r="AP421" s="45"/>
      <c r="AQ421" s="45"/>
      <c r="AR421" s="45"/>
      <c r="AS421" s="45"/>
      <c r="AT421" s="45"/>
      <c r="AU421" s="463"/>
      <c r="AV421" s="449"/>
      <c r="AW421" s="45"/>
      <c r="AX421" s="45"/>
      <c r="AY421" s="45"/>
      <c r="AZ421" s="45"/>
      <c r="BA421" s="45"/>
      <c r="BB421" s="45"/>
      <c r="BC421" s="463"/>
      <c r="BD421" s="456"/>
      <c r="BE421" s="46"/>
      <c r="BF421" s="46"/>
      <c r="BG421" s="46"/>
      <c r="BH421" s="46"/>
      <c r="BI421" s="46"/>
      <c r="BJ421" s="457"/>
      <c r="BK421" s="449">
        <v>0</v>
      </c>
      <c r="BL421" s="45"/>
      <c r="BM421" s="45"/>
      <c r="BN421" s="45"/>
      <c r="BO421" s="45"/>
      <c r="BP421" s="45"/>
      <c r="BQ421" s="45"/>
      <c r="BR421" s="45"/>
      <c r="BS421" s="45"/>
      <c r="BT421" s="45"/>
      <c r="BU421" s="45"/>
      <c r="BV421" s="45"/>
      <c r="BW421" s="45"/>
      <c r="BX421" s="45"/>
      <c r="BY421" s="45"/>
      <c r="BZ421" s="45"/>
      <c r="CA421" s="45"/>
      <c r="CB421" s="45"/>
      <c r="CC421" s="45"/>
      <c r="CD421" s="463"/>
      <c r="CE421">
        <v>0</v>
      </c>
      <c r="CF421">
        <v>0</v>
      </c>
      <c r="CG421">
        <v>0</v>
      </c>
      <c r="CH421">
        <v>0</v>
      </c>
      <c r="CI421">
        <v>0</v>
      </c>
      <c r="CJ421">
        <v>0</v>
      </c>
      <c r="CK421">
        <v>0</v>
      </c>
      <c r="CL421">
        <v>0</v>
      </c>
      <c r="CM421">
        <v>0</v>
      </c>
      <c r="CN421">
        <v>0</v>
      </c>
      <c r="CO421">
        <v>0</v>
      </c>
      <c r="CP421">
        <v>0</v>
      </c>
      <c r="CQ421">
        <v>0</v>
      </c>
      <c r="CR421">
        <v>0</v>
      </c>
      <c r="CS421">
        <v>0</v>
      </c>
      <c r="CT421">
        <v>0</v>
      </c>
      <c r="CU421">
        <v>0</v>
      </c>
      <c r="CV421">
        <v>0</v>
      </c>
      <c r="CW421">
        <v>0</v>
      </c>
      <c r="CX421">
        <v>0</v>
      </c>
      <c r="CY421">
        <v>0</v>
      </c>
      <c r="CZ421">
        <v>0</v>
      </c>
      <c r="DA421">
        <v>0</v>
      </c>
      <c r="DB421">
        <v>0</v>
      </c>
      <c r="DC421">
        <v>0</v>
      </c>
      <c r="DD421">
        <v>0</v>
      </c>
      <c r="DE421">
        <v>0</v>
      </c>
      <c r="DF421">
        <v>0</v>
      </c>
      <c r="DG421">
        <v>0</v>
      </c>
      <c r="DH421">
        <v>0</v>
      </c>
      <c r="DI421">
        <v>0</v>
      </c>
      <c r="DJ421">
        <v>0</v>
      </c>
      <c r="DK421">
        <v>0</v>
      </c>
      <c r="DL421">
        <v>0</v>
      </c>
      <c r="DM421">
        <v>0</v>
      </c>
      <c r="DN421">
        <v>0</v>
      </c>
      <c r="DO421">
        <v>0</v>
      </c>
      <c r="DP421">
        <v>0</v>
      </c>
      <c r="DQ421">
        <v>0</v>
      </c>
      <c r="DR421">
        <v>0</v>
      </c>
      <c r="DS421">
        <v>0</v>
      </c>
      <c r="DT421">
        <v>0</v>
      </c>
      <c r="DU421">
        <v>0</v>
      </c>
    </row>
    <row r="422" spans="2:125">
      <c r="B422" s="136">
        <v>413</v>
      </c>
      <c r="C422" s="138">
        <v>1</v>
      </c>
      <c r="D422" s="474">
        <v>4255.0799756287579</v>
      </c>
      <c r="E422" s="127">
        <v>211.0393461984591</v>
      </c>
      <c r="F422" s="447">
        <v>0.42306546612842832</v>
      </c>
      <c r="G422" s="127">
        <v>153.72686179250542</v>
      </c>
      <c r="H422" s="132">
        <v>61.620354254071515</v>
      </c>
      <c r="I422" s="456"/>
      <c r="J422" s="45"/>
      <c r="K422" s="45">
        <v>620</v>
      </c>
      <c r="L422" s="463"/>
      <c r="M422" s="456">
        <v>37.508495330810547</v>
      </c>
      <c r="N422" s="457"/>
      <c r="O422" s="456"/>
      <c r="P422" s="46"/>
      <c r="Q422" s="463">
        <v>84.250587463378906</v>
      </c>
      <c r="R422" s="449"/>
      <c r="S422" s="463"/>
      <c r="T422" s="480"/>
      <c r="U422" s="468"/>
      <c r="V422" s="449"/>
      <c r="W422" s="45">
        <v>1909.34130859375</v>
      </c>
      <c r="X422" s="463">
        <v>156.53732299804687</v>
      </c>
      <c r="Y422" s="449"/>
      <c r="Z422" s="45"/>
      <c r="AA422" s="468">
        <v>0.41520161644423431</v>
      </c>
      <c r="AB422" s="456"/>
      <c r="AC422" s="46"/>
      <c r="AD422" s="46"/>
      <c r="AE422" s="46"/>
      <c r="AF422" s="46"/>
      <c r="AG422" s="46"/>
      <c r="AH422" s="46"/>
      <c r="AI422" s="457"/>
      <c r="AJ422" s="138"/>
      <c r="AK422" s="745"/>
      <c r="AL422" s="54"/>
      <c r="AM422" s="468"/>
      <c r="AN422" s="449"/>
      <c r="AO422" s="45"/>
      <c r="AP422" s="45"/>
      <c r="AQ422" s="45"/>
      <c r="AR422" s="45"/>
      <c r="AS422" s="45"/>
      <c r="AT422" s="45"/>
      <c r="AU422" s="463"/>
      <c r="AV422" s="449"/>
      <c r="AW422" s="45"/>
      <c r="AX422" s="45"/>
      <c r="AY422" s="45"/>
      <c r="AZ422" s="45"/>
      <c r="BA422" s="45"/>
      <c r="BB422" s="45"/>
      <c r="BC422" s="463"/>
      <c r="BD422" s="456"/>
      <c r="BE422" s="46"/>
      <c r="BF422" s="46"/>
      <c r="BG422" s="46"/>
      <c r="BH422" s="46"/>
      <c r="BI422" s="46"/>
      <c r="BJ422" s="457"/>
      <c r="BK422" s="449">
        <v>0</v>
      </c>
      <c r="BL422" s="45"/>
      <c r="BM422" s="45"/>
      <c r="BN422" s="45"/>
      <c r="BO422" s="45"/>
      <c r="BP422" s="45"/>
      <c r="BQ422" s="45"/>
      <c r="BR422" s="45"/>
      <c r="BS422" s="45"/>
      <c r="BT422" s="45"/>
      <c r="BU422" s="45"/>
      <c r="BV422" s="45"/>
      <c r="BW422" s="45"/>
      <c r="BX422" s="45"/>
      <c r="BY422" s="45"/>
      <c r="BZ422" s="45"/>
      <c r="CA422" s="45"/>
      <c r="CB422" s="45"/>
      <c r="CC422" s="45"/>
      <c r="CD422" s="463"/>
      <c r="CE422">
        <v>0</v>
      </c>
      <c r="CF422">
        <v>0</v>
      </c>
      <c r="CG422">
        <v>0</v>
      </c>
      <c r="CH422">
        <v>0</v>
      </c>
      <c r="CI422">
        <v>0</v>
      </c>
      <c r="CJ422">
        <v>0</v>
      </c>
      <c r="CK422">
        <v>0</v>
      </c>
      <c r="CL422">
        <v>0</v>
      </c>
      <c r="CM422">
        <v>0</v>
      </c>
      <c r="CN422">
        <v>0</v>
      </c>
      <c r="CO422">
        <v>0</v>
      </c>
      <c r="CP422">
        <v>0</v>
      </c>
      <c r="CQ422">
        <v>0</v>
      </c>
      <c r="CR422">
        <v>0</v>
      </c>
      <c r="CS422">
        <v>0</v>
      </c>
      <c r="CT422">
        <v>0</v>
      </c>
      <c r="CU422">
        <v>0</v>
      </c>
      <c r="CV422">
        <v>0</v>
      </c>
      <c r="CW422">
        <v>0</v>
      </c>
      <c r="CX422">
        <v>0</v>
      </c>
      <c r="CY422">
        <v>0</v>
      </c>
      <c r="CZ422">
        <v>0</v>
      </c>
      <c r="DA422">
        <v>0</v>
      </c>
      <c r="DB422">
        <v>0</v>
      </c>
      <c r="DC422">
        <v>0</v>
      </c>
      <c r="DD422">
        <v>0</v>
      </c>
      <c r="DE422">
        <v>0</v>
      </c>
      <c r="DF422">
        <v>0</v>
      </c>
      <c r="DG422">
        <v>0</v>
      </c>
      <c r="DH422">
        <v>0</v>
      </c>
      <c r="DI422">
        <v>0</v>
      </c>
      <c r="DJ422">
        <v>0</v>
      </c>
      <c r="DK422">
        <v>0</v>
      </c>
      <c r="DL422">
        <v>0</v>
      </c>
      <c r="DM422">
        <v>0</v>
      </c>
      <c r="DN422">
        <v>0</v>
      </c>
      <c r="DO422">
        <v>0</v>
      </c>
      <c r="DP422">
        <v>0</v>
      </c>
      <c r="DQ422">
        <v>0</v>
      </c>
      <c r="DR422">
        <v>0</v>
      </c>
      <c r="DS422">
        <v>0</v>
      </c>
      <c r="DT422">
        <v>0</v>
      </c>
      <c r="DU422">
        <v>0</v>
      </c>
    </row>
    <row r="423" spans="2:125">
      <c r="B423" s="136">
        <v>414</v>
      </c>
      <c r="C423" s="138">
        <v>1</v>
      </c>
      <c r="D423" s="474">
        <v>3290.1685978390969</v>
      </c>
      <c r="E423" s="127">
        <v>206.55641747123386</v>
      </c>
      <c r="F423" s="447">
        <v>0.4042133510088679</v>
      </c>
      <c r="G423" s="127">
        <v>131.01256213870113</v>
      </c>
      <c r="H423" s="132">
        <v>50.480729995970968</v>
      </c>
      <c r="I423" s="456"/>
      <c r="J423" s="45"/>
      <c r="K423" s="45">
        <v>510</v>
      </c>
      <c r="L423" s="463"/>
      <c r="M423" s="456">
        <v>34.340980529785156</v>
      </c>
      <c r="N423" s="457"/>
      <c r="O423" s="456"/>
      <c r="P423" s="46"/>
      <c r="Q423" s="463">
        <v>65.145339965820313</v>
      </c>
      <c r="R423" s="449"/>
      <c r="S423" s="463"/>
      <c r="T423" s="480"/>
      <c r="U423" s="468"/>
      <c r="V423" s="449"/>
      <c r="W423" s="45">
        <v>1505.0255126953125</v>
      </c>
      <c r="X423" s="463">
        <v>126.66226959228516</v>
      </c>
      <c r="Y423" s="449"/>
      <c r="Z423" s="45"/>
      <c r="AA423" s="468">
        <v>0.39415785809525056</v>
      </c>
      <c r="AB423" s="456"/>
      <c r="AC423" s="46"/>
      <c r="AD423" s="46"/>
      <c r="AE423" s="46"/>
      <c r="AF423" s="46"/>
      <c r="AG423" s="46"/>
      <c r="AH423" s="46"/>
      <c r="AI423" s="457"/>
      <c r="AJ423" s="138"/>
      <c r="AK423" s="745"/>
      <c r="AL423" s="54"/>
      <c r="AM423" s="468"/>
      <c r="AN423" s="449"/>
      <c r="AO423" s="45"/>
      <c r="AP423" s="45"/>
      <c r="AQ423" s="45"/>
      <c r="AR423" s="45"/>
      <c r="AS423" s="45"/>
      <c r="AT423" s="45"/>
      <c r="AU423" s="463"/>
      <c r="AV423" s="449"/>
      <c r="AW423" s="45"/>
      <c r="AX423" s="45"/>
      <c r="AY423" s="45"/>
      <c r="AZ423" s="45"/>
      <c r="BA423" s="45"/>
      <c r="BB423" s="45"/>
      <c r="BC423" s="463"/>
      <c r="BD423" s="456"/>
      <c r="BE423" s="46"/>
      <c r="BF423" s="46"/>
      <c r="BG423" s="46"/>
      <c r="BH423" s="46"/>
      <c r="BI423" s="46"/>
      <c r="BJ423" s="457"/>
      <c r="BK423" s="449">
        <v>0</v>
      </c>
      <c r="BL423" s="45"/>
      <c r="BM423" s="45"/>
      <c r="BN423" s="45"/>
      <c r="BO423" s="45"/>
      <c r="BP423" s="45"/>
      <c r="BQ423" s="45"/>
      <c r="BR423" s="45"/>
      <c r="BS423" s="45"/>
      <c r="BT423" s="45"/>
      <c r="BU423" s="45"/>
      <c r="BV423" s="45"/>
      <c r="BW423" s="45"/>
      <c r="BX423" s="45"/>
      <c r="BY423" s="45"/>
      <c r="BZ423" s="45"/>
      <c r="CA423" s="45"/>
      <c r="CB423" s="45"/>
      <c r="CC423" s="45"/>
      <c r="CD423" s="463"/>
      <c r="CE423">
        <v>0</v>
      </c>
      <c r="CF423">
        <v>0</v>
      </c>
      <c r="CG423">
        <v>0</v>
      </c>
      <c r="CH423">
        <v>0</v>
      </c>
      <c r="CI423">
        <v>0</v>
      </c>
      <c r="CJ423">
        <v>0</v>
      </c>
      <c r="CK423">
        <v>0</v>
      </c>
      <c r="CL423">
        <v>0</v>
      </c>
      <c r="CM423">
        <v>0</v>
      </c>
      <c r="CN423">
        <v>0</v>
      </c>
      <c r="CO423">
        <v>0</v>
      </c>
      <c r="CP423">
        <v>0</v>
      </c>
      <c r="CQ423">
        <v>0</v>
      </c>
      <c r="CR423">
        <v>0</v>
      </c>
      <c r="CS423">
        <v>0</v>
      </c>
      <c r="CT423">
        <v>0</v>
      </c>
      <c r="CU423">
        <v>0</v>
      </c>
      <c r="CV423">
        <v>0</v>
      </c>
      <c r="CW423">
        <v>0</v>
      </c>
      <c r="CX423">
        <v>0</v>
      </c>
      <c r="CY423">
        <v>0</v>
      </c>
      <c r="CZ423">
        <v>0</v>
      </c>
      <c r="DA423">
        <v>0</v>
      </c>
      <c r="DB423">
        <v>0</v>
      </c>
      <c r="DC423">
        <v>0</v>
      </c>
      <c r="DD423">
        <v>0</v>
      </c>
      <c r="DE423">
        <v>0</v>
      </c>
      <c r="DF423">
        <v>0</v>
      </c>
      <c r="DG423">
        <v>0</v>
      </c>
      <c r="DH423">
        <v>0</v>
      </c>
      <c r="DI423">
        <v>0</v>
      </c>
      <c r="DJ423">
        <v>0</v>
      </c>
      <c r="DK423">
        <v>0</v>
      </c>
      <c r="DL423">
        <v>0</v>
      </c>
      <c r="DM423">
        <v>0</v>
      </c>
      <c r="DN423">
        <v>0</v>
      </c>
      <c r="DO423">
        <v>0</v>
      </c>
      <c r="DP423">
        <v>0</v>
      </c>
      <c r="DQ423">
        <v>0</v>
      </c>
      <c r="DR423">
        <v>0</v>
      </c>
      <c r="DS423">
        <v>0</v>
      </c>
      <c r="DT423">
        <v>0</v>
      </c>
      <c r="DU423">
        <v>0</v>
      </c>
    </row>
    <row r="424" spans="2:125">
      <c r="B424" s="136">
        <v>415</v>
      </c>
      <c r="C424" s="138">
        <v>1</v>
      </c>
      <c r="D424" s="474">
        <v>3177.7890684573863</v>
      </c>
      <c r="E424" s="127">
        <v>204.28266266520632</v>
      </c>
      <c r="F424" s="447">
        <v>0.40458476142668692</v>
      </c>
      <c r="G424" s="127">
        <v>99.782063163378766</v>
      </c>
      <c r="H424" s="132">
        <v>57.061208885333578</v>
      </c>
      <c r="I424" s="456"/>
      <c r="J424" s="45"/>
      <c r="K424" s="45">
        <v>430</v>
      </c>
      <c r="L424" s="463"/>
      <c r="M424" s="456">
        <v>30.264400482177734</v>
      </c>
      <c r="N424" s="457"/>
      <c r="O424" s="456"/>
      <c r="P424" s="46"/>
      <c r="Q424" s="463">
        <v>62.920230865478516</v>
      </c>
      <c r="R424" s="449"/>
      <c r="S424" s="463"/>
      <c r="T424" s="480"/>
      <c r="U424" s="468"/>
      <c r="V424" s="449"/>
      <c r="W424" s="45">
        <v>1291.0789794921875</v>
      </c>
      <c r="X424" s="463">
        <v>110.77229309082031</v>
      </c>
      <c r="Y424" s="449"/>
      <c r="Z424" s="45"/>
      <c r="AA424" s="468">
        <v>0.39417132789926984</v>
      </c>
      <c r="AB424" s="456"/>
      <c r="AC424" s="46"/>
      <c r="AD424" s="46"/>
      <c r="AE424" s="46"/>
      <c r="AF424" s="46"/>
      <c r="AG424" s="46"/>
      <c r="AH424" s="46"/>
      <c r="AI424" s="457"/>
      <c r="AJ424" s="138"/>
      <c r="AK424" s="745"/>
      <c r="AL424" s="54"/>
      <c r="AM424" s="468"/>
      <c r="AN424" s="449"/>
      <c r="AO424" s="45"/>
      <c r="AP424" s="45"/>
      <c r="AQ424" s="45"/>
      <c r="AR424" s="45"/>
      <c r="AS424" s="45"/>
      <c r="AT424" s="45"/>
      <c r="AU424" s="463"/>
      <c r="AV424" s="449"/>
      <c r="AW424" s="45"/>
      <c r="AX424" s="45"/>
      <c r="AY424" s="45"/>
      <c r="AZ424" s="45"/>
      <c r="BA424" s="45"/>
      <c r="BB424" s="45"/>
      <c r="BC424" s="463"/>
      <c r="BD424" s="456"/>
      <c r="BE424" s="46"/>
      <c r="BF424" s="46"/>
      <c r="BG424" s="46"/>
      <c r="BH424" s="46"/>
      <c r="BI424" s="46"/>
      <c r="BJ424" s="457"/>
      <c r="BK424" s="449">
        <v>0</v>
      </c>
      <c r="BL424" s="45"/>
      <c r="BM424" s="45"/>
      <c r="BN424" s="45"/>
      <c r="BO424" s="45"/>
      <c r="BP424" s="45"/>
      <c r="BQ424" s="45"/>
      <c r="BR424" s="45"/>
      <c r="BS424" s="45"/>
      <c r="BT424" s="45"/>
      <c r="BU424" s="45"/>
      <c r="BV424" s="45"/>
      <c r="BW424" s="45"/>
      <c r="BX424" s="45"/>
      <c r="BY424" s="45"/>
      <c r="BZ424" s="45"/>
      <c r="CA424" s="45"/>
      <c r="CB424" s="45"/>
      <c r="CC424" s="45"/>
      <c r="CD424" s="463"/>
      <c r="CE424">
        <v>0</v>
      </c>
      <c r="CF424">
        <v>0</v>
      </c>
      <c r="CG424">
        <v>0</v>
      </c>
      <c r="CH424">
        <v>0</v>
      </c>
      <c r="CI424">
        <v>0</v>
      </c>
      <c r="CJ424">
        <v>0</v>
      </c>
      <c r="CK424">
        <v>0</v>
      </c>
      <c r="CL424">
        <v>0</v>
      </c>
      <c r="CM424">
        <v>0</v>
      </c>
      <c r="CN424">
        <v>0</v>
      </c>
      <c r="CO424">
        <v>0</v>
      </c>
      <c r="CP424">
        <v>0</v>
      </c>
      <c r="CQ424">
        <v>0</v>
      </c>
      <c r="CR424">
        <v>0</v>
      </c>
      <c r="CS424">
        <v>0</v>
      </c>
      <c r="CT424">
        <v>0</v>
      </c>
      <c r="CU424">
        <v>0</v>
      </c>
      <c r="CV424">
        <v>0</v>
      </c>
      <c r="CW424">
        <v>0</v>
      </c>
      <c r="CX424">
        <v>0</v>
      </c>
      <c r="CY424">
        <v>0</v>
      </c>
      <c r="CZ424">
        <v>0</v>
      </c>
      <c r="DA424">
        <v>0</v>
      </c>
      <c r="DB424">
        <v>0</v>
      </c>
      <c r="DC424">
        <v>0</v>
      </c>
      <c r="DD424">
        <v>0</v>
      </c>
      <c r="DE424">
        <v>0</v>
      </c>
      <c r="DF424">
        <v>0</v>
      </c>
      <c r="DG424">
        <v>0</v>
      </c>
      <c r="DH424">
        <v>0</v>
      </c>
      <c r="DI424">
        <v>0</v>
      </c>
      <c r="DJ424">
        <v>0</v>
      </c>
      <c r="DK424">
        <v>0</v>
      </c>
      <c r="DL424">
        <v>0</v>
      </c>
      <c r="DM424">
        <v>0</v>
      </c>
      <c r="DN424">
        <v>0</v>
      </c>
      <c r="DO424">
        <v>0</v>
      </c>
      <c r="DP424">
        <v>0</v>
      </c>
      <c r="DQ424">
        <v>0</v>
      </c>
      <c r="DR424">
        <v>0</v>
      </c>
      <c r="DS424">
        <v>0</v>
      </c>
      <c r="DT424">
        <v>0</v>
      </c>
      <c r="DU424">
        <v>0</v>
      </c>
    </row>
    <row r="425" spans="2:125">
      <c r="B425" s="136">
        <v>416</v>
      </c>
      <c r="C425" s="138">
        <v>1</v>
      </c>
      <c r="D425" s="474">
        <v>3172.1567620067963</v>
      </c>
      <c r="E425" s="127">
        <v>227.49655452897414</v>
      </c>
      <c r="F425" s="447">
        <v>0.4261447941133556</v>
      </c>
      <c r="G425" s="127">
        <v>108.89575881546642</v>
      </c>
      <c r="H425" s="132">
        <v>54.594371767802286</v>
      </c>
      <c r="I425" s="456"/>
      <c r="J425" s="45"/>
      <c r="K425" s="45">
        <v>450</v>
      </c>
      <c r="L425" s="463"/>
      <c r="M425" s="456">
        <v>34.463909149169922</v>
      </c>
      <c r="N425" s="457"/>
      <c r="O425" s="456"/>
      <c r="P425" s="46"/>
      <c r="Q425" s="463">
        <v>62.808704376220703</v>
      </c>
      <c r="R425" s="449"/>
      <c r="S425" s="463"/>
      <c r="T425" s="480"/>
      <c r="U425" s="468"/>
      <c r="V425" s="449"/>
      <c r="W425" s="45">
        <v>1459.07421875</v>
      </c>
      <c r="X425" s="463">
        <v>123.09145355224609</v>
      </c>
      <c r="Y425" s="449"/>
      <c r="Z425" s="45"/>
      <c r="AA425" s="468">
        <v>0.41557693810958757</v>
      </c>
      <c r="AB425" s="456"/>
      <c r="AC425" s="46"/>
      <c r="AD425" s="46"/>
      <c r="AE425" s="46"/>
      <c r="AF425" s="46"/>
      <c r="AG425" s="46"/>
      <c r="AH425" s="46"/>
      <c r="AI425" s="457"/>
      <c r="AJ425" s="138"/>
      <c r="AK425" s="745"/>
      <c r="AL425" s="54"/>
      <c r="AM425" s="468"/>
      <c r="AN425" s="449"/>
      <c r="AO425" s="45"/>
      <c r="AP425" s="45"/>
      <c r="AQ425" s="45"/>
      <c r="AR425" s="45"/>
      <c r="AS425" s="45"/>
      <c r="AT425" s="45"/>
      <c r="AU425" s="463"/>
      <c r="AV425" s="449"/>
      <c r="AW425" s="45"/>
      <c r="AX425" s="45"/>
      <c r="AY425" s="45"/>
      <c r="AZ425" s="45"/>
      <c r="BA425" s="45"/>
      <c r="BB425" s="45"/>
      <c r="BC425" s="463"/>
      <c r="BD425" s="456"/>
      <c r="BE425" s="46"/>
      <c r="BF425" s="46"/>
      <c r="BG425" s="46"/>
      <c r="BH425" s="46"/>
      <c r="BI425" s="46"/>
      <c r="BJ425" s="457"/>
      <c r="BK425" s="449">
        <v>0</v>
      </c>
      <c r="BL425" s="45"/>
      <c r="BM425" s="45"/>
      <c r="BN425" s="45"/>
      <c r="BO425" s="45"/>
      <c r="BP425" s="45"/>
      <c r="BQ425" s="45"/>
      <c r="BR425" s="45"/>
      <c r="BS425" s="45"/>
      <c r="BT425" s="45"/>
      <c r="BU425" s="45"/>
      <c r="BV425" s="45"/>
      <c r="BW425" s="45"/>
      <c r="BX425" s="45"/>
      <c r="BY425" s="45"/>
      <c r="BZ425" s="45"/>
      <c r="CA425" s="45"/>
      <c r="CB425" s="45"/>
      <c r="CC425" s="45"/>
      <c r="CD425" s="463"/>
      <c r="CE425">
        <v>0</v>
      </c>
      <c r="CF425">
        <v>0</v>
      </c>
      <c r="CG425">
        <v>0</v>
      </c>
      <c r="CH425">
        <v>0</v>
      </c>
      <c r="CI425">
        <v>0</v>
      </c>
      <c r="CJ425">
        <v>0</v>
      </c>
      <c r="CK425">
        <v>0</v>
      </c>
      <c r="CL425">
        <v>0</v>
      </c>
      <c r="CM425">
        <v>0</v>
      </c>
      <c r="CN425">
        <v>0</v>
      </c>
      <c r="CO425">
        <v>0</v>
      </c>
      <c r="CP425">
        <v>0</v>
      </c>
      <c r="CQ425">
        <v>0</v>
      </c>
      <c r="CR425">
        <v>0</v>
      </c>
      <c r="CS425">
        <v>0</v>
      </c>
      <c r="CT425">
        <v>0</v>
      </c>
      <c r="CU425">
        <v>0</v>
      </c>
      <c r="CV425">
        <v>0</v>
      </c>
      <c r="CW425">
        <v>0</v>
      </c>
      <c r="CX425">
        <v>0</v>
      </c>
      <c r="CY425">
        <v>0</v>
      </c>
      <c r="CZ425">
        <v>0</v>
      </c>
      <c r="DA425">
        <v>0</v>
      </c>
      <c r="DB425">
        <v>0</v>
      </c>
      <c r="DC425">
        <v>0</v>
      </c>
      <c r="DD425">
        <v>0</v>
      </c>
      <c r="DE425">
        <v>0</v>
      </c>
      <c r="DF425">
        <v>0</v>
      </c>
      <c r="DG425">
        <v>0</v>
      </c>
      <c r="DH425">
        <v>0</v>
      </c>
      <c r="DI425">
        <v>0</v>
      </c>
      <c r="DJ425">
        <v>0</v>
      </c>
      <c r="DK425">
        <v>0</v>
      </c>
      <c r="DL425">
        <v>0</v>
      </c>
      <c r="DM425">
        <v>0</v>
      </c>
      <c r="DN425">
        <v>0</v>
      </c>
      <c r="DO425">
        <v>0</v>
      </c>
      <c r="DP425">
        <v>0</v>
      </c>
      <c r="DQ425">
        <v>0</v>
      </c>
      <c r="DR425">
        <v>0</v>
      </c>
      <c r="DS425">
        <v>0</v>
      </c>
      <c r="DT425">
        <v>0</v>
      </c>
      <c r="DU425">
        <v>0</v>
      </c>
    </row>
    <row r="426" spans="2:125">
      <c r="B426" s="136">
        <v>417</v>
      </c>
      <c r="C426" s="138">
        <v>1</v>
      </c>
      <c r="D426" s="474">
        <v>3458.6809110886134</v>
      </c>
      <c r="E426" s="127">
        <v>166.16789760250296</v>
      </c>
      <c r="F426" s="447">
        <v>0.40332313346514054</v>
      </c>
      <c r="G426" s="127">
        <v>128.16799265260804</v>
      </c>
      <c r="H426" s="132">
        <v>54.689996796514194</v>
      </c>
      <c r="I426" s="456"/>
      <c r="J426" s="45"/>
      <c r="K426" s="45">
        <v>510</v>
      </c>
      <c r="L426" s="463"/>
      <c r="M426" s="456">
        <v>33.345905303955078</v>
      </c>
      <c r="N426" s="457"/>
      <c r="O426" s="456"/>
      <c r="P426" s="46"/>
      <c r="Q426" s="463">
        <v>68.481887817382813</v>
      </c>
      <c r="R426" s="449"/>
      <c r="S426" s="463"/>
      <c r="T426" s="480"/>
      <c r="U426" s="468"/>
      <c r="V426" s="449"/>
      <c r="W426" s="45">
        <v>1507.1009521484375</v>
      </c>
      <c r="X426" s="463">
        <v>126.83126831054687</v>
      </c>
      <c r="Y426" s="449"/>
      <c r="Z426" s="45"/>
      <c r="AA426" s="468">
        <v>0.39376270753417625</v>
      </c>
      <c r="AB426" s="456"/>
      <c r="AC426" s="46"/>
      <c r="AD426" s="46"/>
      <c r="AE426" s="46"/>
      <c r="AF426" s="46"/>
      <c r="AG426" s="46"/>
      <c r="AH426" s="46"/>
      <c r="AI426" s="457"/>
      <c r="AJ426" s="138"/>
      <c r="AK426" s="745"/>
      <c r="AL426" s="54"/>
      <c r="AM426" s="468"/>
      <c r="AN426" s="449"/>
      <c r="AO426" s="45"/>
      <c r="AP426" s="45"/>
      <c r="AQ426" s="45"/>
      <c r="AR426" s="45"/>
      <c r="AS426" s="45"/>
      <c r="AT426" s="45"/>
      <c r="AU426" s="463"/>
      <c r="AV426" s="449"/>
      <c r="AW426" s="45"/>
      <c r="AX426" s="45"/>
      <c r="AY426" s="45"/>
      <c r="AZ426" s="45"/>
      <c r="BA426" s="45"/>
      <c r="BB426" s="45"/>
      <c r="BC426" s="463"/>
      <c r="BD426" s="456"/>
      <c r="BE426" s="46"/>
      <c r="BF426" s="46"/>
      <c r="BG426" s="46"/>
      <c r="BH426" s="46"/>
      <c r="BI426" s="46"/>
      <c r="BJ426" s="457"/>
      <c r="BK426" s="449">
        <v>0</v>
      </c>
      <c r="BL426" s="45"/>
      <c r="BM426" s="45"/>
      <c r="BN426" s="45"/>
      <c r="BO426" s="45"/>
      <c r="BP426" s="45"/>
      <c r="BQ426" s="45"/>
      <c r="BR426" s="45"/>
      <c r="BS426" s="45"/>
      <c r="BT426" s="45"/>
      <c r="BU426" s="45"/>
      <c r="BV426" s="45"/>
      <c r="BW426" s="45"/>
      <c r="BX426" s="45"/>
      <c r="BY426" s="45"/>
      <c r="BZ426" s="45"/>
      <c r="CA426" s="45"/>
      <c r="CB426" s="45"/>
      <c r="CC426" s="45"/>
      <c r="CD426" s="463"/>
      <c r="CE426">
        <v>0</v>
      </c>
      <c r="CF426">
        <v>0</v>
      </c>
      <c r="CG426">
        <v>0</v>
      </c>
      <c r="CH426">
        <v>0</v>
      </c>
      <c r="CI426">
        <v>0</v>
      </c>
      <c r="CJ426">
        <v>0</v>
      </c>
      <c r="CK426">
        <v>0</v>
      </c>
      <c r="CL426">
        <v>0</v>
      </c>
      <c r="CM426">
        <v>0</v>
      </c>
      <c r="CN426">
        <v>0</v>
      </c>
      <c r="CO426">
        <v>0</v>
      </c>
      <c r="CP426">
        <v>0</v>
      </c>
      <c r="CQ426">
        <v>0</v>
      </c>
      <c r="CR426">
        <v>0</v>
      </c>
      <c r="CS426">
        <v>0</v>
      </c>
      <c r="CT426">
        <v>0</v>
      </c>
      <c r="CU426">
        <v>0</v>
      </c>
      <c r="CV426">
        <v>0</v>
      </c>
      <c r="CW426">
        <v>0</v>
      </c>
      <c r="CX426">
        <v>0</v>
      </c>
      <c r="CY426">
        <v>0</v>
      </c>
      <c r="CZ426">
        <v>0</v>
      </c>
      <c r="DA426">
        <v>0</v>
      </c>
      <c r="DB426">
        <v>0</v>
      </c>
      <c r="DC426">
        <v>0</v>
      </c>
      <c r="DD426">
        <v>0</v>
      </c>
      <c r="DE426">
        <v>0</v>
      </c>
      <c r="DF426">
        <v>0</v>
      </c>
      <c r="DG426">
        <v>0</v>
      </c>
      <c r="DH426">
        <v>0</v>
      </c>
      <c r="DI426">
        <v>0</v>
      </c>
      <c r="DJ426">
        <v>0</v>
      </c>
      <c r="DK426">
        <v>0</v>
      </c>
      <c r="DL426">
        <v>0</v>
      </c>
      <c r="DM426">
        <v>0</v>
      </c>
      <c r="DN426">
        <v>0</v>
      </c>
      <c r="DO426">
        <v>0</v>
      </c>
      <c r="DP426">
        <v>0</v>
      </c>
      <c r="DQ426">
        <v>0</v>
      </c>
      <c r="DR426">
        <v>0</v>
      </c>
      <c r="DS426">
        <v>0</v>
      </c>
      <c r="DT426">
        <v>0</v>
      </c>
      <c r="DU426">
        <v>0</v>
      </c>
    </row>
    <row r="427" spans="2:125">
      <c r="B427" s="136">
        <v>418</v>
      </c>
      <c r="C427" s="138">
        <v>1</v>
      </c>
      <c r="D427" s="474">
        <v>4012.2568855818527</v>
      </c>
      <c r="E427" s="127">
        <v>248.69271655404657</v>
      </c>
      <c r="F427" s="447">
        <v>0.42889474710606507</v>
      </c>
      <c r="G427" s="127">
        <v>135.32201534128109</v>
      </c>
      <c r="H427" s="132">
        <v>61.996069664428553</v>
      </c>
      <c r="I427" s="456"/>
      <c r="J427" s="45"/>
      <c r="K427" s="45">
        <v>560</v>
      </c>
      <c r="L427" s="463"/>
      <c r="M427" s="456">
        <v>36.583820343017578</v>
      </c>
      <c r="N427" s="457"/>
      <c r="O427" s="456"/>
      <c r="P427" s="46"/>
      <c r="Q427" s="463">
        <v>79.44268798828125</v>
      </c>
      <c r="R427" s="449"/>
      <c r="S427" s="463"/>
      <c r="T427" s="480"/>
      <c r="U427" s="468"/>
      <c r="V427" s="449"/>
      <c r="W427" s="45">
        <v>1789.8673095703125</v>
      </c>
      <c r="X427" s="463">
        <v>147.61940002441406</v>
      </c>
      <c r="Y427" s="449"/>
      <c r="Z427" s="45"/>
      <c r="AA427" s="468">
        <v>0.42052591731782685</v>
      </c>
      <c r="AB427" s="456"/>
      <c r="AC427" s="46"/>
      <c r="AD427" s="46"/>
      <c r="AE427" s="46"/>
      <c r="AF427" s="46"/>
      <c r="AG427" s="46"/>
      <c r="AH427" s="46"/>
      <c r="AI427" s="457"/>
      <c r="AJ427" s="138"/>
      <c r="AK427" s="745"/>
      <c r="AL427" s="54"/>
      <c r="AM427" s="468"/>
      <c r="AN427" s="449"/>
      <c r="AO427" s="45"/>
      <c r="AP427" s="45"/>
      <c r="AQ427" s="45"/>
      <c r="AR427" s="45"/>
      <c r="AS427" s="45"/>
      <c r="AT427" s="45"/>
      <c r="AU427" s="463"/>
      <c r="AV427" s="449"/>
      <c r="AW427" s="45"/>
      <c r="AX427" s="45"/>
      <c r="AY427" s="45"/>
      <c r="AZ427" s="45"/>
      <c r="BA427" s="45"/>
      <c r="BB427" s="45"/>
      <c r="BC427" s="463"/>
      <c r="BD427" s="456"/>
      <c r="BE427" s="46"/>
      <c r="BF427" s="46"/>
      <c r="BG427" s="46"/>
      <c r="BH427" s="46"/>
      <c r="BI427" s="46"/>
      <c r="BJ427" s="457"/>
      <c r="BK427" s="449">
        <v>0</v>
      </c>
      <c r="BL427" s="45"/>
      <c r="BM427" s="45"/>
      <c r="BN427" s="45"/>
      <c r="BO427" s="45"/>
      <c r="BP427" s="45"/>
      <c r="BQ427" s="45"/>
      <c r="BR427" s="45"/>
      <c r="BS427" s="45"/>
      <c r="BT427" s="45"/>
      <c r="BU427" s="45"/>
      <c r="BV427" s="45"/>
      <c r="BW427" s="45"/>
      <c r="BX427" s="45"/>
      <c r="BY427" s="45"/>
      <c r="BZ427" s="45"/>
      <c r="CA427" s="45"/>
      <c r="CB427" s="45"/>
      <c r="CC427" s="45"/>
      <c r="CD427" s="463"/>
      <c r="CE427">
        <v>0</v>
      </c>
      <c r="CF427">
        <v>0</v>
      </c>
      <c r="CG427">
        <v>0</v>
      </c>
      <c r="CH427">
        <v>0</v>
      </c>
      <c r="CI427">
        <v>0</v>
      </c>
      <c r="CJ427">
        <v>0</v>
      </c>
      <c r="CK427">
        <v>0</v>
      </c>
      <c r="CL427">
        <v>0</v>
      </c>
      <c r="CM427">
        <v>0</v>
      </c>
      <c r="CN427">
        <v>0</v>
      </c>
      <c r="CO427">
        <v>0</v>
      </c>
      <c r="CP427">
        <v>0</v>
      </c>
      <c r="CQ427">
        <v>0</v>
      </c>
      <c r="CR427">
        <v>0</v>
      </c>
      <c r="CS427">
        <v>0</v>
      </c>
      <c r="CT427">
        <v>0</v>
      </c>
      <c r="CU427">
        <v>0</v>
      </c>
      <c r="CV427">
        <v>0</v>
      </c>
      <c r="CW427">
        <v>0</v>
      </c>
      <c r="CX427">
        <v>0</v>
      </c>
      <c r="CY427">
        <v>0</v>
      </c>
      <c r="CZ427">
        <v>0</v>
      </c>
      <c r="DA427">
        <v>0</v>
      </c>
      <c r="DB427">
        <v>0</v>
      </c>
      <c r="DC427">
        <v>0</v>
      </c>
      <c r="DD427">
        <v>0</v>
      </c>
      <c r="DE427">
        <v>0</v>
      </c>
      <c r="DF427">
        <v>0</v>
      </c>
      <c r="DG427">
        <v>0</v>
      </c>
      <c r="DH427">
        <v>0</v>
      </c>
      <c r="DI427">
        <v>0</v>
      </c>
      <c r="DJ427">
        <v>0</v>
      </c>
      <c r="DK427">
        <v>0</v>
      </c>
      <c r="DL427">
        <v>0</v>
      </c>
      <c r="DM427">
        <v>0</v>
      </c>
      <c r="DN427">
        <v>0</v>
      </c>
      <c r="DO427">
        <v>0</v>
      </c>
      <c r="DP427">
        <v>0</v>
      </c>
      <c r="DQ427">
        <v>0</v>
      </c>
      <c r="DR427">
        <v>0</v>
      </c>
      <c r="DS427">
        <v>0</v>
      </c>
      <c r="DT427">
        <v>0</v>
      </c>
      <c r="DU427">
        <v>0</v>
      </c>
    </row>
    <row r="428" spans="2:125">
      <c r="B428" s="136">
        <v>419</v>
      </c>
      <c r="C428" s="138">
        <v>1</v>
      </c>
      <c r="D428" s="474">
        <v>4178.5334791891737</v>
      </c>
      <c r="E428" s="127">
        <v>270.25591958618963</v>
      </c>
      <c r="F428" s="447">
        <v>0.41971054100182698</v>
      </c>
      <c r="G428" s="127">
        <v>160.25118521189751</v>
      </c>
      <c r="H428" s="132">
        <v>59.00203274861093</v>
      </c>
      <c r="I428" s="456"/>
      <c r="J428" s="45"/>
      <c r="K428" s="45">
        <v>630</v>
      </c>
      <c r="L428" s="463"/>
      <c r="M428" s="456">
        <v>37.974788665771484</v>
      </c>
      <c r="N428" s="457"/>
      <c r="O428" s="456"/>
      <c r="P428" s="46"/>
      <c r="Q428" s="463">
        <v>82.734970092773437</v>
      </c>
      <c r="R428" s="449"/>
      <c r="S428" s="463"/>
      <c r="T428" s="480"/>
      <c r="U428" s="468"/>
      <c r="V428" s="449"/>
      <c r="W428" s="45">
        <v>1917.493408203125</v>
      </c>
      <c r="X428" s="463">
        <v>157.16908264160156</v>
      </c>
      <c r="Y428" s="449"/>
      <c r="Z428" s="45"/>
      <c r="AA428" s="468">
        <v>0.41171869147223639</v>
      </c>
      <c r="AB428" s="456"/>
      <c r="AC428" s="46"/>
      <c r="AD428" s="46"/>
      <c r="AE428" s="46"/>
      <c r="AF428" s="46"/>
      <c r="AG428" s="46"/>
      <c r="AH428" s="46"/>
      <c r="AI428" s="457"/>
      <c r="AJ428" s="138"/>
      <c r="AK428" s="745"/>
      <c r="AL428" s="54"/>
      <c r="AM428" s="468"/>
      <c r="AN428" s="449"/>
      <c r="AO428" s="45"/>
      <c r="AP428" s="45"/>
      <c r="AQ428" s="45"/>
      <c r="AR428" s="45"/>
      <c r="AS428" s="45"/>
      <c r="AT428" s="45"/>
      <c r="AU428" s="463"/>
      <c r="AV428" s="449"/>
      <c r="AW428" s="45"/>
      <c r="AX428" s="45"/>
      <c r="AY428" s="45"/>
      <c r="AZ428" s="45"/>
      <c r="BA428" s="45"/>
      <c r="BB428" s="45"/>
      <c r="BC428" s="463"/>
      <c r="BD428" s="456"/>
      <c r="BE428" s="46"/>
      <c r="BF428" s="46"/>
      <c r="BG428" s="46"/>
      <c r="BH428" s="46"/>
      <c r="BI428" s="46"/>
      <c r="BJ428" s="457"/>
      <c r="BK428" s="449">
        <v>0</v>
      </c>
      <c r="BL428" s="45"/>
      <c r="BM428" s="45"/>
      <c r="BN428" s="45"/>
      <c r="BO428" s="45"/>
      <c r="BP428" s="45"/>
      <c r="BQ428" s="45"/>
      <c r="BR428" s="45"/>
      <c r="BS428" s="45"/>
      <c r="BT428" s="45"/>
      <c r="BU428" s="45"/>
      <c r="BV428" s="45"/>
      <c r="BW428" s="45"/>
      <c r="BX428" s="45"/>
      <c r="BY428" s="45"/>
      <c r="BZ428" s="45"/>
      <c r="CA428" s="45"/>
      <c r="CB428" s="45"/>
      <c r="CC428" s="45"/>
      <c r="CD428" s="463"/>
      <c r="CE428">
        <v>0</v>
      </c>
      <c r="CF428">
        <v>0</v>
      </c>
      <c r="CG428">
        <v>0</v>
      </c>
      <c r="CH428">
        <v>0</v>
      </c>
      <c r="CI428">
        <v>0</v>
      </c>
      <c r="CJ428">
        <v>0</v>
      </c>
      <c r="CK428">
        <v>0</v>
      </c>
      <c r="CL428">
        <v>0</v>
      </c>
      <c r="CM428">
        <v>0</v>
      </c>
      <c r="CN428">
        <v>0</v>
      </c>
      <c r="CO428">
        <v>0</v>
      </c>
      <c r="CP428">
        <v>0</v>
      </c>
      <c r="CQ428">
        <v>0</v>
      </c>
      <c r="CR428">
        <v>0</v>
      </c>
      <c r="CS428">
        <v>0</v>
      </c>
      <c r="CT428">
        <v>0</v>
      </c>
      <c r="CU428">
        <v>0</v>
      </c>
      <c r="CV428">
        <v>0</v>
      </c>
      <c r="CW428">
        <v>0</v>
      </c>
      <c r="CX428">
        <v>0</v>
      </c>
      <c r="CY428">
        <v>0</v>
      </c>
      <c r="CZ428">
        <v>0</v>
      </c>
      <c r="DA428">
        <v>0</v>
      </c>
      <c r="DB428">
        <v>0</v>
      </c>
      <c r="DC428">
        <v>0</v>
      </c>
      <c r="DD428">
        <v>0</v>
      </c>
      <c r="DE428">
        <v>0</v>
      </c>
      <c r="DF428">
        <v>0</v>
      </c>
      <c r="DG428">
        <v>0</v>
      </c>
      <c r="DH428">
        <v>0</v>
      </c>
      <c r="DI428">
        <v>0</v>
      </c>
      <c r="DJ428">
        <v>0</v>
      </c>
      <c r="DK428">
        <v>0</v>
      </c>
      <c r="DL428">
        <v>0</v>
      </c>
      <c r="DM428">
        <v>0</v>
      </c>
      <c r="DN428">
        <v>0</v>
      </c>
      <c r="DO428">
        <v>0</v>
      </c>
      <c r="DP428">
        <v>0</v>
      </c>
      <c r="DQ428">
        <v>0</v>
      </c>
      <c r="DR428">
        <v>0</v>
      </c>
      <c r="DS428">
        <v>0</v>
      </c>
      <c r="DT428">
        <v>0</v>
      </c>
      <c r="DU428">
        <v>0</v>
      </c>
    </row>
    <row r="429" spans="2:125">
      <c r="B429" s="136">
        <v>420</v>
      </c>
      <c r="C429" s="138">
        <v>1</v>
      </c>
      <c r="D429" s="474">
        <v>3368.4593284728398</v>
      </c>
      <c r="E429" s="127">
        <v>262.57052125068543</v>
      </c>
      <c r="F429" s="447">
        <v>0.39554933251633256</v>
      </c>
      <c r="G429" s="127">
        <v>136.89229346645863</v>
      </c>
      <c r="H429" s="132">
        <v>50.315850290321066</v>
      </c>
      <c r="I429" s="456"/>
      <c r="J429" s="45"/>
      <c r="K429" s="45">
        <v>520</v>
      </c>
      <c r="L429" s="463"/>
      <c r="M429" s="456">
        <v>33.554397583007813</v>
      </c>
      <c r="N429" s="457"/>
      <c r="O429" s="456"/>
      <c r="P429" s="46"/>
      <c r="Q429" s="463">
        <v>66.69549560546875</v>
      </c>
      <c r="R429" s="449"/>
      <c r="S429" s="463"/>
      <c r="T429" s="480"/>
      <c r="U429" s="468"/>
      <c r="V429" s="449"/>
      <c r="W429" s="45">
        <v>1498.5</v>
      </c>
      <c r="X429" s="463">
        <v>126.24545288085937</v>
      </c>
      <c r="Y429" s="449"/>
      <c r="Z429" s="45"/>
      <c r="AA429" s="468">
        <v>0.38577899437624069</v>
      </c>
      <c r="AB429" s="456"/>
      <c r="AC429" s="46"/>
      <c r="AD429" s="46"/>
      <c r="AE429" s="46"/>
      <c r="AF429" s="46"/>
      <c r="AG429" s="46"/>
      <c r="AH429" s="46"/>
      <c r="AI429" s="457"/>
      <c r="AJ429" s="138"/>
      <c r="AK429" s="745"/>
      <c r="AL429" s="54"/>
      <c r="AM429" s="468"/>
      <c r="AN429" s="449"/>
      <c r="AO429" s="45"/>
      <c r="AP429" s="45"/>
      <c r="AQ429" s="45"/>
      <c r="AR429" s="45"/>
      <c r="AS429" s="45"/>
      <c r="AT429" s="45"/>
      <c r="AU429" s="463"/>
      <c r="AV429" s="449"/>
      <c r="AW429" s="45"/>
      <c r="AX429" s="45"/>
      <c r="AY429" s="45"/>
      <c r="AZ429" s="45"/>
      <c r="BA429" s="45"/>
      <c r="BB429" s="45"/>
      <c r="BC429" s="463"/>
      <c r="BD429" s="456"/>
      <c r="BE429" s="46"/>
      <c r="BF429" s="46"/>
      <c r="BG429" s="46"/>
      <c r="BH429" s="46"/>
      <c r="BI429" s="46"/>
      <c r="BJ429" s="457"/>
      <c r="BK429" s="449">
        <v>0</v>
      </c>
      <c r="BL429" s="45"/>
      <c r="BM429" s="45"/>
      <c r="BN429" s="45"/>
      <c r="BO429" s="45"/>
      <c r="BP429" s="45"/>
      <c r="BQ429" s="45"/>
      <c r="BR429" s="45"/>
      <c r="BS429" s="45"/>
      <c r="BT429" s="45"/>
      <c r="BU429" s="45"/>
      <c r="BV429" s="45"/>
      <c r="BW429" s="45"/>
      <c r="BX429" s="45"/>
      <c r="BY429" s="45"/>
      <c r="BZ429" s="45"/>
      <c r="CA429" s="45"/>
      <c r="CB429" s="45"/>
      <c r="CC429" s="45"/>
      <c r="CD429" s="463"/>
      <c r="CE429">
        <v>0</v>
      </c>
      <c r="CF429">
        <v>0</v>
      </c>
      <c r="CG429">
        <v>0</v>
      </c>
      <c r="CH429">
        <v>0</v>
      </c>
      <c r="CI429">
        <v>0</v>
      </c>
      <c r="CJ429">
        <v>0</v>
      </c>
      <c r="CK429">
        <v>0</v>
      </c>
      <c r="CL429">
        <v>0</v>
      </c>
      <c r="CM429">
        <v>0</v>
      </c>
      <c r="CN429">
        <v>0</v>
      </c>
      <c r="CO429">
        <v>0</v>
      </c>
      <c r="CP429">
        <v>0</v>
      </c>
      <c r="CQ429">
        <v>0</v>
      </c>
      <c r="CR429">
        <v>0</v>
      </c>
      <c r="CS429">
        <v>0</v>
      </c>
      <c r="CT429">
        <v>0</v>
      </c>
      <c r="CU429">
        <v>0</v>
      </c>
      <c r="CV429">
        <v>0</v>
      </c>
      <c r="CW429">
        <v>0</v>
      </c>
      <c r="CX429">
        <v>0</v>
      </c>
      <c r="CY429">
        <v>0</v>
      </c>
      <c r="CZ429">
        <v>0</v>
      </c>
      <c r="DA429">
        <v>0</v>
      </c>
      <c r="DB429">
        <v>0</v>
      </c>
      <c r="DC429">
        <v>0</v>
      </c>
      <c r="DD429">
        <v>0</v>
      </c>
      <c r="DE429">
        <v>0</v>
      </c>
      <c r="DF429">
        <v>0</v>
      </c>
      <c r="DG429">
        <v>0</v>
      </c>
      <c r="DH429">
        <v>0</v>
      </c>
      <c r="DI429">
        <v>0</v>
      </c>
      <c r="DJ429">
        <v>0</v>
      </c>
      <c r="DK429">
        <v>0</v>
      </c>
      <c r="DL429">
        <v>0</v>
      </c>
      <c r="DM429">
        <v>0</v>
      </c>
      <c r="DN429">
        <v>0</v>
      </c>
      <c r="DO429">
        <v>0</v>
      </c>
      <c r="DP429">
        <v>0</v>
      </c>
      <c r="DQ429">
        <v>0</v>
      </c>
      <c r="DR429">
        <v>0</v>
      </c>
      <c r="DS429">
        <v>0</v>
      </c>
      <c r="DT429">
        <v>0</v>
      </c>
      <c r="DU429">
        <v>0</v>
      </c>
    </row>
    <row r="430" spans="2:125">
      <c r="B430" s="136">
        <v>421</v>
      </c>
      <c r="C430" s="138">
        <v>1</v>
      </c>
      <c r="D430" s="474">
        <v>3424.981925695572</v>
      </c>
      <c r="E430" s="127">
        <v>202.24746058224588</v>
      </c>
      <c r="F430" s="447">
        <v>0.3961846085798913</v>
      </c>
      <c r="G430" s="127">
        <v>112.71157078390655</v>
      </c>
      <c r="H430" s="132">
        <v>58.039194317368477</v>
      </c>
      <c r="I430" s="456"/>
      <c r="J430" s="45"/>
      <c r="K430" s="45">
        <v>470</v>
      </c>
      <c r="L430" s="463"/>
      <c r="M430" s="456">
        <v>30.527172088623047</v>
      </c>
      <c r="N430" s="457"/>
      <c r="O430" s="456"/>
      <c r="P430" s="46"/>
      <c r="Q430" s="463">
        <v>67.814651489257812</v>
      </c>
      <c r="R430" s="449"/>
      <c r="S430" s="463"/>
      <c r="T430" s="480"/>
      <c r="U430" s="468"/>
      <c r="V430" s="449"/>
      <c r="W430" s="45">
        <v>1371.4586181640625</v>
      </c>
      <c r="X430" s="463">
        <v>116.80608367919922</v>
      </c>
      <c r="Y430" s="449"/>
      <c r="Z430" s="45"/>
      <c r="AA430" s="468">
        <v>0.38657180101305683</v>
      </c>
      <c r="AB430" s="456"/>
      <c r="AC430" s="46"/>
      <c r="AD430" s="46"/>
      <c r="AE430" s="46"/>
      <c r="AF430" s="46"/>
      <c r="AG430" s="46"/>
      <c r="AH430" s="46"/>
      <c r="AI430" s="457"/>
      <c r="AJ430" s="138"/>
      <c r="AK430" s="745"/>
      <c r="AL430" s="54"/>
      <c r="AM430" s="468"/>
      <c r="AN430" s="449"/>
      <c r="AO430" s="45"/>
      <c r="AP430" s="45"/>
      <c r="AQ430" s="45"/>
      <c r="AR430" s="45"/>
      <c r="AS430" s="45"/>
      <c r="AT430" s="45"/>
      <c r="AU430" s="463"/>
      <c r="AV430" s="449"/>
      <c r="AW430" s="45"/>
      <c r="AX430" s="45"/>
      <c r="AY430" s="45"/>
      <c r="AZ430" s="45"/>
      <c r="BA430" s="45"/>
      <c r="BB430" s="45"/>
      <c r="BC430" s="463"/>
      <c r="BD430" s="456"/>
      <c r="BE430" s="46"/>
      <c r="BF430" s="46"/>
      <c r="BG430" s="46"/>
      <c r="BH430" s="46"/>
      <c r="BI430" s="46"/>
      <c r="BJ430" s="457"/>
      <c r="BK430" s="449">
        <v>0</v>
      </c>
      <c r="BL430" s="45"/>
      <c r="BM430" s="45"/>
      <c r="BN430" s="45"/>
      <c r="BO430" s="45"/>
      <c r="BP430" s="45"/>
      <c r="BQ430" s="45"/>
      <c r="BR430" s="45"/>
      <c r="BS430" s="45"/>
      <c r="BT430" s="45"/>
      <c r="BU430" s="45"/>
      <c r="BV430" s="45"/>
      <c r="BW430" s="45"/>
      <c r="BX430" s="45"/>
      <c r="BY430" s="45"/>
      <c r="BZ430" s="45"/>
      <c r="CA430" s="45"/>
      <c r="CB430" s="45"/>
      <c r="CC430" s="45"/>
      <c r="CD430" s="463"/>
      <c r="CE430">
        <v>0</v>
      </c>
      <c r="CF430">
        <v>0</v>
      </c>
      <c r="CG430">
        <v>0</v>
      </c>
      <c r="CH430">
        <v>0</v>
      </c>
      <c r="CI430">
        <v>0</v>
      </c>
      <c r="CJ430">
        <v>0</v>
      </c>
      <c r="CK430">
        <v>0</v>
      </c>
      <c r="CL430">
        <v>0</v>
      </c>
      <c r="CM430">
        <v>0</v>
      </c>
      <c r="CN430">
        <v>0</v>
      </c>
      <c r="CO430">
        <v>0</v>
      </c>
      <c r="CP430">
        <v>0</v>
      </c>
      <c r="CQ430">
        <v>0</v>
      </c>
      <c r="CR430">
        <v>0</v>
      </c>
      <c r="CS430">
        <v>0</v>
      </c>
      <c r="CT430">
        <v>0</v>
      </c>
      <c r="CU430">
        <v>0</v>
      </c>
      <c r="CV430">
        <v>0</v>
      </c>
      <c r="CW430">
        <v>0</v>
      </c>
      <c r="CX430">
        <v>0</v>
      </c>
      <c r="CY430">
        <v>0</v>
      </c>
      <c r="CZ430">
        <v>0</v>
      </c>
      <c r="DA430">
        <v>0</v>
      </c>
      <c r="DB430">
        <v>0</v>
      </c>
      <c r="DC430">
        <v>0</v>
      </c>
      <c r="DD430">
        <v>0</v>
      </c>
      <c r="DE430">
        <v>0</v>
      </c>
      <c r="DF430">
        <v>0</v>
      </c>
      <c r="DG430">
        <v>0</v>
      </c>
      <c r="DH430">
        <v>0</v>
      </c>
      <c r="DI430">
        <v>0</v>
      </c>
      <c r="DJ430">
        <v>0</v>
      </c>
      <c r="DK430">
        <v>0</v>
      </c>
      <c r="DL430">
        <v>0</v>
      </c>
      <c r="DM430">
        <v>0</v>
      </c>
      <c r="DN430">
        <v>0</v>
      </c>
      <c r="DO430">
        <v>0</v>
      </c>
      <c r="DP430">
        <v>0</v>
      </c>
      <c r="DQ430">
        <v>0</v>
      </c>
      <c r="DR430">
        <v>0</v>
      </c>
      <c r="DS430">
        <v>0</v>
      </c>
      <c r="DT430">
        <v>0</v>
      </c>
      <c r="DU430">
        <v>0</v>
      </c>
    </row>
    <row r="431" spans="2:125">
      <c r="B431" s="136">
        <v>422</v>
      </c>
      <c r="C431" s="138">
        <v>1</v>
      </c>
      <c r="D431" s="474">
        <v>3874.5597132017879</v>
      </c>
      <c r="E431" s="127">
        <v>155.28363896750915</v>
      </c>
      <c r="F431" s="447">
        <v>0.43899402510489366</v>
      </c>
      <c r="G431" s="127">
        <v>132.75277718832749</v>
      </c>
      <c r="H431" s="132">
        <v>60.515765863756386</v>
      </c>
      <c r="I431" s="456"/>
      <c r="J431" s="45"/>
      <c r="K431" s="45">
        <v>550</v>
      </c>
      <c r="L431" s="463"/>
      <c r="M431" s="456">
        <v>38.243743896484375</v>
      </c>
      <c r="N431" s="457"/>
      <c r="O431" s="456"/>
      <c r="P431" s="46"/>
      <c r="Q431" s="463">
        <v>76.716285705566406</v>
      </c>
      <c r="R431" s="449"/>
      <c r="S431" s="463"/>
      <c r="T431" s="480"/>
      <c r="U431" s="468"/>
      <c r="V431" s="449"/>
      <c r="W431" s="45">
        <v>1824.2630615234375</v>
      </c>
      <c r="X431" s="463">
        <v>150.06930541992187</v>
      </c>
      <c r="Y431" s="449"/>
      <c r="Z431" s="45"/>
      <c r="AA431" s="468">
        <v>0.43027564598506757</v>
      </c>
      <c r="AB431" s="456"/>
      <c r="AC431" s="46"/>
      <c r="AD431" s="46"/>
      <c r="AE431" s="46"/>
      <c r="AF431" s="46"/>
      <c r="AG431" s="46"/>
      <c r="AH431" s="46"/>
      <c r="AI431" s="457"/>
      <c r="AJ431" s="138"/>
      <c r="AK431" s="745"/>
      <c r="AL431" s="54"/>
      <c r="AM431" s="468"/>
      <c r="AN431" s="449"/>
      <c r="AO431" s="45"/>
      <c r="AP431" s="45"/>
      <c r="AQ431" s="45"/>
      <c r="AR431" s="45"/>
      <c r="AS431" s="45"/>
      <c r="AT431" s="45"/>
      <c r="AU431" s="463"/>
      <c r="AV431" s="449"/>
      <c r="AW431" s="45"/>
      <c r="AX431" s="45"/>
      <c r="AY431" s="45"/>
      <c r="AZ431" s="45"/>
      <c r="BA431" s="45"/>
      <c r="BB431" s="45"/>
      <c r="BC431" s="463"/>
      <c r="BD431" s="456"/>
      <c r="BE431" s="46"/>
      <c r="BF431" s="46"/>
      <c r="BG431" s="46"/>
      <c r="BH431" s="46"/>
      <c r="BI431" s="46"/>
      <c r="BJ431" s="457"/>
      <c r="BK431" s="449">
        <v>0</v>
      </c>
      <c r="BL431" s="45"/>
      <c r="BM431" s="45"/>
      <c r="BN431" s="45"/>
      <c r="BO431" s="45"/>
      <c r="BP431" s="45"/>
      <c r="BQ431" s="45"/>
      <c r="BR431" s="45"/>
      <c r="BS431" s="45"/>
      <c r="BT431" s="45"/>
      <c r="BU431" s="45"/>
      <c r="BV431" s="45"/>
      <c r="BW431" s="45"/>
      <c r="BX431" s="45"/>
      <c r="BY431" s="45"/>
      <c r="BZ431" s="45"/>
      <c r="CA431" s="45"/>
      <c r="CB431" s="45"/>
      <c r="CC431" s="45"/>
      <c r="CD431" s="463"/>
      <c r="CE431">
        <v>0</v>
      </c>
      <c r="CF431">
        <v>0</v>
      </c>
      <c r="CG431">
        <v>0</v>
      </c>
      <c r="CH431">
        <v>0</v>
      </c>
      <c r="CI431">
        <v>0</v>
      </c>
      <c r="CJ431">
        <v>0</v>
      </c>
      <c r="CK431">
        <v>0</v>
      </c>
      <c r="CL431">
        <v>0</v>
      </c>
      <c r="CM431">
        <v>0</v>
      </c>
      <c r="CN431">
        <v>0</v>
      </c>
      <c r="CO431">
        <v>0</v>
      </c>
      <c r="CP431">
        <v>0</v>
      </c>
      <c r="CQ431">
        <v>0</v>
      </c>
      <c r="CR431">
        <v>0</v>
      </c>
      <c r="CS431">
        <v>0</v>
      </c>
      <c r="CT431">
        <v>0</v>
      </c>
      <c r="CU431">
        <v>0</v>
      </c>
      <c r="CV431">
        <v>0</v>
      </c>
      <c r="CW431">
        <v>0</v>
      </c>
      <c r="CX431">
        <v>0</v>
      </c>
      <c r="CY431">
        <v>0</v>
      </c>
      <c r="CZ431">
        <v>0</v>
      </c>
      <c r="DA431">
        <v>0</v>
      </c>
      <c r="DB431">
        <v>0</v>
      </c>
      <c r="DC431">
        <v>0</v>
      </c>
      <c r="DD431">
        <v>0</v>
      </c>
      <c r="DE431">
        <v>0</v>
      </c>
      <c r="DF431">
        <v>0</v>
      </c>
      <c r="DG431">
        <v>0</v>
      </c>
      <c r="DH431">
        <v>0</v>
      </c>
      <c r="DI431">
        <v>0</v>
      </c>
      <c r="DJ431">
        <v>0</v>
      </c>
      <c r="DK431">
        <v>0</v>
      </c>
      <c r="DL431">
        <v>0</v>
      </c>
      <c r="DM431">
        <v>0</v>
      </c>
      <c r="DN431">
        <v>0</v>
      </c>
      <c r="DO431">
        <v>0</v>
      </c>
      <c r="DP431">
        <v>0</v>
      </c>
      <c r="DQ431">
        <v>0</v>
      </c>
      <c r="DR431">
        <v>0</v>
      </c>
      <c r="DS431">
        <v>0</v>
      </c>
      <c r="DT431">
        <v>0</v>
      </c>
      <c r="DU431">
        <v>0</v>
      </c>
    </row>
    <row r="432" spans="2:125">
      <c r="B432" s="136">
        <v>423</v>
      </c>
      <c r="C432" s="138">
        <v>1</v>
      </c>
      <c r="D432" s="474">
        <v>3266.384590664019</v>
      </c>
      <c r="E432" s="127">
        <v>300.81853903037796</v>
      </c>
      <c r="F432" s="447">
        <v>0.40116571258787886</v>
      </c>
      <c r="G432" s="127">
        <v>102.31776112555177</v>
      </c>
      <c r="H432" s="132">
        <v>57.926264678460178</v>
      </c>
      <c r="I432" s="456"/>
      <c r="J432" s="45"/>
      <c r="K432" s="45">
        <v>440</v>
      </c>
      <c r="L432" s="463"/>
      <c r="M432" s="456">
        <v>30.0008544921875</v>
      </c>
      <c r="N432" s="457"/>
      <c r="O432" s="456"/>
      <c r="P432" s="46"/>
      <c r="Q432" s="463">
        <v>64.674423217773438</v>
      </c>
      <c r="R432" s="449"/>
      <c r="S432" s="463"/>
      <c r="T432" s="480"/>
      <c r="U432" s="468"/>
      <c r="V432" s="449"/>
      <c r="W432" s="45">
        <v>1303.9019775390625</v>
      </c>
      <c r="X432" s="463">
        <v>111.74913024902344</v>
      </c>
      <c r="Y432" s="449"/>
      <c r="Z432" s="45"/>
      <c r="AA432" s="468">
        <v>0.39105566175487388</v>
      </c>
      <c r="AB432" s="456"/>
      <c r="AC432" s="46"/>
      <c r="AD432" s="46"/>
      <c r="AE432" s="46"/>
      <c r="AF432" s="46"/>
      <c r="AG432" s="46"/>
      <c r="AH432" s="46"/>
      <c r="AI432" s="457"/>
      <c r="AJ432" s="138"/>
      <c r="AK432" s="745"/>
      <c r="AL432" s="54"/>
      <c r="AM432" s="468"/>
      <c r="AN432" s="449"/>
      <c r="AO432" s="45"/>
      <c r="AP432" s="45"/>
      <c r="AQ432" s="45"/>
      <c r="AR432" s="45"/>
      <c r="AS432" s="45"/>
      <c r="AT432" s="45"/>
      <c r="AU432" s="463"/>
      <c r="AV432" s="449"/>
      <c r="AW432" s="45"/>
      <c r="AX432" s="45"/>
      <c r="AY432" s="45"/>
      <c r="AZ432" s="45"/>
      <c r="BA432" s="45"/>
      <c r="BB432" s="45"/>
      <c r="BC432" s="463"/>
      <c r="BD432" s="456"/>
      <c r="BE432" s="46"/>
      <c r="BF432" s="46"/>
      <c r="BG432" s="46"/>
      <c r="BH432" s="46"/>
      <c r="BI432" s="46"/>
      <c r="BJ432" s="457"/>
      <c r="BK432" s="449">
        <v>0</v>
      </c>
      <c r="BL432" s="45"/>
      <c r="BM432" s="45"/>
      <c r="BN432" s="45"/>
      <c r="BO432" s="45"/>
      <c r="BP432" s="45"/>
      <c r="BQ432" s="45"/>
      <c r="BR432" s="45"/>
      <c r="BS432" s="45"/>
      <c r="BT432" s="45"/>
      <c r="BU432" s="45"/>
      <c r="BV432" s="45"/>
      <c r="BW432" s="45"/>
      <c r="BX432" s="45"/>
      <c r="BY432" s="45"/>
      <c r="BZ432" s="45"/>
      <c r="CA432" s="45"/>
      <c r="CB432" s="45"/>
      <c r="CC432" s="45"/>
      <c r="CD432" s="463"/>
      <c r="CE432">
        <v>0</v>
      </c>
      <c r="CF432">
        <v>0</v>
      </c>
      <c r="CG432">
        <v>0</v>
      </c>
      <c r="CH432">
        <v>0</v>
      </c>
      <c r="CI432">
        <v>0</v>
      </c>
      <c r="CJ432">
        <v>0</v>
      </c>
      <c r="CK432">
        <v>0</v>
      </c>
      <c r="CL432">
        <v>0</v>
      </c>
      <c r="CM432">
        <v>0</v>
      </c>
      <c r="CN432">
        <v>0</v>
      </c>
      <c r="CO432">
        <v>0</v>
      </c>
      <c r="CP432">
        <v>0</v>
      </c>
      <c r="CQ432">
        <v>0</v>
      </c>
      <c r="CR432">
        <v>0</v>
      </c>
      <c r="CS432">
        <v>0</v>
      </c>
      <c r="CT432">
        <v>0</v>
      </c>
      <c r="CU432">
        <v>0</v>
      </c>
      <c r="CV432">
        <v>0</v>
      </c>
      <c r="CW432">
        <v>0</v>
      </c>
      <c r="CX432">
        <v>0</v>
      </c>
      <c r="CY432">
        <v>0</v>
      </c>
      <c r="CZ432">
        <v>0</v>
      </c>
      <c r="DA432">
        <v>0</v>
      </c>
      <c r="DB432">
        <v>0</v>
      </c>
      <c r="DC432">
        <v>0</v>
      </c>
      <c r="DD432">
        <v>0</v>
      </c>
      <c r="DE432">
        <v>0</v>
      </c>
      <c r="DF432">
        <v>0</v>
      </c>
      <c r="DG432">
        <v>0</v>
      </c>
      <c r="DH432">
        <v>0</v>
      </c>
      <c r="DI432">
        <v>0</v>
      </c>
      <c r="DJ432">
        <v>0</v>
      </c>
      <c r="DK432">
        <v>0</v>
      </c>
      <c r="DL432">
        <v>0</v>
      </c>
      <c r="DM432">
        <v>0</v>
      </c>
      <c r="DN432">
        <v>0</v>
      </c>
      <c r="DO432">
        <v>0</v>
      </c>
      <c r="DP432">
        <v>0</v>
      </c>
      <c r="DQ432">
        <v>0</v>
      </c>
      <c r="DR432">
        <v>0</v>
      </c>
      <c r="DS432">
        <v>0</v>
      </c>
      <c r="DT432">
        <v>0</v>
      </c>
      <c r="DU432">
        <v>0</v>
      </c>
    </row>
    <row r="433" spans="2:125">
      <c r="B433" s="136">
        <v>424</v>
      </c>
      <c r="C433" s="138">
        <v>1</v>
      </c>
      <c r="D433" s="474">
        <v>3026.6484453484936</v>
      </c>
      <c r="E433" s="127">
        <v>296.00010448746332</v>
      </c>
      <c r="F433" s="447">
        <v>0.37338647193454028</v>
      </c>
      <c r="G433" s="127">
        <v>97.136334967141266</v>
      </c>
      <c r="H433" s="132">
        <v>55.077082894908266</v>
      </c>
      <c r="I433" s="456"/>
      <c r="J433" s="45"/>
      <c r="K433" s="45">
        <v>410</v>
      </c>
      <c r="L433" s="463"/>
      <c r="M433" s="456">
        <v>27.708194732666016</v>
      </c>
      <c r="N433" s="457"/>
      <c r="O433" s="456"/>
      <c r="P433" s="46"/>
      <c r="Q433" s="463">
        <v>59.927646636962891</v>
      </c>
      <c r="R433" s="449"/>
      <c r="S433" s="463"/>
      <c r="T433" s="480"/>
      <c r="U433" s="468"/>
      <c r="V433" s="449"/>
      <c r="W433" s="45">
        <v>1141.2965087890625</v>
      </c>
      <c r="X433" s="463">
        <v>99.810844421386719</v>
      </c>
      <c r="Y433" s="449"/>
      <c r="Z433" s="45"/>
      <c r="AA433" s="468">
        <v>0.36265918397065766</v>
      </c>
      <c r="AB433" s="456"/>
      <c r="AC433" s="46"/>
      <c r="AD433" s="46"/>
      <c r="AE433" s="46"/>
      <c r="AF433" s="46"/>
      <c r="AG433" s="46"/>
      <c r="AH433" s="46"/>
      <c r="AI433" s="457"/>
      <c r="AJ433" s="138"/>
      <c r="AK433" s="745"/>
      <c r="AL433" s="54"/>
      <c r="AM433" s="468"/>
      <c r="AN433" s="449"/>
      <c r="AO433" s="45"/>
      <c r="AP433" s="45"/>
      <c r="AQ433" s="45"/>
      <c r="AR433" s="45"/>
      <c r="AS433" s="45"/>
      <c r="AT433" s="45"/>
      <c r="AU433" s="463"/>
      <c r="AV433" s="449"/>
      <c r="AW433" s="45"/>
      <c r="AX433" s="45"/>
      <c r="AY433" s="45"/>
      <c r="AZ433" s="45"/>
      <c r="BA433" s="45"/>
      <c r="BB433" s="45"/>
      <c r="BC433" s="463"/>
      <c r="BD433" s="456"/>
      <c r="BE433" s="46"/>
      <c r="BF433" s="46"/>
      <c r="BG433" s="46"/>
      <c r="BH433" s="46"/>
      <c r="BI433" s="46"/>
      <c r="BJ433" s="457"/>
      <c r="BK433" s="449">
        <v>0</v>
      </c>
      <c r="BL433" s="45"/>
      <c r="BM433" s="45"/>
      <c r="BN433" s="45"/>
      <c r="BO433" s="45"/>
      <c r="BP433" s="45"/>
      <c r="BQ433" s="45"/>
      <c r="BR433" s="45"/>
      <c r="BS433" s="45"/>
      <c r="BT433" s="45"/>
      <c r="BU433" s="45"/>
      <c r="BV433" s="45"/>
      <c r="BW433" s="45"/>
      <c r="BX433" s="45"/>
      <c r="BY433" s="45"/>
      <c r="BZ433" s="45"/>
      <c r="CA433" s="45"/>
      <c r="CB433" s="45"/>
      <c r="CC433" s="45"/>
      <c r="CD433" s="463"/>
      <c r="CE433">
        <v>0</v>
      </c>
      <c r="CF433">
        <v>0</v>
      </c>
      <c r="CG433">
        <v>0</v>
      </c>
      <c r="CH433">
        <v>0</v>
      </c>
      <c r="CI433">
        <v>0</v>
      </c>
      <c r="CJ433">
        <v>0</v>
      </c>
      <c r="CK433">
        <v>0</v>
      </c>
      <c r="CL433">
        <v>0</v>
      </c>
      <c r="CM433">
        <v>0</v>
      </c>
      <c r="CN433">
        <v>0</v>
      </c>
      <c r="CO433">
        <v>0</v>
      </c>
      <c r="CP433">
        <v>0</v>
      </c>
      <c r="CQ433">
        <v>0</v>
      </c>
      <c r="CR433">
        <v>0</v>
      </c>
      <c r="CS433">
        <v>0</v>
      </c>
      <c r="CT433">
        <v>0</v>
      </c>
      <c r="CU433">
        <v>0</v>
      </c>
      <c r="CV433">
        <v>0</v>
      </c>
      <c r="CW433">
        <v>0</v>
      </c>
      <c r="CX433">
        <v>0</v>
      </c>
      <c r="CY433">
        <v>0</v>
      </c>
      <c r="CZ433">
        <v>0</v>
      </c>
      <c r="DA433">
        <v>0</v>
      </c>
      <c r="DB433">
        <v>0</v>
      </c>
      <c r="DC433">
        <v>0</v>
      </c>
      <c r="DD433">
        <v>0</v>
      </c>
      <c r="DE433">
        <v>0</v>
      </c>
      <c r="DF433">
        <v>0</v>
      </c>
      <c r="DG433">
        <v>0</v>
      </c>
      <c r="DH433">
        <v>0</v>
      </c>
      <c r="DI433">
        <v>0</v>
      </c>
      <c r="DJ433">
        <v>0</v>
      </c>
      <c r="DK433">
        <v>0</v>
      </c>
      <c r="DL433">
        <v>0</v>
      </c>
      <c r="DM433">
        <v>0</v>
      </c>
      <c r="DN433">
        <v>0</v>
      </c>
      <c r="DO433">
        <v>0</v>
      </c>
      <c r="DP433">
        <v>0</v>
      </c>
      <c r="DQ433">
        <v>0</v>
      </c>
      <c r="DR433">
        <v>0</v>
      </c>
      <c r="DS433">
        <v>0</v>
      </c>
      <c r="DT433">
        <v>0</v>
      </c>
      <c r="DU433">
        <v>0</v>
      </c>
    </row>
    <row r="434" spans="2:125">
      <c r="B434" s="136">
        <v>425</v>
      </c>
      <c r="C434" s="138">
        <v>1</v>
      </c>
      <c r="D434" s="474">
        <v>2905.262180323029</v>
      </c>
      <c r="E434" s="127">
        <v>205.47112765803493</v>
      </c>
      <c r="F434" s="447">
        <v>0.35762774737191871</v>
      </c>
      <c r="G434" s="127">
        <v>118.26652272897635</v>
      </c>
      <c r="H434" s="132">
        <v>54.571118188102552</v>
      </c>
      <c r="I434" s="456"/>
      <c r="J434" s="45"/>
      <c r="K434" s="45">
        <v>470</v>
      </c>
      <c r="L434" s="463"/>
      <c r="M434" s="456">
        <v>27.645429611206055</v>
      </c>
      <c r="N434" s="457"/>
      <c r="O434" s="456"/>
      <c r="P434" s="46"/>
      <c r="Q434" s="463">
        <v>65.492866516113281</v>
      </c>
      <c r="R434" s="449"/>
      <c r="S434" s="463"/>
      <c r="T434" s="480"/>
      <c r="U434" s="468"/>
      <c r="V434" s="449"/>
      <c r="W434" s="45">
        <v>1226.246826171875</v>
      </c>
      <c r="X434" s="463">
        <v>106.23855590820312</v>
      </c>
      <c r="Y434" s="449"/>
      <c r="Z434" s="45"/>
      <c r="AA434" s="468">
        <v>0.34656074103933932</v>
      </c>
      <c r="AB434" s="456"/>
      <c r="AC434" s="46"/>
      <c r="AD434" s="46"/>
      <c r="AE434" s="46"/>
      <c r="AF434" s="46"/>
      <c r="AG434" s="46"/>
      <c r="AH434" s="46"/>
      <c r="AI434" s="457"/>
      <c r="AJ434" s="138"/>
      <c r="AK434" s="745"/>
      <c r="AL434" s="54"/>
      <c r="AM434" s="468"/>
      <c r="AN434" s="449"/>
      <c r="AO434" s="45"/>
      <c r="AP434" s="45"/>
      <c r="AQ434" s="45"/>
      <c r="AR434" s="45"/>
      <c r="AS434" s="45"/>
      <c r="AT434" s="45"/>
      <c r="AU434" s="463"/>
      <c r="AV434" s="449"/>
      <c r="AW434" s="45"/>
      <c r="AX434" s="45"/>
      <c r="AY434" s="45"/>
      <c r="AZ434" s="45"/>
      <c r="BA434" s="45"/>
      <c r="BB434" s="45"/>
      <c r="BC434" s="463"/>
      <c r="BD434" s="456"/>
      <c r="BE434" s="46"/>
      <c r="BF434" s="46"/>
      <c r="BG434" s="46"/>
      <c r="BH434" s="46"/>
      <c r="BI434" s="46"/>
      <c r="BJ434" s="457"/>
      <c r="BK434" s="449">
        <v>0</v>
      </c>
      <c r="BL434" s="45"/>
      <c r="BM434" s="45"/>
      <c r="BN434" s="45"/>
      <c r="BO434" s="45"/>
      <c r="BP434" s="45"/>
      <c r="BQ434" s="45"/>
      <c r="BR434" s="45"/>
      <c r="BS434" s="45"/>
      <c r="BT434" s="45"/>
      <c r="BU434" s="45"/>
      <c r="BV434" s="45"/>
      <c r="BW434" s="45"/>
      <c r="BX434" s="45"/>
      <c r="BY434" s="45"/>
      <c r="BZ434" s="45"/>
      <c r="CA434" s="45"/>
      <c r="CB434" s="45"/>
      <c r="CC434" s="45"/>
      <c r="CD434" s="463"/>
      <c r="CE434">
        <v>0</v>
      </c>
      <c r="CF434">
        <v>0</v>
      </c>
      <c r="CG434">
        <v>0</v>
      </c>
      <c r="CH434">
        <v>0</v>
      </c>
      <c r="CI434">
        <v>0</v>
      </c>
      <c r="CJ434">
        <v>0</v>
      </c>
      <c r="CK434">
        <v>0</v>
      </c>
      <c r="CL434">
        <v>0</v>
      </c>
      <c r="CM434">
        <v>0</v>
      </c>
      <c r="CN434">
        <v>0</v>
      </c>
      <c r="CO434">
        <v>0</v>
      </c>
      <c r="CP434">
        <v>0</v>
      </c>
      <c r="CQ434">
        <v>0</v>
      </c>
      <c r="CR434">
        <v>0</v>
      </c>
      <c r="CS434">
        <v>0</v>
      </c>
      <c r="CT434">
        <v>0</v>
      </c>
      <c r="CU434">
        <v>0</v>
      </c>
      <c r="CV434">
        <v>0</v>
      </c>
      <c r="CW434">
        <v>0</v>
      </c>
      <c r="CX434">
        <v>0</v>
      </c>
      <c r="CY434">
        <v>0</v>
      </c>
      <c r="CZ434">
        <v>0</v>
      </c>
      <c r="DA434">
        <v>0</v>
      </c>
      <c r="DB434">
        <v>0</v>
      </c>
      <c r="DC434">
        <v>0</v>
      </c>
      <c r="DD434">
        <v>0</v>
      </c>
      <c r="DE434">
        <v>0</v>
      </c>
      <c r="DF434">
        <v>0</v>
      </c>
      <c r="DG434">
        <v>0</v>
      </c>
      <c r="DH434">
        <v>0</v>
      </c>
      <c r="DI434">
        <v>0</v>
      </c>
      <c r="DJ434">
        <v>0</v>
      </c>
      <c r="DK434">
        <v>0</v>
      </c>
      <c r="DL434">
        <v>0</v>
      </c>
      <c r="DM434">
        <v>0</v>
      </c>
      <c r="DN434">
        <v>0</v>
      </c>
      <c r="DO434">
        <v>0</v>
      </c>
      <c r="DP434">
        <v>0</v>
      </c>
      <c r="DQ434">
        <v>0</v>
      </c>
      <c r="DR434">
        <v>0</v>
      </c>
      <c r="DS434">
        <v>0</v>
      </c>
      <c r="DT434">
        <v>0</v>
      </c>
      <c r="DU434">
        <v>0</v>
      </c>
    </row>
    <row r="435" spans="2:125">
      <c r="B435" s="136">
        <v>426</v>
      </c>
      <c r="C435" s="138">
        <v>1</v>
      </c>
      <c r="D435" s="474">
        <v>2599.0428129985248</v>
      </c>
      <c r="E435" s="127">
        <v>281.53136354144607</v>
      </c>
      <c r="F435" s="447">
        <v>0.48066570237462736</v>
      </c>
      <c r="G435" s="127">
        <v>108.78505881328992</v>
      </c>
      <c r="H435" s="132">
        <v>40.748711407997348</v>
      </c>
      <c r="I435" s="456"/>
      <c r="J435" s="45"/>
      <c r="K435" s="45">
        <v>430</v>
      </c>
      <c r="L435" s="463"/>
      <c r="M435" s="456">
        <v>47.887805938720703</v>
      </c>
      <c r="N435" s="457"/>
      <c r="O435" s="456"/>
      <c r="P435" s="46"/>
      <c r="Q435" s="463">
        <v>51.461048126220703</v>
      </c>
      <c r="R435" s="449"/>
      <c r="S435" s="463"/>
      <c r="T435" s="480"/>
      <c r="U435" s="468"/>
      <c r="V435" s="449"/>
      <c r="W435" s="45">
        <v>1745.9471435546875</v>
      </c>
      <c r="X435" s="463">
        <v>143.84208679199219</v>
      </c>
      <c r="Y435" s="449"/>
      <c r="Z435" s="45"/>
      <c r="AA435" s="468">
        <v>0.46734798637765262</v>
      </c>
      <c r="AB435" s="456"/>
      <c r="AC435" s="46"/>
      <c r="AD435" s="46"/>
      <c r="AE435" s="46"/>
      <c r="AF435" s="46"/>
      <c r="AG435" s="46"/>
      <c r="AH435" s="46"/>
      <c r="AI435" s="457"/>
      <c r="AJ435" s="138"/>
      <c r="AK435" s="745"/>
      <c r="AL435" s="54"/>
      <c r="AM435" s="468"/>
      <c r="AN435" s="449"/>
      <c r="AO435" s="45"/>
      <c r="AP435" s="45"/>
      <c r="AQ435" s="45"/>
      <c r="AR435" s="45"/>
      <c r="AS435" s="45"/>
      <c r="AT435" s="45"/>
      <c r="AU435" s="463"/>
      <c r="AV435" s="449"/>
      <c r="AW435" s="45"/>
      <c r="AX435" s="45"/>
      <c r="AY435" s="45"/>
      <c r="AZ435" s="45"/>
      <c r="BA435" s="45"/>
      <c r="BB435" s="45"/>
      <c r="BC435" s="463"/>
      <c r="BD435" s="456"/>
      <c r="BE435" s="46"/>
      <c r="BF435" s="46"/>
      <c r="BG435" s="46"/>
      <c r="BH435" s="46"/>
      <c r="BI435" s="46"/>
      <c r="BJ435" s="457"/>
      <c r="BK435" s="449">
        <v>0</v>
      </c>
      <c r="BL435" s="45"/>
      <c r="BM435" s="45"/>
      <c r="BN435" s="45"/>
      <c r="BO435" s="45"/>
      <c r="BP435" s="45"/>
      <c r="BQ435" s="45"/>
      <c r="BR435" s="45"/>
      <c r="BS435" s="45"/>
      <c r="BT435" s="45"/>
      <c r="BU435" s="45"/>
      <c r="BV435" s="45"/>
      <c r="BW435" s="45"/>
      <c r="BX435" s="45"/>
      <c r="BY435" s="45"/>
      <c r="BZ435" s="45"/>
      <c r="CA435" s="45"/>
      <c r="CB435" s="45"/>
      <c r="CC435" s="45"/>
      <c r="CD435" s="463"/>
      <c r="CE435">
        <v>0</v>
      </c>
      <c r="CF435">
        <v>0</v>
      </c>
      <c r="CG435">
        <v>0</v>
      </c>
      <c r="CH435">
        <v>0</v>
      </c>
      <c r="CI435">
        <v>0</v>
      </c>
      <c r="CJ435">
        <v>0</v>
      </c>
      <c r="CK435">
        <v>0</v>
      </c>
      <c r="CL435">
        <v>0</v>
      </c>
      <c r="CM435">
        <v>0</v>
      </c>
      <c r="CN435">
        <v>0</v>
      </c>
      <c r="CO435">
        <v>0</v>
      </c>
      <c r="CP435">
        <v>0</v>
      </c>
      <c r="CQ435">
        <v>0</v>
      </c>
      <c r="CR435">
        <v>0</v>
      </c>
      <c r="CS435">
        <v>0</v>
      </c>
      <c r="CT435">
        <v>0</v>
      </c>
      <c r="CU435">
        <v>0</v>
      </c>
      <c r="CV435">
        <v>0</v>
      </c>
      <c r="CW435">
        <v>0</v>
      </c>
      <c r="CX435">
        <v>0</v>
      </c>
      <c r="CY435">
        <v>0</v>
      </c>
      <c r="CZ435">
        <v>0</v>
      </c>
      <c r="DA435">
        <v>0</v>
      </c>
      <c r="DB435">
        <v>0</v>
      </c>
      <c r="DC435">
        <v>0</v>
      </c>
      <c r="DD435">
        <v>0</v>
      </c>
      <c r="DE435">
        <v>0</v>
      </c>
      <c r="DF435">
        <v>0</v>
      </c>
      <c r="DG435">
        <v>0</v>
      </c>
      <c r="DH435">
        <v>0</v>
      </c>
      <c r="DI435">
        <v>0</v>
      </c>
      <c r="DJ435">
        <v>0</v>
      </c>
      <c r="DK435">
        <v>0</v>
      </c>
      <c r="DL435">
        <v>0</v>
      </c>
      <c r="DM435">
        <v>0</v>
      </c>
      <c r="DN435">
        <v>0</v>
      </c>
      <c r="DO435">
        <v>0</v>
      </c>
      <c r="DP435">
        <v>0</v>
      </c>
      <c r="DQ435">
        <v>0</v>
      </c>
      <c r="DR435">
        <v>0</v>
      </c>
      <c r="DS435">
        <v>0</v>
      </c>
      <c r="DT435">
        <v>0</v>
      </c>
      <c r="DU435">
        <v>0</v>
      </c>
    </row>
    <row r="436" spans="2:125">
      <c r="B436" s="136">
        <v>427</v>
      </c>
      <c r="C436" s="138">
        <v>1</v>
      </c>
      <c r="D436" s="474">
        <v>3484.9903066168117</v>
      </c>
      <c r="E436" s="127">
        <v>306.64750543222891</v>
      </c>
      <c r="F436" s="447">
        <v>0.44172011148643064</v>
      </c>
      <c r="G436" s="127">
        <v>143.67372681842255</v>
      </c>
      <c r="H436" s="132">
        <v>50.696698564872001</v>
      </c>
      <c r="I436" s="456"/>
      <c r="J436" s="45"/>
      <c r="K436" s="45">
        <v>550</v>
      </c>
      <c r="L436" s="463"/>
      <c r="M436" s="456">
        <v>41.487228393554687</v>
      </c>
      <c r="N436" s="457"/>
      <c r="O436" s="456"/>
      <c r="P436" s="46"/>
      <c r="Q436" s="463">
        <v>69.0028076171875</v>
      </c>
      <c r="R436" s="449"/>
      <c r="S436" s="463"/>
      <c r="T436" s="480"/>
      <c r="U436" s="468"/>
      <c r="V436" s="449"/>
      <c r="W436" s="45">
        <v>1856.5982666015625</v>
      </c>
      <c r="X436" s="463">
        <v>152.41227722167969</v>
      </c>
      <c r="Y436" s="449"/>
      <c r="Z436" s="45"/>
      <c r="AA436" s="468">
        <v>0.4320115042155615</v>
      </c>
      <c r="AB436" s="456"/>
      <c r="AC436" s="46"/>
      <c r="AD436" s="46"/>
      <c r="AE436" s="46"/>
      <c r="AF436" s="46"/>
      <c r="AG436" s="46"/>
      <c r="AH436" s="46"/>
      <c r="AI436" s="457"/>
      <c r="AJ436" s="138"/>
      <c r="AK436" s="745"/>
      <c r="AL436" s="54"/>
      <c r="AM436" s="468"/>
      <c r="AN436" s="449"/>
      <c r="AO436" s="45"/>
      <c r="AP436" s="45"/>
      <c r="AQ436" s="45"/>
      <c r="AR436" s="45"/>
      <c r="AS436" s="45"/>
      <c r="AT436" s="45"/>
      <c r="AU436" s="463"/>
      <c r="AV436" s="449"/>
      <c r="AW436" s="45"/>
      <c r="AX436" s="45"/>
      <c r="AY436" s="45"/>
      <c r="AZ436" s="45"/>
      <c r="BA436" s="45"/>
      <c r="BB436" s="45"/>
      <c r="BC436" s="463"/>
      <c r="BD436" s="456"/>
      <c r="BE436" s="46"/>
      <c r="BF436" s="46"/>
      <c r="BG436" s="46"/>
      <c r="BH436" s="46"/>
      <c r="BI436" s="46"/>
      <c r="BJ436" s="457"/>
      <c r="BK436" s="449">
        <v>0</v>
      </c>
      <c r="BL436" s="45"/>
      <c r="BM436" s="45"/>
      <c r="BN436" s="45"/>
      <c r="BO436" s="45"/>
      <c r="BP436" s="45"/>
      <c r="BQ436" s="45"/>
      <c r="BR436" s="45"/>
      <c r="BS436" s="45"/>
      <c r="BT436" s="45"/>
      <c r="BU436" s="45"/>
      <c r="BV436" s="45"/>
      <c r="BW436" s="45"/>
      <c r="BX436" s="45"/>
      <c r="BY436" s="45"/>
      <c r="BZ436" s="45"/>
      <c r="CA436" s="45"/>
      <c r="CB436" s="45"/>
      <c r="CC436" s="45"/>
      <c r="CD436" s="463"/>
      <c r="CE436">
        <v>0</v>
      </c>
      <c r="CF436">
        <v>0</v>
      </c>
      <c r="CG436">
        <v>0</v>
      </c>
      <c r="CH436">
        <v>0</v>
      </c>
      <c r="CI436">
        <v>0</v>
      </c>
      <c r="CJ436">
        <v>0</v>
      </c>
      <c r="CK436">
        <v>0</v>
      </c>
      <c r="CL436">
        <v>0</v>
      </c>
      <c r="CM436">
        <v>0</v>
      </c>
      <c r="CN436">
        <v>0</v>
      </c>
      <c r="CO436">
        <v>0</v>
      </c>
      <c r="CP436">
        <v>0</v>
      </c>
      <c r="CQ436">
        <v>0</v>
      </c>
      <c r="CR436">
        <v>0</v>
      </c>
      <c r="CS436">
        <v>0</v>
      </c>
      <c r="CT436">
        <v>0</v>
      </c>
      <c r="CU436">
        <v>0</v>
      </c>
      <c r="CV436">
        <v>0</v>
      </c>
      <c r="CW436">
        <v>0</v>
      </c>
      <c r="CX436">
        <v>0</v>
      </c>
      <c r="CY436">
        <v>0</v>
      </c>
      <c r="CZ436">
        <v>0</v>
      </c>
      <c r="DA436">
        <v>0</v>
      </c>
      <c r="DB436">
        <v>0</v>
      </c>
      <c r="DC436">
        <v>0</v>
      </c>
      <c r="DD436">
        <v>0</v>
      </c>
      <c r="DE436">
        <v>0</v>
      </c>
      <c r="DF436">
        <v>0</v>
      </c>
      <c r="DG436">
        <v>0</v>
      </c>
      <c r="DH436">
        <v>0</v>
      </c>
      <c r="DI436">
        <v>0</v>
      </c>
      <c r="DJ436">
        <v>0</v>
      </c>
      <c r="DK436">
        <v>0</v>
      </c>
      <c r="DL436">
        <v>0</v>
      </c>
      <c r="DM436">
        <v>0</v>
      </c>
      <c r="DN436">
        <v>0</v>
      </c>
      <c r="DO436">
        <v>0</v>
      </c>
      <c r="DP436">
        <v>0</v>
      </c>
      <c r="DQ436">
        <v>0</v>
      </c>
      <c r="DR436">
        <v>0</v>
      </c>
      <c r="DS436">
        <v>0</v>
      </c>
      <c r="DT436">
        <v>0</v>
      </c>
      <c r="DU436">
        <v>0</v>
      </c>
    </row>
    <row r="437" spans="2:125">
      <c r="B437" s="136">
        <v>428</v>
      </c>
      <c r="C437" s="138">
        <v>1</v>
      </c>
      <c r="D437" s="474">
        <v>3246.1792005294137</v>
      </c>
      <c r="E437" s="127">
        <v>195.94178874618086</v>
      </c>
      <c r="F437" s="447">
        <v>0.38930657532920693</v>
      </c>
      <c r="G437" s="127">
        <v>124.28389825081996</v>
      </c>
      <c r="H437" s="132">
        <v>59.008766443343781</v>
      </c>
      <c r="I437" s="456"/>
      <c r="J437" s="45"/>
      <c r="K437" s="45">
        <v>510</v>
      </c>
      <c r="L437" s="463"/>
      <c r="M437" s="456">
        <v>30.519611358642578</v>
      </c>
      <c r="N437" s="457"/>
      <c r="O437" s="456"/>
      <c r="P437" s="46"/>
      <c r="Q437" s="463">
        <v>72.345916748046875</v>
      </c>
      <c r="R437" s="449"/>
      <c r="S437" s="463"/>
      <c r="T437" s="480"/>
      <c r="U437" s="468"/>
      <c r="V437" s="449"/>
      <c r="W437" s="45">
        <v>1432.917724609375</v>
      </c>
      <c r="X437" s="463">
        <v>121.42972564697266</v>
      </c>
      <c r="Y437" s="449"/>
      <c r="Z437" s="45"/>
      <c r="AA437" s="468">
        <v>0.37920666109735024</v>
      </c>
      <c r="AB437" s="456"/>
      <c r="AC437" s="46"/>
      <c r="AD437" s="46"/>
      <c r="AE437" s="46"/>
      <c r="AF437" s="46"/>
      <c r="AG437" s="46"/>
      <c r="AH437" s="46"/>
      <c r="AI437" s="457"/>
      <c r="AJ437" s="138"/>
      <c r="AK437" s="745"/>
      <c r="AL437" s="54"/>
      <c r="AM437" s="468"/>
      <c r="AN437" s="449"/>
      <c r="AO437" s="45"/>
      <c r="AP437" s="45"/>
      <c r="AQ437" s="45"/>
      <c r="AR437" s="45"/>
      <c r="AS437" s="45"/>
      <c r="AT437" s="45"/>
      <c r="AU437" s="463"/>
      <c r="AV437" s="449"/>
      <c r="AW437" s="45"/>
      <c r="AX437" s="45"/>
      <c r="AY437" s="45"/>
      <c r="AZ437" s="45"/>
      <c r="BA437" s="45"/>
      <c r="BB437" s="45"/>
      <c r="BC437" s="463"/>
      <c r="BD437" s="456"/>
      <c r="BE437" s="46"/>
      <c r="BF437" s="46"/>
      <c r="BG437" s="46"/>
      <c r="BH437" s="46"/>
      <c r="BI437" s="46"/>
      <c r="BJ437" s="457"/>
      <c r="BK437" s="449">
        <v>0</v>
      </c>
      <c r="BL437" s="45"/>
      <c r="BM437" s="45"/>
      <c r="BN437" s="45"/>
      <c r="BO437" s="45"/>
      <c r="BP437" s="45"/>
      <c r="BQ437" s="45"/>
      <c r="BR437" s="45"/>
      <c r="BS437" s="45"/>
      <c r="BT437" s="45"/>
      <c r="BU437" s="45"/>
      <c r="BV437" s="45"/>
      <c r="BW437" s="45"/>
      <c r="BX437" s="45"/>
      <c r="BY437" s="45"/>
      <c r="BZ437" s="45"/>
      <c r="CA437" s="45"/>
      <c r="CB437" s="45"/>
      <c r="CC437" s="45"/>
      <c r="CD437" s="463"/>
      <c r="CE437">
        <v>0</v>
      </c>
      <c r="CF437">
        <v>0</v>
      </c>
      <c r="CG437">
        <v>0</v>
      </c>
      <c r="CH437">
        <v>0</v>
      </c>
      <c r="CI437">
        <v>0</v>
      </c>
      <c r="CJ437">
        <v>0</v>
      </c>
      <c r="CK437">
        <v>0</v>
      </c>
      <c r="CL437">
        <v>0</v>
      </c>
      <c r="CM437">
        <v>0</v>
      </c>
      <c r="CN437">
        <v>0</v>
      </c>
      <c r="CO437">
        <v>0</v>
      </c>
      <c r="CP437">
        <v>0</v>
      </c>
      <c r="CQ437">
        <v>0</v>
      </c>
      <c r="CR437">
        <v>0</v>
      </c>
      <c r="CS437">
        <v>0</v>
      </c>
      <c r="CT437">
        <v>0</v>
      </c>
      <c r="CU437">
        <v>0</v>
      </c>
      <c r="CV437">
        <v>0</v>
      </c>
      <c r="CW437">
        <v>0</v>
      </c>
      <c r="CX437">
        <v>0</v>
      </c>
      <c r="CY437">
        <v>0</v>
      </c>
      <c r="CZ437">
        <v>0</v>
      </c>
      <c r="DA437">
        <v>0</v>
      </c>
      <c r="DB437">
        <v>0</v>
      </c>
      <c r="DC437">
        <v>0</v>
      </c>
      <c r="DD437">
        <v>0</v>
      </c>
      <c r="DE437">
        <v>0</v>
      </c>
      <c r="DF437">
        <v>0</v>
      </c>
      <c r="DG437">
        <v>0</v>
      </c>
      <c r="DH437">
        <v>0</v>
      </c>
      <c r="DI437">
        <v>0</v>
      </c>
      <c r="DJ437">
        <v>0</v>
      </c>
      <c r="DK437">
        <v>0</v>
      </c>
      <c r="DL437">
        <v>0</v>
      </c>
      <c r="DM437">
        <v>0</v>
      </c>
      <c r="DN437">
        <v>0</v>
      </c>
      <c r="DO437">
        <v>0</v>
      </c>
      <c r="DP437">
        <v>0</v>
      </c>
      <c r="DQ437">
        <v>0</v>
      </c>
      <c r="DR437">
        <v>0</v>
      </c>
      <c r="DS437">
        <v>0</v>
      </c>
      <c r="DT437">
        <v>0</v>
      </c>
      <c r="DU437">
        <v>0</v>
      </c>
    </row>
    <row r="438" spans="2:125">
      <c r="B438" s="136">
        <v>429</v>
      </c>
      <c r="C438" s="138">
        <v>1</v>
      </c>
      <c r="D438" s="474">
        <v>2693.9657395405238</v>
      </c>
      <c r="E438" s="127">
        <v>235.50181227065497</v>
      </c>
      <c r="F438" s="447">
        <v>0.36259346204272774</v>
      </c>
      <c r="G438" s="127">
        <v>85.371025010095437</v>
      </c>
      <c r="H438" s="132">
        <v>59.520768538618249</v>
      </c>
      <c r="I438" s="456"/>
      <c r="J438" s="45"/>
      <c r="K438" s="45">
        <v>390</v>
      </c>
      <c r="L438" s="463"/>
      <c r="M438" s="456">
        <v>25.269222259521484</v>
      </c>
      <c r="N438" s="457"/>
      <c r="O438" s="456"/>
      <c r="P438" s="46"/>
      <c r="Q438" s="463">
        <v>61.739185333251953</v>
      </c>
      <c r="R438" s="449"/>
      <c r="S438" s="463"/>
      <c r="T438" s="480"/>
      <c r="U438" s="468"/>
      <c r="V438" s="449"/>
      <c r="W438" s="45">
        <v>1060.47705078125</v>
      </c>
      <c r="X438" s="463">
        <v>93.84722900390625</v>
      </c>
      <c r="Y438" s="449"/>
      <c r="Z438" s="45"/>
      <c r="AA438" s="468">
        <v>0.35062156916841247</v>
      </c>
      <c r="AB438" s="456"/>
      <c r="AC438" s="46"/>
      <c r="AD438" s="46"/>
      <c r="AE438" s="46"/>
      <c r="AF438" s="46"/>
      <c r="AG438" s="46"/>
      <c r="AH438" s="46"/>
      <c r="AI438" s="457"/>
      <c r="AJ438" s="138"/>
      <c r="AK438" s="745"/>
      <c r="AL438" s="54"/>
      <c r="AM438" s="468"/>
      <c r="AN438" s="449"/>
      <c r="AO438" s="45"/>
      <c r="AP438" s="45"/>
      <c r="AQ438" s="45"/>
      <c r="AR438" s="45"/>
      <c r="AS438" s="45"/>
      <c r="AT438" s="45"/>
      <c r="AU438" s="463"/>
      <c r="AV438" s="449"/>
      <c r="AW438" s="45"/>
      <c r="AX438" s="45"/>
      <c r="AY438" s="45"/>
      <c r="AZ438" s="45"/>
      <c r="BA438" s="45"/>
      <c r="BB438" s="45"/>
      <c r="BC438" s="463"/>
      <c r="BD438" s="456"/>
      <c r="BE438" s="46"/>
      <c r="BF438" s="46"/>
      <c r="BG438" s="46"/>
      <c r="BH438" s="46"/>
      <c r="BI438" s="46"/>
      <c r="BJ438" s="457"/>
      <c r="BK438" s="449">
        <v>0</v>
      </c>
      <c r="BL438" s="45"/>
      <c r="BM438" s="45"/>
      <c r="BN438" s="45"/>
      <c r="BO438" s="45"/>
      <c r="BP438" s="45"/>
      <c r="BQ438" s="45"/>
      <c r="BR438" s="45"/>
      <c r="BS438" s="45"/>
      <c r="BT438" s="45"/>
      <c r="BU438" s="45"/>
      <c r="BV438" s="45"/>
      <c r="BW438" s="45"/>
      <c r="BX438" s="45"/>
      <c r="BY438" s="45"/>
      <c r="BZ438" s="45"/>
      <c r="CA438" s="45"/>
      <c r="CB438" s="45"/>
      <c r="CC438" s="45"/>
      <c r="CD438" s="463"/>
      <c r="CE438">
        <v>0</v>
      </c>
      <c r="CF438">
        <v>0</v>
      </c>
      <c r="CG438">
        <v>0</v>
      </c>
      <c r="CH438">
        <v>0</v>
      </c>
      <c r="CI438">
        <v>0</v>
      </c>
      <c r="CJ438">
        <v>0</v>
      </c>
      <c r="CK438">
        <v>0</v>
      </c>
      <c r="CL438">
        <v>0</v>
      </c>
      <c r="CM438">
        <v>0</v>
      </c>
      <c r="CN438">
        <v>0</v>
      </c>
      <c r="CO438">
        <v>0</v>
      </c>
      <c r="CP438">
        <v>0</v>
      </c>
      <c r="CQ438">
        <v>0</v>
      </c>
      <c r="CR438">
        <v>0</v>
      </c>
      <c r="CS438">
        <v>0</v>
      </c>
      <c r="CT438">
        <v>0</v>
      </c>
      <c r="CU438">
        <v>0</v>
      </c>
      <c r="CV438">
        <v>0</v>
      </c>
      <c r="CW438">
        <v>0</v>
      </c>
      <c r="CX438">
        <v>0</v>
      </c>
      <c r="CY438">
        <v>0</v>
      </c>
      <c r="CZ438">
        <v>0</v>
      </c>
      <c r="DA438">
        <v>0</v>
      </c>
      <c r="DB438">
        <v>0</v>
      </c>
      <c r="DC438">
        <v>0</v>
      </c>
      <c r="DD438">
        <v>0</v>
      </c>
      <c r="DE438">
        <v>0</v>
      </c>
      <c r="DF438">
        <v>0</v>
      </c>
      <c r="DG438">
        <v>0</v>
      </c>
      <c r="DH438">
        <v>0</v>
      </c>
      <c r="DI438">
        <v>0</v>
      </c>
      <c r="DJ438">
        <v>0</v>
      </c>
      <c r="DK438">
        <v>0</v>
      </c>
      <c r="DL438">
        <v>0</v>
      </c>
      <c r="DM438">
        <v>0</v>
      </c>
      <c r="DN438">
        <v>0</v>
      </c>
      <c r="DO438">
        <v>0</v>
      </c>
      <c r="DP438">
        <v>0</v>
      </c>
      <c r="DQ438">
        <v>0</v>
      </c>
      <c r="DR438">
        <v>0</v>
      </c>
      <c r="DS438">
        <v>0</v>
      </c>
      <c r="DT438">
        <v>0</v>
      </c>
      <c r="DU438">
        <v>0</v>
      </c>
    </row>
    <row r="439" spans="2:125">
      <c r="B439" s="136">
        <v>430</v>
      </c>
      <c r="C439" s="138">
        <v>1</v>
      </c>
      <c r="D439" s="474">
        <v>3864.7304877461565</v>
      </c>
      <c r="E439" s="127">
        <v>251.36620140548845</v>
      </c>
      <c r="F439" s="447">
        <v>0.41735769116273558</v>
      </c>
      <c r="G439" s="127">
        <v>148.93112521801268</v>
      </c>
      <c r="H439" s="132">
        <v>56.53469773956553</v>
      </c>
      <c r="I439" s="456"/>
      <c r="J439" s="45"/>
      <c r="K439" s="45">
        <v>580</v>
      </c>
      <c r="L439" s="463"/>
      <c r="M439" s="456">
        <v>36.840335845947266</v>
      </c>
      <c r="N439" s="457"/>
      <c r="O439" s="456"/>
      <c r="P439" s="46"/>
      <c r="Q439" s="463">
        <v>76.52166748046875</v>
      </c>
      <c r="R439" s="449"/>
      <c r="S439" s="463"/>
      <c r="T439" s="480"/>
      <c r="U439" s="468"/>
      <c r="V439" s="449"/>
      <c r="W439" s="45">
        <v>1775.2569580078125</v>
      </c>
      <c r="X439" s="463">
        <v>146.63032531738281</v>
      </c>
      <c r="Y439" s="449"/>
      <c r="Z439" s="45"/>
      <c r="AA439" s="468">
        <v>0.40872910660063272</v>
      </c>
      <c r="AB439" s="456"/>
      <c r="AC439" s="46"/>
      <c r="AD439" s="46"/>
      <c r="AE439" s="46"/>
      <c r="AF439" s="46"/>
      <c r="AG439" s="46"/>
      <c r="AH439" s="46"/>
      <c r="AI439" s="457"/>
      <c r="AJ439" s="138"/>
      <c r="AK439" s="745"/>
      <c r="AL439" s="54"/>
      <c r="AM439" s="468"/>
      <c r="AN439" s="449"/>
      <c r="AO439" s="45"/>
      <c r="AP439" s="45"/>
      <c r="AQ439" s="45"/>
      <c r="AR439" s="45"/>
      <c r="AS439" s="45"/>
      <c r="AT439" s="45"/>
      <c r="AU439" s="463"/>
      <c r="AV439" s="449"/>
      <c r="AW439" s="45"/>
      <c r="AX439" s="45"/>
      <c r="AY439" s="45"/>
      <c r="AZ439" s="45"/>
      <c r="BA439" s="45"/>
      <c r="BB439" s="45"/>
      <c r="BC439" s="463"/>
      <c r="BD439" s="456"/>
      <c r="BE439" s="46"/>
      <c r="BF439" s="46"/>
      <c r="BG439" s="46"/>
      <c r="BH439" s="46"/>
      <c r="BI439" s="46"/>
      <c r="BJ439" s="457"/>
      <c r="BK439" s="449">
        <v>0</v>
      </c>
      <c r="BL439" s="45"/>
      <c r="BM439" s="45"/>
      <c r="BN439" s="45"/>
      <c r="BO439" s="45"/>
      <c r="BP439" s="45"/>
      <c r="BQ439" s="45"/>
      <c r="BR439" s="45"/>
      <c r="BS439" s="45"/>
      <c r="BT439" s="45"/>
      <c r="BU439" s="45"/>
      <c r="BV439" s="45"/>
      <c r="BW439" s="45"/>
      <c r="BX439" s="45"/>
      <c r="BY439" s="45"/>
      <c r="BZ439" s="45"/>
      <c r="CA439" s="45"/>
      <c r="CB439" s="45"/>
      <c r="CC439" s="45"/>
      <c r="CD439" s="463"/>
      <c r="CE439">
        <v>0</v>
      </c>
      <c r="CF439">
        <v>0</v>
      </c>
      <c r="CG439">
        <v>0</v>
      </c>
      <c r="CH439">
        <v>0</v>
      </c>
      <c r="CI439">
        <v>0</v>
      </c>
      <c r="CJ439">
        <v>0</v>
      </c>
      <c r="CK439">
        <v>0</v>
      </c>
      <c r="CL439">
        <v>0</v>
      </c>
      <c r="CM439">
        <v>0</v>
      </c>
      <c r="CN439">
        <v>0</v>
      </c>
      <c r="CO439">
        <v>0</v>
      </c>
      <c r="CP439">
        <v>0</v>
      </c>
      <c r="CQ439">
        <v>0</v>
      </c>
      <c r="CR439">
        <v>0</v>
      </c>
      <c r="CS439">
        <v>0</v>
      </c>
      <c r="CT439">
        <v>0</v>
      </c>
      <c r="CU439">
        <v>0</v>
      </c>
      <c r="CV439">
        <v>0</v>
      </c>
      <c r="CW439">
        <v>0</v>
      </c>
      <c r="CX439">
        <v>0</v>
      </c>
      <c r="CY439">
        <v>0</v>
      </c>
      <c r="CZ439">
        <v>0</v>
      </c>
      <c r="DA439">
        <v>0</v>
      </c>
      <c r="DB439">
        <v>0</v>
      </c>
      <c r="DC439">
        <v>0</v>
      </c>
      <c r="DD439">
        <v>0</v>
      </c>
      <c r="DE439">
        <v>0</v>
      </c>
      <c r="DF439">
        <v>0</v>
      </c>
      <c r="DG439">
        <v>0</v>
      </c>
      <c r="DH439">
        <v>0</v>
      </c>
      <c r="DI439">
        <v>0</v>
      </c>
      <c r="DJ439">
        <v>0</v>
      </c>
      <c r="DK439">
        <v>0</v>
      </c>
      <c r="DL439">
        <v>0</v>
      </c>
      <c r="DM439">
        <v>0</v>
      </c>
      <c r="DN439">
        <v>0</v>
      </c>
      <c r="DO439">
        <v>0</v>
      </c>
      <c r="DP439">
        <v>0</v>
      </c>
      <c r="DQ439">
        <v>0</v>
      </c>
      <c r="DR439">
        <v>0</v>
      </c>
      <c r="DS439">
        <v>0</v>
      </c>
      <c r="DT439">
        <v>0</v>
      </c>
      <c r="DU439">
        <v>0</v>
      </c>
    </row>
    <row r="440" spans="2:125">
      <c r="B440" s="136">
        <v>431</v>
      </c>
      <c r="C440" s="138">
        <v>1</v>
      </c>
      <c r="D440" s="474">
        <v>2891.9364619032099</v>
      </c>
      <c r="E440" s="127">
        <v>203.94211093131156</v>
      </c>
      <c r="F440" s="447">
        <v>0.37307023182159277</v>
      </c>
      <c r="G440" s="127">
        <v>101.65683905147844</v>
      </c>
      <c r="H440" s="132">
        <v>51.13285722096699</v>
      </c>
      <c r="I440" s="456"/>
      <c r="J440" s="45"/>
      <c r="K440" s="45">
        <v>410</v>
      </c>
      <c r="L440" s="463"/>
      <c r="M440" s="456">
        <v>28.835224151611328</v>
      </c>
      <c r="N440" s="457"/>
      <c r="O440" s="456"/>
      <c r="P440" s="46"/>
      <c r="Q440" s="463">
        <v>57.260345458984375</v>
      </c>
      <c r="R440" s="449"/>
      <c r="S440" s="463"/>
      <c r="T440" s="480"/>
      <c r="U440" s="468"/>
      <c r="V440" s="449"/>
      <c r="W440" s="45">
        <v>1145.5535888671875</v>
      </c>
      <c r="X440" s="463">
        <v>100.12554931640625</v>
      </c>
      <c r="Y440" s="449"/>
      <c r="Z440" s="45"/>
      <c r="AA440" s="468">
        <v>0.36184543312215361</v>
      </c>
      <c r="AB440" s="456"/>
      <c r="AC440" s="46"/>
      <c r="AD440" s="46"/>
      <c r="AE440" s="46"/>
      <c r="AF440" s="46"/>
      <c r="AG440" s="46"/>
      <c r="AH440" s="46"/>
      <c r="AI440" s="457"/>
      <c r="AJ440" s="138"/>
      <c r="AK440" s="745"/>
      <c r="AL440" s="54"/>
      <c r="AM440" s="468"/>
      <c r="AN440" s="449"/>
      <c r="AO440" s="45"/>
      <c r="AP440" s="45"/>
      <c r="AQ440" s="45"/>
      <c r="AR440" s="45"/>
      <c r="AS440" s="45"/>
      <c r="AT440" s="45"/>
      <c r="AU440" s="463"/>
      <c r="AV440" s="449"/>
      <c r="AW440" s="45"/>
      <c r="AX440" s="45"/>
      <c r="AY440" s="45"/>
      <c r="AZ440" s="45"/>
      <c r="BA440" s="45"/>
      <c r="BB440" s="45"/>
      <c r="BC440" s="463"/>
      <c r="BD440" s="456"/>
      <c r="BE440" s="46"/>
      <c r="BF440" s="46"/>
      <c r="BG440" s="46"/>
      <c r="BH440" s="46"/>
      <c r="BI440" s="46"/>
      <c r="BJ440" s="457"/>
      <c r="BK440" s="449">
        <v>0</v>
      </c>
      <c r="BL440" s="45"/>
      <c r="BM440" s="45"/>
      <c r="BN440" s="45"/>
      <c r="BO440" s="45"/>
      <c r="BP440" s="45"/>
      <c r="BQ440" s="45"/>
      <c r="BR440" s="45"/>
      <c r="BS440" s="45"/>
      <c r="BT440" s="45"/>
      <c r="BU440" s="45"/>
      <c r="BV440" s="45"/>
      <c r="BW440" s="45"/>
      <c r="BX440" s="45"/>
      <c r="BY440" s="45"/>
      <c r="BZ440" s="45"/>
      <c r="CA440" s="45"/>
      <c r="CB440" s="45"/>
      <c r="CC440" s="45"/>
      <c r="CD440" s="463"/>
      <c r="CE440">
        <v>0</v>
      </c>
      <c r="CF440">
        <v>0</v>
      </c>
      <c r="CG440">
        <v>0</v>
      </c>
      <c r="CH440">
        <v>0</v>
      </c>
      <c r="CI440">
        <v>0</v>
      </c>
      <c r="CJ440">
        <v>0</v>
      </c>
      <c r="CK440">
        <v>0</v>
      </c>
      <c r="CL440">
        <v>0</v>
      </c>
      <c r="CM440">
        <v>0</v>
      </c>
      <c r="CN440">
        <v>0</v>
      </c>
      <c r="CO440">
        <v>0</v>
      </c>
      <c r="CP440">
        <v>0</v>
      </c>
      <c r="CQ440">
        <v>0</v>
      </c>
      <c r="CR440">
        <v>0</v>
      </c>
      <c r="CS440">
        <v>0</v>
      </c>
      <c r="CT440">
        <v>0</v>
      </c>
      <c r="CU440">
        <v>0</v>
      </c>
      <c r="CV440">
        <v>0</v>
      </c>
      <c r="CW440">
        <v>0</v>
      </c>
      <c r="CX440">
        <v>0</v>
      </c>
      <c r="CY440">
        <v>0</v>
      </c>
      <c r="CZ440">
        <v>0</v>
      </c>
      <c r="DA440">
        <v>0</v>
      </c>
      <c r="DB440">
        <v>0</v>
      </c>
      <c r="DC440">
        <v>0</v>
      </c>
      <c r="DD440">
        <v>0</v>
      </c>
      <c r="DE440">
        <v>0</v>
      </c>
      <c r="DF440">
        <v>0</v>
      </c>
      <c r="DG440">
        <v>0</v>
      </c>
      <c r="DH440">
        <v>0</v>
      </c>
      <c r="DI440">
        <v>0</v>
      </c>
      <c r="DJ440">
        <v>0</v>
      </c>
      <c r="DK440">
        <v>0</v>
      </c>
      <c r="DL440">
        <v>0</v>
      </c>
      <c r="DM440">
        <v>0</v>
      </c>
      <c r="DN440">
        <v>0</v>
      </c>
      <c r="DO440">
        <v>0</v>
      </c>
      <c r="DP440">
        <v>0</v>
      </c>
      <c r="DQ440">
        <v>0</v>
      </c>
      <c r="DR440">
        <v>0</v>
      </c>
      <c r="DS440">
        <v>0</v>
      </c>
      <c r="DT440">
        <v>0</v>
      </c>
      <c r="DU440">
        <v>0</v>
      </c>
    </row>
    <row r="441" spans="2:125">
      <c r="B441" s="136">
        <v>432</v>
      </c>
      <c r="C441" s="138">
        <v>1</v>
      </c>
      <c r="D441" s="474">
        <v>4510.9720060240506</v>
      </c>
      <c r="E441" s="127">
        <v>172.42309398592687</v>
      </c>
      <c r="F441" s="447">
        <v>0.38235631456975755</v>
      </c>
      <c r="G441" s="127">
        <v>158.92054068489898</v>
      </c>
      <c r="H441" s="132">
        <v>69.32619075302685</v>
      </c>
      <c r="I441" s="456"/>
      <c r="J441" s="45"/>
      <c r="K441" s="45">
        <v>670</v>
      </c>
      <c r="L441" s="463"/>
      <c r="M441" s="456">
        <v>32.788776397705078</v>
      </c>
      <c r="N441" s="457"/>
      <c r="O441" s="456"/>
      <c r="P441" s="46"/>
      <c r="Q441" s="463">
        <v>90</v>
      </c>
      <c r="R441" s="449"/>
      <c r="S441" s="463"/>
      <c r="T441" s="480"/>
      <c r="U441" s="468"/>
      <c r="V441" s="449"/>
      <c r="W441" s="45">
        <v>1774.8260498046875</v>
      </c>
      <c r="X441" s="463">
        <v>146.9591064453125</v>
      </c>
      <c r="Y441" s="449"/>
      <c r="Z441" s="45"/>
      <c r="AA441" s="468">
        <v>0.37511904370046434</v>
      </c>
      <c r="AB441" s="456"/>
      <c r="AC441" s="46"/>
      <c r="AD441" s="46"/>
      <c r="AE441" s="46"/>
      <c r="AF441" s="46"/>
      <c r="AG441" s="46"/>
      <c r="AH441" s="46"/>
      <c r="AI441" s="457"/>
      <c r="AJ441" s="138"/>
      <c r="AK441" s="745"/>
      <c r="AL441" s="54"/>
      <c r="AM441" s="468"/>
      <c r="AN441" s="449"/>
      <c r="AO441" s="45"/>
      <c r="AP441" s="45"/>
      <c r="AQ441" s="45"/>
      <c r="AR441" s="45"/>
      <c r="AS441" s="45"/>
      <c r="AT441" s="45"/>
      <c r="AU441" s="463"/>
      <c r="AV441" s="449"/>
      <c r="AW441" s="45"/>
      <c r="AX441" s="45"/>
      <c r="AY441" s="45"/>
      <c r="AZ441" s="45"/>
      <c r="BA441" s="45"/>
      <c r="BB441" s="45"/>
      <c r="BC441" s="463"/>
      <c r="BD441" s="456"/>
      <c r="BE441" s="46"/>
      <c r="BF441" s="46"/>
      <c r="BG441" s="46"/>
      <c r="BH441" s="46"/>
      <c r="BI441" s="46"/>
      <c r="BJ441" s="457"/>
      <c r="BK441" s="449">
        <v>0</v>
      </c>
      <c r="BL441" s="45"/>
      <c r="BM441" s="45"/>
      <c r="BN441" s="45"/>
      <c r="BO441" s="45"/>
      <c r="BP441" s="45"/>
      <c r="BQ441" s="45"/>
      <c r="BR441" s="45"/>
      <c r="BS441" s="45"/>
      <c r="BT441" s="45"/>
      <c r="BU441" s="45"/>
      <c r="BV441" s="45"/>
      <c r="BW441" s="45"/>
      <c r="BX441" s="45"/>
      <c r="BY441" s="45"/>
      <c r="BZ441" s="45"/>
      <c r="CA441" s="45"/>
      <c r="CB441" s="45"/>
      <c r="CC441" s="45"/>
      <c r="CD441" s="463"/>
      <c r="CE441">
        <v>0</v>
      </c>
      <c r="CF441">
        <v>0</v>
      </c>
      <c r="CG441">
        <v>0</v>
      </c>
      <c r="CH441">
        <v>0</v>
      </c>
      <c r="CI441">
        <v>0</v>
      </c>
      <c r="CJ441">
        <v>0</v>
      </c>
      <c r="CK441">
        <v>0</v>
      </c>
      <c r="CL441">
        <v>0</v>
      </c>
      <c r="CM441">
        <v>0</v>
      </c>
      <c r="CN441">
        <v>0</v>
      </c>
      <c r="CO441">
        <v>0</v>
      </c>
      <c r="CP441">
        <v>0</v>
      </c>
      <c r="CQ441">
        <v>0</v>
      </c>
      <c r="CR441">
        <v>0</v>
      </c>
      <c r="CS441">
        <v>0</v>
      </c>
      <c r="CT441">
        <v>0</v>
      </c>
      <c r="CU441">
        <v>0</v>
      </c>
      <c r="CV441">
        <v>0</v>
      </c>
      <c r="CW441">
        <v>0</v>
      </c>
      <c r="CX441">
        <v>0</v>
      </c>
      <c r="CY441">
        <v>0</v>
      </c>
      <c r="CZ441">
        <v>0</v>
      </c>
      <c r="DA441">
        <v>0</v>
      </c>
      <c r="DB441">
        <v>0</v>
      </c>
      <c r="DC441">
        <v>0</v>
      </c>
      <c r="DD441">
        <v>0</v>
      </c>
      <c r="DE441">
        <v>0</v>
      </c>
      <c r="DF441">
        <v>0</v>
      </c>
      <c r="DG441">
        <v>0</v>
      </c>
      <c r="DH441">
        <v>0</v>
      </c>
      <c r="DI441">
        <v>0</v>
      </c>
      <c r="DJ441">
        <v>0</v>
      </c>
      <c r="DK441">
        <v>0</v>
      </c>
      <c r="DL441">
        <v>0</v>
      </c>
      <c r="DM441">
        <v>0</v>
      </c>
      <c r="DN441">
        <v>0</v>
      </c>
      <c r="DO441">
        <v>0</v>
      </c>
      <c r="DP441">
        <v>0</v>
      </c>
      <c r="DQ441">
        <v>0</v>
      </c>
      <c r="DR441">
        <v>0</v>
      </c>
      <c r="DS441">
        <v>0</v>
      </c>
      <c r="DT441">
        <v>0</v>
      </c>
      <c r="DU441">
        <v>0</v>
      </c>
    </row>
    <row r="442" spans="2:125">
      <c r="B442" s="136">
        <v>433</v>
      </c>
      <c r="C442" s="138">
        <v>1</v>
      </c>
      <c r="D442" s="474">
        <v>3176.2310034166931</v>
      </c>
      <c r="E442" s="127">
        <v>232.44665823930558</v>
      </c>
      <c r="F442" s="447">
        <v>0.41968625511321078</v>
      </c>
      <c r="G442" s="127">
        <v>125.40931724951191</v>
      </c>
      <c r="H442" s="132">
        <v>49.771746721791409</v>
      </c>
      <c r="I442" s="456"/>
      <c r="J442" s="45"/>
      <c r="K442" s="45">
        <v>490</v>
      </c>
      <c r="L442" s="463"/>
      <c r="M442" s="456">
        <v>36.135528564453125</v>
      </c>
      <c r="N442" s="457"/>
      <c r="O442" s="456"/>
      <c r="P442" s="46"/>
      <c r="Q442" s="463">
        <v>62.889377593994141</v>
      </c>
      <c r="R442" s="449"/>
      <c r="S442" s="463"/>
      <c r="T442" s="480"/>
      <c r="U442" s="468"/>
      <c r="V442" s="449"/>
      <c r="W442" s="45">
        <v>1538.3880615234375</v>
      </c>
      <c r="X442" s="463">
        <v>129.01589965820312</v>
      </c>
      <c r="Y442" s="449"/>
      <c r="Z442" s="45"/>
      <c r="AA442" s="468">
        <v>0.40917262274001676</v>
      </c>
      <c r="AB442" s="456"/>
      <c r="AC442" s="46"/>
      <c r="AD442" s="46"/>
      <c r="AE442" s="46"/>
      <c r="AF442" s="46"/>
      <c r="AG442" s="46"/>
      <c r="AH442" s="46"/>
      <c r="AI442" s="457"/>
      <c r="AJ442" s="138"/>
      <c r="AK442" s="745"/>
      <c r="AL442" s="54"/>
      <c r="AM442" s="468"/>
      <c r="AN442" s="449"/>
      <c r="AO442" s="45"/>
      <c r="AP442" s="45"/>
      <c r="AQ442" s="45"/>
      <c r="AR442" s="45"/>
      <c r="AS442" s="45"/>
      <c r="AT442" s="45"/>
      <c r="AU442" s="463"/>
      <c r="AV442" s="449"/>
      <c r="AW442" s="45"/>
      <c r="AX442" s="45"/>
      <c r="AY442" s="45"/>
      <c r="AZ442" s="45"/>
      <c r="BA442" s="45"/>
      <c r="BB442" s="45"/>
      <c r="BC442" s="463"/>
      <c r="BD442" s="456"/>
      <c r="BE442" s="46"/>
      <c r="BF442" s="46"/>
      <c r="BG442" s="46"/>
      <c r="BH442" s="46"/>
      <c r="BI442" s="46"/>
      <c r="BJ442" s="457"/>
      <c r="BK442" s="449">
        <v>0</v>
      </c>
      <c r="BL442" s="45"/>
      <c r="BM442" s="45"/>
      <c r="BN442" s="45"/>
      <c r="BO442" s="45"/>
      <c r="BP442" s="45"/>
      <c r="BQ442" s="45"/>
      <c r="BR442" s="45"/>
      <c r="BS442" s="45"/>
      <c r="BT442" s="45"/>
      <c r="BU442" s="45"/>
      <c r="BV442" s="45"/>
      <c r="BW442" s="45"/>
      <c r="BX442" s="45"/>
      <c r="BY442" s="45"/>
      <c r="BZ442" s="45"/>
      <c r="CA442" s="45"/>
      <c r="CB442" s="45"/>
      <c r="CC442" s="45"/>
      <c r="CD442" s="463"/>
      <c r="CE442">
        <v>0</v>
      </c>
      <c r="CF442">
        <v>0</v>
      </c>
      <c r="CG442">
        <v>0</v>
      </c>
      <c r="CH442">
        <v>0</v>
      </c>
      <c r="CI442">
        <v>0</v>
      </c>
      <c r="CJ442">
        <v>0</v>
      </c>
      <c r="CK442">
        <v>0</v>
      </c>
      <c r="CL442">
        <v>0</v>
      </c>
      <c r="CM442">
        <v>0</v>
      </c>
      <c r="CN442">
        <v>0</v>
      </c>
      <c r="CO442">
        <v>0</v>
      </c>
      <c r="CP442">
        <v>0</v>
      </c>
      <c r="CQ442">
        <v>0</v>
      </c>
      <c r="CR442">
        <v>0</v>
      </c>
      <c r="CS442">
        <v>0</v>
      </c>
      <c r="CT442">
        <v>0</v>
      </c>
      <c r="CU442">
        <v>0</v>
      </c>
      <c r="CV442">
        <v>0</v>
      </c>
      <c r="CW442">
        <v>0</v>
      </c>
      <c r="CX442">
        <v>0</v>
      </c>
      <c r="CY442">
        <v>0</v>
      </c>
      <c r="CZ442">
        <v>0</v>
      </c>
      <c r="DA442">
        <v>0</v>
      </c>
      <c r="DB442">
        <v>0</v>
      </c>
      <c r="DC442">
        <v>0</v>
      </c>
      <c r="DD442">
        <v>0</v>
      </c>
      <c r="DE442">
        <v>0</v>
      </c>
      <c r="DF442">
        <v>0</v>
      </c>
      <c r="DG442">
        <v>0</v>
      </c>
      <c r="DH442">
        <v>0</v>
      </c>
      <c r="DI442">
        <v>0</v>
      </c>
      <c r="DJ442">
        <v>0</v>
      </c>
      <c r="DK442">
        <v>0</v>
      </c>
      <c r="DL442">
        <v>0</v>
      </c>
      <c r="DM442">
        <v>0</v>
      </c>
      <c r="DN442">
        <v>0</v>
      </c>
      <c r="DO442">
        <v>0</v>
      </c>
      <c r="DP442">
        <v>0</v>
      </c>
      <c r="DQ442">
        <v>0</v>
      </c>
      <c r="DR442">
        <v>0</v>
      </c>
      <c r="DS442">
        <v>0</v>
      </c>
      <c r="DT442">
        <v>0</v>
      </c>
      <c r="DU442">
        <v>0</v>
      </c>
    </row>
    <row r="443" spans="2:125">
      <c r="B443" s="136">
        <v>434</v>
      </c>
      <c r="C443" s="138">
        <v>1</v>
      </c>
      <c r="D443" s="474">
        <v>2719.0334278361042</v>
      </c>
      <c r="E443" s="127">
        <v>219.46218551874088</v>
      </c>
      <c r="F443" s="447">
        <v>0.4085972784091792</v>
      </c>
      <c r="G443" s="127">
        <v>103.47435377544272</v>
      </c>
      <c r="H443" s="132">
        <v>46.495732175869463</v>
      </c>
      <c r="I443" s="456"/>
      <c r="J443" s="45"/>
      <c r="K443" s="45">
        <v>410</v>
      </c>
      <c r="L443" s="463"/>
      <c r="M443" s="456">
        <v>33.355335235595703</v>
      </c>
      <c r="N443" s="457"/>
      <c r="O443" s="456"/>
      <c r="P443" s="46"/>
      <c r="Q443" s="463">
        <v>53.836864471435547</v>
      </c>
      <c r="R443" s="449"/>
      <c r="S443" s="463"/>
      <c r="T443" s="480"/>
      <c r="U443" s="468"/>
      <c r="V443" s="449"/>
      <c r="W443" s="45">
        <v>1265.3800048828125</v>
      </c>
      <c r="X443" s="463">
        <v>108.82148742675781</v>
      </c>
      <c r="Y443" s="449"/>
      <c r="Z443" s="45"/>
      <c r="AA443" s="468">
        <v>0.39639737485941556</v>
      </c>
      <c r="AB443" s="456"/>
      <c r="AC443" s="46"/>
      <c r="AD443" s="46"/>
      <c r="AE443" s="46"/>
      <c r="AF443" s="46"/>
      <c r="AG443" s="46"/>
      <c r="AH443" s="46"/>
      <c r="AI443" s="457"/>
      <c r="AJ443" s="138"/>
      <c r="AK443" s="745"/>
      <c r="AL443" s="54"/>
      <c r="AM443" s="468"/>
      <c r="AN443" s="449"/>
      <c r="AO443" s="45"/>
      <c r="AP443" s="45"/>
      <c r="AQ443" s="45"/>
      <c r="AR443" s="45"/>
      <c r="AS443" s="45"/>
      <c r="AT443" s="45"/>
      <c r="AU443" s="463"/>
      <c r="AV443" s="449"/>
      <c r="AW443" s="45"/>
      <c r="AX443" s="45"/>
      <c r="AY443" s="45"/>
      <c r="AZ443" s="45"/>
      <c r="BA443" s="45"/>
      <c r="BB443" s="45"/>
      <c r="BC443" s="463"/>
      <c r="BD443" s="456"/>
      <c r="BE443" s="46"/>
      <c r="BF443" s="46"/>
      <c r="BG443" s="46"/>
      <c r="BH443" s="46"/>
      <c r="BI443" s="46"/>
      <c r="BJ443" s="457"/>
      <c r="BK443" s="449">
        <v>0</v>
      </c>
      <c r="BL443" s="45"/>
      <c r="BM443" s="45"/>
      <c r="BN443" s="45"/>
      <c r="BO443" s="45"/>
      <c r="BP443" s="45"/>
      <c r="BQ443" s="45"/>
      <c r="BR443" s="45"/>
      <c r="BS443" s="45"/>
      <c r="BT443" s="45"/>
      <c r="BU443" s="45"/>
      <c r="BV443" s="45"/>
      <c r="BW443" s="45"/>
      <c r="BX443" s="45"/>
      <c r="BY443" s="45"/>
      <c r="BZ443" s="45"/>
      <c r="CA443" s="45"/>
      <c r="CB443" s="45"/>
      <c r="CC443" s="45"/>
      <c r="CD443" s="463"/>
      <c r="CE443">
        <v>0</v>
      </c>
      <c r="CF443">
        <v>0</v>
      </c>
      <c r="CG443">
        <v>0</v>
      </c>
      <c r="CH443">
        <v>0</v>
      </c>
      <c r="CI443">
        <v>0</v>
      </c>
      <c r="CJ443">
        <v>0</v>
      </c>
      <c r="CK443">
        <v>0</v>
      </c>
      <c r="CL443">
        <v>0</v>
      </c>
      <c r="CM443">
        <v>0</v>
      </c>
      <c r="CN443">
        <v>0</v>
      </c>
      <c r="CO443">
        <v>0</v>
      </c>
      <c r="CP443">
        <v>0</v>
      </c>
      <c r="CQ443">
        <v>0</v>
      </c>
      <c r="CR443">
        <v>0</v>
      </c>
      <c r="CS443">
        <v>0</v>
      </c>
      <c r="CT443">
        <v>0</v>
      </c>
      <c r="CU443">
        <v>0</v>
      </c>
      <c r="CV443">
        <v>0</v>
      </c>
      <c r="CW443">
        <v>0</v>
      </c>
      <c r="CX443">
        <v>0</v>
      </c>
      <c r="CY443">
        <v>0</v>
      </c>
      <c r="CZ443">
        <v>0</v>
      </c>
      <c r="DA443">
        <v>0</v>
      </c>
      <c r="DB443">
        <v>0</v>
      </c>
      <c r="DC443">
        <v>0</v>
      </c>
      <c r="DD443">
        <v>0</v>
      </c>
      <c r="DE443">
        <v>0</v>
      </c>
      <c r="DF443">
        <v>0</v>
      </c>
      <c r="DG443">
        <v>0</v>
      </c>
      <c r="DH443">
        <v>0</v>
      </c>
      <c r="DI443">
        <v>0</v>
      </c>
      <c r="DJ443">
        <v>0</v>
      </c>
      <c r="DK443">
        <v>0</v>
      </c>
      <c r="DL443">
        <v>0</v>
      </c>
      <c r="DM443">
        <v>0</v>
      </c>
      <c r="DN443">
        <v>0</v>
      </c>
      <c r="DO443">
        <v>0</v>
      </c>
      <c r="DP443">
        <v>0</v>
      </c>
      <c r="DQ443">
        <v>0</v>
      </c>
      <c r="DR443">
        <v>0</v>
      </c>
      <c r="DS443">
        <v>0</v>
      </c>
      <c r="DT443">
        <v>0</v>
      </c>
      <c r="DU443">
        <v>0</v>
      </c>
    </row>
    <row r="444" spans="2:125">
      <c r="B444" s="136">
        <v>435</v>
      </c>
      <c r="C444" s="138">
        <v>1</v>
      </c>
      <c r="D444" s="474">
        <v>4786.1275996093937</v>
      </c>
      <c r="E444" s="127">
        <v>228.60918803760461</v>
      </c>
      <c r="F444" s="447">
        <v>0.39158172935442181</v>
      </c>
      <c r="G444" s="127">
        <v>174.0461776067142</v>
      </c>
      <c r="H444" s="132">
        <v>64.868608361039961</v>
      </c>
      <c r="I444" s="456"/>
      <c r="J444" s="45"/>
      <c r="K444" s="45">
        <v>690</v>
      </c>
      <c r="L444" s="463"/>
      <c r="M444" s="456">
        <v>35.028316497802734</v>
      </c>
      <c r="N444" s="457"/>
      <c r="O444" s="456"/>
      <c r="P444" s="46"/>
      <c r="Q444" s="463">
        <v>90</v>
      </c>
      <c r="R444" s="449"/>
      <c r="S444" s="463"/>
      <c r="T444" s="480"/>
      <c r="U444" s="468"/>
      <c r="V444" s="449"/>
      <c r="W444" s="45">
        <v>1889.9068603515625</v>
      </c>
      <c r="X444" s="463">
        <v>155.42304992675781</v>
      </c>
      <c r="Y444" s="449"/>
      <c r="Z444" s="45"/>
      <c r="AA444" s="468">
        <v>0.38472198023495247</v>
      </c>
      <c r="AB444" s="456"/>
      <c r="AC444" s="46"/>
      <c r="AD444" s="46"/>
      <c r="AE444" s="46"/>
      <c r="AF444" s="46"/>
      <c r="AG444" s="46"/>
      <c r="AH444" s="46"/>
      <c r="AI444" s="457"/>
      <c r="AJ444" s="138"/>
      <c r="AK444" s="745"/>
      <c r="AL444" s="54"/>
      <c r="AM444" s="468"/>
      <c r="AN444" s="449"/>
      <c r="AO444" s="45"/>
      <c r="AP444" s="45"/>
      <c r="AQ444" s="45"/>
      <c r="AR444" s="45"/>
      <c r="AS444" s="45"/>
      <c r="AT444" s="45"/>
      <c r="AU444" s="463"/>
      <c r="AV444" s="449"/>
      <c r="AW444" s="45"/>
      <c r="AX444" s="45"/>
      <c r="AY444" s="45"/>
      <c r="AZ444" s="45"/>
      <c r="BA444" s="45"/>
      <c r="BB444" s="45"/>
      <c r="BC444" s="463"/>
      <c r="BD444" s="456"/>
      <c r="BE444" s="46"/>
      <c r="BF444" s="46"/>
      <c r="BG444" s="46"/>
      <c r="BH444" s="46"/>
      <c r="BI444" s="46"/>
      <c r="BJ444" s="457"/>
      <c r="BK444" s="449">
        <v>0</v>
      </c>
      <c r="BL444" s="45"/>
      <c r="BM444" s="45"/>
      <c r="BN444" s="45"/>
      <c r="BO444" s="45"/>
      <c r="BP444" s="45"/>
      <c r="BQ444" s="45"/>
      <c r="BR444" s="45"/>
      <c r="BS444" s="45"/>
      <c r="BT444" s="45"/>
      <c r="BU444" s="45"/>
      <c r="BV444" s="45"/>
      <c r="BW444" s="45"/>
      <c r="BX444" s="45"/>
      <c r="BY444" s="45"/>
      <c r="BZ444" s="45"/>
      <c r="CA444" s="45"/>
      <c r="CB444" s="45"/>
      <c r="CC444" s="45"/>
      <c r="CD444" s="463"/>
      <c r="CE444">
        <v>0</v>
      </c>
      <c r="CF444">
        <v>0</v>
      </c>
      <c r="CG444">
        <v>0</v>
      </c>
      <c r="CH444">
        <v>0</v>
      </c>
      <c r="CI444">
        <v>0</v>
      </c>
      <c r="CJ444">
        <v>0</v>
      </c>
      <c r="CK444">
        <v>0</v>
      </c>
      <c r="CL444">
        <v>0</v>
      </c>
      <c r="CM444">
        <v>0</v>
      </c>
      <c r="CN444">
        <v>0</v>
      </c>
      <c r="CO444">
        <v>0</v>
      </c>
      <c r="CP444">
        <v>0</v>
      </c>
      <c r="CQ444">
        <v>0</v>
      </c>
      <c r="CR444">
        <v>0</v>
      </c>
      <c r="CS444">
        <v>0</v>
      </c>
      <c r="CT444">
        <v>0</v>
      </c>
      <c r="CU444">
        <v>0</v>
      </c>
      <c r="CV444">
        <v>0</v>
      </c>
      <c r="CW444">
        <v>0</v>
      </c>
      <c r="CX444">
        <v>0</v>
      </c>
      <c r="CY444">
        <v>0</v>
      </c>
      <c r="CZ444">
        <v>0</v>
      </c>
      <c r="DA444">
        <v>0</v>
      </c>
      <c r="DB444">
        <v>0</v>
      </c>
      <c r="DC444">
        <v>0</v>
      </c>
      <c r="DD444">
        <v>0</v>
      </c>
      <c r="DE444">
        <v>0</v>
      </c>
      <c r="DF444">
        <v>0</v>
      </c>
      <c r="DG444">
        <v>0</v>
      </c>
      <c r="DH444">
        <v>0</v>
      </c>
      <c r="DI444">
        <v>0</v>
      </c>
      <c r="DJ444">
        <v>0</v>
      </c>
      <c r="DK444">
        <v>0</v>
      </c>
      <c r="DL444">
        <v>0</v>
      </c>
      <c r="DM444">
        <v>0</v>
      </c>
      <c r="DN444">
        <v>0</v>
      </c>
      <c r="DO444">
        <v>0</v>
      </c>
      <c r="DP444">
        <v>0</v>
      </c>
      <c r="DQ444">
        <v>0</v>
      </c>
      <c r="DR444">
        <v>0</v>
      </c>
      <c r="DS444">
        <v>0</v>
      </c>
      <c r="DT444">
        <v>0</v>
      </c>
      <c r="DU444">
        <v>0</v>
      </c>
    </row>
    <row r="445" spans="2:125">
      <c r="B445" s="136">
        <v>436</v>
      </c>
      <c r="C445" s="138">
        <v>1</v>
      </c>
      <c r="D445" s="474">
        <v>2911.5356268699506</v>
      </c>
      <c r="E445" s="127">
        <v>193.03546465766624</v>
      </c>
      <c r="F445" s="447">
        <v>0.43132380070641985</v>
      </c>
      <c r="G445" s="127">
        <v>94.004575006894882</v>
      </c>
      <c r="H445" s="132">
        <v>53.778440367011108</v>
      </c>
      <c r="I445" s="456"/>
      <c r="J445" s="45"/>
      <c r="K445" s="45">
        <v>400</v>
      </c>
      <c r="L445" s="463"/>
      <c r="M445" s="456">
        <v>33.674659729003906</v>
      </c>
      <c r="N445" s="457"/>
      <c r="O445" s="456"/>
      <c r="P445" s="46"/>
      <c r="Q445" s="463">
        <v>57.648406982421875</v>
      </c>
      <c r="R445" s="449"/>
      <c r="S445" s="463"/>
      <c r="T445" s="480"/>
      <c r="U445" s="468"/>
      <c r="V445" s="449"/>
      <c r="W445" s="45">
        <v>1344.9993896484375</v>
      </c>
      <c r="X445" s="463">
        <v>114.59314727783203</v>
      </c>
      <c r="Y445" s="449"/>
      <c r="Z445" s="45"/>
      <c r="AA445" s="468">
        <v>0.41977440536198479</v>
      </c>
      <c r="AB445" s="456"/>
      <c r="AC445" s="46"/>
      <c r="AD445" s="46"/>
      <c r="AE445" s="46"/>
      <c r="AF445" s="46"/>
      <c r="AG445" s="46"/>
      <c r="AH445" s="46"/>
      <c r="AI445" s="457"/>
      <c r="AJ445" s="138"/>
      <c r="AK445" s="745"/>
      <c r="AL445" s="54"/>
      <c r="AM445" s="468"/>
      <c r="AN445" s="449"/>
      <c r="AO445" s="45"/>
      <c r="AP445" s="45"/>
      <c r="AQ445" s="45"/>
      <c r="AR445" s="45"/>
      <c r="AS445" s="45"/>
      <c r="AT445" s="45"/>
      <c r="AU445" s="463"/>
      <c r="AV445" s="449"/>
      <c r="AW445" s="45"/>
      <c r="AX445" s="45"/>
      <c r="AY445" s="45"/>
      <c r="AZ445" s="45"/>
      <c r="BA445" s="45"/>
      <c r="BB445" s="45"/>
      <c r="BC445" s="463"/>
      <c r="BD445" s="456"/>
      <c r="BE445" s="46"/>
      <c r="BF445" s="46"/>
      <c r="BG445" s="46"/>
      <c r="BH445" s="46"/>
      <c r="BI445" s="46"/>
      <c r="BJ445" s="457"/>
      <c r="BK445" s="449">
        <v>0</v>
      </c>
      <c r="BL445" s="45"/>
      <c r="BM445" s="45"/>
      <c r="BN445" s="45"/>
      <c r="BO445" s="45"/>
      <c r="BP445" s="45"/>
      <c r="BQ445" s="45"/>
      <c r="BR445" s="45"/>
      <c r="BS445" s="45"/>
      <c r="BT445" s="45"/>
      <c r="BU445" s="45"/>
      <c r="BV445" s="45"/>
      <c r="BW445" s="45"/>
      <c r="BX445" s="45"/>
      <c r="BY445" s="45"/>
      <c r="BZ445" s="45"/>
      <c r="CA445" s="45"/>
      <c r="CB445" s="45"/>
      <c r="CC445" s="45"/>
      <c r="CD445" s="463"/>
      <c r="CE445">
        <v>0</v>
      </c>
      <c r="CF445">
        <v>0</v>
      </c>
      <c r="CG445">
        <v>0</v>
      </c>
      <c r="CH445">
        <v>0</v>
      </c>
      <c r="CI445">
        <v>0</v>
      </c>
      <c r="CJ445">
        <v>0</v>
      </c>
      <c r="CK445">
        <v>0</v>
      </c>
      <c r="CL445">
        <v>0</v>
      </c>
      <c r="CM445">
        <v>0</v>
      </c>
      <c r="CN445">
        <v>0</v>
      </c>
      <c r="CO445">
        <v>0</v>
      </c>
      <c r="CP445">
        <v>0</v>
      </c>
      <c r="CQ445">
        <v>0</v>
      </c>
      <c r="CR445">
        <v>0</v>
      </c>
      <c r="CS445">
        <v>0</v>
      </c>
      <c r="CT445">
        <v>0</v>
      </c>
      <c r="CU445">
        <v>0</v>
      </c>
      <c r="CV445">
        <v>0</v>
      </c>
      <c r="CW445">
        <v>0</v>
      </c>
      <c r="CX445">
        <v>0</v>
      </c>
      <c r="CY445">
        <v>0</v>
      </c>
      <c r="CZ445">
        <v>0</v>
      </c>
      <c r="DA445">
        <v>0</v>
      </c>
      <c r="DB445">
        <v>0</v>
      </c>
      <c r="DC445">
        <v>0</v>
      </c>
      <c r="DD445">
        <v>0</v>
      </c>
      <c r="DE445">
        <v>0</v>
      </c>
      <c r="DF445">
        <v>0</v>
      </c>
      <c r="DG445">
        <v>0</v>
      </c>
      <c r="DH445">
        <v>0</v>
      </c>
      <c r="DI445">
        <v>0</v>
      </c>
      <c r="DJ445">
        <v>0</v>
      </c>
      <c r="DK445">
        <v>0</v>
      </c>
      <c r="DL445">
        <v>0</v>
      </c>
      <c r="DM445">
        <v>0</v>
      </c>
      <c r="DN445">
        <v>0</v>
      </c>
      <c r="DO445">
        <v>0</v>
      </c>
      <c r="DP445">
        <v>0</v>
      </c>
      <c r="DQ445">
        <v>0</v>
      </c>
      <c r="DR445">
        <v>0</v>
      </c>
      <c r="DS445">
        <v>0</v>
      </c>
      <c r="DT445">
        <v>0</v>
      </c>
      <c r="DU445">
        <v>0</v>
      </c>
    </row>
    <row r="446" spans="2:125">
      <c r="B446" s="136">
        <v>437</v>
      </c>
      <c r="C446" s="138">
        <v>1</v>
      </c>
      <c r="D446" s="474">
        <v>3546.1361501559077</v>
      </c>
      <c r="E446" s="127">
        <v>179.11511088002214</v>
      </c>
      <c r="F446" s="447">
        <v>0.44106586184081065</v>
      </c>
      <c r="G446" s="127">
        <v>113.31101169775185</v>
      </c>
      <c r="H446" s="132">
        <v>59.833255079454084</v>
      </c>
      <c r="I446" s="456"/>
      <c r="J446" s="45"/>
      <c r="K446" s="45">
        <v>490</v>
      </c>
      <c r="L446" s="463"/>
      <c r="M446" s="456">
        <v>36.473468780517578</v>
      </c>
      <c r="N446" s="457"/>
      <c r="O446" s="456"/>
      <c r="P446" s="46"/>
      <c r="Q446" s="463">
        <v>70.2135009765625</v>
      </c>
      <c r="R446" s="449"/>
      <c r="S446" s="463"/>
      <c r="T446" s="480"/>
      <c r="U446" s="468"/>
      <c r="V446" s="449"/>
      <c r="W446" s="45">
        <v>1644.3203125</v>
      </c>
      <c r="X446" s="463">
        <v>136.71694946289062</v>
      </c>
      <c r="Y446" s="449"/>
      <c r="Z446" s="45"/>
      <c r="AA446" s="468">
        <v>0.43152834951621216</v>
      </c>
      <c r="AB446" s="456"/>
      <c r="AC446" s="46"/>
      <c r="AD446" s="46"/>
      <c r="AE446" s="46"/>
      <c r="AF446" s="46"/>
      <c r="AG446" s="46"/>
      <c r="AH446" s="46"/>
      <c r="AI446" s="457"/>
      <c r="AJ446" s="138"/>
      <c r="AK446" s="745"/>
      <c r="AL446" s="54"/>
      <c r="AM446" s="468"/>
      <c r="AN446" s="449"/>
      <c r="AO446" s="45"/>
      <c r="AP446" s="45"/>
      <c r="AQ446" s="45"/>
      <c r="AR446" s="45"/>
      <c r="AS446" s="45"/>
      <c r="AT446" s="45"/>
      <c r="AU446" s="463"/>
      <c r="AV446" s="449"/>
      <c r="AW446" s="45"/>
      <c r="AX446" s="45"/>
      <c r="AY446" s="45"/>
      <c r="AZ446" s="45"/>
      <c r="BA446" s="45"/>
      <c r="BB446" s="45"/>
      <c r="BC446" s="463"/>
      <c r="BD446" s="456"/>
      <c r="BE446" s="46"/>
      <c r="BF446" s="46"/>
      <c r="BG446" s="46"/>
      <c r="BH446" s="46"/>
      <c r="BI446" s="46"/>
      <c r="BJ446" s="457"/>
      <c r="BK446" s="449">
        <v>0</v>
      </c>
      <c r="BL446" s="45"/>
      <c r="BM446" s="45"/>
      <c r="BN446" s="45"/>
      <c r="BO446" s="45"/>
      <c r="BP446" s="45"/>
      <c r="BQ446" s="45"/>
      <c r="BR446" s="45"/>
      <c r="BS446" s="45"/>
      <c r="BT446" s="45"/>
      <c r="BU446" s="45"/>
      <c r="BV446" s="45"/>
      <c r="BW446" s="45"/>
      <c r="BX446" s="45"/>
      <c r="BY446" s="45"/>
      <c r="BZ446" s="45"/>
      <c r="CA446" s="45"/>
      <c r="CB446" s="45"/>
      <c r="CC446" s="45"/>
      <c r="CD446" s="463"/>
      <c r="CE446">
        <v>0</v>
      </c>
      <c r="CF446">
        <v>0</v>
      </c>
      <c r="CG446">
        <v>0</v>
      </c>
      <c r="CH446">
        <v>0</v>
      </c>
      <c r="CI446">
        <v>0</v>
      </c>
      <c r="CJ446">
        <v>0</v>
      </c>
      <c r="CK446">
        <v>0</v>
      </c>
      <c r="CL446">
        <v>0</v>
      </c>
      <c r="CM446">
        <v>0</v>
      </c>
      <c r="CN446">
        <v>0</v>
      </c>
      <c r="CO446">
        <v>0</v>
      </c>
      <c r="CP446">
        <v>0</v>
      </c>
      <c r="CQ446">
        <v>0</v>
      </c>
      <c r="CR446">
        <v>0</v>
      </c>
      <c r="CS446">
        <v>0</v>
      </c>
      <c r="CT446">
        <v>0</v>
      </c>
      <c r="CU446">
        <v>0</v>
      </c>
      <c r="CV446">
        <v>0</v>
      </c>
      <c r="CW446">
        <v>0</v>
      </c>
      <c r="CX446">
        <v>0</v>
      </c>
      <c r="CY446">
        <v>0</v>
      </c>
      <c r="CZ446">
        <v>0</v>
      </c>
      <c r="DA446">
        <v>0</v>
      </c>
      <c r="DB446">
        <v>0</v>
      </c>
      <c r="DC446">
        <v>0</v>
      </c>
      <c r="DD446">
        <v>0</v>
      </c>
      <c r="DE446">
        <v>0</v>
      </c>
      <c r="DF446">
        <v>0</v>
      </c>
      <c r="DG446">
        <v>0</v>
      </c>
      <c r="DH446">
        <v>0</v>
      </c>
      <c r="DI446">
        <v>0</v>
      </c>
      <c r="DJ446">
        <v>0</v>
      </c>
      <c r="DK446">
        <v>0</v>
      </c>
      <c r="DL446">
        <v>0</v>
      </c>
      <c r="DM446">
        <v>0</v>
      </c>
      <c r="DN446">
        <v>0</v>
      </c>
      <c r="DO446">
        <v>0</v>
      </c>
      <c r="DP446">
        <v>0</v>
      </c>
      <c r="DQ446">
        <v>0</v>
      </c>
      <c r="DR446">
        <v>0</v>
      </c>
      <c r="DS446">
        <v>0</v>
      </c>
      <c r="DT446">
        <v>0</v>
      </c>
      <c r="DU446">
        <v>0</v>
      </c>
    </row>
    <row r="447" spans="2:125">
      <c r="B447" s="136">
        <v>438</v>
      </c>
      <c r="C447" s="138">
        <v>1</v>
      </c>
      <c r="D447" s="474">
        <v>3150.5381163909019</v>
      </c>
      <c r="E447" s="127">
        <v>203.96384941085643</v>
      </c>
      <c r="F447" s="447">
        <v>0.3641509478716799</v>
      </c>
      <c r="G447" s="127">
        <v>107.40188455281894</v>
      </c>
      <c r="H447" s="132">
        <v>54.597941640581659</v>
      </c>
      <c r="I447" s="456"/>
      <c r="J447" s="45"/>
      <c r="K447" s="45">
        <v>440</v>
      </c>
      <c r="L447" s="463"/>
      <c r="M447" s="456">
        <v>27.648712158203125</v>
      </c>
      <c r="N447" s="457"/>
      <c r="O447" s="456"/>
      <c r="P447" s="46"/>
      <c r="Q447" s="463">
        <v>62.380661010742188</v>
      </c>
      <c r="R447" s="449"/>
      <c r="S447" s="463"/>
      <c r="T447" s="480"/>
      <c r="U447" s="468"/>
      <c r="V447" s="449"/>
      <c r="W447" s="45">
        <v>1177.948974609375</v>
      </c>
      <c r="X447" s="463">
        <v>102.59598541259766</v>
      </c>
      <c r="Y447" s="449"/>
      <c r="Z447" s="45"/>
      <c r="AA447" s="468">
        <v>0.35390412089647882</v>
      </c>
      <c r="AB447" s="456"/>
      <c r="AC447" s="46"/>
      <c r="AD447" s="46"/>
      <c r="AE447" s="46"/>
      <c r="AF447" s="46"/>
      <c r="AG447" s="46"/>
      <c r="AH447" s="46"/>
      <c r="AI447" s="457"/>
      <c r="AJ447" s="138"/>
      <c r="AK447" s="745"/>
      <c r="AL447" s="54"/>
      <c r="AM447" s="468"/>
      <c r="AN447" s="449"/>
      <c r="AO447" s="45"/>
      <c r="AP447" s="45"/>
      <c r="AQ447" s="45"/>
      <c r="AR447" s="45"/>
      <c r="AS447" s="45"/>
      <c r="AT447" s="45"/>
      <c r="AU447" s="463"/>
      <c r="AV447" s="449"/>
      <c r="AW447" s="45"/>
      <c r="AX447" s="45"/>
      <c r="AY447" s="45"/>
      <c r="AZ447" s="45"/>
      <c r="BA447" s="45"/>
      <c r="BB447" s="45"/>
      <c r="BC447" s="463"/>
      <c r="BD447" s="456"/>
      <c r="BE447" s="46"/>
      <c r="BF447" s="46"/>
      <c r="BG447" s="46"/>
      <c r="BH447" s="46"/>
      <c r="BI447" s="46"/>
      <c r="BJ447" s="457"/>
      <c r="BK447" s="449">
        <v>0</v>
      </c>
      <c r="BL447" s="45"/>
      <c r="BM447" s="45"/>
      <c r="BN447" s="45"/>
      <c r="BO447" s="45"/>
      <c r="BP447" s="45"/>
      <c r="BQ447" s="45"/>
      <c r="BR447" s="45"/>
      <c r="BS447" s="45"/>
      <c r="BT447" s="45"/>
      <c r="BU447" s="45"/>
      <c r="BV447" s="45"/>
      <c r="BW447" s="45"/>
      <c r="BX447" s="45"/>
      <c r="BY447" s="45"/>
      <c r="BZ447" s="45"/>
      <c r="CA447" s="45"/>
      <c r="CB447" s="45"/>
      <c r="CC447" s="45"/>
      <c r="CD447" s="463"/>
      <c r="CE447">
        <v>0</v>
      </c>
      <c r="CF447">
        <v>0</v>
      </c>
      <c r="CG447">
        <v>0</v>
      </c>
      <c r="CH447">
        <v>0</v>
      </c>
      <c r="CI447">
        <v>0</v>
      </c>
      <c r="CJ447">
        <v>0</v>
      </c>
      <c r="CK447">
        <v>0</v>
      </c>
      <c r="CL447">
        <v>0</v>
      </c>
      <c r="CM447">
        <v>0</v>
      </c>
      <c r="CN447">
        <v>0</v>
      </c>
      <c r="CO447">
        <v>0</v>
      </c>
      <c r="CP447">
        <v>0</v>
      </c>
      <c r="CQ447">
        <v>0</v>
      </c>
      <c r="CR447">
        <v>0</v>
      </c>
      <c r="CS447">
        <v>0</v>
      </c>
      <c r="CT447">
        <v>0</v>
      </c>
      <c r="CU447">
        <v>0</v>
      </c>
      <c r="CV447">
        <v>0</v>
      </c>
      <c r="CW447">
        <v>0</v>
      </c>
      <c r="CX447">
        <v>0</v>
      </c>
      <c r="CY447">
        <v>0</v>
      </c>
      <c r="CZ447">
        <v>0</v>
      </c>
      <c r="DA447">
        <v>0</v>
      </c>
      <c r="DB447">
        <v>0</v>
      </c>
      <c r="DC447">
        <v>0</v>
      </c>
      <c r="DD447">
        <v>0</v>
      </c>
      <c r="DE447">
        <v>0</v>
      </c>
      <c r="DF447">
        <v>0</v>
      </c>
      <c r="DG447">
        <v>0</v>
      </c>
      <c r="DH447">
        <v>0</v>
      </c>
      <c r="DI447">
        <v>0</v>
      </c>
      <c r="DJ447">
        <v>0</v>
      </c>
      <c r="DK447">
        <v>0</v>
      </c>
      <c r="DL447">
        <v>0</v>
      </c>
      <c r="DM447">
        <v>0</v>
      </c>
      <c r="DN447">
        <v>0</v>
      </c>
      <c r="DO447">
        <v>0</v>
      </c>
      <c r="DP447">
        <v>0</v>
      </c>
      <c r="DQ447">
        <v>0</v>
      </c>
      <c r="DR447">
        <v>0</v>
      </c>
      <c r="DS447">
        <v>0</v>
      </c>
      <c r="DT447">
        <v>0</v>
      </c>
      <c r="DU447">
        <v>0</v>
      </c>
    </row>
    <row r="448" spans="2:125">
      <c r="B448" s="136">
        <v>439</v>
      </c>
      <c r="C448" s="138">
        <v>1</v>
      </c>
      <c r="D448" s="474">
        <v>3284.5603026952444</v>
      </c>
      <c r="E448" s="127">
        <v>292.20331869400917</v>
      </c>
      <c r="F448" s="447">
        <v>0.45900717093402327</v>
      </c>
      <c r="G448" s="127">
        <v>123.76684911876794</v>
      </c>
      <c r="H448" s="132">
        <v>52.57250077468025</v>
      </c>
      <c r="I448" s="456"/>
      <c r="J448" s="45"/>
      <c r="K448" s="45">
        <v>500</v>
      </c>
      <c r="L448" s="463"/>
      <c r="M448" s="456">
        <v>42.578258514404297</v>
      </c>
      <c r="N448" s="457"/>
      <c r="O448" s="456"/>
      <c r="P448" s="46"/>
      <c r="Q448" s="463">
        <v>65.034294128417969</v>
      </c>
      <c r="R448" s="449"/>
      <c r="S448" s="463"/>
      <c r="T448" s="480"/>
      <c r="U448" s="468"/>
      <c r="V448" s="449"/>
      <c r="W448" s="45">
        <v>1820.8450927734375</v>
      </c>
      <c r="X448" s="463">
        <v>149.60346984863281</v>
      </c>
      <c r="Y448" s="449"/>
      <c r="Z448" s="45"/>
      <c r="AA448" s="468">
        <v>0.44860086376693215</v>
      </c>
      <c r="AB448" s="456"/>
      <c r="AC448" s="46"/>
      <c r="AD448" s="46"/>
      <c r="AE448" s="46"/>
      <c r="AF448" s="46"/>
      <c r="AG448" s="46"/>
      <c r="AH448" s="46"/>
      <c r="AI448" s="457"/>
      <c r="AJ448" s="138"/>
      <c r="AK448" s="745"/>
      <c r="AL448" s="54"/>
      <c r="AM448" s="468"/>
      <c r="AN448" s="449"/>
      <c r="AO448" s="45"/>
      <c r="AP448" s="45"/>
      <c r="AQ448" s="45"/>
      <c r="AR448" s="45"/>
      <c r="AS448" s="45"/>
      <c r="AT448" s="45"/>
      <c r="AU448" s="463"/>
      <c r="AV448" s="449"/>
      <c r="AW448" s="45"/>
      <c r="AX448" s="45"/>
      <c r="AY448" s="45"/>
      <c r="AZ448" s="45"/>
      <c r="BA448" s="45"/>
      <c r="BB448" s="45"/>
      <c r="BC448" s="463"/>
      <c r="BD448" s="456"/>
      <c r="BE448" s="46"/>
      <c r="BF448" s="46"/>
      <c r="BG448" s="46"/>
      <c r="BH448" s="46"/>
      <c r="BI448" s="46"/>
      <c r="BJ448" s="457"/>
      <c r="BK448" s="449">
        <v>0</v>
      </c>
      <c r="BL448" s="45"/>
      <c r="BM448" s="45"/>
      <c r="BN448" s="45"/>
      <c r="BO448" s="45"/>
      <c r="BP448" s="45"/>
      <c r="BQ448" s="45"/>
      <c r="BR448" s="45"/>
      <c r="BS448" s="45"/>
      <c r="BT448" s="45"/>
      <c r="BU448" s="45"/>
      <c r="BV448" s="45"/>
      <c r="BW448" s="45"/>
      <c r="BX448" s="45"/>
      <c r="BY448" s="45"/>
      <c r="BZ448" s="45"/>
      <c r="CA448" s="45"/>
      <c r="CB448" s="45"/>
      <c r="CC448" s="45"/>
      <c r="CD448" s="463"/>
      <c r="CE448">
        <v>0</v>
      </c>
      <c r="CF448">
        <v>0</v>
      </c>
      <c r="CG448">
        <v>0</v>
      </c>
      <c r="CH448">
        <v>0</v>
      </c>
      <c r="CI448">
        <v>0</v>
      </c>
      <c r="CJ448">
        <v>0</v>
      </c>
      <c r="CK448">
        <v>0</v>
      </c>
      <c r="CL448">
        <v>0</v>
      </c>
      <c r="CM448">
        <v>0</v>
      </c>
      <c r="CN448">
        <v>0</v>
      </c>
      <c r="CO448">
        <v>0</v>
      </c>
      <c r="CP448">
        <v>0</v>
      </c>
      <c r="CQ448">
        <v>0</v>
      </c>
      <c r="CR448">
        <v>0</v>
      </c>
      <c r="CS448">
        <v>0</v>
      </c>
      <c r="CT448">
        <v>0</v>
      </c>
      <c r="CU448">
        <v>0</v>
      </c>
      <c r="CV448">
        <v>0</v>
      </c>
      <c r="CW448">
        <v>0</v>
      </c>
      <c r="CX448">
        <v>0</v>
      </c>
      <c r="CY448">
        <v>0</v>
      </c>
      <c r="CZ448">
        <v>0</v>
      </c>
      <c r="DA448">
        <v>0</v>
      </c>
      <c r="DB448">
        <v>0</v>
      </c>
      <c r="DC448">
        <v>0</v>
      </c>
      <c r="DD448">
        <v>0</v>
      </c>
      <c r="DE448">
        <v>0</v>
      </c>
      <c r="DF448">
        <v>0</v>
      </c>
      <c r="DG448">
        <v>0</v>
      </c>
      <c r="DH448">
        <v>0</v>
      </c>
      <c r="DI448">
        <v>0</v>
      </c>
      <c r="DJ448">
        <v>0</v>
      </c>
      <c r="DK448">
        <v>0</v>
      </c>
      <c r="DL448">
        <v>0</v>
      </c>
      <c r="DM448">
        <v>0</v>
      </c>
      <c r="DN448">
        <v>0</v>
      </c>
      <c r="DO448">
        <v>0</v>
      </c>
      <c r="DP448">
        <v>0</v>
      </c>
      <c r="DQ448">
        <v>0</v>
      </c>
      <c r="DR448">
        <v>0</v>
      </c>
      <c r="DS448">
        <v>0</v>
      </c>
      <c r="DT448">
        <v>0</v>
      </c>
      <c r="DU448">
        <v>0</v>
      </c>
    </row>
    <row r="449" spans="2:125">
      <c r="B449" s="136">
        <v>440</v>
      </c>
      <c r="C449" s="138">
        <v>1</v>
      </c>
      <c r="D449" s="474">
        <v>3705.4483607921084</v>
      </c>
      <c r="E449" s="127">
        <v>179.71784014815819</v>
      </c>
      <c r="F449" s="447">
        <v>0.37968487289031899</v>
      </c>
      <c r="G449" s="127">
        <v>138.69724204712477</v>
      </c>
      <c r="H449" s="132">
        <v>56.363004420701088</v>
      </c>
      <c r="I449" s="456"/>
      <c r="J449" s="45"/>
      <c r="K449" s="45">
        <v>550</v>
      </c>
      <c r="L449" s="463"/>
      <c r="M449" s="456">
        <v>31.145927429199219</v>
      </c>
      <c r="N449" s="457"/>
      <c r="O449" s="456"/>
      <c r="P449" s="46"/>
      <c r="Q449" s="463">
        <v>73.367874145507813</v>
      </c>
      <c r="R449" s="449"/>
      <c r="S449" s="463"/>
      <c r="T449" s="480"/>
      <c r="U449" s="468"/>
      <c r="V449" s="449"/>
      <c r="W449" s="45">
        <v>1485.4034423828125</v>
      </c>
      <c r="X449" s="463">
        <v>125.40443420410156</v>
      </c>
      <c r="Y449" s="449"/>
      <c r="Z449" s="45"/>
      <c r="AA449" s="468">
        <v>0.3708887180706526</v>
      </c>
      <c r="AB449" s="456"/>
      <c r="AC449" s="46"/>
      <c r="AD449" s="46"/>
      <c r="AE449" s="46"/>
      <c r="AF449" s="46"/>
      <c r="AG449" s="46"/>
      <c r="AH449" s="46"/>
      <c r="AI449" s="457"/>
      <c r="AJ449" s="138"/>
      <c r="AK449" s="745"/>
      <c r="AL449" s="54"/>
      <c r="AM449" s="468"/>
      <c r="AN449" s="449"/>
      <c r="AO449" s="45"/>
      <c r="AP449" s="45"/>
      <c r="AQ449" s="45"/>
      <c r="AR449" s="45"/>
      <c r="AS449" s="45"/>
      <c r="AT449" s="45"/>
      <c r="AU449" s="463"/>
      <c r="AV449" s="449"/>
      <c r="AW449" s="45"/>
      <c r="AX449" s="45"/>
      <c r="AY449" s="45"/>
      <c r="AZ449" s="45"/>
      <c r="BA449" s="45"/>
      <c r="BB449" s="45"/>
      <c r="BC449" s="463"/>
      <c r="BD449" s="456"/>
      <c r="BE449" s="46"/>
      <c r="BF449" s="46"/>
      <c r="BG449" s="46"/>
      <c r="BH449" s="46"/>
      <c r="BI449" s="46"/>
      <c r="BJ449" s="457"/>
      <c r="BK449" s="449">
        <v>0</v>
      </c>
      <c r="BL449" s="45"/>
      <c r="BM449" s="45"/>
      <c r="BN449" s="45"/>
      <c r="BO449" s="45"/>
      <c r="BP449" s="45"/>
      <c r="BQ449" s="45"/>
      <c r="BR449" s="45"/>
      <c r="BS449" s="45"/>
      <c r="BT449" s="45"/>
      <c r="BU449" s="45"/>
      <c r="BV449" s="45"/>
      <c r="BW449" s="45"/>
      <c r="BX449" s="45"/>
      <c r="BY449" s="45"/>
      <c r="BZ449" s="45"/>
      <c r="CA449" s="45"/>
      <c r="CB449" s="45"/>
      <c r="CC449" s="45"/>
      <c r="CD449" s="463"/>
      <c r="CE449">
        <v>0</v>
      </c>
      <c r="CF449">
        <v>0</v>
      </c>
      <c r="CG449">
        <v>0</v>
      </c>
      <c r="CH449">
        <v>0</v>
      </c>
      <c r="CI449">
        <v>0</v>
      </c>
      <c r="CJ449">
        <v>0</v>
      </c>
      <c r="CK449">
        <v>0</v>
      </c>
      <c r="CL449">
        <v>0</v>
      </c>
      <c r="CM449">
        <v>0</v>
      </c>
      <c r="CN449">
        <v>0</v>
      </c>
      <c r="CO449">
        <v>0</v>
      </c>
      <c r="CP449">
        <v>0</v>
      </c>
      <c r="CQ449">
        <v>0</v>
      </c>
      <c r="CR449">
        <v>0</v>
      </c>
      <c r="CS449">
        <v>0</v>
      </c>
      <c r="CT449">
        <v>0</v>
      </c>
      <c r="CU449">
        <v>0</v>
      </c>
      <c r="CV449">
        <v>0</v>
      </c>
      <c r="CW449">
        <v>0</v>
      </c>
      <c r="CX449">
        <v>0</v>
      </c>
      <c r="CY449">
        <v>0</v>
      </c>
      <c r="CZ449">
        <v>0</v>
      </c>
      <c r="DA449">
        <v>0</v>
      </c>
      <c r="DB449">
        <v>0</v>
      </c>
      <c r="DC449">
        <v>0</v>
      </c>
      <c r="DD449">
        <v>0</v>
      </c>
      <c r="DE449">
        <v>0</v>
      </c>
      <c r="DF449">
        <v>0</v>
      </c>
      <c r="DG449">
        <v>0</v>
      </c>
      <c r="DH449">
        <v>0</v>
      </c>
      <c r="DI449">
        <v>0</v>
      </c>
      <c r="DJ449">
        <v>0</v>
      </c>
      <c r="DK449">
        <v>0</v>
      </c>
      <c r="DL449">
        <v>0</v>
      </c>
      <c r="DM449">
        <v>0</v>
      </c>
      <c r="DN449">
        <v>0</v>
      </c>
      <c r="DO449">
        <v>0</v>
      </c>
      <c r="DP449">
        <v>0</v>
      </c>
      <c r="DQ449">
        <v>0</v>
      </c>
      <c r="DR449">
        <v>0</v>
      </c>
      <c r="DS449">
        <v>0</v>
      </c>
      <c r="DT449">
        <v>0</v>
      </c>
      <c r="DU449">
        <v>0</v>
      </c>
    </row>
    <row r="450" spans="2:125">
      <c r="B450" s="136">
        <v>441</v>
      </c>
      <c r="C450" s="138">
        <v>1</v>
      </c>
      <c r="D450" s="474">
        <v>3442.933335530462</v>
      </c>
      <c r="E450" s="127">
        <v>209.80311867794339</v>
      </c>
      <c r="F450" s="447">
        <v>0.40200910300240639</v>
      </c>
      <c r="G450" s="127">
        <v>108.12324977524007</v>
      </c>
      <c r="H450" s="132">
        <v>59.404892463638348</v>
      </c>
      <c r="I450" s="456"/>
      <c r="J450" s="45"/>
      <c r="K450" s="45">
        <v>460</v>
      </c>
      <c r="L450" s="463"/>
      <c r="M450" s="456">
        <v>30.526298522949219</v>
      </c>
      <c r="N450" s="457"/>
      <c r="O450" s="456"/>
      <c r="P450" s="46"/>
      <c r="Q450" s="463">
        <v>68.170082092285156</v>
      </c>
      <c r="R450" s="449"/>
      <c r="S450" s="463"/>
      <c r="T450" s="480"/>
      <c r="U450" s="468"/>
      <c r="V450" s="449"/>
      <c r="W450" s="45">
        <v>1371.334716796875</v>
      </c>
      <c r="X450" s="463">
        <v>116.75868988037109</v>
      </c>
      <c r="Y450" s="449"/>
      <c r="Z450" s="45"/>
      <c r="AA450" s="468">
        <v>0.39241258200123585</v>
      </c>
      <c r="AB450" s="456"/>
      <c r="AC450" s="46"/>
      <c r="AD450" s="46"/>
      <c r="AE450" s="46"/>
      <c r="AF450" s="46"/>
      <c r="AG450" s="46"/>
      <c r="AH450" s="46"/>
      <c r="AI450" s="457"/>
      <c r="AJ450" s="138"/>
      <c r="AK450" s="745"/>
      <c r="AL450" s="54"/>
      <c r="AM450" s="468"/>
      <c r="AN450" s="449"/>
      <c r="AO450" s="45"/>
      <c r="AP450" s="45"/>
      <c r="AQ450" s="45"/>
      <c r="AR450" s="45"/>
      <c r="AS450" s="45"/>
      <c r="AT450" s="45"/>
      <c r="AU450" s="463"/>
      <c r="AV450" s="449"/>
      <c r="AW450" s="45"/>
      <c r="AX450" s="45"/>
      <c r="AY450" s="45"/>
      <c r="AZ450" s="45"/>
      <c r="BA450" s="45"/>
      <c r="BB450" s="45"/>
      <c r="BC450" s="463"/>
      <c r="BD450" s="456"/>
      <c r="BE450" s="46"/>
      <c r="BF450" s="46"/>
      <c r="BG450" s="46"/>
      <c r="BH450" s="46"/>
      <c r="BI450" s="46"/>
      <c r="BJ450" s="457"/>
      <c r="BK450" s="449">
        <v>0</v>
      </c>
      <c r="BL450" s="45"/>
      <c r="BM450" s="45"/>
      <c r="BN450" s="45"/>
      <c r="BO450" s="45"/>
      <c r="BP450" s="45"/>
      <c r="BQ450" s="45"/>
      <c r="BR450" s="45"/>
      <c r="BS450" s="45"/>
      <c r="BT450" s="45"/>
      <c r="BU450" s="45"/>
      <c r="BV450" s="45"/>
      <c r="BW450" s="45"/>
      <c r="BX450" s="45"/>
      <c r="BY450" s="45"/>
      <c r="BZ450" s="45"/>
      <c r="CA450" s="45"/>
      <c r="CB450" s="45"/>
      <c r="CC450" s="45"/>
      <c r="CD450" s="463"/>
      <c r="CE450">
        <v>0</v>
      </c>
      <c r="CF450">
        <v>0</v>
      </c>
      <c r="CG450">
        <v>0</v>
      </c>
      <c r="CH450">
        <v>0</v>
      </c>
      <c r="CI450">
        <v>0</v>
      </c>
      <c r="CJ450">
        <v>0</v>
      </c>
      <c r="CK450">
        <v>0</v>
      </c>
      <c r="CL450">
        <v>0</v>
      </c>
      <c r="CM450">
        <v>0</v>
      </c>
      <c r="CN450">
        <v>0</v>
      </c>
      <c r="CO450">
        <v>0</v>
      </c>
      <c r="CP450">
        <v>0</v>
      </c>
      <c r="CQ450">
        <v>0</v>
      </c>
      <c r="CR450">
        <v>0</v>
      </c>
      <c r="CS450">
        <v>0</v>
      </c>
      <c r="CT450">
        <v>0</v>
      </c>
      <c r="CU450">
        <v>0</v>
      </c>
      <c r="CV450">
        <v>0</v>
      </c>
      <c r="CW450">
        <v>0</v>
      </c>
      <c r="CX450">
        <v>0</v>
      </c>
      <c r="CY450">
        <v>0</v>
      </c>
      <c r="CZ450">
        <v>0</v>
      </c>
      <c r="DA450">
        <v>0</v>
      </c>
      <c r="DB450">
        <v>0</v>
      </c>
      <c r="DC450">
        <v>0</v>
      </c>
      <c r="DD450">
        <v>0</v>
      </c>
      <c r="DE450">
        <v>0</v>
      </c>
      <c r="DF450">
        <v>0</v>
      </c>
      <c r="DG450">
        <v>0</v>
      </c>
      <c r="DH450">
        <v>0</v>
      </c>
      <c r="DI450">
        <v>0</v>
      </c>
      <c r="DJ450">
        <v>0</v>
      </c>
      <c r="DK450">
        <v>0</v>
      </c>
      <c r="DL450">
        <v>0</v>
      </c>
      <c r="DM450">
        <v>0</v>
      </c>
      <c r="DN450">
        <v>0</v>
      </c>
      <c r="DO450">
        <v>0</v>
      </c>
      <c r="DP450">
        <v>0</v>
      </c>
      <c r="DQ450">
        <v>0</v>
      </c>
      <c r="DR450">
        <v>0</v>
      </c>
      <c r="DS450">
        <v>0</v>
      </c>
      <c r="DT450">
        <v>0</v>
      </c>
      <c r="DU450">
        <v>0</v>
      </c>
    </row>
    <row r="451" spans="2:125">
      <c r="B451" s="136">
        <v>442</v>
      </c>
      <c r="C451" s="138">
        <v>1</v>
      </c>
      <c r="D451" s="474">
        <v>3280.5793518680539</v>
      </c>
      <c r="E451" s="127">
        <v>221.48282371097594</v>
      </c>
      <c r="F451" s="447">
        <v>0.42337619141109895</v>
      </c>
      <c r="G451" s="127">
        <v>135.08209484928977</v>
      </c>
      <c r="H451" s="132">
        <v>56.836835711435299</v>
      </c>
      <c r="I451" s="456"/>
      <c r="J451" s="45"/>
      <c r="K451" s="45">
        <v>540</v>
      </c>
      <c r="L451" s="463"/>
      <c r="M451" s="456">
        <v>36.5384521484375</v>
      </c>
      <c r="N451" s="457"/>
      <c r="O451" s="456"/>
      <c r="P451" s="46"/>
      <c r="Q451" s="463">
        <v>72.864891052246094</v>
      </c>
      <c r="R451" s="449"/>
      <c r="S451" s="463"/>
      <c r="T451" s="480"/>
      <c r="U451" s="468"/>
      <c r="V451" s="449"/>
      <c r="W451" s="45">
        <v>1702.205322265625</v>
      </c>
      <c r="X451" s="463">
        <v>141.15458679199219</v>
      </c>
      <c r="Y451" s="449"/>
      <c r="Z451" s="45"/>
      <c r="AA451" s="468">
        <v>0.41317447999413087</v>
      </c>
      <c r="AB451" s="456"/>
      <c r="AC451" s="46"/>
      <c r="AD451" s="46"/>
      <c r="AE451" s="46"/>
      <c r="AF451" s="46"/>
      <c r="AG451" s="46"/>
      <c r="AH451" s="46"/>
      <c r="AI451" s="457"/>
      <c r="AJ451" s="138"/>
      <c r="AK451" s="745"/>
      <c r="AL451" s="54"/>
      <c r="AM451" s="468"/>
      <c r="AN451" s="449"/>
      <c r="AO451" s="45"/>
      <c r="AP451" s="45"/>
      <c r="AQ451" s="45"/>
      <c r="AR451" s="45"/>
      <c r="AS451" s="45"/>
      <c r="AT451" s="45"/>
      <c r="AU451" s="463"/>
      <c r="AV451" s="449"/>
      <c r="AW451" s="45"/>
      <c r="AX451" s="45"/>
      <c r="AY451" s="45"/>
      <c r="AZ451" s="45"/>
      <c r="BA451" s="45"/>
      <c r="BB451" s="45"/>
      <c r="BC451" s="463"/>
      <c r="BD451" s="456"/>
      <c r="BE451" s="46"/>
      <c r="BF451" s="46"/>
      <c r="BG451" s="46"/>
      <c r="BH451" s="46"/>
      <c r="BI451" s="46"/>
      <c r="BJ451" s="457"/>
      <c r="BK451" s="449">
        <v>0</v>
      </c>
      <c r="BL451" s="45"/>
      <c r="BM451" s="45"/>
      <c r="BN451" s="45"/>
      <c r="BO451" s="45"/>
      <c r="BP451" s="45"/>
      <c r="BQ451" s="45"/>
      <c r="BR451" s="45"/>
      <c r="BS451" s="45"/>
      <c r="BT451" s="45"/>
      <c r="BU451" s="45"/>
      <c r="BV451" s="45"/>
      <c r="BW451" s="45"/>
      <c r="BX451" s="45"/>
      <c r="BY451" s="45"/>
      <c r="BZ451" s="45"/>
      <c r="CA451" s="45"/>
      <c r="CB451" s="45"/>
      <c r="CC451" s="45"/>
      <c r="CD451" s="463"/>
      <c r="CE451">
        <v>0</v>
      </c>
      <c r="CF451">
        <v>0</v>
      </c>
      <c r="CG451">
        <v>0</v>
      </c>
      <c r="CH451">
        <v>0</v>
      </c>
      <c r="CI451">
        <v>0</v>
      </c>
      <c r="CJ451">
        <v>0</v>
      </c>
      <c r="CK451">
        <v>0</v>
      </c>
      <c r="CL451">
        <v>0</v>
      </c>
      <c r="CM451">
        <v>0</v>
      </c>
      <c r="CN451">
        <v>0</v>
      </c>
      <c r="CO451">
        <v>0</v>
      </c>
      <c r="CP451">
        <v>0</v>
      </c>
      <c r="CQ451">
        <v>0</v>
      </c>
      <c r="CR451">
        <v>0</v>
      </c>
      <c r="CS451">
        <v>0</v>
      </c>
      <c r="CT451">
        <v>0</v>
      </c>
      <c r="CU451">
        <v>0</v>
      </c>
      <c r="CV451">
        <v>0</v>
      </c>
      <c r="CW451">
        <v>0</v>
      </c>
      <c r="CX451">
        <v>0</v>
      </c>
      <c r="CY451">
        <v>0</v>
      </c>
      <c r="CZ451">
        <v>0</v>
      </c>
      <c r="DA451">
        <v>0</v>
      </c>
      <c r="DB451">
        <v>0</v>
      </c>
      <c r="DC451">
        <v>0</v>
      </c>
      <c r="DD451">
        <v>0</v>
      </c>
      <c r="DE451">
        <v>0</v>
      </c>
      <c r="DF451">
        <v>0</v>
      </c>
      <c r="DG451">
        <v>0</v>
      </c>
      <c r="DH451">
        <v>0</v>
      </c>
      <c r="DI451">
        <v>0</v>
      </c>
      <c r="DJ451">
        <v>0</v>
      </c>
      <c r="DK451">
        <v>0</v>
      </c>
      <c r="DL451">
        <v>0</v>
      </c>
      <c r="DM451">
        <v>0</v>
      </c>
      <c r="DN451">
        <v>0</v>
      </c>
      <c r="DO451">
        <v>0</v>
      </c>
      <c r="DP451">
        <v>0</v>
      </c>
      <c r="DQ451">
        <v>0</v>
      </c>
      <c r="DR451">
        <v>0</v>
      </c>
      <c r="DS451">
        <v>0</v>
      </c>
      <c r="DT451">
        <v>0</v>
      </c>
      <c r="DU451">
        <v>0</v>
      </c>
    </row>
    <row r="452" spans="2:125">
      <c r="B452" s="136">
        <v>443</v>
      </c>
      <c r="C452" s="138">
        <v>1</v>
      </c>
      <c r="D452" s="474">
        <v>3393.9405434814789</v>
      </c>
      <c r="E452" s="127">
        <v>271.69338923521843</v>
      </c>
      <c r="F452" s="447">
        <v>0.39341389699217677</v>
      </c>
      <c r="G452" s="127">
        <v>118.3886190553235</v>
      </c>
      <c r="H452" s="132">
        <v>56.099949218737322</v>
      </c>
      <c r="I452" s="456"/>
      <c r="J452" s="45"/>
      <c r="K452" s="45">
        <v>480</v>
      </c>
      <c r="L452" s="463"/>
      <c r="M452" s="456">
        <v>30.967247009277344</v>
      </c>
      <c r="N452" s="457"/>
      <c r="O452" s="456"/>
      <c r="P452" s="46"/>
      <c r="Q452" s="463">
        <v>67.200027465820313</v>
      </c>
      <c r="R452" s="449"/>
      <c r="S452" s="463"/>
      <c r="T452" s="480"/>
      <c r="U452" s="468"/>
      <c r="V452" s="449"/>
      <c r="W452" s="45">
        <v>1386.4664306640625</v>
      </c>
      <c r="X452" s="463">
        <v>117.93870544433594</v>
      </c>
      <c r="Y452" s="449"/>
      <c r="Z452" s="45"/>
      <c r="AA452" s="468">
        <v>0.3837294969507643</v>
      </c>
      <c r="AB452" s="456"/>
      <c r="AC452" s="46"/>
      <c r="AD452" s="46"/>
      <c r="AE452" s="46"/>
      <c r="AF452" s="46"/>
      <c r="AG452" s="46"/>
      <c r="AH452" s="46"/>
      <c r="AI452" s="457"/>
      <c r="AJ452" s="138"/>
      <c r="AK452" s="745"/>
      <c r="AL452" s="54"/>
      <c r="AM452" s="468"/>
      <c r="AN452" s="449"/>
      <c r="AO452" s="45"/>
      <c r="AP452" s="45"/>
      <c r="AQ452" s="45"/>
      <c r="AR452" s="45"/>
      <c r="AS452" s="45"/>
      <c r="AT452" s="45"/>
      <c r="AU452" s="463"/>
      <c r="AV452" s="449"/>
      <c r="AW452" s="45"/>
      <c r="AX452" s="45"/>
      <c r="AY452" s="45"/>
      <c r="AZ452" s="45"/>
      <c r="BA452" s="45"/>
      <c r="BB452" s="45"/>
      <c r="BC452" s="463"/>
      <c r="BD452" s="456"/>
      <c r="BE452" s="46"/>
      <c r="BF452" s="46"/>
      <c r="BG452" s="46"/>
      <c r="BH452" s="46"/>
      <c r="BI452" s="46"/>
      <c r="BJ452" s="457"/>
      <c r="BK452" s="449">
        <v>0</v>
      </c>
      <c r="BL452" s="45"/>
      <c r="BM452" s="45"/>
      <c r="BN452" s="45"/>
      <c r="BO452" s="45"/>
      <c r="BP452" s="45"/>
      <c r="BQ452" s="45"/>
      <c r="BR452" s="45"/>
      <c r="BS452" s="45"/>
      <c r="BT452" s="45"/>
      <c r="BU452" s="45"/>
      <c r="BV452" s="45"/>
      <c r="BW452" s="45"/>
      <c r="BX452" s="45"/>
      <c r="BY452" s="45"/>
      <c r="BZ452" s="45"/>
      <c r="CA452" s="45"/>
      <c r="CB452" s="45"/>
      <c r="CC452" s="45"/>
      <c r="CD452" s="463"/>
      <c r="CE452">
        <v>0</v>
      </c>
      <c r="CF452">
        <v>0</v>
      </c>
      <c r="CG452">
        <v>0</v>
      </c>
      <c r="CH452">
        <v>0</v>
      </c>
      <c r="CI452">
        <v>0</v>
      </c>
      <c r="CJ452">
        <v>0</v>
      </c>
      <c r="CK452">
        <v>0</v>
      </c>
      <c r="CL452">
        <v>0</v>
      </c>
      <c r="CM452">
        <v>0</v>
      </c>
      <c r="CN452">
        <v>0</v>
      </c>
      <c r="CO452">
        <v>0</v>
      </c>
      <c r="CP452">
        <v>0</v>
      </c>
      <c r="CQ452">
        <v>0</v>
      </c>
      <c r="CR452">
        <v>0</v>
      </c>
      <c r="CS452">
        <v>0</v>
      </c>
      <c r="CT452">
        <v>0</v>
      </c>
      <c r="CU452">
        <v>0</v>
      </c>
      <c r="CV452">
        <v>0</v>
      </c>
      <c r="CW452">
        <v>0</v>
      </c>
      <c r="CX452">
        <v>0</v>
      </c>
      <c r="CY452">
        <v>0</v>
      </c>
      <c r="CZ452">
        <v>0</v>
      </c>
      <c r="DA452">
        <v>0</v>
      </c>
      <c r="DB452">
        <v>0</v>
      </c>
      <c r="DC452">
        <v>0</v>
      </c>
      <c r="DD452">
        <v>0</v>
      </c>
      <c r="DE452">
        <v>0</v>
      </c>
      <c r="DF452">
        <v>0</v>
      </c>
      <c r="DG452">
        <v>0</v>
      </c>
      <c r="DH452">
        <v>0</v>
      </c>
      <c r="DI452">
        <v>0</v>
      </c>
      <c r="DJ452">
        <v>0</v>
      </c>
      <c r="DK452">
        <v>0</v>
      </c>
      <c r="DL452">
        <v>0</v>
      </c>
      <c r="DM452">
        <v>0</v>
      </c>
      <c r="DN452">
        <v>0</v>
      </c>
      <c r="DO452">
        <v>0</v>
      </c>
      <c r="DP452">
        <v>0</v>
      </c>
      <c r="DQ452">
        <v>0</v>
      </c>
      <c r="DR452">
        <v>0</v>
      </c>
      <c r="DS452">
        <v>0</v>
      </c>
      <c r="DT452">
        <v>0</v>
      </c>
      <c r="DU452">
        <v>0</v>
      </c>
    </row>
    <row r="453" spans="2:125">
      <c r="B453" s="136">
        <v>444</v>
      </c>
      <c r="C453" s="138">
        <v>1</v>
      </c>
      <c r="D453" s="474">
        <v>3927.3468908197819</v>
      </c>
      <c r="E453" s="127">
        <v>247.44665712820839</v>
      </c>
      <c r="F453" s="447">
        <v>0.41845330849088119</v>
      </c>
      <c r="G453" s="127">
        <v>138.83156267500186</v>
      </c>
      <c r="H453" s="132">
        <v>59.966315025688523</v>
      </c>
      <c r="I453" s="456"/>
      <c r="J453" s="45"/>
      <c r="K453" s="45">
        <v>570</v>
      </c>
      <c r="L453" s="463"/>
      <c r="M453" s="456">
        <v>35.651985168457031</v>
      </c>
      <c r="N453" s="457"/>
      <c r="O453" s="456"/>
      <c r="P453" s="46"/>
      <c r="Q453" s="463">
        <v>77.761466979980469</v>
      </c>
      <c r="R453" s="449"/>
      <c r="S453" s="463"/>
      <c r="T453" s="480"/>
      <c r="U453" s="468"/>
      <c r="V453" s="449"/>
      <c r="W453" s="45">
        <v>1731.342529296875</v>
      </c>
      <c r="X453" s="463">
        <v>143.36874389648437</v>
      </c>
      <c r="Y453" s="449"/>
      <c r="Z453" s="45"/>
      <c r="AA453" s="468">
        <v>0.40995671598263644</v>
      </c>
      <c r="AB453" s="456"/>
      <c r="AC453" s="46"/>
      <c r="AD453" s="46"/>
      <c r="AE453" s="46"/>
      <c r="AF453" s="46"/>
      <c r="AG453" s="46"/>
      <c r="AH453" s="46"/>
      <c r="AI453" s="457"/>
      <c r="AJ453" s="138"/>
      <c r="AK453" s="745"/>
      <c r="AL453" s="54"/>
      <c r="AM453" s="468"/>
      <c r="AN453" s="449"/>
      <c r="AO453" s="45"/>
      <c r="AP453" s="45"/>
      <c r="AQ453" s="45"/>
      <c r="AR453" s="45"/>
      <c r="AS453" s="45"/>
      <c r="AT453" s="45"/>
      <c r="AU453" s="463"/>
      <c r="AV453" s="449"/>
      <c r="AW453" s="45"/>
      <c r="AX453" s="45"/>
      <c r="AY453" s="45"/>
      <c r="AZ453" s="45"/>
      <c r="BA453" s="45"/>
      <c r="BB453" s="45"/>
      <c r="BC453" s="463"/>
      <c r="BD453" s="456"/>
      <c r="BE453" s="46"/>
      <c r="BF453" s="46"/>
      <c r="BG453" s="46"/>
      <c r="BH453" s="46"/>
      <c r="BI453" s="46"/>
      <c r="BJ453" s="457"/>
      <c r="BK453" s="449">
        <v>0</v>
      </c>
      <c r="BL453" s="45"/>
      <c r="BM453" s="45"/>
      <c r="BN453" s="45"/>
      <c r="BO453" s="45"/>
      <c r="BP453" s="45"/>
      <c r="BQ453" s="45"/>
      <c r="BR453" s="45"/>
      <c r="BS453" s="45"/>
      <c r="BT453" s="45"/>
      <c r="BU453" s="45"/>
      <c r="BV453" s="45"/>
      <c r="BW453" s="45"/>
      <c r="BX453" s="45"/>
      <c r="BY453" s="45"/>
      <c r="BZ453" s="45"/>
      <c r="CA453" s="45"/>
      <c r="CB453" s="45"/>
      <c r="CC453" s="45"/>
      <c r="CD453" s="463"/>
      <c r="CE453">
        <v>0</v>
      </c>
      <c r="CF453">
        <v>0</v>
      </c>
      <c r="CG453">
        <v>0</v>
      </c>
      <c r="CH453">
        <v>0</v>
      </c>
      <c r="CI453">
        <v>0</v>
      </c>
      <c r="CJ453">
        <v>0</v>
      </c>
      <c r="CK453">
        <v>0</v>
      </c>
      <c r="CL453">
        <v>0</v>
      </c>
      <c r="CM453">
        <v>0</v>
      </c>
      <c r="CN453">
        <v>0</v>
      </c>
      <c r="CO453">
        <v>0</v>
      </c>
      <c r="CP453">
        <v>0</v>
      </c>
      <c r="CQ453">
        <v>0</v>
      </c>
      <c r="CR453">
        <v>0</v>
      </c>
      <c r="CS453">
        <v>0</v>
      </c>
      <c r="CT453">
        <v>0</v>
      </c>
      <c r="CU453">
        <v>0</v>
      </c>
      <c r="CV453">
        <v>0</v>
      </c>
      <c r="CW453">
        <v>0</v>
      </c>
      <c r="CX453">
        <v>0</v>
      </c>
      <c r="CY453">
        <v>0</v>
      </c>
      <c r="CZ453">
        <v>0</v>
      </c>
      <c r="DA453">
        <v>0</v>
      </c>
      <c r="DB453">
        <v>0</v>
      </c>
      <c r="DC453">
        <v>0</v>
      </c>
      <c r="DD453">
        <v>0</v>
      </c>
      <c r="DE453">
        <v>0</v>
      </c>
      <c r="DF453">
        <v>0</v>
      </c>
      <c r="DG453">
        <v>0</v>
      </c>
      <c r="DH453">
        <v>0</v>
      </c>
      <c r="DI453">
        <v>0</v>
      </c>
      <c r="DJ453">
        <v>0</v>
      </c>
      <c r="DK453">
        <v>0</v>
      </c>
      <c r="DL453">
        <v>0</v>
      </c>
      <c r="DM453">
        <v>0</v>
      </c>
      <c r="DN453">
        <v>0</v>
      </c>
      <c r="DO453">
        <v>0</v>
      </c>
      <c r="DP453">
        <v>0</v>
      </c>
      <c r="DQ453">
        <v>0</v>
      </c>
      <c r="DR453">
        <v>0</v>
      </c>
      <c r="DS453">
        <v>0</v>
      </c>
      <c r="DT453">
        <v>0</v>
      </c>
      <c r="DU453">
        <v>0</v>
      </c>
    </row>
    <row r="454" spans="2:125">
      <c r="B454" s="136">
        <v>445</v>
      </c>
      <c r="C454" s="138">
        <v>1</v>
      </c>
      <c r="D454" s="474">
        <v>2625.3576640095594</v>
      </c>
      <c r="E454" s="127">
        <v>264.6933079602839</v>
      </c>
      <c r="F454" s="447">
        <v>0.42885197002925951</v>
      </c>
      <c r="G454" s="127">
        <v>97.982112690804996</v>
      </c>
      <c r="H454" s="132">
        <v>46.147174588837487</v>
      </c>
      <c r="I454" s="456"/>
      <c r="J454" s="45"/>
      <c r="K454" s="45">
        <v>390</v>
      </c>
      <c r="L454" s="463"/>
      <c r="M454" s="456">
        <v>35.459423065185547</v>
      </c>
      <c r="N454" s="457"/>
      <c r="O454" s="456"/>
      <c r="P454" s="46"/>
      <c r="Q454" s="463">
        <v>51.982082366943359</v>
      </c>
      <c r="R454" s="449"/>
      <c r="S454" s="463"/>
      <c r="T454" s="480"/>
      <c r="U454" s="468"/>
      <c r="V454" s="449"/>
      <c r="W454" s="45">
        <v>1307.7784423828125</v>
      </c>
      <c r="X454" s="463">
        <v>111.83739471435547</v>
      </c>
      <c r="Y454" s="449"/>
      <c r="Z454" s="45"/>
      <c r="AA454" s="468">
        <v>0.41606245953288595</v>
      </c>
      <c r="AB454" s="456"/>
      <c r="AC454" s="46"/>
      <c r="AD454" s="46"/>
      <c r="AE454" s="46"/>
      <c r="AF454" s="46"/>
      <c r="AG454" s="46"/>
      <c r="AH454" s="46"/>
      <c r="AI454" s="457"/>
      <c r="AJ454" s="138"/>
      <c r="AK454" s="745"/>
      <c r="AL454" s="54"/>
      <c r="AM454" s="468"/>
      <c r="AN454" s="449"/>
      <c r="AO454" s="45"/>
      <c r="AP454" s="45"/>
      <c r="AQ454" s="45"/>
      <c r="AR454" s="45"/>
      <c r="AS454" s="45"/>
      <c r="AT454" s="45"/>
      <c r="AU454" s="463"/>
      <c r="AV454" s="449"/>
      <c r="AW454" s="45"/>
      <c r="AX454" s="45"/>
      <c r="AY454" s="45"/>
      <c r="AZ454" s="45"/>
      <c r="BA454" s="45"/>
      <c r="BB454" s="45"/>
      <c r="BC454" s="463"/>
      <c r="BD454" s="456"/>
      <c r="BE454" s="46"/>
      <c r="BF454" s="46"/>
      <c r="BG454" s="46"/>
      <c r="BH454" s="46"/>
      <c r="BI454" s="46"/>
      <c r="BJ454" s="457"/>
      <c r="BK454" s="449">
        <v>0</v>
      </c>
      <c r="BL454" s="45"/>
      <c r="BM454" s="45"/>
      <c r="BN454" s="45"/>
      <c r="BO454" s="45"/>
      <c r="BP454" s="45"/>
      <c r="BQ454" s="45"/>
      <c r="BR454" s="45"/>
      <c r="BS454" s="45"/>
      <c r="BT454" s="45"/>
      <c r="BU454" s="45"/>
      <c r="BV454" s="45"/>
      <c r="BW454" s="45"/>
      <c r="BX454" s="45"/>
      <c r="BY454" s="45"/>
      <c r="BZ454" s="45"/>
      <c r="CA454" s="45"/>
      <c r="CB454" s="45"/>
      <c r="CC454" s="45"/>
      <c r="CD454" s="463"/>
      <c r="CE454">
        <v>0</v>
      </c>
      <c r="CF454">
        <v>0</v>
      </c>
      <c r="CG454">
        <v>0</v>
      </c>
      <c r="CH454">
        <v>0</v>
      </c>
      <c r="CI454">
        <v>0</v>
      </c>
      <c r="CJ454">
        <v>0</v>
      </c>
      <c r="CK454">
        <v>0</v>
      </c>
      <c r="CL454">
        <v>0</v>
      </c>
      <c r="CM454">
        <v>0</v>
      </c>
      <c r="CN454">
        <v>0</v>
      </c>
      <c r="CO454">
        <v>0</v>
      </c>
      <c r="CP454">
        <v>0</v>
      </c>
      <c r="CQ454">
        <v>0</v>
      </c>
      <c r="CR454">
        <v>0</v>
      </c>
      <c r="CS454">
        <v>0</v>
      </c>
      <c r="CT454">
        <v>0</v>
      </c>
      <c r="CU454">
        <v>0</v>
      </c>
      <c r="CV454">
        <v>0</v>
      </c>
      <c r="CW454">
        <v>0</v>
      </c>
      <c r="CX454">
        <v>0</v>
      </c>
      <c r="CY454">
        <v>0</v>
      </c>
      <c r="CZ454">
        <v>0</v>
      </c>
      <c r="DA454">
        <v>0</v>
      </c>
      <c r="DB454">
        <v>0</v>
      </c>
      <c r="DC454">
        <v>0</v>
      </c>
      <c r="DD454">
        <v>0</v>
      </c>
      <c r="DE454">
        <v>0</v>
      </c>
      <c r="DF454">
        <v>0</v>
      </c>
      <c r="DG454">
        <v>0</v>
      </c>
      <c r="DH454">
        <v>0</v>
      </c>
      <c r="DI454">
        <v>0</v>
      </c>
      <c r="DJ454">
        <v>0</v>
      </c>
      <c r="DK454">
        <v>0</v>
      </c>
      <c r="DL454">
        <v>0</v>
      </c>
      <c r="DM454">
        <v>0</v>
      </c>
      <c r="DN454">
        <v>0</v>
      </c>
      <c r="DO454">
        <v>0</v>
      </c>
      <c r="DP454">
        <v>0</v>
      </c>
      <c r="DQ454">
        <v>0</v>
      </c>
      <c r="DR454">
        <v>0</v>
      </c>
      <c r="DS454">
        <v>0</v>
      </c>
      <c r="DT454">
        <v>0</v>
      </c>
      <c r="DU454">
        <v>0</v>
      </c>
    </row>
    <row r="455" spans="2:125">
      <c r="B455" s="136">
        <v>446</v>
      </c>
      <c r="C455" s="138">
        <v>1</v>
      </c>
      <c r="D455" s="474">
        <v>3184.5670606991216</v>
      </c>
      <c r="E455" s="127">
        <v>237.25404285698494</v>
      </c>
      <c r="F455" s="447">
        <v>0.41632385138716116</v>
      </c>
      <c r="G455" s="127">
        <v>98.448137164506321</v>
      </c>
      <c r="H455" s="132">
        <v>63.933470546152158</v>
      </c>
      <c r="I455" s="456"/>
      <c r="J455" s="45"/>
      <c r="K455" s="45">
        <v>460</v>
      </c>
      <c r="L455" s="463"/>
      <c r="M455" s="456">
        <v>30.681215286254883</v>
      </c>
      <c r="N455" s="457"/>
      <c r="O455" s="456"/>
      <c r="P455" s="46"/>
      <c r="Q455" s="463">
        <v>71.5263671875</v>
      </c>
      <c r="R455" s="449"/>
      <c r="S455" s="463"/>
      <c r="T455" s="480"/>
      <c r="U455" s="468"/>
      <c r="V455" s="449"/>
      <c r="W455" s="45">
        <v>1408.2476806640625</v>
      </c>
      <c r="X455" s="463">
        <v>119.40847778320312</v>
      </c>
      <c r="Y455" s="449"/>
      <c r="Z455" s="45"/>
      <c r="AA455" s="468">
        <v>0.40585885680782668</v>
      </c>
      <c r="AB455" s="456"/>
      <c r="AC455" s="46"/>
      <c r="AD455" s="46"/>
      <c r="AE455" s="46"/>
      <c r="AF455" s="46"/>
      <c r="AG455" s="46"/>
      <c r="AH455" s="46"/>
      <c r="AI455" s="457"/>
      <c r="AJ455" s="138"/>
      <c r="AK455" s="745"/>
      <c r="AL455" s="54"/>
      <c r="AM455" s="468"/>
      <c r="AN455" s="449"/>
      <c r="AO455" s="45"/>
      <c r="AP455" s="45"/>
      <c r="AQ455" s="45"/>
      <c r="AR455" s="45"/>
      <c r="AS455" s="45"/>
      <c r="AT455" s="45"/>
      <c r="AU455" s="463"/>
      <c r="AV455" s="449"/>
      <c r="AW455" s="45"/>
      <c r="AX455" s="45"/>
      <c r="AY455" s="45"/>
      <c r="AZ455" s="45"/>
      <c r="BA455" s="45"/>
      <c r="BB455" s="45"/>
      <c r="BC455" s="463"/>
      <c r="BD455" s="456"/>
      <c r="BE455" s="46"/>
      <c r="BF455" s="46"/>
      <c r="BG455" s="46"/>
      <c r="BH455" s="46"/>
      <c r="BI455" s="46"/>
      <c r="BJ455" s="457"/>
      <c r="BK455" s="449">
        <v>0</v>
      </c>
      <c r="BL455" s="45"/>
      <c r="BM455" s="45"/>
      <c r="BN455" s="45"/>
      <c r="BO455" s="45"/>
      <c r="BP455" s="45"/>
      <c r="BQ455" s="45"/>
      <c r="BR455" s="45"/>
      <c r="BS455" s="45"/>
      <c r="BT455" s="45"/>
      <c r="BU455" s="45"/>
      <c r="BV455" s="45"/>
      <c r="BW455" s="45"/>
      <c r="BX455" s="45"/>
      <c r="BY455" s="45"/>
      <c r="BZ455" s="45"/>
      <c r="CA455" s="45"/>
      <c r="CB455" s="45"/>
      <c r="CC455" s="45"/>
      <c r="CD455" s="463"/>
      <c r="CE455">
        <v>0</v>
      </c>
      <c r="CF455">
        <v>0</v>
      </c>
      <c r="CG455">
        <v>0</v>
      </c>
      <c r="CH455">
        <v>0</v>
      </c>
      <c r="CI455">
        <v>0</v>
      </c>
      <c r="CJ455">
        <v>0</v>
      </c>
      <c r="CK455">
        <v>0</v>
      </c>
      <c r="CL455">
        <v>0</v>
      </c>
      <c r="CM455">
        <v>0</v>
      </c>
      <c r="CN455">
        <v>0</v>
      </c>
      <c r="CO455">
        <v>0</v>
      </c>
      <c r="CP455">
        <v>0</v>
      </c>
      <c r="CQ455">
        <v>0</v>
      </c>
      <c r="CR455">
        <v>0</v>
      </c>
      <c r="CS455">
        <v>0</v>
      </c>
      <c r="CT455">
        <v>0</v>
      </c>
      <c r="CU455">
        <v>0</v>
      </c>
      <c r="CV455">
        <v>0</v>
      </c>
      <c r="CW455">
        <v>0</v>
      </c>
      <c r="CX455">
        <v>0</v>
      </c>
      <c r="CY455">
        <v>0</v>
      </c>
      <c r="CZ455">
        <v>0</v>
      </c>
      <c r="DA455">
        <v>0</v>
      </c>
      <c r="DB455">
        <v>0</v>
      </c>
      <c r="DC455">
        <v>0</v>
      </c>
      <c r="DD455">
        <v>0</v>
      </c>
      <c r="DE455">
        <v>0</v>
      </c>
      <c r="DF455">
        <v>0</v>
      </c>
      <c r="DG455">
        <v>0</v>
      </c>
      <c r="DH455">
        <v>0</v>
      </c>
      <c r="DI455">
        <v>0</v>
      </c>
      <c r="DJ455">
        <v>0</v>
      </c>
      <c r="DK455">
        <v>0</v>
      </c>
      <c r="DL455">
        <v>0</v>
      </c>
      <c r="DM455">
        <v>0</v>
      </c>
      <c r="DN455">
        <v>0</v>
      </c>
      <c r="DO455">
        <v>0</v>
      </c>
      <c r="DP455">
        <v>0</v>
      </c>
      <c r="DQ455">
        <v>0</v>
      </c>
      <c r="DR455">
        <v>0</v>
      </c>
      <c r="DS455">
        <v>0</v>
      </c>
      <c r="DT455">
        <v>0</v>
      </c>
      <c r="DU455">
        <v>0</v>
      </c>
    </row>
    <row r="456" spans="2:125">
      <c r="B456" s="136">
        <v>447</v>
      </c>
      <c r="C456" s="138">
        <v>1</v>
      </c>
      <c r="D456" s="474">
        <v>4104.6543174597427</v>
      </c>
      <c r="E456" s="127">
        <v>251.10270513727264</v>
      </c>
      <c r="F456" s="447">
        <v>0.40327408454514907</v>
      </c>
      <c r="G456" s="127">
        <v>169.06811516754539</v>
      </c>
      <c r="H456" s="132">
        <v>55.580615599740128</v>
      </c>
      <c r="I456" s="456"/>
      <c r="J456" s="45"/>
      <c r="K456" s="45">
        <v>640</v>
      </c>
      <c r="L456" s="463"/>
      <c r="M456" s="456">
        <v>36.762969970703125</v>
      </c>
      <c r="N456" s="457"/>
      <c r="O456" s="456"/>
      <c r="P456" s="46"/>
      <c r="Q456" s="463">
        <v>81.27215576171875</v>
      </c>
      <c r="R456" s="449"/>
      <c r="S456" s="463"/>
      <c r="T456" s="480"/>
      <c r="U456" s="468"/>
      <c r="V456" s="449"/>
      <c r="W456" s="45">
        <v>1853.7659912109375</v>
      </c>
      <c r="X456" s="463">
        <v>152.59400939941406</v>
      </c>
      <c r="Y456" s="449"/>
      <c r="Z456" s="45"/>
      <c r="AA456" s="468">
        <v>0.3952184776331969</v>
      </c>
      <c r="AB456" s="456"/>
      <c r="AC456" s="46"/>
      <c r="AD456" s="46"/>
      <c r="AE456" s="46"/>
      <c r="AF456" s="46"/>
      <c r="AG456" s="46"/>
      <c r="AH456" s="46"/>
      <c r="AI456" s="457"/>
      <c r="AJ456" s="138"/>
      <c r="AK456" s="745"/>
      <c r="AL456" s="54"/>
      <c r="AM456" s="468"/>
      <c r="AN456" s="449"/>
      <c r="AO456" s="45"/>
      <c r="AP456" s="45"/>
      <c r="AQ456" s="45"/>
      <c r="AR456" s="45"/>
      <c r="AS456" s="45"/>
      <c r="AT456" s="45"/>
      <c r="AU456" s="463"/>
      <c r="AV456" s="449"/>
      <c r="AW456" s="45"/>
      <c r="AX456" s="45"/>
      <c r="AY456" s="45"/>
      <c r="AZ456" s="45"/>
      <c r="BA456" s="45"/>
      <c r="BB456" s="45"/>
      <c r="BC456" s="463"/>
      <c r="BD456" s="456"/>
      <c r="BE456" s="46"/>
      <c r="BF456" s="46"/>
      <c r="BG456" s="46"/>
      <c r="BH456" s="46"/>
      <c r="BI456" s="46"/>
      <c r="BJ456" s="457"/>
      <c r="BK456" s="449">
        <v>0</v>
      </c>
      <c r="BL456" s="45"/>
      <c r="BM456" s="45"/>
      <c r="BN456" s="45"/>
      <c r="BO456" s="45"/>
      <c r="BP456" s="45"/>
      <c r="BQ456" s="45"/>
      <c r="BR456" s="45"/>
      <c r="BS456" s="45"/>
      <c r="BT456" s="45"/>
      <c r="BU456" s="45"/>
      <c r="BV456" s="45"/>
      <c r="BW456" s="45"/>
      <c r="BX456" s="45"/>
      <c r="BY456" s="45"/>
      <c r="BZ456" s="45"/>
      <c r="CA456" s="45"/>
      <c r="CB456" s="45"/>
      <c r="CC456" s="45"/>
      <c r="CD456" s="463"/>
      <c r="CE456">
        <v>0</v>
      </c>
      <c r="CF456">
        <v>0</v>
      </c>
      <c r="CG456">
        <v>0</v>
      </c>
      <c r="CH456">
        <v>0</v>
      </c>
      <c r="CI456">
        <v>0</v>
      </c>
      <c r="CJ456">
        <v>0</v>
      </c>
      <c r="CK456">
        <v>0</v>
      </c>
      <c r="CL456">
        <v>0</v>
      </c>
      <c r="CM456">
        <v>0</v>
      </c>
      <c r="CN456">
        <v>0</v>
      </c>
      <c r="CO456">
        <v>0</v>
      </c>
      <c r="CP456">
        <v>0</v>
      </c>
      <c r="CQ456">
        <v>0</v>
      </c>
      <c r="CR456">
        <v>0</v>
      </c>
      <c r="CS456">
        <v>0</v>
      </c>
      <c r="CT456">
        <v>0</v>
      </c>
      <c r="CU456">
        <v>0</v>
      </c>
      <c r="CV456">
        <v>0</v>
      </c>
      <c r="CW456">
        <v>0</v>
      </c>
      <c r="CX456">
        <v>0</v>
      </c>
      <c r="CY456">
        <v>0</v>
      </c>
      <c r="CZ456">
        <v>0</v>
      </c>
      <c r="DA456">
        <v>0</v>
      </c>
      <c r="DB456">
        <v>0</v>
      </c>
      <c r="DC456">
        <v>0</v>
      </c>
      <c r="DD456">
        <v>0</v>
      </c>
      <c r="DE456">
        <v>0</v>
      </c>
      <c r="DF456">
        <v>0</v>
      </c>
      <c r="DG456">
        <v>0</v>
      </c>
      <c r="DH456">
        <v>0</v>
      </c>
      <c r="DI456">
        <v>0</v>
      </c>
      <c r="DJ456">
        <v>0</v>
      </c>
      <c r="DK456">
        <v>0</v>
      </c>
      <c r="DL456">
        <v>0</v>
      </c>
      <c r="DM456">
        <v>0</v>
      </c>
      <c r="DN456">
        <v>0</v>
      </c>
      <c r="DO456">
        <v>0</v>
      </c>
      <c r="DP456">
        <v>0</v>
      </c>
      <c r="DQ456">
        <v>0</v>
      </c>
      <c r="DR456">
        <v>0</v>
      </c>
      <c r="DS456">
        <v>0</v>
      </c>
      <c r="DT456">
        <v>0</v>
      </c>
      <c r="DU456">
        <v>0</v>
      </c>
    </row>
    <row r="457" spans="2:125">
      <c r="B457" s="136">
        <v>448</v>
      </c>
      <c r="C457" s="138">
        <v>1</v>
      </c>
      <c r="D457" s="474">
        <v>3294.9302212129323</v>
      </c>
      <c r="E457" s="127">
        <v>234.222509675254</v>
      </c>
      <c r="F457" s="447">
        <v>0.40029898841554112</v>
      </c>
      <c r="G457" s="127">
        <v>116.05631203749398</v>
      </c>
      <c r="H457" s="132">
        <v>54.931393380140072</v>
      </c>
      <c r="I457" s="456"/>
      <c r="J457" s="45"/>
      <c r="K457" s="45">
        <v>470</v>
      </c>
      <c r="L457" s="463"/>
      <c r="M457" s="456">
        <v>31.660776138305664</v>
      </c>
      <c r="N457" s="457"/>
      <c r="O457" s="456"/>
      <c r="P457" s="46"/>
      <c r="Q457" s="463">
        <v>65.2396240234375</v>
      </c>
      <c r="R457" s="449"/>
      <c r="S457" s="463"/>
      <c r="T457" s="480"/>
      <c r="U457" s="468"/>
      <c r="V457" s="449"/>
      <c r="W457" s="45">
        <v>1387.4967041015625</v>
      </c>
      <c r="X457" s="463">
        <v>117.96479034423828</v>
      </c>
      <c r="Y457" s="449"/>
      <c r="Z457" s="45"/>
      <c r="AA457" s="468">
        <v>0.39028178697199711</v>
      </c>
      <c r="AB457" s="456"/>
      <c r="AC457" s="46"/>
      <c r="AD457" s="46"/>
      <c r="AE457" s="46"/>
      <c r="AF457" s="46"/>
      <c r="AG457" s="46"/>
      <c r="AH457" s="46"/>
      <c r="AI457" s="457"/>
      <c r="AJ457" s="138"/>
      <c r="AK457" s="745"/>
      <c r="AL457" s="54"/>
      <c r="AM457" s="468"/>
      <c r="AN457" s="449"/>
      <c r="AO457" s="45"/>
      <c r="AP457" s="45"/>
      <c r="AQ457" s="45"/>
      <c r="AR457" s="45"/>
      <c r="AS457" s="45"/>
      <c r="AT457" s="45"/>
      <c r="AU457" s="463"/>
      <c r="AV457" s="449"/>
      <c r="AW457" s="45"/>
      <c r="AX457" s="45"/>
      <c r="AY457" s="45"/>
      <c r="AZ457" s="45"/>
      <c r="BA457" s="45"/>
      <c r="BB457" s="45"/>
      <c r="BC457" s="463"/>
      <c r="BD457" s="456"/>
      <c r="BE457" s="46"/>
      <c r="BF457" s="46"/>
      <c r="BG457" s="46"/>
      <c r="BH457" s="46"/>
      <c r="BI457" s="46"/>
      <c r="BJ457" s="457"/>
      <c r="BK457" s="449">
        <v>0</v>
      </c>
      <c r="BL457" s="45"/>
      <c r="BM457" s="45"/>
      <c r="BN457" s="45"/>
      <c r="BO457" s="45"/>
      <c r="BP457" s="45"/>
      <c r="BQ457" s="45"/>
      <c r="BR457" s="45"/>
      <c r="BS457" s="45"/>
      <c r="BT457" s="45"/>
      <c r="BU457" s="45"/>
      <c r="BV457" s="45"/>
      <c r="BW457" s="45"/>
      <c r="BX457" s="45"/>
      <c r="BY457" s="45"/>
      <c r="BZ457" s="45"/>
      <c r="CA457" s="45"/>
      <c r="CB457" s="45"/>
      <c r="CC457" s="45"/>
      <c r="CD457" s="463"/>
      <c r="CE457">
        <v>0</v>
      </c>
      <c r="CF457">
        <v>0</v>
      </c>
      <c r="CG457">
        <v>0</v>
      </c>
      <c r="CH457">
        <v>0</v>
      </c>
      <c r="CI457">
        <v>0</v>
      </c>
      <c r="CJ457">
        <v>0</v>
      </c>
      <c r="CK457">
        <v>0</v>
      </c>
      <c r="CL457">
        <v>0</v>
      </c>
      <c r="CM457">
        <v>0</v>
      </c>
      <c r="CN457">
        <v>0</v>
      </c>
      <c r="CO457">
        <v>0</v>
      </c>
      <c r="CP457">
        <v>0</v>
      </c>
      <c r="CQ457">
        <v>0</v>
      </c>
      <c r="CR457">
        <v>0</v>
      </c>
      <c r="CS457">
        <v>0</v>
      </c>
      <c r="CT457">
        <v>0</v>
      </c>
      <c r="CU457">
        <v>0</v>
      </c>
      <c r="CV457">
        <v>0</v>
      </c>
      <c r="CW457">
        <v>0</v>
      </c>
      <c r="CX457">
        <v>0</v>
      </c>
      <c r="CY457">
        <v>0</v>
      </c>
      <c r="CZ457">
        <v>0</v>
      </c>
      <c r="DA457">
        <v>0</v>
      </c>
      <c r="DB457">
        <v>0</v>
      </c>
      <c r="DC457">
        <v>0</v>
      </c>
      <c r="DD457">
        <v>0</v>
      </c>
      <c r="DE457">
        <v>0</v>
      </c>
      <c r="DF457">
        <v>0</v>
      </c>
      <c r="DG457">
        <v>0</v>
      </c>
      <c r="DH457">
        <v>0</v>
      </c>
      <c r="DI457">
        <v>0</v>
      </c>
      <c r="DJ457">
        <v>0</v>
      </c>
      <c r="DK457">
        <v>0</v>
      </c>
      <c r="DL457">
        <v>0</v>
      </c>
      <c r="DM457">
        <v>0</v>
      </c>
      <c r="DN457">
        <v>0</v>
      </c>
      <c r="DO457">
        <v>0</v>
      </c>
      <c r="DP457">
        <v>0</v>
      </c>
      <c r="DQ457">
        <v>0</v>
      </c>
      <c r="DR457">
        <v>0</v>
      </c>
      <c r="DS457">
        <v>0</v>
      </c>
      <c r="DT457">
        <v>0</v>
      </c>
      <c r="DU457">
        <v>0</v>
      </c>
    </row>
    <row r="458" spans="2:125">
      <c r="B458" s="136">
        <v>449</v>
      </c>
      <c r="C458" s="138">
        <v>1</v>
      </c>
      <c r="D458" s="474">
        <v>3248.9275386085069</v>
      </c>
      <c r="E458" s="127">
        <v>241.01208431110308</v>
      </c>
      <c r="F458" s="447">
        <v>0.35922991134743965</v>
      </c>
      <c r="G458" s="127">
        <v>118.9088782728286</v>
      </c>
      <c r="H458" s="132">
        <v>60.346065212594581</v>
      </c>
      <c r="I458" s="456"/>
      <c r="J458" s="45"/>
      <c r="K458" s="45">
        <v>500</v>
      </c>
      <c r="L458" s="463"/>
      <c r="M458" s="456">
        <v>27.048774719238281</v>
      </c>
      <c r="N458" s="457"/>
      <c r="O458" s="456"/>
      <c r="P458" s="46"/>
      <c r="Q458" s="463">
        <v>72.49298095703125</v>
      </c>
      <c r="R458" s="449"/>
      <c r="S458" s="463"/>
      <c r="T458" s="480"/>
      <c r="U458" s="468"/>
      <c r="V458" s="449"/>
      <c r="W458" s="45">
        <v>1285.47314453125</v>
      </c>
      <c r="X458" s="463">
        <v>110.65435791015625</v>
      </c>
      <c r="Y458" s="449"/>
      <c r="Z458" s="45"/>
      <c r="AA458" s="468">
        <v>0.34932368911118344</v>
      </c>
      <c r="AB458" s="456"/>
      <c r="AC458" s="46"/>
      <c r="AD458" s="46"/>
      <c r="AE458" s="46"/>
      <c r="AF458" s="46"/>
      <c r="AG458" s="46"/>
      <c r="AH458" s="46"/>
      <c r="AI458" s="457"/>
      <c r="AJ458" s="138"/>
      <c r="AK458" s="745"/>
      <c r="AL458" s="54"/>
      <c r="AM458" s="468"/>
      <c r="AN458" s="449"/>
      <c r="AO458" s="45"/>
      <c r="AP458" s="45"/>
      <c r="AQ458" s="45"/>
      <c r="AR458" s="45"/>
      <c r="AS458" s="45"/>
      <c r="AT458" s="45"/>
      <c r="AU458" s="463"/>
      <c r="AV458" s="449"/>
      <c r="AW458" s="45"/>
      <c r="AX458" s="45"/>
      <c r="AY458" s="45"/>
      <c r="AZ458" s="45"/>
      <c r="BA458" s="45"/>
      <c r="BB458" s="45"/>
      <c r="BC458" s="463"/>
      <c r="BD458" s="456"/>
      <c r="BE458" s="46"/>
      <c r="BF458" s="46"/>
      <c r="BG458" s="46"/>
      <c r="BH458" s="46"/>
      <c r="BI458" s="46"/>
      <c r="BJ458" s="457"/>
      <c r="BK458" s="449">
        <v>0</v>
      </c>
      <c r="BL458" s="45"/>
      <c r="BM458" s="45"/>
      <c r="BN458" s="45"/>
      <c r="BO458" s="45"/>
      <c r="BP458" s="45"/>
      <c r="BQ458" s="45"/>
      <c r="BR458" s="45"/>
      <c r="BS458" s="45"/>
      <c r="BT458" s="45"/>
      <c r="BU458" s="45"/>
      <c r="BV458" s="45"/>
      <c r="BW458" s="45"/>
      <c r="BX458" s="45"/>
      <c r="BY458" s="45"/>
      <c r="BZ458" s="45"/>
      <c r="CA458" s="45"/>
      <c r="CB458" s="45"/>
      <c r="CC458" s="45"/>
      <c r="CD458" s="463"/>
      <c r="CE458">
        <v>0</v>
      </c>
      <c r="CF458">
        <v>0</v>
      </c>
      <c r="CG458">
        <v>0</v>
      </c>
      <c r="CH458">
        <v>0</v>
      </c>
      <c r="CI458">
        <v>0</v>
      </c>
      <c r="CJ458">
        <v>0</v>
      </c>
      <c r="CK458">
        <v>0</v>
      </c>
      <c r="CL458">
        <v>0</v>
      </c>
      <c r="CM458">
        <v>0</v>
      </c>
      <c r="CN458">
        <v>0</v>
      </c>
      <c r="CO458">
        <v>0</v>
      </c>
      <c r="CP458">
        <v>0</v>
      </c>
      <c r="CQ458">
        <v>0</v>
      </c>
      <c r="CR458">
        <v>0</v>
      </c>
      <c r="CS458">
        <v>0</v>
      </c>
      <c r="CT458">
        <v>0</v>
      </c>
      <c r="CU458">
        <v>0</v>
      </c>
      <c r="CV458">
        <v>0</v>
      </c>
      <c r="CW458">
        <v>0</v>
      </c>
      <c r="CX458">
        <v>0</v>
      </c>
      <c r="CY458">
        <v>0</v>
      </c>
      <c r="CZ458">
        <v>0</v>
      </c>
      <c r="DA458">
        <v>0</v>
      </c>
      <c r="DB458">
        <v>0</v>
      </c>
      <c r="DC458">
        <v>0</v>
      </c>
      <c r="DD458">
        <v>0</v>
      </c>
      <c r="DE458">
        <v>0</v>
      </c>
      <c r="DF458">
        <v>0</v>
      </c>
      <c r="DG458">
        <v>0</v>
      </c>
      <c r="DH458">
        <v>0</v>
      </c>
      <c r="DI458">
        <v>0</v>
      </c>
      <c r="DJ458">
        <v>0</v>
      </c>
      <c r="DK458">
        <v>0</v>
      </c>
      <c r="DL458">
        <v>0</v>
      </c>
      <c r="DM458">
        <v>0</v>
      </c>
      <c r="DN458">
        <v>0</v>
      </c>
      <c r="DO458">
        <v>0</v>
      </c>
      <c r="DP458">
        <v>0</v>
      </c>
      <c r="DQ458">
        <v>0</v>
      </c>
      <c r="DR458">
        <v>0</v>
      </c>
      <c r="DS458">
        <v>0</v>
      </c>
      <c r="DT458">
        <v>0</v>
      </c>
      <c r="DU458">
        <v>0</v>
      </c>
    </row>
    <row r="459" spans="2:125">
      <c r="B459" s="136">
        <v>450</v>
      </c>
      <c r="C459" s="138">
        <v>1</v>
      </c>
      <c r="D459" s="474">
        <v>3323.243627674965</v>
      </c>
      <c r="E459" s="127">
        <v>306.8926121855049</v>
      </c>
      <c r="F459" s="447">
        <v>0.38469920353745235</v>
      </c>
      <c r="G459" s="127">
        <v>135.77239410437357</v>
      </c>
      <c r="H459" s="132">
        <v>57.402549425492168</v>
      </c>
      <c r="I459" s="456"/>
      <c r="J459" s="45"/>
      <c r="K459" s="45">
        <v>540</v>
      </c>
      <c r="L459" s="463"/>
      <c r="M459" s="456">
        <v>31.289718627929688</v>
      </c>
      <c r="N459" s="457"/>
      <c r="O459" s="456"/>
      <c r="P459" s="46"/>
      <c r="Q459" s="463">
        <v>73.723587036132813</v>
      </c>
      <c r="R459" s="449"/>
      <c r="S459" s="463"/>
      <c r="T459" s="480"/>
      <c r="U459" s="468"/>
      <c r="V459" s="449"/>
      <c r="W459" s="45">
        <v>1492.4654541015625</v>
      </c>
      <c r="X459" s="463">
        <v>125.89315032958984</v>
      </c>
      <c r="Y459" s="449"/>
      <c r="Z459" s="45"/>
      <c r="AA459" s="468">
        <v>0.37486122963795138</v>
      </c>
      <c r="AB459" s="456"/>
      <c r="AC459" s="46"/>
      <c r="AD459" s="46"/>
      <c r="AE459" s="46"/>
      <c r="AF459" s="46"/>
      <c r="AG459" s="46"/>
      <c r="AH459" s="46"/>
      <c r="AI459" s="457"/>
      <c r="AJ459" s="138"/>
      <c r="AK459" s="745"/>
      <c r="AL459" s="54"/>
      <c r="AM459" s="468"/>
      <c r="AN459" s="449"/>
      <c r="AO459" s="45"/>
      <c r="AP459" s="45"/>
      <c r="AQ459" s="45"/>
      <c r="AR459" s="45"/>
      <c r="AS459" s="45"/>
      <c r="AT459" s="45"/>
      <c r="AU459" s="463"/>
      <c r="AV459" s="449"/>
      <c r="AW459" s="45"/>
      <c r="AX459" s="45"/>
      <c r="AY459" s="45"/>
      <c r="AZ459" s="45"/>
      <c r="BA459" s="45"/>
      <c r="BB459" s="45"/>
      <c r="BC459" s="463"/>
      <c r="BD459" s="456"/>
      <c r="BE459" s="46"/>
      <c r="BF459" s="46"/>
      <c r="BG459" s="46"/>
      <c r="BH459" s="46"/>
      <c r="BI459" s="46"/>
      <c r="BJ459" s="457"/>
      <c r="BK459" s="449">
        <v>0</v>
      </c>
      <c r="BL459" s="45"/>
      <c r="BM459" s="45"/>
      <c r="BN459" s="45"/>
      <c r="BO459" s="45"/>
      <c r="BP459" s="45"/>
      <c r="BQ459" s="45"/>
      <c r="BR459" s="45"/>
      <c r="BS459" s="45"/>
      <c r="BT459" s="45"/>
      <c r="BU459" s="45"/>
      <c r="BV459" s="45"/>
      <c r="BW459" s="45"/>
      <c r="BX459" s="45"/>
      <c r="BY459" s="45"/>
      <c r="BZ459" s="45"/>
      <c r="CA459" s="45"/>
      <c r="CB459" s="45"/>
      <c r="CC459" s="45"/>
      <c r="CD459" s="463"/>
      <c r="CE459">
        <v>0</v>
      </c>
      <c r="CF459">
        <v>0</v>
      </c>
      <c r="CG459">
        <v>0</v>
      </c>
      <c r="CH459">
        <v>0</v>
      </c>
      <c r="CI459">
        <v>0</v>
      </c>
      <c r="CJ459">
        <v>0</v>
      </c>
      <c r="CK459">
        <v>0</v>
      </c>
      <c r="CL459">
        <v>0</v>
      </c>
      <c r="CM459">
        <v>0</v>
      </c>
      <c r="CN459">
        <v>0</v>
      </c>
      <c r="CO459">
        <v>0</v>
      </c>
      <c r="CP459">
        <v>0</v>
      </c>
      <c r="CQ459">
        <v>0</v>
      </c>
      <c r="CR459">
        <v>0</v>
      </c>
      <c r="CS459">
        <v>0</v>
      </c>
      <c r="CT459">
        <v>0</v>
      </c>
      <c r="CU459">
        <v>0</v>
      </c>
      <c r="CV459">
        <v>0</v>
      </c>
      <c r="CW459">
        <v>0</v>
      </c>
      <c r="CX459">
        <v>0</v>
      </c>
      <c r="CY459">
        <v>0</v>
      </c>
      <c r="CZ459">
        <v>0</v>
      </c>
      <c r="DA459">
        <v>0</v>
      </c>
      <c r="DB459">
        <v>0</v>
      </c>
      <c r="DC459">
        <v>0</v>
      </c>
      <c r="DD459">
        <v>0</v>
      </c>
      <c r="DE459">
        <v>0</v>
      </c>
      <c r="DF459">
        <v>0</v>
      </c>
      <c r="DG459">
        <v>0</v>
      </c>
      <c r="DH459">
        <v>0</v>
      </c>
      <c r="DI459">
        <v>0</v>
      </c>
      <c r="DJ459">
        <v>0</v>
      </c>
      <c r="DK459">
        <v>0</v>
      </c>
      <c r="DL459">
        <v>0</v>
      </c>
      <c r="DM459">
        <v>0</v>
      </c>
      <c r="DN459">
        <v>0</v>
      </c>
      <c r="DO459">
        <v>0</v>
      </c>
      <c r="DP459">
        <v>0</v>
      </c>
      <c r="DQ459">
        <v>0</v>
      </c>
      <c r="DR459">
        <v>0</v>
      </c>
      <c r="DS459">
        <v>0</v>
      </c>
      <c r="DT459">
        <v>0</v>
      </c>
      <c r="DU459">
        <v>0</v>
      </c>
    </row>
    <row r="460" spans="2:125">
      <c r="B460" s="136">
        <v>451</v>
      </c>
      <c r="C460" s="138">
        <v>1</v>
      </c>
      <c r="D460" s="474">
        <v>3452.7606066781218</v>
      </c>
      <c r="E460" s="127">
        <v>205.78965053028779</v>
      </c>
      <c r="F460" s="447">
        <v>0.3803775096389676</v>
      </c>
      <c r="G460" s="127">
        <v>134.31654520188957</v>
      </c>
      <c r="H460" s="132">
        <v>52.855329374712532</v>
      </c>
      <c r="I460" s="456"/>
      <c r="J460" s="45"/>
      <c r="K460" s="45">
        <v>520</v>
      </c>
      <c r="L460" s="463"/>
      <c r="M460" s="456">
        <v>31.248134613037109</v>
      </c>
      <c r="N460" s="457"/>
      <c r="O460" s="456"/>
      <c r="P460" s="46"/>
      <c r="Q460" s="463">
        <v>68.364662170410156</v>
      </c>
      <c r="R460" s="449"/>
      <c r="S460" s="463"/>
      <c r="T460" s="480"/>
      <c r="U460" s="468"/>
      <c r="V460" s="449"/>
      <c r="W460" s="45">
        <v>1425.44775390625</v>
      </c>
      <c r="X460" s="463">
        <v>120.92903137207031</v>
      </c>
      <c r="Y460" s="449"/>
      <c r="Z460" s="45"/>
      <c r="AA460" s="468">
        <v>0.37093360260130276</v>
      </c>
      <c r="AB460" s="456"/>
      <c r="AC460" s="46"/>
      <c r="AD460" s="46"/>
      <c r="AE460" s="46"/>
      <c r="AF460" s="46"/>
      <c r="AG460" s="46"/>
      <c r="AH460" s="46"/>
      <c r="AI460" s="457"/>
      <c r="AJ460" s="138"/>
      <c r="AK460" s="745"/>
      <c r="AL460" s="54"/>
      <c r="AM460" s="468"/>
      <c r="AN460" s="449"/>
      <c r="AO460" s="45"/>
      <c r="AP460" s="45"/>
      <c r="AQ460" s="45"/>
      <c r="AR460" s="45"/>
      <c r="AS460" s="45"/>
      <c r="AT460" s="45"/>
      <c r="AU460" s="463"/>
      <c r="AV460" s="449"/>
      <c r="AW460" s="45"/>
      <c r="AX460" s="45"/>
      <c r="AY460" s="45"/>
      <c r="AZ460" s="45"/>
      <c r="BA460" s="45"/>
      <c r="BB460" s="45"/>
      <c r="BC460" s="463"/>
      <c r="BD460" s="456"/>
      <c r="BE460" s="46"/>
      <c r="BF460" s="46"/>
      <c r="BG460" s="46"/>
      <c r="BH460" s="46"/>
      <c r="BI460" s="46"/>
      <c r="BJ460" s="457"/>
      <c r="BK460" s="449">
        <v>0</v>
      </c>
      <c r="BL460" s="45"/>
      <c r="BM460" s="45"/>
      <c r="BN460" s="45"/>
      <c r="BO460" s="45"/>
      <c r="BP460" s="45"/>
      <c r="BQ460" s="45"/>
      <c r="BR460" s="45"/>
      <c r="BS460" s="45"/>
      <c r="BT460" s="45"/>
      <c r="BU460" s="45"/>
      <c r="BV460" s="45"/>
      <c r="BW460" s="45"/>
      <c r="BX460" s="45"/>
      <c r="BY460" s="45"/>
      <c r="BZ460" s="45"/>
      <c r="CA460" s="45"/>
      <c r="CB460" s="45"/>
      <c r="CC460" s="45"/>
      <c r="CD460" s="463"/>
      <c r="CE460">
        <v>0</v>
      </c>
      <c r="CF460">
        <v>0</v>
      </c>
      <c r="CG460">
        <v>0</v>
      </c>
      <c r="CH460">
        <v>0</v>
      </c>
      <c r="CI460">
        <v>0</v>
      </c>
      <c r="CJ460">
        <v>0</v>
      </c>
      <c r="CK460">
        <v>0</v>
      </c>
      <c r="CL460">
        <v>0</v>
      </c>
      <c r="CM460">
        <v>0</v>
      </c>
      <c r="CN460">
        <v>0</v>
      </c>
      <c r="CO460">
        <v>0</v>
      </c>
      <c r="CP460">
        <v>0</v>
      </c>
      <c r="CQ460">
        <v>0</v>
      </c>
      <c r="CR460">
        <v>0</v>
      </c>
      <c r="CS460">
        <v>0</v>
      </c>
      <c r="CT460">
        <v>0</v>
      </c>
      <c r="CU460">
        <v>0</v>
      </c>
      <c r="CV460">
        <v>0</v>
      </c>
      <c r="CW460">
        <v>0</v>
      </c>
      <c r="CX460">
        <v>0</v>
      </c>
      <c r="CY460">
        <v>0</v>
      </c>
      <c r="CZ460">
        <v>0</v>
      </c>
      <c r="DA460">
        <v>0</v>
      </c>
      <c r="DB460">
        <v>0</v>
      </c>
      <c r="DC460">
        <v>0</v>
      </c>
      <c r="DD460">
        <v>0</v>
      </c>
      <c r="DE460">
        <v>0</v>
      </c>
      <c r="DF460">
        <v>0</v>
      </c>
      <c r="DG460">
        <v>0</v>
      </c>
      <c r="DH460">
        <v>0</v>
      </c>
      <c r="DI460">
        <v>0</v>
      </c>
      <c r="DJ460">
        <v>0</v>
      </c>
      <c r="DK460">
        <v>0</v>
      </c>
      <c r="DL460">
        <v>0</v>
      </c>
      <c r="DM460">
        <v>0</v>
      </c>
      <c r="DN460">
        <v>0</v>
      </c>
      <c r="DO460">
        <v>0</v>
      </c>
      <c r="DP460">
        <v>0</v>
      </c>
      <c r="DQ460">
        <v>0</v>
      </c>
      <c r="DR460">
        <v>0</v>
      </c>
      <c r="DS460">
        <v>0</v>
      </c>
      <c r="DT460">
        <v>0</v>
      </c>
      <c r="DU460">
        <v>0</v>
      </c>
    </row>
    <row r="461" spans="2:125">
      <c r="B461" s="136">
        <v>452</v>
      </c>
      <c r="C461" s="138">
        <v>1</v>
      </c>
      <c r="D461" s="474">
        <v>2570.0419472766816</v>
      </c>
      <c r="E461" s="127">
        <v>226.16623702064766</v>
      </c>
      <c r="F461" s="447">
        <v>0.41856525303401981</v>
      </c>
      <c r="G461" s="127">
        <v>89.397190420764915</v>
      </c>
      <c r="H461" s="132">
        <v>47.902675079501492</v>
      </c>
      <c r="I461" s="456"/>
      <c r="J461" s="45"/>
      <c r="K461" s="45">
        <v>370</v>
      </c>
      <c r="L461" s="463"/>
      <c r="M461" s="456">
        <v>33.239093780517578</v>
      </c>
      <c r="N461" s="457"/>
      <c r="O461" s="456"/>
      <c r="P461" s="46"/>
      <c r="Q461" s="463">
        <v>50.886833190917969</v>
      </c>
      <c r="R461" s="449"/>
      <c r="S461" s="463"/>
      <c r="T461" s="480"/>
      <c r="U461" s="468"/>
      <c r="V461" s="449"/>
      <c r="W461" s="45">
        <v>1201.5054931640625</v>
      </c>
      <c r="X461" s="463">
        <v>104.01918029785156</v>
      </c>
      <c r="Y461" s="449"/>
      <c r="Z461" s="45"/>
      <c r="AA461" s="468">
        <v>0.40558052136610206</v>
      </c>
      <c r="AB461" s="456"/>
      <c r="AC461" s="46"/>
      <c r="AD461" s="46"/>
      <c r="AE461" s="46"/>
      <c r="AF461" s="46"/>
      <c r="AG461" s="46"/>
      <c r="AH461" s="46"/>
      <c r="AI461" s="457"/>
      <c r="AJ461" s="138"/>
      <c r="AK461" s="745"/>
      <c r="AL461" s="54"/>
      <c r="AM461" s="468"/>
      <c r="AN461" s="449"/>
      <c r="AO461" s="45"/>
      <c r="AP461" s="45"/>
      <c r="AQ461" s="45"/>
      <c r="AR461" s="45"/>
      <c r="AS461" s="45"/>
      <c r="AT461" s="45"/>
      <c r="AU461" s="463"/>
      <c r="AV461" s="449"/>
      <c r="AW461" s="45"/>
      <c r="AX461" s="45"/>
      <c r="AY461" s="45"/>
      <c r="AZ461" s="45"/>
      <c r="BA461" s="45"/>
      <c r="BB461" s="45"/>
      <c r="BC461" s="463"/>
      <c r="BD461" s="456"/>
      <c r="BE461" s="46"/>
      <c r="BF461" s="46"/>
      <c r="BG461" s="46"/>
      <c r="BH461" s="46"/>
      <c r="BI461" s="46"/>
      <c r="BJ461" s="457"/>
      <c r="BK461" s="449">
        <v>0</v>
      </c>
      <c r="BL461" s="45"/>
      <c r="BM461" s="45"/>
      <c r="BN461" s="45"/>
      <c r="BO461" s="45"/>
      <c r="BP461" s="45"/>
      <c r="BQ461" s="45"/>
      <c r="BR461" s="45"/>
      <c r="BS461" s="45"/>
      <c r="BT461" s="45"/>
      <c r="BU461" s="45"/>
      <c r="BV461" s="45"/>
      <c r="BW461" s="45"/>
      <c r="BX461" s="45"/>
      <c r="BY461" s="45"/>
      <c r="BZ461" s="45"/>
      <c r="CA461" s="45"/>
      <c r="CB461" s="45"/>
      <c r="CC461" s="45"/>
      <c r="CD461" s="463"/>
      <c r="CE461">
        <v>0</v>
      </c>
      <c r="CF461">
        <v>0</v>
      </c>
      <c r="CG461">
        <v>0</v>
      </c>
      <c r="CH461">
        <v>0</v>
      </c>
      <c r="CI461">
        <v>0</v>
      </c>
      <c r="CJ461">
        <v>0</v>
      </c>
      <c r="CK461">
        <v>0</v>
      </c>
      <c r="CL461">
        <v>0</v>
      </c>
      <c r="CM461">
        <v>0</v>
      </c>
      <c r="CN461">
        <v>0</v>
      </c>
      <c r="CO461">
        <v>0</v>
      </c>
      <c r="CP461">
        <v>0</v>
      </c>
      <c r="CQ461">
        <v>0</v>
      </c>
      <c r="CR461">
        <v>0</v>
      </c>
      <c r="CS461">
        <v>0</v>
      </c>
      <c r="CT461">
        <v>0</v>
      </c>
      <c r="CU461">
        <v>0</v>
      </c>
      <c r="CV461">
        <v>0</v>
      </c>
      <c r="CW461">
        <v>0</v>
      </c>
      <c r="CX461">
        <v>0</v>
      </c>
      <c r="CY461">
        <v>0</v>
      </c>
      <c r="CZ461">
        <v>0</v>
      </c>
      <c r="DA461">
        <v>0</v>
      </c>
      <c r="DB461">
        <v>0</v>
      </c>
      <c r="DC461">
        <v>0</v>
      </c>
      <c r="DD461">
        <v>0</v>
      </c>
      <c r="DE461">
        <v>0</v>
      </c>
      <c r="DF461">
        <v>0</v>
      </c>
      <c r="DG461">
        <v>0</v>
      </c>
      <c r="DH461">
        <v>0</v>
      </c>
      <c r="DI461">
        <v>0</v>
      </c>
      <c r="DJ461">
        <v>0</v>
      </c>
      <c r="DK461">
        <v>0</v>
      </c>
      <c r="DL461">
        <v>0</v>
      </c>
      <c r="DM461">
        <v>0</v>
      </c>
      <c r="DN461">
        <v>0</v>
      </c>
      <c r="DO461">
        <v>0</v>
      </c>
      <c r="DP461">
        <v>0</v>
      </c>
      <c r="DQ461">
        <v>0</v>
      </c>
      <c r="DR461">
        <v>0</v>
      </c>
      <c r="DS461">
        <v>0</v>
      </c>
      <c r="DT461">
        <v>0</v>
      </c>
      <c r="DU461">
        <v>0</v>
      </c>
    </row>
    <row r="462" spans="2:125">
      <c r="B462" s="136">
        <v>453</v>
      </c>
      <c r="C462" s="138">
        <v>1</v>
      </c>
      <c r="D462" s="474">
        <v>2545.0830667867849</v>
      </c>
      <c r="E462" s="127">
        <v>265.67915288135998</v>
      </c>
      <c r="F462" s="447">
        <v>0.49333488198166137</v>
      </c>
      <c r="G462" s="127">
        <v>86.037444841328579</v>
      </c>
      <c r="H462" s="132">
        <v>48.477894855291119</v>
      </c>
      <c r="I462" s="456"/>
      <c r="J462" s="45"/>
      <c r="K462" s="45">
        <v>370</v>
      </c>
      <c r="L462" s="463"/>
      <c r="M462" s="456">
        <v>44.878490447998047</v>
      </c>
      <c r="N462" s="457"/>
      <c r="O462" s="456"/>
      <c r="P462" s="46"/>
      <c r="Q462" s="463">
        <v>50.392642974853516</v>
      </c>
      <c r="R462" s="449"/>
      <c r="S462" s="463"/>
      <c r="T462" s="480"/>
      <c r="U462" s="468"/>
      <c r="V462" s="449"/>
      <c r="W462" s="45">
        <v>1603.11474609375</v>
      </c>
      <c r="X462" s="463">
        <v>133.21685791015625</v>
      </c>
      <c r="Y462" s="449"/>
      <c r="Z462" s="45"/>
      <c r="AA462" s="468">
        <v>0.47963525146875513</v>
      </c>
      <c r="AB462" s="456"/>
      <c r="AC462" s="46"/>
      <c r="AD462" s="46"/>
      <c r="AE462" s="46"/>
      <c r="AF462" s="46"/>
      <c r="AG462" s="46"/>
      <c r="AH462" s="46"/>
      <c r="AI462" s="457"/>
      <c r="AJ462" s="138"/>
      <c r="AK462" s="745"/>
      <c r="AL462" s="54"/>
      <c r="AM462" s="468"/>
      <c r="AN462" s="449"/>
      <c r="AO462" s="45"/>
      <c r="AP462" s="45"/>
      <c r="AQ462" s="45"/>
      <c r="AR462" s="45"/>
      <c r="AS462" s="45"/>
      <c r="AT462" s="45"/>
      <c r="AU462" s="463"/>
      <c r="AV462" s="449"/>
      <c r="AW462" s="45"/>
      <c r="AX462" s="45"/>
      <c r="AY462" s="45"/>
      <c r="AZ462" s="45"/>
      <c r="BA462" s="45"/>
      <c r="BB462" s="45"/>
      <c r="BC462" s="463"/>
      <c r="BD462" s="456"/>
      <c r="BE462" s="46"/>
      <c r="BF462" s="46"/>
      <c r="BG462" s="46"/>
      <c r="BH462" s="46"/>
      <c r="BI462" s="46"/>
      <c r="BJ462" s="457"/>
      <c r="BK462" s="449">
        <v>0</v>
      </c>
      <c r="BL462" s="45"/>
      <c r="BM462" s="45"/>
      <c r="BN462" s="45"/>
      <c r="BO462" s="45"/>
      <c r="BP462" s="45"/>
      <c r="BQ462" s="45"/>
      <c r="BR462" s="45"/>
      <c r="BS462" s="45"/>
      <c r="BT462" s="45"/>
      <c r="BU462" s="45"/>
      <c r="BV462" s="45"/>
      <c r="BW462" s="45"/>
      <c r="BX462" s="45"/>
      <c r="BY462" s="45"/>
      <c r="BZ462" s="45"/>
      <c r="CA462" s="45"/>
      <c r="CB462" s="45"/>
      <c r="CC462" s="45"/>
      <c r="CD462" s="463"/>
      <c r="CE462">
        <v>0</v>
      </c>
      <c r="CF462">
        <v>0</v>
      </c>
      <c r="CG462">
        <v>0</v>
      </c>
      <c r="CH462">
        <v>0</v>
      </c>
      <c r="CI462">
        <v>0</v>
      </c>
      <c r="CJ462">
        <v>0</v>
      </c>
      <c r="CK462">
        <v>0</v>
      </c>
      <c r="CL462">
        <v>0</v>
      </c>
      <c r="CM462">
        <v>0</v>
      </c>
      <c r="CN462">
        <v>0</v>
      </c>
      <c r="CO462">
        <v>0</v>
      </c>
      <c r="CP462">
        <v>0</v>
      </c>
      <c r="CQ462">
        <v>0</v>
      </c>
      <c r="CR462">
        <v>0</v>
      </c>
      <c r="CS462">
        <v>0</v>
      </c>
      <c r="CT462">
        <v>0</v>
      </c>
      <c r="CU462">
        <v>0</v>
      </c>
      <c r="CV462">
        <v>0</v>
      </c>
      <c r="CW462">
        <v>0</v>
      </c>
      <c r="CX462">
        <v>0</v>
      </c>
      <c r="CY462">
        <v>0</v>
      </c>
      <c r="CZ462">
        <v>0</v>
      </c>
      <c r="DA462">
        <v>0</v>
      </c>
      <c r="DB462">
        <v>0</v>
      </c>
      <c r="DC462">
        <v>0</v>
      </c>
      <c r="DD462">
        <v>0</v>
      </c>
      <c r="DE462">
        <v>0</v>
      </c>
      <c r="DF462">
        <v>0</v>
      </c>
      <c r="DG462">
        <v>0</v>
      </c>
      <c r="DH462">
        <v>0</v>
      </c>
      <c r="DI462">
        <v>0</v>
      </c>
      <c r="DJ462">
        <v>0</v>
      </c>
      <c r="DK462">
        <v>0</v>
      </c>
      <c r="DL462">
        <v>0</v>
      </c>
      <c r="DM462">
        <v>0</v>
      </c>
      <c r="DN462">
        <v>0</v>
      </c>
      <c r="DO462">
        <v>0</v>
      </c>
      <c r="DP462">
        <v>0</v>
      </c>
      <c r="DQ462">
        <v>0</v>
      </c>
      <c r="DR462">
        <v>0</v>
      </c>
      <c r="DS462">
        <v>0</v>
      </c>
      <c r="DT462">
        <v>0</v>
      </c>
      <c r="DU462">
        <v>0</v>
      </c>
    </row>
    <row r="463" spans="2:125">
      <c r="B463" s="136">
        <v>454</v>
      </c>
      <c r="C463" s="138">
        <v>1</v>
      </c>
      <c r="D463" s="474">
        <v>3211.0842280114498</v>
      </c>
      <c r="E463" s="127">
        <v>309.77364242836023</v>
      </c>
      <c r="F463" s="447">
        <v>0.42921272173628744</v>
      </c>
      <c r="G463" s="127">
        <v>108.05070350893244</v>
      </c>
      <c r="H463" s="132">
        <v>62.246897627214793</v>
      </c>
      <c r="I463" s="456"/>
      <c r="J463" s="45"/>
      <c r="K463" s="45">
        <v>480</v>
      </c>
      <c r="L463" s="463"/>
      <c r="M463" s="456">
        <v>33.621315002441406</v>
      </c>
      <c r="N463" s="457"/>
      <c r="O463" s="456"/>
      <c r="P463" s="46"/>
      <c r="Q463" s="463">
        <v>71.904777526855469</v>
      </c>
      <c r="R463" s="449"/>
      <c r="S463" s="463"/>
      <c r="T463" s="480"/>
      <c r="U463" s="468"/>
      <c r="V463" s="449"/>
      <c r="W463" s="45">
        <v>1543.3275146484375</v>
      </c>
      <c r="X463" s="463">
        <v>129.33314514160156</v>
      </c>
      <c r="Y463" s="449"/>
      <c r="Z463" s="45"/>
      <c r="AA463" s="468">
        <v>0.41875386981899476</v>
      </c>
      <c r="AB463" s="456"/>
      <c r="AC463" s="46"/>
      <c r="AD463" s="46"/>
      <c r="AE463" s="46"/>
      <c r="AF463" s="46"/>
      <c r="AG463" s="46"/>
      <c r="AH463" s="46"/>
      <c r="AI463" s="457"/>
      <c r="AJ463" s="138"/>
      <c r="AK463" s="745"/>
      <c r="AL463" s="54"/>
      <c r="AM463" s="468"/>
      <c r="AN463" s="449"/>
      <c r="AO463" s="45"/>
      <c r="AP463" s="45"/>
      <c r="AQ463" s="45"/>
      <c r="AR463" s="45"/>
      <c r="AS463" s="45"/>
      <c r="AT463" s="45"/>
      <c r="AU463" s="463"/>
      <c r="AV463" s="449"/>
      <c r="AW463" s="45"/>
      <c r="AX463" s="45"/>
      <c r="AY463" s="45"/>
      <c r="AZ463" s="45"/>
      <c r="BA463" s="45"/>
      <c r="BB463" s="45"/>
      <c r="BC463" s="463"/>
      <c r="BD463" s="456"/>
      <c r="BE463" s="46"/>
      <c r="BF463" s="46"/>
      <c r="BG463" s="46"/>
      <c r="BH463" s="46"/>
      <c r="BI463" s="46"/>
      <c r="BJ463" s="457"/>
      <c r="BK463" s="449">
        <v>0</v>
      </c>
      <c r="BL463" s="45"/>
      <c r="BM463" s="45"/>
      <c r="BN463" s="45"/>
      <c r="BO463" s="45"/>
      <c r="BP463" s="45"/>
      <c r="BQ463" s="45"/>
      <c r="BR463" s="45"/>
      <c r="BS463" s="45"/>
      <c r="BT463" s="45"/>
      <c r="BU463" s="45"/>
      <c r="BV463" s="45"/>
      <c r="BW463" s="45"/>
      <c r="BX463" s="45"/>
      <c r="BY463" s="45"/>
      <c r="BZ463" s="45"/>
      <c r="CA463" s="45"/>
      <c r="CB463" s="45"/>
      <c r="CC463" s="45"/>
      <c r="CD463" s="463"/>
      <c r="CE463">
        <v>0</v>
      </c>
      <c r="CF463">
        <v>0</v>
      </c>
      <c r="CG463">
        <v>0</v>
      </c>
      <c r="CH463">
        <v>0</v>
      </c>
      <c r="CI463">
        <v>0</v>
      </c>
      <c r="CJ463">
        <v>0</v>
      </c>
      <c r="CK463">
        <v>0</v>
      </c>
      <c r="CL463">
        <v>0</v>
      </c>
      <c r="CM463">
        <v>0</v>
      </c>
      <c r="CN463">
        <v>0</v>
      </c>
      <c r="CO463">
        <v>0</v>
      </c>
      <c r="CP463">
        <v>0</v>
      </c>
      <c r="CQ463">
        <v>0</v>
      </c>
      <c r="CR463">
        <v>0</v>
      </c>
      <c r="CS463">
        <v>0</v>
      </c>
      <c r="CT463">
        <v>0</v>
      </c>
      <c r="CU463">
        <v>0</v>
      </c>
      <c r="CV463">
        <v>0</v>
      </c>
      <c r="CW463">
        <v>0</v>
      </c>
      <c r="CX463">
        <v>0</v>
      </c>
      <c r="CY463">
        <v>0</v>
      </c>
      <c r="CZ463">
        <v>0</v>
      </c>
      <c r="DA463">
        <v>0</v>
      </c>
      <c r="DB463">
        <v>0</v>
      </c>
      <c r="DC463">
        <v>0</v>
      </c>
      <c r="DD463">
        <v>0</v>
      </c>
      <c r="DE463">
        <v>0</v>
      </c>
      <c r="DF463">
        <v>0</v>
      </c>
      <c r="DG463">
        <v>0</v>
      </c>
      <c r="DH463">
        <v>0</v>
      </c>
      <c r="DI463">
        <v>0</v>
      </c>
      <c r="DJ463">
        <v>0</v>
      </c>
      <c r="DK463">
        <v>0</v>
      </c>
      <c r="DL463">
        <v>0</v>
      </c>
      <c r="DM463">
        <v>0</v>
      </c>
      <c r="DN463">
        <v>0</v>
      </c>
      <c r="DO463">
        <v>0</v>
      </c>
      <c r="DP463">
        <v>0</v>
      </c>
      <c r="DQ463">
        <v>0</v>
      </c>
      <c r="DR463">
        <v>0</v>
      </c>
      <c r="DS463">
        <v>0</v>
      </c>
      <c r="DT463">
        <v>0</v>
      </c>
      <c r="DU463">
        <v>0</v>
      </c>
    </row>
    <row r="464" spans="2:125">
      <c r="B464" s="136">
        <v>455</v>
      </c>
      <c r="C464" s="138">
        <v>1</v>
      </c>
      <c r="D464" s="474">
        <v>3046.4540714958785</v>
      </c>
      <c r="E464" s="127">
        <v>222.28074491409095</v>
      </c>
      <c r="F464" s="447">
        <v>0.42598347887440563</v>
      </c>
      <c r="G464" s="127">
        <v>112.21654659549634</v>
      </c>
      <c r="H464" s="132">
        <v>51.140190903807941</v>
      </c>
      <c r="I464" s="456"/>
      <c r="J464" s="45"/>
      <c r="K464" s="45">
        <v>450</v>
      </c>
      <c r="L464" s="463"/>
      <c r="M464" s="456">
        <v>35.367477416992188</v>
      </c>
      <c r="N464" s="457"/>
      <c r="O464" s="456"/>
      <c r="P464" s="46"/>
      <c r="Q464" s="463">
        <v>60.319793701171875</v>
      </c>
      <c r="R464" s="449"/>
      <c r="S464" s="463"/>
      <c r="T464" s="480"/>
      <c r="U464" s="468"/>
      <c r="V464" s="449"/>
      <c r="W464" s="45">
        <v>1460.787353515625</v>
      </c>
      <c r="X464" s="463">
        <v>123.21311187744141</v>
      </c>
      <c r="Y464" s="449"/>
      <c r="Z464" s="45"/>
      <c r="AA464" s="468">
        <v>0.41498063137011715</v>
      </c>
      <c r="AB464" s="456"/>
      <c r="AC464" s="46"/>
      <c r="AD464" s="46"/>
      <c r="AE464" s="46"/>
      <c r="AF464" s="46"/>
      <c r="AG464" s="46"/>
      <c r="AH464" s="46"/>
      <c r="AI464" s="457"/>
      <c r="AJ464" s="138"/>
      <c r="AK464" s="745"/>
      <c r="AL464" s="54"/>
      <c r="AM464" s="468"/>
      <c r="AN464" s="449"/>
      <c r="AO464" s="45"/>
      <c r="AP464" s="45"/>
      <c r="AQ464" s="45"/>
      <c r="AR464" s="45"/>
      <c r="AS464" s="45"/>
      <c r="AT464" s="45"/>
      <c r="AU464" s="463"/>
      <c r="AV464" s="449"/>
      <c r="AW464" s="45"/>
      <c r="AX464" s="45"/>
      <c r="AY464" s="45"/>
      <c r="AZ464" s="45"/>
      <c r="BA464" s="45"/>
      <c r="BB464" s="45"/>
      <c r="BC464" s="463"/>
      <c r="BD464" s="456"/>
      <c r="BE464" s="46"/>
      <c r="BF464" s="46"/>
      <c r="BG464" s="46"/>
      <c r="BH464" s="46"/>
      <c r="BI464" s="46"/>
      <c r="BJ464" s="457"/>
      <c r="BK464" s="449">
        <v>0</v>
      </c>
      <c r="BL464" s="45"/>
      <c r="BM464" s="45"/>
      <c r="BN464" s="45"/>
      <c r="BO464" s="45"/>
      <c r="BP464" s="45"/>
      <c r="BQ464" s="45"/>
      <c r="BR464" s="45"/>
      <c r="BS464" s="45"/>
      <c r="BT464" s="45"/>
      <c r="BU464" s="45"/>
      <c r="BV464" s="45"/>
      <c r="BW464" s="45"/>
      <c r="BX464" s="45"/>
      <c r="BY464" s="45"/>
      <c r="BZ464" s="45"/>
      <c r="CA464" s="45"/>
      <c r="CB464" s="45"/>
      <c r="CC464" s="45"/>
      <c r="CD464" s="463"/>
      <c r="CE464">
        <v>0</v>
      </c>
      <c r="CF464">
        <v>0</v>
      </c>
      <c r="CG464">
        <v>0</v>
      </c>
      <c r="CH464">
        <v>0</v>
      </c>
      <c r="CI464">
        <v>0</v>
      </c>
      <c r="CJ464">
        <v>0</v>
      </c>
      <c r="CK464">
        <v>0</v>
      </c>
      <c r="CL464">
        <v>0</v>
      </c>
      <c r="CM464">
        <v>0</v>
      </c>
      <c r="CN464">
        <v>0</v>
      </c>
      <c r="CO464">
        <v>0</v>
      </c>
      <c r="CP464">
        <v>0</v>
      </c>
      <c r="CQ464">
        <v>0</v>
      </c>
      <c r="CR464">
        <v>0</v>
      </c>
      <c r="CS464">
        <v>0</v>
      </c>
      <c r="CT464">
        <v>0</v>
      </c>
      <c r="CU464">
        <v>0</v>
      </c>
      <c r="CV464">
        <v>0</v>
      </c>
      <c r="CW464">
        <v>0</v>
      </c>
      <c r="CX464">
        <v>0</v>
      </c>
      <c r="CY464">
        <v>0</v>
      </c>
      <c r="CZ464">
        <v>0</v>
      </c>
      <c r="DA464">
        <v>0</v>
      </c>
      <c r="DB464">
        <v>0</v>
      </c>
      <c r="DC464">
        <v>0</v>
      </c>
      <c r="DD464">
        <v>0</v>
      </c>
      <c r="DE464">
        <v>0</v>
      </c>
      <c r="DF464">
        <v>0</v>
      </c>
      <c r="DG464">
        <v>0</v>
      </c>
      <c r="DH464">
        <v>0</v>
      </c>
      <c r="DI464">
        <v>0</v>
      </c>
      <c r="DJ464">
        <v>0</v>
      </c>
      <c r="DK464">
        <v>0</v>
      </c>
      <c r="DL464">
        <v>0</v>
      </c>
      <c r="DM464">
        <v>0</v>
      </c>
      <c r="DN464">
        <v>0</v>
      </c>
      <c r="DO464">
        <v>0</v>
      </c>
      <c r="DP464">
        <v>0</v>
      </c>
      <c r="DQ464">
        <v>0</v>
      </c>
      <c r="DR464">
        <v>0</v>
      </c>
      <c r="DS464">
        <v>0</v>
      </c>
      <c r="DT464">
        <v>0</v>
      </c>
      <c r="DU464">
        <v>0</v>
      </c>
    </row>
    <row r="465" spans="2:125">
      <c r="B465" s="136">
        <v>456</v>
      </c>
      <c r="C465" s="138">
        <v>1</v>
      </c>
      <c r="D465" s="474">
        <v>3126.1666507724053</v>
      </c>
      <c r="E465" s="127">
        <v>249.91779469100953</v>
      </c>
      <c r="F465" s="447">
        <v>0.36431182337160345</v>
      </c>
      <c r="G465" s="127">
        <v>119.47821370307432</v>
      </c>
      <c r="H465" s="132">
        <v>50.576271944747319</v>
      </c>
      <c r="I465" s="456"/>
      <c r="J465" s="45"/>
      <c r="K465" s="45">
        <v>470</v>
      </c>
      <c r="L465" s="463"/>
      <c r="M465" s="456">
        <v>29.236995697021484</v>
      </c>
      <c r="N465" s="457"/>
      <c r="O465" s="456"/>
      <c r="P465" s="46"/>
      <c r="Q465" s="463">
        <v>61.898101806640625</v>
      </c>
      <c r="R465" s="449"/>
      <c r="S465" s="463"/>
      <c r="T465" s="480"/>
      <c r="U465" s="468"/>
      <c r="V465" s="449"/>
      <c r="W465" s="45">
        <v>1242.0111083984375</v>
      </c>
      <c r="X465" s="463">
        <v>107.36752319335937</v>
      </c>
      <c r="Y465" s="449"/>
      <c r="Z465" s="45"/>
      <c r="AA465" s="468">
        <v>0.3539840833391088</v>
      </c>
      <c r="AB465" s="456"/>
      <c r="AC465" s="46"/>
      <c r="AD465" s="46"/>
      <c r="AE465" s="46"/>
      <c r="AF465" s="46"/>
      <c r="AG465" s="46"/>
      <c r="AH465" s="46"/>
      <c r="AI465" s="457"/>
      <c r="AJ465" s="138"/>
      <c r="AK465" s="745"/>
      <c r="AL465" s="54"/>
      <c r="AM465" s="468"/>
      <c r="AN465" s="449"/>
      <c r="AO465" s="45"/>
      <c r="AP465" s="45"/>
      <c r="AQ465" s="45"/>
      <c r="AR465" s="45"/>
      <c r="AS465" s="45"/>
      <c r="AT465" s="45"/>
      <c r="AU465" s="463"/>
      <c r="AV465" s="449"/>
      <c r="AW465" s="45"/>
      <c r="AX465" s="45"/>
      <c r="AY465" s="45"/>
      <c r="AZ465" s="45"/>
      <c r="BA465" s="45"/>
      <c r="BB465" s="45"/>
      <c r="BC465" s="463"/>
      <c r="BD465" s="456"/>
      <c r="BE465" s="46"/>
      <c r="BF465" s="46"/>
      <c r="BG465" s="46"/>
      <c r="BH465" s="46"/>
      <c r="BI465" s="46"/>
      <c r="BJ465" s="457"/>
      <c r="BK465" s="449">
        <v>0</v>
      </c>
      <c r="BL465" s="45"/>
      <c r="BM465" s="45"/>
      <c r="BN465" s="45"/>
      <c r="BO465" s="45"/>
      <c r="BP465" s="45"/>
      <c r="BQ465" s="45"/>
      <c r="BR465" s="45"/>
      <c r="BS465" s="45"/>
      <c r="BT465" s="45"/>
      <c r="BU465" s="45"/>
      <c r="BV465" s="45"/>
      <c r="BW465" s="45"/>
      <c r="BX465" s="45"/>
      <c r="BY465" s="45"/>
      <c r="BZ465" s="45"/>
      <c r="CA465" s="45"/>
      <c r="CB465" s="45"/>
      <c r="CC465" s="45"/>
      <c r="CD465" s="463"/>
      <c r="CE465">
        <v>0</v>
      </c>
      <c r="CF465">
        <v>0</v>
      </c>
      <c r="CG465">
        <v>0</v>
      </c>
      <c r="CH465">
        <v>0</v>
      </c>
      <c r="CI465">
        <v>0</v>
      </c>
      <c r="CJ465">
        <v>0</v>
      </c>
      <c r="CK465">
        <v>0</v>
      </c>
      <c r="CL465">
        <v>0</v>
      </c>
      <c r="CM465">
        <v>0</v>
      </c>
      <c r="CN465">
        <v>0</v>
      </c>
      <c r="CO465">
        <v>0</v>
      </c>
      <c r="CP465">
        <v>0</v>
      </c>
      <c r="CQ465">
        <v>0</v>
      </c>
      <c r="CR465">
        <v>0</v>
      </c>
      <c r="CS465">
        <v>0</v>
      </c>
      <c r="CT465">
        <v>0</v>
      </c>
      <c r="CU465">
        <v>0</v>
      </c>
      <c r="CV465">
        <v>0</v>
      </c>
      <c r="CW465">
        <v>0</v>
      </c>
      <c r="CX465">
        <v>0</v>
      </c>
      <c r="CY465">
        <v>0</v>
      </c>
      <c r="CZ465">
        <v>0</v>
      </c>
      <c r="DA465">
        <v>0</v>
      </c>
      <c r="DB465">
        <v>0</v>
      </c>
      <c r="DC465">
        <v>0</v>
      </c>
      <c r="DD465">
        <v>0</v>
      </c>
      <c r="DE465">
        <v>0</v>
      </c>
      <c r="DF465">
        <v>0</v>
      </c>
      <c r="DG465">
        <v>0</v>
      </c>
      <c r="DH465">
        <v>0</v>
      </c>
      <c r="DI465">
        <v>0</v>
      </c>
      <c r="DJ465">
        <v>0</v>
      </c>
      <c r="DK465">
        <v>0</v>
      </c>
      <c r="DL465">
        <v>0</v>
      </c>
      <c r="DM465">
        <v>0</v>
      </c>
      <c r="DN465">
        <v>0</v>
      </c>
      <c r="DO465">
        <v>0</v>
      </c>
      <c r="DP465">
        <v>0</v>
      </c>
      <c r="DQ465">
        <v>0</v>
      </c>
      <c r="DR465">
        <v>0</v>
      </c>
      <c r="DS465">
        <v>0</v>
      </c>
      <c r="DT465">
        <v>0</v>
      </c>
      <c r="DU465">
        <v>0</v>
      </c>
    </row>
    <row r="466" spans="2:125">
      <c r="B466" s="136">
        <v>457</v>
      </c>
      <c r="C466" s="138">
        <v>1</v>
      </c>
      <c r="D466" s="474">
        <v>3208.6208689446771</v>
      </c>
      <c r="E466" s="127">
        <v>229.78025639085982</v>
      </c>
      <c r="F466" s="447">
        <v>0.40668432941810889</v>
      </c>
      <c r="G466" s="127">
        <v>102.03003069949553</v>
      </c>
      <c r="H466" s="132">
        <v>57.027327051264876</v>
      </c>
      <c r="I466" s="456"/>
      <c r="J466" s="45"/>
      <c r="K466" s="45">
        <v>440</v>
      </c>
      <c r="L466" s="463"/>
      <c r="M466" s="456">
        <v>30.897603988647461</v>
      </c>
      <c r="N466" s="457"/>
      <c r="O466" s="456"/>
      <c r="P466" s="46"/>
      <c r="Q466" s="463">
        <v>63.530696868896484</v>
      </c>
      <c r="R466" s="449"/>
      <c r="S466" s="463"/>
      <c r="T466" s="480"/>
      <c r="U466" s="468"/>
      <c r="V466" s="449"/>
      <c r="W466" s="45">
        <v>1325.7822265625</v>
      </c>
      <c r="X466" s="463">
        <v>113.33709716796875</v>
      </c>
      <c r="Y466" s="449"/>
      <c r="Z466" s="45"/>
      <c r="AA466" s="468">
        <v>0.39635787205785988</v>
      </c>
      <c r="AB466" s="456"/>
      <c r="AC466" s="46"/>
      <c r="AD466" s="46"/>
      <c r="AE466" s="46"/>
      <c r="AF466" s="46"/>
      <c r="AG466" s="46"/>
      <c r="AH466" s="46"/>
      <c r="AI466" s="457"/>
      <c r="AJ466" s="138"/>
      <c r="AK466" s="745"/>
      <c r="AL466" s="54"/>
      <c r="AM466" s="468"/>
      <c r="AN466" s="449"/>
      <c r="AO466" s="45"/>
      <c r="AP466" s="45"/>
      <c r="AQ466" s="45"/>
      <c r="AR466" s="45"/>
      <c r="AS466" s="45"/>
      <c r="AT466" s="45"/>
      <c r="AU466" s="463"/>
      <c r="AV466" s="449"/>
      <c r="AW466" s="45"/>
      <c r="AX466" s="45"/>
      <c r="AY466" s="45"/>
      <c r="AZ466" s="45"/>
      <c r="BA466" s="45"/>
      <c r="BB466" s="45"/>
      <c r="BC466" s="463"/>
      <c r="BD466" s="456"/>
      <c r="BE466" s="46"/>
      <c r="BF466" s="46"/>
      <c r="BG466" s="46"/>
      <c r="BH466" s="46"/>
      <c r="BI466" s="46"/>
      <c r="BJ466" s="457"/>
      <c r="BK466" s="449">
        <v>0</v>
      </c>
      <c r="BL466" s="45"/>
      <c r="BM466" s="45"/>
      <c r="BN466" s="45"/>
      <c r="BO466" s="45"/>
      <c r="BP466" s="45"/>
      <c r="BQ466" s="45"/>
      <c r="BR466" s="45"/>
      <c r="BS466" s="45"/>
      <c r="BT466" s="45"/>
      <c r="BU466" s="45"/>
      <c r="BV466" s="45"/>
      <c r="BW466" s="45"/>
      <c r="BX466" s="45"/>
      <c r="BY466" s="45"/>
      <c r="BZ466" s="45"/>
      <c r="CA466" s="45"/>
      <c r="CB466" s="45"/>
      <c r="CC466" s="45"/>
      <c r="CD466" s="463"/>
      <c r="CE466">
        <v>0</v>
      </c>
      <c r="CF466">
        <v>0</v>
      </c>
      <c r="CG466">
        <v>0</v>
      </c>
      <c r="CH466">
        <v>0</v>
      </c>
      <c r="CI466">
        <v>0</v>
      </c>
      <c r="CJ466">
        <v>0</v>
      </c>
      <c r="CK466">
        <v>0</v>
      </c>
      <c r="CL466">
        <v>0</v>
      </c>
      <c r="CM466">
        <v>0</v>
      </c>
      <c r="CN466">
        <v>0</v>
      </c>
      <c r="CO466">
        <v>0</v>
      </c>
      <c r="CP466">
        <v>0</v>
      </c>
      <c r="CQ466">
        <v>0</v>
      </c>
      <c r="CR466">
        <v>0</v>
      </c>
      <c r="CS466">
        <v>0</v>
      </c>
      <c r="CT466">
        <v>0</v>
      </c>
      <c r="CU466">
        <v>0</v>
      </c>
      <c r="CV466">
        <v>0</v>
      </c>
      <c r="CW466">
        <v>0</v>
      </c>
      <c r="CX466">
        <v>0</v>
      </c>
      <c r="CY466">
        <v>0</v>
      </c>
      <c r="CZ466">
        <v>0</v>
      </c>
      <c r="DA466">
        <v>0</v>
      </c>
      <c r="DB466">
        <v>0</v>
      </c>
      <c r="DC466">
        <v>0</v>
      </c>
      <c r="DD466">
        <v>0</v>
      </c>
      <c r="DE466">
        <v>0</v>
      </c>
      <c r="DF466">
        <v>0</v>
      </c>
      <c r="DG466">
        <v>0</v>
      </c>
      <c r="DH466">
        <v>0</v>
      </c>
      <c r="DI466">
        <v>0</v>
      </c>
      <c r="DJ466">
        <v>0</v>
      </c>
      <c r="DK466">
        <v>0</v>
      </c>
      <c r="DL466">
        <v>0</v>
      </c>
      <c r="DM466">
        <v>0</v>
      </c>
      <c r="DN466">
        <v>0</v>
      </c>
      <c r="DO466">
        <v>0</v>
      </c>
      <c r="DP466">
        <v>0</v>
      </c>
      <c r="DQ466">
        <v>0</v>
      </c>
      <c r="DR466">
        <v>0</v>
      </c>
      <c r="DS466">
        <v>0</v>
      </c>
      <c r="DT466">
        <v>0</v>
      </c>
      <c r="DU466">
        <v>0</v>
      </c>
    </row>
    <row r="467" spans="2:125">
      <c r="B467" s="136">
        <v>458</v>
      </c>
      <c r="C467" s="138">
        <v>1</v>
      </c>
      <c r="D467" s="474">
        <v>3130.3899300055673</v>
      </c>
      <c r="E467" s="127">
        <v>251.5017461041183</v>
      </c>
      <c r="F467" s="447">
        <v>0.42968252170910759</v>
      </c>
      <c r="G467" s="127">
        <v>111.9750506493143</v>
      </c>
      <c r="H467" s="132">
        <v>60.117263614188481</v>
      </c>
      <c r="I467" s="456"/>
      <c r="J467" s="45"/>
      <c r="K467" s="45">
        <v>480</v>
      </c>
      <c r="L467" s="463"/>
      <c r="M467" s="456">
        <v>34.386402130126953</v>
      </c>
      <c r="N467" s="457"/>
      <c r="O467" s="456"/>
      <c r="P467" s="46"/>
      <c r="Q467" s="463">
        <v>70.192123413085938</v>
      </c>
      <c r="R467" s="449"/>
      <c r="S467" s="463"/>
      <c r="T467" s="480"/>
      <c r="U467" s="468"/>
      <c r="V467" s="449"/>
      <c r="W467" s="45">
        <v>1556.472900390625</v>
      </c>
      <c r="X467" s="463">
        <v>130.2998046875</v>
      </c>
      <c r="Y467" s="449"/>
      <c r="Z467" s="45"/>
      <c r="AA467" s="468">
        <v>0.41895106294987167</v>
      </c>
      <c r="AB467" s="456"/>
      <c r="AC467" s="46"/>
      <c r="AD467" s="46"/>
      <c r="AE467" s="46"/>
      <c r="AF467" s="46"/>
      <c r="AG467" s="46"/>
      <c r="AH467" s="46"/>
      <c r="AI467" s="457"/>
      <c r="AJ467" s="138"/>
      <c r="AK467" s="745"/>
      <c r="AL467" s="54"/>
      <c r="AM467" s="468"/>
      <c r="AN467" s="449"/>
      <c r="AO467" s="45"/>
      <c r="AP467" s="45"/>
      <c r="AQ467" s="45"/>
      <c r="AR467" s="45"/>
      <c r="AS467" s="45"/>
      <c r="AT467" s="45"/>
      <c r="AU467" s="463"/>
      <c r="AV467" s="449"/>
      <c r="AW467" s="45"/>
      <c r="AX467" s="45"/>
      <c r="AY467" s="45"/>
      <c r="AZ467" s="45"/>
      <c r="BA467" s="45"/>
      <c r="BB467" s="45"/>
      <c r="BC467" s="463"/>
      <c r="BD467" s="456"/>
      <c r="BE467" s="46"/>
      <c r="BF467" s="46"/>
      <c r="BG467" s="46"/>
      <c r="BH467" s="46"/>
      <c r="BI467" s="46"/>
      <c r="BJ467" s="457"/>
      <c r="BK467" s="449">
        <v>0</v>
      </c>
      <c r="BL467" s="45"/>
      <c r="BM467" s="45"/>
      <c r="BN467" s="45"/>
      <c r="BO467" s="45"/>
      <c r="BP467" s="45"/>
      <c r="BQ467" s="45"/>
      <c r="BR467" s="45"/>
      <c r="BS467" s="45"/>
      <c r="BT467" s="45"/>
      <c r="BU467" s="45"/>
      <c r="BV467" s="45"/>
      <c r="BW467" s="45"/>
      <c r="BX467" s="45"/>
      <c r="BY467" s="45"/>
      <c r="BZ467" s="45"/>
      <c r="CA467" s="45"/>
      <c r="CB467" s="45"/>
      <c r="CC467" s="45"/>
      <c r="CD467" s="463"/>
      <c r="CE467">
        <v>0</v>
      </c>
      <c r="CF467">
        <v>0</v>
      </c>
      <c r="CG467">
        <v>0</v>
      </c>
      <c r="CH467">
        <v>0</v>
      </c>
      <c r="CI467">
        <v>0</v>
      </c>
      <c r="CJ467">
        <v>0</v>
      </c>
      <c r="CK467">
        <v>0</v>
      </c>
      <c r="CL467">
        <v>0</v>
      </c>
      <c r="CM467">
        <v>0</v>
      </c>
      <c r="CN467">
        <v>0</v>
      </c>
      <c r="CO467">
        <v>0</v>
      </c>
      <c r="CP467">
        <v>0</v>
      </c>
      <c r="CQ467">
        <v>0</v>
      </c>
      <c r="CR467">
        <v>0</v>
      </c>
      <c r="CS467">
        <v>0</v>
      </c>
      <c r="CT467">
        <v>0</v>
      </c>
      <c r="CU467">
        <v>0</v>
      </c>
      <c r="CV467">
        <v>0</v>
      </c>
      <c r="CW467">
        <v>0</v>
      </c>
      <c r="CX467">
        <v>0</v>
      </c>
      <c r="CY467">
        <v>0</v>
      </c>
      <c r="CZ467">
        <v>0</v>
      </c>
      <c r="DA467">
        <v>0</v>
      </c>
      <c r="DB467">
        <v>0</v>
      </c>
      <c r="DC467">
        <v>0</v>
      </c>
      <c r="DD467">
        <v>0</v>
      </c>
      <c r="DE467">
        <v>0</v>
      </c>
      <c r="DF467">
        <v>0</v>
      </c>
      <c r="DG467">
        <v>0</v>
      </c>
      <c r="DH467">
        <v>0</v>
      </c>
      <c r="DI467">
        <v>0</v>
      </c>
      <c r="DJ467">
        <v>0</v>
      </c>
      <c r="DK467">
        <v>0</v>
      </c>
      <c r="DL467">
        <v>0</v>
      </c>
      <c r="DM467">
        <v>0</v>
      </c>
      <c r="DN467">
        <v>0</v>
      </c>
      <c r="DO467">
        <v>0</v>
      </c>
      <c r="DP467">
        <v>0</v>
      </c>
      <c r="DQ467">
        <v>0</v>
      </c>
      <c r="DR467">
        <v>0</v>
      </c>
      <c r="DS467">
        <v>0</v>
      </c>
      <c r="DT467">
        <v>0</v>
      </c>
      <c r="DU467">
        <v>0</v>
      </c>
    </row>
    <row r="468" spans="2:125">
      <c r="B468" s="136">
        <v>459</v>
      </c>
      <c r="C468" s="138">
        <v>1</v>
      </c>
      <c r="D468" s="474">
        <v>3061.1525815110244</v>
      </c>
      <c r="E468" s="127">
        <v>243.22724213113918</v>
      </c>
      <c r="F468" s="447">
        <v>0.44469818192059341</v>
      </c>
      <c r="G468" s="127">
        <v>99.245112821879545</v>
      </c>
      <c r="H468" s="132">
        <v>55.144918301699356</v>
      </c>
      <c r="I468" s="456"/>
      <c r="J468" s="45"/>
      <c r="K468" s="45">
        <v>430</v>
      </c>
      <c r="L468" s="463"/>
      <c r="M468" s="456">
        <v>36.038787841796875</v>
      </c>
      <c r="N468" s="457"/>
      <c r="O468" s="456"/>
      <c r="P468" s="46"/>
      <c r="Q468" s="463">
        <v>60.610820770263672</v>
      </c>
      <c r="R468" s="449"/>
      <c r="S468" s="463"/>
      <c r="T468" s="480"/>
      <c r="U468" s="468"/>
      <c r="V468" s="449"/>
      <c r="W468" s="45">
        <v>1479.9339599609375</v>
      </c>
      <c r="X468" s="463">
        <v>124.50054931640625</v>
      </c>
      <c r="Y468" s="449"/>
      <c r="Z468" s="45"/>
      <c r="AA468" s="468">
        <v>0.43362589371022225</v>
      </c>
      <c r="AB468" s="456"/>
      <c r="AC468" s="46"/>
      <c r="AD468" s="46"/>
      <c r="AE468" s="46"/>
      <c r="AF468" s="46"/>
      <c r="AG468" s="46"/>
      <c r="AH468" s="46"/>
      <c r="AI468" s="457"/>
      <c r="AJ468" s="138"/>
      <c r="AK468" s="745"/>
      <c r="AL468" s="54"/>
      <c r="AM468" s="468"/>
      <c r="AN468" s="449"/>
      <c r="AO468" s="45"/>
      <c r="AP468" s="45"/>
      <c r="AQ468" s="45"/>
      <c r="AR468" s="45"/>
      <c r="AS468" s="45"/>
      <c r="AT468" s="45"/>
      <c r="AU468" s="463"/>
      <c r="AV468" s="449"/>
      <c r="AW468" s="45"/>
      <c r="AX468" s="45"/>
      <c r="AY468" s="45"/>
      <c r="AZ468" s="45"/>
      <c r="BA468" s="45"/>
      <c r="BB468" s="45"/>
      <c r="BC468" s="463"/>
      <c r="BD468" s="456"/>
      <c r="BE468" s="46"/>
      <c r="BF468" s="46"/>
      <c r="BG468" s="46"/>
      <c r="BH468" s="46"/>
      <c r="BI468" s="46"/>
      <c r="BJ468" s="457"/>
      <c r="BK468" s="449">
        <v>0</v>
      </c>
      <c r="BL468" s="45"/>
      <c r="BM468" s="45"/>
      <c r="BN468" s="45"/>
      <c r="BO468" s="45"/>
      <c r="BP468" s="45"/>
      <c r="BQ468" s="45"/>
      <c r="BR468" s="45"/>
      <c r="BS468" s="45"/>
      <c r="BT468" s="45"/>
      <c r="BU468" s="45"/>
      <c r="BV468" s="45"/>
      <c r="BW468" s="45"/>
      <c r="BX468" s="45"/>
      <c r="BY468" s="45"/>
      <c r="BZ468" s="45"/>
      <c r="CA468" s="45"/>
      <c r="CB468" s="45"/>
      <c r="CC468" s="45"/>
      <c r="CD468" s="463"/>
      <c r="CE468">
        <v>0</v>
      </c>
      <c r="CF468">
        <v>0</v>
      </c>
      <c r="CG468">
        <v>0</v>
      </c>
      <c r="CH468">
        <v>0</v>
      </c>
      <c r="CI468">
        <v>0</v>
      </c>
      <c r="CJ468">
        <v>0</v>
      </c>
      <c r="CK468">
        <v>0</v>
      </c>
      <c r="CL468">
        <v>0</v>
      </c>
      <c r="CM468">
        <v>0</v>
      </c>
      <c r="CN468">
        <v>0</v>
      </c>
      <c r="CO468">
        <v>0</v>
      </c>
      <c r="CP468">
        <v>0</v>
      </c>
      <c r="CQ468">
        <v>0</v>
      </c>
      <c r="CR468">
        <v>0</v>
      </c>
      <c r="CS468">
        <v>0</v>
      </c>
      <c r="CT468">
        <v>0</v>
      </c>
      <c r="CU468">
        <v>0</v>
      </c>
      <c r="CV468">
        <v>0</v>
      </c>
      <c r="CW468">
        <v>0</v>
      </c>
      <c r="CX468">
        <v>0</v>
      </c>
      <c r="CY468">
        <v>0</v>
      </c>
      <c r="CZ468">
        <v>0</v>
      </c>
      <c r="DA468">
        <v>0</v>
      </c>
      <c r="DB468">
        <v>0</v>
      </c>
      <c r="DC468">
        <v>0</v>
      </c>
      <c r="DD468">
        <v>0</v>
      </c>
      <c r="DE468">
        <v>0</v>
      </c>
      <c r="DF468">
        <v>0</v>
      </c>
      <c r="DG468">
        <v>0</v>
      </c>
      <c r="DH468">
        <v>0</v>
      </c>
      <c r="DI468">
        <v>0</v>
      </c>
      <c r="DJ468">
        <v>0</v>
      </c>
      <c r="DK468">
        <v>0</v>
      </c>
      <c r="DL468">
        <v>0</v>
      </c>
      <c r="DM468">
        <v>0</v>
      </c>
      <c r="DN468">
        <v>0</v>
      </c>
      <c r="DO468">
        <v>0</v>
      </c>
      <c r="DP468">
        <v>0</v>
      </c>
      <c r="DQ468">
        <v>0</v>
      </c>
      <c r="DR468">
        <v>0</v>
      </c>
      <c r="DS468">
        <v>0</v>
      </c>
      <c r="DT468">
        <v>0</v>
      </c>
      <c r="DU468">
        <v>0</v>
      </c>
    </row>
    <row r="469" spans="2:125">
      <c r="B469" s="136">
        <v>460</v>
      </c>
      <c r="C469" s="138">
        <v>1</v>
      </c>
      <c r="D469" s="474">
        <v>3033.2212556243521</v>
      </c>
      <c r="E469" s="127">
        <v>247.61550297280436</v>
      </c>
      <c r="F469" s="447">
        <v>0.37610631319993293</v>
      </c>
      <c r="G469" s="127">
        <v>101.58103292005855</v>
      </c>
      <c r="H469" s="132">
        <v>53.989818146608286</v>
      </c>
      <c r="I469" s="456"/>
      <c r="J469" s="45"/>
      <c r="K469" s="45">
        <v>420</v>
      </c>
      <c r="L469" s="463"/>
      <c r="M469" s="456">
        <v>28.320087432861328</v>
      </c>
      <c r="N469" s="457"/>
      <c r="O469" s="456"/>
      <c r="P469" s="46"/>
      <c r="Q469" s="463">
        <v>60.057781219482422</v>
      </c>
      <c r="R469" s="449"/>
      <c r="S469" s="463"/>
      <c r="T469" s="480"/>
      <c r="U469" s="468"/>
      <c r="V469" s="449"/>
      <c r="W469" s="45">
        <v>1170.2138671875</v>
      </c>
      <c r="X469" s="463">
        <v>101.94900512695312</v>
      </c>
      <c r="Y469" s="449"/>
      <c r="Z469" s="45"/>
      <c r="AA469" s="468">
        <v>0.36538433694986727</v>
      </c>
      <c r="AB469" s="456"/>
      <c r="AC469" s="46"/>
      <c r="AD469" s="46"/>
      <c r="AE469" s="46"/>
      <c r="AF469" s="46"/>
      <c r="AG469" s="46"/>
      <c r="AH469" s="46"/>
      <c r="AI469" s="457"/>
      <c r="AJ469" s="138"/>
      <c r="AK469" s="745"/>
      <c r="AL469" s="54"/>
      <c r="AM469" s="468"/>
      <c r="AN469" s="449"/>
      <c r="AO469" s="45"/>
      <c r="AP469" s="45"/>
      <c r="AQ469" s="45"/>
      <c r="AR469" s="45"/>
      <c r="AS469" s="45"/>
      <c r="AT469" s="45"/>
      <c r="AU469" s="463"/>
      <c r="AV469" s="449"/>
      <c r="AW469" s="45"/>
      <c r="AX469" s="45"/>
      <c r="AY469" s="45"/>
      <c r="AZ469" s="45"/>
      <c r="BA469" s="45"/>
      <c r="BB469" s="45"/>
      <c r="BC469" s="463"/>
      <c r="BD469" s="456"/>
      <c r="BE469" s="46"/>
      <c r="BF469" s="46"/>
      <c r="BG469" s="46"/>
      <c r="BH469" s="46"/>
      <c r="BI469" s="46"/>
      <c r="BJ469" s="457"/>
      <c r="BK469" s="449">
        <v>0</v>
      </c>
      <c r="BL469" s="45"/>
      <c r="BM469" s="45"/>
      <c r="BN469" s="45"/>
      <c r="BO469" s="45"/>
      <c r="BP469" s="45"/>
      <c r="BQ469" s="45"/>
      <c r="BR469" s="45"/>
      <c r="BS469" s="45"/>
      <c r="BT469" s="45"/>
      <c r="BU469" s="45"/>
      <c r="BV469" s="45"/>
      <c r="BW469" s="45"/>
      <c r="BX469" s="45"/>
      <c r="BY469" s="45"/>
      <c r="BZ469" s="45"/>
      <c r="CA469" s="45"/>
      <c r="CB469" s="45"/>
      <c r="CC469" s="45"/>
      <c r="CD469" s="463"/>
      <c r="CE469">
        <v>0</v>
      </c>
      <c r="CF469">
        <v>0</v>
      </c>
      <c r="CG469">
        <v>0</v>
      </c>
      <c r="CH469">
        <v>0</v>
      </c>
      <c r="CI469">
        <v>0</v>
      </c>
      <c r="CJ469">
        <v>0</v>
      </c>
      <c r="CK469">
        <v>0</v>
      </c>
      <c r="CL469">
        <v>0</v>
      </c>
      <c r="CM469">
        <v>0</v>
      </c>
      <c r="CN469">
        <v>0</v>
      </c>
      <c r="CO469">
        <v>0</v>
      </c>
      <c r="CP469">
        <v>0</v>
      </c>
      <c r="CQ469">
        <v>0</v>
      </c>
      <c r="CR469">
        <v>0</v>
      </c>
      <c r="CS469">
        <v>0</v>
      </c>
      <c r="CT469">
        <v>0</v>
      </c>
      <c r="CU469">
        <v>0</v>
      </c>
      <c r="CV469">
        <v>0</v>
      </c>
      <c r="CW469">
        <v>0</v>
      </c>
      <c r="CX469">
        <v>0</v>
      </c>
      <c r="CY469">
        <v>0</v>
      </c>
      <c r="CZ469">
        <v>0</v>
      </c>
      <c r="DA469">
        <v>0</v>
      </c>
      <c r="DB469">
        <v>0</v>
      </c>
      <c r="DC469">
        <v>0</v>
      </c>
      <c r="DD469">
        <v>0</v>
      </c>
      <c r="DE469">
        <v>0</v>
      </c>
      <c r="DF469">
        <v>0</v>
      </c>
      <c r="DG469">
        <v>0</v>
      </c>
      <c r="DH469">
        <v>0</v>
      </c>
      <c r="DI469">
        <v>0</v>
      </c>
      <c r="DJ469">
        <v>0</v>
      </c>
      <c r="DK469">
        <v>0</v>
      </c>
      <c r="DL469">
        <v>0</v>
      </c>
      <c r="DM469">
        <v>0</v>
      </c>
      <c r="DN469">
        <v>0</v>
      </c>
      <c r="DO469">
        <v>0</v>
      </c>
      <c r="DP469">
        <v>0</v>
      </c>
      <c r="DQ469">
        <v>0</v>
      </c>
      <c r="DR469">
        <v>0</v>
      </c>
      <c r="DS469">
        <v>0</v>
      </c>
      <c r="DT469">
        <v>0</v>
      </c>
      <c r="DU469">
        <v>0</v>
      </c>
    </row>
    <row r="470" spans="2:125">
      <c r="B470" s="136">
        <v>461</v>
      </c>
      <c r="C470" s="138">
        <v>1</v>
      </c>
      <c r="D470" s="474">
        <v>2544.3993153464453</v>
      </c>
      <c r="E470" s="127">
        <v>225.72948998533832</v>
      </c>
      <c r="F470" s="447">
        <v>0.44391502993325266</v>
      </c>
      <c r="G470" s="127">
        <v>89.948780984148627</v>
      </c>
      <c r="H470" s="132">
        <v>55.770412539647992</v>
      </c>
      <c r="I470" s="456"/>
      <c r="J470" s="45"/>
      <c r="K470" s="45">
        <v>400</v>
      </c>
      <c r="L470" s="463"/>
      <c r="M470" s="456">
        <v>34.621517181396484</v>
      </c>
      <c r="N470" s="457"/>
      <c r="O470" s="456"/>
      <c r="P470" s="46"/>
      <c r="Q470" s="463">
        <v>58.610435485839844</v>
      </c>
      <c r="R470" s="449"/>
      <c r="S470" s="463"/>
      <c r="T470" s="480"/>
      <c r="U470" s="468"/>
      <c r="V470" s="449"/>
      <c r="W470" s="45">
        <v>1391.186767578125</v>
      </c>
      <c r="X470" s="463">
        <v>117.93397521972656</v>
      </c>
      <c r="Y470" s="449"/>
      <c r="Z470" s="45"/>
      <c r="AA470" s="468">
        <v>0.43060017782087817</v>
      </c>
      <c r="AB470" s="456"/>
      <c r="AC470" s="46"/>
      <c r="AD470" s="46"/>
      <c r="AE470" s="46"/>
      <c r="AF470" s="46"/>
      <c r="AG470" s="46"/>
      <c r="AH470" s="46"/>
      <c r="AI470" s="457"/>
      <c r="AJ470" s="138"/>
      <c r="AK470" s="745"/>
      <c r="AL470" s="54"/>
      <c r="AM470" s="468"/>
      <c r="AN470" s="449"/>
      <c r="AO470" s="45"/>
      <c r="AP470" s="45"/>
      <c r="AQ470" s="45"/>
      <c r="AR470" s="45"/>
      <c r="AS470" s="45"/>
      <c r="AT470" s="45"/>
      <c r="AU470" s="463"/>
      <c r="AV470" s="449"/>
      <c r="AW470" s="45"/>
      <c r="AX470" s="45"/>
      <c r="AY470" s="45"/>
      <c r="AZ470" s="45"/>
      <c r="BA470" s="45"/>
      <c r="BB470" s="45"/>
      <c r="BC470" s="463"/>
      <c r="BD470" s="456"/>
      <c r="BE470" s="46"/>
      <c r="BF470" s="46"/>
      <c r="BG470" s="46"/>
      <c r="BH470" s="46"/>
      <c r="BI470" s="46"/>
      <c r="BJ470" s="457"/>
      <c r="BK470" s="449">
        <v>0</v>
      </c>
      <c r="BL470" s="45"/>
      <c r="BM470" s="45"/>
      <c r="BN470" s="45"/>
      <c r="BO470" s="45"/>
      <c r="BP470" s="45"/>
      <c r="BQ470" s="45"/>
      <c r="BR470" s="45"/>
      <c r="BS470" s="45"/>
      <c r="BT470" s="45"/>
      <c r="BU470" s="45"/>
      <c r="BV470" s="45"/>
      <c r="BW470" s="45"/>
      <c r="BX470" s="45"/>
      <c r="BY470" s="45"/>
      <c r="BZ470" s="45"/>
      <c r="CA470" s="45"/>
      <c r="CB470" s="45"/>
      <c r="CC470" s="45"/>
      <c r="CD470" s="463"/>
      <c r="CE470">
        <v>0</v>
      </c>
      <c r="CF470">
        <v>0</v>
      </c>
      <c r="CG470">
        <v>0</v>
      </c>
      <c r="CH470">
        <v>0</v>
      </c>
      <c r="CI470">
        <v>0</v>
      </c>
      <c r="CJ470">
        <v>0</v>
      </c>
      <c r="CK470">
        <v>0</v>
      </c>
      <c r="CL470">
        <v>0</v>
      </c>
      <c r="CM470">
        <v>0</v>
      </c>
      <c r="CN470">
        <v>0</v>
      </c>
      <c r="CO470">
        <v>0</v>
      </c>
      <c r="CP470">
        <v>0</v>
      </c>
      <c r="CQ470">
        <v>0</v>
      </c>
      <c r="CR470">
        <v>0</v>
      </c>
      <c r="CS470">
        <v>0</v>
      </c>
      <c r="CT470">
        <v>0</v>
      </c>
      <c r="CU470">
        <v>0</v>
      </c>
      <c r="CV470">
        <v>0</v>
      </c>
      <c r="CW470">
        <v>0</v>
      </c>
      <c r="CX470">
        <v>0</v>
      </c>
      <c r="CY470">
        <v>0</v>
      </c>
      <c r="CZ470">
        <v>0</v>
      </c>
      <c r="DA470">
        <v>0</v>
      </c>
      <c r="DB470">
        <v>0</v>
      </c>
      <c r="DC470">
        <v>0</v>
      </c>
      <c r="DD470">
        <v>0</v>
      </c>
      <c r="DE470">
        <v>0</v>
      </c>
      <c r="DF470">
        <v>0</v>
      </c>
      <c r="DG470">
        <v>0</v>
      </c>
      <c r="DH470">
        <v>0</v>
      </c>
      <c r="DI470">
        <v>0</v>
      </c>
      <c r="DJ470">
        <v>0</v>
      </c>
      <c r="DK470">
        <v>0</v>
      </c>
      <c r="DL470">
        <v>0</v>
      </c>
      <c r="DM470">
        <v>0</v>
      </c>
      <c r="DN470">
        <v>0</v>
      </c>
      <c r="DO470">
        <v>0</v>
      </c>
      <c r="DP470">
        <v>0</v>
      </c>
      <c r="DQ470">
        <v>0</v>
      </c>
      <c r="DR470">
        <v>0</v>
      </c>
      <c r="DS470">
        <v>0</v>
      </c>
      <c r="DT470">
        <v>0</v>
      </c>
      <c r="DU470">
        <v>0</v>
      </c>
    </row>
    <row r="471" spans="2:125">
      <c r="B471" s="136">
        <v>462</v>
      </c>
      <c r="C471" s="138">
        <v>1</v>
      </c>
      <c r="D471" s="474">
        <v>2701.147217971898</v>
      </c>
      <c r="E471" s="127">
        <v>207.36330241846645</v>
      </c>
      <c r="F471" s="447">
        <v>0.47819529648227727</v>
      </c>
      <c r="G471" s="127">
        <v>86.381711651877211</v>
      </c>
      <c r="H471" s="132">
        <v>51.807341339552352</v>
      </c>
      <c r="I471" s="456"/>
      <c r="J471" s="45"/>
      <c r="K471" s="45">
        <v>380</v>
      </c>
      <c r="L471" s="463"/>
      <c r="M471" s="456">
        <v>41.053665161132813</v>
      </c>
      <c r="N471" s="457"/>
      <c r="O471" s="456"/>
      <c r="P471" s="46"/>
      <c r="Q471" s="463">
        <v>53.482715606689453</v>
      </c>
      <c r="R471" s="449"/>
      <c r="S471" s="463"/>
      <c r="T471" s="480"/>
      <c r="U471" s="468"/>
      <c r="V471" s="449"/>
      <c r="W471" s="45">
        <v>1536.78271484375</v>
      </c>
      <c r="X471" s="463">
        <v>128.44483947753906</v>
      </c>
      <c r="Y471" s="449"/>
      <c r="Z471" s="45"/>
      <c r="AA471" s="468">
        <v>0.46539928680917364</v>
      </c>
      <c r="AB471" s="456"/>
      <c r="AC471" s="46"/>
      <c r="AD471" s="46"/>
      <c r="AE471" s="46"/>
      <c r="AF471" s="46"/>
      <c r="AG471" s="46"/>
      <c r="AH471" s="46"/>
      <c r="AI471" s="457"/>
      <c r="AJ471" s="138"/>
      <c r="AK471" s="745"/>
      <c r="AL471" s="54"/>
      <c r="AM471" s="468"/>
      <c r="AN471" s="449"/>
      <c r="AO471" s="45"/>
      <c r="AP471" s="45"/>
      <c r="AQ471" s="45"/>
      <c r="AR471" s="45"/>
      <c r="AS471" s="45"/>
      <c r="AT471" s="45"/>
      <c r="AU471" s="463"/>
      <c r="AV471" s="449"/>
      <c r="AW471" s="45"/>
      <c r="AX471" s="45"/>
      <c r="AY471" s="45"/>
      <c r="AZ471" s="45"/>
      <c r="BA471" s="45"/>
      <c r="BB471" s="45"/>
      <c r="BC471" s="463"/>
      <c r="BD471" s="456"/>
      <c r="BE471" s="46"/>
      <c r="BF471" s="46"/>
      <c r="BG471" s="46"/>
      <c r="BH471" s="46"/>
      <c r="BI471" s="46"/>
      <c r="BJ471" s="457"/>
      <c r="BK471" s="449">
        <v>0</v>
      </c>
      <c r="BL471" s="45"/>
      <c r="BM471" s="45"/>
      <c r="BN471" s="45"/>
      <c r="BO471" s="45"/>
      <c r="BP471" s="45"/>
      <c r="BQ471" s="45"/>
      <c r="BR471" s="45"/>
      <c r="BS471" s="45"/>
      <c r="BT471" s="45"/>
      <c r="BU471" s="45"/>
      <c r="BV471" s="45"/>
      <c r="BW471" s="45"/>
      <c r="BX471" s="45"/>
      <c r="BY471" s="45"/>
      <c r="BZ471" s="45"/>
      <c r="CA471" s="45"/>
      <c r="CB471" s="45"/>
      <c r="CC471" s="45"/>
      <c r="CD471" s="463"/>
      <c r="CE471">
        <v>0</v>
      </c>
      <c r="CF471">
        <v>0</v>
      </c>
      <c r="CG471">
        <v>0</v>
      </c>
      <c r="CH471">
        <v>0</v>
      </c>
      <c r="CI471">
        <v>0</v>
      </c>
      <c r="CJ471">
        <v>0</v>
      </c>
      <c r="CK471">
        <v>0</v>
      </c>
      <c r="CL471">
        <v>0</v>
      </c>
      <c r="CM471">
        <v>0</v>
      </c>
      <c r="CN471">
        <v>0</v>
      </c>
      <c r="CO471">
        <v>0</v>
      </c>
      <c r="CP471">
        <v>0</v>
      </c>
      <c r="CQ471">
        <v>0</v>
      </c>
      <c r="CR471">
        <v>0</v>
      </c>
      <c r="CS471">
        <v>0</v>
      </c>
      <c r="CT471">
        <v>0</v>
      </c>
      <c r="CU471">
        <v>0</v>
      </c>
      <c r="CV471">
        <v>0</v>
      </c>
      <c r="CW471">
        <v>0</v>
      </c>
      <c r="CX471">
        <v>0</v>
      </c>
      <c r="CY471">
        <v>0</v>
      </c>
      <c r="CZ471">
        <v>0</v>
      </c>
      <c r="DA471">
        <v>0</v>
      </c>
      <c r="DB471">
        <v>0</v>
      </c>
      <c r="DC471">
        <v>0</v>
      </c>
      <c r="DD471">
        <v>0</v>
      </c>
      <c r="DE471">
        <v>0</v>
      </c>
      <c r="DF471">
        <v>0</v>
      </c>
      <c r="DG471">
        <v>0</v>
      </c>
      <c r="DH471">
        <v>0</v>
      </c>
      <c r="DI471">
        <v>0</v>
      </c>
      <c r="DJ471">
        <v>0</v>
      </c>
      <c r="DK471">
        <v>0</v>
      </c>
      <c r="DL471">
        <v>0</v>
      </c>
      <c r="DM471">
        <v>0</v>
      </c>
      <c r="DN471">
        <v>0</v>
      </c>
      <c r="DO471">
        <v>0</v>
      </c>
      <c r="DP471">
        <v>0</v>
      </c>
      <c r="DQ471">
        <v>0</v>
      </c>
      <c r="DR471">
        <v>0</v>
      </c>
      <c r="DS471">
        <v>0</v>
      </c>
      <c r="DT471">
        <v>0</v>
      </c>
      <c r="DU471">
        <v>0</v>
      </c>
    </row>
    <row r="472" spans="2:125">
      <c r="B472" s="136">
        <v>463</v>
      </c>
      <c r="C472" s="138">
        <v>1</v>
      </c>
      <c r="D472" s="474">
        <v>3583.0586076403988</v>
      </c>
      <c r="E472" s="127">
        <v>273.5348507585382</v>
      </c>
      <c r="F472" s="447">
        <v>0.44144014352866912</v>
      </c>
      <c r="G472" s="127">
        <v>115.48562683330019</v>
      </c>
      <c r="H472" s="132">
        <v>59.913264808569942</v>
      </c>
      <c r="I472" s="456"/>
      <c r="J472" s="45"/>
      <c r="K472" s="45">
        <v>500</v>
      </c>
      <c r="L472" s="463"/>
      <c r="M472" s="456">
        <v>36.706405639648437</v>
      </c>
      <c r="N472" s="457"/>
      <c r="O472" s="456"/>
      <c r="P472" s="46"/>
      <c r="Q472" s="463">
        <v>70.944564819335938</v>
      </c>
      <c r="R472" s="449"/>
      <c r="S472" s="463"/>
      <c r="T472" s="480"/>
      <c r="U472" s="468"/>
      <c r="V472" s="449"/>
      <c r="W472" s="45">
        <v>1665.29931640625</v>
      </c>
      <c r="X472" s="463">
        <v>138.268310546875</v>
      </c>
      <c r="Y472" s="449"/>
      <c r="Z472" s="45"/>
      <c r="AA472" s="468">
        <v>0.43199882353506425</v>
      </c>
      <c r="AB472" s="456"/>
      <c r="AC472" s="46"/>
      <c r="AD472" s="46"/>
      <c r="AE472" s="46"/>
      <c r="AF472" s="46"/>
      <c r="AG472" s="46"/>
      <c r="AH472" s="46"/>
      <c r="AI472" s="457"/>
      <c r="AJ472" s="138"/>
      <c r="AK472" s="745"/>
      <c r="AL472" s="54"/>
      <c r="AM472" s="468"/>
      <c r="AN472" s="449"/>
      <c r="AO472" s="45"/>
      <c r="AP472" s="45"/>
      <c r="AQ472" s="45"/>
      <c r="AR472" s="45"/>
      <c r="AS472" s="45"/>
      <c r="AT472" s="45"/>
      <c r="AU472" s="463"/>
      <c r="AV472" s="449"/>
      <c r="AW472" s="45"/>
      <c r="AX472" s="45"/>
      <c r="AY472" s="45"/>
      <c r="AZ472" s="45"/>
      <c r="BA472" s="45"/>
      <c r="BB472" s="45"/>
      <c r="BC472" s="463"/>
      <c r="BD472" s="456"/>
      <c r="BE472" s="46"/>
      <c r="BF472" s="46"/>
      <c r="BG472" s="46"/>
      <c r="BH472" s="46"/>
      <c r="BI472" s="46"/>
      <c r="BJ472" s="457"/>
      <c r="BK472" s="449">
        <v>0</v>
      </c>
      <c r="BL472" s="45"/>
      <c r="BM472" s="45"/>
      <c r="BN472" s="45"/>
      <c r="BO472" s="45"/>
      <c r="BP472" s="45"/>
      <c r="BQ472" s="45"/>
      <c r="BR472" s="45"/>
      <c r="BS472" s="45"/>
      <c r="BT472" s="45"/>
      <c r="BU472" s="45"/>
      <c r="BV472" s="45"/>
      <c r="BW472" s="45"/>
      <c r="BX472" s="45"/>
      <c r="BY472" s="45"/>
      <c r="BZ472" s="45"/>
      <c r="CA472" s="45"/>
      <c r="CB472" s="45"/>
      <c r="CC472" s="45"/>
      <c r="CD472" s="463"/>
      <c r="CE472">
        <v>0</v>
      </c>
      <c r="CF472">
        <v>0</v>
      </c>
      <c r="CG472">
        <v>0</v>
      </c>
      <c r="CH472">
        <v>0</v>
      </c>
      <c r="CI472">
        <v>0</v>
      </c>
      <c r="CJ472">
        <v>0</v>
      </c>
      <c r="CK472">
        <v>0</v>
      </c>
      <c r="CL472">
        <v>0</v>
      </c>
      <c r="CM472">
        <v>0</v>
      </c>
      <c r="CN472">
        <v>0</v>
      </c>
      <c r="CO472">
        <v>0</v>
      </c>
      <c r="CP472">
        <v>0</v>
      </c>
      <c r="CQ472">
        <v>0</v>
      </c>
      <c r="CR472">
        <v>0</v>
      </c>
      <c r="CS472">
        <v>0</v>
      </c>
      <c r="CT472">
        <v>0</v>
      </c>
      <c r="CU472">
        <v>0</v>
      </c>
      <c r="CV472">
        <v>0</v>
      </c>
      <c r="CW472">
        <v>0</v>
      </c>
      <c r="CX472">
        <v>0</v>
      </c>
      <c r="CY472">
        <v>0</v>
      </c>
      <c r="CZ472">
        <v>0</v>
      </c>
      <c r="DA472">
        <v>0</v>
      </c>
      <c r="DB472">
        <v>0</v>
      </c>
      <c r="DC472">
        <v>0</v>
      </c>
      <c r="DD472">
        <v>0</v>
      </c>
      <c r="DE472">
        <v>0</v>
      </c>
      <c r="DF472">
        <v>0</v>
      </c>
      <c r="DG472">
        <v>0</v>
      </c>
      <c r="DH472">
        <v>0</v>
      </c>
      <c r="DI472">
        <v>0</v>
      </c>
      <c r="DJ472">
        <v>0</v>
      </c>
      <c r="DK472">
        <v>0</v>
      </c>
      <c r="DL472">
        <v>0</v>
      </c>
      <c r="DM472">
        <v>0</v>
      </c>
      <c r="DN472">
        <v>0</v>
      </c>
      <c r="DO472">
        <v>0</v>
      </c>
      <c r="DP472">
        <v>0</v>
      </c>
      <c r="DQ472">
        <v>0</v>
      </c>
      <c r="DR472">
        <v>0</v>
      </c>
      <c r="DS472">
        <v>0</v>
      </c>
      <c r="DT472">
        <v>0</v>
      </c>
      <c r="DU472">
        <v>0</v>
      </c>
    </row>
    <row r="473" spans="2:125">
      <c r="B473" s="136">
        <v>464</v>
      </c>
      <c r="C473" s="138">
        <v>1</v>
      </c>
      <c r="D473" s="474">
        <v>2845.606858922727</v>
      </c>
      <c r="E473" s="127">
        <v>309.26894449850681</v>
      </c>
      <c r="F473" s="447">
        <v>0.4763710746406627</v>
      </c>
      <c r="G473" s="127">
        <v>118.65502788711524</v>
      </c>
      <c r="H473" s="132">
        <v>43.917286002617821</v>
      </c>
      <c r="I473" s="456"/>
      <c r="J473" s="45"/>
      <c r="K473" s="45">
        <v>460</v>
      </c>
      <c r="L473" s="463"/>
      <c r="M473" s="456">
        <v>47.409141540527344</v>
      </c>
      <c r="N473" s="457"/>
      <c r="O473" s="456"/>
      <c r="P473" s="46"/>
      <c r="Q473" s="463">
        <v>56.343017578125</v>
      </c>
      <c r="R473" s="449"/>
      <c r="S473" s="463"/>
      <c r="T473" s="480"/>
      <c r="U473" s="468"/>
      <c r="V473" s="449"/>
      <c r="W473" s="45">
        <v>1838.4454345703125</v>
      </c>
      <c r="X473" s="463">
        <v>150.71846008300781</v>
      </c>
      <c r="Y473" s="449"/>
      <c r="Z473" s="45"/>
      <c r="AA473" s="468">
        <v>0.46423748655046371</v>
      </c>
      <c r="AB473" s="456"/>
      <c r="AC473" s="46"/>
      <c r="AD473" s="46"/>
      <c r="AE473" s="46"/>
      <c r="AF473" s="46"/>
      <c r="AG473" s="46"/>
      <c r="AH473" s="46"/>
      <c r="AI473" s="457"/>
      <c r="AJ473" s="138"/>
      <c r="AK473" s="745"/>
      <c r="AL473" s="54"/>
      <c r="AM473" s="468"/>
      <c r="AN473" s="449"/>
      <c r="AO473" s="45"/>
      <c r="AP473" s="45"/>
      <c r="AQ473" s="45"/>
      <c r="AR473" s="45"/>
      <c r="AS473" s="45"/>
      <c r="AT473" s="45"/>
      <c r="AU473" s="463"/>
      <c r="AV473" s="449"/>
      <c r="AW473" s="45"/>
      <c r="AX473" s="45"/>
      <c r="AY473" s="45"/>
      <c r="AZ473" s="45"/>
      <c r="BA473" s="45"/>
      <c r="BB473" s="45"/>
      <c r="BC473" s="463"/>
      <c r="BD473" s="456"/>
      <c r="BE473" s="46"/>
      <c r="BF473" s="46"/>
      <c r="BG473" s="46"/>
      <c r="BH473" s="46"/>
      <c r="BI473" s="46"/>
      <c r="BJ473" s="457"/>
      <c r="BK473" s="449">
        <v>0</v>
      </c>
      <c r="BL473" s="45"/>
      <c r="BM473" s="45"/>
      <c r="BN473" s="45"/>
      <c r="BO473" s="45"/>
      <c r="BP473" s="45"/>
      <c r="BQ473" s="45"/>
      <c r="BR473" s="45"/>
      <c r="BS473" s="45"/>
      <c r="BT473" s="45"/>
      <c r="BU473" s="45"/>
      <c r="BV473" s="45"/>
      <c r="BW473" s="45"/>
      <c r="BX473" s="45"/>
      <c r="BY473" s="45"/>
      <c r="BZ473" s="45"/>
      <c r="CA473" s="45"/>
      <c r="CB473" s="45"/>
      <c r="CC473" s="45"/>
      <c r="CD473" s="463"/>
      <c r="CE473">
        <v>0</v>
      </c>
      <c r="CF473">
        <v>0</v>
      </c>
      <c r="CG473">
        <v>0</v>
      </c>
      <c r="CH473">
        <v>0</v>
      </c>
      <c r="CI473">
        <v>0</v>
      </c>
      <c r="CJ473">
        <v>0</v>
      </c>
      <c r="CK473">
        <v>0</v>
      </c>
      <c r="CL473">
        <v>0</v>
      </c>
      <c r="CM473">
        <v>0</v>
      </c>
      <c r="CN473">
        <v>0</v>
      </c>
      <c r="CO473">
        <v>0</v>
      </c>
      <c r="CP473">
        <v>0</v>
      </c>
      <c r="CQ473">
        <v>0</v>
      </c>
      <c r="CR473">
        <v>0</v>
      </c>
      <c r="CS473">
        <v>0</v>
      </c>
      <c r="CT473">
        <v>0</v>
      </c>
      <c r="CU473">
        <v>0</v>
      </c>
      <c r="CV473">
        <v>0</v>
      </c>
      <c r="CW473">
        <v>0</v>
      </c>
      <c r="CX473">
        <v>0</v>
      </c>
      <c r="CY473">
        <v>0</v>
      </c>
      <c r="CZ473">
        <v>0</v>
      </c>
      <c r="DA473">
        <v>0</v>
      </c>
      <c r="DB473">
        <v>0</v>
      </c>
      <c r="DC473">
        <v>0</v>
      </c>
      <c r="DD473">
        <v>0</v>
      </c>
      <c r="DE473">
        <v>0</v>
      </c>
      <c r="DF473">
        <v>0</v>
      </c>
      <c r="DG473">
        <v>0</v>
      </c>
      <c r="DH473">
        <v>0</v>
      </c>
      <c r="DI473">
        <v>0</v>
      </c>
      <c r="DJ473">
        <v>0</v>
      </c>
      <c r="DK473">
        <v>0</v>
      </c>
      <c r="DL473">
        <v>0</v>
      </c>
      <c r="DM473">
        <v>0</v>
      </c>
      <c r="DN473">
        <v>0</v>
      </c>
      <c r="DO473">
        <v>0</v>
      </c>
      <c r="DP473">
        <v>0</v>
      </c>
      <c r="DQ473">
        <v>0</v>
      </c>
      <c r="DR473">
        <v>0</v>
      </c>
      <c r="DS473">
        <v>0</v>
      </c>
      <c r="DT473">
        <v>0</v>
      </c>
      <c r="DU473">
        <v>0</v>
      </c>
    </row>
    <row r="474" spans="2:125">
      <c r="B474" s="136">
        <v>465</v>
      </c>
      <c r="C474" s="138">
        <v>1</v>
      </c>
      <c r="D474" s="474">
        <v>3109.3494617179681</v>
      </c>
      <c r="E474" s="127">
        <v>206.6372014069272</v>
      </c>
      <c r="F474" s="447">
        <v>0.42275142261267429</v>
      </c>
      <c r="G474" s="127">
        <v>125.21149972263485</v>
      </c>
      <c r="H474" s="132">
        <v>48.296147157711786</v>
      </c>
      <c r="I474" s="456"/>
      <c r="J474" s="45"/>
      <c r="K474" s="45">
        <v>490</v>
      </c>
      <c r="L474" s="463"/>
      <c r="M474" s="456">
        <v>36.772926330566406</v>
      </c>
      <c r="N474" s="457"/>
      <c r="O474" s="456"/>
      <c r="P474" s="46"/>
      <c r="Q474" s="463">
        <v>61.56512451171875</v>
      </c>
      <c r="R474" s="449"/>
      <c r="S474" s="463"/>
      <c r="T474" s="480"/>
      <c r="U474" s="468"/>
      <c r="V474" s="449"/>
      <c r="W474" s="45">
        <v>1542.7489013671875</v>
      </c>
      <c r="X474" s="463">
        <v>129.31222534179687</v>
      </c>
      <c r="Y474" s="449"/>
      <c r="Z474" s="45"/>
      <c r="AA474" s="468">
        <v>0.41199192810613883</v>
      </c>
      <c r="AB474" s="456"/>
      <c r="AC474" s="46"/>
      <c r="AD474" s="46"/>
      <c r="AE474" s="46"/>
      <c r="AF474" s="46"/>
      <c r="AG474" s="46"/>
      <c r="AH474" s="46"/>
      <c r="AI474" s="457"/>
      <c r="AJ474" s="138"/>
      <c r="AK474" s="745"/>
      <c r="AL474" s="54"/>
      <c r="AM474" s="468"/>
      <c r="AN474" s="449"/>
      <c r="AO474" s="45"/>
      <c r="AP474" s="45"/>
      <c r="AQ474" s="45"/>
      <c r="AR474" s="45"/>
      <c r="AS474" s="45"/>
      <c r="AT474" s="45"/>
      <c r="AU474" s="463"/>
      <c r="AV474" s="449"/>
      <c r="AW474" s="45"/>
      <c r="AX474" s="45"/>
      <c r="AY474" s="45"/>
      <c r="AZ474" s="45"/>
      <c r="BA474" s="45"/>
      <c r="BB474" s="45"/>
      <c r="BC474" s="463"/>
      <c r="BD474" s="456"/>
      <c r="BE474" s="46"/>
      <c r="BF474" s="46"/>
      <c r="BG474" s="46"/>
      <c r="BH474" s="46"/>
      <c r="BI474" s="46"/>
      <c r="BJ474" s="457"/>
      <c r="BK474" s="449">
        <v>0</v>
      </c>
      <c r="BL474" s="45"/>
      <c r="BM474" s="45"/>
      <c r="BN474" s="45"/>
      <c r="BO474" s="45"/>
      <c r="BP474" s="45"/>
      <c r="BQ474" s="45"/>
      <c r="BR474" s="45"/>
      <c r="BS474" s="45"/>
      <c r="BT474" s="45"/>
      <c r="BU474" s="45"/>
      <c r="BV474" s="45"/>
      <c r="BW474" s="45"/>
      <c r="BX474" s="45"/>
      <c r="BY474" s="45"/>
      <c r="BZ474" s="45"/>
      <c r="CA474" s="45"/>
      <c r="CB474" s="45"/>
      <c r="CC474" s="45"/>
      <c r="CD474" s="463"/>
      <c r="CE474">
        <v>0</v>
      </c>
      <c r="CF474">
        <v>0</v>
      </c>
      <c r="CG474">
        <v>0</v>
      </c>
      <c r="CH474">
        <v>0</v>
      </c>
      <c r="CI474">
        <v>0</v>
      </c>
      <c r="CJ474">
        <v>0</v>
      </c>
      <c r="CK474">
        <v>0</v>
      </c>
      <c r="CL474">
        <v>0</v>
      </c>
      <c r="CM474">
        <v>0</v>
      </c>
      <c r="CN474">
        <v>0</v>
      </c>
      <c r="CO474">
        <v>0</v>
      </c>
      <c r="CP474">
        <v>0</v>
      </c>
      <c r="CQ474">
        <v>0</v>
      </c>
      <c r="CR474">
        <v>0</v>
      </c>
      <c r="CS474">
        <v>0</v>
      </c>
      <c r="CT474">
        <v>0</v>
      </c>
      <c r="CU474">
        <v>0</v>
      </c>
      <c r="CV474">
        <v>0</v>
      </c>
      <c r="CW474">
        <v>0</v>
      </c>
      <c r="CX474">
        <v>0</v>
      </c>
      <c r="CY474">
        <v>0</v>
      </c>
      <c r="CZ474">
        <v>0</v>
      </c>
      <c r="DA474">
        <v>0</v>
      </c>
      <c r="DB474">
        <v>0</v>
      </c>
      <c r="DC474">
        <v>0</v>
      </c>
      <c r="DD474">
        <v>0</v>
      </c>
      <c r="DE474">
        <v>0</v>
      </c>
      <c r="DF474">
        <v>0</v>
      </c>
      <c r="DG474">
        <v>0</v>
      </c>
      <c r="DH474">
        <v>0</v>
      </c>
      <c r="DI474">
        <v>0</v>
      </c>
      <c r="DJ474">
        <v>0</v>
      </c>
      <c r="DK474">
        <v>0</v>
      </c>
      <c r="DL474">
        <v>0</v>
      </c>
      <c r="DM474">
        <v>0</v>
      </c>
      <c r="DN474">
        <v>0</v>
      </c>
      <c r="DO474">
        <v>0</v>
      </c>
      <c r="DP474">
        <v>0</v>
      </c>
      <c r="DQ474">
        <v>0</v>
      </c>
      <c r="DR474">
        <v>0</v>
      </c>
      <c r="DS474">
        <v>0</v>
      </c>
      <c r="DT474">
        <v>0</v>
      </c>
      <c r="DU474">
        <v>0</v>
      </c>
    </row>
    <row r="475" spans="2:125">
      <c r="B475" s="136">
        <v>466</v>
      </c>
      <c r="C475" s="138">
        <v>1</v>
      </c>
      <c r="D475" s="474">
        <v>3338.6153517426387</v>
      </c>
      <c r="E475" s="127">
        <v>239.44512679575081</v>
      </c>
      <c r="F475" s="447">
        <v>0.39412088953052454</v>
      </c>
      <c r="G475" s="127">
        <v>106.97974412348779</v>
      </c>
      <c r="H475" s="132">
        <v>57.995017851314607</v>
      </c>
      <c r="I475" s="456"/>
      <c r="J475" s="45"/>
      <c r="K475" s="45">
        <v>450</v>
      </c>
      <c r="L475" s="463"/>
      <c r="M475" s="456">
        <v>29.694524765014648</v>
      </c>
      <c r="N475" s="457"/>
      <c r="O475" s="456"/>
      <c r="P475" s="46"/>
      <c r="Q475" s="463">
        <v>66.104591369628906</v>
      </c>
      <c r="R475" s="449"/>
      <c r="S475" s="463"/>
      <c r="T475" s="480"/>
      <c r="U475" s="468"/>
      <c r="V475" s="449"/>
      <c r="W475" s="45">
        <v>1312.734130859375</v>
      </c>
      <c r="X475" s="463">
        <v>112.45235443115234</v>
      </c>
      <c r="Y475" s="449"/>
      <c r="Z475" s="45"/>
      <c r="AA475" s="468">
        <v>0.38427177116070482</v>
      </c>
      <c r="AB475" s="456"/>
      <c r="AC475" s="46"/>
      <c r="AD475" s="46"/>
      <c r="AE475" s="46"/>
      <c r="AF475" s="46"/>
      <c r="AG475" s="46"/>
      <c r="AH475" s="46"/>
      <c r="AI475" s="457"/>
      <c r="AJ475" s="138"/>
      <c r="AK475" s="745"/>
      <c r="AL475" s="54"/>
      <c r="AM475" s="468"/>
      <c r="AN475" s="449"/>
      <c r="AO475" s="45"/>
      <c r="AP475" s="45"/>
      <c r="AQ475" s="45"/>
      <c r="AR475" s="45"/>
      <c r="AS475" s="45"/>
      <c r="AT475" s="45"/>
      <c r="AU475" s="463"/>
      <c r="AV475" s="449"/>
      <c r="AW475" s="45"/>
      <c r="AX475" s="45"/>
      <c r="AY475" s="45"/>
      <c r="AZ475" s="45"/>
      <c r="BA475" s="45"/>
      <c r="BB475" s="45"/>
      <c r="BC475" s="463"/>
      <c r="BD475" s="456"/>
      <c r="BE475" s="46"/>
      <c r="BF475" s="46"/>
      <c r="BG475" s="46"/>
      <c r="BH475" s="46"/>
      <c r="BI475" s="46"/>
      <c r="BJ475" s="457"/>
      <c r="BK475" s="449">
        <v>0</v>
      </c>
      <c r="BL475" s="45"/>
      <c r="BM475" s="45"/>
      <c r="BN475" s="45"/>
      <c r="BO475" s="45"/>
      <c r="BP475" s="45"/>
      <c r="BQ475" s="45"/>
      <c r="BR475" s="45"/>
      <c r="BS475" s="45"/>
      <c r="BT475" s="45"/>
      <c r="BU475" s="45"/>
      <c r="BV475" s="45"/>
      <c r="BW475" s="45"/>
      <c r="BX475" s="45"/>
      <c r="BY475" s="45"/>
      <c r="BZ475" s="45"/>
      <c r="CA475" s="45"/>
      <c r="CB475" s="45"/>
      <c r="CC475" s="45"/>
      <c r="CD475" s="463"/>
      <c r="CE475">
        <v>0</v>
      </c>
      <c r="CF475">
        <v>0</v>
      </c>
      <c r="CG475">
        <v>0</v>
      </c>
      <c r="CH475">
        <v>0</v>
      </c>
      <c r="CI475">
        <v>0</v>
      </c>
      <c r="CJ475">
        <v>0</v>
      </c>
      <c r="CK475">
        <v>0</v>
      </c>
      <c r="CL475">
        <v>0</v>
      </c>
      <c r="CM475">
        <v>0</v>
      </c>
      <c r="CN475">
        <v>0</v>
      </c>
      <c r="CO475">
        <v>0</v>
      </c>
      <c r="CP475">
        <v>0</v>
      </c>
      <c r="CQ475">
        <v>0</v>
      </c>
      <c r="CR475">
        <v>0</v>
      </c>
      <c r="CS475">
        <v>0</v>
      </c>
      <c r="CT475">
        <v>0</v>
      </c>
      <c r="CU475">
        <v>0</v>
      </c>
      <c r="CV475">
        <v>0</v>
      </c>
      <c r="CW475">
        <v>0</v>
      </c>
      <c r="CX475">
        <v>0</v>
      </c>
      <c r="CY475">
        <v>0</v>
      </c>
      <c r="CZ475">
        <v>0</v>
      </c>
      <c r="DA475">
        <v>0</v>
      </c>
      <c r="DB475">
        <v>0</v>
      </c>
      <c r="DC475">
        <v>0</v>
      </c>
      <c r="DD475">
        <v>0</v>
      </c>
      <c r="DE475">
        <v>0</v>
      </c>
      <c r="DF475">
        <v>0</v>
      </c>
      <c r="DG475">
        <v>0</v>
      </c>
      <c r="DH475">
        <v>0</v>
      </c>
      <c r="DI475">
        <v>0</v>
      </c>
      <c r="DJ475">
        <v>0</v>
      </c>
      <c r="DK475">
        <v>0</v>
      </c>
      <c r="DL475">
        <v>0</v>
      </c>
      <c r="DM475">
        <v>0</v>
      </c>
      <c r="DN475">
        <v>0</v>
      </c>
      <c r="DO475">
        <v>0</v>
      </c>
      <c r="DP475">
        <v>0</v>
      </c>
      <c r="DQ475">
        <v>0</v>
      </c>
      <c r="DR475">
        <v>0</v>
      </c>
      <c r="DS475">
        <v>0</v>
      </c>
      <c r="DT475">
        <v>0</v>
      </c>
      <c r="DU475">
        <v>0</v>
      </c>
    </row>
    <row r="476" spans="2:125">
      <c r="B476" s="136">
        <v>467</v>
      </c>
      <c r="C476" s="138">
        <v>1</v>
      </c>
      <c r="D476" s="474">
        <v>3155.0977056502416</v>
      </c>
      <c r="E476" s="127">
        <v>224.21408510379277</v>
      </c>
      <c r="F476" s="447">
        <v>0.41055199647191443</v>
      </c>
      <c r="G476" s="127">
        <v>114.95530262501724</v>
      </c>
      <c r="H476" s="132">
        <v>52.55616605892849</v>
      </c>
      <c r="I476" s="456"/>
      <c r="J476" s="45"/>
      <c r="K476" s="45">
        <v>460</v>
      </c>
      <c r="L476" s="463"/>
      <c r="M476" s="456">
        <v>33.297698974609375</v>
      </c>
      <c r="N476" s="457"/>
      <c r="O476" s="456"/>
      <c r="P476" s="46"/>
      <c r="Q476" s="463">
        <v>62.470935821533203</v>
      </c>
      <c r="R476" s="449"/>
      <c r="S476" s="463"/>
      <c r="T476" s="480"/>
      <c r="U476" s="468"/>
      <c r="V476" s="449"/>
      <c r="W476" s="45">
        <v>1414.804443359375</v>
      </c>
      <c r="X476" s="463">
        <v>119.91608428955078</v>
      </c>
      <c r="Y476" s="449"/>
      <c r="Z476" s="45"/>
      <c r="AA476" s="468">
        <v>0.40002584386815732</v>
      </c>
      <c r="AB476" s="456"/>
      <c r="AC476" s="46"/>
      <c r="AD476" s="46"/>
      <c r="AE476" s="46"/>
      <c r="AF476" s="46"/>
      <c r="AG476" s="46"/>
      <c r="AH476" s="46"/>
      <c r="AI476" s="457"/>
      <c r="AJ476" s="138"/>
      <c r="AK476" s="745"/>
      <c r="AL476" s="54"/>
      <c r="AM476" s="468"/>
      <c r="AN476" s="449"/>
      <c r="AO476" s="45"/>
      <c r="AP476" s="45"/>
      <c r="AQ476" s="45"/>
      <c r="AR476" s="45"/>
      <c r="AS476" s="45"/>
      <c r="AT476" s="45"/>
      <c r="AU476" s="463"/>
      <c r="AV476" s="449"/>
      <c r="AW476" s="45"/>
      <c r="AX476" s="45"/>
      <c r="AY476" s="45"/>
      <c r="AZ476" s="45"/>
      <c r="BA476" s="45"/>
      <c r="BB476" s="45"/>
      <c r="BC476" s="463"/>
      <c r="BD476" s="456"/>
      <c r="BE476" s="46"/>
      <c r="BF476" s="46"/>
      <c r="BG476" s="46"/>
      <c r="BH476" s="46"/>
      <c r="BI476" s="46"/>
      <c r="BJ476" s="457"/>
      <c r="BK476" s="449">
        <v>0</v>
      </c>
      <c r="BL476" s="45"/>
      <c r="BM476" s="45"/>
      <c r="BN476" s="45"/>
      <c r="BO476" s="45"/>
      <c r="BP476" s="45"/>
      <c r="BQ476" s="45"/>
      <c r="BR476" s="45"/>
      <c r="BS476" s="45"/>
      <c r="BT476" s="45"/>
      <c r="BU476" s="45"/>
      <c r="BV476" s="45"/>
      <c r="BW476" s="45"/>
      <c r="BX476" s="45"/>
      <c r="BY476" s="45"/>
      <c r="BZ476" s="45"/>
      <c r="CA476" s="45"/>
      <c r="CB476" s="45"/>
      <c r="CC476" s="45"/>
      <c r="CD476" s="463"/>
      <c r="CE476">
        <v>0</v>
      </c>
      <c r="CF476">
        <v>0</v>
      </c>
      <c r="CG476">
        <v>0</v>
      </c>
      <c r="CH476">
        <v>0</v>
      </c>
      <c r="CI476">
        <v>0</v>
      </c>
      <c r="CJ476">
        <v>0</v>
      </c>
      <c r="CK476">
        <v>0</v>
      </c>
      <c r="CL476">
        <v>0</v>
      </c>
      <c r="CM476">
        <v>0</v>
      </c>
      <c r="CN476">
        <v>0</v>
      </c>
      <c r="CO476">
        <v>0</v>
      </c>
      <c r="CP476">
        <v>0</v>
      </c>
      <c r="CQ476">
        <v>0</v>
      </c>
      <c r="CR476">
        <v>0</v>
      </c>
      <c r="CS476">
        <v>0</v>
      </c>
      <c r="CT476">
        <v>0</v>
      </c>
      <c r="CU476">
        <v>0</v>
      </c>
      <c r="CV476">
        <v>0</v>
      </c>
      <c r="CW476">
        <v>0</v>
      </c>
      <c r="CX476">
        <v>0</v>
      </c>
      <c r="CY476">
        <v>0</v>
      </c>
      <c r="CZ476">
        <v>0</v>
      </c>
      <c r="DA476">
        <v>0</v>
      </c>
      <c r="DB476">
        <v>0</v>
      </c>
      <c r="DC476">
        <v>0</v>
      </c>
      <c r="DD476">
        <v>0</v>
      </c>
      <c r="DE476">
        <v>0</v>
      </c>
      <c r="DF476">
        <v>0</v>
      </c>
      <c r="DG476">
        <v>0</v>
      </c>
      <c r="DH476">
        <v>0</v>
      </c>
      <c r="DI476">
        <v>0</v>
      </c>
      <c r="DJ476">
        <v>0</v>
      </c>
      <c r="DK476">
        <v>0</v>
      </c>
      <c r="DL476">
        <v>0</v>
      </c>
      <c r="DM476">
        <v>0</v>
      </c>
      <c r="DN476">
        <v>0</v>
      </c>
      <c r="DO476">
        <v>0</v>
      </c>
      <c r="DP476">
        <v>0</v>
      </c>
      <c r="DQ476">
        <v>0</v>
      </c>
      <c r="DR476">
        <v>0</v>
      </c>
      <c r="DS476">
        <v>0</v>
      </c>
      <c r="DT476">
        <v>0</v>
      </c>
      <c r="DU476">
        <v>0</v>
      </c>
    </row>
    <row r="477" spans="2:125">
      <c r="B477" s="136">
        <v>468</v>
      </c>
      <c r="C477" s="138">
        <v>1</v>
      </c>
      <c r="D477" s="474">
        <v>3467.6369459716666</v>
      </c>
      <c r="E477" s="127">
        <v>265.8902822069341</v>
      </c>
      <c r="F477" s="447">
        <v>0.40391418451452199</v>
      </c>
      <c r="G477" s="127">
        <v>120.59377231414764</v>
      </c>
      <c r="H477" s="132">
        <v>56.821753249133401</v>
      </c>
      <c r="I477" s="456"/>
      <c r="J477" s="45"/>
      <c r="K477" s="45">
        <v>490</v>
      </c>
      <c r="L477" s="463"/>
      <c r="M477" s="456">
        <v>32.283599853515625</v>
      </c>
      <c r="N477" s="457"/>
      <c r="O477" s="456"/>
      <c r="P477" s="46"/>
      <c r="Q477" s="463">
        <v>68.659210205078125</v>
      </c>
      <c r="R477" s="449"/>
      <c r="S477" s="463"/>
      <c r="T477" s="480"/>
      <c r="U477" s="468"/>
      <c r="V477" s="449"/>
      <c r="W477" s="45">
        <v>1458.930908203125</v>
      </c>
      <c r="X477" s="463">
        <v>123.25126647949219</v>
      </c>
      <c r="Y477" s="449"/>
      <c r="Z477" s="45"/>
      <c r="AA477" s="468">
        <v>0.39437504180561839</v>
      </c>
      <c r="AB477" s="456"/>
      <c r="AC477" s="46"/>
      <c r="AD477" s="46"/>
      <c r="AE477" s="46"/>
      <c r="AF477" s="46"/>
      <c r="AG477" s="46"/>
      <c r="AH477" s="46"/>
      <c r="AI477" s="457"/>
      <c r="AJ477" s="138"/>
      <c r="AK477" s="745"/>
      <c r="AL477" s="54"/>
      <c r="AM477" s="468"/>
      <c r="AN477" s="449"/>
      <c r="AO477" s="45"/>
      <c r="AP477" s="45"/>
      <c r="AQ477" s="45"/>
      <c r="AR477" s="45"/>
      <c r="AS477" s="45"/>
      <c r="AT477" s="45"/>
      <c r="AU477" s="463"/>
      <c r="AV477" s="449"/>
      <c r="AW477" s="45"/>
      <c r="AX477" s="45"/>
      <c r="AY477" s="45"/>
      <c r="AZ477" s="45"/>
      <c r="BA477" s="45"/>
      <c r="BB477" s="45"/>
      <c r="BC477" s="463"/>
      <c r="BD477" s="456"/>
      <c r="BE477" s="46"/>
      <c r="BF477" s="46"/>
      <c r="BG477" s="46"/>
      <c r="BH477" s="46"/>
      <c r="BI477" s="46"/>
      <c r="BJ477" s="457"/>
      <c r="BK477" s="449">
        <v>0</v>
      </c>
      <c r="BL477" s="45"/>
      <c r="BM477" s="45"/>
      <c r="BN477" s="45"/>
      <c r="BO477" s="45"/>
      <c r="BP477" s="45"/>
      <c r="BQ477" s="45"/>
      <c r="BR477" s="45"/>
      <c r="BS477" s="45"/>
      <c r="BT477" s="45"/>
      <c r="BU477" s="45"/>
      <c r="BV477" s="45"/>
      <c r="BW477" s="45"/>
      <c r="BX477" s="45"/>
      <c r="BY477" s="45"/>
      <c r="BZ477" s="45"/>
      <c r="CA477" s="45"/>
      <c r="CB477" s="45"/>
      <c r="CC477" s="45"/>
      <c r="CD477" s="463"/>
      <c r="CE477">
        <v>0</v>
      </c>
      <c r="CF477">
        <v>0</v>
      </c>
      <c r="CG477">
        <v>0</v>
      </c>
      <c r="CH477">
        <v>0</v>
      </c>
      <c r="CI477">
        <v>0</v>
      </c>
      <c r="CJ477">
        <v>0</v>
      </c>
      <c r="CK477">
        <v>0</v>
      </c>
      <c r="CL477">
        <v>0</v>
      </c>
      <c r="CM477">
        <v>0</v>
      </c>
      <c r="CN477">
        <v>0</v>
      </c>
      <c r="CO477">
        <v>0</v>
      </c>
      <c r="CP477">
        <v>0</v>
      </c>
      <c r="CQ477">
        <v>0</v>
      </c>
      <c r="CR477">
        <v>0</v>
      </c>
      <c r="CS477">
        <v>0</v>
      </c>
      <c r="CT477">
        <v>0</v>
      </c>
      <c r="CU477">
        <v>0</v>
      </c>
      <c r="CV477">
        <v>0</v>
      </c>
      <c r="CW477">
        <v>0</v>
      </c>
      <c r="CX477">
        <v>0</v>
      </c>
      <c r="CY477">
        <v>0</v>
      </c>
      <c r="CZ477">
        <v>0</v>
      </c>
      <c r="DA477">
        <v>0</v>
      </c>
      <c r="DB477">
        <v>0</v>
      </c>
      <c r="DC477">
        <v>0</v>
      </c>
      <c r="DD477">
        <v>0</v>
      </c>
      <c r="DE477">
        <v>0</v>
      </c>
      <c r="DF477">
        <v>0</v>
      </c>
      <c r="DG477">
        <v>0</v>
      </c>
      <c r="DH477">
        <v>0</v>
      </c>
      <c r="DI477">
        <v>0</v>
      </c>
      <c r="DJ477">
        <v>0</v>
      </c>
      <c r="DK477">
        <v>0</v>
      </c>
      <c r="DL477">
        <v>0</v>
      </c>
      <c r="DM477">
        <v>0</v>
      </c>
      <c r="DN477">
        <v>0</v>
      </c>
      <c r="DO477">
        <v>0</v>
      </c>
      <c r="DP477">
        <v>0</v>
      </c>
      <c r="DQ477">
        <v>0</v>
      </c>
      <c r="DR477">
        <v>0</v>
      </c>
      <c r="DS477">
        <v>0</v>
      </c>
      <c r="DT477">
        <v>0</v>
      </c>
      <c r="DU477">
        <v>0</v>
      </c>
    </row>
    <row r="478" spans="2:125">
      <c r="B478" s="136">
        <v>469</v>
      </c>
      <c r="C478" s="138">
        <v>1</v>
      </c>
      <c r="D478" s="474">
        <v>4313.5002909986297</v>
      </c>
      <c r="E478" s="127">
        <v>243.16633212324399</v>
      </c>
      <c r="F478" s="447">
        <v>0.47991461215107145</v>
      </c>
      <c r="G478" s="127">
        <v>138.59610104189673</v>
      </c>
      <c r="H478" s="132">
        <v>70.579899304126698</v>
      </c>
      <c r="I478" s="456"/>
      <c r="J478" s="45"/>
      <c r="K478" s="45">
        <v>630</v>
      </c>
      <c r="L478" s="463"/>
      <c r="M478" s="456">
        <v>46.877956390380859</v>
      </c>
      <c r="N478" s="457"/>
      <c r="O478" s="456"/>
      <c r="P478" s="46"/>
      <c r="Q478" s="463">
        <v>90</v>
      </c>
      <c r="R478" s="449"/>
      <c r="S478" s="463"/>
      <c r="T478" s="480"/>
      <c r="U478" s="468"/>
      <c r="V478" s="449"/>
      <c r="W478" s="45">
        <v>2410.21484375</v>
      </c>
      <c r="X478" s="463">
        <v>192.99356079101562</v>
      </c>
      <c r="Y478" s="449"/>
      <c r="Z478" s="45"/>
      <c r="AA478" s="468">
        <v>0.47189368021437472</v>
      </c>
      <c r="AB478" s="456"/>
      <c r="AC478" s="46"/>
      <c r="AD478" s="46"/>
      <c r="AE478" s="46"/>
      <c r="AF478" s="46"/>
      <c r="AG478" s="46"/>
      <c r="AH478" s="46"/>
      <c r="AI478" s="457"/>
      <c r="AJ478" s="138"/>
      <c r="AK478" s="745"/>
      <c r="AL478" s="54"/>
      <c r="AM478" s="468"/>
      <c r="AN478" s="449"/>
      <c r="AO478" s="45"/>
      <c r="AP478" s="45"/>
      <c r="AQ478" s="45"/>
      <c r="AR478" s="45"/>
      <c r="AS478" s="45"/>
      <c r="AT478" s="45"/>
      <c r="AU478" s="463"/>
      <c r="AV478" s="449"/>
      <c r="AW478" s="45"/>
      <c r="AX478" s="45"/>
      <c r="AY478" s="45"/>
      <c r="AZ478" s="45"/>
      <c r="BA478" s="45"/>
      <c r="BB478" s="45"/>
      <c r="BC478" s="463"/>
      <c r="BD478" s="456"/>
      <c r="BE478" s="46"/>
      <c r="BF478" s="46"/>
      <c r="BG478" s="46"/>
      <c r="BH478" s="46"/>
      <c r="BI478" s="46"/>
      <c r="BJ478" s="457"/>
      <c r="BK478" s="449">
        <v>0</v>
      </c>
      <c r="BL478" s="45"/>
      <c r="BM478" s="45"/>
      <c r="BN478" s="45"/>
      <c r="BO478" s="45"/>
      <c r="BP478" s="45"/>
      <c r="BQ478" s="45"/>
      <c r="BR478" s="45"/>
      <c r="BS478" s="45"/>
      <c r="BT478" s="45"/>
      <c r="BU478" s="45"/>
      <c r="BV478" s="45"/>
      <c r="BW478" s="45"/>
      <c r="BX478" s="45"/>
      <c r="BY478" s="45"/>
      <c r="BZ478" s="45"/>
      <c r="CA478" s="45"/>
      <c r="CB478" s="45"/>
      <c r="CC478" s="45"/>
      <c r="CD478" s="463"/>
      <c r="CE478">
        <v>0</v>
      </c>
      <c r="CF478">
        <v>0</v>
      </c>
      <c r="CG478">
        <v>0</v>
      </c>
      <c r="CH478">
        <v>0</v>
      </c>
      <c r="CI478">
        <v>0</v>
      </c>
      <c r="CJ478">
        <v>0</v>
      </c>
      <c r="CK478">
        <v>0</v>
      </c>
      <c r="CL478">
        <v>0</v>
      </c>
      <c r="CM478">
        <v>0</v>
      </c>
      <c r="CN478">
        <v>0</v>
      </c>
      <c r="CO478">
        <v>0</v>
      </c>
      <c r="CP478">
        <v>0</v>
      </c>
      <c r="CQ478">
        <v>0</v>
      </c>
      <c r="CR478">
        <v>0</v>
      </c>
      <c r="CS478">
        <v>0</v>
      </c>
      <c r="CT478">
        <v>0</v>
      </c>
      <c r="CU478">
        <v>0</v>
      </c>
      <c r="CV478">
        <v>0</v>
      </c>
      <c r="CW478">
        <v>0</v>
      </c>
      <c r="CX478">
        <v>0</v>
      </c>
      <c r="CY478">
        <v>0</v>
      </c>
      <c r="CZ478">
        <v>0</v>
      </c>
      <c r="DA478">
        <v>0</v>
      </c>
      <c r="DB478">
        <v>0</v>
      </c>
      <c r="DC478">
        <v>0</v>
      </c>
      <c r="DD478">
        <v>0</v>
      </c>
      <c r="DE478">
        <v>0</v>
      </c>
      <c r="DF478">
        <v>0</v>
      </c>
      <c r="DG478">
        <v>0</v>
      </c>
      <c r="DH478">
        <v>0</v>
      </c>
      <c r="DI478">
        <v>0</v>
      </c>
      <c r="DJ478">
        <v>0</v>
      </c>
      <c r="DK478">
        <v>0</v>
      </c>
      <c r="DL478">
        <v>0</v>
      </c>
      <c r="DM478">
        <v>0</v>
      </c>
      <c r="DN478">
        <v>0</v>
      </c>
      <c r="DO478">
        <v>0</v>
      </c>
      <c r="DP478">
        <v>0</v>
      </c>
      <c r="DQ478">
        <v>0</v>
      </c>
      <c r="DR478">
        <v>0</v>
      </c>
      <c r="DS478">
        <v>0</v>
      </c>
      <c r="DT478">
        <v>0</v>
      </c>
      <c r="DU478">
        <v>0</v>
      </c>
    </row>
    <row r="479" spans="2:125">
      <c r="B479" s="136">
        <v>470</v>
      </c>
      <c r="C479" s="138">
        <v>1</v>
      </c>
      <c r="D479" s="474">
        <v>4085.168960301804</v>
      </c>
      <c r="E479" s="127">
        <v>292.72445315370214</v>
      </c>
      <c r="F479" s="447">
        <v>0.42197393558203772</v>
      </c>
      <c r="G479" s="127">
        <v>131.917790275172</v>
      </c>
      <c r="H479" s="132">
        <v>63.716644068088549</v>
      </c>
      <c r="I479" s="456"/>
      <c r="J479" s="45"/>
      <c r="K479" s="45">
        <v>560</v>
      </c>
      <c r="L479" s="463"/>
      <c r="M479" s="456">
        <v>34.928752899169922</v>
      </c>
      <c r="N479" s="457"/>
      <c r="O479" s="456"/>
      <c r="P479" s="46"/>
      <c r="Q479" s="463">
        <v>80.886344909667969</v>
      </c>
      <c r="R479" s="449"/>
      <c r="S479" s="463"/>
      <c r="T479" s="480"/>
      <c r="U479" s="468"/>
      <c r="V479" s="449"/>
      <c r="W479" s="45">
        <v>1731.302001953125</v>
      </c>
      <c r="X479" s="463">
        <v>143.34320068359375</v>
      </c>
      <c r="Y479" s="449"/>
      <c r="Z479" s="45"/>
      <c r="AA479" s="468">
        <v>0.41378835524580354</v>
      </c>
      <c r="AB479" s="456"/>
      <c r="AC479" s="46"/>
      <c r="AD479" s="46"/>
      <c r="AE479" s="46"/>
      <c r="AF479" s="46"/>
      <c r="AG479" s="46"/>
      <c r="AH479" s="46"/>
      <c r="AI479" s="457"/>
      <c r="AJ479" s="138"/>
      <c r="AK479" s="745"/>
      <c r="AL479" s="54"/>
      <c r="AM479" s="468"/>
      <c r="AN479" s="449"/>
      <c r="AO479" s="45"/>
      <c r="AP479" s="45"/>
      <c r="AQ479" s="45"/>
      <c r="AR479" s="45"/>
      <c r="AS479" s="45"/>
      <c r="AT479" s="45"/>
      <c r="AU479" s="463"/>
      <c r="AV479" s="449"/>
      <c r="AW479" s="45"/>
      <c r="AX479" s="45"/>
      <c r="AY479" s="45"/>
      <c r="AZ479" s="45"/>
      <c r="BA479" s="45"/>
      <c r="BB479" s="45"/>
      <c r="BC479" s="463"/>
      <c r="BD479" s="456"/>
      <c r="BE479" s="46"/>
      <c r="BF479" s="46"/>
      <c r="BG479" s="46"/>
      <c r="BH479" s="46"/>
      <c r="BI479" s="46"/>
      <c r="BJ479" s="457"/>
      <c r="BK479" s="449">
        <v>0</v>
      </c>
      <c r="BL479" s="45"/>
      <c r="BM479" s="45"/>
      <c r="BN479" s="45"/>
      <c r="BO479" s="45"/>
      <c r="BP479" s="45"/>
      <c r="BQ479" s="45"/>
      <c r="BR479" s="45"/>
      <c r="BS479" s="45"/>
      <c r="BT479" s="45"/>
      <c r="BU479" s="45"/>
      <c r="BV479" s="45"/>
      <c r="BW479" s="45"/>
      <c r="BX479" s="45"/>
      <c r="BY479" s="45"/>
      <c r="BZ479" s="45"/>
      <c r="CA479" s="45"/>
      <c r="CB479" s="45"/>
      <c r="CC479" s="45"/>
      <c r="CD479" s="463"/>
      <c r="CE479">
        <v>0</v>
      </c>
      <c r="CF479">
        <v>0</v>
      </c>
      <c r="CG479">
        <v>0</v>
      </c>
      <c r="CH479">
        <v>0</v>
      </c>
      <c r="CI479">
        <v>0</v>
      </c>
      <c r="CJ479">
        <v>0</v>
      </c>
      <c r="CK479">
        <v>0</v>
      </c>
      <c r="CL479">
        <v>0</v>
      </c>
      <c r="CM479">
        <v>0</v>
      </c>
      <c r="CN479">
        <v>0</v>
      </c>
      <c r="CO479">
        <v>0</v>
      </c>
      <c r="CP479">
        <v>0</v>
      </c>
      <c r="CQ479">
        <v>0</v>
      </c>
      <c r="CR479">
        <v>0</v>
      </c>
      <c r="CS479">
        <v>0</v>
      </c>
      <c r="CT479">
        <v>0</v>
      </c>
      <c r="CU479">
        <v>0</v>
      </c>
      <c r="CV479">
        <v>0</v>
      </c>
      <c r="CW479">
        <v>0</v>
      </c>
      <c r="CX479">
        <v>0</v>
      </c>
      <c r="CY479">
        <v>0</v>
      </c>
      <c r="CZ479">
        <v>0</v>
      </c>
      <c r="DA479">
        <v>0</v>
      </c>
      <c r="DB479">
        <v>0</v>
      </c>
      <c r="DC479">
        <v>0</v>
      </c>
      <c r="DD479">
        <v>0</v>
      </c>
      <c r="DE479">
        <v>0</v>
      </c>
      <c r="DF479">
        <v>0</v>
      </c>
      <c r="DG479">
        <v>0</v>
      </c>
      <c r="DH479">
        <v>0</v>
      </c>
      <c r="DI479">
        <v>0</v>
      </c>
      <c r="DJ479">
        <v>0</v>
      </c>
      <c r="DK479">
        <v>0</v>
      </c>
      <c r="DL479">
        <v>0</v>
      </c>
      <c r="DM479">
        <v>0</v>
      </c>
      <c r="DN479">
        <v>0</v>
      </c>
      <c r="DO479">
        <v>0</v>
      </c>
      <c r="DP479">
        <v>0</v>
      </c>
      <c r="DQ479">
        <v>0</v>
      </c>
      <c r="DR479">
        <v>0</v>
      </c>
      <c r="DS479">
        <v>0</v>
      </c>
      <c r="DT479">
        <v>0</v>
      </c>
      <c r="DU479">
        <v>0</v>
      </c>
    </row>
    <row r="480" spans="2:125">
      <c r="B480" s="136">
        <v>471</v>
      </c>
      <c r="C480" s="138">
        <v>1</v>
      </c>
      <c r="D480" s="474">
        <v>3098.2171199412987</v>
      </c>
      <c r="E480" s="127">
        <v>283.60623272447509</v>
      </c>
      <c r="F480" s="447">
        <v>0.40690075670544829</v>
      </c>
      <c r="G480" s="127">
        <v>103.95861573201688</v>
      </c>
      <c r="H480" s="132">
        <v>61.478363915693286</v>
      </c>
      <c r="I480" s="456"/>
      <c r="J480" s="45"/>
      <c r="K480" s="45">
        <v>460</v>
      </c>
      <c r="L480" s="463"/>
      <c r="M480" s="456">
        <v>30.348423004150391</v>
      </c>
      <c r="N480" s="457"/>
      <c r="O480" s="456"/>
      <c r="P480" s="46"/>
      <c r="Q480" s="463">
        <v>69.671485900878906</v>
      </c>
      <c r="R480" s="449"/>
      <c r="S480" s="463"/>
      <c r="T480" s="480"/>
      <c r="U480" s="468"/>
      <c r="V480" s="449"/>
      <c r="W480" s="45">
        <v>1377.5196533203125</v>
      </c>
      <c r="X480" s="463">
        <v>117.18809509277344</v>
      </c>
      <c r="Y480" s="449"/>
      <c r="Z480" s="45"/>
      <c r="AA480" s="468">
        <v>0.3962049229884308</v>
      </c>
      <c r="AB480" s="456"/>
      <c r="AC480" s="46"/>
      <c r="AD480" s="46"/>
      <c r="AE480" s="46"/>
      <c r="AF480" s="46"/>
      <c r="AG480" s="46"/>
      <c r="AH480" s="46"/>
      <c r="AI480" s="457"/>
      <c r="AJ480" s="138"/>
      <c r="AK480" s="745"/>
      <c r="AL480" s="54"/>
      <c r="AM480" s="468"/>
      <c r="AN480" s="449"/>
      <c r="AO480" s="45"/>
      <c r="AP480" s="45"/>
      <c r="AQ480" s="45"/>
      <c r="AR480" s="45"/>
      <c r="AS480" s="45"/>
      <c r="AT480" s="45"/>
      <c r="AU480" s="463"/>
      <c r="AV480" s="449"/>
      <c r="AW480" s="45"/>
      <c r="AX480" s="45"/>
      <c r="AY480" s="45"/>
      <c r="AZ480" s="45"/>
      <c r="BA480" s="45"/>
      <c r="BB480" s="45"/>
      <c r="BC480" s="463"/>
      <c r="BD480" s="456"/>
      <c r="BE480" s="46"/>
      <c r="BF480" s="46"/>
      <c r="BG480" s="46"/>
      <c r="BH480" s="46"/>
      <c r="BI480" s="46"/>
      <c r="BJ480" s="457"/>
      <c r="BK480" s="449">
        <v>0</v>
      </c>
      <c r="BL480" s="45"/>
      <c r="BM480" s="45"/>
      <c r="BN480" s="45"/>
      <c r="BO480" s="45"/>
      <c r="BP480" s="45"/>
      <c r="BQ480" s="45"/>
      <c r="BR480" s="45"/>
      <c r="BS480" s="45"/>
      <c r="BT480" s="45"/>
      <c r="BU480" s="45"/>
      <c r="BV480" s="45"/>
      <c r="BW480" s="45"/>
      <c r="BX480" s="45"/>
      <c r="BY480" s="45"/>
      <c r="BZ480" s="45"/>
      <c r="CA480" s="45"/>
      <c r="CB480" s="45"/>
      <c r="CC480" s="45"/>
      <c r="CD480" s="463"/>
      <c r="CE480">
        <v>0</v>
      </c>
      <c r="CF480">
        <v>0</v>
      </c>
      <c r="CG480">
        <v>0</v>
      </c>
      <c r="CH480">
        <v>0</v>
      </c>
      <c r="CI480">
        <v>0</v>
      </c>
      <c r="CJ480">
        <v>0</v>
      </c>
      <c r="CK480">
        <v>0</v>
      </c>
      <c r="CL480">
        <v>0</v>
      </c>
      <c r="CM480">
        <v>0</v>
      </c>
      <c r="CN480">
        <v>0</v>
      </c>
      <c r="CO480">
        <v>0</v>
      </c>
      <c r="CP480">
        <v>0</v>
      </c>
      <c r="CQ480">
        <v>0</v>
      </c>
      <c r="CR480">
        <v>0</v>
      </c>
      <c r="CS480">
        <v>0</v>
      </c>
      <c r="CT480">
        <v>0</v>
      </c>
      <c r="CU480">
        <v>0</v>
      </c>
      <c r="CV480">
        <v>0</v>
      </c>
      <c r="CW480">
        <v>0</v>
      </c>
      <c r="CX480">
        <v>0</v>
      </c>
      <c r="CY480">
        <v>0</v>
      </c>
      <c r="CZ480">
        <v>0</v>
      </c>
      <c r="DA480">
        <v>0</v>
      </c>
      <c r="DB480">
        <v>0</v>
      </c>
      <c r="DC480">
        <v>0</v>
      </c>
      <c r="DD480">
        <v>0</v>
      </c>
      <c r="DE480">
        <v>0</v>
      </c>
      <c r="DF480">
        <v>0</v>
      </c>
      <c r="DG480">
        <v>0</v>
      </c>
      <c r="DH480">
        <v>0</v>
      </c>
      <c r="DI480">
        <v>0</v>
      </c>
      <c r="DJ480">
        <v>0</v>
      </c>
      <c r="DK480">
        <v>0</v>
      </c>
      <c r="DL480">
        <v>0</v>
      </c>
      <c r="DM480">
        <v>0</v>
      </c>
      <c r="DN480">
        <v>0</v>
      </c>
      <c r="DO480">
        <v>0</v>
      </c>
      <c r="DP480">
        <v>0</v>
      </c>
      <c r="DQ480">
        <v>0</v>
      </c>
      <c r="DR480">
        <v>0</v>
      </c>
      <c r="DS480">
        <v>0</v>
      </c>
      <c r="DT480">
        <v>0</v>
      </c>
      <c r="DU480">
        <v>0</v>
      </c>
    </row>
    <row r="481" spans="2:125">
      <c r="B481" s="136">
        <v>472</v>
      </c>
      <c r="C481" s="138">
        <v>1</v>
      </c>
      <c r="D481" s="474">
        <v>3274.7521626484158</v>
      </c>
      <c r="E481" s="127">
        <v>196.09322178524525</v>
      </c>
      <c r="F481" s="447">
        <v>0.42303985881549194</v>
      </c>
      <c r="G481" s="127">
        <v>114.93467498677923</v>
      </c>
      <c r="H481" s="132">
        <v>61.657614751611021</v>
      </c>
      <c r="I481" s="456"/>
      <c r="J481" s="45"/>
      <c r="K481" s="45">
        <v>500</v>
      </c>
      <c r="L481" s="463"/>
      <c r="M481" s="456">
        <v>33.5909423828125</v>
      </c>
      <c r="N481" s="457"/>
      <c r="O481" s="456"/>
      <c r="P481" s="46"/>
      <c r="Q481" s="463">
        <v>73.08709716796875</v>
      </c>
      <c r="R481" s="449"/>
      <c r="S481" s="463"/>
      <c r="T481" s="480"/>
      <c r="U481" s="468"/>
      <c r="V481" s="449"/>
      <c r="W481" s="45">
        <v>1562.79248046875</v>
      </c>
      <c r="X481" s="463">
        <v>130.82504272460938</v>
      </c>
      <c r="Y481" s="449"/>
      <c r="Z481" s="45"/>
      <c r="AA481" s="468">
        <v>0.41282204827154872</v>
      </c>
      <c r="AB481" s="456"/>
      <c r="AC481" s="46"/>
      <c r="AD481" s="46"/>
      <c r="AE481" s="46"/>
      <c r="AF481" s="46"/>
      <c r="AG481" s="46"/>
      <c r="AH481" s="46"/>
      <c r="AI481" s="457"/>
      <c r="AJ481" s="138"/>
      <c r="AK481" s="745"/>
      <c r="AL481" s="54"/>
      <c r="AM481" s="468"/>
      <c r="AN481" s="449"/>
      <c r="AO481" s="45"/>
      <c r="AP481" s="45"/>
      <c r="AQ481" s="45"/>
      <c r="AR481" s="45"/>
      <c r="AS481" s="45"/>
      <c r="AT481" s="45"/>
      <c r="AU481" s="463"/>
      <c r="AV481" s="449"/>
      <c r="AW481" s="45"/>
      <c r="AX481" s="45"/>
      <c r="AY481" s="45"/>
      <c r="AZ481" s="45"/>
      <c r="BA481" s="45"/>
      <c r="BB481" s="45"/>
      <c r="BC481" s="463"/>
      <c r="BD481" s="456"/>
      <c r="BE481" s="46"/>
      <c r="BF481" s="46"/>
      <c r="BG481" s="46"/>
      <c r="BH481" s="46"/>
      <c r="BI481" s="46"/>
      <c r="BJ481" s="457"/>
      <c r="BK481" s="449">
        <v>0</v>
      </c>
      <c r="BL481" s="45"/>
      <c r="BM481" s="45"/>
      <c r="BN481" s="45"/>
      <c r="BO481" s="45"/>
      <c r="BP481" s="45"/>
      <c r="BQ481" s="45"/>
      <c r="BR481" s="45"/>
      <c r="BS481" s="45"/>
      <c r="BT481" s="45"/>
      <c r="BU481" s="45"/>
      <c r="BV481" s="45"/>
      <c r="BW481" s="45"/>
      <c r="BX481" s="45"/>
      <c r="BY481" s="45"/>
      <c r="BZ481" s="45"/>
      <c r="CA481" s="45"/>
      <c r="CB481" s="45"/>
      <c r="CC481" s="45"/>
      <c r="CD481" s="463"/>
      <c r="CE481">
        <v>0</v>
      </c>
      <c r="CF481">
        <v>0</v>
      </c>
      <c r="CG481">
        <v>0</v>
      </c>
      <c r="CH481">
        <v>0</v>
      </c>
      <c r="CI481">
        <v>0</v>
      </c>
      <c r="CJ481">
        <v>0</v>
      </c>
      <c r="CK481">
        <v>0</v>
      </c>
      <c r="CL481">
        <v>0</v>
      </c>
      <c r="CM481">
        <v>0</v>
      </c>
      <c r="CN481">
        <v>0</v>
      </c>
      <c r="CO481">
        <v>0</v>
      </c>
      <c r="CP481">
        <v>0</v>
      </c>
      <c r="CQ481">
        <v>0</v>
      </c>
      <c r="CR481">
        <v>0</v>
      </c>
      <c r="CS481">
        <v>0</v>
      </c>
      <c r="CT481">
        <v>0</v>
      </c>
      <c r="CU481">
        <v>0</v>
      </c>
      <c r="CV481">
        <v>0</v>
      </c>
      <c r="CW481">
        <v>0</v>
      </c>
      <c r="CX481">
        <v>0</v>
      </c>
      <c r="CY481">
        <v>0</v>
      </c>
      <c r="CZ481">
        <v>0</v>
      </c>
      <c r="DA481">
        <v>0</v>
      </c>
      <c r="DB481">
        <v>0</v>
      </c>
      <c r="DC481">
        <v>0</v>
      </c>
      <c r="DD481">
        <v>0</v>
      </c>
      <c r="DE481">
        <v>0</v>
      </c>
      <c r="DF481">
        <v>0</v>
      </c>
      <c r="DG481">
        <v>0</v>
      </c>
      <c r="DH481">
        <v>0</v>
      </c>
      <c r="DI481">
        <v>0</v>
      </c>
      <c r="DJ481">
        <v>0</v>
      </c>
      <c r="DK481">
        <v>0</v>
      </c>
      <c r="DL481">
        <v>0</v>
      </c>
      <c r="DM481">
        <v>0</v>
      </c>
      <c r="DN481">
        <v>0</v>
      </c>
      <c r="DO481">
        <v>0</v>
      </c>
      <c r="DP481">
        <v>0</v>
      </c>
      <c r="DQ481">
        <v>0</v>
      </c>
      <c r="DR481">
        <v>0</v>
      </c>
      <c r="DS481">
        <v>0</v>
      </c>
      <c r="DT481">
        <v>0</v>
      </c>
      <c r="DU481">
        <v>0</v>
      </c>
    </row>
    <row r="482" spans="2:125">
      <c r="B482" s="136">
        <v>473</v>
      </c>
      <c r="C482" s="138">
        <v>1</v>
      </c>
      <c r="D482" s="474">
        <v>3406.0991558450501</v>
      </c>
      <c r="E482" s="127">
        <v>274.76398030967556</v>
      </c>
      <c r="F482" s="447">
        <v>0.45832013670170324</v>
      </c>
      <c r="G482" s="127">
        <v>116.43442219658644</v>
      </c>
      <c r="H482" s="132">
        <v>56.807818250087983</v>
      </c>
      <c r="I482" s="456"/>
      <c r="J482" s="45"/>
      <c r="K482" s="45">
        <v>490</v>
      </c>
      <c r="L482" s="463"/>
      <c r="M482" s="456">
        <v>40.389240264892578</v>
      </c>
      <c r="N482" s="457"/>
      <c r="O482" s="456"/>
      <c r="P482" s="46"/>
      <c r="Q482" s="463">
        <v>67.440765380859375</v>
      </c>
      <c r="R482" s="449"/>
      <c r="S482" s="463"/>
      <c r="T482" s="480"/>
      <c r="U482" s="468"/>
      <c r="V482" s="449"/>
      <c r="W482" s="45">
        <v>1765.142333984375</v>
      </c>
      <c r="X482" s="463">
        <v>145.50238037109375</v>
      </c>
      <c r="Y482" s="449"/>
      <c r="Z482" s="45"/>
      <c r="AA482" s="468">
        <v>0.44828918893102465</v>
      </c>
      <c r="AB482" s="456"/>
      <c r="AC482" s="46"/>
      <c r="AD482" s="46"/>
      <c r="AE482" s="46"/>
      <c r="AF482" s="46"/>
      <c r="AG482" s="46"/>
      <c r="AH482" s="46"/>
      <c r="AI482" s="457"/>
      <c r="AJ482" s="138"/>
      <c r="AK482" s="745"/>
      <c r="AL482" s="54"/>
      <c r="AM482" s="468"/>
      <c r="AN482" s="449"/>
      <c r="AO482" s="45"/>
      <c r="AP482" s="45"/>
      <c r="AQ482" s="45"/>
      <c r="AR482" s="45"/>
      <c r="AS482" s="45"/>
      <c r="AT482" s="45"/>
      <c r="AU482" s="463"/>
      <c r="AV482" s="449"/>
      <c r="AW482" s="45"/>
      <c r="AX482" s="45"/>
      <c r="AY482" s="45"/>
      <c r="AZ482" s="45"/>
      <c r="BA482" s="45"/>
      <c r="BB482" s="45"/>
      <c r="BC482" s="463"/>
      <c r="BD482" s="456"/>
      <c r="BE482" s="46"/>
      <c r="BF482" s="46"/>
      <c r="BG482" s="46"/>
      <c r="BH482" s="46"/>
      <c r="BI482" s="46"/>
      <c r="BJ482" s="457"/>
      <c r="BK482" s="449">
        <v>0</v>
      </c>
      <c r="BL482" s="45"/>
      <c r="BM482" s="45"/>
      <c r="BN482" s="45"/>
      <c r="BO482" s="45"/>
      <c r="BP482" s="45"/>
      <c r="BQ482" s="45"/>
      <c r="BR482" s="45"/>
      <c r="BS482" s="45"/>
      <c r="BT482" s="45"/>
      <c r="BU482" s="45"/>
      <c r="BV482" s="45"/>
      <c r="BW482" s="45"/>
      <c r="BX482" s="45"/>
      <c r="BY482" s="45"/>
      <c r="BZ482" s="45"/>
      <c r="CA482" s="45"/>
      <c r="CB482" s="45"/>
      <c r="CC482" s="45"/>
      <c r="CD482" s="463"/>
      <c r="CE482">
        <v>0</v>
      </c>
      <c r="CF482">
        <v>0</v>
      </c>
      <c r="CG482">
        <v>0</v>
      </c>
      <c r="CH482">
        <v>0</v>
      </c>
      <c r="CI482">
        <v>0</v>
      </c>
      <c r="CJ482">
        <v>0</v>
      </c>
      <c r="CK482">
        <v>0</v>
      </c>
      <c r="CL482">
        <v>0</v>
      </c>
      <c r="CM482">
        <v>0</v>
      </c>
      <c r="CN482">
        <v>0</v>
      </c>
      <c r="CO482">
        <v>0</v>
      </c>
      <c r="CP482">
        <v>0</v>
      </c>
      <c r="CQ482">
        <v>0</v>
      </c>
      <c r="CR482">
        <v>0</v>
      </c>
      <c r="CS482">
        <v>0</v>
      </c>
      <c r="CT482">
        <v>0</v>
      </c>
      <c r="CU482">
        <v>0</v>
      </c>
      <c r="CV482">
        <v>0</v>
      </c>
      <c r="CW482">
        <v>0</v>
      </c>
      <c r="CX482">
        <v>0</v>
      </c>
      <c r="CY482">
        <v>0</v>
      </c>
      <c r="CZ482">
        <v>0</v>
      </c>
      <c r="DA482">
        <v>0</v>
      </c>
      <c r="DB482">
        <v>0</v>
      </c>
      <c r="DC482">
        <v>0</v>
      </c>
      <c r="DD482">
        <v>0</v>
      </c>
      <c r="DE482">
        <v>0</v>
      </c>
      <c r="DF482">
        <v>0</v>
      </c>
      <c r="DG482">
        <v>0</v>
      </c>
      <c r="DH482">
        <v>0</v>
      </c>
      <c r="DI482">
        <v>0</v>
      </c>
      <c r="DJ482">
        <v>0</v>
      </c>
      <c r="DK482">
        <v>0</v>
      </c>
      <c r="DL482">
        <v>0</v>
      </c>
      <c r="DM482">
        <v>0</v>
      </c>
      <c r="DN482">
        <v>0</v>
      </c>
      <c r="DO482">
        <v>0</v>
      </c>
      <c r="DP482">
        <v>0</v>
      </c>
      <c r="DQ482">
        <v>0</v>
      </c>
      <c r="DR482">
        <v>0</v>
      </c>
      <c r="DS482">
        <v>0</v>
      </c>
      <c r="DT482">
        <v>0</v>
      </c>
      <c r="DU482">
        <v>0</v>
      </c>
    </row>
    <row r="483" spans="2:125">
      <c r="B483" s="136">
        <v>474</v>
      </c>
      <c r="C483" s="138">
        <v>1</v>
      </c>
      <c r="D483" s="474">
        <v>3330.0305601500791</v>
      </c>
      <c r="E483" s="127">
        <v>221.48413000823868</v>
      </c>
      <c r="F483" s="447">
        <v>0.5113926353453998</v>
      </c>
      <c r="G483" s="127">
        <v>110.95301103625766</v>
      </c>
      <c r="H483" s="132">
        <v>56.875773047845584</v>
      </c>
      <c r="I483" s="456"/>
      <c r="J483" s="45"/>
      <c r="K483" s="45">
        <v>480</v>
      </c>
      <c r="L483" s="463"/>
      <c r="M483" s="456">
        <v>53.195896148681641</v>
      </c>
      <c r="N483" s="457"/>
      <c r="O483" s="456"/>
      <c r="P483" s="46"/>
      <c r="Q483" s="463">
        <v>65.934608459472656</v>
      </c>
      <c r="R483" s="449"/>
      <c r="S483" s="463"/>
      <c r="T483" s="480"/>
      <c r="U483" s="468"/>
      <c r="V483" s="449"/>
      <c r="W483" s="45">
        <v>2242.72314453125</v>
      </c>
      <c r="X483" s="463">
        <v>180.20945739746094</v>
      </c>
      <c r="Y483" s="449"/>
      <c r="Z483" s="45"/>
      <c r="AA483" s="468">
        <v>0.500813797682925</v>
      </c>
      <c r="AB483" s="456"/>
      <c r="AC483" s="46"/>
      <c r="AD483" s="46"/>
      <c r="AE483" s="46"/>
      <c r="AF483" s="46"/>
      <c r="AG483" s="46"/>
      <c r="AH483" s="46"/>
      <c r="AI483" s="457"/>
      <c r="AJ483" s="138"/>
      <c r="AK483" s="745"/>
      <c r="AL483" s="54"/>
      <c r="AM483" s="468"/>
      <c r="AN483" s="449"/>
      <c r="AO483" s="45"/>
      <c r="AP483" s="45"/>
      <c r="AQ483" s="45"/>
      <c r="AR483" s="45"/>
      <c r="AS483" s="45"/>
      <c r="AT483" s="45"/>
      <c r="AU483" s="463"/>
      <c r="AV483" s="449"/>
      <c r="AW483" s="45"/>
      <c r="AX483" s="45"/>
      <c r="AY483" s="45"/>
      <c r="AZ483" s="45"/>
      <c r="BA483" s="45"/>
      <c r="BB483" s="45"/>
      <c r="BC483" s="463"/>
      <c r="BD483" s="456"/>
      <c r="BE483" s="46"/>
      <c r="BF483" s="46"/>
      <c r="BG483" s="46"/>
      <c r="BH483" s="46"/>
      <c r="BI483" s="46"/>
      <c r="BJ483" s="457"/>
      <c r="BK483" s="449">
        <v>0</v>
      </c>
      <c r="BL483" s="45"/>
      <c r="BM483" s="45"/>
      <c r="BN483" s="45"/>
      <c r="BO483" s="45"/>
      <c r="BP483" s="45"/>
      <c r="BQ483" s="45"/>
      <c r="BR483" s="45"/>
      <c r="BS483" s="45"/>
      <c r="BT483" s="45"/>
      <c r="BU483" s="45"/>
      <c r="BV483" s="45"/>
      <c r="BW483" s="45"/>
      <c r="BX483" s="45"/>
      <c r="BY483" s="45"/>
      <c r="BZ483" s="45"/>
      <c r="CA483" s="45"/>
      <c r="CB483" s="45"/>
      <c r="CC483" s="45"/>
      <c r="CD483" s="463"/>
      <c r="CE483">
        <v>0</v>
      </c>
      <c r="CF483">
        <v>0</v>
      </c>
      <c r="CG483">
        <v>0</v>
      </c>
      <c r="CH483">
        <v>0</v>
      </c>
      <c r="CI483">
        <v>0</v>
      </c>
      <c r="CJ483">
        <v>0</v>
      </c>
      <c r="CK483">
        <v>0</v>
      </c>
      <c r="CL483">
        <v>0</v>
      </c>
      <c r="CM483">
        <v>0</v>
      </c>
      <c r="CN483">
        <v>0</v>
      </c>
      <c r="CO483">
        <v>0</v>
      </c>
      <c r="CP483">
        <v>0</v>
      </c>
      <c r="CQ483">
        <v>0</v>
      </c>
      <c r="CR483">
        <v>0</v>
      </c>
      <c r="CS483">
        <v>0</v>
      </c>
      <c r="CT483">
        <v>0</v>
      </c>
      <c r="CU483">
        <v>0</v>
      </c>
      <c r="CV483">
        <v>0</v>
      </c>
      <c r="CW483">
        <v>0</v>
      </c>
      <c r="CX483">
        <v>0</v>
      </c>
      <c r="CY483">
        <v>0</v>
      </c>
      <c r="CZ483">
        <v>0</v>
      </c>
      <c r="DA483">
        <v>0</v>
      </c>
      <c r="DB483">
        <v>0</v>
      </c>
      <c r="DC483">
        <v>0</v>
      </c>
      <c r="DD483">
        <v>0</v>
      </c>
      <c r="DE483">
        <v>0</v>
      </c>
      <c r="DF483">
        <v>0</v>
      </c>
      <c r="DG483">
        <v>0</v>
      </c>
      <c r="DH483">
        <v>0</v>
      </c>
      <c r="DI483">
        <v>0</v>
      </c>
      <c r="DJ483">
        <v>0</v>
      </c>
      <c r="DK483">
        <v>0</v>
      </c>
      <c r="DL483">
        <v>0</v>
      </c>
      <c r="DM483">
        <v>0</v>
      </c>
      <c r="DN483">
        <v>0</v>
      </c>
      <c r="DO483">
        <v>0</v>
      </c>
      <c r="DP483">
        <v>0</v>
      </c>
      <c r="DQ483">
        <v>0</v>
      </c>
      <c r="DR483">
        <v>0</v>
      </c>
      <c r="DS483">
        <v>0</v>
      </c>
      <c r="DT483">
        <v>0</v>
      </c>
      <c r="DU483">
        <v>0</v>
      </c>
    </row>
    <row r="484" spans="2:125">
      <c r="B484" s="136">
        <v>475</v>
      </c>
      <c r="C484" s="138">
        <v>1</v>
      </c>
      <c r="D484" s="474">
        <v>3032.6965186010839</v>
      </c>
      <c r="E484" s="127">
        <v>256.83117683350747</v>
      </c>
      <c r="F484" s="447">
        <v>0.38833175637778161</v>
      </c>
      <c r="G484" s="127">
        <v>101.15625683231009</v>
      </c>
      <c r="H484" s="132">
        <v>54.097585662979917</v>
      </c>
      <c r="I484" s="456"/>
      <c r="J484" s="45"/>
      <c r="K484" s="45">
        <v>420</v>
      </c>
      <c r="L484" s="463"/>
      <c r="M484" s="456">
        <v>29.376232147216797</v>
      </c>
      <c r="N484" s="457"/>
      <c r="O484" s="456"/>
      <c r="P484" s="46"/>
      <c r="Q484" s="463">
        <v>60.047393798828125</v>
      </c>
      <c r="R484" s="449"/>
      <c r="S484" s="463"/>
      <c r="T484" s="480"/>
      <c r="U484" s="468"/>
      <c r="V484" s="449"/>
      <c r="W484" s="45">
        <v>1215.4154052734375</v>
      </c>
      <c r="X484" s="463">
        <v>105.24227142333984</v>
      </c>
      <c r="Y484" s="449"/>
      <c r="Z484" s="45"/>
      <c r="AA484" s="468">
        <v>0.37752730069730683</v>
      </c>
      <c r="AB484" s="456"/>
      <c r="AC484" s="46"/>
      <c r="AD484" s="46"/>
      <c r="AE484" s="46"/>
      <c r="AF484" s="46"/>
      <c r="AG484" s="46"/>
      <c r="AH484" s="46"/>
      <c r="AI484" s="457"/>
      <c r="AJ484" s="138"/>
      <c r="AK484" s="745"/>
      <c r="AL484" s="54"/>
      <c r="AM484" s="468"/>
      <c r="AN484" s="449"/>
      <c r="AO484" s="45"/>
      <c r="AP484" s="45"/>
      <c r="AQ484" s="45"/>
      <c r="AR484" s="45"/>
      <c r="AS484" s="45"/>
      <c r="AT484" s="45"/>
      <c r="AU484" s="463"/>
      <c r="AV484" s="449"/>
      <c r="AW484" s="45"/>
      <c r="AX484" s="45"/>
      <c r="AY484" s="45"/>
      <c r="AZ484" s="45"/>
      <c r="BA484" s="45"/>
      <c r="BB484" s="45"/>
      <c r="BC484" s="463"/>
      <c r="BD484" s="456"/>
      <c r="BE484" s="46"/>
      <c r="BF484" s="46"/>
      <c r="BG484" s="46"/>
      <c r="BH484" s="46"/>
      <c r="BI484" s="46"/>
      <c r="BJ484" s="457"/>
      <c r="BK484" s="449">
        <v>0</v>
      </c>
      <c r="BL484" s="45"/>
      <c r="BM484" s="45"/>
      <c r="BN484" s="45"/>
      <c r="BO484" s="45"/>
      <c r="BP484" s="45"/>
      <c r="BQ484" s="45"/>
      <c r="BR484" s="45"/>
      <c r="BS484" s="45"/>
      <c r="BT484" s="45"/>
      <c r="BU484" s="45"/>
      <c r="BV484" s="45"/>
      <c r="BW484" s="45"/>
      <c r="BX484" s="45"/>
      <c r="BY484" s="45"/>
      <c r="BZ484" s="45"/>
      <c r="CA484" s="45"/>
      <c r="CB484" s="45"/>
      <c r="CC484" s="45"/>
      <c r="CD484" s="463"/>
      <c r="CE484">
        <v>0</v>
      </c>
      <c r="CF484">
        <v>0</v>
      </c>
      <c r="CG484">
        <v>0</v>
      </c>
      <c r="CH484">
        <v>0</v>
      </c>
      <c r="CI484">
        <v>0</v>
      </c>
      <c r="CJ484">
        <v>0</v>
      </c>
      <c r="CK484">
        <v>0</v>
      </c>
      <c r="CL484">
        <v>0</v>
      </c>
      <c r="CM484">
        <v>0</v>
      </c>
      <c r="CN484">
        <v>0</v>
      </c>
      <c r="CO484">
        <v>0</v>
      </c>
      <c r="CP484">
        <v>0</v>
      </c>
      <c r="CQ484">
        <v>0</v>
      </c>
      <c r="CR484">
        <v>0</v>
      </c>
      <c r="CS484">
        <v>0</v>
      </c>
      <c r="CT484">
        <v>0</v>
      </c>
      <c r="CU484">
        <v>0</v>
      </c>
      <c r="CV484">
        <v>0</v>
      </c>
      <c r="CW484">
        <v>0</v>
      </c>
      <c r="CX484">
        <v>0</v>
      </c>
      <c r="CY484">
        <v>0</v>
      </c>
      <c r="CZ484">
        <v>0</v>
      </c>
      <c r="DA484">
        <v>0</v>
      </c>
      <c r="DB484">
        <v>0</v>
      </c>
      <c r="DC484">
        <v>0</v>
      </c>
      <c r="DD484">
        <v>0</v>
      </c>
      <c r="DE484">
        <v>0</v>
      </c>
      <c r="DF484">
        <v>0</v>
      </c>
      <c r="DG484">
        <v>0</v>
      </c>
      <c r="DH484">
        <v>0</v>
      </c>
      <c r="DI484">
        <v>0</v>
      </c>
      <c r="DJ484">
        <v>0</v>
      </c>
      <c r="DK484">
        <v>0</v>
      </c>
      <c r="DL484">
        <v>0</v>
      </c>
      <c r="DM484">
        <v>0</v>
      </c>
      <c r="DN484">
        <v>0</v>
      </c>
      <c r="DO484">
        <v>0</v>
      </c>
      <c r="DP484">
        <v>0</v>
      </c>
      <c r="DQ484">
        <v>0</v>
      </c>
      <c r="DR484">
        <v>0</v>
      </c>
      <c r="DS484">
        <v>0</v>
      </c>
      <c r="DT484">
        <v>0</v>
      </c>
      <c r="DU484">
        <v>0</v>
      </c>
    </row>
    <row r="485" spans="2:125">
      <c r="B485" s="136">
        <v>476</v>
      </c>
      <c r="C485" s="138">
        <v>1</v>
      </c>
      <c r="D485" s="474">
        <v>2850.6720391034451</v>
      </c>
      <c r="E485" s="127">
        <v>198.35165874780523</v>
      </c>
      <c r="F485" s="447">
        <v>0.4029697278974585</v>
      </c>
      <c r="G485" s="127">
        <v>114.81105596174538</v>
      </c>
      <c r="H485" s="132">
        <v>45.610127523025028</v>
      </c>
      <c r="I485" s="456"/>
      <c r="J485" s="45"/>
      <c r="K485" s="45">
        <v>440</v>
      </c>
      <c r="L485" s="463"/>
      <c r="M485" s="456">
        <v>33.774520874023437</v>
      </c>
      <c r="N485" s="457"/>
      <c r="O485" s="456"/>
      <c r="P485" s="46"/>
      <c r="Q485" s="463">
        <v>56.443309783935547</v>
      </c>
      <c r="R485" s="449"/>
      <c r="S485" s="463"/>
      <c r="T485" s="480"/>
      <c r="U485" s="468"/>
      <c r="V485" s="449"/>
      <c r="W485" s="45">
        <v>1334.8656005859375</v>
      </c>
      <c r="X485" s="463">
        <v>114.01946258544922</v>
      </c>
      <c r="Y485" s="449"/>
      <c r="Z485" s="45"/>
      <c r="AA485" s="468">
        <v>0.39137267495539274</v>
      </c>
      <c r="AB485" s="456"/>
      <c r="AC485" s="46"/>
      <c r="AD485" s="46"/>
      <c r="AE485" s="46"/>
      <c r="AF485" s="46"/>
      <c r="AG485" s="46"/>
      <c r="AH485" s="46"/>
      <c r="AI485" s="457"/>
      <c r="AJ485" s="138"/>
      <c r="AK485" s="745"/>
      <c r="AL485" s="54"/>
      <c r="AM485" s="468"/>
      <c r="AN485" s="449"/>
      <c r="AO485" s="45"/>
      <c r="AP485" s="45"/>
      <c r="AQ485" s="45"/>
      <c r="AR485" s="45"/>
      <c r="AS485" s="45"/>
      <c r="AT485" s="45"/>
      <c r="AU485" s="463"/>
      <c r="AV485" s="449"/>
      <c r="AW485" s="45"/>
      <c r="AX485" s="45"/>
      <c r="AY485" s="45"/>
      <c r="AZ485" s="45"/>
      <c r="BA485" s="45"/>
      <c r="BB485" s="45"/>
      <c r="BC485" s="463"/>
      <c r="BD485" s="456"/>
      <c r="BE485" s="46"/>
      <c r="BF485" s="46"/>
      <c r="BG485" s="46"/>
      <c r="BH485" s="46"/>
      <c r="BI485" s="46"/>
      <c r="BJ485" s="457"/>
      <c r="BK485" s="449">
        <v>0</v>
      </c>
      <c r="BL485" s="45"/>
      <c r="BM485" s="45"/>
      <c r="BN485" s="45"/>
      <c r="BO485" s="45"/>
      <c r="BP485" s="45"/>
      <c r="BQ485" s="45"/>
      <c r="BR485" s="45"/>
      <c r="BS485" s="45"/>
      <c r="BT485" s="45"/>
      <c r="BU485" s="45"/>
      <c r="BV485" s="45"/>
      <c r="BW485" s="45"/>
      <c r="BX485" s="45"/>
      <c r="BY485" s="45"/>
      <c r="BZ485" s="45"/>
      <c r="CA485" s="45"/>
      <c r="CB485" s="45"/>
      <c r="CC485" s="45"/>
      <c r="CD485" s="463"/>
      <c r="CE485">
        <v>0</v>
      </c>
      <c r="CF485">
        <v>0</v>
      </c>
      <c r="CG485">
        <v>0</v>
      </c>
      <c r="CH485">
        <v>0</v>
      </c>
      <c r="CI485">
        <v>0</v>
      </c>
      <c r="CJ485">
        <v>0</v>
      </c>
      <c r="CK485">
        <v>0</v>
      </c>
      <c r="CL485">
        <v>0</v>
      </c>
      <c r="CM485">
        <v>0</v>
      </c>
      <c r="CN485">
        <v>0</v>
      </c>
      <c r="CO485">
        <v>0</v>
      </c>
      <c r="CP485">
        <v>0</v>
      </c>
      <c r="CQ485">
        <v>0</v>
      </c>
      <c r="CR485">
        <v>0</v>
      </c>
      <c r="CS485">
        <v>0</v>
      </c>
      <c r="CT485">
        <v>0</v>
      </c>
      <c r="CU485">
        <v>0</v>
      </c>
      <c r="CV485">
        <v>0</v>
      </c>
      <c r="CW485">
        <v>0</v>
      </c>
      <c r="CX485">
        <v>0</v>
      </c>
      <c r="CY485">
        <v>0</v>
      </c>
      <c r="CZ485">
        <v>0</v>
      </c>
      <c r="DA485">
        <v>0</v>
      </c>
      <c r="DB485">
        <v>0</v>
      </c>
      <c r="DC485">
        <v>0</v>
      </c>
      <c r="DD485">
        <v>0</v>
      </c>
      <c r="DE485">
        <v>0</v>
      </c>
      <c r="DF485">
        <v>0</v>
      </c>
      <c r="DG485">
        <v>0</v>
      </c>
      <c r="DH485">
        <v>0</v>
      </c>
      <c r="DI485">
        <v>0</v>
      </c>
      <c r="DJ485">
        <v>0</v>
      </c>
      <c r="DK485">
        <v>0</v>
      </c>
      <c r="DL485">
        <v>0</v>
      </c>
      <c r="DM485">
        <v>0</v>
      </c>
      <c r="DN485">
        <v>0</v>
      </c>
      <c r="DO485">
        <v>0</v>
      </c>
      <c r="DP485">
        <v>0</v>
      </c>
      <c r="DQ485">
        <v>0</v>
      </c>
      <c r="DR485">
        <v>0</v>
      </c>
      <c r="DS485">
        <v>0</v>
      </c>
      <c r="DT485">
        <v>0</v>
      </c>
      <c r="DU485">
        <v>0</v>
      </c>
    </row>
    <row r="486" spans="2:125">
      <c r="B486" s="136">
        <v>477</v>
      </c>
      <c r="C486" s="138">
        <v>1</v>
      </c>
      <c r="D486" s="474">
        <v>2555.9082769958768</v>
      </c>
      <c r="E486" s="127">
        <v>220.67256887678255</v>
      </c>
      <c r="F486" s="447">
        <v>0.44188698843176105</v>
      </c>
      <c r="G486" s="127">
        <v>80.45988174248167</v>
      </c>
      <c r="H486" s="132">
        <v>58.463814074593174</v>
      </c>
      <c r="I486" s="456"/>
      <c r="J486" s="45"/>
      <c r="K486" s="45">
        <v>380</v>
      </c>
      <c r="L486" s="463"/>
      <c r="M486" s="456">
        <v>32.6231689453125</v>
      </c>
      <c r="N486" s="457"/>
      <c r="O486" s="456"/>
      <c r="P486" s="46"/>
      <c r="Q486" s="463">
        <v>59.005870819091797</v>
      </c>
      <c r="R486" s="449"/>
      <c r="S486" s="463"/>
      <c r="T486" s="480"/>
      <c r="U486" s="468"/>
      <c r="V486" s="449"/>
      <c r="W486" s="45">
        <v>1315.56103515625</v>
      </c>
      <c r="X486" s="463">
        <v>112.34968566894531</v>
      </c>
      <c r="Y486" s="449"/>
      <c r="Z486" s="45"/>
      <c r="AA486" s="468">
        <v>0.42864796100922503</v>
      </c>
      <c r="AB486" s="456"/>
      <c r="AC486" s="46"/>
      <c r="AD486" s="46"/>
      <c r="AE486" s="46"/>
      <c r="AF486" s="46"/>
      <c r="AG486" s="46"/>
      <c r="AH486" s="46"/>
      <c r="AI486" s="457"/>
      <c r="AJ486" s="138"/>
      <c r="AK486" s="745"/>
      <c r="AL486" s="54"/>
      <c r="AM486" s="468"/>
      <c r="AN486" s="449"/>
      <c r="AO486" s="45"/>
      <c r="AP486" s="45"/>
      <c r="AQ486" s="45"/>
      <c r="AR486" s="45"/>
      <c r="AS486" s="45"/>
      <c r="AT486" s="45"/>
      <c r="AU486" s="463"/>
      <c r="AV486" s="449"/>
      <c r="AW486" s="45"/>
      <c r="AX486" s="45"/>
      <c r="AY486" s="45"/>
      <c r="AZ486" s="45"/>
      <c r="BA486" s="45"/>
      <c r="BB486" s="45"/>
      <c r="BC486" s="463"/>
      <c r="BD486" s="456"/>
      <c r="BE486" s="46"/>
      <c r="BF486" s="46"/>
      <c r="BG486" s="46"/>
      <c r="BH486" s="46"/>
      <c r="BI486" s="46"/>
      <c r="BJ486" s="457"/>
      <c r="BK486" s="449">
        <v>0</v>
      </c>
      <c r="BL486" s="45"/>
      <c r="BM486" s="45"/>
      <c r="BN486" s="45"/>
      <c r="BO486" s="45"/>
      <c r="BP486" s="45"/>
      <c r="BQ486" s="45"/>
      <c r="BR486" s="45"/>
      <c r="BS486" s="45"/>
      <c r="BT486" s="45"/>
      <c r="BU486" s="45"/>
      <c r="BV486" s="45"/>
      <c r="BW486" s="45"/>
      <c r="BX486" s="45"/>
      <c r="BY486" s="45"/>
      <c r="BZ486" s="45"/>
      <c r="CA486" s="45"/>
      <c r="CB486" s="45"/>
      <c r="CC486" s="45"/>
      <c r="CD486" s="463"/>
      <c r="CE486">
        <v>0</v>
      </c>
      <c r="CF486">
        <v>0</v>
      </c>
      <c r="CG486">
        <v>0</v>
      </c>
      <c r="CH486">
        <v>0</v>
      </c>
      <c r="CI486">
        <v>0</v>
      </c>
      <c r="CJ486">
        <v>0</v>
      </c>
      <c r="CK486">
        <v>0</v>
      </c>
      <c r="CL486">
        <v>0</v>
      </c>
      <c r="CM486">
        <v>0</v>
      </c>
      <c r="CN486">
        <v>0</v>
      </c>
      <c r="CO486">
        <v>0</v>
      </c>
      <c r="CP486">
        <v>0</v>
      </c>
      <c r="CQ486">
        <v>0</v>
      </c>
      <c r="CR486">
        <v>0</v>
      </c>
      <c r="CS486">
        <v>0</v>
      </c>
      <c r="CT486">
        <v>0</v>
      </c>
      <c r="CU486">
        <v>0</v>
      </c>
      <c r="CV486">
        <v>0</v>
      </c>
      <c r="CW486">
        <v>0</v>
      </c>
      <c r="CX486">
        <v>0</v>
      </c>
      <c r="CY486">
        <v>0</v>
      </c>
      <c r="CZ486">
        <v>0</v>
      </c>
      <c r="DA486">
        <v>0</v>
      </c>
      <c r="DB486">
        <v>0</v>
      </c>
      <c r="DC486">
        <v>0</v>
      </c>
      <c r="DD486">
        <v>0</v>
      </c>
      <c r="DE486">
        <v>0</v>
      </c>
      <c r="DF486">
        <v>0</v>
      </c>
      <c r="DG486">
        <v>0</v>
      </c>
      <c r="DH486">
        <v>0</v>
      </c>
      <c r="DI486">
        <v>0</v>
      </c>
      <c r="DJ486">
        <v>0</v>
      </c>
      <c r="DK486">
        <v>0</v>
      </c>
      <c r="DL486">
        <v>0</v>
      </c>
      <c r="DM486">
        <v>0</v>
      </c>
      <c r="DN486">
        <v>0</v>
      </c>
      <c r="DO486">
        <v>0</v>
      </c>
      <c r="DP486">
        <v>0</v>
      </c>
      <c r="DQ486">
        <v>0</v>
      </c>
      <c r="DR486">
        <v>0</v>
      </c>
      <c r="DS486">
        <v>0</v>
      </c>
      <c r="DT486">
        <v>0</v>
      </c>
      <c r="DU486">
        <v>0</v>
      </c>
    </row>
    <row r="487" spans="2:125">
      <c r="B487" s="136">
        <v>478</v>
      </c>
      <c r="C487" s="138">
        <v>1</v>
      </c>
      <c r="D487" s="474">
        <v>3620.7236052483681</v>
      </c>
      <c r="E487" s="127">
        <v>250.65254617495643</v>
      </c>
      <c r="F487" s="447">
        <v>0.38099938073839323</v>
      </c>
      <c r="G487" s="127">
        <v>135.27561308780128</v>
      </c>
      <c r="H487" s="132">
        <v>55.749526444256773</v>
      </c>
      <c r="I487" s="456"/>
      <c r="J487" s="45"/>
      <c r="K487" s="45">
        <v>530</v>
      </c>
      <c r="L487" s="463"/>
      <c r="M487" s="456">
        <v>30.926708221435547</v>
      </c>
      <c r="N487" s="457"/>
      <c r="O487" s="456"/>
      <c r="P487" s="46"/>
      <c r="Q487" s="463">
        <v>71.690330505371094</v>
      </c>
      <c r="R487" s="449"/>
      <c r="S487" s="463"/>
      <c r="T487" s="480"/>
      <c r="U487" s="468"/>
      <c r="V487" s="449"/>
      <c r="W487" s="45">
        <v>1452.1390380859375</v>
      </c>
      <c r="X487" s="463">
        <v>122.91691589355469</v>
      </c>
      <c r="Y487" s="449"/>
      <c r="Z487" s="45"/>
      <c r="AA487" s="468">
        <v>0.37199013530262343</v>
      </c>
      <c r="AB487" s="456"/>
      <c r="AC487" s="46"/>
      <c r="AD487" s="46"/>
      <c r="AE487" s="46"/>
      <c r="AF487" s="46"/>
      <c r="AG487" s="46"/>
      <c r="AH487" s="46"/>
      <c r="AI487" s="457"/>
      <c r="AJ487" s="138"/>
      <c r="AK487" s="745"/>
      <c r="AL487" s="54"/>
      <c r="AM487" s="468"/>
      <c r="AN487" s="449"/>
      <c r="AO487" s="45"/>
      <c r="AP487" s="45"/>
      <c r="AQ487" s="45"/>
      <c r="AR487" s="45"/>
      <c r="AS487" s="45"/>
      <c r="AT487" s="45"/>
      <c r="AU487" s="463"/>
      <c r="AV487" s="449"/>
      <c r="AW487" s="45"/>
      <c r="AX487" s="45"/>
      <c r="AY487" s="45"/>
      <c r="AZ487" s="45"/>
      <c r="BA487" s="45"/>
      <c r="BB487" s="45"/>
      <c r="BC487" s="463"/>
      <c r="BD487" s="456"/>
      <c r="BE487" s="46"/>
      <c r="BF487" s="46"/>
      <c r="BG487" s="46"/>
      <c r="BH487" s="46"/>
      <c r="BI487" s="46"/>
      <c r="BJ487" s="457"/>
      <c r="BK487" s="449">
        <v>0</v>
      </c>
      <c r="BL487" s="45"/>
      <c r="BM487" s="45"/>
      <c r="BN487" s="45"/>
      <c r="BO487" s="45"/>
      <c r="BP487" s="45"/>
      <c r="BQ487" s="45"/>
      <c r="BR487" s="45"/>
      <c r="BS487" s="45"/>
      <c r="BT487" s="45"/>
      <c r="BU487" s="45"/>
      <c r="BV487" s="45"/>
      <c r="BW487" s="45"/>
      <c r="BX487" s="45"/>
      <c r="BY487" s="45"/>
      <c r="BZ487" s="45"/>
      <c r="CA487" s="45"/>
      <c r="CB487" s="45"/>
      <c r="CC487" s="45"/>
      <c r="CD487" s="463"/>
      <c r="CE487">
        <v>0</v>
      </c>
      <c r="CF487">
        <v>0</v>
      </c>
      <c r="CG487">
        <v>0</v>
      </c>
      <c r="CH487">
        <v>0</v>
      </c>
      <c r="CI487">
        <v>0</v>
      </c>
      <c r="CJ487">
        <v>0</v>
      </c>
      <c r="CK487">
        <v>0</v>
      </c>
      <c r="CL487">
        <v>0</v>
      </c>
      <c r="CM487">
        <v>0</v>
      </c>
      <c r="CN487">
        <v>0</v>
      </c>
      <c r="CO487">
        <v>0</v>
      </c>
      <c r="CP487">
        <v>0</v>
      </c>
      <c r="CQ487">
        <v>0</v>
      </c>
      <c r="CR487">
        <v>0</v>
      </c>
      <c r="CS487">
        <v>0</v>
      </c>
      <c r="CT487">
        <v>0</v>
      </c>
      <c r="CU487">
        <v>0</v>
      </c>
      <c r="CV487">
        <v>0</v>
      </c>
      <c r="CW487">
        <v>0</v>
      </c>
      <c r="CX487">
        <v>0</v>
      </c>
      <c r="CY487">
        <v>0</v>
      </c>
      <c r="CZ487">
        <v>0</v>
      </c>
      <c r="DA487">
        <v>0</v>
      </c>
      <c r="DB487">
        <v>0</v>
      </c>
      <c r="DC487">
        <v>0</v>
      </c>
      <c r="DD487">
        <v>0</v>
      </c>
      <c r="DE487">
        <v>0</v>
      </c>
      <c r="DF487">
        <v>0</v>
      </c>
      <c r="DG487">
        <v>0</v>
      </c>
      <c r="DH487">
        <v>0</v>
      </c>
      <c r="DI487">
        <v>0</v>
      </c>
      <c r="DJ487">
        <v>0</v>
      </c>
      <c r="DK487">
        <v>0</v>
      </c>
      <c r="DL487">
        <v>0</v>
      </c>
      <c r="DM487">
        <v>0</v>
      </c>
      <c r="DN487">
        <v>0</v>
      </c>
      <c r="DO487">
        <v>0</v>
      </c>
      <c r="DP487">
        <v>0</v>
      </c>
      <c r="DQ487">
        <v>0</v>
      </c>
      <c r="DR487">
        <v>0</v>
      </c>
      <c r="DS487">
        <v>0</v>
      </c>
      <c r="DT487">
        <v>0</v>
      </c>
      <c r="DU487">
        <v>0</v>
      </c>
    </row>
    <row r="488" spans="2:125">
      <c r="B488" s="136">
        <v>479</v>
      </c>
      <c r="C488" s="138">
        <v>1</v>
      </c>
      <c r="D488" s="474">
        <v>3698.7574907034377</v>
      </c>
      <c r="E488" s="127">
        <v>279.62244260027433</v>
      </c>
      <c r="F488" s="447">
        <v>0.44714263241826119</v>
      </c>
      <c r="G488" s="127">
        <v>120.6194597294635</v>
      </c>
      <c r="H488" s="132">
        <v>66.377194425025976</v>
      </c>
      <c r="I488" s="456"/>
      <c r="J488" s="45"/>
      <c r="K488" s="45">
        <v>540</v>
      </c>
      <c r="L488" s="463"/>
      <c r="M488" s="456">
        <v>37.257389068603516</v>
      </c>
      <c r="N488" s="457"/>
      <c r="O488" s="456"/>
      <c r="P488" s="46"/>
      <c r="Q488" s="463">
        <v>81.640838623046875</v>
      </c>
      <c r="R488" s="449"/>
      <c r="S488" s="463"/>
      <c r="T488" s="480"/>
      <c r="U488" s="468"/>
      <c r="V488" s="449"/>
      <c r="W488" s="45">
        <v>1832.97119140625</v>
      </c>
      <c r="X488" s="463">
        <v>150.65364074707031</v>
      </c>
      <c r="Y488" s="449"/>
      <c r="Z488" s="45"/>
      <c r="AA488" s="468">
        <v>0.43796580675892066</v>
      </c>
      <c r="AB488" s="456"/>
      <c r="AC488" s="46"/>
      <c r="AD488" s="46"/>
      <c r="AE488" s="46"/>
      <c r="AF488" s="46"/>
      <c r="AG488" s="46"/>
      <c r="AH488" s="46"/>
      <c r="AI488" s="457"/>
      <c r="AJ488" s="138"/>
      <c r="AK488" s="745"/>
      <c r="AL488" s="54"/>
      <c r="AM488" s="468"/>
      <c r="AN488" s="449"/>
      <c r="AO488" s="45"/>
      <c r="AP488" s="45"/>
      <c r="AQ488" s="45"/>
      <c r="AR488" s="45"/>
      <c r="AS488" s="45"/>
      <c r="AT488" s="45"/>
      <c r="AU488" s="463"/>
      <c r="AV488" s="449"/>
      <c r="AW488" s="45"/>
      <c r="AX488" s="45"/>
      <c r="AY488" s="45"/>
      <c r="AZ488" s="45"/>
      <c r="BA488" s="45"/>
      <c r="BB488" s="45"/>
      <c r="BC488" s="463"/>
      <c r="BD488" s="456"/>
      <c r="BE488" s="46"/>
      <c r="BF488" s="46"/>
      <c r="BG488" s="46"/>
      <c r="BH488" s="46"/>
      <c r="BI488" s="46"/>
      <c r="BJ488" s="457"/>
      <c r="BK488" s="449">
        <v>0</v>
      </c>
      <c r="BL488" s="45"/>
      <c r="BM488" s="45"/>
      <c r="BN488" s="45"/>
      <c r="BO488" s="45"/>
      <c r="BP488" s="45"/>
      <c r="BQ488" s="45"/>
      <c r="BR488" s="45"/>
      <c r="BS488" s="45"/>
      <c r="BT488" s="45"/>
      <c r="BU488" s="45"/>
      <c r="BV488" s="45"/>
      <c r="BW488" s="45"/>
      <c r="BX488" s="45"/>
      <c r="BY488" s="45"/>
      <c r="BZ488" s="45"/>
      <c r="CA488" s="45"/>
      <c r="CB488" s="45"/>
      <c r="CC488" s="45"/>
      <c r="CD488" s="463"/>
      <c r="CE488">
        <v>0</v>
      </c>
      <c r="CF488">
        <v>0</v>
      </c>
      <c r="CG488">
        <v>0</v>
      </c>
      <c r="CH488">
        <v>0</v>
      </c>
      <c r="CI488">
        <v>0</v>
      </c>
      <c r="CJ488">
        <v>0</v>
      </c>
      <c r="CK488">
        <v>0</v>
      </c>
      <c r="CL488">
        <v>0</v>
      </c>
      <c r="CM488">
        <v>0</v>
      </c>
      <c r="CN488">
        <v>0</v>
      </c>
      <c r="CO488">
        <v>0</v>
      </c>
      <c r="CP488">
        <v>0</v>
      </c>
      <c r="CQ488">
        <v>0</v>
      </c>
      <c r="CR488">
        <v>0</v>
      </c>
      <c r="CS488">
        <v>0</v>
      </c>
      <c r="CT488">
        <v>0</v>
      </c>
      <c r="CU488">
        <v>0</v>
      </c>
      <c r="CV488">
        <v>0</v>
      </c>
      <c r="CW488">
        <v>0</v>
      </c>
      <c r="CX488">
        <v>0</v>
      </c>
      <c r="CY488">
        <v>0</v>
      </c>
      <c r="CZ488">
        <v>0</v>
      </c>
      <c r="DA488">
        <v>0</v>
      </c>
      <c r="DB488">
        <v>0</v>
      </c>
      <c r="DC488">
        <v>0</v>
      </c>
      <c r="DD488">
        <v>0</v>
      </c>
      <c r="DE488">
        <v>0</v>
      </c>
      <c r="DF488">
        <v>0</v>
      </c>
      <c r="DG488">
        <v>0</v>
      </c>
      <c r="DH488">
        <v>0</v>
      </c>
      <c r="DI488">
        <v>0</v>
      </c>
      <c r="DJ488">
        <v>0</v>
      </c>
      <c r="DK488">
        <v>0</v>
      </c>
      <c r="DL488">
        <v>0</v>
      </c>
      <c r="DM488">
        <v>0</v>
      </c>
      <c r="DN488">
        <v>0</v>
      </c>
      <c r="DO488">
        <v>0</v>
      </c>
      <c r="DP488">
        <v>0</v>
      </c>
      <c r="DQ488">
        <v>0</v>
      </c>
      <c r="DR488">
        <v>0</v>
      </c>
      <c r="DS488">
        <v>0</v>
      </c>
      <c r="DT488">
        <v>0</v>
      </c>
      <c r="DU488">
        <v>0</v>
      </c>
    </row>
    <row r="489" spans="2:125">
      <c r="B489" s="136">
        <v>480</v>
      </c>
      <c r="C489" s="138">
        <v>1</v>
      </c>
      <c r="D489" s="474">
        <v>4062.9842911897576</v>
      </c>
      <c r="E489" s="127">
        <v>248.47381353081164</v>
      </c>
      <c r="F489" s="447">
        <v>0.43838120287471788</v>
      </c>
      <c r="G489" s="127">
        <v>149.12732735017832</v>
      </c>
      <c r="H489" s="132">
        <v>59.739098290122335</v>
      </c>
      <c r="I489" s="456"/>
      <c r="J489" s="45"/>
      <c r="K489" s="45">
        <v>600</v>
      </c>
      <c r="L489" s="463"/>
      <c r="M489" s="456">
        <v>39.897014617919922</v>
      </c>
      <c r="N489" s="457"/>
      <c r="O489" s="456"/>
      <c r="P489" s="46"/>
      <c r="Q489" s="463">
        <v>80.447090148925781</v>
      </c>
      <c r="R489" s="449"/>
      <c r="S489" s="463"/>
      <c r="T489" s="480"/>
      <c r="U489" s="468"/>
      <c r="V489" s="449"/>
      <c r="W489" s="45">
        <v>1961.5267333984375</v>
      </c>
      <c r="X489" s="463">
        <v>160.2440185546875</v>
      </c>
      <c r="Y489" s="449"/>
      <c r="Z489" s="45"/>
      <c r="AA489" s="468">
        <v>0.43007016309769569</v>
      </c>
      <c r="AB489" s="456"/>
      <c r="AC489" s="46"/>
      <c r="AD489" s="46"/>
      <c r="AE489" s="46"/>
      <c r="AF489" s="46"/>
      <c r="AG489" s="46"/>
      <c r="AH489" s="46"/>
      <c r="AI489" s="457"/>
      <c r="AJ489" s="138"/>
      <c r="AK489" s="745"/>
      <c r="AL489" s="54"/>
      <c r="AM489" s="468"/>
      <c r="AN489" s="449"/>
      <c r="AO489" s="45"/>
      <c r="AP489" s="45"/>
      <c r="AQ489" s="45"/>
      <c r="AR489" s="45"/>
      <c r="AS489" s="45"/>
      <c r="AT489" s="45"/>
      <c r="AU489" s="463"/>
      <c r="AV489" s="449"/>
      <c r="AW489" s="45"/>
      <c r="AX489" s="45"/>
      <c r="AY489" s="45"/>
      <c r="AZ489" s="45"/>
      <c r="BA489" s="45"/>
      <c r="BB489" s="45"/>
      <c r="BC489" s="463"/>
      <c r="BD489" s="456"/>
      <c r="BE489" s="46"/>
      <c r="BF489" s="46"/>
      <c r="BG489" s="46"/>
      <c r="BH489" s="46"/>
      <c r="BI489" s="46"/>
      <c r="BJ489" s="457"/>
      <c r="BK489" s="449">
        <v>0</v>
      </c>
      <c r="BL489" s="45"/>
      <c r="BM489" s="45"/>
      <c r="BN489" s="45"/>
      <c r="BO489" s="45"/>
      <c r="BP489" s="45"/>
      <c r="BQ489" s="45"/>
      <c r="BR489" s="45"/>
      <c r="BS489" s="45"/>
      <c r="BT489" s="45"/>
      <c r="BU489" s="45"/>
      <c r="BV489" s="45"/>
      <c r="BW489" s="45"/>
      <c r="BX489" s="45"/>
      <c r="BY489" s="45"/>
      <c r="BZ489" s="45"/>
      <c r="CA489" s="45"/>
      <c r="CB489" s="45"/>
      <c r="CC489" s="45"/>
      <c r="CD489" s="463"/>
      <c r="CE489">
        <v>0</v>
      </c>
      <c r="CF489">
        <v>0</v>
      </c>
      <c r="CG489">
        <v>0</v>
      </c>
      <c r="CH489">
        <v>0</v>
      </c>
      <c r="CI489">
        <v>0</v>
      </c>
      <c r="CJ489">
        <v>0</v>
      </c>
      <c r="CK489">
        <v>0</v>
      </c>
      <c r="CL489">
        <v>0</v>
      </c>
      <c r="CM489">
        <v>0</v>
      </c>
      <c r="CN489">
        <v>0</v>
      </c>
      <c r="CO489">
        <v>0</v>
      </c>
      <c r="CP489">
        <v>0</v>
      </c>
      <c r="CQ489">
        <v>0</v>
      </c>
      <c r="CR489">
        <v>0</v>
      </c>
      <c r="CS489">
        <v>0</v>
      </c>
      <c r="CT489">
        <v>0</v>
      </c>
      <c r="CU489">
        <v>0</v>
      </c>
      <c r="CV489">
        <v>0</v>
      </c>
      <c r="CW489">
        <v>0</v>
      </c>
      <c r="CX489">
        <v>0</v>
      </c>
      <c r="CY489">
        <v>0</v>
      </c>
      <c r="CZ489">
        <v>0</v>
      </c>
      <c r="DA489">
        <v>0</v>
      </c>
      <c r="DB489">
        <v>0</v>
      </c>
      <c r="DC489">
        <v>0</v>
      </c>
      <c r="DD489">
        <v>0</v>
      </c>
      <c r="DE489">
        <v>0</v>
      </c>
      <c r="DF489">
        <v>0</v>
      </c>
      <c r="DG489">
        <v>0</v>
      </c>
      <c r="DH489">
        <v>0</v>
      </c>
      <c r="DI489">
        <v>0</v>
      </c>
      <c r="DJ489">
        <v>0</v>
      </c>
      <c r="DK489">
        <v>0</v>
      </c>
      <c r="DL489">
        <v>0</v>
      </c>
      <c r="DM489">
        <v>0</v>
      </c>
      <c r="DN489">
        <v>0</v>
      </c>
      <c r="DO489">
        <v>0</v>
      </c>
      <c r="DP489">
        <v>0</v>
      </c>
      <c r="DQ489">
        <v>0</v>
      </c>
      <c r="DR489">
        <v>0</v>
      </c>
      <c r="DS489">
        <v>0</v>
      </c>
      <c r="DT489">
        <v>0</v>
      </c>
      <c r="DU489">
        <v>0</v>
      </c>
    </row>
    <row r="490" spans="2:125">
      <c r="B490" s="136">
        <v>481</v>
      </c>
      <c r="C490" s="138">
        <v>1</v>
      </c>
      <c r="D490" s="474">
        <v>2984.7223029826596</v>
      </c>
      <c r="E490" s="127">
        <v>195.20981456365544</v>
      </c>
      <c r="F490" s="447">
        <v>0.44325130764037191</v>
      </c>
      <c r="G490" s="127">
        <v>97.057788902822551</v>
      </c>
      <c r="H490" s="132">
        <v>54.321415566975084</v>
      </c>
      <c r="I490" s="456"/>
      <c r="J490" s="45"/>
      <c r="K490" s="45">
        <v>420</v>
      </c>
      <c r="L490" s="463"/>
      <c r="M490" s="456">
        <v>35.538700103759766</v>
      </c>
      <c r="N490" s="457"/>
      <c r="O490" s="456"/>
      <c r="P490" s="46"/>
      <c r="Q490" s="463">
        <v>59.097503662109375</v>
      </c>
      <c r="R490" s="449"/>
      <c r="S490" s="463"/>
      <c r="T490" s="480"/>
      <c r="U490" s="468"/>
      <c r="V490" s="449"/>
      <c r="W490" s="45">
        <v>1436.86962890625</v>
      </c>
      <c r="X490" s="463">
        <v>121.32007598876953</v>
      </c>
      <c r="Y490" s="449"/>
      <c r="Z490" s="45"/>
      <c r="AA490" s="468">
        <v>0.43190518471330236</v>
      </c>
      <c r="AB490" s="456"/>
      <c r="AC490" s="46"/>
      <c r="AD490" s="46"/>
      <c r="AE490" s="46"/>
      <c r="AF490" s="46"/>
      <c r="AG490" s="46"/>
      <c r="AH490" s="46"/>
      <c r="AI490" s="457"/>
      <c r="AJ490" s="138"/>
      <c r="AK490" s="745"/>
      <c r="AL490" s="54"/>
      <c r="AM490" s="468"/>
      <c r="AN490" s="449"/>
      <c r="AO490" s="45"/>
      <c r="AP490" s="45"/>
      <c r="AQ490" s="45"/>
      <c r="AR490" s="45"/>
      <c r="AS490" s="45"/>
      <c r="AT490" s="45"/>
      <c r="AU490" s="463"/>
      <c r="AV490" s="449"/>
      <c r="AW490" s="45"/>
      <c r="AX490" s="45"/>
      <c r="AY490" s="45"/>
      <c r="AZ490" s="45"/>
      <c r="BA490" s="45"/>
      <c r="BB490" s="45"/>
      <c r="BC490" s="463"/>
      <c r="BD490" s="456"/>
      <c r="BE490" s="46"/>
      <c r="BF490" s="46"/>
      <c r="BG490" s="46"/>
      <c r="BH490" s="46"/>
      <c r="BI490" s="46"/>
      <c r="BJ490" s="457"/>
      <c r="BK490" s="449">
        <v>0</v>
      </c>
      <c r="BL490" s="45"/>
      <c r="BM490" s="45"/>
      <c r="BN490" s="45"/>
      <c r="BO490" s="45"/>
      <c r="BP490" s="45"/>
      <c r="BQ490" s="45"/>
      <c r="BR490" s="45"/>
      <c r="BS490" s="45"/>
      <c r="BT490" s="45"/>
      <c r="BU490" s="45"/>
      <c r="BV490" s="45"/>
      <c r="BW490" s="45"/>
      <c r="BX490" s="45"/>
      <c r="BY490" s="45"/>
      <c r="BZ490" s="45"/>
      <c r="CA490" s="45"/>
      <c r="CB490" s="45"/>
      <c r="CC490" s="45"/>
      <c r="CD490" s="463"/>
      <c r="CE490">
        <v>0</v>
      </c>
      <c r="CF490">
        <v>0</v>
      </c>
      <c r="CG490">
        <v>0</v>
      </c>
      <c r="CH490">
        <v>0</v>
      </c>
      <c r="CI490">
        <v>0</v>
      </c>
      <c r="CJ490">
        <v>0</v>
      </c>
      <c r="CK490">
        <v>0</v>
      </c>
      <c r="CL490">
        <v>0</v>
      </c>
      <c r="CM490">
        <v>0</v>
      </c>
      <c r="CN490">
        <v>0</v>
      </c>
      <c r="CO490">
        <v>0</v>
      </c>
      <c r="CP490">
        <v>0</v>
      </c>
      <c r="CQ490">
        <v>0</v>
      </c>
      <c r="CR490">
        <v>0</v>
      </c>
      <c r="CS490">
        <v>0</v>
      </c>
      <c r="CT490">
        <v>0</v>
      </c>
      <c r="CU490">
        <v>0</v>
      </c>
      <c r="CV490">
        <v>0</v>
      </c>
      <c r="CW490">
        <v>0</v>
      </c>
      <c r="CX490">
        <v>0</v>
      </c>
      <c r="CY490">
        <v>0</v>
      </c>
      <c r="CZ490">
        <v>0</v>
      </c>
      <c r="DA490">
        <v>0</v>
      </c>
      <c r="DB490">
        <v>0</v>
      </c>
      <c r="DC490">
        <v>0</v>
      </c>
      <c r="DD490">
        <v>0</v>
      </c>
      <c r="DE490">
        <v>0</v>
      </c>
      <c r="DF490">
        <v>0</v>
      </c>
      <c r="DG490">
        <v>0</v>
      </c>
      <c r="DH490">
        <v>0</v>
      </c>
      <c r="DI490">
        <v>0</v>
      </c>
      <c r="DJ490">
        <v>0</v>
      </c>
      <c r="DK490">
        <v>0</v>
      </c>
      <c r="DL490">
        <v>0</v>
      </c>
      <c r="DM490">
        <v>0</v>
      </c>
      <c r="DN490">
        <v>0</v>
      </c>
      <c r="DO490">
        <v>0</v>
      </c>
      <c r="DP490">
        <v>0</v>
      </c>
      <c r="DQ490">
        <v>0</v>
      </c>
      <c r="DR490">
        <v>0</v>
      </c>
      <c r="DS490">
        <v>0</v>
      </c>
      <c r="DT490">
        <v>0</v>
      </c>
      <c r="DU490">
        <v>0</v>
      </c>
    </row>
    <row r="491" spans="2:125">
      <c r="B491" s="136">
        <v>482</v>
      </c>
      <c r="C491" s="138">
        <v>1</v>
      </c>
      <c r="D491" s="474">
        <v>3753.3211926193062</v>
      </c>
      <c r="E491" s="127">
        <v>201.19533900492871</v>
      </c>
      <c r="F491" s="447">
        <v>0.38800912318747693</v>
      </c>
      <c r="G491" s="127">
        <v>128.34934975525181</v>
      </c>
      <c r="H491" s="132">
        <v>59.64098785587403</v>
      </c>
      <c r="I491" s="456"/>
      <c r="J491" s="45"/>
      <c r="K491" s="45">
        <v>530</v>
      </c>
      <c r="L491" s="463"/>
      <c r="M491" s="456">
        <v>30.797397613525391</v>
      </c>
      <c r="N491" s="457"/>
      <c r="O491" s="456"/>
      <c r="P491" s="46"/>
      <c r="Q491" s="463">
        <v>74.315765380859375</v>
      </c>
      <c r="R491" s="449"/>
      <c r="S491" s="463"/>
      <c r="T491" s="480"/>
      <c r="U491" s="468"/>
      <c r="V491" s="449"/>
      <c r="W491" s="45">
        <v>1471.98291015625</v>
      </c>
      <c r="X491" s="463">
        <v>124.34716796875</v>
      </c>
      <c r="Y491" s="449"/>
      <c r="Z491" s="45"/>
      <c r="AA491" s="468">
        <v>0.37928080477759218</v>
      </c>
      <c r="AB491" s="456"/>
      <c r="AC491" s="46"/>
      <c r="AD491" s="46"/>
      <c r="AE491" s="46"/>
      <c r="AF491" s="46"/>
      <c r="AG491" s="46"/>
      <c r="AH491" s="46"/>
      <c r="AI491" s="457"/>
      <c r="AJ491" s="138"/>
      <c r="AK491" s="745"/>
      <c r="AL491" s="54"/>
      <c r="AM491" s="468"/>
      <c r="AN491" s="449"/>
      <c r="AO491" s="45"/>
      <c r="AP491" s="45"/>
      <c r="AQ491" s="45"/>
      <c r="AR491" s="45"/>
      <c r="AS491" s="45"/>
      <c r="AT491" s="45"/>
      <c r="AU491" s="463"/>
      <c r="AV491" s="449"/>
      <c r="AW491" s="45"/>
      <c r="AX491" s="45"/>
      <c r="AY491" s="45"/>
      <c r="AZ491" s="45"/>
      <c r="BA491" s="45"/>
      <c r="BB491" s="45"/>
      <c r="BC491" s="463"/>
      <c r="BD491" s="456"/>
      <c r="BE491" s="46"/>
      <c r="BF491" s="46"/>
      <c r="BG491" s="46"/>
      <c r="BH491" s="46"/>
      <c r="BI491" s="46"/>
      <c r="BJ491" s="457"/>
      <c r="BK491" s="449">
        <v>0</v>
      </c>
      <c r="BL491" s="45"/>
      <c r="BM491" s="45"/>
      <c r="BN491" s="45"/>
      <c r="BO491" s="45"/>
      <c r="BP491" s="45"/>
      <c r="BQ491" s="45"/>
      <c r="BR491" s="45"/>
      <c r="BS491" s="45"/>
      <c r="BT491" s="45"/>
      <c r="BU491" s="45"/>
      <c r="BV491" s="45"/>
      <c r="BW491" s="45"/>
      <c r="BX491" s="45"/>
      <c r="BY491" s="45"/>
      <c r="BZ491" s="45"/>
      <c r="CA491" s="45"/>
      <c r="CB491" s="45"/>
      <c r="CC491" s="45"/>
      <c r="CD491" s="463"/>
      <c r="CE491">
        <v>0</v>
      </c>
      <c r="CF491">
        <v>0</v>
      </c>
      <c r="CG491">
        <v>0</v>
      </c>
      <c r="CH491">
        <v>0</v>
      </c>
      <c r="CI491">
        <v>0</v>
      </c>
      <c r="CJ491">
        <v>0</v>
      </c>
      <c r="CK491">
        <v>0</v>
      </c>
      <c r="CL491">
        <v>0</v>
      </c>
      <c r="CM491">
        <v>0</v>
      </c>
      <c r="CN491">
        <v>0</v>
      </c>
      <c r="CO491">
        <v>0</v>
      </c>
      <c r="CP491">
        <v>0</v>
      </c>
      <c r="CQ491">
        <v>0</v>
      </c>
      <c r="CR491">
        <v>0</v>
      </c>
      <c r="CS491">
        <v>0</v>
      </c>
      <c r="CT491">
        <v>0</v>
      </c>
      <c r="CU491">
        <v>0</v>
      </c>
      <c r="CV491">
        <v>0</v>
      </c>
      <c r="CW491">
        <v>0</v>
      </c>
      <c r="CX491">
        <v>0</v>
      </c>
      <c r="CY491">
        <v>0</v>
      </c>
      <c r="CZ491">
        <v>0</v>
      </c>
      <c r="DA491">
        <v>0</v>
      </c>
      <c r="DB491">
        <v>0</v>
      </c>
      <c r="DC491">
        <v>0</v>
      </c>
      <c r="DD491">
        <v>0</v>
      </c>
      <c r="DE491">
        <v>0</v>
      </c>
      <c r="DF491">
        <v>0</v>
      </c>
      <c r="DG491">
        <v>0</v>
      </c>
      <c r="DH491">
        <v>0</v>
      </c>
      <c r="DI491">
        <v>0</v>
      </c>
      <c r="DJ491">
        <v>0</v>
      </c>
      <c r="DK491">
        <v>0</v>
      </c>
      <c r="DL491">
        <v>0</v>
      </c>
      <c r="DM491">
        <v>0</v>
      </c>
      <c r="DN491">
        <v>0</v>
      </c>
      <c r="DO491">
        <v>0</v>
      </c>
      <c r="DP491">
        <v>0</v>
      </c>
      <c r="DQ491">
        <v>0</v>
      </c>
      <c r="DR491">
        <v>0</v>
      </c>
      <c r="DS491">
        <v>0</v>
      </c>
      <c r="DT491">
        <v>0</v>
      </c>
      <c r="DU491">
        <v>0</v>
      </c>
    </row>
    <row r="492" spans="2:125">
      <c r="B492" s="136">
        <v>483</v>
      </c>
      <c r="C492" s="138">
        <v>1</v>
      </c>
      <c r="D492" s="474">
        <v>3640.4000605167685</v>
      </c>
      <c r="E492" s="127">
        <v>213.44232778548329</v>
      </c>
      <c r="F492" s="447">
        <v>0.41827878996181839</v>
      </c>
      <c r="G492" s="127">
        <v>116.76721644059442</v>
      </c>
      <c r="H492" s="132">
        <v>66.369754049851352</v>
      </c>
      <c r="I492" s="456"/>
      <c r="J492" s="45"/>
      <c r="K492" s="45">
        <v>520</v>
      </c>
      <c r="L492" s="463"/>
      <c r="M492" s="456">
        <v>32.459159851074219</v>
      </c>
      <c r="N492" s="457"/>
      <c r="O492" s="456"/>
      <c r="P492" s="46"/>
      <c r="Q492" s="463">
        <v>80.515510559082031</v>
      </c>
      <c r="R492" s="449"/>
      <c r="S492" s="463"/>
      <c r="T492" s="480"/>
      <c r="U492" s="468"/>
      <c r="V492" s="449"/>
      <c r="W492" s="45">
        <v>1602.322998046875</v>
      </c>
      <c r="X492" s="463">
        <v>133.80853271484375</v>
      </c>
      <c r="Y492" s="449"/>
      <c r="Z492" s="45"/>
      <c r="AA492" s="468">
        <v>0.40911343031876307</v>
      </c>
      <c r="AB492" s="456"/>
      <c r="AC492" s="46"/>
      <c r="AD492" s="46"/>
      <c r="AE492" s="46"/>
      <c r="AF492" s="46"/>
      <c r="AG492" s="46"/>
      <c r="AH492" s="46"/>
      <c r="AI492" s="457"/>
      <c r="AJ492" s="138"/>
      <c r="AK492" s="745"/>
      <c r="AL492" s="54"/>
      <c r="AM492" s="468"/>
      <c r="AN492" s="449"/>
      <c r="AO492" s="45"/>
      <c r="AP492" s="45"/>
      <c r="AQ492" s="45"/>
      <c r="AR492" s="45"/>
      <c r="AS492" s="45"/>
      <c r="AT492" s="45"/>
      <c r="AU492" s="463"/>
      <c r="AV492" s="449"/>
      <c r="AW492" s="45"/>
      <c r="AX492" s="45"/>
      <c r="AY492" s="45"/>
      <c r="AZ492" s="45"/>
      <c r="BA492" s="45"/>
      <c r="BB492" s="45"/>
      <c r="BC492" s="463"/>
      <c r="BD492" s="456"/>
      <c r="BE492" s="46"/>
      <c r="BF492" s="46"/>
      <c r="BG492" s="46"/>
      <c r="BH492" s="46"/>
      <c r="BI492" s="46"/>
      <c r="BJ492" s="457"/>
      <c r="BK492" s="449">
        <v>0</v>
      </c>
      <c r="BL492" s="45"/>
      <c r="BM492" s="45"/>
      <c r="BN492" s="45"/>
      <c r="BO492" s="45"/>
      <c r="BP492" s="45"/>
      <c r="BQ492" s="45"/>
      <c r="BR492" s="45"/>
      <c r="BS492" s="45"/>
      <c r="BT492" s="45"/>
      <c r="BU492" s="45"/>
      <c r="BV492" s="45"/>
      <c r="BW492" s="45"/>
      <c r="BX492" s="45"/>
      <c r="BY492" s="45"/>
      <c r="BZ492" s="45"/>
      <c r="CA492" s="45"/>
      <c r="CB492" s="45"/>
      <c r="CC492" s="45"/>
      <c r="CD492" s="463"/>
      <c r="CE492">
        <v>0</v>
      </c>
      <c r="CF492">
        <v>0</v>
      </c>
      <c r="CG492">
        <v>0</v>
      </c>
      <c r="CH492">
        <v>0</v>
      </c>
      <c r="CI492">
        <v>0</v>
      </c>
      <c r="CJ492">
        <v>0</v>
      </c>
      <c r="CK492">
        <v>0</v>
      </c>
      <c r="CL492">
        <v>0</v>
      </c>
      <c r="CM492">
        <v>0</v>
      </c>
      <c r="CN492">
        <v>0</v>
      </c>
      <c r="CO492">
        <v>0</v>
      </c>
      <c r="CP492">
        <v>0</v>
      </c>
      <c r="CQ492">
        <v>0</v>
      </c>
      <c r="CR492">
        <v>0</v>
      </c>
      <c r="CS492">
        <v>0</v>
      </c>
      <c r="CT492">
        <v>0</v>
      </c>
      <c r="CU492">
        <v>0</v>
      </c>
      <c r="CV492">
        <v>0</v>
      </c>
      <c r="CW492">
        <v>0</v>
      </c>
      <c r="CX492">
        <v>0</v>
      </c>
      <c r="CY492">
        <v>0</v>
      </c>
      <c r="CZ492">
        <v>0</v>
      </c>
      <c r="DA492">
        <v>0</v>
      </c>
      <c r="DB492">
        <v>0</v>
      </c>
      <c r="DC492">
        <v>0</v>
      </c>
      <c r="DD492">
        <v>0</v>
      </c>
      <c r="DE492">
        <v>0</v>
      </c>
      <c r="DF492">
        <v>0</v>
      </c>
      <c r="DG492">
        <v>0</v>
      </c>
      <c r="DH492">
        <v>0</v>
      </c>
      <c r="DI492">
        <v>0</v>
      </c>
      <c r="DJ492">
        <v>0</v>
      </c>
      <c r="DK492">
        <v>0</v>
      </c>
      <c r="DL492">
        <v>0</v>
      </c>
      <c r="DM492">
        <v>0</v>
      </c>
      <c r="DN492">
        <v>0</v>
      </c>
      <c r="DO492">
        <v>0</v>
      </c>
      <c r="DP492">
        <v>0</v>
      </c>
      <c r="DQ492">
        <v>0</v>
      </c>
      <c r="DR492">
        <v>0</v>
      </c>
      <c r="DS492">
        <v>0</v>
      </c>
      <c r="DT492">
        <v>0</v>
      </c>
      <c r="DU492">
        <v>0</v>
      </c>
    </row>
    <row r="493" spans="2:125">
      <c r="B493" s="136">
        <v>484</v>
      </c>
      <c r="C493" s="138">
        <v>1</v>
      </c>
      <c r="D493" s="474">
        <v>3244.760459383976</v>
      </c>
      <c r="E493" s="127">
        <v>251.56985980196251</v>
      </c>
      <c r="F493" s="447">
        <v>0.42891126657185524</v>
      </c>
      <c r="G493" s="127">
        <v>106.39493578956099</v>
      </c>
      <c r="H493" s="132">
        <v>63.097896702112671</v>
      </c>
      <c r="I493" s="456"/>
      <c r="J493" s="45"/>
      <c r="K493" s="45">
        <v>480</v>
      </c>
      <c r="L493" s="463"/>
      <c r="M493" s="456">
        <v>33.298820495605469</v>
      </c>
      <c r="N493" s="457"/>
      <c r="O493" s="456"/>
      <c r="P493" s="46"/>
      <c r="Q493" s="463">
        <v>72.619819641113281</v>
      </c>
      <c r="R493" s="449"/>
      <c r="S493" s="463"/>
      <c r="T493" s="480"/>
      <c r="U493" s="468"/>
      <c r="V493" s="449"/>
      <c r="W493" s="45">
        <v>1537.3304443359375</v>
      </c>
      <c r="X493" s="463">
        <v>128.89253234863281</v>
      </c>
      <c r="Y493" s="449"/>
      <c r="Z493" s="45"/>
      <c r="AA493" s="468">
        <v>0.41856282151658852</v>
      </c>
      <c r="AB493" s="456"/>
      <c r="AC493" s="46"/>
      <c r="AD493" s="46"/>
      <c r="AE493" s="46"/>
      <c r="AF493" s="46"/>
      <c r="AG493" s="46"/>
      <c r="AH493" s="46"/>
      <c r="AI493" s="457"/>
      <c r="AJ493" s="138"/>
      <c r="AK493" s="745"/>
      <c r="AL493" s="54"/>
      <c r="AM493" s="468"/>
      <c r="AN493" s="449"/>
      <c r="AO493" s="45"/>
      <c r="AP493" s="45"/>
      <c r="AQ493" s="45"/>
      <c r="AR493" s="45"/>
      <c r="AS493" s="45"/>
      <c r="AT493" s="45"/>
      <c r="AU493" s="463"/>
      <c r="AV493" s="449"/>
      <c r="AW493" s="45"/>
      <c r="AX493" s="45"/>
      <c r="AY493" s="45"/>
      <c r="AZ493" s="45"/>
      <c r="BA493" s="45"/>
      <c r="BB493" s="45"/>
      <c r="BC493" s="463"/>
      <c r="BD493" s="456"/>
      <c r="BE493" s="46"/>
      <c r="BF493" s="46"/>
      <c r="BG493" s="46"/>
      <c r="BH493" s="46"/>
      <c r="BI493" s="46"/>
      <c r="BJ493" s="457"/>
      <c r="BK493" s="449">
        <v>0</v>
      </c>
      <c r="BL493" s="45"/>
      <c r="BM493" s="45"/>
      <c r="BN493" s="45"/>
      <c r="BO493" s="45"/>
      <c r="BP493" s="45"/>
      <c r="BQ493" s="45"/>
      <c r="BR493" s="45"/>
      <c r="BS493" s="45"/>
      <c r="BT493" s="45"/>
      <c r="BU493" s="45"/>
      <c r="BV493" s="45"/>
      <c r="BW493" s="45"/>
      <c r="BX493" s="45"/>
      <c r="BY493" s="45"/>
      <c r="BZ493" s="45"/>
      <c r="CA493" s="45"/>
      <c r="CB493" s="45"/>
      <c r="CC493" s="45"/>
      <c r="CD493" s="463"/>
      <c r="CE493">
        <v>0</v>
      </c>
      <c r="CF493">
        <v>0</v>
      </c>
      <c r="CG493">
        <v>0</v>
      </c>
      <c r="CH493">
        <v>0</v>
      </c>
      <c r="CI493">
        <v>0</v>
      </c>
      <c r="CJ493">
        <v>0</v>
      </c>
      <c r="CK493">
        <v>0</v>
      </c>
      <c r="CL493">
        <v>0</v>
      </c>
      <c r="CM493">
        <v>0</v>
      </c>
      <c r="CN493">
        <v>0</v>
      </c>
      <c r="CO493">
        <v>0</v>
      </c>
      <c r="CP493">
        <v>0</v>
      </c>
      <c r="CQ493">
        <v>0</v>
      </c>
      <c r="CR493">
        <v>0</v>
      </c>
      <c r="CS493">
        <v>0</v>
      </c>
      <c r="CT493">
        <v>0</v>
      </c>
      <c r="CU493">
        <v>0</v>
      </c>
      <c r="CV493">
        <v>0</v>
      </c>
      <c r="CW493">
        <v>0</v>
      </c>
      <c r="CX493">
        <v>0</v>
      </c>
      <c r="CY493">
        <v>0</v>
      </c>
      <c r="CZ493">
        <v>0</v>
      </c>
      <c r="DA493">
        <v>0</v>
      </c>
      <c r="DB493">
        <v>0</v>
      </c>
      <c r="DC493">
        <v>0</v>
      </c>
      <c r="DD493">
        <v>0</v>
      </c>
      <c r="DE493">
        <v>0</v>
      </c>
      <c r="DF493">
        <v>0</v>
      </c>
      <c r="DG493">
        <v>0</v>
      </c>
      <c r="DH493">
        <v>0</v>
      </c>
      <c r="DI493">
        <v>0</v>
      </c>
      <c r="DJ493">
        <v>0</v>
      </c>
      <c r="DK493">
        <v>0</v>
      </c>
      <c r="DL493">
        <v>0</v>
      </c>
      <c r="DM493">
        <v>0</v>
      </c>
      <c r="DN493">
        <v>0</v>
      </c>
      <c r="DO493">
        <v>0</v>
      </c>
      <c r="DP493">
        <v>0</v>
      </c>
      <c r="DQ493">
        <v>0</v>
      </c>
      <c r="DR493">
        <v>0</v>
      </c>
      <c r="DS493">
        <v>0</v>
      </c>
      <c r="DT493">
        <v>0</v>
      </c>
      <c r="DU493">
        <v>0</v>
      </c>
    </row>
    <row r="494" spans="2:125">
      <c r="B494" s="136">
        <v>485</v>
      </c>
      <c r="C494" s="138">
        <v>1</v>
      </c>
      <c r="D494" s="474">
        <v>4047.8208262224307</v>
      </c>
      <c r="E494" s="127">
        <v>278.50945292906511</v>
      </c>
      <c r="F494" s="447">
        <v>0.44272319483577155</v>
      </c>
      <c r="G494" s="127">
        <v>137.21401666420678</v>
      </c>
      <c r="H494" s="132">
        <v>67.651053280949327</v>
      </c>
      <c r="I494" s="456"/>
      <c r="J494" s="45"/>
      <c r="K494" s="45">
        <v>600</v>
      </c>
      <c r="L494" s="463"/>
      <c r="M494" s="456">
        <v>38.333213806152344</v>
      </c>
      <c r="N494" s="457"/>
      <c r="O494" s="456"/>
      <c r="P494" s="46"/>
      <c r="Q494" s="463">
        <v>88.481002807617188</v>
      </c>
      <c r="R494" s="449"/>
      <c r="S494" s="463"/>
      <c r="T494" s="480"/>
      <c r="U494" s="468"/>
      <c r="V494" s="449"/>
      <c r="W494" s="45">
        <v>1983.9456787109375</v>
      </c>
      <c r="X494" s="463">
        <v>161.8834228515625</v>
      </c>
      <c r="Y494" s="449"/>
      <c r="Z494" s="45"/>
      <c r="AA494" s="468">
        <v>0.43435956775094586</v>
      </c>
      <c r="AB494" s="456"/>
      <c r="AC494" s="46"/>
      <c r="AD494" s="46"/>
      <c r="AE494" s="46"/>
      <c r="AF494" s="46"/>
      <c r="AG494" s="46"/>
      <c r="AH494" s="46"/>
      <c r="AI494" s="457"/>
      <c r="AJ494" s="138"/>
      <c r="AK494" s="745"/>
      <c r="AL494" s="54"/>
      <c r="AM494" s="468"/>
      <c r="AN494" s="449"/>
      <c r="AO494" s="45"/>
      <c r="AP494" s="45"/>
      <c r="AQ494" s="45"/>
      <c r="AR494" s="45"/>
      <c r="AS494" s="45"/>
      <c r="AT494" s="45"/>
      <c r="AU494" s="463"/>
      <c r="AV494" s="449"/>
      <c r="AW494" s="45"/>
      <c r="AX494" s="45"/>
      <c r="AY494" s="45"/>
      <c r="AZ494" s="45"/>
      <c r="BA494" s="45"/>
      <c r="BB494" s="45"/>
      <c r="BC494" s="463"/>
      <c r="BD494" s="456"/>
      <c r="BE494" s="46"/>
      <c r="BF494" s="46"/>
      <c r="BG494" s="46"/>
      <c r="BH494" s="46"/>
      <c r="BI494" s="46"/>
      <c r="BJ494" s="457"/>
      <c r="BK494" s="449">
        <v>0</v>
      </c>
      <c r="BL494" s="45"/>
      <c r="BM494" s="45"/>
      <c r="BN494" s="45"/>
      <c r="BO494" s="45"/>
      <c r="BP494" s="45"/>
      <c r="BQ494" s="45"/>
      <c r="BR494" s="45"/>
      <c r="BS494" s="45"/>
      <c r="BT494" s="45"/>
      <c r="BU494" s="45"/>
      <c r="BV494" s="45"/>
      <c r="BW494" s="45"/>
      <c r="BX494" s="45"/>
      <c r="BY494" s="45"/>
      <c r="BZ494" s="45"/>
      <c r="CA494" s="45"/>
      <c r="CB494" s="45"/>
      <c r="CC494" s="45"/>
      <c r="CD494" s="463"/>
      <c r="CE494">
        <v>0</v>
      </c>
      <c r="CF494">
        <v>0</v>
      </c>
      <c r="CG494">
        <v>0</v>
      </c>
      <c r="CH494">
        <v>0</v>
      </c>
      <c r="CI494">
        <v>0</v>
      </c>
      <c r="CJ494">
        <v>0</v>
      </c>
      <c r="CK494">
        <v>0</v>
      </c>
      <c r="CL494">
        <v>0</v>
      </c>
      <c r="CM494">
        <v>0</v>
      </c>
      <c r="CN494">
        <v>0</v>
      </c>
      <c r="CO494">
        <v>0</v>
      </c>
      <c r="CP494">
        <v>0</v>
      </c>
      <c r="CQ494">
        <v>0</v>
      </c>
      <c r="CR494">
        <v>0</v>
      </c>
      <c r="CS494">
        <v>0</v>
      </c>
      <c r="CT494">
        <v>0</v>
      </c>
      <c r="CU494">
        <v>0</v>
      </c>
      <c r="CV494">
        <v>0</v>
      </c>
      <c r="CW494">
        <v>0</v>
      </c>
      <c r="CX494">
        <v>0</v>
      </c>
      <c r="CY494">
        <v>0</v>
      </c>
      <c r="CZ494">
        <v>0</v>
      </c>
      <c r="DA494">
        <v>0</v>
      </c>
      <c r="DB494">
        <v>0</v>
      </c>
      <c r="DC494">
        <v>0</v>
      </c>
      <c r="DD494">
        <v>0</v>
      </c>
      <c r="DE494">
        <v>0</v>
      </c>
      <c r="DF494">
        <v>0</v>
      </c>
      <c r="DG494">
        <v>0</v>
      </c>
      <c r="DH494">
        <v>0</v>
      </c>
      <c r="DI494">
        <v>0</v>
      </c>
      <c r="DJ494">
        <v>0</v>
      </c>
      <c r="DK494">
        <v>0</v>
      </c>
      <c r="DL494">
        <v>0</v>
      </c>
      <c r="DM494">
        <v>0</v>
      </c>
      <c r="DN494">
        <v>0</v>
      </c>
      <c r="DO494">
        <v>0</v>
      </c>
      <c r="DP494">
        <v>0</v>
      </c>
      <c r="DQ494">
        <v>0</v>
      </c>
      <c r="DR494">
        <v>0</v>
      </c>
      <c r="DS494">
        <v>0</v>
      </c>
      <c r="DT494">
        <v>0</v>
      </c>
      <c r="DU494">
        <v>0</v>
      </c>
    </row>
    <row r="495" spans="2:125">
      <c r="B495" s="136">
        <v>486</v>
      </c>
      <c r="C495" s="138">
        <v>1</v>
      </c>
      <c r="D495" s="474">
        <v>2617.5335080522136</v>
      </c>
      <c r="E495" s="127">
        <v>212.97661787041605</v>
      </c>
      <c r="F495" s="447">
        <v>0.36143513854040954</v>
      </c>
      <c r="G495" s="127">
        <v>84.513677846233662</v>
      </c>
      <c r="H495" s="132">
        <v>50.61631970120041</v>
      </c>
      <c r="I495" s="456"/>
      <c r="J495" s="45"/>
      <c r="K495" s="45">
        <v>360</v>
      </c>
      <c r="L495" s="463"/>
      <c r="M495" s="456">
        <v>27.000234603881836</v>
      </c>
      <c r="N495" s="457"/>
      <c r="O495" s="456"/>
      <c r="P495" s="46"/>
      <c r="Q495" s="463">
        <v>51.827167510986328</v>
      </c>
      <c r="R495" s="449"/>
      <c r="S495" s="463"/>
      <c r="T495" s="480"/>
      <c r="U495" s="468"/>
      <c r="V495" s="449"/>
      <c r="W495" s="45">
        <v>984.36956787109375</v>
      </c>
      <c r="X495" s="463">
        <v>88.167335510253906</v>
      </c>
      <c r="Y495" s="449"/>
      <c r="Z495" s="45"/>
      <c r="AA495" s="468">
        <v>0.34912251573284497</v>
      </c>
      <c r="AB495" s="456"/>
      <c r="AC495" s="46"/>
      <c r="AD495" s="46"/>
      <c r="AE495" s="46"/>
      <c r="AF495" s="46"/>
      <c r="AG495" s="46"/>
      <c r="AH495" s="46"/>
      <c r="AI495" s="457"/>
      <c r="AJ495" s="138"/>
      <c r="AK495" s="745"/>
      <c r="AL495" s="54"/>
      <c r="AM495" s="468"/>
      <c r="AN495" s="449"/>
      <c r="AO495" s="45"/>
      <c r="AP495" s="45"/>
      <c r="AQ495" s="45"/>
      <c r="AR495" s="45"/>
      <c r="AS495" s="45"/>
      <c r="AT495" s="45"/>
      <c r="AU495" s="463"/>
      <c r="AV495" s="449"/>
      <c r="AW495" s="45"/>
      <c r="AX495" s="45"/>
      <c r="AY495" s="45"/>
      <c r="AZ495" s="45"/>
      <c r="BA495" s="45"/>
      <c r="BB495" s="45"/>
      <c r="BC495" s="463"/>
      <c r="BD495" s="456"/>
      <c r="BE495" s="46"/>
      <c r="BF495" s="46"/>
      <c r="BG495" s="46"/>
      <c r="BH495" s="46"/>
      <c r="BI495" s="46"/>
      <c r="BJ495" s="457"/>
      <c r="BK495" s="449">
        <v>0</v>
      </c>
      <c r="BL495" s="45"/>
      <c r="BM495" s="45"/>
      <c r="BN495" s="45"/>
      <c r="BO495" s="45"/>
      <c r="BP495" s="45"/>
      <c r="BQ495" s="45"/>
      <c r="BR495" s="45"/>
      <c r="BS495" s="45"/>
      <c r="BT495" s="45"/>
      <c r="BU495" s="45"/>
      <c r="BV495" s="45"/>
      <c r="BW495" s="45"/>
      <c r="BX495" s="45"/>
      <c r="BY495" s="45"/>
      <c r="BZ495" s="45"/>
      <c r="CA495" s="45"/>
      <c r="CB495" s="45"/>
      <c r="CC495" s="45"/>
      <c r="CD495" s="463"/>
      <c r="CE495">
        <v>0</v>
      </c>
      <c r="CF495">
        <v>0</v>
      </c>
      <c r="CG495">
        <v>0</v>
      </c>
      <c r="CH495">
        <v>0</v>
      </c>
      <c r="CI495">
        <v>0</v>
      </c>
      <c r="CJ495">
        <v>0</v>
      </c>
      <c r="CK495">
        <v>0</v>
      </c>
      <c r="CL495">
        <v>0</v>
      </c>
      <c r="CM495">
        <v>0</v>
      </c>
      <c r="CN495">
        <v>0</v>
      </c>
      <c r="CO495">
        <v>0</v>
      </c>
      <c r="CP495">
        <v>0</v>
      </c>
      <c r="CQ495">
        <v>0</v>
      </c>
      <c r="CR495">
        <v>0</v>
      </c>
      <c r="CS495">
        <v>0</v>
      </c>
      <c r="CT495">
        <v>0</v>
      </c>
      <c r="CU495">
        <v>0</v>
      </c>
      <c r="CV495">
        <v>0</v>
      </c>
      <c r="CW495">
        <v>0</v>
      </c>
      <c r="CX495">
        <v>0</v>
      </c>
      <c r="CY495">
        <v>0</v>
      </c>
      <c r="CZ495">
        <v>0</v>
      </c>
      <c r="DA495">
        <v>0</v>
      </c>
      <c r="DB495">
        <v>0</v>
      </c>
      <c r="DC495">
        <v>0</v>
      </c>
      <c r="DD495">
        <v>0</v>
      </c>
      <c r="DE495">
        <v>0</v>
      </c>
      <c r="DF495">
        <v>0</v>
      </c>
      <c r="DG495">
        <v>0</v>
      </c>
      <c r="DH495">
        <v>0</v>
      </c>
      <c r="DI495">
        <v>0</v>
      </c>
      <c r="DJ495">
        <v>0</v>
      </c>
      <c r="DK495">
        <v>0</v>
      </c>
      <c r="DL495">
        <v>0</v>
      </c>
      <c r="DM495">
        <v>0</v>
      </c>
      <c r="DN495">
        <v>0</v>
      </c>
      <c r="DO495">
        <v>0</v>
      </c>
      <c r="DP495">
        <v>0</v>
      </c>
      <c r="DQ495">
        <v>0</v>
      </c>
      <c r="DR495">
        <v>0</v>
      </c>
      <c r="DS495">
        <v>0</v>
      </c>
      <c r="DT495">
        <v>0</v>
      </c>
      <c r="DU495">
        <v>0</v>
      </c>
    </row>
    <row r="496" spans="2:125">
      <c r="B496" s="136">
        <v>487</v>
      </c>
      <c r="C496" s="138">
        <v>1</v>
      </c>
      <c r="D496" s="474">
        <v>2666.4083475034304</v>
      </c>
      <c r="E496" s="127">
        <v>238.01583330596944</v>
      </c>
      <c r="F496" s="447">
        <v>0.40174021943250582</v>
      </c>
      <c r="G496" s="127">
        <v>90.902949401779793</v>
      </c>
      <c r="H496" s="132">
        <v>49.636424232260758</v>
      </c>
      <c r="I496" s="456"/>
      <c r="J496" s="45"/>
      <c r="K496" s="45">
        <v>380</v>
      </c>
      <c r="L496" s="463"/>
      <c r="M496" s="456">
        <v>31.106803894042969</v>
      </c>
      <c r="N496" s="457"/>
      <c r="O496" s="456"/>
      <c r="P496" s="46"/>
      <c r="Q496" s="463">
        <v>52.794887542724609</v>
      </c>
      <c r="R496" s="449"/>
      <c r="S496" s="463"/>
      <c r="T496" s="480"/>
      <c r="U496" s="468"/>
      <c r="V496" s="449"/>
      <c r="W496" s="45">
        <v>1157.684814453125</v>
      </c>
      <c r="X496" s="463">
        <v>100.86387634277344</v>
      </c>
      <c r="Y496" s="449"/>
      <c r="Z496" s="45"/>
      <c r="AA496" s="468">
        <v>0.38935096764382882</v>
      </c>
      <c r="AB496" s="456"/>
      <c r="AC496" s="46"/>
      <c r="AD496" s="46"/>
      <c r="AE496" s="46"/>
      <c r="AF496" s="46"/>
      <c r="AG496" s="46"/>
      <c r="AH496" s="46"/>
      <c r="AI496" s="457"/>
      <c r="AJ496" s="138"/>
      <c r="AK496" s="745"/>
      <c r="AL496" s="54"/>
      <c r="AM496" s="468"/>
      <c r="AN496" s="449"/>
      <c r="AO496" s="45"/>
      <c r="AP496" s="45"/>
      <c r="AQ496" s="45"/>
      <c r="AR496" s="45"/>
      <c r="AS496" s="45"/>
      <c r="AT496" s="45"/>
      <c r="AU496" s="463"/>
      <c r="AV496" s="449"/>
      <c r="AW496" s="45"/>
      <c r="AX496" s="45"/>
      <c r="AY496" s="45"/>
      <c r="AZ496" s="45"/>
      <c r="BA496" s="45"/>
      <c r="BB496" s="45"/>
      <c r="BC496" s="463"/>
      <c r="BD496" s="456"/>
      <c r="BE496" s="46"/>
      <c r="BF496" s="46"/>
      <c r="BG496" s="46"/>
      <c r="BH496" s="46"/>
      <c r="BI496" s="46"/>
      <c r="BJ496" s="457"/>
      <c r="BK496" s="449">
        <v>0</v>
      </c>
      <c r="BL496" s="45"/>
      <c r="BM496" s="45"/>
      <c r="BN496" s="45"/>
      <c r="BO496" s="45"/>
      <c r="BP496" s="45"/>
      <c r="BQ496" s="45"/>
      <c r="BR496" s="45"/>
      <c r="BS496" s="45"/>
      <c r="BT496" s="45"/>
      <c r="BU496" s="45"/>
      <c r="BV496" s="45"/>
      <c r="BW496" s="45"/>
      <c r="BX496" s="45"/>
      <c r="BY496" s="45"/>
      <c r="BZ496" s="45"/>
      <c r="CA496" s="45"/>
      <c r="CB496" s="45"/>
      <c r="CC496" s="45"/>
      <c r="CD496" s="463"/>
      <c r="CE496">
        <v>0</v>
      </c>
      <c r="CF496">
        <v>0</v>
      </c>
      <c r="CG496">
        <v>0</v>
      </c>
      <c r="CH496">
        <v>0</v>
      </c>
      <c r="CI496">
        <v>0</v>
      </c>
      <c r="CJ496">
        <v>0</v>
      </c>
      <c r="CK496">
        <v>0</v>
      </c>
      <c r="CL496">
        <v>0</v>
      </c>
      <c r="CM496">
        <v>0</v>
      </c>
      <c r="CN496">
        <v>0</v>
      </c>
      <c r="CO496">
        <v>0</v>
      </c>
      <c r="CP496">
        <v>0</v>
      </c>
      <c r="CQ496">
        <v>0</v>
      </c>
      <c r="CR496">
        <v>0</v>
      </c>
      <c r="CS496">
        <v>0</v>
      </c>
      <c r="CT496">
        <v>0</v>
      </c>
      <c r="CU496">
        <v>0</v>
      </c>
      <c r="CV496">
        <v>0</v>
      </c>
      <c r="CW496">
        <v>0</v>
      </c>
      <c r="CX496">
        <v>0</v>
      </c>
      <c r="CY496">
        <v>0</v>
      </c>
      <c r="CZ496">
        <v>0</v>
      </c>
      <c r="DA496">
        <v>0</v>
      </c>
      <c r="DB496">
        <v>0</v>
      </c>
      <c r="DC496">
        <v>0</v>
      </c>
      <c r="DD496">
        <v>0</v>
      </c>
      <c r="DE496">
        <v>0</v>
      </c>
      <c r="DF496">
        <v>0</v>
      </c>
      <c r="DG496">
        <v>0</v>
      </c>
      <c r="DH496">
        <v>0</v>
      </c>
      <c r="DI496">
        <v>0</v>
      </c>
      <c r="DJ496">
        <v>0</v>
      </c>
      <c r="DK496">
        <v>0</v>
      </c>
      <c r="DL496">
        <v>0</v>
      </c>
      <c r="DM496">
        <v>0</v>
      </c>
      <c r="DN496">
        <v>0</v>
      </c>
      <c r="DO496">
        <v>0</v>
      </c>
      <c r="DP496">
        <v>0</v>
      </c>
      <c r="DQ496">
        <v>0</v>
      </c>
      <c r="DR496">
        <v>0</v>
      </c>
      <c r="DS496">
        <v>0</v>
      </c>
      <c r="DT496">
        <v>0</v>
      </c>
      <c r="DU496">
        <v>0</v>
      </c>
    </row>
    <row r="497" spans="2:125">
      <c r="B497" s="136">
        <v>488</v>
      </c>
      <c r="C497" s="138">
        <v>1</v>
      </c>
      <c r="D497" s="474">
        <v>2817.0923862146028</v>
      </c>
      <c r="E497" s="127">
        <v>196.87659565970949</v>
      </c>
      <c r="F497" s="447">
        <v>0.38365522851448458</v>
      </c>
      <c r="G497" s="127">
        <v>111.29023425563439</v>
      </c>
      <c r="H497" s="132">
        <v>46.080326057539082</v>
      </c>
      <c r="I497" s="456"/>
      <c r="J497" s="45"/>
      <c r="K497" s="45">
        <v>430</v>
      </c>
      <c r="L497" s="463"/>
      <c r="M497" s="456">
        <v>31.40040397644043</v>
      </c>
      <c r="N497" s="457"/>
      <c r="O497" s="456"/>
      <c r="P497" s="46"/>
      <c r="Q497" s="463">
        <v>55.778434753417969</v>
      </c>
      <c r="R497" s="449"/>
      <c r="S497" s="463"/>
      <c r="T497" s="480"/>
      <c r="U497" s="468"/>
      <c r="V497" s="449"/>
      <c r="W497" s="45">
        <v>1224.9757080078125</v>
      </c>
      <c r="X497" s="463">
        <v>105.97245788574219</v>
      </c>
      <c r="Y497" s="449"/>
      <c r="Z497" s="45"/>
      <c r="AA497" s="468">
        <v>0.37205706271410999</v>
      </c>
      <c r="AB497" s="456"/>
      <c r="AC497" s="46"/>
      <c r="AD497" s="46"/>
      <c r="AE497" s="46"/>
      <c r="AF497" s="46"/>
      <c r="AG497" s="46"/>
      <c r="AH497" s="46"/>
      <c r="AI497" s="457"/>
      <c r="AJ497" s="138"/>
      <c r="AK497" s="745"/>
      <c r="AL497" s="54"/>
      <c r="AM497" s="468"/>
      <c r="AN497" s="449"/>
      <c r="AO497" s="45"/>
      <c r="AP497" s="45"/>
      <c r="AQ497" s="45"/>
      <c r="AR497" s="45"/>
      <c r="AS497" s="45"/>
      <c r="AT497" s="45"/>
      <c r="AU497" s="463"/>
      <c r="AV497" s="449"/>
      <c r="AW497" s="45"/>
      <c r="AX497" s="45"/>
      <c r="AY497" s="45"/>
      <c r="AZ497" s="45"/>
      <c r="BA497" s="45"/>
      <c r="BB497" s="45"/>
      <c r="BC497" s="463"/>
      <c r="BD497" s="456"/>
      <c r="BE497" s="46"/>
      <c r="BF497" s="46"/>
      <c r="BG497" s="46"/>
      <c r="BH497" s="46"/>
      <c r="BI497" s="46"/>
      <c r="BJ497" s="457"/>
      <c r="BK497" s="449">
        <v>0</v>
      </c>
      <c r="BL497" s="45"/>
      <c r="BM497" s="45"/>
      <c r="BN497" s="45"/>
      <c r="BO497" s="45"/>
      <c r="BP497" s="45"/>
      <c r="BQ497" s="45"/>
      <c r="BR497" s="45"/>
      <c r="BS497" s="45"/>
      <c r="BT497" s="45"/>
      <c r="BU497" s="45"/>
      <c r="BV497" s="45"/>
      <c r="BW497" s="45"/>
      <c r="BX497" s="45"/>
      <c r="BY497" s="45"/>
      <c r="BZ497" s="45"/>
      <c r="CA497" s="45"/>
      <c r="CB497" s="45"/>
      <c r="CC497" s="45"/>
      <c r="CD497" s="463"/>
      <c r="CE497">
        <v>0</v>
      </c>
      <c r="CF497">
        <v>0</v>
      </c>
      <c r="CG497">
        <v>0</v>
      </c>
      <c r="CH497">
        <v>0</v>
      </c>
      <c r="CI497">
        <v>0</v>
      </c>
      <c r="CJ497">
        <v>0</v>
      </c>
      <c r="CK497">
        <v>0</v>
      </c>
      <c r="CL497">
        <v>0</v>
      </c>
      <c r="CM497">
        <v>0</v>
      </c>
      <c r="CN497">
        <v>0</v>
      </c>
      <c r="CO497">
        <v>0</v>
      </c>
      <c r="CP497">
        <v>0</v>
      </c>
      <c r="CQ497">
        <v>0</v>
      </c>
      <c r="CR497">
        <v>0</v>
      </c>
      <c r="CS497">
        <v>0</v>
      </c>
      <c r="CT497">
        <v>0</v>
      </c>
      <c r="CU497">
        <v>0</v>
      </c>
      <c r="CV497">
        <v>0</v>
      </c>
      <c r="CW497">
        <v>0</v>
      </c>
      <c r="CX497">
        <v>0</v>
      </c>
      <c r="CY497">
        <v>0</v>
      </c>
      <c r="CZ497">
        <v>0</v>
      </c>
      <c r="DA497">
        <v>0</v>
      </c>
      <c r="DB497">
        <v>0</v>
      </c>
      <c r="DC497">
        <v>0</v>
      </c>
      <c r="DD497">
        <v>0</v>
      </c>
      <c r="DE497">
        <v>0</v>
      </c>
      <c r="DF497">
        <v>0</v>
      </c>
      <c r="DG497">
        <v>0</v>
      </c>
      <c r="DH497">
        <v>0</v>
      </c>
      <c r="DI497">
        <v>0</v>
      </c>
      <c r="DJ497">
        <v>0</v>
      </c>
      <c r="DK497">
        <v>0</v>
      </c>
      <c r="DL497">
        <v>0</v>
      </c>
      <c r="DM497">
        <v>0</v>
      </c>
      <c r="DN497">
        <v>0</v>
      </c>
      <c r="DO497">
        <v>0</v>
      </c>
      <c r="DP497">
        <v>0</v>
      </c>
      <c r="DQ497">
        <v>0</v>
      </c>
      <c r="DR497">
        <v>0</v>
      </c>
      <c r="DS497">
        <v>0</v>
      </c>
      <c r="DT497">
        <v>0</v>
      </c>
      <c r="DU497">
        <v>0</v>
      </c>
    </row>
    <row r="498" spans="2:125">
      <c r="B498" s="136">
        <v>489</v>
      </c>
      <c r="C498" s="138">
        <v>1</v>
      </c>
      <c r="D498" s="474">
        <v>3615.5952435958998</v>
      </c>
      <c r="E498" s="127">
        <v>192.61915193186786</v>
      </c>
      <c r="F498" s="447">
        <v>0.41784414303128542</v>
      </c>
      <c r="G498" s="127">
        <v>117.70984726024744</v>
      </c>
      <c r="H498" s="132">
        <v>59.914238159496186</v>
      </c>
      <c r="I498" s="456"/>
      <c r="J498" s="45"/>
      <c r="K498" s="45">
        <v>500</v>
      </c>
      <c r="L498" s="463"/>
      <c r="M498" s="456">
        <v>33.557952880859375</v>
      </c>
      <c r="N498" s="457"/>
      <c r="O498" s="456"/>
      <c r="P498" s="46"/>
      <c r="Q498" s="463">
        <v>71.588783264160156</v>
      </c>
      <c r="R498" s="449"/>
      <c r="S498" s="463"/>
      <c r="T498" s="480"/>
      <c r="U498" s="468"/>
      <c r="V498" s="449"/>
      <c r="W498" s="45">
        <v>1546.312255859375</v>
      </c>
      <c r="X498" s="463">
        <v>129.639404296875</v>
      </c>
      <c r="Y498" s="449"/>
      <c r="Z498" s="45"/>
      <c r="AA498" s="468">
        <v>0.40861830866287568</v>
      </c>
      <c r="AB498" s="456"/>
      <c r="AC498" s="46"/>
      <c r="AD498" s="46"/>
      <c r="AE498" s="46"/>
      <c r="AF498" s="46"/>
      <c r="AG498" s="46"/>
      <c r="AH498" s="46"/>
      <c r="AI498" s="457"/>
      <c r="AJ498" s="138"/>
      <c r="AK498" s="745"/>
      <c r="AL498" s="54"/>
      <c r="AM498" s="468"/>
      <c r="AN498" s="449"/>
      <c r="AO498" s="45"/>
      <c r="AP498" s="45"/>
      <c r="AQ498" s="45"/>
      <c r="AR498" s="45"/>
      <c r="AS498" s="45"/>
      <c r="AT498" s="45"/>
      <c r="AU498" s="463"/>
      <c r="AV498" s="449"/>
      <c r="AW498" s="45"/>
      <c r="AX498" s="45"/>
      <c r="AY498" s="45"/>
      <c r="AZ498" s="45"/>
      <c r="BA498" s="45"/>
      <c r="BB498" s="45"/>
      <c r="BC498" s="463"/>
      <c r="BD498" s="456"/>
      <c r="BE498" s="46"/>
      <c r="BF498" s="46"/>
      <c r="BG498" s="46"/>
      <c r="BH498" s="46"/>
      <c r="BI498" s="46"/>
      <c r="BJ498" s="457"/>
      <c r="BK498" s="449">
        <v>0</v>
      </c>
      <c r="BL498" s="45"/>
      <c r="BM498" s="45"/>
      <c r="BN498" s="45"/>
      <c r="BO498" s="45"/>
      <c r="BP498" s="45"/>
      <c r="BQ498" s="45"/>
      <c r="BR498" s="45"/>
      <c r="BS498" s="45"/>
      <c r="BT498" s="45"/>
      <c r="BU498" s="45"/>
      <c r="BV498" s="45"/>
      <c r="BW498" s="45"/>
      <c r="BX498" s="45"/>
      <c r="BY498" s="45"/>
      <c r="BZ498" s="45"/>
      <c r="CA498" s="45"/>
      <c r="CB498" s="45"/>
      <c r="CC498" s="45"/>
      <c r="CD498" s="463"/>
      <c r="CE498">
        <v>0</v>
      </c>
      <c r="CF498">
        <v>0</v>
      </c>
      <c r="CG498">
        <v>0</v>
      </c>
      <c r="CH498">
        <v>0</v>
      </c>
      <c r="CI498">
        <v>0</v>
      </c>
      <c r="CJ498">
        <v>0</v>
      </c>
      <c r="CK498">
        <v>0</v>
      </c>
      <c r="CL498">
        <v>0</v>
      </c>
      <c r="CM498">
        <v>0</v>
      </c>
      <c r="CN498">
        <v>0</v>
      </c>
      <c r="CO498">
        <v>0</v>
      </c>
      <c r="CP498">
        <v>0</v>
      </c>
      <c r="CQ498">
        <v>0</v>
      </c>
      <c r="CR498">
        <v>0</v>
      </c>
      <c r="CS498">
        <v>0</v>
      </c>
      <c r="CT498">
        <v>0</v>
      </c>
      <c r="CU498">
        <v>0</v>
      </c>
      <c r="CV498">
        <v>0</v>
      </c>
      <c r="CW498">
        <v>0</v>
      </c>
      <c r="CX498">
        <v>0</v>
      </c>
      <c r="CY498">
        <v>0</v>
      </c>
      <c r="CZ498">
        <v>0</v>
      </c>
      <c r="DA498">
        <v>0</v>
      </c>
      <c r="DB498">
        <v>0</v>
      </c>
      <c r="DC498">
        <v>0</v>
      </c>
      <c r="DD498">
        <v>0</v>
      </c>
      <c r="DE498">
        <v>0</v>
      </c>
      <c r="DF498">
        <v>0</v>
      </c>
      <c r="DG498">
        <v>0</v>
      </c>
      <c r="DH498">
        <v>0</v>
      </c>
      <c r="DI498">
        <v>0</v>
      </c>
      <c r="DJ498">
        <v>0</v>
      </c>
      <c r="DK498">
        <v>0</v>
      </c>
      <c r="DL498">
        <v>0</v>
      </c>
      <c r="DM498">
        <v>0</v>
      </c>
      <c r="DN498">
        <v>0</v>
      </c>
      <c r="DO498">
        <v>0</v>
      </c>
      <c r="DP498">
        <v>0</v>
      </c>
      <c r="DQ498">
        <v>0</v>
      </c>
      <c r="DR498">
        <v>0</v>
      </c>
      <c r="DS498">
        <v>0</v>
      </c>
      <c r="DT498">
        <v>0</v>
      </c>
      <c r="DU498">
        <v>0</v>
      </c>
    </row>
    <row r="499" spans="2:125">
      <c r="B499" s="136">
        <v>490</v>
      </c>
      <c r="C499" s="138">
        <v>1</v>
      </c>
      <c r="D499" s="474">
        <v>3807.987534798458</v>
      </c>
      <c r="E499" s="127">
        <v>245.44677595911853</v>
      </c>
      <c r="F499" s="447">
        <v>0.45996342228843623</v>
      </c>
      <c r="G499" s="127">
        <v>144.43716416607995</v>
      </c>
      <c r="H499" s="132">
        <v>56.688131240952522</v>
      </c>
      <c r="I499" s="456"/>
      <c r="J499" s="45"/>
      <c r="K499" s="45">
        <v>580</v>
      </c>
      <c r="L499" s="463"/>
      <c r="M499" s="456">
        <v>44.386795043945313</v>
      </c>
      <c r="N499" s="457"/>
      <c r="O499" s="456"/>
      <c r="P499" s="46"/>
      <c r="Q499" s="463">
        <v>75.398155212402344</v>
      </c>
      <c r="R499" s="449"/>
      <c r="S499" s="463"/>
      <c r="T499" s="480"/>
      <c r="U499" s="468"/>
      <c r="V499" s="449"/>
      <c r="W499" s="45">
        <v>2078.906494140625</v>
      </c>
      <c r="X499" s="463">
        <v>168.69207763671875</v>
      </c>
      <c r="Y499" s="449"/>
      <c r="Z499" s="45"/>
      <c r="AA499" s="468">
        <v>0.45098249256289324</v>
      </c>
      <c r="AB499" s="456"/>
      <c r="AC499" s="46"/>
      <c r="AD499" s="46"/>
      <c r="AE499" s="46"/>
      <c r="AF499" s="46"/>
      <c r="AG499" s="46"/>
      <c r="AH499" s="46"/>
      <c r="AI499" s="457"/>
      <c r="AJ499" s="138"/>
      <c r="AK499" s="745"/>
      <c r="AL499" s="54"/>
      <c r="AM499" s="468"/>
      <c r="AN499" s="449"/>
      <c r="AO499" s="45"/>
      <c r="AP499" s="45"/>
      <c r="AQ499" s="45"/>
      <c r="AR499" s="45"/>
      <c r="AS499" s="45"/>
      <c r="AT499" s="45"/>
      <c r="AU499" s="463"/>
      <c r="AV499" s="449"/>
      <c r="AW499" s="45"/>
      <c r="AX499" s="45"/>
      <c r="AY499" s="45"/>
      <c r="AZ499" s="45"/>
      <c r="BA499" s="45"/>
      <c r="BB499" s="45"/>
      <c r="BC499" s="463"/>
      <c r="BD499" s="456"/>
      <c r="BE499" s="46"/>
      <c r="BF499" s="46"/>
      <c r="BG499" s="46"/>
      <c r="BH499" s="46"/>
      <c r="BI499" s="46"/>
      <c r="BJ499" s="457"/>
      <c r="BK499" s="449">
        <v>0</v>
      </c>
      <c r="BL499" s="45"/>
      <c r="BM499" s="45"/>
      <c r="BN499" s="45"/>
      <c r="BO499" s="45"/>
      <c r="BP499" s="45"/>
      <c r="BQ499" s="45"/>
      <c r="BR499" s="45"/>
      <c r="BS499" s="45"/>
      <c r="BT499" s="45"/>
      <c r="BU499" s="45"/>
      <c r="BV499" s="45"/>
      <c r="BW499" s="45"/>
      <c r="BX499" s="45"/>
      <c r="BY499" s="45"/>
      <c r="BZ499" s="45"/>
      <c r="CA499" s="45"/>
      <c r="CB499" s="45"/>
      <c r="CC499" s="45"/>
      <c r="CD499" s="463"/>
      <c r="CE499">
        <v>0</v>
      </c>
      <c r="CF499">
        <v>0</v>
      </c>
      <c r="CG499">
        <v>0</v>
      </c>
      <c r="CH499">
        <v>0</v>
      </c>
      <c r="CI499">
        <v>0</v>
      </c>
      <c r="CJ499">
        <v>0</v>
      </c>
      <c r="CK499">
        <v>0</v>
      </c>
      <c r="CL499">
        <v>0</v>
      </c>
      <c r="CM499">
        <v>0</v>
      </c>
      <c r="CN499">
        <v>0</v>
      </c>
      <c r="CO499">
        <v>0</v>
      </c>
      <c r="CP499">
        <v>0</v>
      </c>
      <c r="CQ499">
        <v>0</v>
      </c>
      <c r="CR499">
        <v>0</v>
      </c>
      <c r="CS499">
        <v>0</v>
      </c>
      <c r="CT499">
        <v>0</v>
      </c>
      <c r="CU499">
        <v>0</v>
      </c>
      <c r="CV499">
        <v>0</v>
      </c>
      <c r="CW499">
        <v>0</v>
      </c>
      <c r="CX499">
        <v>0</v>
      </c>
      <c r="CY499">
        <v>0</v>
      </c>
      <c r="CZ499">
        <v>0</v>
      </c>
      <c r="DA499">
        <v>0</v>
      </c>
      <c r="DB499">
        <v>0</v>
      </c>
      <c r="DC499">
        <v>0</v>
      </c>
      <c r="DD499">
        <v>0</v>
      </c>
      <c r="DE499">
        <v>0</v>
      </c>
      <c r="DF499">
        <v>0</v>
      </c>
      <c r="DG499">
        <v>0</v>
      </c>
      <c r="DH499">
        <v>0</v>
      </c>
      <c r="DI499">
        <v>0</v>
      </c>
      <c r="DJ499">
        <v>0</v>
      </c>
      <c r="DK499">
        <v>0</v>
      </c>
      <c r="DL499">
        <v>0</v>
      </c>
      <c r="DM499">
        <v>0</v>
      </c>
      <c r="DN499">
        <v>0</v>
      </c>
      <c r="DO499">
        <v>0</v>
      </c>
      <c r="DP499">
        <v>0</v>
      </c>
      <c r="DQ499">
        <v>0</v>
      </c>
      <c r="DR499">
        <v>0</v>
      </c>
      <c r="DS499">
        <v>0</v>
      </c>
      <c r="DT499">
        <v>0</v>
      </c>
      <c r="DU499">
        <v>0</v>
      </c>
    </row>
    <row r="500" spans="2:125">
      <c r="B500" s="136">
        <v>491</v>
      </c>
      <c r="C500" s="138">
        <v>1</v>
      </c>
      <c r="D500" s="474">
        <v>4310.2362354797779</v>
      </c>
      <c r="E500" s="127">
        <v>190.89258961459336</v>
      </c>
      <c r="F500" s="447">
        <v>0.48490321409172554</v>
      </c>
      <c r="G500" s="127">
        <v>152.84177929130942</v>
      </c>
      <c r="H500" s="132">
        <v>62.598814746085615</v>
      </c>
      <c r="I500" s="456"/>
      <c r="J500" s="45"/>
      <c r="K500" s="45">
        <v>630</v>
      </c>
      <c r="L500" s="463"/>
      <c r="M500" s="456">
        <v>50.667610168457031</v>
      </c>
      <c r="N500" s="457"/>
      <c r="O500" s="456"/>
      <c r="P500" s="46"/>
      <c r="Q500" s="463">
        <v>85.342681884765625</v>
      </c>
      <c r="R500" s="449"/>
      <c r="S500" s="463"/>
      <c r="T500" s="480"/>
      <c r="U500" s="468"/>
      <c r="V500" s="449"/>
      <c r="W500" s="45">
        <v>2522.9150390625</v>
      </c>
      <c r="X500" s="463">
        <v>201.21504211425781</v>
      </c>
      <c r="Y500" s="449"/>
      <c r="Z500" s="45"/>
      <c r="AA500" s="468">
        <v>0.47685306036784919</v>
      </c>
      <c r="AB500" s="456"/>
      <c r="AC500" s="46"/>
      <c r="AD500" s="46"/>
      <c r="AE500" s="46"/>
      <c r="AF500" s="46"/>
      <c r="AG500" s="46"/>
      <c r="AH500" s="46"/>
      <c r="AI500" s="457"/>
      <c r="AJ500" s="138"/>
      <c r="AK500" s="745"/>
      <c r="AL500" s="54"/>
      <c r="AM500" s="468"/>
      <c r="AN500" s="449"/>
      <c r="AO500" s="45"/>
      <c r="AP500" s="45"/>
      <c r="AQ500" s="45"/>
      <c r="AR500" s="45"/>
      <c r="AS500" s="45"/>
      <c r="AT500" s="45"/>
      <c r="AU500" s="463"/>
      <c r="AV500" s="449"/>
      <c r="AW500" s="45"/>
      <c r="AX500" s="45"/>
      <c r="AY500" s="45"/>
      <c r="AZ500" s="45"/>
      <c r="BA500" s="45"/>
      <c r="BB500" s="45"/>
      <c r="BC500" s="463"/>
      <c r="BD500" s="456"/>
      <c r="BE500" s="46"/>
      <c r="BF500" s="46"/>
      <c r="BG500" s="46"/>
      <c r="BH500" s="46"/>
      <c r="BI500" s="46"/>
      <c r="BJ500" s="457"/>
      <c r="BK500" s="449">
        <v>0</v>
      </c>
      <c r="BL500" s="45"/>
      <c r="BM500" s="45"/>
      <c r="BN500" s="45"/>
      <c r="BO500" s="45"/>
      <c r="BP500" s="45"/>
      <c r="BQ500" s="45"/>
      <c r="BR500" s="45"/>
      <c r="BS500" s="45"/>
      <c r="BT500" s="45"/>
      <c r="BU500" s="45"/>
      <c r="BV500" s="45"/>
      <c r="BW500" s="45"/>
      <c r="BX500" s="45"/>
      <c r="BY500" s="45"/>
      <c r="BZ500" s="45"/>
      <c r="CA500" s="45"/>
      <c r="CB500" s="45"/>
      <c r="CC500" s="45"/>
      <c r="CD500" s="463"/>
      <c r="CE500">
        <v>0</v>
      </c>
      <c r="CF500">
        <v>0</v>
      </c>
      <c r="CG500">
        <v>0</v>
      </c>
      <c r="CH500">
        <v>0</v>
      </c>
      <c r="CI500">
        <v>0</v>
      </c>
      <c r="CJ500">
        <v>0</v>
      </c>
      <c r="CK500">
        <v>0</v>
      </c>
      <c r="CL500">
        <v>0</v>
      </c>
      <c r="CM500">
        <v>0</v>
      </c>
      <c r="CN500">
        <v>0</v>
      </c>
      <c r="CO500">
        <v>0</v>
      </c>
      <c r="CP500">
        <v>0</v>
      </c>
      <c r="CQ500">
        <v>0</v>
      </c>
      <c r="CR500">
        <v>0</v>
      </c>
      <c r="CS500">
        <v>0</v>
      </c>
      <c r="CT500">
        <v>0</v>
      </c>
      <c r="CU500">
        <v>0</v>
      </c>
      <c r="CV500">
        <v>0</v>
      </c>
      <c r="CW500">
        <v>0</v>
      </c>
      <c r="CX500">
        <v>0</v>
      </c>
      <c r="CY500">
        <v>0</v>
      </c>
      <c r="CZ500">
        <v>0</v>
      </c>
      <c r="DA500">
        <v>0</v>
      </c>
      <c r="DB500">
        <v>0</v>
      </c>
      <c r="DC500">
        <v>0</v>
      </c>
      <c r="DD500">
        <v>0</v>
      </c>
      <c r="DE500">
        <v>0</v>
      </c>
      <c r="DF500">
        <v>0</v>
      </c>
      <c r="DG500">
        <v>0</v>
      </c>
      <c r="DH500">
        <v>0</v>
      </c>
      <c r="DI500">
        <v>0</v>
      </c>
      <c r="DJ500">
        <v>0</v>
      </c>
      <c r="DK500">
        <v>0</v>
      </c>
      <c r="DL500">
        <v>0</v>
      </c>
      <c r="DM500">
        <v>0</v>
      </c>
      <c r="DN500">
        <v>0</v>
      </c>
      <c r="DO500">
        <v>0</v>
      </c>
      <c r="DP500">
        <v>0</v>
      </c>
      <c r="DQ500">
        <v>0</v>
      </c>
      <c r="DR500">
        <v>0</v>
      </c>
      <c r="DS500">
        <v>0</v>
      </c>
      <c r="DT500">
        <v>0</v>
      </c>
      <c r="DU500">
        <v>0</v>
      </c>
    </row>
    <row r="501" spans="2:125">
      <c r="B501" s="136">
        <v>492</v>
      </c>
      <c r="C501" s="138">
        <v>1</v>
      </c>
      <c r="D501" s="474">
        <v>3822.1020230253298</v>
      </c>
      <c r="E501" s="127">
        <v>278.01045614247147</v>
      </c>
      <c r="F501" s="447">
        <v>0.37063824928985162</v>
      </c>
      <c r="G501" s="127">
        <v>131.99625103676843</v>
      </c>
      <c r="H501" s="132">
        <v>65.758058792007205</v>
      </c>
      <c r="I501" s="456"/>
      <c r="J501" s="45"/>
      <c r="K501" s="45">
        <v>560</v>
      </c>
      <c r="L501" s="463"/>
      <c r="M501" s="456">
        <v>28.417507171630859</v>
      </c>
      <c r="N501" s="457"/>
      <c r="O501" s="456"/>
      <c r="P501" s="46"/>
      <c r="Q501" s="463">
        <v>83.964530944824219</v>
      </c>
      <c r="R501" s="449"/>
      <c r="S501" s="463"/>
      <c r="T501" s="480"/>
      <c r="U501" s="468"/>
      <c r="V501" s="449"/>
      <c r="W501" s="45">
        <v>1471.792724609375</v>
      </c>
      <c r="X501" s="463">
        <v>124.47672271728516</v>
      </c>
      <c r="Y501" s="449"/>
      <c r="Z501" s="45"/>
      <c r="AA501" s="468">
        <v>0.36215789874176724</v>
      </c>
      <c r="AB501" s="456"/>
      <c r="AC501" s="46"/>
      <c r="AD501" s="46"/>
      <c r="AE501" s="46"/>
      <c r="AF501" s="46"/>
      <c r="AG501" s="46"/>
      <c r="AH501" s="46"/>
      <c r="AI501" s="457"/>
      <c r="AJ501" s="138"/>
      <c r="AK501" s="745"/>
      <c r="AL501" s="54"/>
      <c r="AM501" s="468"/>
      <c r="AN501" s="449"/>
      <c r="AO501" s="45"/>
      <c r="AP501" s="45"/>
      <c r="AQ501" s="45"/>
      <c r="AR501" s="45"/>
      <c r="AS501" s="45"/>
      <c r="AT501" s="45"/>
      <c r="AU501" s="463"/>
      <c r="AV501" s="449"/>
      <c r="AW501" s="45"/>
      <c r="AX501" s="45"/>
      <c r="AY501" s="45"/>
      <c r="AZ501" s="45"/>
      <c r="BA501" s="45"/>
      <c r="BB501" s="45"/>
      <c r="BC501" s="463"/>
      <c r="BD501" s="456"/>
      <c r="BE501" s="46"/>
      <c r="BF501" s="46"/>
      <c r="BG501" s="46"/>
      <c r="BH501" s="46"/>
      <c r="BI501" s="46"/>
      <c r="BJ501" s="457"/>
      <c r="BK501" s="449">
        <v>0</v>
      </c>
      <c r="BL501" s="45"/>
      <c r="BM501" s="45"/>
      <c r="BN501" s="45"/>
      <c r="BO501" s="45"/>
      <c r="BP501" s="45"/>
      <c r="BQ501" s="45"/>
      <c r="BR501" s="45"/>
      <c r="BS501" s="45"/>
      <c r="BT501" s="45"/>
      <c r="BU501" s="45"/>
      <c r="BV501" s="45"/>
      <c r="BW501" s="45"/>
      <c r="BX501" s="45"/>
      <c r="BY501" s="45"/>
      <c r="BZ501" s="45"/>
      <c r="CA501" s="45"/>
      <c r="CB501" s="45"/>
      <c r="CC501" s="45"/>
      <c r="CD501" s="463"/>
      <c r="CE501">
        <v>0</v>
      </c>
      <c r="CF501">
        <v>0</v>
      </c>
      <c r="CG501">
        <v>0</v>
      </c>
      <c r="CH501">
        <v>0</v>
      </c>
      <c r="CI501">
        <v>0</v>
      </c>
      <c r="CJ501">
        <v>0</v>
      </c>
      <c r="CK501">
        <v>0</v>
      </c>
      <c r="CL501">
        <v>0</v>
      </c>
      <c r="CM501">
        <v>0</v>
      </c>
      <c r="CN501">
        <v>0</v>
      </c>
      <c r="CO501">
        <v>0</v>
      </c>
      <c r="CP501">
        <v>0</v>
      </c>
      <c r="CQ501">
        <v>0</v>
      </c>
      <c r="CR501">
        <v>0</v>
      </c>
      <c r="CS501">
        <v>0</v>
      </c>
      <c r="CT501">
        <v>0</v>
      </c>
      <c r="CU501">
        <v>0</v>
      </c>
      <c r="CV501">
        <v>0</v>
      </c>
      <c r="CW501">
        <v>0</v>
      </c>
      <c r="CX501">
        <v>0</v>
      </c>
      <c r="CY501">
        <v>0</v>
      </c>
      <c r="CZ501">
        <v>0</v>
      </c>
      <c r="DA501">
        <v>0</v>
      </c>
      <c r="DB501">
        <v>0</v>
      </c>
      <c r="DC501">
        <v>0</v>
      </c>
      <c r="DD501">
        <v>0</v>
      </c>
      <c r="DE501">
        <v>0</v>
      </c>
      <c r="DF501">
        <v>0</v>
      </c>
      <c r="DG501">
        <v>0</v>
      </c>
      <c r="DH501">
        <v>0</v>
      </c>
      <c r="DI501">
        <v>0</v>
      </c>
      <c r="DJ501">
        <v>0</v>
      </c>
      <c r="DK501">
        <v>0</v>
      </c>
      <c r="DL501">
        <v>0</v>
      </c>
      <c r="DM501">
        <v>0</v>
      </c>
      <c r="DN501">
        <v>0</v>
      </c>
      <c r="DO501">
        <v>0</v>
      </c>
      <c r="DP501">
        <v>0</v>
      </c>
      <c r="DQ501">
        <v>0</v>
      </c>
      <c r="DR501">
        <v>0</v>
      </c>
      <c r="DS501">
        <v>0</v>
      </c>
      <c r="DT501">
        <v>0</v>
      </c>
      <c r="DU501">
        <v>0</v>
      </c>
    </row>
    <row r="502" spans="2:125">
      <c r="B502" s="136">
        <v>493</v>
      </c>
      <c r="C502" s="138">
        <v>1</v>
      </c>
      <c r="D502" s="474">
        <v>3449.1391310093904</v>
      </c>
      <c r="E502" s="127">
        <v>208.31415607613889</v>
      </c>
      <c r="F502" s="447">
        <v>0.40247783859893022</v>
      </c>
      <c r="G502" s="127">
        <v>135.00792824870436</v>
      </c>
      <c r="H502" s="132">
        <v>59.691523603413536</v>
      </c>
      <c r="I502" s="456"/>
      <c r="J502" s="45"/>
      <c r="K502" s="45">
        <v>550</v>
      </c>
      <c r="L502" s="463"/>
      <c r="M502" s="456">
        <v>33.134880065917969</v>
      </c>
      <c r="N502" s="457"/>
      <c r="O502" s="456"/>
      <c r="P502" s="46"/>
      <c r="Q502" s="463">
        <v>76.304878234863281</v>
      </c>
      <c r="R502" s="449"/>
      <c r="S502" s="463"/>
      <c r="T502" s="480"/>
      <c r="U502" s="468"/>
      <c r="V502" s="449"/>
      <c r="W502" s="45">
        <v>1601.247314453125</v>
      </c>
      <c r="X502" s="463">
        <v>133.84515380859375</v>
      </c>
      <c r="Y502" s="449"/>
      <c r="Z502" s="45"/>
      <c r="AA502" s="468">
        <v>0.39289586596267229</v>
      </c>
      <c r="AB502" s="456"/>
      <c r="AC502" s="46"/>
      <c r="AD502" s="46"/>
      <c r="AE502" s="46"/>
      <c r="AF502" s="46"/>
      <c r="AG502" s="46"/>
      <c r="AH502" s="46"/>
      <c r="AI502" s="457"/>
      <c r="AJ502" s="138"/>
      <c r="AK502" s="745"/>
      <c r="AL502" s="54"/>
      <c r="AM502" s="468"/>
      <c r="AN502" s="449"/>
      <c r="AO502" s="45"/>
      <c r="AP502" s="45"/>
      <c r="AQ502" s="45"/>
      <c r="AR502" s="45"/>
      <c r="AS502" s="45"/>
      <c r="AT502" s="45"/>
      <c r="AU502" s="463"/>
      <c r="AV502" s="449"/>
      <c r="AW502" s="45"/>
      <c r="AX502" s="45"/>
      <c r="AY502" s="45"/>
      <c r="AZ502" s="45"/>
      <c r="BA502" s="45"/>
      <c r="BB502" s="45"/>
      <c r="BC502" s="463"/>
      <c r="BD502" s="456"/>
      <c r="BE502" s="46"/>
      <c r="BF502" s="46"/>
      <c r="BG502" s="46"/>
      <c r="BH502" s="46"/>
      <c r="BI502" s="46"/>
      <c r="BJ502" s="457"/>
      <c r="BK502" s="449">
        <v>0</v>
      </c>
      <c r="BL502" s="45"/>
      <c r="BM502" s="45"/>
      <c r="BN502" s="45"/>
      <c r="BO502" s="45"/>
      <c r="BP502" s="45"/>
      <c r="BQ502" s="45"/>
      <c r="BR502" s="45"/>
      <c r="BS502" s="45"/>
      <c r="BT502" s="45"/>
      <c r="BU502" s="45"/>
      <c r="BV502" s="45"/>
      <c r="BW502" s="45"/>
      <c r="BX502" s="45"/>
      <c r="BY502" s="45"/>
      <c r="BZ502" s="45"/>
      <c r="CA502" s="45"/>
      <c r="CB502" s="45"/>
      <c r="CC502" s="45"/>
      <c r="CD502" s="463"/>
      <c r="CE502">
        <v>0</v>
      </c>
      <c r="CF502">
        <v>0</v>
      </c>
      <c r="CG502">
        <v>0</v>
      </c>
      <c r="CH502">
        <v>0</v>
      </c>
      <c r="CI502">
        <v>0</v>
      </c>
      <c r="CJ502">
        <v>0</v>
      </c>
      <c r="CK502">
        <v>0</v>
      </c>
      <c r="CL502">
        <v>0</v>
      </c>
      <c r="CM502">
        <v>0</v>
      </c>
      <c r="CN502">
        <v>0</v>
      </c>
      <c r="CO502">
        <v>0</v>
      </c>
      <c r="CP502">
        <v>0</v>
      </c>
      <c r="CQ502">
        <v>0</v>
      </c>
      <c r="CR502">
        <v>0</v>
      </c>
      <c r="CS502">
        <v>0</v>
      </c>
      <c r="CT502">
        <v>0</v>
      </c>
      <c r="CU502">
        <v>0</v>
      </c>
      <c r="CV502">
        <v>0</v>
      </c>
      <c r="CW502">
        <v>0</v>
      </c>
      <c r="CX502">
        <v>0</v>
      </c>
      <c r="CY502">
        <v>0</v>
      </c>
      <c r="CZ502">
        <v>0</v>
      </c>
      <c r="DA502">
        <v>0</v>
      </c>
      <c r="DB502">
        <v>0</v>
      </c>
      <c r="DC502">
        <v>0</v>
      </c>
      <c r="DD502">
        <v>0</v>
      </c>
      <c r="DE502">
        <v>0</v>
      </c>
      <c r="DF502">
        <v>0</v>
      </c>
      <c r="DG502">
        <v>0</v>
      </c>
      <c r="DH502">
        <v>0</v>
      </c>
      <c r="DI502">
        <v>0</v>
      </c>
      <c r="DJ502">
        <v>0</v>
      </c>
      <c r="DK502">
        <v>0</v>
      </c>
      <c r="DL502">
        <v>0</v>
      </c>
      <c r="DM502">
        <v>0</v>
      </c>
      <c r="DN502">
        <v>0</v>
      </c>
      <c r="DO502">
        <v>0</v>
      </c>
      <c r="DP502">
        <v>0</v>
      </c>
      <c r="DQ502">
        <v>0</v>
      </c>
      <c r="DR502">
        <v>0</v>
      </c>
      <c r="DS502">
        <v>0</v>
      </c>
      <c r="DT502">
        <v>0</v>
      </c>
      <c r="DU502">
        <v>0</v>
      </c>
    </row>
    <row r="503" spans="2:125">
      <c r="B503" s="136">
        <v>494</v>
      </c>
      <c r="C503" s="138">
        <v>1</v>
      </c>
      <c r="D503" s="474">
        <v>3078.6072604918318</v>
      </c>
      <c r="E503" s="127">
        <v>264.27967519510582</v>
      </c>
      <c r="F503" s="447">
        <v>0.42076991326783608</v>
      </c>
      <c r="G503" s="127">
        <v>103.66256472982789</v>
      </c>
      <c r="H503" s="132">
        <v>54.273558205700319</v>
      </c>
      <c r="I503" s="456"/>
      <c r="J503" s="45"/>
      <c r="K503" s="45">
        <v>440</v>
      </c>
      <c r="L503" s="463"/>
      <c r="M503" s="456">
        <v>33.215839385986328</v>
      </c>
      <c r="N503" s="457"/>
      <c r="O503" s="456"/>
      <c r="P503" s="46"/>
      <c r="Q503" s="463">
        <v>60.956428527832031</v>
      </c>
      <c r="R503" s="449"/>
      <c r="S503" s="463"/>
      <c r="T503" s="480"/>
      <c r="U503" s="468"/>
      <c r="V503" s="449"/>
      <c r="W503" s="45">
        <v>1382.201416015625</v>
      </c>
      <c r="X503" s="463">
        <v>117.42597961425781</v>
      </c>
      <c r="Y503" s="449"/>
      <c r="Z503" s="45"/>
      <c r="AA503" s="468">
        <v>0.40991584990802366</v>
      </c>
      <c r="AB503" s="456"/>
      <c r="AC503" s="46"/>
      <c r="AD503" s="46"/>
      <c r="AE503" s="46"/>
      <c r="AF503" s="46"/>
      <c r="AG503" s="46"/>
      <c r="AH503" s="46"/>
      <c r="AI503" s="457"/>
      <c r="AJ503" s="138"/>
      <c r="AK503" s="745"/>
      <c r="AL503" s="54"/>
      <c r="AM503" s="468"/>
      <c r="AN503" s="449"/>
      <c r="AO503" s="45"/>
      <c r="AP503" s="45"/>
      <c r="AQ503" s="45"/>
      <c r="AR503" s="45"/>
      <c r="AS503" s="45"/>
      <c r="AT503" s="45"/>
      <c r="AU503" s="463"/>
      <c r="AV503" s="449"/>
      <c r="AW503" s="45"/>
      <c r="AX503" s="45"/>
      <c r="AY503" s="45"/>
      <c r="AZ503" s="45"/>
      <c r="BA503" s="45"/>
      <c r="BB503" s="45"/>
      <c r="BC503" s="463"/>
      <c r="BD503" s="456"/>
      <c r="BE503" s="46"/>
      <c r="BF503" s="46"/>
      <c r="BG503" s="46"/>
      <c r="BH503" s="46"/>
      <c r="BI503" s="46"/>
      <c r="BJ503" s="457"/>
      <c r="BK503" s="449">
        <v>0</v>
      </c>
      <c r="BL503" s="45"/>
      <c r="BM503" s="45"/>
      <c r="BN503" s="45"/>
      <c r="BO503" s="45"/>
      <c r="BP503" s="45"/>
      <c r="BQ503" s="45"/>
      <c r="BR503" s="45"/>
      <c r="BS503" s="45"/>
      <c r="BT503" s="45"/>
      <c r="BU503" s="45"/>
      <c r="BV503" s="45"/>
      <c r="BW503" s="45"/>
      <c r="BX503" s="45"/>
      <c r="BY503" s="45"/>
      <c r="BZ503" s="45"/>
      <c r="CA503" s="45"/>
      <c r="CB503" s="45"/>
      <c r="CC503" s="45"/>
      <c r="CD503" s="463"/>
      <c r="CE503">
        <v>0</v>
      </c>
      <c r="CF503">
        <v>0</v>
      </c>
      <c r="CG503">
        <v>0</v>
      </c>
      <c r="CH503">
        <v>0</v>
      </c>
      <c r="CI503">
        <v>0</v>
      </c>
      <c r="CJ503">
        <v>0</v>
      </c>
      <c r="CK503">
        <v>0</v>
      </c>
      <c r="CL503">
        <v>0</v>
      </c>
      <c r="CM503">
        <v>0</v>
      </c>
      <c r="CN503">
        <v>0</v>
      </c>
      <c r="CO503">
        <v>0</v>
      </c>
      <c r="CP503">
        <v>0</v>
      </c>
      <c r="CQ503">
        <v>0</v>
      </c>
      <c r="CR503">
        <v>0</v>
      </c>
      <c r="CS503">
        <v>0</v>
      </c>
      <c r="CT503">
        <v>0</v>
      </c>
      <c r="CU503">
        <v>0</v>
      </c>
      <c r="CV503">
        <v>0</v>
      </c>
      <c r="CW503">
        <v>0</v>
      </c>
      <c r="CX503">
        <v>0</v>
      </c>
      <c r="CY503">
        <v>0</v>
      </c>
      <c r="CZ503">
        <v>0</v>
      </c>
      <c r="DA503">
        <v>0</v>
      </c>
      <c r="DB503">
        <v>0</v>
      </c>
      <c r="DC503">
        <v>0</v>
      </c>
      <c r="DD503">
        <v>0</v>
      </c>
      <c r="DE503">
        <v>0</v>
      </c>
      <c r="DF503">
        <v>0</v>
      </c>
      <c r="DG503">
        <v>0</v>
      </c>
      <c r="DH503">
        <v>0</v>
      </c>
      <c r="DI503">
        <v>0</v>
      </c>
      <c r="DJ503">
        <v>0</v>
      </c>
      <c r="DK503">
        <v>0</v>
      </c>
      <c r="DL503">
        <v>0</v>
      </c>
      <c r="DM503">
        <v>0</v>
      </c>
      <c r="DN503">
        <v>0</v>
      </c>
      <c r="DO503">
        <v>0</v>
      </c>
      <c r="DP503">
        <v>0</v>
      </c>
      <c r="DQ503">
        <v>0</v>
      </c>
      <c r="DR503">
        <v>0</v>
      </c>
      <c r="DS503">
        <v>0</v>
      </c>
      <c r="DT503">
        <v>0</v>
      </c>
      <c r="DU503">
        <v>0</v>
      </c>
    </row>
    <row r="504" spans="2:125">
      <c r="B504" s="136">
        <v>495</v>
      </c>
      <c r="C504" s="138">
        <v>1</v>
      </c>
      <c r="D504" s="474">
        <v>3076.3954109761835</v>
      </c>
      <c r="E504" s="127">
        <v>209.44772922711948</v>
      </c>
      <c r="F504" s="447">
        <v>0.49334046245027985</v>
      </c>
      <c r="G504" s="127">
        <v>129.15227183819391</v>
      </c>
      <c r="H504" s="132">
        <v>46.041577616705155</v>
      </c>
      <c r="I504" s="456"/>
      <c r="J504" s="45"/>
      <c r="K504" s="45">
        <v>500</v>
      </c>
      <c r="L504" s="463"/>
      <c r="M504" s="456">
        <v>53.326526641845703</v>
      </c>
      <c r="N504" s="457"/>
      <c r="O504" s="456"/>
      <c r="P504" s="46"/>
      <c r="Q504" s="463">
        <v>60.912628173828125</v>
      </c>
      <c r="R504" s="449"/>
      <c r="S504" s="463"/>
      <c r="T504" s="480"/>
      <c r="U504" s="468"/>
      <c r="V504" s="449"/>
      <c r="W504" s="45">
        <v>2158.23046875</v>
      </c>
      <c r="X504" s="463">
        <v>174.14674377441406</v>
      </c>
      <c r="Y504" s="449"/>
      <c r="Z504" s="45"/>
      <c r="AA504" s="468">
        <v>0.48200680581933919</v>
      </c>
      <c r="AB504" s="456"/>
      <c r="AC504" s="46"/>
      <c r="AD504" s="46"/>
      <c r="AE504" s="46"/>
      <c r="AF504" s="46"/>
      <c r="AG504" s="46"/>
      <c r="AH504" s="46"/>
      <c r="AI504" s="457"/>
      <c r="AJ504" s="138"/>
      <c r="AK504" s="745"/>
      <c r="AL504" s="54"/>
      <c r="AM504" s="468"/>
      <c r="AN504" s="449"/>
      <c r="AO504" s="45"/>
      <c r="AP504" s="45"/>
      <c r="AQ504" s="45"/>
      <c r="AR504" s="45"/>
      <c r="AS504" s="45"/>
      <c r="AT504" s="45"/>
      <c r="AU504" s="463"/>
      <c r="AV504" s="449"/>
      <c r="AW504" s="45"/>
      <c r="AX504" s="45"/>
      <c r="AY504" s="45"/>
      <c r="AZ504" s="45"/>
      <c r="BA504" s="45"/>
      <c r="BB504" s="45"/>
      <c r="BC504" s="463"/>
      <c r="BD504" s="456"/>
      <c r="BE504" s="46"/>
      <c r="BF504" s="46"/>
      <c r="BG504" s="46"/>
      <c r="BH504" s="46"/>
      <c r="BI504" s="46"/>
      <c r="BJ504" s="457"/>
      <c r="BK504" s="449">
        <v>0</v>
      </c>
      <c r="BL504" s="45"/>
      <c r="BM504" s="45"/>
      <c r="BN504" s="45"/>
      <c r="BO504" s="45"/>
      <c r="BP504" s="45"/>
      <c r="BQ504" s="45"/>
      <c r="BR504" s="45"/>
      <c r="BS504" s="45"/>
      <c r="BT504" s="45"/>
      <c r="BU504" s="45"/>
      <c r="BV504" s="45"/>
      <c r="BW504" s="45"/>
      <c r="BX504" s="45"/>
      <c r="BY504" s="45"/>
      <c r="BZ504" s="45"/>
      <c r="CA504" s="45"/>
      <c r="CB504" s="45"/>
      <c r="CC504" s="45"/>
      <c r="CD504" s="463"/>
      <c r="CE504">
        <v>0</v>
      </c>
      <c r="CF504">
        <v>0</v>
      </c>
      <c r="CG504">
        <v>0</v>
      </c>
      <c r="CH504">
        <v>0</v>
      </c>
      <c r="CI504">
        <v>0</v>
      </c>
      <c r="CJ504">
        <v>0</v>
      </c>
      <c r="CK504">
        <v>0</v>
      </c>
      <c r="CL504">
        <v>0</v>
      </c>
      <c r="CM504">
        <v>0</v>
      </c>
      <c r="CN504">
        <v>0</v>
      </c>
      <c r="CO504">
        <v>0</v>
      </c>
      <c r="CP504">
        <v>0</v>
      </c>
      <c r="CQ504">
        <v>0</v>
      </c>
      <c r="CR504">
        <v>0</v>
      </c>
      <c r="CS504">
        <v>0</v>
      </c>
      <c r="CT504">
        <v>0</v>
      </c>
      <c r="CU504">
        <v>0</v>
      </c>
      <c r="CV504">
        <v>0</v>
      </c>
      <c r="CW504">
        <v>0</v>
      </c>
      <c r="CX504">
        <v>0</v>
      </c>
      <c r="CY504">
        <v>0</v>
      </c>
      <c r="CZ504">
        <v>0</v>
      </c>
      <c r="DA504">
        <v>0</v>
      </c>
      <c r="DB504">
        <v>0</v>
      </c>
      <c r="DC504">
        <v>0</v>
      </c>
      <c r="DD504">
        <v>0</v>
      </c>
      <c r="DE504">
        <v>0</v>
      </c>
      <c r="DF504">
        <v>0</v>
      </c>
      <c r="DG504">
        <v>0</v>
      </c>
      <c r="DH504">
        <v>0</v>
      </c>
      <c r="DI504">
        <v>0</v>
      </c>
      <c r="DJ504">
        <v>0</v>
      </c>
      <c r="DK504">
        <v>0</v>
      </c>
      <c r="DL504">
        <v>0</v>
      </c>
      <c r="DM504">
        <v>0</v>
      </c>
      <c r="DN504">
        <v>0</v>
      </c>
      <c r="DO504">
        <v>0</v>
      </c>
      <c r="DP504">
        <v>0</v>
      </c>
      <c r="DQ504">
        <v>0</v>
      </c>
      <c r="DR504">
        <v>0</v>
      </c>
      <c r="DS504">
        <v>0</v>
      </c>
      <c r="DT504">
        <v>0</v>
      </c>
      <c r="DU504">
        <v>0</v>
      </c>
    </row>
    <row r="505" spans="2:125">
      <c r="B505" s="136">
        <v>496</v>
      </c>
      <c r="C505" s="138">
        <v>1</v>
      </c>
      <c r="D505" s="474">
        <v>3041.392554347779</v>
      </c>
      <c r="E505" s="127">
        <v>222.97868476685949</v>
      </c>
      <c r="F505" s="447">
        <v>0.35234673104325043</v>
      </c>
      <c r="G505" s="127">
        <v>95.965749288509542</v>
      </c>
      <c r="H505" s="132">
        <v>55.652901360954701</v>
      </c>
      <c r="I505" s="456"/>
      <c r="J505" s="45"/>
      <c r="K505" s="45">
        <v>410</v>
      </c>
      <c r="L505" s="463"/>
      <c r="M505" s="456">
        <v>26.072813034057617</v>
      </c>
      <c r="N505" s="457"/>
      <c r="O505" s="456"/>
      <c r="P505" s="46"/>
      <c r="Q505" s="463">
        <v>60.219573974609375</v>
      </c>
      <c r="R505" s="449"/>
      <c r="S505" s="463"/>
      <c r="T505" s="480"/>
      <c r="U505" s="468"/>
      <c r="V505" s="449"/>
      <c r="W505" s="45">
        <v>1074.0947265625</v>
      </c>
      <c r="X505" s="463">
        <v>94.913238525390625</v>
      </c>
      <c r="Y505" s="449"/>
      <c r="Z505" s="45"/>
      <c r="AA505" s="468">
        <v>0.34180980295908953</v>
      </c>
      <c r="AB505" s="456"/>
      <c r="AC505" s="46"/>
      <c r="AD505" s="46"/>
      <c r="AE505" s="46"/>
      <c r="AF505" s="46"/>
      <c r="AG505" s="46"/>
      <c r="AH505" s="46"/>
      <c r="AI505" s="457"/>
      <c r="AJ505" s="138"/>
      <c r="AK505" s="745"/>
      <c r="AL505" s="54"/>
      <c r="AM505" s="468"/>
      <c r="AN505" s="449"/>
      <c r="AO505" s="45"/>
      <c r="AP505" s="45"/>
      <c r="AQ505" s="45"/>
      <c r="AR505" s="45"/>
      <c r="AS505" s="45"/>
      <c r="AT505" s="45"/>
      <c r="AU505" s="463"/>
      <c r="AV505" s="449"/>
      <c r="AW505" s="45"/>
      <c r="AX505" s="45"/>
      <c r="AY505" s="45"/>
      <c r="AZ505" s="45"/>
      <c r="BA505" s="45"/>
      <c r="BB505" s="45"/>
      <c r="BC505" s="463"/>
      <c r="BD505" s="456"/>
      <c r="BE505" s="46"/>
      <c r="BF505" s="46"/>
      <c r="BG505" s="46"/>
      <c r="BH505" s="46"/>
      <c r="BI505" s="46"/>
      <c r="BJ505" s="457"/>
      <c r="BK505" s="449">
        <v>0</v>
      </c>
      <c r="BL505" s="45"/>
      <c r="BM505" s="45"/>
      <c r="BN505" s="45"/>
      <c r="BO505" s="45"/>
      <c r="BP505" s="45"/>
      <c r="BQ505" s="45"/>
      <c r="BR505" s="45"/>
      <c r="BS505" s="45"/>
      <c r="BT505" s="45"/>
      <c r="BU505" s="45"/>
      <c r="BV505" s="45"/>
      <c r="BW505" s="45"/>
      <c r="BX505" s="45"/>
      <c r="BY505" s="45"/>
      <c r="BZ505" s="45"/>
      <c r="CA505" s="45"/>
      <c r="CB505" s="45"/>
      <c r="CC505" s="45"/>
      <c r="CD505" s="463"/>
      <c r="CE505">
        <v>0</v>
      </c>
      <c r="CF505">
        <v>0</v>
      </c>
      <c r="CG505">
        <v>0</v>
      </c>
      <c r="CH505">
        <v>0</v>
      </c>
      <c r="CI505">
        <v>0</v>
      </c>
      <c r="CJ505">
        <v>0</v>
      </c>
      <c r="CK505">
        <v>0</v>
      </c>
      <c r="CL505">
        <v>0</v>
      </c>
      <c r="CM505">
        <v>0</v>
      </c>
      <c r="CN505">
        <v>0</v>
      </c>
      <c r="CO505">
        <v>0</v>
      </c>
      <c r="CP505">
        <v>0</v>
      </c>
      <c r="CQ505">
        <v>0</v>
      </c>
      <c r="CR505">
        <v>0</v>
      </c>
      <c r="CS505">
        <v>0</v>
      </c>
      <c r="CT505">
        <v>0</v>
      </c>
      <c r="CU505">
        <v>0</v>
      </c>
      <c r="CV505">
        <v>0</v>
      </c>
      <c r="CW505">
        <v>0</v>
      </c>
      <c r="CX505">
        <v>0</v>
      </c>
      <c r="CY505">
        <v>0</v>
      </c>
      <c r="CZ505">
        <v>0</v>
      </c>
      <c r="DA505">
        <v>0</v>
      </c>
      <c r="DB505">
        <v>0</v>
      </c>
      <c r="DC505">
        <v>0</v>
      </c>
      <c r="DD505">
        <v>0</v>
      </c>
      <c r="DE505">
        <v>0</v>
      </c>
      <c r="DF505">
        <v>0</v>
      </c>
      <c r="DG505">
        <v>0</v>
      </c>
      <c r="DH505">
        <v>0</v>
      </c>
      <c r="DI505">
        <v>0</v>
      </c>
      <c r="DJ505">
        <v>0</v>
      </c>
      <c r="DK505">
        <v>0</v>
      </c>
      <c r="DL505">
        <v>0</v>
      </c>
      <c r="DM505">
        <v>0</v>
      </c>
      <c r="DN505">
        <v>0</v>
      </c>
      <c r="DO505">
        <v>0</v>
      </c>
      <c r="DP505">
        <v>0</v>
      </c>
      <c r="DQ505">
        <v>0</v>
      </c>
      <c r="DR505">
        <v>0</v>
      </c>
      <c r="DS505">
        <v>0</v>
      </c>
      <c r="DT505">
        <v>0</v>
      </c>
      <c r="DU505">
        <v>0</v>
      </c>
    </row>
    <row r="506" spans="2:125">
      <c r="B506" s="136">
        <v>497</v>
      </c>
      <c r="C506" s="138">
        <v>1</v>
      </c>
      <c r="D506" s="474">
        <v>2963.3485193114111</v>
      </c>
      <c r="E506" s="127">
        <v>255.26981707570954</v>
      </c>
      <c r="F506" s="447">
        <v>0.5256838250805822</v>
      </c>
      <c r="G506" s="127">
        <v>92.116546063498632</v>
      </c>
      <c r="H506" s="132">
        <v>62.118017750306642</v>
      </c>
      <c r="I506" s="456"/>
      <c r="J506" s="45"/>
      <c r="K506" s="45">
        <v>440</v>
      </c>
      <c r="L506" s="463"/>
      <c r="M506" s="456">
        <v>52.154800415039063</v>
      </c>
      <c r="N506" s="457"/>
      <c r="O506" s="456"/>
      <c r="P506" s="46"/>
      <c r="Q506" s="463">
        <v>67.120567321777344</v>
      </c>
      <c r="R506" s="449"/>
      <c r="S506" s="463"/>
      <c r="T506" s="480"/>
      <c r="U506" s="468"/>
      <c r="V506" s="449"/>
      <c r="W506" s="45">
        <v>2207.185302734375</v>
      </c>
      <c r="X506" s="463">
        <v>177.45756530761719</v>
      </c>
      <c r="Y506" s="449"/>
      <c r="Z506" s="45"/>
      <c r="AA506" s="468">
        <v>0.51369951872236019</v>
      </c>
      <c r="AB506" s="456"/>
      <c r="AC506" s="46"/>
      <c r="AD506" s="46"/>
      <c r="AE506" s="46"/>
      <c r="AF506" s="46"/>
      <c r="AG506" s="46"/>
      <c r="AH506" s="46"/>
      <c r="AI506" s="457"/>
      <c r="AJ506" s="138"/>
      <c r="AK506" s="745"/>
      <c r="AL506" s="54"/>
      <c r="AM506" s="468"/>
      <c r="AN506" s="449"/>
      <c r="AO506" s="45"/>
      <c r="AP506" s="45"/>
      <c r="AQ506" s="45"/>
      <c r="AR506" s="45"/>
      <c r="AS506" s="45"/>
      <c r="AT506" s="45"/>
      <c r="AU506" s="463"/>
      <c r="AV506" s="449"/>
      <c r="AW506" s="45"/>
      <c r="AX506" s="45"/>
      <c r="AY506" s="45"/>
      <c r="AZ506" s="45"/>
      <c r="BA506" s="45"/>
      <c r="BB506" s="45"/>
      <c r="BC506" s="463"/>
      <c r="BD506" s="456"/>
      <c r="BE506" s="46"/>
      <c r="BF506" s="46"/>
      <c r="BG506" s="46"/>
      <c r="BH506" s="46"/>
      <c r="BI506" s="46"/>
      <c r="BJ506" s="457"/>
      <c r="BK506" s="449">
        <v>0</v>
      </c>
      <c r="BL506" s="45"/>
      <c r="BM506" s="45"/>
      <c r="BN506" s="45"/>
      <c r="BO506" s="45"/>
      <c r="BP506" s="45"/>
      <c r="BQ506" s="45"/>
      <c r="BR506" s="45"/>
      <c r="BS506" s="45"/>
      <c r="BT506" s="45"/>
      <c r="BU506" s="45"/>
      <c r="BV506" s="45"/>
      <c r="BW506" s="45"/>
      <c r="BX506" s="45"/>
      <c r="BY506" s="45"/>
      <c r="BZ506" s="45"/>
      <c r="CA506" s="45"/>
      <c r="CB506" s="45"/>
      <c r="CC506" s="45"/>
      <c r="CD506" s="463"/>
      <c r="CE506">
        <v>0</v>
      </c>
      <c r="CF506">
        <v>0</v>
      </c>
      <c r="CG506">
        <v>0</v>
      </c>
      <c r="CH506">
        <v>0</v>
      </c>
      <c r="CI506">
        <v>0</v>
      </c>
      <c r="CJ506">
        <v>0</v>
      </c>
      <c r="CK506">
        <v>0</v>
      </c>
      <c r="CL506">
        <v>0</v>
      </c>
      <c r="CM506">
        <v>0</v>
      </c>
      <c r="CN506">
        <v>0</v>
      </c>
      <c r="CO506">
        <v>0</v>
      </c>
      <c r="CP506">
        <v>0</v>
      </c>
      <c r="CQ506">
        <v>0</v>
      </c>
      <c r="CR506">
        <v>0</v>
      </c>
      <c r="CS506">
        <v>0</v>
      </c>
      <c r="CT506">
        <v>0</v>
      </c>
      <c r="CU506">
        <v>0</v>
      </c>
      <c r="CV506">
        <v>0</v>
      </c>
      <c r="CW506">
        <v>0</v>
      </c>
      <c r="CX506">
        <v>0</v>
      </c>
      <c r="CY506">
        <v>0</v>
      </c>
      <c r="CZ506">
        <v>0</v>
      </c>
      <c r="DA506">
        <v>0</v>
      </c>
      <c r="DB506">
        <v>0</v>
      </c>
      <c r="DC506">
        <v>0</v>
      </c>
      <c r="DD506">
        <v>0</v>
      </c>
      <c r="DE506">
        <v>0</v>
      </c>
      <c r="DF506">
        <v>0</v>
      </c>
      <c r="DG506">
        <v>0</v>
      </c>
      <c r="DH506">
        <v>0</v>
      </c>
      <c r="DI506">
        <v>0</v>
      </c>
      <c r="DJ506">
        <v>0</v>
      </c>
      <c r="DK506">
        <v>0</v>
      </c>
      <c r="DL506">
        <v>0</v>
      </c>
      <c r="DM506">
        <v>0</v>
      </c>
      <c r="DN506">
        <v>0</v>
      </c>
      <c r="DO506">
        <v>0</v>
      </c>
      <c r="DP506">
        <v>0</v>
      </c>
      <c r="DQ506">
        <v>0</v>
      </c>
      <c r="DR506">
        <v>0</v>
      </c>
      <c r="DS506">
        <v>0</v>
      </c>
      <c r="DT506">
        <v>0</v>
      </c>
      <c r="DU506">
        <v>0</v>
      </c>
    </row>
    <row r="507" spans="2:125">
      <c r="B507" s="136">
        <v>498</v>
      </c>
      <c r="C507" s="138">
        <v>1</v>
      </c>
      <c r="D507" s="474">
        <v>3203.3166049435968</v>
      </c>
      <c r="E507" s="127">
        <v>241.4872075754148</v>
      </c>
      <c r="F507" s="447">
        <v>0.38407280749469275</v>
      </c>
      <c r="G507" s="127">
        <v>103.63860966893149</v>
      </c>
      <c r="H507" s="132">
        <v>56.532214277058408</v>
      </c>
      <c r="I507" s="456"/>
      <c r="J507" s="45"/>
      <c r="K507" s="45">
        <v>440</v>
      </c>
      <c r="L507" s="463"/>
      <c r="M507" s="456">
        <v>28.648967742919922</v>
      </c>
      <c r="N507" s="457"/>
      <c r="O507" s="456"/>
      <c r="P507" s="46"/>
      <c r="Q507" s="463">
        <v>63.425670623779297</v>
      </c>
      <c r="R507" s="449"/>
      <c r="S507" s="463"/>
      <c r="T507" s="480"/>
      <c r="U507" s="468"/>
      <c r="V507" s="449"/>
      <c r="W507" s="45">
        <v>1235.4898681640625</v>
      </c>
      <c r="X507" s="463">
        <v>106.76592254638672</v>
      </c>
      <c r="Y507" s="449"/>
      <c r="Z507" s="45"/>
      <c r="AA507" s="468">
        <v>0.37387042659376729</v>
      </c>
      <c r="AB507" s="456"/>
      <c r="AC507" s="46"/>
      <c r="AD507" s="46"/>
      <c r="AE507" s="46"/>
      <c r="AF507" s="46"/>
      <c r="AG507" s="46"/>
      <c r="AH507" s="46"/>
      <c r="AI507" s="457"/>
      <c r="AJ507" s="138"/>
      <c r="AK507" s="745"/>
      <c r="AL507" s="54"/>
      <c r="AM507" s="468"/>
      <c r="AN507" s="449"/>
      <c r="AO507" s="45"/>
      <c r="AP507" s="45"/>
      <c r="AQ507" s="45"/>
      <c r="AR507" s="45"/>
      <c r="AS507" s="45"/>
      <c r="AT507" s="45"/>
      <c r="AU507" s="463"/>
      <c r="AV507" s="449"/>
      <c r="AW507" s="45"/>
      <c r="AX507" s="45"/>
      <c r="AY507" s="45"/>
      <c r="AZ507" s="45"/>
      <c r="BA507" s="45"/>
      <c r="BB507" s="45"/>
      <c r="BC507" s="463"/>
      <c r="BD507" s="456"/>
      <c r="BE507" s="46"/>
      <c r="BF507" s="46"/>
      <c r="BG507" s="46"/>
      <c r="BH507" s="46"/>
      <c r="BI507" s="46"/>
      <c r="BJ507" s="457"/>
      <c r="BK507" s="449">
        <v>0</v>
      </c>
      <c r="BL507" s="45"/>
      <c r="BM507" s="45"/>
      <c r="BN507" s="45"/>
      <c r="BO507" s="45"/>
      <c r="BP507" s="45"/>
      <c r="BQ507" s="45"/>
      <c r="BR507" s="45"/>
      <c r="BS507" s="45"/>
      <c r="BT507" s="45"/>
      <c r="BU507" s="45"/>
      <c r="BV507" s="45"/>
      <c r="BW507" s="45"/>
      <c r="BX507" s="45"/>
      <c r="BY507" s="45"/>
      <c r="BZ507" s="45"/>
      <c r="CA507" s="45"/>
      <c r="CB507" s="45"/>
      <c r="CC507" s="45"/>
      <c r="CD507" s="463"/>
      <c r="CE507">
        <v>0</v>
      </c>
      <c r="CF507">
        <v>0</v>
      </c>
      <c r="CG507">
        <v>0</v>
      </c>
      <c r="CH507">
        <v>0</v>
      </c>
      <c r="CI507">
        <v>0</v>
      </c>
      <c r="CJ507">
        <v>0</v>
      </c>
      <c r="CK507">
        <v>0</v>
      </c>
      <c r="CL507">
        <v>0</v>
      </c>
      <c r="CM507">
        <v>0</v>
      </c>
      <c r="CN507">
        <v>0</v>
      </c>
      <c r="CO507">
        <v>0</v>
      </c>
      <c r="CP507">
        <v>0</v>
      </c>
      <c r="CQ507">
        <v>0</v>
      </c>
      <c r="CR507">
        <v>0</v>
      </c>
      <c r="CS507">
        <v>0</v>
      </c>
      <c r="CT507">
        <v>0</v>
      </c>
      <c r="CU507">
        <v>0</v>
      </c>
      <c r="CV507">
        <v>0</v>
      </c>
      <c r="CW507">
        <v>0</v>
      </c>
      <c r="CX507">
        <v>0</v>
      </c>
      <c r="CY507">
        <v>0</v>
      </c>
      <c r="CZ507">
        <v>0</v>
      </c>
      <c r="DA507">
        <v>0</v>
      </c>
      <c r="DB507">
        <v>0</v>
      </c>
      <c r="DC507">
        <v>0</v>
      </c>
      <c r="DD507">
        <v>0</v>
      </c>
      <c r="DE507">
        <v>0</v>
      </c>
      <c r="DF507">
        <v>0</v>
      </c>
      <c r="DG507">
        <v>0</v>
      </c>
      <c r="DH507">
        <v>0</v>
      </c>
      <c r="DI507">
        <v>0</v>
      </c>
      <c r="DJ507">
        <v>0</v>
      </c>
      <c r="DK507">
        <v>0</v>
      </c>
      <c r="DL507">
        <v>0</v>
      </c>
      <c r="DM507">
        <v>0</v>
      </c>
      <c r="DN507">
        <v>0</v>
      </c>
      <c r="DO507">
        <v>0</v>
      </c>
      <c r="DP507">
        <v>0</v>
      </c>
      <c r="DQ507">
        <v>0</v>
      </c>
      <c r="DR507">
        <v>0</v>
      </c>
      <c r="DS507">
        <v>0</v>
      </c>
      <c r="DT507">
        <v>0</v>
      </c>
      <c r="DU507">
        <v>0</v>
      </c>
    </row>
    <row r="508" spans="2:125">
      <c r="B508" s="136">
        <v>499</v>
      </c>
      <c r="C508" s="138">
        <v>1</v>
      </c>
      <c r="D508" s="474">
        <v>3749.1605039180836</v>
      </c>
      <c r="E508" s="127">
        <v>209.12390187566899</v>
      </c>
      <c r="F508" s="447">
        <v>0.3636689249167519</v>
      </c>
      <c r="G508" s="127">
        <v>125.16230379214421</v>
      </c>
      <c r="H508" s="132">
        <v>66.146383627106559</v>
      </c>
      <c r="I508" s="456"/>
      <c r="J508" s="45"/>
      <c r="K508" s="45">
        <v>540</v>
      </c>
      <c r="L508" s="463"/>
      <c r="M508" s="456">
        <v>27.205842971801758</v>
      </c>
      <c r="N508" s="457"/>
      <c r="O508" s="456"/>
      <c r="P508" s="46"/>
      <c r="Q508" s="463">
        <v>82.592170715332031</v>
      </c>
      <c r="R508" s="449"/>
      <c r="S508" s="463"/>
      <c r="T508" s="480"/>
      <c r="U508" s="468"/>
      <c r="V508" s="449"/>
      <c r="W508" s="45">
        <v>1397.0748291015625</v>
      </c>
      <c r="X508" s="463">
        <v>118.95783996582031</v>
      </c>
      <c r="Y508" s="449"/>
      <c r="Z508" s="45"/>
      <c r="AA508" s="468">
        <v>0.35506076357913846</v>
      </c>
      <c r="AB508" s="456"/>
      <c r="AC508" s="46"/>
      <c r="AD508" s="46"/>
      <c r="AE508" s="46"/>
      <c r="AF508" s="46"/>
      <c r="AG508" s="46"/>
      <c r="AH508" s="46"/>
      <c r="AI508" s="457"/>
      <c r="AJ508" s="138"/>
      <c r="AK508" s="745"/>
      <c r="AL508" s="54"/>
      <c r="AM508" s="468"/>
      <c r="AN508" s="449"/>
      <c r="AO508" s="45"/>
      <c r="AP508" s="45"/>
      <c r="AQ508" s="45"/>
      <c r="AR508" s="45"/>
      <c r="AS508" s="45"/>
      <c r="AT508" s="45"/>
      <c r="AU508" s="463"/>
      <c r="AV508" s="449"/>
      <c r="AW508" s="45"/>
      <c r="AX508" s="45"/>
      <c r="AY508" s="45"/>
      <c r="AZ508" s="45"/>
      <c r="BA508" s="45"/>
      <c r="BB508" s="45"/>
      <c r="BC508" s="463"/>
      <c r="BD508" s="456"/>
      <c r="BE508" s="46"/>
      <c r="BF508" s="46"/>
      <c r="BG508" s="46"/>
      <c r="BH508" s="46"/>
      <c r="BI508" s="46"/>
      <c r="BJ508" s="457"/>
      <c r="BK508" s="449">
        <v>0</v>
      </c>
      <c r="BL508" s="45"/>
      <c r="BM508" s="45"/>
      <c r="BN508" s="45"/>
      <c r="BO508" s="45"/>
      <c r="BP508" s="45"/>
      <c r="BQ508" s="45"/>
      <c r="BR508" s="45"/>
      <c r="BS508" s="45"/>
      <c r="BT508" s="45"/>
      <c r="BU508" s="45"/>
      <c r="BV508" s="45"/>
      <c r="BW508" s="45"/>
      <c r="BX508" s="45"/>
      <c r="BY508" s="45"/>
      <c r="BZ508" s="45"/>
      <c r="CA508" s="45"/>
      <c r="CB508" s="45"/>
      <c r="CC508" s="45"/>
      <c r="CD508" s="463"/>
      <c r="CE508">
        <v>0</v>
      </c>
      <c r="CF508">
        <v>0</v>
      </c>
      <c r="CG508">
        <v>0</v>
      </c>
      <c r="CH508">
        <v>0</v>
      </c>
      <c r="CI508">
        <v>0</v>
      </c>
      <c r="CJ508">
        <v>0</v>
      </c>
      <c r="CK508">
        <v>0</v>
      </c>
      <c r="CL508">
        <v>0</v>
      </c>
      <c r="CM508">
        <v>0</v>
      </c>
      <c r="CN508">
        <v>0</v>
      </c>
      <c r="CO508">
        <v>0</v>
      </c>
      <c r="CP508">
        <v>0</v>
      </c>
      <c r="CQ508">
        <v>0</v>
      </c>
      <c r="CR508">
        <v>0</v>
      </c>
      <c r="CS508">
        <v>0</v>
      </c>
      <c r="CT508">
        <v>0</v>
      </c>
      <c r="CU508">
        <v>0</v>
      </c>
      <c r="CV508">
        <v>0</v>
      </c>
      <c r="CW508">
        <v>0</v>
      </c>
      <c r="CX508">
        <v>0</v>
      </c>
      <c r="CY508">
        <v>0</v>
      </c>
      <c r="CZ508">
        <v>0</v>
      </c>
      <c r="DA508">
        <v>0</v>
      </c>
      <c r="DB508">
        <v>0</v>
      </c>
      <c r="DC508">
        <v>0</v>
      </c>
      <c r="DD508">
        <v>0</v>
      </c>
      <c r="DE508">
        <v>0</v>
      </c>
      <c r="DF508">
        <v>0</v>
      </c>
      <c r="DG508">
        <v>0</v>
      </c>
      <c r="DH508">
        <v>0</v>
      </c>
      <c r="DI508">
        <v>0</v>
      </c>
      <c r="DJ508">
        <v>0</v>
      </c>
      <c r="DK508">
        <v>0</v>
      </c>
      <c r="DL508">
        <v>0</v>
      </c>
      <c r="DM508">
        <v>0</v>
      </c>
      <c r="DN508">
        <v>0</v>
      </c>
      <c r="DO508">
        <v>0</v>
      </c>
      <c r="DP508">
        <v>0</v>
      </c>
      <c r="DQ508">
        <v>0</v>
      </c>
      <c r="DR508">
        <v>0</v>
      </c>
      <c r="DS508">
        <v>0</v>
      </c>
      <c r="DT508">
        <v>0</v>
      </c>
      <c r="DU508">
        <v>0</v>
      </c>
    </row>
    <row r="509" spans="2:125">
      <c r="B509" s="136">
        <v>500</v>
      </c>
      <c r="C509" s="138">
        <v>1</v>
      </c>
      <c r="D509" s="474">
        <v>2951.6724999370317</v>
      </c>
      <c r="E509" s="127">
        <v>278.10072453578914</v>
      </c>
      <c r="F509" s="447">
        <v>0.43970129946408759</v>
      </c>
      <c r="G509" s="127">
        <v>114.36870322459822</v>
      </c>
      <c r="H509" s="132">
        <v>48.311067141898874</v>
      </c>
      <c r="I509" s="456"/>
      <c r="J509" s="45"/>
      <c r="K509" s="45">
        <v>450</v>
      </c>
      <c r="L509" s="463"/>
      <c r="M509" s="456">
        <v>38.149215698242187</v>
      </c>
      <c r="N509" s="457"/>
      <c r="O509" s="456"/>
      <c r="P509" s="46"/>
      <c r="Q509" s="463">
        <v>58.443119049072266</v>
      </c>
      <c r="R509" s="449"/>
      <c r="S509" s="463"/>
      <c r="T509" s="480"/>
      <c r="U509" s="468"/>
      <c r="V509" s="449"/>
      <c r="W509" s="45">
        <v>1536.500732421875</v>
      </c>
      <c r="X509" s="463">
        <v>128.71527099609375</v>
      </c>
      <c r="Y509" s="449"/>
      <c r="Z509" s="45"/>
      <c r="AA509" s="468">
        <v>0.42825218849733826</v>
      </c>
      <c r="AB509" s="456"/>
      <c r="AC509" s="46"/>
      <c r="AD509" s="46"/>
      <c r="AE509" s="46"/>
      <c r="AF509" s="46"/>
      <c r="AG509" s="46"/>
      <c r="AH509" s="46"/>
      <c r="AI509" s="457"/>
      <c r="AJ509" s="138"/>
      <c r="AK509" s="745"/>
      <c r="AL509" s="54"/>
      <c r="AM509" s="468"/>
      <c r="AN509" s="449"/>
      <c r="AO509" s="45"/>
      <c r="AP509" s="45"/>
      <c r="AQ509" s="45"/>
      <c r="AR509" s="45"/>
      <c r="AS509" s="45"/>
      <c r="AT509" s="45"/>
      <c r="AU509" s="463"/>
      <c r="AV509" s="449"/>
      <c r="AW509" s="45"/>
      <c r="AX509" s="45"/>
      <c r="AY509" s="45"/>
      <c r="AZ509" s="45"/>
      <c r="BA509" s="45"/>
      <c r="BB509" s="45"/>
      <c r="BC509" s="463"/>
      <c r="BD509" s="456"/>
      <c r="BE509" s="46"/>
      <c r="BF509" s="46"/>
      <c r="BG509" s="46"/>
      <c r="BH509" s="46"/>
      <c r="BI509" s="46"/>
      <c r="BJ509" s="457"/>
      <c r="BK509" s="449">
        <v>0</v>
      </c>
      <c r="BL509" s="45"/>
      <c r="BM509" s="45"/>
      <c r="BN509" s="45"/>
      <c r="BO509" s="45"/>
      <c r="BP509" s="45"/>
      <c r="BQ509" s="45"/>
      <c r="BR509" s="45"/>
      <c r="BS509" s="45"/>
      <c r="BT509" s="45"/>
      <c r="BU509" s="45"/>
      <c r="BV509" s="45"/>
      <c r="BW509" s="45"/>
      <c r="BX509" s="45"/>
      <c r="BY509" s="45"/>
      <c r="BZ509" s="45"/>
      <c r="CA509" s="45"/>
      <c r="CB509" s="45"/>
      <c r="CC509" s="45"/>
      <c r="CD509" s="463"/>
      <c r="CE509">
        <v>0</v>
      </c>
      <c r="CF509">
        <v>0</v>
      </c>
      <c r="CG509">
        <v>0</v>
      </c>
      <c r="CH509">
        <v>0</v>
      </c>
      <c r="CI509">
        <v>0</v>
      </c>
      <c r="CJ509">
        <v>0</v>
      </c>
      <c r="CK509">
        <v>0</v>
      </c>
      <c r="CL509">
        <v>0</v>
      </c>
      <c r="CM509">
        <v>0</v>
      </c>
      <c r="CN509">
        <v>0</v>
      </c>
      <c r="CO509">
        <v>0</v>
      </c>
      <c r="CP509">
        <v>0</v>
      </c>
      <c r="CQ509">
        <v>0</v>
      </c>
      <c r="CR509">
        <v>0</v>
      </c>
      <c r="CS509">
        <v>0</v>
      </c>
      <c r="CT509">
        <v>0</v>
      </c>
      <c r="CU509">
        <v>0</v>
      </c>
      <c r="CV509">
        <v>0</v>
      </c>
      <c r="CW509">
        <v>0</v>
      </c>
      <c r="CX509">
        <v>0</v>
      </c>
      <c r="CY509">
        <v>0</v>
      </c>
      <c r="CZ509">
        <v>0</v>
      </c>
      <c r="DA509">
        <v>0</v>
      </c>
      <c r="DB509">
        <v>0</v>
      </c>
      <c r="DC509">
        <v>0</v>
      </c>
      <c r="DD509">
        <v>0</v>
      </c>
      <c r="DE509">
        <v>0</v>
      </c>
      <c r="DF509">
        <v>0</v>
      </c>
      <c r="DG509">
        <v>0</v>
      </c>
      <c r="DH509">
        <v>0</v>
      </c>
      <c r="DI509">
        <v>0</v>
      </c>
      <c r="DJ509">
        <v>0</v>
      </c>
      <c r="DK509">
        <v>0</v>
      </c>
      <c r="DL509">
        <v>0</v>
      </c>
      <c r="DM509">
        <v>0</v>
      </c>
      <c r="DN509">
        <v>0</v>
      </c>
      <c r="DO509">
        <v>0</v>
      </c>
      <c r="DP509">
        <v>0</v>
      </c>
      <c r="DQ509">
        <v>0</v>
      </c>
      <c r="DR509">
        <v>0</v>
      </c>
      <c r="DS509">
        <v>0</v>
      </c>
      <c r="DT509">
        <v>0</v>
      </c>
      <c r="DU509">
        <v>0</v>
      </c>
    </row>
    <row r="510" spans="2:125">
      <c r="B510" s="136">
        <v>501</v>
      </c>
      <c r="C510" s="138">
        <v>1</v>
      </c>
      <c r="D510" s="474">
        <v>3211.3480342884404</v>
      </c>
      <c r="E510" s="127">
        <v>269.68689473813038</v>
      </c>
      <c r="F510" s="447">
        <v>0.44802584425232717</v>
      </c>
      <c r="G510" s="127">
        <v>104.68553290713734</v>
      </c>
      <c r="H510" s="132">
        <v>56.406091466586346</v>
      </c>
      <c r="I510" s="456"/>
      <c r="J510" s="45"/>
      <c r="K510" s="45">
        <v>450</v>
      </c>
      <c r="L510" s="463"/>
      <c r="M510" s="456">
        <v>37.022727966308594</v>
      </c>
      <c r="N510" s="457"/>
      <c r="O510" s="456"/>
      <c r="P510" s="46"/>
      <c r="Q510" s="463">
        <v>63.584690093994141</v>
      </c>
      <c r="R510" s="449"/>
      <c r="S510" s="463"/>
      <c r="T510" s="480"/>
      <c r="U510" s="468"/>
      <c r="V510" s="449"/>
      <c r="W510" s="45">
        <v>1565.0185546875</v>
      </c>
      <c r="X510" s="463">
        <v>130.77851867675781</v>
      </c>
      <c r="Y510" s="449"/>
      <c r="Z510" s="45"/>
      <c r="AA510" s="468">
        <v>0.43745068499757161</v>
      </c>
      <c r="AB510" s="456"/>
      <c r="AC510" s="46"/>
      <c r="AD510" s="46"/>
      <c r="AE510" s="46"/>
      <c r="AF510" s="46"/>
      <c r="AG510" s="46"/>
      <c r="AH510" s="46"/>
      <c r="AI510" s="457"/>
      <c r="AJ510" s="138"/>
      <c r="AK510" s="745"/>
      <c r="AL510" s="54"/>
      <c r="AM510" s="468"/>
      <c r="AN510" s="449"/>
      <c r="AO510" s="45"/>
      <c r="AP510" s="45"/>
      <c r="AQ510" s="45"/>
      <c r="AR510" s="45"/>
      <c r="AS510" s="45"/>
      <c r="AT510" s="45"/>
      <c r="AU510" s="463"/>
      <c r="AV510" s="449"/>
      <c r="AW510" s="45"/>
      <c r="AX510" s="45"/>
      <c r="AY510" s="45"/>
      <c r="AZ510" s="45"/>
      <c r="BA510" s="45"/>
      <c r="BB510" s="45"/>
      <c r="BC510" s="463"/>
      <c r="BD510" s="456"/>
      <c r="BE510" s="46"/>
      <c r="BF510" s="46"/>
      <c r="BG510" s="46"/>
      <c r="BH510" s="46"/>
      <c r="BI510" s="46"/>
      <c r="BJ510" s="457"/>
      <c r="BK510" s="449">
        <v>0</v>
      </c>
      <c r="BL510" s="45"/>
      <c r="BM510" s="45"/>
      <c r="BN510" s="45"/>
      <c r="BO510" s="45"/>
      <c r="BP510" s="45"/>
      <c r="BQ510" s="45"/>
      <c r="BR510" s="45"/>
      <c r="BS510" s="45"/>
      <c r="BT510" s="45"/>
      <c r="BU510" s="45"/>
      <c r="BV510" s="45"/>
      <c r="BW510" s="45"/>
      <c r="BX510" s="45"/>
      <c r="BY510" s="45"/>
      <c r="BZ510" s="45"/>
      <c r="CA510" s="45"/>
      <c r="CB510" s="45"/>
      <c r="CC510" s="45"/>
      <c r="CD510" s="463"/>
      <c r="CE510">
        <v>0</v>
      </c>
      <c r="CF510">
        <v>0</v>
      </c>
      <c r="CG510">
        <v>0</v>
      </c>
      <c r="CH510">
        <v>0</v>
      </c>
      <c r="CI510">
        <v>0</v>
      </c>
      <c r="CJ510">
        <v>0</v>
      </c>
      <c r="CK510">
        <v>0</v>
      </c>
      <c r="CL510">
        <v>0</v>
      </c>
      <c r="CM510">
        <v>0</v>
      </c>
      <c r="CN510">
        <v>0</v>
      </c>
      <c r="CO510">
        <v>0</v>
      </c>
      <c r="CP510">
        <v>0</v>
      </c>
      <c r="CQ510">
        <v>0</v>
      </c>
      <c r="CR510">
        <v>0</v>
      </c>
      <c r="CS510">
        <v>0</v>
      </c>
      <c r="CT510">
        <v>0</v>
      </c>
      <c r="CU510">
        <v>0</v>
      </c>
      <c r="CV510">
        <v>0</v>
      </c>
      <c r="CW510">
        <v>0</v>
      </c>
      <c r="CX510">
        <v>0</v>
      </c>
      <c r="CY510">
        <v>0</v>
      </c>
      <c r="CZ510">
        <v>0</v>
      </c>
      <c r="DA510">
        <v>0</v>
      </c>
      <c r="DB510">
        <v>0</v>
      </c>
      <c r="DC510">
        <v>0</v>
      </c>
      <c r="DD510">
        <v>0</v>
      </c>
      <c r="DE510">
        <v>0</v>
      </c>
      <c r="DF510">
        <v>0</v>
      </c>
      <c r="DG510">
        <v>0</v>
      </c>
      <c r="DH510">
        <v>0</v>
      </c>
      <c r="DI510">
        <v>0</v>
      </c>
      <c r="DJ510">
        <v>0</v>
      </c>
      <c r="DK510">
        <v>0</v>
      </c>
      <c r="DL510">
        <v>0</v>
      </c>
      <c r="DM510">
        <v>0</v>
      </c>
      <c r="DN510">
        <v>0</v>
      </c>
      <c r="DO510">
        <v>0</v>
      </c>
      <c r="DP510">
        <v>0</v>
      </c>
      <c r="DQ510">
        <v>0</v>
      </c>
      <c r="DR510">
        <v>0</v>
      </c>
      <c r="DS510">
        <v>0</v>
      </c>
      <c r="DT510">
        <v>0</v>
      </c>
      <c r="DU510">
        <v>0</v>
      </c>
    </row>
    <row r="511" spans="2:125">
      <c r="B511" s="136">
        <v>502</v>
      </c>
      <c r="C511" s="138">
        <v>1</v>
      </c>
      <c r="D511" s="474">
        <v>3588.4166877138759</v>
      </c>
      <c r="E511" s="127">
        <v>238.19013552515969</v>
      </c>
      <c r="F511" s="447">
        <v>0.42361440223909091</v>
      </c>
      <c r="G511" s="127">
        <v>129.30897664197903</v>
      </c>
      <c r="H511" s="132">
        <v>56.710563742338948</v>
      </c>
      <c r="I511" s="456"/>
      <c r="J511" s="45"/>
      <c r="K511" s="45">
        <v>520</v>
      </c>
      <c r="L511" s="463"/>
      <c r="M511" s="456">
        <v>35.913223266601563</v>
      </c>
      <c r="N511" s="457"/>
      <c r="O511" s="456"/>
      <c r="P511" s="46"/>
      <c r="Q511" s="463">
        <v>71.050651550292969</v>
      </c>
      <c r="R511" s="449"/>
      <c r="S511" s="463"/>
      <c r="T511" s="480"/>
      <c r="U511" s="468"/>
      <c r="V511" s="449"/>
      <c r="W511" s="45">
        <v>1646.1087646484375</v>
      </c>
      <c r="X511" s="463">
        <v>136.9908447265625</v>
      </c>
      <c r="Y511" s="449"/>
      <c r="Z511" s="45"/>
      <c r="AA511" s="468">
        <v>0.41428653121469589</v>
      </c>
      <c r="AB511" s="456"/>
      <c r="AC511" s="46"/>
      <c r="AD511" s="46"/>
      <c r="AE511" s="46"/>
      <c r="AF511" s="46"/>
      <c r="AG511" s="46"/>
      <c r="AH511" s="46"/>
      <c r="AI511" s="457"/>
      <c r="AJ511" s="138"/>
      <c r="AK511" s="745"/>
      <c r="AL511" s="54"/>
      <c r="AM511" s="468"/>
      <c r="AN511" s="449"/>
      <c r="AO511" s="45"/>
      <c r="AP511" s="45"/>
      <c r="AQ511" s="45"/>
      <c r="AR511" s="45"/>
      <c r="AS511" s="45"/>
      <c r="AT511" s="45"/>
      <c r="AU511" s="463"/>
      <c r="AV511" s="449"/>
      <c r="AW511" s="45"/>
      <c r="AX511" s="45"/>
      <c r="AY511" s="45"/>
      <c r="AZ511" s="45"/>
      <c r="BA511" s="45"/>
      <c r="BB511" s="45"/>
      <c r="BC511" s="463"/>
      <c r="BD511" s="456"/>
      <c r="BE511" s="46"/>
      <c r="BF511" s="46"/>
      <c r="BG511" s="46"/>
      <c r="BH511" s="46"/>
      <c r="BI511" s="46"/>
      <c r="BJ511" s="457"/>
      <c r="BK511" s="449">
        <v>0</v>
      </c>
      <c r="BL511" s="45"/>
      <c r="BM511" s="45"/>
      <c r="BN511" s="45"/>
      <c r="BO511" s="45"/>
      <c r="BP511" s="45"/>
      <c r="BQ511" s="45"/>
      <c r="BR511" s="45"/>
      <c r="BS511" s="45"/>
      <c r="BT511" s="45"/>
      <c r="BU511" s="45"/>
      <c r="BV511" s="45"/>
      <c r="BW511" s="45"/>
      <c r="BX511" s="45"/>
      <c r="BY511" s="45"/>
      <c r="BZ511" s="45"/>
      <c r="CA511" s="45"/>
      <c r="CB511" s="45"/>
      <c r="CC511" s="45"/>
      <c r="CD511" s="463"/>
      <c r="CE511">
        <v>0</v>
      </c>
      <c r="CF511">
        <v>0</v>
      </c>
      <c r="CG511">
        <v>0</v>
      </c>
      <c r="CH511">
        <v>0</v>
      </c>
      <c r="CI511">
        <v>0</v>
      </c>
      <c r="CJ511">
        <v>0</v>
      </c>
      <c r="CK511">
        <v>0</v>
      </c>
      <c r="CL511">
        <v>0</v>
      </c>
      <c r="CM511">
        <v>0</v>
      </c>
      <c r="CN511">
        <v>0</v>
      </c>
      <c r="CO511">
        <v>0</v>
      </c>
      <c r="CP511">
        <v>0</v>
      </c>
      <c r="CQ511">
        <v>0</v>
      </c>
      <c r="CR511">
        <v>0</v>
      </c>
      <c r="CS511">
        <v>0</v>
      </c>
      <c r="CT511">
        <v>0</v>
      </c>
      <c r="CU511">
        <v>0</v>
      </c>
      <c r="CV511">
        <v>0</v>
      </c>
      <c r="CW511">
        <v>0</v>
      </c>
      <c r="CX511">
        <v>0</v>
      </c>
      <c r="CY511">
        <v>0</v>
      </c>
      <c r="CZ511">
        <v>0</v>
      </c>
      <c r="DA511">
        <v>0</v>
      </c>
      <c r="DB511">
        <v>0</v>
      </c>
      <c r="DC511">
        <v>0</v>
      </c>
      <c r="DD511">
        <v>0</v>
      </c>
      <c r="DE511">
        <v>0</v>
      </c>
      <c r="DF511">
        <v>0</v>
      </c>
      <c r="DG511">
        <v>0</v>
      </c>
      <c r="DH511">
        <v>0</v>
      </c>
      <c r="DI511">
        <v>0</v>
      </c>
      <c r="DJ511">
        <v>0</v>
      </c>
      <c r="DK511">
        <v>0</v>
      </c>
      <c r="DL511">
        <v>0</v>
      </c>
      <c r="DM511">
        <v>0</v>
      </c>
      <c r="DN511">
        <v>0</v>
      </c>
      <c r="DO511">
        <v>0</v>
      </c>
      <c r="DP511">
        <v>0</v>
      </c>
      <c r="DQ511">
        <v>0</v>
      </c>
      <c r="DR511">
        <v>0</v>
      </c>
      <c r="DS511">
        <v>0</v>
      </c>
      <c r="DT511">
        <v>0</v>
      </c>
      <c r="DU511">
        <v>0</v>
      </c>
    </row>
    <row r="512" spans="2:125">
      <c r="B512" s="136">
        <v>503</v>
      </c>
      <c r="C512" s="138">
        <v>1</v>
      </c>
      <c r="D512" s="474">
        <v>3304.5827737729396</v>
      </c>
      <c r="E512" s="127">
        <v>258.20069251545385</v>
      </c>
      <c r="F512" s="447">
        <v>0.35645744818985053</v>
      </c>
      <c r="G512" s="127">
        <v>121.78745737423264</v>
      </c>
      <c r="H512" s="132">
        <v>53.536123484591847</v>
      </c>
      <c r="I512" s="456"/>
      <c r="J512" s="45"/>
      <c r="K512" s="45">
        <v>480</v>
      </c>
      <c r="L512" s="463"/>
      <c r="M512" s="456">
        <v>27.910726547241211</v>
      </c>
      <c r="N512" s="457"/>
      <c r="O512" s="456"/>
      <c r="P512" s="46"/>
      <c r="Q512" s="463">
        <v>65.430747985839844</v>
      </c>
      <c r="R512" s="449"/>
      <c r="S512" s="463"/>
      <c r="T512" s="480"/>
      <c r="U512" s="468"/>
      <c r="V512" s="449"/>
      <c r="W512" s="45">
        <v>1238.096435546875</v>
      </c>
      <c r="X512" s="463">
        <v>107.12899780273438</v>
      </c>
      <c r="Y512" s="449"/>
      <c r="Z512" s="45"/>
      <c r="AA512" s="468">
        <v>0.34673484441100372</v>
      </c>
      <c r="AB512" s="456"/>
      <c r="AC512" s="46"/>
      <c r="AD512" s="46"/>
      <c r="AE512" s="46"/>
      <c r="AF512" s="46"/>
      <c r="AG512" s="46"/>
      <c r="AH512" s="46"/>
      <c r="AI512" s="457"/>
      <c r="AJ512" s="138"/>
      <c r="AK512" s="745"/>
      <c r="AL512" s="54"/>
      <c r="AM512" s="468"/>
      <c r="AN512" s="449"/>
      <c r="AO512" s="45"/>
      <c r="AP512" s="45"/>
      <c r="AQ512" s="45"/>
      <c r="AR512" s="45"/>
      <c r="AS512" s="45"/>
      <c r="AT512" s="45"/>
      <c r="AU512" s="463"/>
      <c r="AV512" s="449"/>
      <c r="AW512" s="45"/>
      <c r="AX512" s="45"/>
      <c r="AY512" s="45"/>
      <c r="AZ512" s="45"/>
      <c r="BA512" s="45"/>
      <c r="BB512" s="45"/>
      <c r="BC512" s="463"/>
      <c r="BD512" s="456"/>
      <c r="BE512" s="46"/>
      <c r="BF512" s="46"/>
      <c r="BG512" s="46"/>
      <c r="BH512" s="46"/>
      <c r="BI512" s="46"/>
      <c r="BJ512" s="457"/>
      <c r="BK512" s="449">
        <v>0</v>
      </c>
      <c r="BL512" s="45"/>
      <c r="BM512" s="45"/>
      <c r="BN512" s="45"/>
      <c r="BO512" s="45"/>
      <c r="BP512" s="45"/>
      <c r="BQ512" s="45"/>
      <c r="BR512" s="45"/>
      <c r="BS512" s="45"/>
      <c r="BT512" s="45"/>
      <c r="BU512" s="45"/>
      <c r="BV512" s="45"/>
      <c r="BW512" s="45"/>
      <c r="BX512" s="45"/>
      <c r="BY512" s="45"/>
      <c r="BZ512" s="45"/>
      <c r="CA512" s="45"/>
      <c r="CB512" s="45"/>
      <c r="CC512" s="45"/>
      <c r="CD512" s="463"/>
      <c r="CE512">
        <v>0</v>
      </c>
      <c r="CF512">
        <v>0</v>
      </c>
      <c r="CG512">
        <v>0</v>
      </c>
      <c r="CH512">
        <v>0</v>
      </c>
      <c r="CI512">
        <v>0</v>
      </c>
      <c r="CJ512">
        <v>0</v>
      </c>
      <c r="CK512">
        <v>0</v>
      </c>
      <c r="CL512">
        <v>0</v>
      </c>
      <c r="CM512">
        <v>0</v>
      </c>
      <c r="CN512">
        <v>0</v>
      </c>
      <c r="CO512">
        <v>0</v>
      </c>
      <c r="CP512">
        <v>0</v>
      </c>
      <c r="CQ512">
        <v>0</v>
      </c>
      <c r="CR512">
        <v>0</v>
      </c>
      <c r="CS512">
        <v>0</v>
      </c>
      <c r="CT512">
        <v>0</v>
      </c>
      <c r="CU512">
        <v>0</v>
      </c>
      <c r="CV512">
        <v>0</v>
      </c>
      <c r="CW512">
        <v>0</v>
      </c>
      <c r="CX512">
        <v>0</v>
      </c>
      <c r="CY512">
        <v>0</v>
      </c>
      <c r="CZ512">
        <v>0</v>
      </c>
      <c r="DA512">
        <v>0</v>
      </c>
      <c r="DB512">
        <v>0</v>
      </c>
      <c r="DC512">
        <v>0</v>
      </c>
      <c r="DD512">
        <v>0</v>
      </c>
      <c r="DE512">
        <v>0</v>
      </c>
      <c r="DF512">
        <v>0</v>
      </c>
      <c r="DG512">
        <v>0</v>
      </c>
      <c r="DH512">
        <v>0</v>
      </c>
      <c r="DI512">
        <v>0</v>
      </c>
      <c r="DJ512">
        <v>0</v>
      </c>
      <c r="DK512">
        <v>0</v>
      </c>
      <c r="DL512">
        <v>0</v>
      </c>
      <c r="DM512">
        <v>0</v>
      </c>
      <c r="DN512">
        <v>0</v>
      </c>
      <c r="DO512">
        <v>0</v>
      </c>
      <c r="DP512">
        <v>0</v>
      </c>
      <c r="DQ512">
        <v>0</v>
      </c>
      <c r="DR512">
        <v>0</v>
      </c>
      <c r="DS512">
        <v>0</v>
      </c>
      <c r="DT512">
        <v>0</v>
      </c>
      <c r="DU512">
        <v>0</v>
      </c>
    </row>
    <row r="513" spans="2:125">
      <c r="B513" s="136">
        <v>504</v>
      </c>
      <c r="C513" s="138">
        <v>1</v>
      </c>
      <c r="D513" s="474">
        <v>3576.2193821310775</v>
      </c>
      <c r="E513" s="127">
        <v>350.46695199722666</v>
      </c>
      <c r="F513" s="447">
        <v>0.37889423729991301</v>
      </c>
      <c r="G513" s="127">
        <v>113.32579803615242</v>
      </c>
      <c r="H513" s="132">
        <v>60.29228779200664</v>
      </c>
      <c r="I513" s="456"/>
      <c r="J513" s="45"/>
      <c r="K513" s="45">
        <v>480</v>
      </c>
      <c r="L513" s="463"/>
      <c r="M513" s="456">
        <v>28.476459503173828</v>
      </c>
      <c r="N513" s="457"/>
      <c r="O513" s="456"/>
      <c r="P513" s="46"/>
      <c r="Q513" s="463">
        <v>70.80914306640625</v>
      </c>
      <c r="R513" s="449"/>
      <c r="S513" s="463"/>
      <c r="T513" s="480"/>
      <c r="U513" s="468"/>
      <c r="V513" s="449"/>
      <c r="W513" s="45">
        <v>1322.350830078125</v>
      </c>
      <c r="X513" s="463">
        <v>113.27305603027344</v>
      </c>
      <c r="Y513" s="449"/>
      <c r="Z513" s="45"/>
      <c r="AA513" s="468">
        <v>0.36978464941814693</v>
      </c>
      <c r="AB513" s="456"/>
      <c r="AC513" s="46"/>
      <c r="AD513" s="46"/>
      <c r="AE513" s="46"/>
      <c r="AF513" s="46"/>
      <c r="AG513" s="46"/>
      <c r="AH513" s="46"/>
      <c r="AI513" s="457"/>
      <c r="AJ513" s="138"/>
      <c r="AK513" s="745"/>
      <c r="AL513" s="54"/>
      <c r="AM513" s="468"/>
      <c r="AN513" s="449"/>
      <c r="AO513" s="45"/>
      <c r="AP513" s="45"/>
      <c r="AQ513" s="45"/>
      <c r="AR513" s="45"/>
      <c r="AS513" s="45"/>
      <c r="AT513" s="45"/>
      <c r="AU513" s="463"/>
      <c r="AV513" s="449"/>
      <c r="AW513" s="45"/>
      <c r="AX513" s="45"/>
      <c r="AY513" s="45"/>
      <c r="AZ513" s="45"/>
      <c r="BA513" s="45"/>
      <c r="BB513" s="45"/>
      <c r="BC513" s="463"/>
      <c r="BD513" s="456"/>
      <c r="BE513" s="46"/>
      <c r="BF513" s="46"/>
      <c r="BG513" s="46"/>
      <c r="BH513" s="46"/>
      <c r="BI513" s="46"/>
      <c r="BJ513" s="457"/>
      <c r="BK513" s="449">
        <v>0</v>
      </c>
      <c r="BL513" s="45"/>
      <c r="BM513" s="45"/>
      <c r="BN513" s="45"/>
      <c r="BO513" s="45"/>
      <c r="BP513" s="45"/>
      <c r="BQ513" s="45"/>
      <c r="BR513" s="45"/>
      <c r="BS513" s="45"/>
      <c r="BT513" s="45"/>
      <c r="BU513" s="45"/>
      <c r="BV513" s="45"/>
      <c r="BW513" s="45"/>
      <c r="BX513" s="45"/>
      <c r="BY513" s="45"/>
      <c r="BZ513" s="45"/>
      <c r="CA513" s="45"/>
      <c r="CB513" s="45"/>
      <c r="CC513" s="45"/>
      <c r="CD513" s="463"/>
      <c r="CE513">
        <v>0</v>
      </c>
      <c r="CF513">
        <v>0</v>
      </c>
      <c r="CG513">
        <v>0</v>
      </c>
      <c r="CH513">
        <v>0</v>
      </c>
      <c r="CI513">
        <v>0</v>
      </c>
      <c r="CJ513">
        <v>0</v>
      </c>
      <c r="CK513">
        <v>0</v>
      </c>
      <c r="CL513">
        <v>0</v>
      </c>
      <c r="CM513">
        <v>0</v>
      </c>
      <c r="CN513">
        <v>0</v>
      </c>
      <c r="CO513">
        <v>0</v>
      </c>
      <c r="CP513">
        <v>0</v>
      </c>
      <c r="CQ513">
        <v>0</v>
      </c>
      <c r="CR513">
        <v>0</v>
      </c>
      <c r="CS513">
        <v>0</v>
      </c>
      <c r="CT513">
        <v>0</v>
      </c>
      <c r="CU513">
        <v>0</v>
      </c>
      <c r="CV513">
        <v>0</v>
      </c>
      <c r="CW513">
        <v>0</v>
      </c>
      <c r="CX513">
        <v>0</v>
      </c>
      <c r="CY513">
        <v>0</v>
      </c>
      <c r="CZ513">
        <v>0</v>
      </c>
      <c r="DA513">
        <v>0</v>
      </c>
      <c r="DB513">
        <v>0</v>
      </c>
      <c r="DC513">
        <v>0</v>
      </c>
      <c r="DD513">
        <v>0</v>
      </c>
      <c r="DE513">
        <v>0</v>
      </c>
      <c r="DF513">
        <v>0</v>
      </c>
      <c r="DG513">
        <v>0</v>
      </c>
      <c r="DH513">
        <v>0</v>
      </c>
      <c r="DI513">
        <v>0</v>
      </c>
      <c r="DJ513">
        <v>0</v>
      </c>
      <c r="DK513">
        <v>0</v>
      </c>
      <c r="DL513">
        <v>0</v>
      </c>
      <c r="DM513">
        <v>0</v>
      </c>
      <c r="DN513">
        <v>0</v>
      </c>
      <c r="DO513">
        <v>0</v>
      </c>
      <c r="DP513">
        <v>0</v>
      </c>
      <c r="DQ513">
        <v>0</v>
      </c>
      <c r="DR513">
        <v>0</v>
      </c>
      <c r="DS513">
        <v>0</v>
      </c>
      <c r="DT513">
        <v>0</v>
      </c>
      <c r="DU513">
        <v>0</v>
      </c>
    </row>
    <row r="514" spans="2:125">
      <c r="B514" s="136">
        <v>505</v>
      </c>
      <c r="C514" s="138">
        <v>1</v>
      </c>
      <c r="D514" s="474">
        <v>2917.7985735291222</v>
      </c>
      <c r="E514" s="127">
        <v>247.63544968372801</v>
      </c>
      <c r="F514" s="447">
        <v>0.39677091048457991</v>
      </c>
      <c r="G514" s="127">
        <v>96.608656149209793</v>
      </c>
      <c r="H514" s="132">
        <v>60.398952549031414</v>
      </c>
      <c r="I514" s="456"/>
      <c r="J514" s="45"/>
      <c r="K514" s="45">
        <v>430</v>
      </c>
      <c r="L514" s="463"/>
      <c r="M514" s="456">
        <v>28.795600891113281</v>
      </c>
      <c r="N514" s="457"/>
      <c r="O514" s="456"/>
      <c r="P514" s="46"/>
      <c r="Q514" s="463">
        <v>66.115272521972656</v>
      </c>
      <c r="R514" s="449"/>
      <c r="S514" s="463"/>
      <c r="T514" s="480"/>
      <c r="U514" s="468"/>
      <c r="V514" s="449"/>
      <c r="W514" s="45">
        <v>1269.276611328125</v>
      </c>
      <c r="X514" s="463">
        <v>109.20600891113281</v>
      </c>
      <c r="Y514" s="449"/>
      <c r="Z514" s="45"/>
      <c r="AA514" s="468">
        <v>0.38548314767994746</v>
      </c>
      <c r="AB514" s="456"/>
      <c r="AC514" s="46"/>
      <c r="AD514" s="46"/>
      <c r="AE514" s="46"/>
      <c r="AF514" s="46"/>
      <c r="AG514" s="46"/>
      <c r="AH514" s="46"/>
      <c r="AI514" s="457"/>
      <c r="AJ514" s="138"/>
      <c r="AK514" s="745"/>
      <c r="AL514" s="54"/>
      <c r="AM514" s="468"/>
      <c r="AN514" s="449"/>
      <c r="AO514" s="45"/>
      <c r="AP514" s="45"/>
      <c r="AQ514" s="45"/>
      <c r="AR514" s="45"/>
      <c r="AS514" s="45"/>
      <c r="AT514" s="45"/>
      <c r="AU514" s="463"/>
      <c r="AV514" s="449"/>
      <c r="AW514" s="45"/>
      <c r="AX514" s="45"/>
      <c r="AY514" s="45"/>
      <c r="AZ514" s="45"/>
      <c r="BA514" s="45"/>
      <c r="BB514" s="45"/>
      <c r="BC514" s="463"/>
      <c r="BD514" s="456"/>
      <c r="BE514" s="46"/>
      <c r="BF514" s="46"/>
      <c r="BG514" s="46"/>
      <c r="BH514" s="46"/>
      <c r="BI514" s="46"/>
      <c r="BJ514" s="457"/>
      <c r="BK514" s="449">
        <v>0</v>
      </c>
      <c r="BL514" s="45"/>
      <c r="BM514" s="45"/>
      <c r="BN514" s="45"/>
      <c r="BO514" s="45"/>
      <c r="BP514" s="45"/>
      <c r="BQ514" s="45"/>
      <c r="BR514" s="45"/>
      <c r="BS514" s="45"/>
      <c r="BT514" s="45"/>
      <c r="BU514" s="45"/>
      <c r="BV514" s="45"/>
      <c r="BW514" s="45"/>
      <c r="BX514" s="45"/>
      <c r="BY514" s="45"/>
      <c r="BZ514" s="45"/>
      <c r="CA514" s="45"/>
      <c r="CB514" s="45"/>
      <c r="CC514" s="45"/>
      <c r="CD514" s="463"/>
      <c r="CE514">
        <v>0</v>
      </c>
      <c r="CF514">
        <v>0</v>
      </c>
      <c r="CG514">
        <v>0</v>
      </c>
      <c r="CH514">
        <v>0</v>
      </c>
      <c r="CI514">
        <v>0</v>
      </c>
      <c r="CJ514">
        <v>0</v>
      </c>
      <c r="CK514">
        <v>0</v>
      </c>
      <c r="CL514">
        <v>0</v>
      </c>
      <c r="CM514">
        <v>0</v>
      </c>
      <c r="CN514">
        <v>0</v>
      </c>
      <c r="CO514">
        <v>0</v>
      </c>
      <c r="CP514">
        <v>0</v>
      </c>
      <c r="CQ514">
        <v>0</v>
      </c>
      <c r="CR514">
        <v>0</v>
      </c>
      <c r="CS514">
        <v>0</v>
      </c>
      <c r="CT514">
        <v>0</v>
      </c>
      <c r="CU514">
        <v>0</v>
      </c>
      <c r="CV514">
        <v>0</v>
      </c>
      <c r="CW514">
        <v>0</v>
      </c>
      <c r="CX514">
        <v>0</v>
      </c>
      <c r="CY514">
        <v>0</v>
      </c>
      <c r="CZ514">
        <v>0</v>
      </c>
      <c r="DA514">
        <v>0</v>
      </c>
      <c r="DB514">
        <v>0</v>
      </c>
      <c r="DC514">
        <v>0</v>
      </c>
      <c r="DD514">
        <v>0</v>
      </c>
      <c r="DE514">
        <v>0</v>
      </c>
      <c r="DF514">
        <v>0</v>
      </c>
      <c r="DG514">
        <v>0</v>
      </c>
      <c r="DH514">
        <v>0</v>
      </c>
      <c r="DI514">
        <v>0</v>
      </c>
      <c r="DJ514">
        <v>0</v>
      </c>
      <c r="DK514">
        <v>0</v>
      </c>
      <c r="DL514">
        <v>0</v>
      </c>
      <c r="DM514">
        <v>0</v>
      </c>
      <c r="DN514">
        <v>0</v>
      </c>
      <c r="DO514">
        <v>0</v>
      </c>
      <c r="DP514">
        <v>0</v>
      </c>
      <c r="DQ514">
        <v>0</v>
      </c>
      <c r="DR514">
        <v>0</v>
      </c>
      <c r="DS514">
        <v>0</v>
      </c>
      <c r="DT514">
        <v>0</v>
      </c>
      <c r="DU514">
        <v>0</v>
      </c>
    </row>
    <row r="515" spans="2:125">
      <c r="B515" s="136">
        <v>506</v>
      </c>
      <c r="C515" s="138">
        <v>1</v>
      </c>
      <c r="D515" s="474">
        <v>2974.2197777789461</v>
      </c>
      <c r="E515" s="127">
        <v>287.44392103329261</v>
      </c>
      <c r="F515" s="447">
        <v>0.37465634875177761</v>
      </c>
      <c r="G515" s="127">
        <v>110.04441698764431</v>
      </c>
      <c r="H515" s="132">
        <v>50.266294677699378</v>
      </c>
      <c r="I515" s="456"/>
      <c r="J515" s="45"/>
      <c r="K515" s="45">
        <v>440</v>
      </c>
      <c r="L515" s="463"/>
      <c r="M515" s="456">
        <v>29.707630157470703</v>
      </c>
      <c r="N515" s="457"/>
      <c r="O515" s="456"/>
      <c r="P515" s="46"/>
      <c r="Q515" s="463">
        <v>58.889556884765625</v>
      </c>
      <c r="R515" s="449"/>
      <c r="S515" s="463"/>
      <c r="T515" s="480"/>
      <c r="U515" s="468"/>
      <c r="V515" s="449"/>
      <c r="W515" s="45">
        <v>1210.5731201171875</v>
      </c>
      <c r="X515" s="463">
        <v>104.95989227294922</v>
      </c>
      <c r="Y515" s="449"/>
      <c r="Z515" s="45"/>
      <c r="AA515" s="468">
        <v>0.36373142409832776</v>
      </c>
      <c r="AB515" s="456"/>
      <c r="AC515" s="46"/>
      <c r="AD515" s="46"/>
      <c r="AE515" s="46"/>
      <c r="AF515" s="46"/>
      <c r="AG515" s="46"/>
      <c r="AH515" s="46"/>
      <c r="AI515" s="457"/>
      <c r="AJ515" s="138"/>
      <c r="AK515" s="745"/>
      <c r="AL515" s="54"/>
      <c r="AM515" s="468"/>
      <c r="AN515" s="449"/>
      <c r="AO515" s="45"/>
      <c r="AP515" s="45"/>
      <c r="AQ515" s="45"/>
      <c r="AR515" s="45"/>
      <c r="AS515" s="45"/>
      <c r="AT515" s="45"/>
      <c r="AU515" s="463"/>
      <c r="AV515" s="449"/>
      <c r="AW515" s="45"/>
      <c r="AX515" s="45"/>
      <c r="AY515" s="45"/>
      <c r="AZ515" s="45"/>
      <c r="BA515" s="45"/>
      <c r="BB515" s="45"/>
      <c r="BC515" s="463"/>
      <c r="BD515" s="456"/>
      <c r="BE515" s="46"/>
      <c r="BF515" s="46"/>
      <c r="BG515" s="46"/>
      <c r="BH515" s="46"/>
      <c r="BI515" s="46"/>
      <c r="BJ515" s="457"/>
      <c r="BK515" s="449">
        <v>0</v>
      </c>
      <c r="BL515" s="45"/>
      <c r="BM515" s="45"/>
      <c r="BN515" s="45"/>
      <c r="BO515" s="45"/>
      <c r="BP515" s="45"/>
      <c r="BQ515" s="45"/>
      <c r="BR515" s="45"/>
      <c r="BS515" s="45"/>
      <c r="BT515" s="45"/>
      <c r="BU515" s="45"/>
      <c r="BV515" s="45"/>
      <c r="BW515" s="45"/>
      <c r="BX515" s="45"/>
      <c r="BY515" s="45"/>
      <c r="BZ515" s="45"/>
      <c r="CA515" s="45"/>
      <c r="CB515" s="45"/>
      <c r="CC515" s="45"/>
      <c r="CD515" s="463"/>
      <c r="CE515">
        <v>0</v>
      </c>
      <c r="CF515">
        <v>0</v>
      </c>
      <c r="CG515">
        <v>0</v>
      </c>
      <c r="CH515">
        <v>0</v>
      </c>
      <c r="CI515">
        <v>0</v>
      </c>
      <c r="CJ515">
        <v>0</v>
      </c>
      <c r="CK515">
        <v>0</v>
      </c>
      <c r="CL515">
        <v>0</v>
      </c>
      <c r="CM515">
        <v>0</v>
      </c>
      <c r="CN515">
        <v>0</v>
      </c>
      <c r="CO515">
        <v>0</v>
      </c>
      <c r="CP515">
        <v>0</v>
      </c>
      <c r="CQ515">
        <v>0</v>
      </c>
      <c r="CR515">
        <v>0</v>
      </c>
      <c r="CS515">
        <v>0</v>
      </c>
      <c r="CT515">
        <v>0</v>
      </c>
      <c r="CU515">
        <v>0</v>
      </c>
      <c r="CV515">
        <v>0</v>
      </c>
      <c r="CW515">
        <v>0</v>
      </c>
      <c r="CX515">
        <v>0</v>
      </c>
      <c r="CY515">
        <v>0</v>
      </c>
      <c r="CZ515">
        <v>0</v>
      </c>
      <c r="DA515">
        <v>0</v>
      </c>
      <c r="DB515">
        <v>0</v>
      </c>
      <c r="DC515">
        <v>0</v>
      </c>
      <c r="DD515">
        <v>0</v>
      </c>
      <c r="DE515">
        <v>0</v>
      </c>
      <c r="DF515">
        <v>0</v>
      </c>
      <c r="DG515">
        <v>0</v>
      </c>
      <c r="DH515">
        <v>0</v>
      </c>
      <c r="DI515">
        <v>0</v>
      </c>
      <c r="DJ515">
        <v>0</v>
      </c>
      <c r="DK515">
        <v>0</v>
      </c>
      <c r="DL515">
        <v>0</v>
      </c>
      <c r="DM515">
        <v>0</v>
      </c>
      <c r="DN515">
        <v>0</v>
      </c>
      <c r="DO515">
        <v>0</v>
      </c>
      <c r="DP515">
        <v>0</v>
      </c>
      <c r="DQ515">
        <v>0</v>
      </c>
      <c r="DR515">
        <v>0</v>
      </c>
      <c r="DS515">
        <v>0</v>
      </c>
      <c r="DT515">
        <v>0</v>
      </c>
      <c r="DU515">
        <v>0</v>
      </c>
    </row>
    <row r="516" spans="2:125">
      <c r="B516" s="136">
        <v>507</v>
      </c>
      <c r="C516" s="138">
        <v>1</v>
      </c>
      <c r="D516" s="474">
        <v>3800.2135492612442</v>
      </c>
      <c r="E516" s="127">
        <v>271.99301402076259</v>
      </c>
      <c r="F516" s="447">
        <v>0.39804386754273968</v>
      </c>
      <c r="G516" s="127">
        <v>128.91733001423015</v>
      </c>
      <c r="H516" s="132">
        <v>66.077473625610722</v>
      </c>
      <c r="I516" s="456"/>
      <c r="J516" s="45"/>
      <c r="K516" s="45">
        <v>560</v>
      </c>
      <c r="L516" s="463"/>
      <c r="M516" s="456">
        <v>31.079240798950195</v>
      </c>
      <c r="N516" s="457"/>
      <c r="O516" s="456"/>
      <c r="P516" s="46"/>
      <c r="Q516" s="463">
        <v>83.570114135742187</v>
      </c>
      <c r="R516" s="449"/>
      <c r="S516" s="463"/>
      <c r="T516" s="480"/>
      <c r="U516" s="468"/>
      <c r="V516" s="449"/>
      <c r="W516" s="45">
        <v>1585.2454833984375</v>
      </c>
      <c r="X516" s="463">
        <v>132.70635986328125</v>
      </c>
      <c r="Y516" s="449"/>
      <c r="Z516" s="45"/>
      <c r="AA516" s="468">
        <v>0.38937043987253356</v>
      </c>
      <c r="AB516" s="456"/>
      <c r="AC516" s="46"/>
      <c r="AD516" s="46"/>
      <c r="AE516" s="46"/>
      <c r="AF516" s="46"/>
      <c r="AG516" s="46"/>
      <c r="AH516" s="46"/>
      <c r="AI516" s="457"/>
      <c r="AJ516" s="138"/>
      <c r="AK516" s="745"/>
      <c r="AL516" s="54"/>
      <c r="AM516" s="468"/>
      <c r="AN516" s="449"/>
      <c r="AO516" s="45"/>
      <c r="AP516" s="45"/>
      <c r="AQ516" s="45"/>
      <c r="AR516" s="45"/>
      <c r="AS516" s="45"/>
      <c r="AT516" s="45"/>
      <c r="AU516" s="463"/>
      <c r="AV516" s="449"/>
      <c r="AW516" s="45"/>
      <c r="AX516" s="45"/>
      <c r="AY516" s="45"/>
      <c r="AZ516" s="45"/>
      <c r="BA516" s="45"/>
      <c r="BB516" s="45"/>
      <c r="BC516" s="463"/>
      <c r="BD516" s="456"/>
      <c r="BE516" s="46"/>
      <c r="BF516" s="46"/>
      <c r="BG516" s="46"/>
      <c r="BH516" s="46"/>
      <c r="BI516" s="46"/>
      <c r="BJ516" s="457"/>
      <c r="BK516" s="449">
        <v>0</v>
      </c>
      <c r="BL516" s="45"/>
      <c r="BM516" s="45"/>
      <c r="BN516" s="45"/>
      <c r="BO516" s="45"/>
      <c r="BP516" s="45"/>
      <c r="BQ516" s="45"/>
      <c r="BR516" s="45"/>
      <c r="BS516" s="45"/>
      <c r="BT516" s="45"/>
      <c r="BU516" s="45"/>
      <c r="BV516" s="45"/>
      <c r="BW516" s="45"/>
      <c r="BX516" s="45"/>
      <c r="BY516" s="45"/>
      <c r="BZ516" s="45"/>
      <c r="CA516" s="45"/>
      <c r="CB516" s="45"/>
      <c r="CC516" s="45"/>
      <c r="CD516" s="463"/>
      <c r="CE516">
        <v>0</v>
      </c>
      <c r="CF516">
        <v>0</v>
      </c>
      <c r="CG516">
        <v>0</v>
      </c>
      <c r="CH516">
        <v>0</v>
      </c>
      <c r="CI516">
        <v>0</v>
      </c>
      <c r="CJ516">
        <v>0</v>
      </c>
      <c r="CK516">
        <v>0</v>
      </c>
      <c r="CL516">
        <v>0</v>
      </c>
      <c r="CM516">
        <v>0</v>
      </c>
      <c r="CN516">
        <v>0</v>
      </c>
      <c r="CO516">
        <v>0</v>
      </c>
      <c r="CP516">
        <v>0</v>
      </c>
      <c r="CQ516">
        <v>0</v>
      </c>
      <c r="CR516">
        <v>0</v>
      </c>
      <c r="CS516">
        <v>0</v>
      </c>
      <c r="CT516">
        <v>0</v>
      </c>
      <c r="CU516">
        <v>0</v>
      </c>
      <c r="CV516">
        <v>0</v>
      </c>
      <c r="CW516">
        <v>0</v>
      </c>
      <c r="CX516">
        <v>0</v>
      </c>
      <c r="CY516">
        <v>0</v>
      </c>
      <c r="CZ516">
        <v>0</v>
      </c>
      <c r="DA516">
        <v>0</v>
      </c>
      <c r="DB516">
        <v>0</v>
      </c>
      <c r="DC516">
        <v>0</v>
      </c>
      <c r="DD516">
        <v>0</v>
      </c>
      <c r="DE516">
        <v>0</v>
      </c>
      <c r="DF516">
        <v>0</v>
      </c>
      <c r="DG516">
        <v>0</v>
      </c>
      <c r="DH516">
        <v>0</v>
      </c>
      <c r="DI516">
        <v>0</v>
      </c>
      <c r="DJ516">
        <v>0</v>
      </c>
      <c r="DK516">
        <v>0</v>
      </c>
      <c r="DL516">
        <v>0</v>
      </c>
      <c r="DM516">
        <v>0</v>
      </c>
      <c r="DN516">
        <v>0</v>
      </c>
      <c r="DO516">
        <v>0</v>
      </c>
      <c r="DP516">
        <v>0</v>
      </c>
      <c r="DQ516">
        <v>0</v>
      </c>
      <c r="DR516">
        <v>0</v>
      </c>
      <c r="DS516">
        <v>0</v>
      </c>
      <c r="DT516">
        <v>0</v>
      </c>
      <c r="DU516">
        <v>0</v>
      </c>
    </row>
    <row r="517" spans="2:125">
      <c r="B517" s="136">
        <v>508</v>
      </c>
      <c r="C517" s="138">
        <v>1</v>
      </c>
      <c r="D517" s="474">
        <v>3403.5661889132843</v>
      </c>
      <c r="E517" s="127">
        <v>247.51616364943084</v>
      </c>
      <c r="F517" s="447">
        <v>0.4178884033621913</v>
      </c>
      <c r="G517" s="127">
        <v>117.62649703507243</v>
      </c>
      <c r="H517" s="132">
        <v>56.463193608344987</v>
      </c>
      <c r="I517" s="456"/>
      <c r="J517" s="45"/>
      <c r="K517" s="45">
        <v>480</v>
      </c>
      <c r="L517" s="463"/>
      <c r="M517" s="456">
        <v>33.879177093505859</v>
      </c>
      <c r="N517" s="457"/>
      <c r="O517" s="456"/>
      <c r="P517" s="46"/>
      <c r="Q517" s="463">
        <v>67.390609741210938</v>
      </c>
      <c r="R517" s="449"/>
      <c r="S517" s="463"/>
      <c r="T517" s="480"/>
      <c r="U517" s="468"/>
      <c r="V517" s="449"/>
      <c r="W517" s="45">
        <v>1504.5357666015625</v>
      </c>
      <c r="X517" s="463">
        <v>126.53128051757812</v>
      </c>
      <c r="Y517" s="449"/>
      <c r="Z517" s="45"/>
      <c r="AA517" s="468">
        <v>0.40808757499108378</v>
      </c>
      <c r="AB517" s="456"/>
      <c r="AC517" s="46"/>
      <c r="AD517" s="46"/>
      <c r="AE517" s="46"/>
      <c r="AF517" s="46"/>
      <c r="AG517" s="46"/>
      <c r="AH517" s="46"/>
      <c r="AI517" s="457"/>
      <c r="AJ517" s="138"/>
      <c r="AK517" s="745"/>
      <c r="AL517" s="54"/>
      <c r="AM517" s="468"/>
      <c r="AN517" s="449"/>
      <c r="AO517" s="45"/>
      <c r="AP517" s="45"/>
      <c r="AQ517" s="45"/>
      <c r="AR517" s="45"/>
      <c r="AS517" s="45"/>
      <c r="AT517" s="45"/>
      <c r="AU517" s="463"/>
      <c r="AV517" s="449"/>
      <c r="AW517" s="45"/>
      <c r="AX517" s="45"/>
      <c r="AY517" s="45"/>
      <c r="AZ517" s="45"/>
      <c r="BA517" s="45"/>
      <c r="BB517" s="45"/>
      <c r="BC517" s="463"/>
      <c r="BD517" s="456"/>
      <c r="BE517" s="46"/>
      <c r="BF517" s="46"/>
      <c r="BG517" s="46"/>
      <c r="BH517" s="46"/>
      <c r="BI517" s="46"/>
      <c r="BJ517" s="457"/>
      <c r="BK517" s="449">
        <v>0</v>
      </c>
      <c r="BL517" s="45"/>
      <c r="BM517" s="45"/>
      <c r="BN517" s="45"/>
      <c r="BO517" s="45"/>
      <c r="BP517" s="45"/>
      <c r="BQ517" s="45"/>
      <c r="BR517" s="45"/>
      <c r="BS517" s="45"/>
      <c r="BT517" s="45"/>
      <c r="BU517" s="45"/>
      <c r="BV517" s="45"/>
      <c r="BW517" s="45"/>
      <c r="BX517" s="45"/>
      <c r="BY517" s="45"/>
      <c r="BZ517" s="45"/>
      <c r="CA517" s="45"/>
      <c r="CB517" s="45"/>
      <c r="CC517" s="45"/>
      <c r="CD517" s="463"/>
      <c r="CE517">
        <v>0</v>
      </c>
      <c r="CF517">
        <v>0</v>
      </c>
      <c r="CG517">
        <v>0</v>
      </c>
      <c r="CH517">
        <v>0</v>
      </c>
      <c r="CI517">
        <v>0</v>
      </c>
      <c r="CJ517">
        <v>0</v>
      </c>
      <c r="CK517">
        <v>0</v>
      </c>
      <c r="CL517">
        <v>0</v>
      </c>
      <c r="CM517">
        <v>0</v>
      </c>
      <c r="CN517">
        <v>0</v>
      </c>
      <c r="CO517">
        <v>0</v>
      </c>
      <c r="CP517">
        <v>0</v>
      </c>
      <c r="CQ517">
        <v>0</v>
      </c>
      <c r="CR517">
        <v>0</v>
      </c>
      <c r="CS517">
        <v>0</v>
      </c>
      <c r="CT517">
        <v>0</v>
      </c>
      <c r="CU517">
        <v>0</v>
      </c>
      <c r="CV517">
        <v>0</v>
      </c>
      <c r="CW517">
        <v>0</v>
      </c>
      <c r="CX517">
        <v>0</v>
      </c>
      <c r="CY517">
        <v>0</v>
      </c>
      <c r="CZ517">
        <v>0</v>
      </c>
      <c r="DA517">
        <v>0</v>
      </c>
      <c r="DB517">
        <v>0</v>
      </c>
      <c r="DC517">
        <v>0</v>
      </c>
      <c r="DD517">
        <v>0</v>
      </c>
      <c r="DE517">
        <v>0</v>
      </c>
      <c r="DF517">
        <v>0</v>
      </c>
      <c r="DG517">
        <v>0</v>
      </c>
      <c r="DH517">
        <v>0</v>
      </c>
      <c r="DI517">
        <v>0</v>
      </c>
      <c r="DJ517">
        <v>0</v>
      </c>
      <c r="DK517">
        <v>0</v>
      </c>
      <c r="DL517">
        <v>0</v>
      </c>
      <c r="DM517">
        <v>0</v>
      </c>
      <c r="DN517">
        <v>0</v>
      </c>
      <c r="DO517">
        <v>0</v>
      </c>
      <c r="DP517">
        <v>0</v>
      </c>
      <c r="DQ517">
        <v>0</v>
      </c>
      <c r="DR517">
        <v>0</v>
      </c>
      <c r="DS517">
        <v>0</v>
      </c>
      <c r="DT517">
        <v>0</v>
      </c>
      <c r="DU517">
        <v>0</v>
      </c>
    </row>
    <row r="518" spans="2:125">
      <c r="B518" s="136">
        <v>509</v>
      </c>
      <c r="C518" s="138">
        <v>1</v>
      </c>
      <c r="D518" s="474">
        <v>3450.651230463086</v>
      </c>
      <c r="E518" s="127">
        <v>176.36404350365547</v>
      </c>
      <c r="F518" s="447">
        <v>0.3974382353741745</v>
      </c>
      <c r="G518" s="127">
        <v>117.55086732545513</v>
      </c>
      <c r="H518" s="132">
        <v>63.646279444196061</v>
      </c>
      <c r="I518" s="456"/>
      <c r="J518" s="45"/>
      <c r="K518" s="45">
        <v>510</v>
      </c>
      <c r="L518" s="463"/>
      <c r="M518" s="456">
        <v>30.360733032226563</v>
      </c>
      <c r="N518" s="457"/>
      <c r="O518" s="456"/>
      <c r="P518" s="46"/>
      <c r="Q518" s="463">
        <v>76.631248474121094</v>
      </c>
      <c r="R518" s="449"/>
      <c r="S518" s="463"/>
      <c r="T518" s="480"/>
      <c r="U518" s="468"/>
      <c r="V518" s="449"/>
      <c r="W518" s="45">
        <v>1468.6820068359375</v>
      </c>
      <c r="X518" s="463">
        <v>124.03755950927734</v>
      </c>
      <c r="Y518" s="449"/>
      <c r="Z518" s="45"/>
      <c r="AA518" s="468">
        <v>0.38788967120269152</v>
      </c>
      <c r="AB518" s="456"/>
      <c r="AC518" s="46"/>
      <c r="AD518" s="46"/>
      <c r="AE518" s="46"/>
      <c r="AF518" s="46"/>
      <c r="AG518" s="46"/>
      <c r="AH518" s="46"/>
      <c r="AI518" s="457"/>
      <c r="AJ518" s="138"/>
      <c r="AK518" s="745"/>
      <c r="AL518" s="54"/>
      <c r="AM518" s="468"/>
      <c r="AN518" s="449"/>
      <c r="AO518" s="45"/>
      <c r="AP518" s="45"/>
      <c r="AQ518" s="45"/>
      <c r="AR518" s="45"/>
      <c r="AS518" s="45"/>
      <c r="AT518" s="45"/>
      <c r="AU518" s="463"/>
      <c r="AV518" s="449"/>
      <c r="AW518" s="45"/>
      <c r="AX518" s="45"/>
      <c r="AY518" s="45"/>
      <c r="AZ518" s="45"/>
      <c r="BA518" s="45"/>
      <c r="BB518" s="45"/>
      <c r="BC518" s="463"/>
      <c r="BD518" s="456"/>
      <c r="BE518" s="46"/>
      <c r="BF518" s="46"/>
      <c r="BG518" s="46"/>
      <c r="BH518" s="46"/>
      <c r="BI518" s="46"/>
      <c r="BJ518" s="457"/>
      <c r="BK518" s="449">
        <v>0</v>
      </c>
      <c r="BL518" s="45"/>
      <c r="BM518" s="45"/>
      <c r="BN518" s="45"/>
      <c r="BO518" s="45"/>
      <c r="BP518" s="45"/>
      <c r="BQ518" s="45"/>
      <c r="BR518" s="45"/>
      <c r="BS518" s="45"/>
      <c r="BT518" s="45"/>
      <c r="BU518" s="45"/>
      <c r="BV518" s="45"/>
      <c r="BW518" s="45"/>
      <c r="BX518" s="45"/>
      <c r="BY518" s="45"/>
      <c r="BZ518" s="45"/>
      <c r="CA518" s="45"/>
      <c r="CB518" s="45"/>
      <c r="CC518" s="45"/>
      <c r="CD518" s="463"/>
      <c r="CE518">
        <v>0</v>
      </c>
      <c r="CF518">
        <v>0</v>
      </c>
      <c r="CG518">
        <v>0</v>
      </c>
      <c r="CH518">
        <v>0</v>
      </c>
      <c r="CI518">
        <v>0</v>
      </c>
      <c r="CJ518">
        <v>0</v>
      </c>
      <c r="CK518">
        <v>0</v>
      </c>
      <c r="CL518">
        <v>0</v>
      </c>
      <c r="CM518">
        <v>0</v>
      </c>
      <c r="CN518">
        <v>0</v>
      </c>
      <c r="CO518">
        <v>0</v>
      </c>
      <c r="CP518">
        <v>0</v>
      </c>
      <c r="CQ518">
        <v>0</v>
      </c>
      <c r="CR518">
        <v>0</v>
      </c>
      <c r="CS518">
        <v>0</v>
      </c>
      <c r="CT518">
        <v>0</v>
      </c>
      <c r="CU518">
        <v>0</v>
      </c>
      <c r="CV518">
        <v>0</v>
      </c>
      <c r="CW518">
        <v>0</v>
      </c>
      <c r="CX518">
        <v>0</v>
      </c>
      <c r="CY518">
        <v>0</v>
      </c>
      <c r="CZ518">
        <v>0</v>
      </c>
      <c r="DA518">
        <v>0</v>
      </c>
      <c r="DB518">
        <v>0</v>
      </c>
      <c r="DC518">
        <v>0</v>
      </c>
      <c r="DD518">
        <v>0</v>
      </c>
      <c r="DE518">
        <v>0</v>
      </c>
      <c r="DF518">
        <v>0</v>
      </c>
      <c r="DG518">
        <v>0</v>
      </c>
      <c r="DH518">
        <v>0</v>
      </c>
      <c r="DI518">
        <v>0</v>
      </c>
      <c r="DJ518">
        <v>0</v>
      </c>
      <c r="DK518">
        <v>0</v>
      </c>
      <c r="DL518">
        <v>0</v>
      </c>
      <c r="DM518">
        <v>0</v>
      </c>
      <c r="DN518">
        <v>0</v>
      </c>
      <c r="DO518">
        <v>0</v>
      </c>
      <c r="DP518">
        <v>0</v>
      </c>
      <c r="DQ518">
        <v>0</v>
      </c>
      <c r="DR518">
        <v>0</v>
      </c>
      <c r="DS518">
        <v>0</v>
      </c>
      <c r="DT518">
        <v>0</v>
      </c>
      <c r="DU518">
        <v>0</v>
      </c>
    </row>
    <row r="519" spans="2:125">
      <c r="B519" s="136">
        <v>510</v>
      </c>
      <c r="C519" s="138">
        <v>1</v>
      </c>
      <c r="D519" s="474">
        <v>3484.1344419788657</v>
      </c>
      <c r="E519" s="127">
        <v>214.04644974072511</v>
      </c>
      <c r="F519" s="447">
        <v>0.44707631198541237</v>
      </c>
      <c r="G519" s="127">
        <v>126.70499882279009</v>
      </c>
      <c r="H519" s="132">
        <v>55.544366385419593</v>
      </c>
      <c r="I519" s="456"/>
      <c r="J519" s="45"/>
      <c r="K519" s="45">
        <v>520</v>
      </c>
      <c r="L519" s="463"/>
      <c r="M519" s="456">
        <v>39.999446868896484</v>
      </c>
      <c r="N519" s="457"/>
      <c r="O519" s="456"/>
      <c r="P519" s="46"/>
      <c r="Q519" s="463">
        <v>68.985862731933594</v>
      </c>
      <c r="R519" s="449"/>
      <c r="S519" s="463"/>
      <c r="T519" s="480"/>
      <c r="U519" s="468"/>
      <c r="V519" s="449"/>
      <c r="W519" s="45">
        <v>1782.935791015625</v>
      </c>
      <c r="X519" s="463">
        <v>146.91815185546875</v>
      </c>
      <c r="Y519" s="449"/>
      <c r="Z519" s="45"/>
      <c r="AA519" s="468">
        <v>0.43733457359817873</v>
      </c>
      <c r="AB519" s="456"/>
      <c r="AC519" s="46"/>
      <c r="AD519" s="46"/>
      <c r="AE519" s="46"/>
      <c r="AF519" s="46"/>
      <c r="AG519" s="46"/>
      <c r="AH519" s="46"/>
      <c r="AI519" s="457"/>
      <c r="AJ519" s="138"/>
      <c r="AK519" s="745"/>
      <c r="AL519" s="54"/>
      <c r="AM519" s="468"/>
      <c r="AN519" s="449"/>
      <c r="AO519" s="45"/>
      <c r="AP519" s="45"/>
      <c r="AQ519" s="45"/>
      <c r="AR519" s="45"/>
      <c r="AS519" s="45"/>
      <c r="AT519" s="45"/>
      <c r="AU519" s="463"/>
      <c r="AV519" s="449"/>
      <c r="AW519" s="45"/>
      <c r="AX519" s="45"/>
      <c r="AY519" s="45"/>
      <c r="AZ519" s="45"/>
      <c r="BA519" s="45"/>
      <c r="BB519" s="45"/>
      <c r="BC519" s="463"/>
      <c r="BD519" s="456"/>
      <c r="BE519" s="46"/>
      <c r="BF519" s="46"/>
      <c r="BG519" s="46"/>
      <c r="BH519" s="46"/>
      <c r="BI519" s="46"/>
      <c r="BJ519" s="457"/>
      <c r="BK519" s="449">
        <v>0</v>
      </c>
      <c r="BL519" s="45"/>
      <c r="BM519" s="45"/>
      <c r="BN519" s="45"/>
      <c r="BO519" s="45"/>
      <c r="BP519" s="45"/>
      <c r="BQ519" s="45"/>
      <c r="BR519" s="45"/>
      <c r="BS519" s="45"/>
      <c r="BT519" s="45"/>
      <c r="BU519" s="45"/>
      <c r="BV519" s="45"/>
      <c r="BW519" s="45"/>
      <c r="BX519" s="45"/>
      <c r="BY519" s="45"/>
      <c r="BZ519" s="45"/>
      <c r="CA519" s="45"/>
      <c r="CB519" s="45"/>
      <c r="CC519" s="45"/>
      <c r="CD519" s="463"/>
      <c r="CE519">
        <v>0</v>
      </c>
      <c r="CF519">
        <v>0</v>
      </c>
      <c r="CG519">
        <v>0</v>
      </c>
      <c r="CH519">
        <v>0</v>
      </c>
      <c r="CI519">
        <v>0</v>
      </c>
      <c r="CJ519">
        <v>0</v>
      </c>
      <c r="CK519">
        <v>0</v>
      </c>
      <c r="CL519">
        <v>0</v>
      </c>
      <c r="CM519">
        <v>0</v>
      </c>
      <c r="CN519">
        <v>0</v>
      </c>
      <c r="CO519">
        <v>0</v>
      </c>
      <c r="CP519">
        <v>0</v>
      </c>
      <c r="CQ519">
        <v>0</v>
      </c>
      <c r="CR519">
        <v>0</v>
      </c>
      <c r="CS519">
        <v>0</v>
      </c>
      <c r="CT519">
        <v>0</v>
      </c>
      <c r="CU519">
        <v>0</v>
      </c>
      <c r="CV519">
        <v>0</v>
      </c>
      <c r="CW519">
        <v>0</v>
      </c>
      <c r="CX519">
        <v>0</v>
      </c>
      <c r="CY519">
        <v>0</v>
      </c>
      <c r="CZ519">
        <v>0</v>
      </c>
      <c r="DA519">
        <v>0</v>
      </c>
      <c r="DB519">
        <v>0</v>
      </c>
      <c r="DC519">
        <v>0</v>
      </c>
      <c r="DD519">
        <v>0</v>
      </c>
      <c r="DE519">
        <v>0</v>
      </c>
      <c r="DF519">
        <v>0</v>
      </c>
      <c r="DG519">
        <v>0</v>
      </c>
      <c r="DH519">
        <v>0</v>
      </c>
      <c r="DI519">
        <v>0</v>
      </c>
      <c r="DJ519">
        <v>0</v>
      </c>
      <c r="DK519">
        <v>0</v>
      </c>
      <c r="DL519">
        <v>0</v>
      </c>
      <c r="DM519">
        <v>0</v>
      </c>
      <c r="DN519">
        <v>0</v>
      </c>
      <c r="DO519">
        <v>0</v>
      </c>
      <c r="DP519">
        <v>0</v>
      </c>
      <c r="DQ519">
        <v>0</v>
      </c>
      <c r="DR519">
        <v>0</v>
      </c>
      <c r="DS519">
        <v>0</v>
      </c>
      <c r="DT519">
        <v>0</v>
      </c>
      <c r="DU519">
        <v>0</v>
      </c>
    </row>
    <row r="520" spans="2:125">
      <c r="B520" s="136">
        <v>511</v>
      </c>
      <c r="C520" s="138">
        <v>1</v>
      </c>
      <c r="D520" s="474">
        <v>3058.3725253695238</v>
      </c>
      <c r="E520" s="127">
        <v>180.12117612581318</v>
      </c>
      <c r="F520" s="447">
        <v>0.41709750520119193</v>
      </c>
      <c r="G520" s="127">
        <v>110.46554816143625</v>
      </c>
      <c r="H520" s="132">
        <v>59.326456016133392</v>
      </c>
      <c r="I520" s="456"/>
      <c r="J520" s="45"/>
      <c r="K520" s="45">
        <v>470</v>
      </c>
      <c r="L520" s="463"/>
      <c r="M520" s="456">
        <v>32.725894927978516</v>
      </c>
      <c r="N520" s="457"/>
      <c r="O520" s="456"/>
      <c r="P520" s="46"/>
      <c r="Q520" s="463">
        <v>68.74847412109375</v>
      </c>
      <c r="R520" s="449"/>
      <c r="S520" s="463"/>
      <c r="T520" s="480"/>
      <c r="U520" s="468"/>
      <c r="V520" s="449"/>
      <c r="W520" s="45">
        <v>1469.986572265625</v>
      </c>
      <c r="X520" s="463">
        <v>123.97801971435547</v>
      </c>
      <c r="Y520" s="449"/>
      <c r="Z520" s="45"/>
      <c r="AA520" s="468">
        <v>0.40619564487271698</v>
      </c>
      <c r="AB520" s="456"/>
      <c r="AC520" s="46"/>
      <c r="AD520" s="46"/>
      <c r="AE520" s="46"/>
      <c r="AF520" s="46"/>
      <c r="AG520" s="46"/>
      <c r="AH520" s="46"/>
      <c r="AI520" s="457"/>
      <c r="AJ520" s="138"/>
      <c r="AK520" s="745"/>
      <c r="AL520" s="54"/>
      <c r="AM520" s="468"/>
      <c r="AN520" s="449"/>
      <c r="AO520" s="45"/>
      <c r="AP520" s="45"/>
      <c r="AQ520" s="45"/>
      <c r="AR520" s="45"/>
      <c r="AS520" s="45"/>
      <c r="AT520" s="45"/>
      <c r="AU520" s="463"/>
      <c r="AV520" s="449"/>
      <c r="AW520" s="45"/>
      <c r="AX520" s="45"/>
      <c r="AY520" s="45"/>
      <c r="AZ520" s="45"/>
      <c r="BA520" s="45"/>
      <c r="BB520" s="45"/>
      <c r="BC520" s="463"/>
      <c r="BD520" s="456"/>
      <c r="BE520" s="46"/>
      <c r="BF520" s="46"/>
      <c r="BG520" s="46"/>
      <c r="BH520" s="46"/>
      <c r="BI520" s="46"/>
      <c r="BJ520" s="457"/>
      <c r="BK520" s="449">
        <v>0</v>
      </c>
      <c r="BL520" s="45"/>
      <c r="BM520" s="45"/>
      <c r="BN520" s="45"/>
      <c r="BO520" s="45"/>
      <c r="BP520" s="45"/>
      <c r="BQ520" s="45"/>
      <c r="BR520" s="45"/>
      <c r="BS520" s="45"/>
      <c r="BT520" s="45"/>
      <c r="BU520" s="45"/>
      <c r="BV520" s="45"/>
      <c r="BW520" s="45"/>
      <c r="BX520" s="45"/>
      <c r="BY520" s="45"/>
      <c r="BZ520" s="45"/>
      <c r="CA520" s="45"/>
      <c r="CB520" s="45"/>
      <c r="CC520" s="45"/>
      <c r="CD520" s="463"/>
      <c r="CE520">
        <v>0</v>
      </c>
      <c r="CF520">
        <v>0</v>
      </c>
      <c r="CG520">
        <v>0</v>
      </c>
      <c r="CH520">
        <v>0</v>
      </c>
      <c r="CI520">
        <v>0</v>
      </c>
      <c r="CJ520">
        <v>0</v>
      </c>
      <c r="CK520">
        <v>0</v>
      </c>
      <c r="CL520">
        <v>0</v>
      </c>
      <c r="CM520">
        <v>0</v>
      </c>
      <c r="CN520">
        <v>0</v>
      </c>
      <c r="CO520">
        <v>0</v>
      </c>
      <c r="CP520">
        <v>0</v>
      </c>
      <c r="CQ520">
        <v>0</v>
      </c>
      <c r="CR520">
        <v>0</v>
      </c>
      <c r="CS520">
        <v>0</v>
      </c>
      <c r="CT520">
        <v>0</v>
      </c>
      <c r="CU520">
        <v>0</v>
      </c>
      <c r="CV520">
        <v>0</v>
      </c>
      <c r="CW520">
        <v>0</v>
      </c>
      <c r="CX520">
        <v>0</v>
      </c>
      <c r="CY520">
        <v>0</v>
      </c>
      <c r="CZ520">
        <v>0</v>
      </c>
      <c r="DA520">
        <v>0</v>
      </c>
      <c r="DB520">
        <v>0</v>
      </c>
      <c r="DC520">
        <v>0</v>
      </c>
      <c r="DD520">
        <v>0</v>
      </c>
      <c r="DE520">
        <v>0</v>
      </c>
      <c r="DF520">
        <v>0</v>
      </c>
      <c r="DG520">
        <v>0</v>
      </c>
      <c r="DH520">
        <v>0</v>
      </c>
      <c r="DI520">
        <v>0</v>
      </c>
      <c r="DJ520">
        <v>0</v>
      </c>
      <c r="DK520">
        <v>0</v>
      </c>
      <c r="DL520">
        <v>0</v>
      </c>
      <c r="DM520">
        <v>0</v>
      </c>
      <c r="DN520">
        <v>0</v>
      </c>
      <c r="DO520">
        <v>0</v>
      </c>
      <c r="DP520">
        <v>0</v>
      </c>
      <c r="DQ520">
        <v>0</v>
      </c>
      <c r="DR520">
        <v>0</v>
      </c>
      <c r="DS520">
        <v>0</v>
      </c>
      <c r="DT520">
        <v>0</v>
      </c>
      <c r="DU520">
        <v>0</v>
      </c>
    </row>
    <row r="521" spans="2:125">
      <c r="B521" s="136">
        <v>512</v>
      </c>
      <c r="C521" s="138">
        <v>1</v>
      </c>
      <c r="D521" s="474">
        <v>3596.7007217215596</v>
      </c>
      <c r="E521" s="127">
        <v>284.01406099660011</v>
      </c>
      <c r="F521" s="447">
        <v>0.42892290520764464</v>
      </c>
      <c r="G521" s="127">
        <v>139.33497524105874</v>
      </c>
      <c r="H521" s="132">
        <v>54.222241556365866</v>
      </c>
      <c r="I521" s="456"/>
      <c r="J521" s="45"/>
      <c r="K521" s="45">
        <v>550</v>
      </c>
      <c r="L521" s="463"/>
      <c r="M521" s="456">
        <v>38.368850708007812</v>
      </c>
      <c r="N521" s="457"/>
      <c r="O521" s="456"/>
      <c r="P521" s="46"/>
      <c r="Q521" s="463">
        <v>71.214675903320313</v>
      </c>
      <c r="R521" s="449"/>
      <c r="S521" s="463"/>
      <c r="T521" s="480"/>
      <c r="U521" s="468"/>
      <c r="V521" s="449"/>
      <c r="W521" s="45">
        <v>1759.73974609375</v>
      </c>
      <c r="X521" s="463">
        <v>145.36460876464844</v>
      </c>
      <c r="Y521" s="449"/>
      <c r="Z521" s="45"/>
      <c r="AA521" s="468">
        <v>0.41958699969252566</v>
      </c>
      <c r="AB521" s="456"/>
      <c r="AC521" s="46"/>
      <c r="AD521" s="46"/>
      <c r="AE521" s="46"/>
      <c r="AF521" s="46"/>
      <c r="AG521" s="46"/>
      <c r="AH521" s="46"/>
      <c r="AI521" s="457"/>
      <c r="AJ521" s="138"/>
      <c r="AK521" s="745"/>
      <c r="AL521" s="54"/>
      <c r="AM521" s="468"/>
      <c r="AN521" s="449"/>
      <c r="AO521" s="45"/>
      <c r="AP521" s="45"/>
      <c r="AQ521" s="45"/>
      <c r="AR521" s="45"/>
      <c r="AS521" s="45"/>
      <c r="AT521" s="45"/>
      <c r="AU521" s="463"/>
      <c r="AV521" s="449"/>
      <c r="AW521" s="45"/>
      <c r="AX521" s="45"/>
      <c r="AY521" s="45"/>
      <c r="AZ521" s="45"/>
      <c r="BA521" s="45"/>
      <c r="BB521" s="45"/>
      <c r="BC521" s="463"/>
      <c r="BD521" s="456"/>
      <c r="BE521" s="46"/>
      <c r="BF521" s="46"/>
      <c r="BG521" s="46"/>
      <c r="BH521" s="46"/>
      <c r="BI521" s="46"/>
      <c r="BJ521" s="457"/>
      <c r="BK521" s="449">
        <v>0</v>
      </c>
      <c r="BL521" s="45"/>
      <c r="BM521" s="45"/>
      <c r="BN521" s="45"/>
      <c r="BO521" s="45"/>
      <c r="BP521" s="45"/>
      <c r="BQ521" s="45"/>
      <c r="BR521" s="45"/>
      <c r="BS521" s="45"/>
      <c r="BT521" s="45"/>
      <c r="BU521" s="45"/>
      <c r="BV521" s="45"/>
      <c r="BW521" s="45"/>
      <c r="BX521" s="45"/>
      <c r="BY521" s="45"/>
      <c r="BZ521" s="45"/>
      <c r="CA521" s="45"/>
      <c r="CB521" s="45"/>
      <c r="CC521" s="45"/>
      <c r="CD521" s="463"/>
      <c r="CE521">
        <v>0</v>
      </c>
      <c r="CF521">
        <v>0</v>
      </c>
      <c r="CG521">
        <v>0</v>
      </c>
      <c r="CH521">
        <v>0</v>
      </c>
      <c r="CI521">
        <v>0</v>
      </c>
      <c r="CJ521">
        <v>0</v>
      </c>
      <c r="CK521">
        <v>0</v>
      </c>
      <c r="CL521">
        <v>0</v>
      </c>
      <c r="CM521">
        <v>0</v>
      </c>
      <c r="CN521">
        <v>0</v>
      </c>
      <c r="CO521">
        <v>0</v>
      </c>
      <c r="CP521">
        <v>0</v>
      </c>
      <c r="CQ521">
        <v>0</v>
      </c>
      <c r="CR521">
        <v>0</v>
      </c>
      <c r="CS521">
        <v>0</v>
      </c>
      <c r="CT521">
        <v>0</v>
      </c>
      <c r="CU521">
        <v>0</v>
      </c>
      <c r="CV521">
        <v>0</v>
      </c>
      <c r="CW521">
        <v>0</v>
      </c>
      <c r="CX521">
        <v>0</v>
      </c>
      <c r="CY521">
        <v>0</v>
      </c>
      <c r="CZ521">
        <v>0</v>
      </c>
      <c r="DA521">
        <v>0</v>
      </c>
      <c r="DB521">
        <v>0</v>
      </c>
      <c r="DC521">
        <v>0</v>
      </c>
      <c r="DD521">
        <v>0</v>
      </c>
      <c r="DE521">
        <v>0</v>
      </c>
      <c r="DF521">
        <v>0</v>
      </c>
      <c r="DG521">
        <v>0</v>
      </c>
      <c r="DH521">
        <v>0</v>
      </c>
      <c r="DI521">
        <v>0</v>
      </c>
      <c r="DJ521">
        <v>0</v>
      </c>
      <c r="DK521">
        <v>0</v>
      </c>
      <c r="DL521">
        <v>0</v>
      </c>
      <c r="DM521">
        <v>0</v>
      </c>
      <c r="DN521">
        <v>0</v>
      </c>
      <c r="DO521">
        <v>0</v>
      </c>
      <c r="DP521">
        <v>0</v>
      </c>
      <c r="DQ521">
        <v>0</v>
      </c>
      <c r="DR521">
        <v>0</v>
      </c>
      <c r="DS521">
        <v>0</v>
      </c>
      <c r="DT521">
        <v>0</v>
      </c>
      <c r="DU521">
        <v>0</v>
      </c>
    </row>
    <row r="522" spans="2:125">
      <c r="B522" s="136">
        <v>513</v>
      </c>
      <c r="C522" s="138">
        <v>1</v>
      </c>
      <c r="D522" s="474">
        <v>3927.1731863160717</v>
      </c>
      <c r="E522" s="127">
        <v>241.35707584489955</v>
      </c>
      <c r="F522" s="447">
        <v>0.46015271076679809</v>
      </c>
      <c r="G522" s="127">
        <v>122.36064802711519</v>
      </c>
      <c r="H522" s="132">
        <v>63.46351186270563</v>
      </c>
      <c r="I522" s="456"/>
      <c r="J522" s="45"/>
      <c r="K522" s="45">
        <v>540</v>
      </c>
      <c r="L522" s="463"/>
      <c r="M522" s="456">
        <v>40.376762390136719</v>
      </c>
      <c r="N522" s="457"/>
      <c r="O522" s="456"/>
      <c r="P522" s="46"/>
      <c r="Q522" s="463">
        <v>77.758033752441406</v>
      </c>
      <c r="R522" s="449"/>
      <c r="S522" s="463"/>
      <c r="T522" s="480"/>
      <c r="U522" s="468"/>
      <c r="V522" s="449"/>
      <c r="W522" s="45">
        <v>1920.8941650390625</v>
      </c>
      <c r="X522" s="463">
        <v>157.02543640136719</v>
      </c>
      <c r="Y522" s="449"/>
      <c r="Z522" s="45"/>
      <c r="AA522" s="468">
        <v>0.45144337899235182</v>
      </c>
      <c r="AB522" s="456"/>
      <c r="AC522" s="46"/>
      <c r="AD522" s="46"/>
      <c r="AE522" s="46"/>
      <c r="AF522" s="46"/>
      <c r="AG522" s="46"/>
      <c r="AH522" s="46"/>
      <c r="AI522" s="457"/>
      <c r="AJ522" s="138"/>
      <c r="AK522" s="745"/>
      <c r="AL522" s="54"/>
      <c r="AM522" s="468"/>
      <c r="AN522" s="449"/>
      <c r="AO522" s="45"/>
      <c r="AP522" s="45"/>
      <c r="AQ522" s="45"/>
      <c r="AR522" s="45"/>
      <c r="AS522" s="45"/>
      <c r="AT522" s="45"/>
      <c r="AU522" s="463"/>
      <c r="AV522" s="449"/>
      <c r="AW522" s="45"/>
      <c r="AX522" s="45"/>
      <c r="AY522" s="45"/>
      <c r="AZ522" s="45"/>
      <c r="BA522" s="45"/>
      <c r="BB522" s="45"/>
      <c r="BC522" s="463"/>
      <c r="BD522" s="456"/>
      <c r="BE522" s="46"/>
      <c r="BF522" s="46"/>
      <c r="BG522" s="46"/>
      <c r="BH522" s="46"/>
      <c r="BI522" s="46"/>
      <c r="BJ522" s="457"/>
      <c r="BK522" s="449">
        <v>0</v>
      </c>
      <c r="BL522" s="45"/>
      <c r="BM522" s="45"/>
      <c r="BN522" s="45"/>
      <c r="BO522" s="45"/>
      <c r="BP522" s="45"/>
      <c r="BQ522" s="45"/>
      <c r="BR522" s="45"/>
      <c r="BS522" s="45"/>
      <c r="BT522" s="45"/>
      <c r="BU522" s="45"/>
      <c r="BV522" s="45"/>
      <c r="BW522" s="45"/>
      <c r="BX522" s="45"/>
      <c r="BY522" s="45"/>
      <c r="BZ522" s="45"/>
      <c r="CA522" s="45"/>
      <c r="CB522" s="45"/>
      <c r="CC522" s="45"/>
      <c r="CD522" s="463"/>
      <c r="CE522">
        <v>0</v>
      </c>
      <c r="CF522">
        <v>0</v>
      </c>
      <c r="CG522">
        <v>0</v>
      </c>
      <c r="CH522">
        <v>0</v>
      </c>
      <c r="CI522">
        <v>0</v>
      </c>
      <c r="CJ522">
        <v>0</v>
      </c>
      <c r="CK522">
        <v>0</v>
      </c>
      <c r="CL522">
        <v>0</v>
      </c>
      <c r="CM522">
        <v>0</v>
      </c>
      <c r="CN522">
        <v>0</v>
      </c>
      <c r="CO522">
        <v>0</v>
      </c>
      <c r="CP522">
        <v>0</v>
      </c>
      <c r="CQ522">
        <v>0</v>
      </c>
      <c r="CR522">
        <v>0</v>
      </c>
      <c r="CS522">
        <v>0</v>
      </c>
      <c r="CT522">
        <v>0</v>
      </c>
      <c r="CU522">
        <v>0</v>
      </c>
      <c r="CV522">
        <v>0</v>
      </c>
      <c r="CW522">
        <v>0</v>
      </c>
      <c r="CX522">
        <v>0</v>
      </c>
      <c r="CY522">
        <v>0</v>
      </c>
      <c r="CZ522">
        <v>0</v>
      </c>
      <c r="DA522">
        <v>0</v>
      </c>
      <c r="DB522">
        <v>0</v>
      </c>
      <c r="DC522">
        <v>0</v>
      </c>
      <c r="DD522">
        <v>0</v>
      </c>
      <c r="DE522">
        <v>0</v>
      </c>
      <c r="DF522">
        <v>0</v>
      </c>
      <c r="DG522">
        <v>0</v>
      </c>
      <c r="DH522">
        <v>0</v>
      </c>
      <c r="DI522">
        <v>0</v>
      </c>
      <c r="DJ522">
        <v>0</v>
      </c>
      <c r="DK522">
        <v>0</v>
      </c>
      <c r="DL522">
        <v>0</v>
      </c>
      <c r="DM522">
        <v>0</v>
      </c>
      <c r="DN522">
        <v>0</v>
      </c>
      <c r="DO522">
        <v>0</v>
      </c>
      <c r="DP522">
        <v>0</v>
      </c>
      <c r="DQ522">
        <v>0</v>
      </c>
      <c r="DR522">
        <v>0</v>
      </c>
      <c r="DS522">
        <v>0</v>
      </c>
      <c r="DT522">
        <v>0</v>
      </c>
      <c r="DU522">
        <v>0</v>
      </c>
    </row>
    <row r="523" spans="2:125">
      <c r="B523" s="136">
        <v>514</v>
      </c>
      <c r="C523" s="138">
        <v>1</v>
      </c>
      <c r="D523" s="474">
        <v>3146.1607957466895</v>
      </c>
      <c r="E523" s="127">
        <v>247.56188090767759</v>
      </c>
      <c r="F523" s="447">
        <v>0.46307105619017291</v>
      </c>
      <c r="G523" s="127">
        <v>118.37591991590186</v>
      </c>
      <c r="H523" s="132">
        <v>58.821162165270017</v>
      </c>
      <c r="I523" s="456"/>
      <c r="J523" s="45"/>
      <c r="K523" s="45">
        <v>500</v>
      </c>
      <c r="L523" s="463"/>
      <c r="M523" s="456">
        <v>41.174568176269531</v>
      </c>
      <c r="N523" s="457"/>
      <c r="O523" s="456"/>
      <c r="P523" s="46"/>
      <c r="Q523" s="463">
        <v>70.405502319335937</v>
      </c>
      <c r="R523" s="449"/>
      <c r="S523" s="463"/>
      <c r="T523" s="480"/>
      <c r="U523" s="468"/>
      <c r="V523" s="449"/>
      <c r="W523" s="45">
        <v>1843.6044921875</v>
      </c>
      <c r="X523" s="463">
        <v>151.26710510253906</v>
      </c>
      <c r="Y523" s="449"/>
      <c r="Z523" s="45"/>
      <c r="AA523" s="468">
        <v>0.45218114199058029</v>
      </c>
      <c r="AB523" s="456"/>
      <c r="AC523" s="46"/>
      <c r="AD523" s="46"/>
      <c r="AE523" s="46"/>
      <c r="AF523" s="46"/>
      <c r="AG523" s="46"/>
      <c r="AH523" s="46"/>
      <c r="AI523" s="457"/>
      <c r="AJ523" s="138"/>
      <c r="AK523" s="745"/>
      <c r="AL523" s="54"/>
      <c r="AM523" s="468"/>
      <c r="AN523" s="449"/>
      <c r="AO523" s="45"/>
      <c r="AP523" s="45"/>
      <c r="AQ523" s="45"/>
      <c r="AR523" s="45"/>
      <c r="AS523" s="45"/>
      <c r="AT523" s="45"/>
      <c r="AU523" s="463"/>
      <c r="AV523" s="449"/>
      <c r="AW523" s="45"/>
      <c r="AX523" s="45"/>
      <c r="AY523" s="45"/>
      <c r="AZ523" s="45"/>
      <c r="BA523" s="45"/>
      <c r="BB523" s="45"/>
      <c r="BC523" s="463"/>
      <c r="BD523" s="456"/>
      <c r="BE523" s="46"/>
      <c r="BF523" s="46"/>
      <c r="BG523" s="46"/>
      <c r="BH523" s="46"/>
      <c r="BI523" s="46"/>
      <c r="BJ523" s="457"/>
      <c r="BK523" s="449">
        <v>0</v>
      </c>
      <c r="BL523" s="45"/>
      <c r="BM523" s="45"/>
      <c r="BN523" s="45"/>
      <c r="BO523" s="45"/>
      <c r="BP523" s="45"/>
      <c r="BQ523" s="45"/>
      <c r="BR523" s="45"/>
      <c r="BS523" s="45"/>
      <c r="BT523" s="45"/>
      <c r="BU523" s="45"/>
      <c r="BV523" s="45"/>
      <c r="BW523" s="45"/>
      <c r="BX523" s="45"/>
      <c r="BY523" s="45"/>
      <c r="BZ523" s="45"/>
      <c r="CA523" s="45"/>
      <c r="CB523" s="45"/>
      <c r="CC523" s="45"/>
      <c r="CD523" s="463"/>
      <c r="CE523">
        <v>0</v>
      </c>
      <c r="CF523">
        <v>0</v>
      </c>
      <c r="CG523">
        <v>0</v>
      </c>
      <c r="CH523">
        <v>0</v>
      </c>
      <c r="CI523">
        <v>0</v>
      </c>
      <c r="CJ523">
        <v>0</v>
      </c>
      <c r="CK523">
        <v>0</v>
      </c>
      <c r="CL523">
        <v>0</v>
      </c>
      <c r="CM523">
        <v>0</v>
      </c>
      <c r="CN523">
        <v>0</v>
      </c>
      <c r="CO523">
        <v>0</v>
      </c>
      <c r="CP523">
        <v>0</v>
      </c>
      <c r="CQ523">
        <v>0</v>
      </c>
      <c r="CR523">
        <v>0</v>
      </c>
      <c r="CS523">
        <v>0</v>
      </c>
      <c r="CT523">
        <v>0</v>
      </c>
      <c r="CU523">
        <v>0</v>
      </c>
      <c r="CV523">
        <v>0</v>
      </c>
      <c r="CW523">
        <v>0</v>
      </c>
      <c r="CX523">
        <v>0</v>
      </c>
      <c r="CY523">
        <v>0</v>
      </c>
      <c r="CZ523">
        <v>0</v>
      </c>
      <c r="DA523">
        <v>0</v>
      </c>
      <c r="DB523">
        <v>0</v>
      </c>
      <c r="DC523">
        <v>0</v>
      </c>
      <c r="DD523">
        <v>0</v>
      </c>
      <c r="DE523">
        <v>0</v>
      </c>
      <c r="DF523">
        <v>0</v>
      </c>
      <c r="DG523">
        <v>0</v>
      </c>
      <c r="DH523">
        <v>0</v>
      </c>
      <c r="DI523">
        <v>0</v>
      </c>
      <c r="DJ523">
        <v>0</v>
      </c>
      <c r="DK523">
        <v>0</v>
      </c>
      <c r="DL523">
        <v>0</v>
      </c>
      <c r="DM523">
        <v>0</v>
      </c>
      <c r="DN523">
        <v>0</v>
      </c>
      <c r="DO523">
        <v>0</v>
      </c>
      <c r="DP523">
        <v>0</v>
      </c>
      <c r="DQ523">
        <v>0</v>
      </c>
      <c r="DR523">
        <v>0</v>
      </c>
      <c r="DS523">
        <v>0</v>
      </c>
      <c r="DT523">
        <v>0</v>
      </c>
      <c r="DU523">
        <v>0</v>
      </c>
    </row>
    <row r="524" spans="2:125">
      <c r="B524" s="136">
        <v>515</v>
      </c>
      <c r="C524" s="138">
        <v>1</v>
      </c>
      <c r="D524" s="474">
        <v>2685.7786651706219</v>
      </c>
      <c r="E524" s="127">
        <v>255.73509909749893</v>
      </c>
      <c r="F524" s="447">
        <v>0.46989139109626649</v>
      </c>
      <c r="G524" s="127">
        <v>111.20256474337587</v>
      </c>
      <c r="H524" s="132">
        <v>42.398654539301589</v>
      </c>
      <c r="I524" s="456"/>
      <c r="J524" s="45"/>
      <c r="K524" s="45">
        <v>430</v>
      </c>
      <c r="L524" s="463"/>
      <c r="M524" s="456">
        <v>44.852367401123047</v>
      </c>
      <c r="N524" s="457"/>
      <c r="O524" s="456"/>
      <c r="P524" s="46"/>
      <c r="Q524" s="463">
        <v>53.178421020507812</v>
      </c>
      <c r="R524" s="449"/>
      <c r="S524" s="463"/>
      <c r="T524" s="480"/>
      <c r="U524" s="468"/>
      <c r="V524" s="449"/>
      <c r="W524" s="45">
        <v>1678.80810546875</v>
      </c>
      <c r="X524" s="463">
        <v>138.98287963867187</v>
      </c>
      <c r="Y524" s="449"/>
      <c r="Z524" s="45"/>
      <c r="AA524" s="468">
        <v>0.45708399625468893</v>
      </c>
      <c r="AB524" s="456"/>
      <c r="AC524" s="46"/>
      <c r="AD524" s="46"/>
      <c r="AE524" s="46"/>
      <c r="AF524" s="46"/>
      <c r="AG524" s="46"/>
      <c r="AH524" s="46"/>
      <c r="AI524" s="457"/>
      <c r="AJ524" s="138"/>
      <c r="AK524" s="745"/>
      <c r="AL524" s="54"/>
      <c r="AM524" s="468"/>
      <c r="AN524" s="449"/>
      <c r="AO524" s="45"/>
      <c r="AP524" s="45"/>
      <c r="AQ524" s="45"/>
      <c r="AR524" s="45"/>
      <c r="AS524" s="45"/>
      <c r="AT524" s="45"/>
      <c r="AU524" s="463"/>
      <c r="AV524" s="449"/>
      <c r="AW524" s="45"/>
      <c r="AX524" s="45"/>
      <c r="AY524" s="45"/>
      <c r="AZ524" s="45"/>
      <c r="BA524" s="45"/>
      <c r="BB524" s="45"/>
      <c r="BC524" s="463"/>
      <c r="BD524" s="456"/>
      <c r="BE524" s="46"/>
      <c r="BF524" s="46"/>
      <c r="BG524" s="46"/>
      <c r="BH524" s="46"/>
      <c r="BI524" s="46"/>
      <c r="BJ524" s="457"/>
      <c r="BK524" s="449">
        <v>0</v>
      </c>
      <c r="BL524" s="45"/>
      <c r="BM524" s="45"/>
      <c r="BN524" s="45"/>
      <c r="BO524" s="45"/>
      <c r="BP524" s="45"/>
      <c r="BQ524" s="45"/>
      <c r="BR524" s="45"/>
      <c r="BS524" s="45"/>
      <c r="BT524" s="45"/>
      <c r="BU524" s="45"/>
      <c r="BV524" s="45"/>
      <c r="BW524" s="45"/>
      <c r="BX524" s="45"/>
      <c r="BY524" s="45"/>
      <c r="BZ524" s="45"/>
      <c r="CA524" s="45"/>
      <c r="CB524" s="45"/>
      <c r="CC524" s="45"/>
      <c r="CD524" s="463"/>
      <c r="CE524">
        <v>0</v>
      </c>
      <c r="CF524">
        <v>0</v>
      </c>
      <c r="CG524">
        <v>0</v>
      </c>
      <c r="CH524">
        <v>0</v>
      </c>
      <c r="CI524">
        <v>0</v>
      </c>
      <c r="CJ524">
        <v>0</v>
      </c>
      <c r="CK524">
        <v>0</v>
      </c>
      <c r="CL524">
        <v>0</v>
      </c>
      <c r="CM524">
        <v>0</v>
      </c>
      <c r="CN524">
        <v>0</v>
      </c>
      <c r="CO524">
        <v>0</v>
      </c>
      <c r="CP524">
        <v>0</v>
      </c>
      <c r="CQ524">
        <v>0</v>
      </c>
      <c r="CR524">
        <v>0</v>
      </c>
      <c r="CS524">
        <v>0</v>
      </c>
      <c r="CT524">
        <v>0</v>
      </c>
      <c r="CU524">
        <v>0</v>
      </c>
      <c r="CV524">
        <v>0</v>
      </c>
      <c r="CW524">
        <v>0</v>
      </c>
      <c r="CX524">
        <v>0</v>
      </c>
      <c r="CY524">
        <v>0</v>
      </c>
      <c r="CZ524">
        <v>0</v>
      </c>
      <c r="DA524">
        <v>0</v>
      </c>
      <c r="DB524">
        <v>0</v>
      </c>
      <c r="DC524">
        <v>0</v>
      </c>
      <c r="DD524">
        <v>0</v>
      </c>
      <c r="DE524">
        <v>0</v>
      </c>
      <c r="DF524">
        <v>0</v>
      </c>
      <c r="DG524">
        <v>0</v>
      </c>
      <c r="DH524">
        <v>0</v>
      </c>
      <c r="DI524">
        <v>0</v>
      </c>
      <c r="DJ524">
        <v>0</v>
      </c>
      <c r="DK524">
        <v>0</v>
      </c>
      <c r="DL524">
        <v>0</v>
      </c>
      <c r="DM524">
        <v>0</v>
      </c>
      <c r="DN524">
        <v>0</v>
      </c>
      <c r="DO524">
        <v>0</v>
      </c>
      <c r="DP524">
        <v>0</v>
      </c>
      <c r="DQ524">
        <v>0</v>
      </c>
      <c r="DR524">
        <v>0</v>
      </c>
      <c r="DS524">
        <v>0</v>
      </c>
      <c r="DT524">
        <v>0</v>
      </c>
      <c r="DU524">
        <v>0</v>
      </c>
    </row>
    <row r="525" spans="2:125">
      <c r="B525" s="136">
        <v>516</v>
      </c>
      <c r="C525" s="138">
        <v>1</v>
      </c>
      <c r="D525" s="474">
        <v>3118.7014565198228</v>
      </c>
      <c r="E525" s="127">
        <v>226.91490114831308</v>
      </c>
      <c r="F525" s="447">
        <v>0.46343781063998418</v>
      </c>
      <c r="G525" s="127">
        <v>101.8018229256396</v>
      </c>
      <c r="H525" s="132">
        <v>55.511160404586342</v>
      </c>
      <c r="I525" s="456"/>
      <c r="J525" s="45"/>
      <c r="K525" s="45">
        <v>440</v>
      </c>
      <c r="L525" s="463"/>
      <c r="M525" s="456">
        <v>39.431365966796875</v>
      </c>
      <c r="N525" s="457"/>
      <c r="O525" s="456"/>
      <c r="P525" s="46"/>
      <c r="Q525" s="463">
        <v>61.750293731689453</v>
      </c>
      <c r="R525" s="449"/>
      <c r="S525" s="463"/>
      <c r="T525" s="480"/>
      <c r="U525" s="468"/>
      <c r="V525" s="449"/>
      <c r="W525" s="45">
        <v>1626.53515625</v>
      </c>
      <c r="X525" s="463">
        <v>135.20402526855469</v>
      </c>
      <c r="Y525" s="449"/>
      <c r="Z525" s="45"/>
      <c r="AA525" s="468">
        <v>0.45244966166498091</v>
      </c>
      <c r="AB525" s="456"/>
      <c r="AC525" s="46"/>
      <c r="AD525" s="46"/>
      <c r="AE525" s="46"/>
      <c r="AF525" s="46"/>
      <c r="AG525" s="46"/>
      <c r="AH525" s="46"/>
      <c r="AI525" s="457"/>
      <c r="AJ525" s="138"/>
      <c r="AK525" s="745"/>
      <c r="AL525" s="54"/>
      <c r="AM525" s="468"/>
      <c r="AN525" s="449"/>
      <c r="AO525" s="45"/>
      <c r="AP525" s="45"/>
      <c r="AQ525" s="45"/>
      <c r="AR525" s="45"/>
      <c r="AS525" s="45"/>
      <c r="AT525" s="45"/>
      <c r="AU525" s="463"/>
      <c r="AV525" s="449"/>
      <c r="AW525" s="45"/>
      <c r="AX525" s="45"/>
      <c r="AY525" s="45"/>
      <c r="AZ525" s="45"/>
      <c r="BA525" s="45"/>
      <c r="BB525" s="45"/>
      <c r="BC525" s="463"/>
      <c r="BD525" s="456"/>
      <c r="BE525" s="46"/>
      <c r="BF525" s="46"/>
      <c r="BG525" s="46"/>
      <c r="BH525" s="46"/>
      <c r="BI525" s="46"/>
      <c r="BJ525" s="457"/>
      <c r="BK525" s="449">
        <v>0</v>
      </c>
      <c r="BL525" s="45"/>
      <c r="BM525" s="45"/>
      <c r="BN525" s="45"/>
      <c r="BO525" s="45"/>
      <c r="BP525" s="45"/>
      <c r="BQ525" s="45"/>
      <c r="BR525" s="45"/>
      <c r="BS525" s="45"/>
      <c r="BT525" s="45"/>
      <c r="BU525" s="45"/>
      <c r="BV525" s="45"/>
      <c r="BW525" s="45"/>
      <c r="BX525" s="45"/>
      <c r="BY525" s="45"/>
      <c r="BZ525" s="45"/>
      <c r="CA525" s="45"/>
      <c r="CB525" s="45"/>
      <c r="CC525" s="45"/>
      <c r="CD525" s="463"/>
      <c r="CE525">
        <v>0</v>
      </c>
      <c r="CF525">
        <v>0</v>
      </c>
      <c r="CG525">
        <v>0</v>
      </c>
      <c r="CH525">
        <v>0</v>
      </c>
      <c r="CI525">
        <v>0</v>
      </c>
      <c r="CJ525">
        <v>0</v>
      </c>
      <c r="CK525">
        <v>0</v>
      </c>
      <c r="CL525">
        <v>0</v>
      </c>
      <c r="CM525">
        <v>0</v>
      </c>
      <c r="CN525">
        <v>0</v>
      </c>
      <c r="CO525">
        <v>0</v>
      </c>
      <c r="CP525">
        <v>0</v>
      </c>
      <c r="CQ525">
        <v>0</v>
      </c>
      <c r="CR525">
        <v>0</v>
      </c>
      <c r="CS525">
        <v>0</v>
      </c>
      <c r="CT525">
        <v>0</v>
      </c>
      <c r="CU525">
        <v>0</v>
      </c>
      <c r="CV525">
        <v>0</v>
      </c>
      <c r="CW525">
        <v>0</v>
      </c>
      <c r="CX525">
        <v>0</v>
      </c>
      <c r="CY525">
        <v>0</v>
      </c>
      <c r="CZ525">
        <v>0</v>
      </c>
      <c r="DA525">
        <v>0</v>
      </c>
      <c r="DB525">
        <v>0</v>
      </c>
      <c r="DC525">
        <v>0</v>
      </c>
      <c r="DD525">
        <v>0</v>
      </c>
      <c r="DE525">
        <v>0</v>
      </c>
      <c r="DF525">
        <v>0</v>
      </c>
      <c r="DG525">
        <v>0</v>
      </c>
      <c r="DH525">
        <v>0</v>
      </c>
      <c r="DI525">
        <v>0</v>
      </c>
      <c r="DJ525">
        <v>0</v>
      </c>
      <c r="DK525">
        <v>0</v>
      </c>
      <c r="DL525">
        <v>0</v>
      </c>
      <c r="DM525">
        <v>0</v>
      </c>
      <c r="DN525">
        <v>0</v>
      </c>
      <c r="DO525">
        <v>0</v>
      </c>
      <c r="DP525">
        <v>0</v>
      </c>
      <c r="DQ525">
        <v>0</v>
      </c>
      <c r="DR525">
        <v>0</v>
      </c>
      <c r="DS525">
        <v>0</v>
      </c>
      <c r="DT525">
        <v>0</v>
      </c>
      <c r="DU525">
        <v>0</v>
      </c>
    </row>
    <row r="526" spans="2:125">
      <c r="B526" s="136">
        <v>517</v>
      </c>
      <c r="C526" s="138">
        <v>1</v>
      </c>
      <c r="D526" s="474">
        <v>2958.3458898509944</v>
      </c>
      <c r="E526" s="127">
        <v>260.09062811253733</v>
      </c>
      <c r="F526" s="447">
        <v>0.49052715177512773</v>
      </c>
      <c r="G526" s="127">
        <v>97.878040003929684</v>
      </c>
      <c r="H526" s="132">
        <v>53.591018416841372</v>
      </c>
      <c r="I526" s="456"/>
      <c r="J526" s="45"/>
      <c r="K526" s="45">
        <v>420</v>
      </c>
      <c r="L526" s="463"/>
      <c r="M526" s="456">
        <v>45.037952423095703</v>
      </c>
      <c r="N526" s="457"/>
      <c r="O526" s="456"/>
      <c r="P526" s="46"/>
      <c r="Q526" s="463">
        <v>58.575252532958984</v>
      </c>
      <c r="R526" s="449"/>
      <c r="S526" s="463"/>
      <c r="T526" s="480"/>
      <c r="U526" s="468"/>
      <c r="V526" s="449"/>
      <c r="W526" s="45">
        <v>1778.19580078125</v>
      </c>
      <c r="X526" s="463">
        <v>146.16905212402344</v>
      </c>
      <c r="Y526" s="449"/>
      <c r="Z526" s="45"/>
      <c r="AA526" s="468">
        <v>0.47876025759452334</v>
      </c>
      <c r="AB526" s="456"/>
      <c r="AC526" s="46"/>
      <c r="AD526" s="46"/>
      <c r="AE526" s="46"/>
      <c r="AF526" s="46"/>
      <c r="AG526" s="46"/>
      <c r="AH526" s="46"/>
      <c r="AI526" s="457"/>
      <c r="AJ526" s="138"/>
      <c r="AK526" s="745"/>
      <c r="AL526" s="54"/>
      <c r="AM526" s="468"/>
      <c r="AN526" s="449"/>
      <c r="AO526" s="45"/>
      <c r="AP526" s="45"/>
      <c r="AQ526" s="45"/>
      <c r="AR526" s="45"/>
      <c r="AS526" s="45"/>
      <c r="AT526" s="45"/>
      <c r="AU526" s="463"/>
      <c r="AV526" s="449"/>
      <c r="AW526" s="45"/>
      <c r="AX526" s="45"/>
      <c r="AY526" s="45"/>
      <c r="AZ526" s="45"/>
      <c r="BA526" s="45"/>
      <c r="BB526" s="45"/>
      <c r="BC526" s="463"/>
      <c r="BD526" s="456"/>
      <c r="BE526" s="46"/>
      <c r="BF526" s="46"/>
      <c r="BG526" s="46"/>
      <c r="BH526" s="46"/>
      <c r="BI526" s="46"/>
      <c r="BJ526" s="457"/>
      <c r="BK526" s="449">
        <v>0</v>
      </c>
      <c r="BL526" s="45"/>
      <c r="BM526" s="45"/>
      <c r="BN526" s="45"/>
      <c r="BO526" s="45"/>
      <c r="BP526" s="45"/>
      <c r="BQ526" s="45"/>
      <c r="BR526" s="45"/>
      <c r="BS526" s="45"/>
      <c r="BT526" s="45"/>
      <c r="BU526" s="45"/>
      <c r="BV526" s="45"/>
      <c r="BW526" s="45"/>
      <c r="BX526" s="45"/>
      <c r="BY526" s="45"/>
      <c r="BZ526" s="45"/>
      <c r="CA526" s="45"/>
      <c r="CB526" s="45"/>
      <c r="CC526" s="45"/>
      <c r="CD526" s="463"/>
      <c r="CE526">
        <v>0</v>
      </c>
      <c r="CF526">
        <v>0</v>
      </c>
      <c r="CG526">
        <v>0</v>
      </c>
      <c r="CH526">
        <v>0</v>
      </c>
      <c r="CI526">
        <v>0</v>
      </c>
      <c r="CJ526">
        <v>0</v>
      </c>
      <c r="CK526">
        <v>0</v>
      </c>
      <c r="CL526">
        <v>0</v>
      </c>
      <c r="CM526">
        <v>0</v>
      </c>
      <c r="CN526">
        <v>0</v>
      </c>
      <c r="CO526">
        <v>0</v>
      </c>
      <c r="CP526">
        <v>0</v>
      </c>
      <c r="CQ526">
        <v>0</v>
      </c>
      <c r="CR526">
        <v>0</v>
      </c>
      <c r="CS526">
        <v>0</v>
      </c>
      <c r="CT526">
        <v>0</v>
      </c>
      <c r="CU526">
        <v>0</v>
      </c>
      <c r="CV526">
        <v>0</v>
      </c>
      <c r="CW526">
        <v>0</v>
      </c>
      <c r="CX526">
        <v>0</v>
      </c>
      <c r="CY526">
        <v>0</v>
      </c>
      <c r="CZ526">
        <v>0</v>
      </c>
      <c r="DA526">
        <v>0</v>
      </c>
      <c r="DB526">
        <v>0</v>
      </c>
      <c r="DC526">
        <v>0</v>
      </c>
      <c r="DD526">
        <v>0</v>
      </c>
      <c r="DE526">
        <v>0</v>
      </c>
      <c r="DF526">
        <v>0</v>
      </c>
      <c r="DG526">
        <v>0</v>
      </c>
      <c r="DH526">
        <v>0</v>
      </c>
      <c r="DI526">
        <v>0</v>
      </c>
      <c r="DJ526">
        <v>0</v>
      </c>
      <c r="DK526">
        <v>0</v>
      </c>
      <c r="DL526">
        <v>0</v>
      </c>
      <c r="DM526">
        <v>0</v>
      </c>
      <c r="DN526">
        <v>0</v>
      </c>
      <c r="DO526">
        <v>0</v>
      </c>
      <c r="DP526">
        <v>0</v>
      </c>
      <c r="DQ526">
        <v>0</v>
      </c>
      <c r="DR526">
        <v>0</v>
      </c>
      <c r="DS526">
        <v>0</v>
      </c>
      <c r="DT526">
        <v>0</v>
      </c>
      <c r="DU526">
        <v>0</v>
      </c>
    </row>
    <row r="527" spans="2:125">
      <c r="B527" s="136">
        <v>518</v>
      </c>
      <c r="C527" s="138">
        <v>1</v>
      </c>
      <c r="D527" s="474">
        <v>3239.7633363689724</v>
      </c>
      <c r="E527" s="127">
        <v>211.76466048364517</v>
      </c>
      <c r="F527" s="447">
        <v>0.45102041832540524</v>
      </c>
      <c r="G527" s="127">
        <v>102.8997811588723</v>
      </c>
      <c r="H527" s="132">
        <v>57.340058829202292</v>
      </c>
      <c r="I527" s="456"/>
      <c r="J527" s="45"/>
      <c r="K527" s="45">
        <v>450</v>
      </c>
      <c r="L527" s="463"/>
      <c r="M527" s="456">
        <v>37.069160461425781</v>
      </c>
      <c r="N527" s="457"/>
      <c r="O527" s="456"/>
      <c r="P527" s="46"/>
      <c r="Q527" s="463">
        <v>64.147308349609375</v>
      </c>
      <c r="R527" s="449"/>
      <c r="S527" s="463"/>
      <c r="T527" s="480"/>
      <c r="U527" s="468"/>
      <c r="V527" s="449"/>
      <c r="W527" s="45">
        <v>1573.2137451171875</v>
      </c>
      <c r="X527" s="463">
        <v>131.36373901367187</v>
      </c>
      <c r="Y527" s="449"/>
      <c r="Z527" s="45"/>
      <c r="AA527" s="468">
        <v>0.44051952525565491</v>
      </c>
      <c r="AB527" s="456"/>
      <c r="AC527" s="46"/>
      <c r="AD527" s="46"/>
      <c r="AE527" s="46"/>
      <c r="AF527" s="46"/>
      <c r="AG527" s="46"/>
      <c r="AH527" s="46"/>
      <c r="AI527" s="457"/>
      <c r="AJ527" s="138"/>
      <c r="AK527" s="745"/>
      <c r="AL527" s="54"/>
      <c r="AM527" s="468"/>
      <c r="AN527" s="449"/>
      <c r="AO527" s="45"/>
      <c r="AP527" s="45"/>
      <c r="AQ527" s="45"/>
      <c r="AR527" s="45"/>
      <c r="AS527" s="45"/>
      <c r="AT527" s="45"/>
      <c r="AU527" s="463"/>
      <c r="AV527" s="449"/>
      <c r="AW527" s="45"/>
      <c r="AX527" s="45"/>
      <c r="AY527" s="45"/>
      <c r="AZ527" s="45"/>
      <c r="BA527" s="45"/>
      <c r="BB527" s="45"/>
      <c r="BC527" s="463"/>
      <c r="BD527" s="456"/>
      <c r="BE527" s="46"/>
      <c r="BF527" s="46"/>
      <c r="BG527" s="46"/>
      <c r="BH527" s="46"/>
      <c r="BI527" s="46"/>
      <c r="BJ527" s="457"/>
      <c r="BK527" s="449">
        <v>0</v>
      </c>
      <c r="BL527" s="45"/>
      <c r="BM527" s="45"/>
      <c r="BN527" s="45"/>
      <c r="BO527" s="45"/>
      <c r="BP527" s="45"/>
      <c r="BQ527" s="45"/>
      <c r="BR527" s="45"/>
      <c r="BS527" s="45"/>
      <c r="BT527" s="45"/>
      <c r="BU527" s="45"/>
      <c r="BV527" s="45"/>
      <c r="BW527" s="45"/>
      <c r="BX527" s="45"/>
      <c r="BY527" s="45"/>
      <c r="BZ527" s="45"/>
      <c r="CA527" s="45"/>
      <c r="CB527" s="45"/>
      <c r="CC527" s="45"/>
      <c r="CD527" s="463"/>
      <c r="CE527">
        <v>0</v>
      </c>
      <c r="CF527">
        <v>0</v>
      </c>
      <c r="CG527">
        <v>0</v>
      </c>
      <c r="CH527">
        <v>0</v>
      </c>
      <c r="CI527">
        <v>0</v>
      </c>
      <c r="CJ527">
        <v>0</v>
      </c>
      <c r="CK527">
        <v>0</v>
      </c>
      <c r="CL527">
        <v>0</v>
      </c>
      <c r="CM527">
        <v>0</v>
      </c>
      <c r="CN527">
        <v>0</v>
      </c>
      <c r="CO527">
        <v>0</v>
      </c>
      <c r="CP527">
        <v>0</v>
      </c>
      <c r="CQ527">
        <v>0</v>
      </c>
      <c r="CR527">
        <v>0</v>
      </c>
      <c r="CS527">
        <v>0</v>
      </c>
      <c r="CT527">
        <v>0</v>
      </c>
      <c r="CU527">
        <v>0</v>
      </c>
      <c r="CV527">
        <v>0</v>
      </c>
      <c r="CW527">
        <v>0</v>
      </c>
      <c r="CX527">
        <v>0</v>
      </c>
      <c r="CY527">
        <v>0</v>
      </c>
      <c r="CZ527">
        <v>0</v>
      </c>
      <c r="DA527">
        <v>0</v>
      </c>
      <c r="DB527">
        <v>0</v>
      </c>
      <c r="DC527">
        <v>0</v>
      </c>
      <c r="DD527">
        <v>0</v>
      </c>
      <c r="DE527">
        <v>0</v>
      </c>
      <c r="DF527">
        <v>0</v>
      </c>
      <c r="DG527">
        <v>0</v>
      </c>
      <c r="DH527">
        <v>0</v>
      </c>
      <c r="DI527">
        <v>0</v>
      </c>
      <c r="DJ527">
        <v>0</v>
      </c>
      <c r="DK527">
        <v>0</v>
      </c>
      <c r="DL527">
        <v>0</v>
      </c>
      <c r="DM527">
        <v>0</v>
      </c>
      <c r="DN527">
        <v>0</v>
      </c>
      <c r="DO527">
        <v>0</v>
      </c>
      <c r="DP527">
        <v>0</v>
      </c>
      <c r="DQ527">
        <v>0</v>
      </c>
      <c r="DR527">
        <v>0</v>
      </c>
      <c r="DS527">
        <v>0</v>
      </c>
      <c r="DT527">
        <v>0</v>
      </c>
      <c r="DU527">
        <v>0</v>
      </c>
    </row>
    <row r="528" spans="2:125">
      <c r="B528" s="136">
        <v>519</v>
      </c>
      <c r="C528" s="138">
        <v>1</v>
      </c>
      <c r="D528" s="474">
        <v>3143.1490715396662</v>
      </c>
      <c r="E528" s="127">
        <v>234.04082814278433</v>
      </c>
      <c r="F528" s="447">
        <v>0.436775716037549</v>
      </c>
      <c r="G528" s="127">
        <v>100.52128993944763</v>
      </c>
      <c r="H528" s="132">
        <v>56.276822360438558</v>
      </c>
      <c r="I528" s="456"/>
      <c r="J528" s="45"/>
      <c r="K528" s="45">
        <v>430</v>
      </c>
      <c r="L528" s="463"/>
      <c r="M528" s="456">
        <v>34.677925109863281</v>
      </c>
      <c r="N528" s="457"/>
      <c r="O528" s="456"/>
      <c r="P528" s="46"/>
      <c r="Q528" s="463">
        <v>62.234355926513672</v>
      </c>
      <c r="R528" s="449"/>
      <c r="S528" s="463"/>
      <c r="T528" s="480"/>
      <c r="U528" s="468"/>
      <c r="V528" s="449"/>
      <c r="W528" s="45">
        <v>1452.040771484375</v>
      </c>
      <c r="X528" s="463">
        <v>122.49507141113281</v>
      </c>
      <c r="Y528" s="449"/>
      <c r="Z528" s="45"/>
      <c r="AA528" s="468">
        <v>0.42604268570621134</v>
      </c>
      <c r="AB528" s="456"/>
      <c r="AC528" s="46"/>
      <c r="AD528" s="46"/>
      <c r="AE528" s="46"/>
      <c r="AF528" s="46"/>
      <c r="AG528" s="46"/>
      <c r="AH528" s="46"/>
      <c r="AI528" s="457"/>
      <c r="AJ528" s="138"/>
      <c r="AK528" s="745"/>
      <c r="AL528" s="54"/>
      <c r="AM528" s="468"/>
      <c r="AN528" s="449"/>
      <c r="AO528" s="45"/>
      <c r="AP528" s="45"/>
      <c r="AQ528" s="45"/>
      <c r="AR528" s="45"/>
      <c r="AS528" s="45"/>
      <c r="AT528" s="45"/>
      <c r="AU528" s="463"/>
      <c r="AV528" s="449"/>
      <c r="AW528" s="45"/>
      <c r="AX528" s="45"/>
      <c r="AY528" s="45"/>
      <c r="AZ528" s="45"/>
      <c r="BA528" s="45"/>
      <c r="BB528" s="45"/>
      <c r="BC528" s="463"/>
      <c r="BD528" s="456"/>
      <c r="BE528" s="46"/>
      <c r="BF528" s="46"/>
      <c r="BG528" s="46"/>
      <c r="BH528" s="46"/>
      <c r="BI528" s="46"/>
      <c r="BJ528" s="457"/>
      <c r="BK528" s="449">
        <v>0</v>
      </c>
      <c r="BL528" s="45"/>
      <c r="BM528" s="45"/>
      <c r="BN528" s="45"/>
      <c r="BO528" s="45"/>
      <c r="BP528" s="45"/>
      <c r="BQ528" s="45"/>
      <c r="BR528" s="45"/>
      <c r="BS528" s="45"/>
      <c r="BT528" s="45"/>
      <c r="BU528" s="45"/>
      <c r="BV528" s="45"/>
      <c r="BW528" s="45"/>
      <c r="BX528" s="45"/>
      <c r="BY528" s="45"/>
      <c r="BZ528" s="45"/>
      <c r="CA528" s="45"/>
      <c r="CB528" s="45"/>
      <c r="CC528" s="45"/>
      <c r="CD528" s="463"/>
      <c r="CE528">
        <v>0</v>
      </c>
      <c r="CF528">
        <v>0</v>
      </c>
      <c r="CG528">
        <v>0</v>
      </c>
      <c r="CH528">
        <v>0</v>
      </c>
      <c r="CI528">
        <v>0</v>
      </c>
      <c r="CJ528">
        <v>0</v>
      </c>
      <c r="CK528">
        <v>0</v>
      </c>
      <c r="CL528">
        <v>0</v>
      </c>
      <c r="CM528">
        <v>0</v>
      </c>
      <c r="CN528">
        <v>0</v>
      </c>
      <c r="CO528">
        <v>0</v>
      </c>
      <c r="CP528">
        <v>0</v>
      </c>
      <c r="CQ528">
        <v>0</v>
      </c>
      <c r="CR528">
        <v>0</v>
      </c>
      <c r="CS528">
        <v>0</v>
      </c>
      <c r="CT528">
        <v>0</v>
      </c>
      <c r="CU528">
        <v>0</v>
      </c>
      <c r="CV528">
        <v>0</v>
      </c>
      <c r="CW528">
        <v>0</v>
      </c>
      <c r="CX528">
        <v>0</v>
      </c>
      <c r="CY528">
        <v>0</v>
      </c>
      <c r="CZ528">
        <v>0</v>
      </c>
      <c r="DA528">
        <v>0</v>
      </c>
      <c r="DB528">
        <v>0</v>
      </c>
      <c r="DC528">
        <v>0</v>
      </c>
      <c r="DD528">
        <v>0</v>
      </c>
      <c r="DE528">
        <v>0</v>
      </c>
      <c r="DF528">
        <v>0</v>
      </c>
      <c r="DG528">
        <v>0</v>
      </c>
      <c r="DH528">
        <v>0</v>
      </c>
      <c r="DI528">
        <v>0</v>
      </c>
      <c r="DJ528">
        <v>0</v>
      </c>
      <c r="DK528">
        <v>0</v>
      </c>
      <c r="DL528">
        <v>0</v>
      </c>
      <c r="DM528">
        <v>0</v>
      </c>
      <c r="DN528">
        <v>0</v>
      </c>
      <c r="DO528">
        <v>0</v>
      </c>
      <c r="DP528">
        <v>0</v>
      </c>
      <c r="DQ528">
        <v>0</v>
      </c>
      <c r="DR528">
        <v>0</v>
      </c>
      <c r="DS528">
        <v>0</v>
      </c>
      <c r="DT528">
        <v>0</v>
      </c>
      <c r="DU528">
        <v>0</v>
      </c>
    </row>
    <row r="529" spans="2:125">
      <c r="B529" s="136">
        <v>520</v>
      </c>
      <c r="C529" s="138">
        <v>1</v>
      </c>
      <c r="D529" s="474">
        <v>3037.9175209181531</v>
      </c>
      <c r="E529" s="127">
        <v>173.51190478265718</v>
      </c>
      <c r="F529" s="447">
        <v>0.49944071361480474</v>
      </c>
      <c r="G529" s="127">
        <v>95.5965740030978</v>
      </c>
      <c r="H529" s="132">
        <v>55.687159895023527</v>
      </c>
      <c r="I529" s="456"/>
      <c r="J529" s="45"/>
      <c r="K529" s="45">
        <v>420</v>
      </c>
      <c r="L529" s="463"/>
      <c r="M529" s="456">
        <v>46.562400817871094</v>
      </c>
      <c r="N529" s="457"/>
      <c r="O529" s="456"/>
      <c r="P529" s="46"/>
      <c r="Q529" s="463">
        <v>60.150772094726563</v>
      </c>
      <c r="R529" s="449"/>
      <c r="S529" s="463"/>
      <c r="T529" s="480"/>
      <c r="U529" s="468"/>
      <c r="V529" s="449"/>
      <c r="W529" s="45">
        <v>1862.38232421875</v>
      </c>
      <c r="X529" s="463">
        <v>152.30284118652344</v>
      </c>
      <c r="Y529" s="449"/>
      <c r="Z529" s="45"/>
      <c r="AA529" s="468">
        <v>0.48792334553901795</v>
      </c>
      <c r="AB529" s="456"/>
      <c r="AC529" s="46"/>
      <c r="AD529" s="46"/>
      <c r="AE529" s="46"/>
      <c r="AF529" s="46"/>
      <c r="AG529" s="46"/>
      <c r="AH529" s="46"/>
      <c r="AI529" s="457"/>
      <c r="AJ529" s="138"/>
      <c r="AK529" s="745"/>
      <c r="AL529" s="54"/>
      <c r="AM529" s="468"/>
      <c r="AN529" s="449"/>
      <c r="AO529" s="45"/>
      <c r="AP529" s="45"/>
      <c r="AQ529" s="45"/>
      <c r="AR529" s="45"/>
      <c r="AS529" s="45"/>
      <c r="AT529" s="45"/>
      <c r="AU529" s="463"/>
      <c r="AV529" s="449"/>
      <c r="AW529" s="45"/>
      <c r="AX529" s="45"/>
      <c r="AY529" s="45"/>
      <c r="AZ529" s="45"/>
      <c r="BA529" s="45"/>
      <c r="BB529" s="45"/>
      <c r="BC529" s="463"/>
      <c r="BD529" s="456"/>
      <c r="BE529" s="46"/>
      <c r="BF529" s="46"/>
      <c r="BG529" s="46"/>
      <c r="BH529" s="46"/>
      <c r="BI529" s="46"/>
      <c r="BJ529" s="457"/>
      <c r="BK529" s="449">
        <v>0</v>
      </c>
      <c r="BL529" s="45"/>
      <c r="BM529" s="45"/>
      <c r="BN529" s="45"/>
      <c r="BO529" s="45"/>
      <c r="BP529" s="45"/>
      <c r="BQ529" s="45"/>
      <c r="BR529" s="45"/>
      <c r="BS529" s="45"/>
      <c r="BT529" s="45"/>
      <c r="BU529" s="45"/>
      <c r="BV529" s="45"/>
      <c r="BW529" s="45"/>
      <c r="BX529" s="45"/>
      <c r="BY529" s="45"/>
      <c r="BZ529" s="45"/>
      <c r="CA529" s="45"/>
      <c r="CB529" s="45"/>
      <c r="CC529" s="45"/>
      <c r="CD529" s="463"/>
      <c r="CE529">
        <v>0</v>
      </c>
      <c r="CF529">
        <v>0</v>
      </c>
      <c r="CG529">
        <v>0</v>
      </c>
      <c r="CH529">
        <v>0</v>
      </c>
      <c r="CI529">
        <v>0</v>
      </c>
      <c r="CJ529">
        <v>0</v>
      </c>
      <c r="CK529">
        <v>0</v>
      </c>
      <c r="CL529">
        <v>0</v>
      </c>
      <c r="CM529">
        <v>0</v>
      </c>
      <c r="CN529">
        <v>0</v>
      </c>
      <c r="CO529">
        <v>0</v>
      </c>
      <c r="CP529">
        <v>0</v>
      </c>
      <c r="CQ529">
        <v>0</v>
      </c>
      <c r="CR529">
        <v>0</v>
      </c>
      <c r="CS529">
        <v>0</v>
      </c>
      <c r="CT529">
        <v>0</v>
      </c>
      <c r="CU529">
        <v>0</v>
      </c>
      <c r="CV529">
        <v>0</v>
      </c>
      <c r="CW529">
        <v>0</v>
      </c>
      <c r="CX529">
        <v>0</v>
      </c>
      <c r="CY529">
        <v>0</v>
      </c>
      <c r="CZ529">
        <v>0</v>
      </c>
      <c r="DA529">
        <v>0</v>
      </c>
      <c r="DB529">
        <v>0</v>
      </c>
      <c r="DC529">
        <v>0</v>
      </c>
      <c r="DD529">
        <v>0</v>
      </c>
      <c r="DE529">
        <v>0</v>
      </c>
      <c r="DF529">
        <v>0</v>
      </c>
      <c r="DG529">
        <v>0</v>
      </c>
      <c r="DH529">
        <v>0</v>
      </c>
      <c r="DI529">
        <v>0</v>
      </c>
      <c r="DJ529">
        <v>0</v>
      </c>
      <c r="DK529">
        <v>0</v>
      </c>
      <c r="DL529">
        <v>0</v>
      </c>
      <c r="DM529">
        <v>0</v>
      </c>
      <c r="DN529">
        <v>0</v>
      </c>
      <c r="DO529">
        <v>0</v>
      </c>
      <c r="DP529">
        <v>0</v>
      </c>
      <c r="DQ529">
        <v>0</v>
      </c>
      <c r="DR529">
        <v>0</v>
      </c>
      <c r="DS529">
        <v>0</v>
      </c>
      <c r="DT529">
        <v>0</v>
      </c>
      <c r="DU529">
        <v>0</v>
      </c>
    </row>
    <row r="530" spans="2:125">
      <c r="B530" s="136">
        <v>521</v>
      </c>
      <c r="C530" s="138">
        <v>1</v>
      </c>
      <c r="D530" s="474">
        <v>4771.4127270866402</v>
      </c>
      <c r="E530" s="127">
        <v>314.67792603774399</v>
      </c>
      <c r="F530" s="447">
        <v>0.42049495255650909</v>
      </c>
      <c r="G530" s="127">
        <v>151.36952454487218</v>
      </c>
      <c r="H530" s="132">
        <v>68.794678293228046</v>
      </c>
      <c r="I530" s="456"/>
      <c r="J530" s="45"/>
      <c r="K530" s="45">
        <v>640</v>
      </c>
      <c r="L530" s="463"/>
      <c r="M530" s="456">
        <v>36.790752410888672</v>
      </c>
      <c r="N530" s="457"/>
      <c r="O530" s="456"/>
      <c r="P530" s="46"/>
      <c r="Q530" s="463">
        <v>90</v>
      </c>
      <c r="R530" s="449"/>
      <c r="S530" s="463"/>
      <c r="T530" s="480"/>
      <c r="U530" s="468"/>
      <c r="V530" s="449"/>
      <c r="W530" s="45">
        <v>1949.8116455078125</v>
      </c>
      <c r="X530" s="463">
        <v>159.58769226074219</v>
      </c>
      <c r="Y530" s="449"/>
      <c r="Z530" s="45"/>
      <c r="AA530" s="468">
        <v>0.4134928546534149</v>
      </c>
      <c r="AB530" s="456"/>
      <c r="AC530" s="46"/>
      <c r="AD530" s="46"/>
      <c r="AE530" s="46"/>
      <c r="AF530" s="46"/>
      <c r="AG530" s="46"/>
      <c r="AH530" s="46"/>
      <c r="AI530" s="457"/>
      <c r="AJ530" s="138"/>
      <c r="AK530" s="745"/>
      <c r="AL530" s="54"/>
      <c r="AM530" s="468"/>
      <c r="AN530" s="449"/>
      <c r="AO530" s="45"/>
      <c r="AP530" s="45"/>
      <c r="AQ530" s="45"/>
      <c r="AR530" s="45"/>
      <c r="AS530" s="45"/>
      <c r="AT530" s="45"/>
      <c r="AU530" s="463"/>
      <c r="AV530" s="449"/>
      <c r="AW530" s="45"/>
      <c r="AX530" s="45"/>
      <c r="AY530" s="45"/>
      <c r="AZ530" s="45"/>
      <c r="BA530" s="45"/>
      <c r="BB530" s="45"/>
      <c r="BC530" s="463"/>
      <c r="BD530" s="456"/>
      <c r="BE530" s="46"/>
      <c r="BF530" s="46"/>
      <c r="BG530" s="46"/>
      <c r="BH530" s="46"/>
      <c r="BI530" s="46"/>
      <c r="BJ530" s="457"/>
      <c r="BK530" s="449">
        <v>0</v>
      </c>
      <c r="BL530" s="45"/>
      <c r="BM530" s="45"/>
      <c r="BN530" s="45"/>
      <c r="BO530" s="45"/>
      <c r="BP530" s="45"/>
      <c r="BQ530" s="45"/>
      <c r="BR530" s="45"/>
      <c r="BS530" s="45"/>
      <c r="BT530" s="45"/>
      <c r="BU530" s="45"/>
      <c r="BV530" s="45"/>
      <c r="BW530" s="45"/>
      <c r="BX530" s="45"/>
      <c r="BY530" s="45"/>
      <c r="BZ530" s="45"/>
      <c r="CA530" s="45"/>
      <c r="CB530" s="45"/>
      <c r="CC530" s="45"/>
      <c r="CD530" s="463"/>
      <c r="CE530">
        <v>0</v>
      </c>
      <c r="CF530">
        <v>0</v>
      </c>
      <c r="CG530">
        <v>0</v>
      </c>
      <c r="CH530">
        <v>0</v>
      </c>
      <c r="CI530">
        <v>0</v>
      </c>
      <c r="CJ530">
        <v>0</v>
      </c>
      <c r="CK530">
        <v>0</v>
      </c>
      <c r="CL530">
        <v>0</v>
      </c>
      <c r="CM530">
        <v>0</v>
      </c>
      <c r="CN530">
        <v>0</v>
      </c>
      <c r="CO530">
        <v>0</v>
      </c>
      <c r="CP530">
        <v>0</v>
      </c>
      <c r="CQ530">
        <v>0</v>
      </c>
      <c r="CR530">
        <v>0</v>
      </c>
      <c r="CS530">
        <v>0</v>
      </c>
      <c r="CT530">
        <v>0</v>
      </c>
      <c r="CU530">
        <v>0</v>
      </c>
      <c r="CV530">
        <v>0</v>
      </c>
      <c r="CW530">
        <v>0</v>
      </c>
      <c r="CX530">
        <v>0</v>
      </c>
      <c r="CY530">
        <v>0</v>
      </c>
      <c r="CZ530">
        <v>0</v>
      </c>
      <c r="DA530">
        <v>0</v>
      </c>
      <c r="DB530">
        <v>0</v>
      </c>
      <c r="DC530">
        <v>0</v>
      </c>
      <c r="DD530">
        <v>0</v>
      </c>
      <c r="DE530">
        <v>0</v>
      </c>
      <c r="DF530">
        <v>0</v>
      </c>
      <c r="DG530">
        <v>0</v>
      </c>
      <c r="DH530">
        <v>0</v>
      </c>
      <c r="DI530">
        <v>0</v>
      </c>
      <c r="DJ530">
        <v>0</v>
      </c>
      <c r="DK530">
        <v>0</v>
      </c>
      <c r="DL530">
        <v>0</v>
      </c>
      <c r="DM530">
        <v>0</v>
      </c>
      <c r="DN530">
        <v>0</v>
      </c>
      <c r="DO530">
        <v>0</v>
      </c>
      <c r="DP530">
        <v>0</v>
      </c>
      <c r="DQ530">
        <v>0</v>
      </c>
      <c r="DR530">
        <v>0</v>
      </c>
      <c r="DS530">
        <v>0</v>
      </c>
      <c r="DT530">
        <v>0</v>
      </c>
      <c r="DU530">
        <v>0</v>
      </c>
    </row>
    <row r="531" spans="2:125">
      <c r="B531" s="136">
        <v>522</v>
      </c>
      <c r="C531" s="138">
        <v>1</v>
      </c>
      <c r="D531" s="474">
        <v>3762.449524872437</v>
      </c>
      <c r="E531" s="127">
        <v>286.34257658666866</v>
      </c>
      <c r="F531" s="447">
        <v>0.35915375481998224</v>
      </c>
      <c r="G531" s="127">
        <v>142.86255457033187</v>
      </c>
      <c r="H531" s="132">
        <v>56.296387703649202</v>
      </c>
      <c r="I531" s="456"/>
      <c r="J531" s="45"/>
      <c r="K531" s="45">
        <v>550</v>
      </c>
      <c r="L531" s="463"/>
      <c r="M531" s="456">
        <v>29.127391815185547</v>
      </c>
      <c r="N531" s="457"/>
      <c r="O531" s="456"/>
      <c r="P531" s="46"/>
      <c r="Q531" s="463">
        <v>74.496498107910156</v>
      </c>
      <c r="R531" s="449"/>
      <c r="S531" s="463"/>
      <c r="T531" s="480"/>
      <c r="U531" s="468"/>
      <c r="V531" s="449"/>
      <c r="W531" s="45">
        <v>1415.0367431640625</v>
      </c>
      <c r="X531" s="463">
        <v>120.31553649902344</v>
      </c>
      <c r="Y531" s="449"/>
      <c r="Z531" s="45"/>
      <c r="AA531" s="468">
        <v>0.35059999884700588</v>
      </c>
      <c r="AB531" s="456"/>
      <c r="AC531" s="46"/>
      <c r="AD531" s="46"/>
      <c r="AE531" s="46"/>
      <c r="AF531" s="46"/>
      <c r="AG531" s="46"/>
      <c r="AH531" s="46"/>
      <c r="AI531" s="457"/>
      <c r="AJ531" s="138"/>
      <c r="AK531" s="745"/>
      <c r="AL531" s="54"/>
      <c r="AM531" s="468"/>
      <c r="AN531" s="449"/>
      <c r="AO531" s="45"/>
      <c r="AP531" s="45"/>
      <c r="AQ531" s="45"/>
      <c r="AR531" s="45"/>
      <c r="AS531" s="45"/>
      <c r="AT531" s="45"/>
      <c r="AU531" s="463"/>
      <c r="AV531" s="449"/>
      <c r="AW531" s="45"/>
      <c r="AX531" s="45"/>
      <c r="AY531" s="45"/>
      <c r="AZ531" s="45"/>
      <c r="BA531" s="45"/>
      <c r="BB531" s="45"/>
      <c r="BC531" s="463"/>
      <c r="BD531" s="456"/>
      <c r="BE531" s="46"/>
      <c r="BF531" s="46"/>
      <c r="BG531" s="46"/>
      <c r="BH531" s="46"/>
      <c r="BI531" s="46"/>
      <c r="BJ531" s="457"/>
      <c r="BK531" s="449">
        <v>0</v>
      </c>
      <c r="BL531" s="45"/>
      <c r="BM531" s="45"/>
      <c r="BN531" s="45"/>
      <c r="BO531" s="45"/>
      <c r="BP531" s="45"/>
      <c r="BQ531" s="45"/>
      <c r="BR531" s="45"/>
      <c r="BS531" s="45"/>
      <c r="BT531" s="45"/>
      <c r="BU531" s="45"/>
      <c r="BV531" s="45"/>
      <c r="BW531" s="45"/>
      <c r="BX531" s="45"/>
      <c r="BY531" s="45"/>
      <c r="BZ531" s="45"/>
      <c r="CA531" s="45"/>
      <c r="CB531" s="45"/>
      <c r="CC531" s="45"/>
      <c r="CD531" s="463"/>
      <c r="CE531">
        <v>0</v>
      </c>
      <c r="CF531">
        <v>0</v>
      </c>
      <c r="CG531">
        <v>0</v>
      </c>
      <c r="CH531">
        <v>0</v>
      </c>
      <c r="CI531">
        <v>0</v>
      </c>
      <c r="CJ531">
        <v>0</v>
      </c>
      <c r="CK531">
        <v>0</v>
      </c>
      <c r="CL531">
        <v>0</v>
      </c>
      <c r="CM531">
        <v>0</v>
      </c>
      <c r="CN531">
        <v>0</v>
      </c>
      <c r="CO531">
        <v>0</v>
      </c>
      <c r="CP531">
        <v>0</v>
      </c>
      <c r="CQ531">
        <v>0</v>
      </c>
      <c r="CR531">
        <v>0</v>
      </c>
      <c r="CS531">
        <v>0</v>
      </c>
      <c r="CT531">
        <v>0</v>
      </c>
      <c r="CU531">
        <v>0</v>
      </c>
      <c r="CV531">
        <v>0</v>
      </c>
      <c r="CW531">
        <v>0</v>
      </c>
      <c r="CX531">
        <v>0</v>
      </c>
      <c r="CY531">
        <v>0</v>
      </c>
      <c r="CZ531">
        <v>0</v>
      </c>
      <c r="DA531">
        <v>0</v>
      </c>
      <c r="DB531">
        <v>0</v>
      </c>
      <c r="DC531">
        <v>0</v>
      </c>
      <c r="DD531">
        <v>0</v>
      </c>
      <c r="DE531">
        <v>0</v>
      </c>
      <c r="DF531">
        <v>0</v>
      </c>
      <c r="DG531">
        <v>0</v>
      </c>
      <c r="DH531">
        <v>0</v>
      </c>
      <c r="DI531">
        <v>0</v>
      </c>
      <c r="DJ531">
        <v>0</v>
      </c>
      <c r="DK531">
        <v>0</v>
      </c>
      <c r="DL531">
        <v>0</v>
      </c>
      <c r="DM531">
        <v>0</v>
      </c>
      <c r="DN531">
        <v>0</v>
      </c>
      <c r="DO531">
        <v>0</v>
      </c>
      <c r="DP531">
        <v>0</v>
      </c>
      <c r="DQ531">
        <v>0</v>
      </c>
      <c r="DR531">
        <v>0</v>
      </c>
      <c r="DS531">
        <v>0</v>
      </c>
      <c r="DT531">
        <v>0</v>
      </c>
      <c r="DU531">
        <v>0</v>
      </c>
    </row>
    <row r="532" spans="2:125">
      <c r="B532" s="136">
        <v>523</v>
      </c>
      <c r="C532" s="138">
        <v>1</v>
      </c>
      <c r="D532" s="474">
        <v>4318.8882897882568</v>
      </c>
      <c r="E532" s="127">
        <v>263.50219282670537</v>
      </c>
      <c r="F532" s="447">
        <v>0.49593234531822522</v>
      </c>
      <c r="G532" s="127">
        <v>164.97985375219713</v>
      </c>
      <c r="H532" s="132">
        <v>60.116675350908153</v>
      </c>
      <c r="I532" s="456"/>
      <c r="J532" s="45"/>
      <c r="K532" s="45">
        <v>660</v>
      </c>
      <c r="L532" s="463"/>
      <c r="M532" s="456">
        <v>56.619735717773438</v>
      </c>
      <c r="N532" s="457"/>
      <c r="O532" s="456"/>
      <c r="P532" s="46"/>
      <c r="Q532" s="463">
        <v>85.513999938964844</v>
      </c>
      <c r="R532" s="449"/>
      <c r="S532" s="463"/>
      <c r="T532" s="480"/>
      <c r="U532" s="468"/>
      <c r="V532" s="449"/>
      <c r="W532" s="45">
        <v>2809.84912109375</v>
      </c>
      <c r="X532" s="463">
        <v>222.21476745605469</v>
      </c>
      <c r="Y532" s="449"/>
      <c r="Z532" s="45"/>
      <c r="AA532" s="468">
        <v>0.48784724457854484</v>
      </c>
      <c r="AB532" s="456"/>
      <c r="AC532" s="46"/>
      <c r="AD532" s="46"/>
      <c r="AE532" s="46"/>
      <c r="AF532" s="46"/>
      <c r="AG532" s="46"/>
      <c r="AH532" s="46"/>
      <c r="AI532" s="457"/>
      <c r="AJ532" s="138"/>
      <c r="AK532" s="745"/>
      <c r="AL532" s="54"/>
      <c r="AM532" s="468"/>
      <c r="AN532" s="449"/>
      <c r="AO532" s="45"/>
      <c r="AP532" s="45"/>
      <c r="AQ532" s="45"/>
      <c r="AR532" s="45"/>
      <c r="AS532" s="45"/>
      <c r="AT532" s="45"/>
      <c r="AU532" s="463"/>
      <c r="AV532" s="449"/>
      <c r="AW532" s="45"/>
      <c r="AX532" s="45"/>
      <c r="AY532" s="45"/>
      <c r="AZ532" s="45"/>
      <c r="BA532" s="45"/>
      <c r="BB532" s="45"/>
      <c r="BC532" s="463"/>
      <c r="BD532" s="456"/>
      <c r="BE532" s="46"/>
      <c r="BF532" s="46"/>
      <c r="BG532" s="46"/>
      <c r="BH532" s="46"/>
      <c r="BI532" s="46"/>
      <c r="BJ532" s="457"/>
      <c r="BK532" s="449">
        <v>0</v>
      </c>
      <c r="BL532" s="45"/>
      <c r="BM532" s="45"/>
      <c r="BN532" s="45"/>
      <c r="BO532" s="45"/>
      <c r="BP532" s="45"/>
      <c r="BQ532" s="45"/>
      <c r="BR532" s="45"/>
      <c r="BS532" s="45"/>
      <c r="BT532" s="45"/>
      <c r="BU532" s="45"/>
      <c r="BV532" s="45"/>
      <c r="BW532" s="45"/>
      <c r="BX532" s="45"/>
      <c r="BY532" s="45"/>
      <c r="BZ532" s="45"/>
      <c r="CA532" s="45"/>
      <c r="CB532" s="45"/>
      <c r="CC532" s="45"/>
      <c r="CD532" s="463"/>
      <c r="CE532">
        <v>0</v>
      </c>
      <c r="CF532">
        <v>0</v>
      </c>
      <c r="CG532">
        <v>0</v>
      </c>
      <c r="CH532">
        <v>0</v>
      </c>
      <c r="CI532">
        <v>0</v>
      </c>
      <c r="CJ532">
        <v>0</v>
      </c>
      <c r="CK532">
        <v>0</v>
      </c>
      <c r="CL532">
        <v>0</v>
      </c>
      <c r="CM532">
        <v>0</v>
      </c>
      <c r="CN532">
        <v>0</v>
      </c>
      <c r="CO532">
        <v>0</v>
      </c>
      <c r="CP532">
        <v>0</v>
      </c>
      <c r="CQ532">
        <v>0</v>
      </c>
      <c r="CR532">
        <v>0</v>
      </c>
      <c r="CS532">
        <v>0</v>
      </c>
      <c r="CT532">
        <v>0</v>
      </c>
      <c r="CU532">
        <v>0</v>
      </c>
      <c r="CV532">
        <v>0</v>
      </c>
      <c r="CW532">
        <v>0</v>
      </c>
      <c r="CX532">
        <v>0</v>
      </c>
      <c r="CY532">
        <v>0</v>
      </c>
      <c r="CZ532">
        <v>0</v>
      </c>
      <c r="DA532">
        <v>0</v>
      </c>
      <c r="DB532">
        <v>0</v>
      </c>
      <c r="DC532">
        <v>0</v>
      </c>
      <c r="DD532">
        <v>0</v>
      </c>
      <c r="DE532">
        <v>0</v>
      </c>
      <c r="DF532">
        <v>0</v>
      </c>
      <c r="DG532">
        <v>0</v>
      </c>
      <c r="DH532">
        <v>0</v>
      </c>
      <c r="DI532">
        <v>0</v>
      </c>
      <c r="DJ532">
        <v>0</v>
      </c>
      <c r="DK532">
        <v>0</v>
      </c>
      <c r="DL532">
        <v>0</v>
      </c>
      <c r="DM532">
        <v>0</v>
      </c>
      <c r="DN532">
        <v>0</v>
      </c>
      <c r="DO532">
        <v>0</v>
      </c>
      <c r="DP532">
        <v>0</v>
      </c>
      <c r="DQ532">
        <v>0</v>
      </c>
      <c r="DR532">
        <v>0</v>
      </c>
      <c r="DS532">
        <v>0</v>
      </c>
      <c r="DT532">
        <v>0</v>
      </c>
      <c r="DU532">
        <v>0</v>
      </c>
    </row>
    <row r="533" spans="2:125">
      <c r="B533" s="136">
        <v>524</v>
      </c>
      <c r="C533" s="138">
        <v>1</v>
      </c>
      <c r="D533" s="474">
        <v>3206.0509165488334</v>
      </c>
      <c r="E533" s="127">
        <v>240.39943033859157</v>
      </c>
      <c r="F533" s="447">
        <v>0.3675633181057531</v>
      </c>
      <c r="G533" s="127">
        <v>127.18771310231089</v>
      </c>
      <c r="H533" s="132">
        <v>49.857886661708655</v>
      </c>
      <c r="I533" s="456"/>
      <c r="J533" s="45"/>
      <c r="K533" s="45">
        <v>490</v>
      </c>
      <c r="L533" s="463"/>
      <c r="M533" s="456">
        <v>29.863368988037109</v>
      </c>
      <c r="N533" s="457"/>
      <c r="O533" s="456"/>
      <c r="P533" s="46"/>
      <c r="Q533" s="463">
        <v>63.479812622070312</v>
      </c>
      <c r="R533" s="449"/>
      <c r="S533" s="463"/>
      <c r="T533" s="480"/>
      <c r="U533" s="468"/>
      <c r="V533" s="449"/>
      <c r="W533" s="45">
        <v>1296.360107421875</v>
      </c>
      <c r="X533" s="463">
        <v>111.39798736572266</v>
      </c>
      <c r="Y533" s="449"/>
      <c r="Z533" s="45"/>
      <c r="AA533" s="468">
        <v>0.35747262796882301</v>
      </c>
      <c r="AB533" s="456"/>
      <c r="AC533" s="46"/>
      <c r="AD533" s="46"/>
      <c r="AE533" s="46"/>
      <c r="AF533" s="46"/>
      <c r="AG533" s="46"/>
      <c r="AH533" s="46"/>
      <c r="AI533" s="457"/>
      <c r="AJ533" s="138"/>
      <c r="AK533" s="745"/>
      <c r="AL533" s="54"/>
      <c r="AM533" s="468"/>
      <c r="AN533" s="449"/>
      <c r="AO533" s="45"/>
      <c r="AP533" s="45"/>
      <c r="AQ533" s="45"/>
      <c r="AR533" s="45"/>
      <c r="AS533" s="45"/>
      <c r="AT533" s="45"/>
      <c r="AU533" s="463"/>
      <c r="AV533" s="449"/>
      <c r="AW533" s="45"/>
      <c r="AX533" s="45"/>
      <c r="AY533" s="45"/>
      <c r="AZ533" s="45"/>
      <c r="BA533" s="45"/>
      <c r="BB533" s="45"/>
      <c r="BC533" s="463"/>
      <c r="BD533" s="456"/>
      <c r="BE533" s="46"/>
      <c r="BF533" s="46"/>
      <c r="BG533" s="46"/>
      <c r="BH533" s="46"/>
      <c r="BI533" s="46"/>
      <c r="BJ533" s="457"/>
      <c r="BK533" s="449">
        <v>0</v>
      </c>
      <c r="BL533" s="45"/>
      <c r="BM533" s="45"/>
      <c r="BN533" s="45"/>
      <c r="BO533" s="45"/>
      <c r="BP533" s="45"/>
      <c r="BQ533" s="45"/>
      <c r="BR533" s="45"/>
      <c r="BS533" s="45"/>
      <c r="BT533" s="45"/>
      <c r="BU533" s="45"/>
      <c r="BV533" s="45"/>
      <c r="BW533" s="45"/>
      <c r="BX533" s="45"/>
      <c r="BY533" s="45"/>
      <c r="BZ533" s="45"/>
      <c r="CA533" s="45"/>
      <c r="CB533" s="45"/>
      <c r="CC533" s="45"/>
      <c r="CD533" s="463"/>
      <c r="CE533">
        <v>0</v>
      </c>
      <c r="CF533">
        <v>0</v>
      </c>
      <c r="CG533">
        <v>0</v>
      </c>
      <c r="CH533">
        <v>0</v>
      </c>
      <c r="CI533">
        <v>0</v>
      </c>
      <c r="CJ533">
        <v>0</v>
      </c>
      <c r="CK533">
        <v>0</v>
      </c>
      <c r="CL533">
        <v>0</v>
      </c>
      <c r="CM533">
        <v>0</v>
      </c>
      <c r="CN533">
        <v>0</v>
      </c>
      <c r="CO533">
        <v>0</v>
      </c>
      <c r="CP533">
        <v>0</v>
      </c>
      <c r="CQ533">
        <v>0</v>
      </c>
      <c r="CR533">
        <v>0</v>
      </c>
      <c r="CS533">
        <v>0</v>
      </c>
      <c r="CT533">
        <v>0</v>
      </c>
      <c r="CU533">
        <v>0</v>
      </c>
      <c r="CV533">
        <v>0</v>
      </c>
      <c r="CW533">
        <v>0</v>
      </c>
      <c r="CX533">
        <v>0</v>
      </c>
      <c r="CY533">
        <v>0</v>
      </c>
      <c r="CZ533">
        <v>0</v>
      </c>
      <c r="DA533">
        <v>0</v>
      </c>
      <c r="DB533">
        <v>0</v>
      </c>
      <c r="DC533">
        <v>0</v>
      </c>
      <c r="DD533">
        <v>0</v>
      </c>
      <c r="DE533">
        <v>0</v>
      </c>
      <c r="DF533">
        <v>0</v>
      </c>
      <c r="DG533">
        <v>0</v>
      </c>
      <c r="DH533">
        <v>0</v>
      </c>
      <c r="DI533">
        <v>0</v>
      </c>
      <c r="DJ533">
        <v>0</v>
      </c>
      <c r="DK533">
        <v>0</v>
      </c>
      <c r="DL533">
        <v>0</v>
      </c>
      <c r="DM533">
        <v>0</v>
      </c>
      <c r="DN533">
        <v>0</v>
      </c>
      <c r="DO533">
        <v>0</v>
      </c>
      <c r="DP533">
        <v>0</v>
      </c>
      <c r="DQ533">
        <v>0</v>
      </c>
      <c r="DR533">
        <v>0</v>
      </c>
      <c r="DS533">
        <v>0</v>
      </c>
      <c r="DT533">
        <v>0</v>
      </c>
      <c r="DU533">
        <v>0</v>
      </c>
    </row>
    <row r="534" spans="2:125">
      <c r="B534" s="136">
        <v>525</v>
      </c>
      <c r="C534" s="138">
        <v>1</v>
      </c>
      <c r="D534" s="474">
        <v>4355.2894466776215</v>
      </c>
      <c r="E534" s="127">
        <v>304.67682737232036</v>
      </c>
      <c r="F534" s="447">
        <v>0.37951505837599986</v>
      </c>
      <c r="G534" s="127">
        <v>171.98766477919855</v>
      </c>
      <c r="H534" s="132">
        <v>64.865017540116625</v>
      </c>
      <c r="I534" s="456"/>
      <c r="J534" s="45"/>
      <c r="K534" s="45">
        <v>680</v>
      </c>
      <c r="L534" s="463"/>
      <c r="M534" s="456">
        <v>33.258750915527344</v>
      </c>
      <c r="N534" s="457"/>
      <c r="O534" s="456"/>
      <c r="P534" s="46"/>
      <c r="Q534" s="463">
        <v>90</v>
      </c>
      <c r="R534" s="449"/>
      <c r="S534" s="463"/>
      <c r="T534" s="480"/>
      <c r="U534" s="468"/>
      <c r="V534" s="449"/>
      <c r="W534" s="45">
        <v>1804.592041015625</v>
      </c>
      <c r="X534" s="463">
        <v>149.19248962402344</v>
      </c>
      <c r="Y534" s="449"/>
      <c r="Z534" s="45"/>
      <c r="AA534" s="468">
        <v>0.37203213409128183</v>
      </c>
      <c r="AB534" s="456"/>
      <c r="AC534" s="46"/>
      <c r="AD534" s="46"/>
      <c r="AE534" s="46"/>
      <c r="AF534" s="46"/>
      <c r="AG534" s="46"/>
      <c r="AH534" s="46"/>
      <c r="AI534" s="457"/>
      <c r="AJ534" s="138"/>
      <c r="AK534" s="745"/>
      <c r="AL534" s="54"/>
      <c r="AM534" s="468"/>
      <c r="AN534" s="449"/>
      <c r="AO534" s="45"/>
      <c r="AP534" s="45"/>
      <c r="AQ534" s="45"/>
      <c r="AR534" s="45"/>
      <c r="AS534" s="45"/>
      <c r="AT534" s="45"/>
      <c r="AU534" s="463"/>
      <c r="AV534" s="449"/>
      <c r="AW534" s="45"/>
      <c r="AX534" s="45"/>
      <c r="AY534" s="45"/>
      <c r="AZ534" s="45"/>
      <c r="BA534" s="45"/>
      <c r="BB534" s="45"/>
      <c r="BC534" s="463"/>
      <c r="BD534" s="456"/>
      <c r="BE534" s="46"/>
      <c r="BF534" s="46"/>
      <c r="BG534" s="46"/>
      <c r="BH534" s="46"/>
      <c r="BI534" s="46"/>
      <c r="BJ534" s="457"/>
      <c r="BK534" s="449">
        <v>0</v>
      </c>
      <c r="BL534" s="45"/>
      <c r="BM534" s="45"/>
      <c r="BN534" s="45"/>
      <c r="BO534" s="45"/>
      <c r="BP534" s="45"/>
      <c r="BQ534" s="45"/>
      <c r="BR534" s="45"/>
      <c r="BS534" s="45"/>
      <c r="BT534" s="45"/>
      <c r="BU534" s="45"/>
      <c r="BV534" s="45"/>
      <c r="BW534" s="45"/>
      <c r="BX534" s="45"/>
      <c r="BY534" s="45"/>
      <c r="BZ534" s="45"/>
      <c r="CA534" s="45"/>
      <c r="CB534" s="45"/>
      <c r="CC534" s="45"/>
      <c r="CD534" s="463"/>
      <c r="CE534">
        <v>0</v>
      </c>
      <c r="CF534">
        <v>0</v>
      </c>
      <c r="CG534">
        <v>0</v>
      </c>
      <c r="CH534">
        <v>0</v>
      </c>
      <c r="CI534">
        <v>0</v>
      </c>
      <c r="CJ534">
        <v>0</v>
      </c>
      <c r="CK534">
        <v>0</v>
      </c>
      <c r="CL534">
        <v>0</v>
      </c>
      <c r="CM534">
        <v>0</v>
      </c>
      <c r="CN534">
        <v>0</v>
      </c>
      <c r="CO534">
        <v>0</v>
      </c>
      <c r="CP534">
        <v>0</v>
      </c>
      <c r="CQ534">
        <v>0</v>
      </c>
      <c r="CR534">
        <v>0</v>
      </c>
      <c r="CS534">
        <v>0</v>
      </c>
      <c r="CT534">
        <v>0</v>
      </c>
      <c r="CU534">
        <v>0</v>
      </c>
      <c r="CV534">
        <v>0</v>
      </c>
      <c r="CW534">
        <v>0</v>
      </c>
      <c r="CX534">
        <v>0</v>
      </c>
      <c r="CY534">
        <v>0</v>
      </c>
      <c r="CZ534">
        <v>0</v>
      </c>
      <c r="DA534">
        <v>0</v>
      </c>
      <c r="DB534">
        <v>0</v>
      </c>
      <c r="DC534">
        <v>0</v>
      </c>
      <c r="DD534">
        <v>0</v>
      </c>
      <c r="DE534">
        <v>0</v>
      </c>
      <c r="DF534">
        <v>0</v>
      </c>
      <c r="DG534">
        <v>0</v>
      </c>
      <c r="DH534">
        <v>0</v>
      </c>
      <c r="DI534">
        <v>0</v>
      </c>
      <c r="DJ534">
        <v>0</v>
      </c>
      <c r="DK534">
        <v>0</v>
      </c>
      <c r="DL534">
        <v>0</v>
      </c>
      <c r="DM534">
        <v>0</v>
      </c>
      <c r="DN534">
        <v>0</v>
      </c>
      <c r="DO534">
        <v>0</v>
      </c>
      <c r="DP534">
        <v>0</v>
      </c>
      <c r="DQ534">
        <v>0</v>
      </c>
      <c r="DR534">
        <v>0</v>
      </c>
      <c r="DS534">
        <v>0</v>
      </c>
      <c r="DT534">
        <v>0</v>
      </c>
      <c r="DU534">
        <v>0</v>
      </c>
    </row>
    <row r="535" spans="2:125">
      <c r="B535" s="136">
        <v>526</v>
      </c>
      <c r="C535" s="138">
        <v>1</v>
      </c>
      <c r="D535" s="474">
        <v>4373.1040886299506</v>
      </c>
      <c r="E535" s="127">
        <v>209.17964080266447</v>
      </c>
      <c r="F535" s="447">
        <v>0.47448699731138666</v>
      </c>
      <c r="G535" s="127">
        <v>148.89251878967346</v>
      </c>
      <c r="H535" s="132">
        <v>64.259702337566125</v>
      </c>
      <c r="I535" s="456"/>
      <c r="J535" s="45"/>
      <c r="K535" s="45">
        <v>620</v>
      </c>
      <c r="L535" s="463"/>
      <c r="M535" s="456">
        <v>46.909233093261719</v>
      </c>
      <c r="N535" s="457"/>
      <c r="O535" s="456"/>
      <c r="P535" s="46"/>
      <c r="Q535" s="463">
        <v>86.587471008300781</v>
      </c>
      <c r="R535" s="449"/>
      <c r="S535" s="463"/>
      <c r="T535" s="480"/>
      <c r="U535" s="468"/>
      <c r="V535" s="449"/>
      <c r="W535" s="45">
        <v>2365.889404296875</v>
      </c>
      <c r="X535" s="463">
        <v>189.76176452636719</v>
      </c>
      <c r="Y535" s="449"/>
      <c r="Z535" s="45"/>
      <c r="AA535" s="468">
        <v>0.4666002104324965</v>
      </c>
      <c r="AB535" s="456"/>
      <c r="AC535" s="46"/>
      <c r="AD535" s="46"/>
      <c r="AE535" s="46"/>
      <c r="AF535" s="46"/>
      <c r="AG535" s="46"/>
      <c r="AH535" s="46"/>
      <c r="AI535" s="457"/>
      <c r="AJ535" s="138"/>
      <c r="AK535" s="745"/>
      <c r="AL535" s="54"/>
      <c r="AM535" s="468"/>
      <c r="AN535" s="449"/>
      <c r="AO535" s="45"/>
      <c r="AP535" s="45"/>
      <c r="AQ535" s="45"/>
      <c r="AR535" s="45"/>
      <c r="AS535" s="45"/>
      <c r="AT535" s="45"/>
      <c r="AU535" s="463"/>
      <c r="AV535" s="449"/>
      <c r="AW535" s="45"/>
      <c r="AX535" s="45"/>
      <c r="AY535" s="45"/>
      <c r="AZ535" s="45"/>
      <c r="BA535" s="45"/>
      <c r="BB535" s="45"/>
      <c r="BC535" s="463"/>
      <c r="BD535" s="456"/>
      <c r="BE535" s="46"/>
      <c r="BF535" s="46"/>
      <c r="BG535" s="46"/>
      <c r="BH535" s="46"/>
      <c r="BI535" s="46"/>
      <c r="BJ535" s="457"/>
      <c r="BK535" s="449">
        <v>0</v>
      </c>
      <c r="BL535" s="45"/>
      <c r="BM535" s="45"/>
      <c r="BN535" s="45"/>
      <c r="BO535" s="45"/>
      <c r="BP535" s="45"/>
      <c r="BQ535" s="45"/>
      <c r="BR535" s="45"/>
      <c r="BS535" s="45"/>
      <c r="BT535" s="45"/>
      <c r="BU535" s="45"/>
      <c r="BV535" s="45"/>
      <c r="BW535" s="45"/>
      <c r="BX535" s="45"/>
      <c r="BY535" s="45"/>
      <c r="BZ535" s="45"/>
      <c r="CA535" s="45"/>
      <c r="CB535" s="45"/>
      <c r="CC535" s="45"/>
      <c r="CD535" s="463"/>
      <c r="CE535">
        <v>0</v>
      </c>
      <c r="CF535">
        <v>0</v>
      </c>
      <c r="CG535">
        <v>0</v>
      </c>
      <c r="CH535">
        <v>0</v>
      </c>
      <c r="CI535">
        <v>0</v>
      </c>
      <c r="CJ535">
        <v>0</v>
      </c>
      <c r="CK535">
        <v>0</v>
      </c>
      <c r="CL535">
        <v>0</v>
      </c>
      <c r="CM535">
        <v>0</v>
      </c>
      <c r="CN535">
        <v>0</v>
      </c>
      <c r="CO535">
        <v>0</v>
      </c>
      <c r="CP535">
        <v>0</v>
      </c>
      <c r="CQ535">
        <v>0</v>
      </c>
      <c r="CR535">
        <v>0</v>
      </c>
      <c r="CS535">
        <v>0</v>
      </c>
      <c r="CT535">
        <v>0</v>
      </c>
      <c r="CU535">
        <v>0</v>
      </c>
      <c r="CV535">
        <v>0</v>
      </c>
      <c r="CW535">
        <v>0</v>
      </c>
      <c r="CX535">
        <v>0</v>
      </c>
      <c r="CY535">
        <v>0</v>
      </c>
      <c r="CZ535">
        <v>0</v>
      </c>
      <c r="DA535">
        <v>0</v>
      </c>
      <c r="DB535">
        <v>0</v>
      </c>
      <c r="DC535">
        <v>0</v>
      </c>
      <c r="DD535">
        <v>0</v>
      </c>
      <c r="DE535">
        <v>0</v>
      </c>
      <c r="DF535">
        <v>0</v>
      </c>
      <c r="DG535">
        <v>0</v>
      </c>
      <c r="DH535">
        <v>0</v>
      </c>
      <c r="DI535">
        <v>0</v>
      </c>
      <c r="DJ535">
        <v>0</v>
      </c>
      <c r="DK535">
        <v>0</v>
      </c>
      <c r="DL535">
        <v>0</v>
      </c>
      <c r="DM535">
        <v>0</v>
      </c>
      <c r="DN535">
        <v>0</v>
      </c>
      <c r="DO535">
        <v>0</v>
      </c>
      <c r="DP535">
        <v>0</v>
      </c>
      <c r="DQ535">
        <v>0</v>
      </c>
      <c r="DR535">
        <v>0</v>
      </c>
      <c r="DS535">
        <v>0</v>
      </c>
      <c r="DT535">
        <v>0</v>
      </c>
      <c r="DU535">
        <v>0</v>
      </c>
    </row>
    <row r="536" spans="2:125">
      <c r="B536" s="136">
        <v>527</v>
      </c>
      <c r="C536" s="138">
        <v>1</v>
      </c>
      <c r="D536" s="474">
        <v>3532.9403715390204</v>
      </c>
      <c r="E536" s="127">
        <v>231.01269748219116</v>
      </c>
      <c r="F536" s="447">
        <v>0.41449923421238266</v>
      </c>
      <c r="G536" s="127">
        <v>143.63139915766308</v>
      </c>
      <c r="H536" s="132">
        <v>51.723495774616566</v>
      </c>
      <c r="I536" s="456"/>
      <c r="J536" s="45"/>
      <c r="K536" s="45">
        <v>550</v>
      </c>
      <c r="L536" s="463"/>
      <c r="M536" s="456">
        <v>36.701377868652344</v>
      </c>
      <c r="N536" s="457"/>
      <c r="O536" s="456"/>
      <c r="P536" s="46"/>
      <c r="Q536" s="463">
        <v>69.952224731445312</v>
      </c>
      <c r="R536" s="449"/>
      <c r="S536" s="463"/>
      <c r="T536" s="480"/>
      <c r="U536" s="468"/>
      <c r="V536" s="449"/>
      <c r="W536" s="45">
        <v>1676.082763671875</v>
      </c>
      <c r="X536" s="463">
        <v>139.283447265625</v>
      </c>
      <c r="Y536" s="449"/>
      <c r="Z536" s="45"/>
      <c r="AA536" s="468">
        <v>0.40507649247792593</v>
      </c>
      <c r="AB536" s="456"/>
      <c r="AC536" s="46"/>
      <c r="AD536" s="46"/>
      <c r="AE536" s="46"/>
      <c r="AF536" s="46"/>
      <c r="AG536" s="46"/>
      <c r="AH536" s="46"/>
      <c r="AI536" s="457"/>
      <c r="AJ536" s="138"/>
      <c r="AK536" s="745"/>
      <c r="AL536" s="54"/>
      <c r="AM536" s="468"/>
      <c r="AN536" s="449"/>
      <c r="AO536" s="45"/>
      <c r="AP536" s="45"/>
      <c r="AQ536" s="45"/>
      <c r="AR536" s="45"/>
      <c r="AS536" s="45"/>
      <c r="AT536" s="45"/>
      <c r="AU536" s="463"/>
      <c r="AV536" s="449"/>
      <c r="AW536" s="45"/>
      <c r="AX536" s="45"/>
      <c r="AY536" s="45"/>
      <c r="AZ536" s="45"/>
      <c r="BA536" s="45"/>
      <c r="BB536" s="45"/>
      <c r="BC536" s="463"/>
      <c r="BD536" s="456"/>
      <c r="BE536" s="46"/>
      <c r="BF536" s="46"/>
      <c r="BG536" s="46"/>
      <c r="BH536" s="46"/>
      <c r="BI536" s="46"/>
      <c r="BJ536" s="457"/>
      <c r="BK536" s="449">
        <v>0</v>
      </c>
      <c r="BL536" s="45"/>
      <c r="BM536" s="45"/>
      <c r="BN536" s="45"/>
      <c r="BO536" s="45"/>
      <c r="BP536" s="45"/>
      <c r="BQ536" s="45"/>
      <c r="BR536" s="45"/>
      <c r="BS536" s="45"/>
      <c r="BT536" s="45"/>
      <c r="BU536" s="45"/>
      <c r="BV536" s="45"/>
      <c r="BW536" s="45"/>
      <c r="BX536" s="45"/>
      <c r="BY536" s="45"/>
      <c r="BZ536" s="45"/>
      <c r="CA536" s="45"/>
      <c r="CB536" s="45"/>
      <c r="CC536" s="45"/>
      <c r="CD536" s="463"/>
      <c r="CE536">
        <v>0</v>
      </c>
      <c r="CF536">
        <v>0</v>
      </c>
      <c r="CG536">
        <v>0</v>
      </c>
      <c r="CH536">
        <v>0</v>
      </c>
      <c r="CI536">
        <v>0</v>
      </c>
      <c r="CJ536">
        <v>0</v>
      </c>
      <c r="CK536">
        <v>0</v>
      </c>
      <c r="CL536">
        <v>0</v>
      </c>
      <c r="CM536">
        <v>0</v>
      </c>
      <c r="CN536">
        <v>0</v>
      </c>
      <c r="CO536">
        <v>0</v>
      </c>
      <c r="CP536">
        <v>0</v>
      </c>
      <c r="CQ536">
        <v>0</v>
      </c>
      <c r="CR536">
        <v>0</v>
      </c>
      <c r="CS536">
        <v>0</v>
      </c>
      <c r="CT536">
        <v>0</v>
      </c>
      <c r="CU536">
        <v>0</v>
      </c>
      <c r="CV536">
        <v>0</v>
      </c>
      <c r="CW536">
        <v>0</v>
      </c>
      <c r="CX536">
        <v>0</v>
      </c>
      <c r="CY536">
        <v>0</v>
      </c>
      <c r="CZ536">
        <v>0</v>
      </c>
      <c r="DA536">
        <v>0</v>
      </c>
      <c r="DB536">
        <v>0</v>
      </c>
      <c r="DC536">
        <v>0</v>
      </c>
      <c r="DD536">
        <v>0</v>
      </c>
      <c r="DE536">
        <v>0</v>
      </c>
      <c r="DF536">
        <v>0</v>
      </c>
      <c r="DG536">
        <v>0</v>
      </c>
      <c r="DH536">
        <v>0</v>
      </c>
      <c r="DI536">
        <v>0</v>
      </c>
      <c r="DJ536">
        <v>0</v>
      </c>
      <c r="DK536">
        <v>0</v>
      </c>
      <c r="DL536">
        <v>0</v>
      </c>
      <c r="DM536">
        <v>0</v>
      </c>
      <c r="DN536">
        <v>0</v>
      </c>
      <c r="DO536">
        <v>0</v>
      </c>
      <c r="DP536">
        <v>0</v>
      </c>
      <c r="DQ536">
        <v>0</v>
      </c>
      <c r="DR536">
        <v>0</v>
      </c>
      <c r="DS536">
        <v>0</v>
      </c>
      <c r="DT536">
        <v>0</v>
      </c>
      <c r="DU536">
        <v>0</v>
      </c>
    </row>
    <row r="537" spans="2:125">
      <c r="B537" s="136">
        <v>528</v>
      </c>
      <c r="C537" s="138">
        <v>1</v>
      </c>
      <c r="D537" s="474">
        <v>3969.212350534408</v>
      </c>
      <c r="E537" s="127">
        <v>271.11614377244405</v>
      </c>
      <c r="F537" s="447">
        <v>0.38806677850168264</v>
      </c>
      <c r="G537" s="127">
        <v>130.39831726248005</v>
      </c>
      <c r="H537" s="132">
        <v>62.409361362059109</v>
      </c>
      <c r="I537" s="456"/>
      <c r="J537" s="45"/>
      <c r="K537" s="45">
        <v>540</v>
      </c>
      <c r="L537" s="463"/>
      <c r="M537" s="456">
        <v>30.524955749511719</v>
      </c>
      <c r="N537" s="457"/>
      <c r="O537" s="456"/>
      <c r="P537" s="46"/>
      <c r="Q537" s="463">
        <v>78.590408325195312</v>
      </c>
      <c r="R537" s="449"/>
      <c r="S537" s="463"/>
      <c r="T537" s="480"/>
      <c r="U537" s="468"/>
      <c r="V537" s="449"/>
      <c r="W537" s="45">
        <v>1508.80029296875</v>
      </c>
      <c r="X537" s="463">
        <v>127.09209442138672</v>
      </c>
      <c r="Y537" s="449"/>
      <c r="Z537" s="45"/>
      <c r="AA537" s="468">
        <v>0.37981291534779454</v>
      </c>
      <c r="AB537" s="456"/>
      <c r="AC537" s="46"/>
      <c r="AD537" s="46"/>
      <c r="AE537" s="46"/>
      <c r="AF537" s="46"/>
      <c r="AG537" s="46"/>
      <c r="AH537" s="46"/>
      <c r="AI537" s="457"/>
      <c r="AJ537" s="138"/>
      <c r="AK537" s="745"/>
      <c r="AL537" s="54"/>
      <c r="AM537" s="468"/>
      <c r="AN537" s="449"/>
      <c r="AO537" s="45"/>
      <c r="AP537" s="45"/>
      <c r="AQ537" s="45"/>
      <c r="AR537" s="45"/>
      <c r="AS537" s="45"/>
      <c r="AT537" s="45"/>
      <c r="AU537" s="463"/>
      <c r="AV537" s="449"/>
      <c r="AW537" s="45"/>
      <c r="AX537" s="45"/>
      <c r="AY537" s="45"/>
      <c r="AZ537" s="45"/>
      <c r="BA537" s="45"/>
      <c r="BB537" s="45"/>
      <c r="BC537" s="463"/>
      <c r="BD537" s="456"/>
      <c r="BE537" s="46"/>
      <c r="BF537" s="46"/>
      <c r="BG537" s="46"/>
      <c r="BH537" s="46"/>
      <c r="BI537" s="46"/>
      <c r="BJ537" s="457"/>
      <c r="BK537" s="449">
        <v>0</v>
      </c>
      <c r="BL537" s="45"/>
      <c r="BM537" s="45"/>
      <c r="BN537" s="45"/>
      <c r="BO537" s="45"/>
      <c r="BP537" s="45"/>
      <c r="BQ537" s="45"/>
      <c r="BR537" s="45"/>
      <c r="BS537" s="45"/>
      <c r="BT537" s="45"/>
      <c r="BU537" s="45"/>
      <c r="BV537" s="45"/>
      <c r="BW537" s="45"/>
      <c r="BX537" s="45"/>
      <c r="BY537" s="45"/>
      <c r="BZ537" s="45"/>
      <c r="CA537" s="45"/>
      <c r="CB537" s="45"/>
      <c r="CC537" s="45"/>
      <c r="CD537" s="463"/>
      <c r="CE537">
        <v>0</v>
      </c>
      <c r="CF537">
        <v>0</v>
      </c>
      <c r="CG537">
        <v>0</v>
      </c>
      <c r="CH537">
        <v>0</v>
      </c>
      <c r="CI537">
        <v>0</v>
      </c>
      <c r="CJ537">
        <v>0</v>
      </c>
      <c r="CK537">
        <v>0</v>
      </c>
      <c r="CL537">
        <v>0</v>
      </c>
      <c r="CM537">
        <v>0</v>
      </c>
      <c r="CN537">
        <v>0</v>
      </c>
      <c r="CO537">
        <v>0</v>
      </c>
      <c r="CP537">
        <v>0</v>
      </c>
      <c r="CQ537">
        <v>0</v>
      </c>
      <c r="CR537">
        <v>0</v>
      </c>
      <c r="CS537">
        <v>0</v>
      </c>
      <c r="CT537">
        <v>0</v>
      </c>
      <c r="CU537">
        <v>0</v>
      </c>
      <c r="CV537">
        <v>0</v>
      </c>
      <c r="CW537">
        <v>0</v>
      </c>
      <c r="CX537">
        <v>0</v>
      </c>
      <c r="CY537">
        <v>0</v>
      </c>
      <c r="CZ537">
        <v>0</v>
      </c>
      <c r="DA537">
        <v>0</v>
      </c>
      <c r="DB537">
        <v>0</v>
      </c>
      <c r="DC537">
        <v>0</v>
      </c>
      <c r="DD537">
        <v>0</v>
      </c>
      <c r="DE537">
        <v>0</v>
      </c>
      <c r="DF537">
        <v>0</v>
      </c>
      <c r="DG537">
        <v>0</v>
      </c>
      <c r="DH537">
        <v>0</v>
      </c>
      <c r="DI537">
        <v>0</v>
      </c>
      <c r="DJ537">
        <v>0</v>
      </c>
      <c r="DK537">
        <v>0</v>
      </c>
      <c r="DL537">
        <v>0</v>
      </c>
      <c r="DM537">
        <v>0</v>
      </c>
      <c r="DN537">
        <v>0</v>
      </c>
      <c r="DO537">
        <v>0</v>
      </c>
      <c r="DP537">
        <v>0</v>
      </c>
      <c r="DQ537">
        <v>0</v>
      </c>
      <c r="DR537">
        <v>0</v>
      </c>
      <c r="DS537">
        <v>0</v>
      </c>
      <c r="DT537">
        <v>0</v>
      </c>
      <c r="DU537">
        <v>0</v>
      </c>
    </row>
    <row r="538" spans="2:125">
      <c r="B538" s="136">
        <v>529</v>
      </c>
      <c r="C538" s="138">
        <v>1</v>
      </c>
      <c r="D538" s="474">
        <v>3541.3001416097691</v>
      </c>
      <c r="E538" s="127">
        <v>248.74239265088551</v>
      </c>
      <c r="F538" s="447">
        <v>0.37165298564793686</v>
      </c>
      <c r="G538" s="127">
        <v>136.56662925237583</v>
      </c>
      <c r="H538" s="132">
        <v>53.938205986640256</v>
      </c>
      <c r="I538" s="456"/>
      <c r="J538" s="45"/>
      <c r="K538" s="45">
        <v>530</v>
      </c>
      <c r="L538" s="463"/>
      <c r="M538" s="456">
        <v>30.420379638671875</v>
      </c>
      <c r="N538" s="457"/>
      <c r="O538" s="456"/>
      <c r="P538" s="46"/>
      <c r="Q538" s="463">
        <v>70.117744445800781</v>
      </c>
      <c r="R538" s="449"/>
      <c r="S538" s="463"/>
      <c r="T538" s="480"/>
      <c r="U538" s="468"/>
      <c r="V538" s="449"/>
      <c r="W538" s="45">
        <v>1415.4053955078125</v>
      </c>
      <c r="X538" s="463">
        <v>120.24694061279297</v>
      </c>
      <c r="Y538" s="449"/>
      <c r="Z538" s="45"/>
      <c r="AA538" s="468">
        <v>0.36249446803688351</v>
      </c>
      <c r="AB538" s="456"/>
      <c r="AC538" s="46"/>
      <c r="AD538" s="46"/>
      <c r="AE538" s="46"/>
      <c r="AF538" s="46"/>
      <c r="AG538" s="46"/>
      <c r="AH538" s="46"/>
      <c r="AI538" s="457"/>
      <c r="AJ538" s="138"/>
      <c r="AK538" s="745"/>
      <c r="AL538" s="54"/>
      <c r="AM538" s="468"/>
      <c r="AN538" s="449"/>
      <c r="AO538" s="45"/>
      <c r="AP538" s="45"/>
      <c r="AQ538" s="45"/>
      <c r="AR538" s="45"/>
      <c r="AS538" s="45"/>
      <c r="AT538" s="45"/>
      <c r="AU538" s="463"/>
      <c r="AV538" s="449"/>
      <c r="AW538" s="45"/>
      <c r="AX538" s="45"/>
      <c r="AY538" s="45"/>
      <c r="AZ538" s="45"/>
      <c r="BA538" s="45"/>
      <c r="BB538" s="45"/>
      <c r="BC538" s="463"/>
      <c r="BD538" s="456"/>
      <c r="BE538" s="46"/>
      <c r="BF538" s="46"/>
      <c r="BG538" s="46"/>
      <c r="BH538" s="46"/>
      <c r="BI538" s="46"/>
      <c r="BJ538" s="457"/>
      <c r="BK538" s="449">
        <v>0</v>
      </c>
      <c r="BL538" s="45"/>
      <c r="BM538" s="45"/>
      <c r="BN538" s="45"/>
      <c r="BO538" s="45"/>
      <c r="BP538" s="45"/>
      <c r="BQ538" s="45"/>
      <c r="BR538" s="45"/>
      <c r="BS538" s="45"/>
      <c r="BT538" s="45"/>
      <c r="BU538" s="45"/>
      <c r="BV538" s="45"/>
      <c r="BW538" s="45"/>
      <c r="BX538" s="45"/>
      <c r="BY538" s="45"/>
      <c r="BZ538" s="45"/>
      <c r="CA538" s="45"/>
      <c r="CB538" s="45"/>
      <c r="CC538" s="45"/>
      <c r="CD538" s="463"/>
      <c r="CE538">
        <v>0</v>
      </c>
      <c r="CF538">
        <v>0</v>
      </c>
      <c r="CG538">
        <v>0</v>
      </c>
      <c r="CH538">
        <v>0</v>
      </c>
      <c r="CI538">
        <v>0</v>
      </c>
      <c r="CJ538">
        <v>0</v>
      </c>
      <c r="CK538">
        <v>0</v>
      </c>
      <c r="CL538">
        <v>0</v>
      </c>
      <c r="CM538">
        <v>0</v>
      </c>
      <c r="CN538">
        <v>0</v>
      </c>
      <c r="CO538">
        <v>0</v>
      </c>
      <c r="CP538">
        <v>0</v>
      </c>
      <c r="CQ538">
        <v>0</v>
      </c>
      <c r="CR538">
        <v>0</v>
      </c>
      <c r="CS538">
        <v>0</v>
      </c>
      <c r="CT538">
        <v>0</v>
      </c>
      <c r="CU538">
        <v>0</v>
      </c>
      <c r="CV538">
        <v>0</v>
      </c>
      <c r="CW538">
        <v>0</v>
      </c>
      <c r="CX538">
        <v>0</v>
      </c>
      <c r="CY538">
        <v>0</v>
      </c>
      <c r="CZ538">
        <v>0</v>
      </c>
      <c r="DA538">
        <v>0</v>
      </c>
      <c r="DB538">
        <v>0</v>
      </c>
      <c r="DC538">
        <v>0</v>
      </c>
      <c r="DD538">
        <v>0</v>
      </c>
      <c r="DE538">
        <v>0</v>
      </c>
      <c r="DF538">
        <v>0</v>
      </c>
      <c r="DG538">
        <v>0</v>
      </c>
      <c r="DH538">
        <v>0</v>
      </c>
      <c r="DI538">
        <v>0</v>
      </c>
      <c r="DJ538">
        <v>0</v>
      </c>
      <c r="DK538">
        <v>0</v>
      </c>
      <c r="DL538">
        <v>0</v>
      </c>
      <c r="DM538">
        <v>0</v>
      </c>
      <c r="DN538">
        <v>0</v>
      </c>
      <c r="DO538">
        <v>0</v>
      </c>
      <c r="DP538">
        <v>0</v>
      </c>
      <c r="DQ538">
        <v>0</v>
      </c>
      <c r="DR538">
        <v>0</v>
      </c>
      <c r="DS538">
        <v>0</v>
      </c>
      <c r="DT538">
        <v>0</v>
      </c>
      <c r="DU538">
        <v>0</v>
      </c>
    </row>
    <row r="539" spans="2:125">
      <c r="B539" s="136">
        <v>530</v>
      </c>
      <c r="C539" s="138">
        <v>1</v>
      </c>
      <c r="D539" s="474">
        <v>3383.9111217805057</v>
      </c>
      <c r="E539" s="127">
        <v>250.07857099287239</v>
      </c>
      <c r="F539" s="447">
        <v>0.39337933116631724</v>
      </c>
      <c r="G539" s="127">
        <v>109.2422499856355</v>
      </c>
      <c r="H539" s="132">
        <v>58.196470952354034</v>
      </c>
      <c r="I539" s="456"/>
      <c r="J539" s="45"/>
      <c r="K539" s="45">
        <v>460</v>
      </c>
      <c r="L539" s="463"/>
      <c r="M539" s="456">
        <v>29.755580902099609</v>
      </c>
      <c r="N539" s="457"/>
      <c r="O539" s="456"/>
      <c r="P539" s="46"/>
      <c r="Q539" s="463">
        <v>67.001441955566406</v>
      </c>
      <c r="R539" s="449"/>
      <c r="S539" s="463"/>
      <c r="T539" s="480"/>
      <c r="U539" s="468"/>
      <c r="V539" s="449"/>
      <c r="W539" s="45">
        <v>1327.2183837890625</v>
      </c>
      <c r="X539" s="463">
        <v>113.53530883789062</v>
      </c>
      <c r="Y539" s="449"/>
      <c r="Z539" s="45"/>
      <c r="AA539" s="468">
        <v>0.38366643226310004</v>
      </c>
      <c r="AB539" s="456"/>
      <c r="AC539" s="46"/>
      <c r="AD539" s="46"/>
      <c r="AE539" s="46"/>
      <c r="AF539" s="46"/>
      <c r="AG539" s="46"/>
      <c r="AH539" s="46"/>
      <c r="AI539" s="457"/>
      <c r="AJ539" s="138"/>
      <c r="AK539" s="745"/>
      <c r="AL539" s="54"/>
      <c r="AM539" s="468"/>
      <c r="AN539" s="449"/>
      <c r="AO539" s="45"/>
      <c r="AP539" s="45"/>
      <c r="AQ539" s="45"/>
      <c r="AR539" s="45"/>
      <c r="AS539" s="45"/>
      <c r="AT539" s="45"/>
      <c r="AU539" s="463"/>
      <c r="AV539" s="449"/>
      <c r="AW539" s="45"/>
      <c r="AX539" s="45"/>
      <c r="AY539" s="45"/>
      <c r="AZ539" s="45"/>
      <c r="BA539" s="45"/>
      <c r="BB539" s="45"/>
      <c r="BC539" s="463"/>
      <c r="BD539" s="456"/>
      <c r="BE539" s="46"/>
      <c r="BF539" s="46"/>
      <c r="BG539" s="46"/>
      <c r="BH539" s="46"/>
      <c r="BI539" s="46"/>
      <c r="BJ539" s="457"/>
      <c r="BK539" s="449">
        <v>0</v>
      </c>
      <c r="BL539" s="45"/>
      <c r="BM539" s="45"/>
      <c r="BN539" s="45"/>
      <c r="BO539" s="45"/>
      <c r="BP539" s="45"/>
      <c r="BQ539" s="45"/>
      <c r="BR539" s="45"/>
      <c r="BS539" s="45"/>
      <c r="BT539" s="45"/>
      <c r="BU539" s="45"/>
      <c r="BV539" s="45"/>
      <c r="BW539" s="45"/>
      <c r="BX539" s="45"/>
      <c r="BY539" s="45"/>
      <c r="BZ539" s="45"/>
      <c r="CA539" s="45"/>
      <c r="CB539" s="45"/>
      <c r="CC539" s="45"/>
      <c r="CD539" s="463"/>
      <c r="CE539">
        <v>0</v>
      </c>
      <c r="CF539">
        <v>0</v>
      </c>
      <c r="CG539">
        <v>0</v>
      </c>
      <c r="CH539">
        <v>0</v>
      </c>
      <c r="CI539">
        <v>0</v>
      </c>
      <c r="CJ539">
        <v>0</v>
      </c>
      <c r="CK539">
        <v>0</v>
      </c>
      <c r="CL539">
        <v>0</v>
      </c>
      <c r="CM539">
        <v>0</v>
      </c>
      <c r="CN539">
        <v>0</v>
      </c>
      <c r="CO539">
        <v>0</v>
      </c>
      <c r="CP539">
        <v>0</v>
      </c>
      <c r="CQ539">
        <v>0</v>
      </c>
      <c r="CR539">
        <v>0</v>
      </c>
      <c r="CS539">
        <v>0</v>
      </c>
      <c r="CT539">
        <v>0</v>
      </c>
      <c r="CU539">
        <v>0</v>
      </c>
      <c r="CV539">
        <v>0</v>
      </c>
      <c r="CW539">
        <v>0</v>
      </c>
      <c r="CX539">
        <v>0</v>
      </c>
      <c r="CY539">
        <v>0</v>
      </c>
      <c r="CZ539">
        <v>0</v>
      </c>
      <c r="DA539">
        <v>0</v>
      </c>
      <c r="DB539">
        <v>0</v>
      </c>
      <c r="DC539">
        <v>0</v>
      </c>
      <c r="DD539">
        <v>0</v>
      </c>
      <c r="DE539">
        <v>0</v>
      </c>
      <c r="DF539">
        <v>0</v>
      </c>
      <c r="DG539">
        <v>0</v>
      </c>
      <c r="DH539">
        <v>0</v>
      </c>
      <c r="DI539">
        <v>0</v>
      </c>
      <c r="DJ539">
        <v>0</v>
      </c>
      <c r="DK539">
        <v>0</v>
      </c>
      <c r="DL539">
        <v>0</v>
      </c>
      <c r="DM539">
        <v>0</v>
      </c>
      <c r="DN539">
        <v>0</v>
      </c>
      <c r="DO539">
        <v>0</v>
      </c>
      <c r="DP539">
        <v>0</v>
      </c>
      <c r="DQ539">
        <v>0</v>
      </c>
      <c r="DR539">
        <v>0</v>
      </c>
      <c r="DS539">
        <v>0</v>
      </c>
      <c r="DT539">
        <v>0</v>
      </c>
      <c r="DU539">
        <v>0</v>
      </c>
    </row>
    <row r="540" spans="2:125">
      <c r="B540" s="136">
        <v>531</v>
      </c>
      <c r="C540" s="138">
        <v>1</v>
      </c>
      <c r="D540" s="474">
        <v>3863.8706625942023</v>
      </c>
      <c r="E540" s="127">
        <v>265.32736512404699</v>
      </c>
      <c r="F540" s="447">
        <v>0.40812357457610449</v>
      </c>
      <c r="G540" s="127">
        <v>120.61776941730945</v>
      </c>
      <c r="H540" s="132">
        <v>68.452772716224345</v>
      </c>
      <c r="I540" s="456"/>
      <c r="J540" s="45"/>
      <c r="K540" s="45">
        <v>550</v>
      </c>
      <c r="L540" s="463"/>
      <c r="M540" s="456">
        <v>31.384258270263672</v>
      </c>
      <c r="N540" s="457"/>
      <c r="O540" s="456"/>
      <c r="P540" s="46"/>
      <c r="Q540" s="463">
        <v>85.009269714355469</v>
      </c>
      <c r="R540" s="449"/>
      <c r="S540" s="463"/>
      <c r="T540" s="480"/>
      <c r="U540" s="468"/>
      <c r="V540" s="449"/>
      <c r="W540" s="45">
        <v>1607.13671875</v>
      </c>
      <c r="X540" s="463">
        <v>134.25477600097656</v>
      </c>
      <c r="Y540" s="449"/>
      <c r="Z540" s="45"/>
      <c r="AA540" s="468">
        <v>0.39954086713391052</v>
      </c>
      <c r="AB540" s="456"/>
      <c r="AC540" s="46"/>
      <c r="AD540" s="46"/>
      <c r="AE540" s="46"/>
      <c r="AF540" s="46"/>
      <c r="AG540" s="46"/>
      <c r="AH540" s="46"/>
      <c r="AI540" s="457"/>
      <c r="AJ540" s="138"/>
      <c r="AK540" s="745"/>
      <c r="AL540" s="54"/>
      <c r="AM540" s="468"/>
      <c r="AN540" s="449"/>
      <c r="AO540" s="45"/>
      <c r="AP540" s="45"/>
      <c r="AQ540" s="45"/>
      <c r="AR540" s="45"/>
      <c r="AS540" s="45"/>
      <c r="AT540" s="45"/>
      <c r="AU540" s="463"/>
      <c r="AV540" s="449"/>
      <c r="AW540" s="45"/>
      <c r="AX540" s="45"/>
      <c r="AY540" s="45"/>
      <c r="AZ540" s="45"/>
      <c r="BA540" s="45"/>
      <c r="BB540" s="45"/>
      <c r="BC540" s="463"/>
      <c r="BD540" s="456"/>
      <c r="BE540" s="46"/>
      <c r="BF540" s="46"/>
      <c r="BG540" s="46"/>
      <c r="BH540" s="46"/>
      <c r="BI540" s="46"/>
      <c r="BJ540" s="457"/>
      <c r="BK540" s="449">
        <v>0</v>
      </c>
      <c r="BL540" s="45"/>
      <c r="BM540" s="45"/>
      <c r="BN540" s="45"/>
      <c r="BO540" s="45"/>
      <c r="BP540" s="45"/>
      <c r="BQ540" s="45"/>
      <c r="BR540" s="45"/>
      <c r="BS540" s="45"/>
      <c r="BT540" s="45"/>
      <c r="BU540" s="45"/>
      <c r="BV540" s="45"/>
      <c r="BW540" s="45"/>
      <c r="BX540" s="45"/>
      <c r="BY540" s="45"/>
      <c r="BZ540" s="45"/>
      <c r="CA540" s="45"/>
      <c r="CB540" s="45"/>
      <c r="CC540" s="45"/>
      <c r="CD540" s="463"/>
      <c r="CE540">
        <v>0</v>
      </c>
      <c r="CF540">
        <v>0</v>
      </c>
      <c r="CG540">
        <v>0</v>
      </c>
      <c r="CH540">
        <v>0</v>
      </c>
      <c r="CI540">
        <v>0</v>
      </c>
      <c r="CJ540">
        <v>0</v>
      </c>
      <c r="CK540">
        <v>0</v>
      </c>
      <c r="CL540">
        <v>0</v>
      </c>
      <c r="CM540">
        <v>0</v>
      </c>
      <c r="CN540">
        <v>0</v>
      </c>
      <c r="CO540">
        <v>0</v>
      </c>
      <c r="CP540">
        <v>0</v>
      </c>
      <c r="CQ540">
        <v>0</v>
      </c>
      <c r="CR540">
        <v>0</v>
      </c>
      <c r="CS540">
        <v>0</v>
      </c>
      <c r="CT540">
        <v>0</v>
      </c>
      <c r="CU540">
        <v>0</v>
      </c>
      <c r="CV540">
        <v>0</v>
      </c>
      <c r="CW540">
        <v>0</v>
      </c>
      <c r="CX540">
        <v>0</v>
      </c>
      <c r="CY540">
        <v>0</v>
      </c>
      <c r="CZ540">
        <v>0</v>
      </c>
      <c r="DA540">
        <v>0</v>
      </c>
      <c r="DB540">
        <v>0</v>
      </c>
      <c r="DC540">
        <v>0</v>
      </c>
      <c r="DD540">
        <v>0</v>
      </c>
      <c r="DE540">
        <v>0</v>
      </c>
      <c r="DF540">
        <v>0</v>
      </c>
      <c r="DG540">
        <v>0</v>
      </c>
      <c r="DH540">
        <v>0</v>
      </c>
      <c r="DI540">
        <v>0</v>
      </c>
      <c r="DJ540">
        <v>0</v>
      </c>
      <c r="DK540">
        <v>0</v>
      </c>
      <c r="DL540">
        <v>0</v>
      </c>
      <c r="DM540">
        <v>0</v>
      </c>
      <c r="DN540">
        <v>0</v>
      </c>
      <c r="DO540">
        <v>0</v>
      </c>
      <c r="DP540">
        <v>0</v>
      </c>
      <c r="DQ540">
        <v>0</v>
      </c>
      <c r="DR540">
        <v>0</v>
      </c>
      <c r="DS540">
        <v>0</v>
      </c>
      <c r="DT540">
        <v>0</v>
      </c>
      <c r="DU540">
        <v>0</v>
      </c>
    </row>
    <row r="541" spans="2:125">
      <c r="B541" s="136">
        <v>532</v>
      </c>
      <c r="C541" s="138">
        <v>1</v>
      </c>
      <c r="D541" s="474">
        <v>3388.3929718016302</v>
      </c>
      <c r="E541" s="127">
        <v>284.7784897711494</v>
      </c>
      <c r="F541" s="447">
        <v>0.4380932789087818</v>
      </c>
      <c r="G541" s="127">
        <v>126.12305237224029</v>
      </c>
      <c r="H541" s="132">
        <v>53.929991940466579</v>
      </c>
      <c r="I541" s="456"/>
      <c r="J541" s="45"/>
      <c r="K541" s="45">
        <v>510</v>
      </c>
      <c r="L541" s="463"/>
      <c r="M541" s="456">
        <v>38.348304748535156</v>
      </c>
      <c r="N541" s="457"/>
      <c r="O541" s="456"/>
      <c r="P541" s="46"/>
      <c r="Q541" s="463">
        <v>67.090187072753906</v>
      </c>
      <c r="R541" s="449"/>
      <c r="S541" s="463"/>
      <c r="T541" s="480"/>
      <c r="U541" s="468"/>
      <c r="V541" s="449"/>
      <c r="W541" s="45">
        <v>1686.407958984375</v>
      </c>
      <c r="X541" s="463">
        <v>139.84664916992187</v>
      </c>
      <c r="Y541" s="449"/>
      <c r="Z541" s="45"/>
      <c r="AA541" s="468">
        <v>0.42812930310693598</v>
      </c>
      <c r="AB541" s="456"/>
      <c r="AC541" s="46"/>
      <c r="AD541" s="46"/>
      <c r="AE541" s="46"/>
      <c r="AF541" s="46"/>
      <c r="AG541" s="46"/>
      <c r="AH541" s="46"/>
      <c r="AI541" s="457"/>
      <c r="AJ541" s="138"/>
      <c r="AK541" s="745"/>
      <c r="AL541" s="54"/>
      <c r="AM541" s="468"/>
      <c r="AN541" s="449"/>
      <c r="AO541" s="45"/>
      <c r="AP541" s="45"/>
      <c r="AQ541" s="45"/>
      <c r="AR541" s="45"/>
      <c r="AS541" s="45"/>
      <c r="AT541" s="45"/>
      <c r="AU541" s="463"/>
      <c r="AV541" s="449"/>
      <c r="AW541" s="45"/>
      <c r="AX541" s="45"/>
      <c r="AY541" s="45"/>
      <c r="AZ541" s="45"/>
      <c r="BA541" s="45"/>
      <c r="BB541" s="45"/>
      <c r="BC541" s="463"/>
      <c r="BD541" s="456"/>
      <c r="BE541" s="46"/>
      <c r="BF541" s="46"/>
      <c r="BG541" s="46"/>
      <c r="BH541" s="46"/>
      <c r="BI541" s="46"/>
      <c r="BJ541" s="457"/>
      <c r="BK541" s="449">
        <v>0</v>
      </c>
      <c r="BL541" s="45"/>
      <c r="BM541" s="45"/>
      <c r="BN541" s="45"/>
      <c r="BO541" s="45"/>
      <c r="BP541" s="45"/>
      <c r="BQ541" s="45"/>
      <c r="BR541" s="45"/>
      <c r="BS541" s="45"/>
      <c r="BT541" s="45"/>
      <c r="BU541" s="45"/>
      <c r="BV541" s="45"/>
      <c r="BW541" s="45"/>
      <c r="BX541" s="45"/>
      <c r="BY541" s="45"/>
      <c r="BZ541" s="45"/>
      <c r="CA541" s="45"/>
      <c r="CB541" s="45"/>
      <c r="CC541" s="45"/>
      <c r="CD541" s="463"/>
      <c r="CE541">
        <v>0</v>
      </c>
      <c r="CF541">
        <v>0</v>
      </c>
      <c r="CG541">
        <v>0</v>
      </c>
      <c r="CH541">
        <v>0</v>
      </c>
      <c r="CI541">
        <v>0</v>
      </c>
      <c r="CJ541">
        <v>0</v>
      </c>
      <c r="CK541">
        <v>0</v>
      </c>
      <c r="CL541">
        <v>0</v>
      </c>
      <c r="CM541">
        <v>0</v>
      </c>
      <c r="CN541">
        <v>0</v>
      </c>
      <c r="CO541">
        <v>0</v>
      </c>
      <c r="CP541">
        <v>0</v>
      </c>
      <c r="CQ541">
        <v>0</v>
      </c>
      <c r="CR541">
        <v>0</v>
      </c>
      <c r="CS541">
        <v>0</v>
      </c>
      <c r="CT541">
        <v>0</v>
      </c>
      <c r="CU541">
        <v>0</v>
      </c>
      <c r="CV541">
        <v>0</v>
      </c>
      <c r="CW541">
        <v>0</v>
      </c>
      <c r="CX541">
        <v>0</v>
      </c>
      <c r="CY541">
        <v>0</v>
      </c>
      <c r="CZ541">
        <v>0</v>
      </c>
      <c r="DA541">
        <v>0</v>
      </c>
      <c r="DB541">
        <v>0</v>
      </c>
      <c r="DC541">
        <v>0</v>
      </c>
      <c r="DD541">
        <v>0</v>
      </c>
      <c r="DE541">
        <v>0</v>
      </c>
      <c r="DF541">
        <v>0</v>
      </c>
      <c r="DG541">
        <v>0</v>
      </c>
      <c r="DH541">
        <v>0</v>
      </c>
      <c r="DI541">
        <v>0</v>
      </c>
      <c r="DJ541">
        <v>0</v>
      </c>
      <c r="DK541">
        <v>0</v>
      </c>
      <c r="DL541">
        <v>0</v>
      </c>
      <c r="DM541">
        <v>0</v>
      </c>
      <c r="DN541">
        <v>0</v>
      </c>
      <c r="DO541">
        <v>0</v>
      </c>
      <c r="DP541">
        <v>0</v>
      </c>
      <c r="DQ541">
        <v>0</v>
      </c>
      <c r="DR541">
        <v>0</v>
      </c>
      <c r="DS541">
        <v>0</v>
      </c>
      <c r="DT541">
        <v>0</v>
      </c>
      <c r="DU541">
        <v>0</v>
      </c>
    </row>
    <row r="542" spans="2:125">
      <c r="B542" s="136">
        <v>533</v>
      </c>
      <c r="C542" s="138">
        <v>1</v>
      </c>
      <c r="D542" s="474">
        <v>2819.0179760265155</v>
      </c>
      <c r="E542" s="127">
        <v>208.96154835637222</v>
      </c>
      <c r="F542" s="447">
        <v>0.50701639098269369</v>
      </c>
      <c r="G542" s="127">
        <v>103.26814129317155</v>
      </c>
      <c r="H542" s="132">
        <v>48.999938231335911</v>
      </c>
      <c r="I542" s="456"/>
      <c r="J542" s="45"/>
      <c r="K542" s="45">
        <v>430</v>
      </c>
      <c r="L542" s="463"/>
      <c r="M542" s="456">
        <v>51.970222473144531</v>
      </c>
      <c r="N542" s="457"/>
      <c r="O542" s="456"/>
      <c r="P542" s="46"/>
      <c r="Q542" s="463">
        <v>55.816558837890625</v>
      </c>
      <c r="R542" s="449"/>
      <c r="S542" s="463"/>
      <c r="T542" s="480"/>
      <c r="U542" s="468"/>
      <c r="V542" s="449"/>
      <c r="W542" s="45">
        <v>1977.7093505859375</v>
      </c>
      <c r="X542" s="463">
        <v>160.7091064453125</v>
      </c>
      <c r="Y542" s="449"/>
      <c r="Z542" s="45"/>
      <c r="AA542" s="468">
        <v>0.4945509409151545</v>
      </c>
      <c r="AB542" s="456"/>
      <c r="AC542" s="46"/>
      <c r="AD542" s="46"/>
      <c r="AE542" s="46"/>
      <c r="AF542" s="46"/>
      <c r="AG542" s="46"/>
      <c r="AH542" s="46"/>
      <c r="AI542" s="457"/>
      <c r="AJ542" s="138"/>
      <c r="AK542" s="745"/>
      <c r="AL542" s="54"/>
      <c r="AM542" s="468"/>
      <c r="AN542" s="449"/>
      <c r="AO542" s="45"/>
      <c r="AP542" s="45"/>
      <c r="AQ542" s="45"/>
      <c r="AR542" s="45"/>
      <c r="AS542" s="45"/>
      <c r="AT542" s="45"/>
      <c r="AU542" s="463"/>
      <c r="AV542" s="449"/>
      <c r="AW542" s="45"/>
      <c r="AX542" s="45"/>
      <c r="AY542" s="45"/>
      <c r="AZ542" s="45"/>
      <c r="BA542" s="45"/>
      <c r="BB542" s="45"/>
      <c r="BC542" s="463"/>
      <c r="BD542" s="456"/>
      <c r="BE542" s="46"/>
      <c r="BF542" s="46"/>
      <c r="BG542" s="46"/>
      <c r="BH542" s="46"/>
      <c r="BI542" s="46"/>
      <c r="BJ542" s="457"/>
      <c r="BK542" s="449">
        <v>0</v>
      </c>
      <c r="BL542" s="45"/>
      <c r="BM542" s="45"/>
      <c r="BN542" s="45"/>
      <c r="BO542" s="45"/>
      <c r="BP542" s="45"/>
      <c r="BQ542" s="45"/>
      <c r="BR542" s="45"/>
      <c r="BS542" s="45"/>
      <c r="BT542" s="45"/>
      <c r="BU542" s="45"/>
      <c r="BV542" s="45"/>
      <c r="BW542" s="45"/>
      <c r="BX542" s="45"/>
      <c r="BY542" s="45"/>
      <c r="BZ542" s="45"/>
      <c r="CA542" s="45"/>
      <c r="CB542" s="45"/>
      <c r="CC542" s="45"/>
      <c r="CD542" s="463"/>
      <c r="CE542">
        <v>0</v>
      </c>
      <c r="CF542">
        <v>0</v>
      </c>
      <c r="CG542">
        <v>0</v>
      </c>
      <c r="CH542">
        <v>0</v>
      </c>
      <c r="CI542">
        <v>0</v>
      </c>
      <c r="CJ542">
        <v>0</v>
      </c>
      <c r="CK542">
        <v>0</v>
      </c>
      <c r="CL542">
        <v>0</v>
      </c>
      <c r="CM542">
        <v>0</v>
      </c>
      <c r="CN542">
        <v>0</v>
      </c>
      <c r="CO542">
        <v>0</v>
      </c>
      <c r="CP542">
        <v>0</v>
      </c>
      <c r="CQ542">
        <v>0</v>
      </c>
      <c r="CR542">
        <v>0</v>
      </c>
      <c r="CS542">
        <v>0</v>
      </c>
      <c r="CT542">
        <v>0</v>
      </c>
      <c r="CU542">
        <v>0</v>
      </c>
      <c r="CV542">
        <v>0</v>
      </c>
      <c r="CW542">
        <v>0</v>
      </c>
      <c r="CX542">
        <v>0</v>
      </c>
      <c r="CY542">
        <v>0</v>
      </c>
      <c r="CZ542">
        <v>0</v>
      </c>
      <c r="DA542">
        <v>0</v>
      </c>
      <c r="DB542">
        <v>0</v>
      </c>
      <c r="DC542">
        <v>0</v>
      </c>
      <c r="DD542">
        <v>0</v>
      </c>
      <c r="DE542">
        <v>0</v>
      </c>
      <c r="DF542">
        <v>0</v>
      </c>
      <c r="DG542">
        <v>0</v>
      </c>
      <c r="DH542">
        <v>0</v>
      </c>
      <c r="DI542">
        <v>0</v>
      </c>
      <c r="DJ542">
        <v>0</v>
      </c>
      <c r="DK542">
        <v>0</v>
      </c>
      <c r="DL542">
        <v>0</v>
      </c>
      <c r="DM542">
        <v>0</v>
      </c>
      <c r="DN542">
        <v>0</v>
      </c>
      <c r="DO542">
        <v>0</v>
      </c>
      <c r="DP542">
        <v>0</v>
      </c>
      <c r="DQ542">
        <v>0</v>
      </c>
      <c r="DR542">
        <v>0</v>
      </c>
      <c r="DS542">
        <v>0</v>
      </c>
      <c r="DT542">
        <v>0</v>
      </c>
      <c r="DU542">
        <v>0</v>
      </c>
    </row>
    <row r="543" spans="2:125">
      <c r="B543" s="136">
        <v>534</v>
      </c>
      <c r="C543" s="138">
        <v>1</v>
      </c>
      <c r="D543" s="474">
        <v>3469.007736787642</v>
      </c>
      <c r="E543" s="127">
        <v>277.04177749347144</v>
      </c>
      <c r="F543" s="447">
        <v>0.42245042919108444</v>
      </c>
      <c r="G543" s="127">
        <v>131.73291211806961</v>
      </c>
      <c r="H543" s="132">
        <v>53.905404512641354</v>
      </c>
      <c r="I543" s="456"/>
      <c r="J543" s="45"/>
      <c r="K543" s="45">
        <v>520</v>
      </c>
      <c r="L543" s="463"/>
      <c r="M543" s="456">
        <v>36.460681915283203</v>
      </c>
      <c r="N543" s="457"/>
      <c r="O543" s="456"/>
      <c r="P543" s="46"/>
      <c r="Q543" s="463">
        <v>68.686355590820313</v>
      </c>
      <c r="R543" s="449"/>
      <c r="S543" s="463"/>
      <c r="T543" s="480"/>
      <c r="U543" s="468"/>
      <c r="V543" s="449"/>
      <c r="W543" s="45">
        <v>1638.539306640625</v>
      </c>
      <c r="X543" s="463">
        <v>136.43276977539062</v>
      </c>
      <c r="Y543" s="449"/>
      <c r="Z543" s="45"/>
      <c r="AA543" s="468">
        <v>0.41280818820409948</v>
      </c>
      <c r="AB543" s="456"/>
      <c r="AC543" s="46"/>
      <c r="AD543" s="46"/>
      <c r="AE543" s="46"/>
      <c r="AF543" s="46"/>
      <c r="AG543" s="46"/>
      <c r="AH543" s="46"/>
      <c r="AI543" s="457"/>
      <c r="AJ543" s="138"/>
      <c r="AK543" s="745"/>
      <c r="AL543" s="54"/>
      <c r="AM543" s="468"/>
      <c r="AN543" s="449"/>
      <c r="AO543" s="45"/>
      <c r="AP543" s="45"/>
      <c r="AQ543" s="45"/>
      <c r="AR543" s="45"/>
      <c r="AS543" s="45"/>
      <c r="AT543" s="45"/>
      <c r="AU543" s="463"/>
      <c r="AV543" s="449"/>
      <c r="AW543" s="45"/>
      <c r="AX543" s="45"/>
      <c r="AY543" s="45"/>
      <c r="AZ543" s="45"/>
      <c r="BA543" s="45"/>
      <c r="BB543" s="45"/>
      <c r="BC543" s="463"/>
      <c r="BD543" s="456"/>
      <c r="BE543" s="46"/>
      <c r="BF543" s="46"/>
      <c r="BG543" s="46"/>
      <c r="BH543" s="46"/>
      <c r="BI543" s="46"/>
      <c r="BJ543" s="457"/>
      <c r="BK543" s="449">
        <v>0</v>
      </c>
      <c r="BL543" s="45"/>
      <c r="BM543" s="45"/>
      <c r="BN543" s="45"/>
      <c r="BO543" s="45"/>
      <c r="BP543" s="45"/>
      <c r="BQ543" s="45"/>
      <c r="BR543" s="45"/>
      <c r="BS543" s="45"/>
      <c r="BT543" s="45"/>
      <c r="BU543" s="45"/>
      <c r="BV543" s="45"/>
      <c r="BW543" s="45"/>
      <c r="BX543" s="45"/>
      <c r="BY543" s="45"/>
      <c r="BZ543" s="45"/>
      <c r="CA543" s="45"/>
      <c r="CB543" s="45"/>
      <c r="CC543" s="45"/>
      <c r="CD543" s="463"/>
      <c r="CE543">
        <v>0</v>
      </c>
      <c r="CF543">
        <v>0</v>
      </c>
      <c r="CG543">
        <v>0</v>
      </c>
      <c r="CH543">
        <v>0</v>
      </c>
      <c r="CI543">
        <v>0</v>
      </c>
      <c r="CJ543">
        <v>0</v>
      </c>
      <c r="CK543">
        <v>0</v>
      </c>
      <c r="CL543">
        <v>0</v>
      </c>
      <c r="CM543">
        <v>0</v>
      </c>
      <c r="CN543">
        <v>0</v>
      </c>
      <c r="CO543">
        <v>0</v>
      </c>
      <c r="CP543">
        <v>0</v>
      </c>
      <c r="CQ543">
        <v>0</v>
      </c>
      <c r="CR543">
        <v>0</v>
      </c>
      <c r="CS543">
        <v>0</v>
      </c>
      <c r="CT543">
        <v>0</v>
      </c>
      <c r="CU543">
        <v>0</v>
      </c>
      <c r="CV543">
        <v>0</v>
      </c>
      <c r="CW543">
        <v>0</v>
      </c>
      <c r="CX543">
        <v>0</v>
      </c>
      <c r="CY543">
        <v>0</v>
      </c>
      <c r="CZ543">
        <v>0</v>
      </c>
      <c r="DA543">
        <v>0</v>
      </c>
      <c r="DB543">
        <v>0</v>
      </c>
      <c r="DC543">
        <v>0</v>
      </c>
      <c r="DD543">
        <v>0</v>
      </c>
      <c r="DE543">
        <v>0</v>
      </c>
      <c r="DF543">
        <v>0</v>
      </c>
      <c r="DG543">
        <v>0</v>
      </c>
      <c r="DH543">
        <v>0</v>
      </c>
      <c r="DI543">
        <v>0</v>
      </c>
      <c r="DJ543">
        <v>0</v>
      </c>
      <c r="DK543">
        <v>0</v>
      </c>
      <c r="DL543">
        <v>0</v>
      </c>
      <c r="DM543">
        <v>0</v>
      </c>
      <c r="DN543">
        <v>0</v>
      </c>
      <c r="DO543">
        <v>0</v>
      </c>
      <c r="DP543">
        <v>0</v>
      </c>
      <c r="DQ543">
        <v>0</v>
      </c>
      <c r="DR543">
        <v>0</v>
      </c>
      <c r="DS543">
        <v>0</v>
      </c>
      <c r="DT543">
        <v>0</v>
      </c>
      <c r="DU543">
        <v>0</v>
      </c>
    </row>
    <row r="544" spans="2:125">
      <c r="B544" s="136">
        <v>535</v>
      </c>
      <c r="C544" s="138">
        <v>1</v>
      </c>
      <c r="D544" s="474">
        <v>3091.7726528765552</v>
      </c>
      <c r="E544" s="127">
        <v>234.98970854067326</v>
      </c>
      <c r="F544" s="447">
        <v>0.37027304466184496</v>
      </c>
      <c r="G544" s="127">
        <v>110.473893491751</v>
      </c>
      <c r="H544" s="132">
        <v>59.861693087002116</v>
      </c>
      <c r="I544" s="456"/>
      <c r="J544" s="45"/>
      <c r="K544" s="45">
        <v>470</v>
      </c>
      <c r="L544" s="463"/>
      <c r="M544" s="456">
        <v>27.441120147705078</v>
      </c>
      <c r="N544" s="457"/>
      <c r="O544" s="456"/>
      <c r="P544" s="46"/>
      <c r="Q544" s="463">
        <v>69.429718017578125</v>
      </c>
      <c r="R544" s="449"/>
      <c r="S544" s="463"/>
      <c r="T544" s="480"/>
      <c r="U544" s="468"/>
      <c r="V544" s="449"/>
      <c r="W544" s="45">
        <v>1262.337646484375</v>
      </c>
      <c r="X544" s="463">
        <v>108.85707855224609</v>
      </c>
      <c r="Y544" s="449"/>
      <c r="Z544" s="45"/>
      <c r="AA544" s="468">
        <v>0.35979185327699742</v>
      </c>
      <c r="AB544" s="456"/>
      <c r="AC544" s="46"/>
      <c r="AD544" s="46"/>
      <c r="AE544" s="46"/>
      <c r="AF544" s="46"/>
      <c r="AG544" s="46"/>
      <c r="AH544" s="46"/>
      <c r="AI544" s="457"/>
      <c r="AJ544" s="138"/>
      <c r="AK544" s="745"/>
      <c r="AL544" s="54"/>
      <c r="AM544" s="468"/>
      <c r="AN544" s="449"/>
      <c r="AO544" s="45"/>
      <c r="AP544" s="45"/>
      <c r="AQ544" s="45"/>
      <c r="AR544" s="45"/>
      <c r="AS544" s="45"/>
      <c r="AT544" s="45"/>
      <c r="AU544" s="463"/>
      <c r="AV544" s="449"/>
      <c r="AW544" s="45"/>
      <c r="AX544" s="45"/>
      <c r="AY544" s="45"/>
      <c r="AZ544" s="45"/>
      <c r="BA544" s="45"/>
      <c r="BB544" s="45"/>
      <c r="BC544" s="463"/>
      <c r="BD544" s="456"/>
      <c r="BE544" s="46"/>
      <c r="BF544" s="46"/>
      <c r="BG544" s="46"/>
      <c r="BH544" s="46"/>
      <c r="BI544" s="46"/>
      <c r="BJ544" s="457"/>
      <c r="BK544" s="449">
        <v>0</v>
      </c>
      <c r="BL544" s="45"/>
      <c r="BM544" s="45"/>
      <c r="BN544" s="45"/>
      <c r="BO544" s="45"/>
      <c r="BP544" s="45"/>
      <c r="BQ544" s="45"/>
      <c r="BR544" s="45"/>
      <c r="BS544" s="45"/>
      <c r="BT544" s="45"/>
      <c r="BU544" s="45"/>
      <c r="BV544" s="45"/>
      <c r="BW544" s="45"/>
      <c r="BX544" s="45"/>
      <c r="BY544" s="45"/>
      <c r="BZ544" s="45"/>
      <c r="CA544" s="45"/>
      <c r="CB544" s="45"/>
      <c r="CC544" s="45"/>
      <c r="CD544" s="463"/>
      <c r="CE544">
        <v>0</v>
      </c>
      <c r="CF544">
        <v>0</v>
      </c>
      <c r="CG544">
        <v>0</v>
      </c>
      <c r="CH544">
        <v>0</v>
      </c>
      <c r="CI544">
        <v>0</v>
      </c>
      <c r="CJ544">
        <v>0</v>
      </c>
      <c r="CK544">
        <v>0</v>
      </c>
      <c r="CL544">
        <v>0</v>
      </c>
      <c r="CM544">
        <v>0</v>
      </c>
      <c r="CN544">
        <v>0</v>
      </c>
      <c r="CO544">
        <v>0</v>
      </c>
      <c r="CP544">
        <v>0</v>
      </c>
      <c r="CQ544">
        <v>0</v>
      </c>
      <c r="CR544">
        <v>0</v>
      </c>
      <c r="CS544">
        <v>0</v>
      </c>
      <c r="CT544">
        <v>0</v>
      </c>
      <c r="CU544">
        <v>0</v>
      </c>
      <c r="CV544">
        <v>0</v>
      </c>
      <c r="CW544">
        <v>0</v>
      </c>
      <c r="CX544">
        <v>0</v>
      </c>
      <c r="CY544">
        <v>0</v>
      </c>
      <c r="CZ544">
        <v>0</v>
      </c>
      <c r="DA544">
        <v>0</v>
      </c>
      <c r="DB544">
        <v>0</v>
      </c>
      <c r="DC544">
        <v>0</v>
      </c>
      <c r="DD544">
        <v>0</v>
      </c>
      <c r="DE544">
        <v>0</v>
      </c>
      <c r="DF544">
        <v>0</v>
      </c>
      <c r="DG544">
        <v>0</v>
      </c>
      <c r="DH544">
        <v>0</v>
      </c>
      <c r="DI544">
        <v>0</v>
      </c>
      <c r="DJ544">
        <v>0</v>
      </c>
      <c r="DK544">
        <v>0</v>
      </c>
      <c r="DL544">
        <v>0</v>
      </c>
      <c r="DM544">
        <v>0</v>
      </c>
      <c r="DN544">
        <v>0</v>
      </c>
      <c r="DO544">
        <v>0</v>
      </c>
      <c r="DP544">
        <v>0</v>
      </c>
      <c r="DQ544">
        <v>0</v>
      </c>
      <c r="DR544">
        <v>0</v>
      </c>
      <c r="DS544">
        <v>0</v>
      </c>
      <c r="DT544">
        <v>0</v>
      </c>
      <c r="DU544">
        <v>0</v>
      </c>
    </row>
    <row r="545" spans="2:125">
      <c r="B545" s="136">
        <v>536</v>
      </c>
      <c r="C545" s="138">
        <v>1</v>
      </c>
      <c r="D545" s="474">
        <v>3287.7084212159225</v>
      </c>
      <c r="E545" s="127">
        <v>269.26425811555828</v>
      </c>
      <c r="F545" s="447">
        <v>0.43077039144047385</v>
      </c>
      <c r="G545" s="127">
        <v>117.85158007861639</v>
      </c>
      <c r="H545" s="132">
        <v>54.310078693494617</v>
      </c>
      <c r="I545" s="456"/>
      <c r="J545" s="45"/>
      <c r="K545" s="45">
        <v>480</v>
      </c>
      <c r="L545" s="463"/>
      <c r="M545" s="456">
        <v>36.090339660644531</v>
      </c>
      <c r="N545" s="457"/>
      <c r="O545" s="456"/>
      <c r="P545" s="46"/>
      <c r="Q545" s="463">
        <v>65.096626281738281</v>
      </c>
      <c r="R545" s="449"/>
      <c r="S545" s="463"/>
      <c r="T545" s="480"/>
      <c r="U545" s="468"/>
      <c r="V545" s="449"/>
      <c r="W545" s="45">
        <v>1560.962890625</v>
      </c>
      <c r="X545" s="463">
        <v>130.61152648925781</v>
      </c>
      <c r="Y545" s="449"/>
      <c r="Z545" s="45"/>
      <c r="AA545" s="468">
        <v>0.42054582054729917</v>
      </c>
      <c r="AB545" s="456"/>
      <c r="AC545" s="46"/>
      <c r="AD545" s="46"/>
      <c r="AE545" s="46"/>
      <c r="AF545" s="46"/>
      <c r="AG545" s="46"/>
      <c r="AH545" s="46"/>
      <c r="AI545" s="457"/>
      <c r="AJ545" s="138"/>
      <c r="AK545" s="745"/>
      <c r="AL545" s="54"/>
      <c r="AM545" s="468"/>
      <c r="AN545" s="449"/>
      <c r="AO545" s="45"/>
      <c r="AP545" s="45"/>
      <c r="AQ545" s="45"/>
      <c r="AR545" s="45"/>
      <c r="AS545" s="45"/>
      <c r="AT545" s="45"/>
      <c r="AU545" s="463"/>
      <c r="AV545" s="449"/>
      <c r="AW545" s="45"/>
      <c r="AX545" s="45"/>
      <c r="AY545" s="45"/>
      <c r="AZ545" s="45"/>
      <c r="BA545" s="45"/>
      <c r="BB545" s="45"/>
      <c r="BC545" s="463"/>
      <c r="BD545" s="456"/>
      <c r="BE545" s="46"/>
      <c r="BF545" s="46"/>
      <c r="BG545" s="46"/>
      <c r="BH545" s="46"/>
      <c r="BI545" s="46"/>
      <c r="BJ545" s="457"/>
      <c r="BK545" s="449">
        <v>0</v>
      </c>
      <c r="BL545" s="45"/>
      <c r="BM545" s="45"/>
      <c r="BN545" s="45"/>
      <c r="BO545" s="45"/>
      <c r="BP545" s="45"/>
      <c r="BQ545" s="45"/>
      <c r="BR545" s="45"/>
      <c r="BS545" s="45"/>
      <c r="BT545" s="45"/>
      <c r="BU545" s="45"/>
      <c r="BV545" s="45"/>
      <c r="BW545" s="45"/>
      <c r="BX545" s="45"/>
      <c r="BY545" s="45"/>
      <c r="BZ545" s="45"/>
      <c r="CA545" s="45"/>
      <c r="CB545" s="45"/>
      <c r="CC545" s="45"/>
      <c r="CD545" s="463"/>
      <c r="CE545">
        <v>0</v>
      </c>
      <c r="CF545">
        <v>0</v>
      </c>
      <c r="CG545">
        <v>0</v>
      </c>
      <c r="CH545">
        <v>0</v>
      </c>
      <c r="CI545">
        <v>0</v>
      </c>
      <c r="CJ545">
        <v>0</v>
      </c>
      <c r="CK545">
        <v>0</v>
      </c>
      <c r="CL545">
        <v>0</v>
      </c>
      <c r="CM545">
        <v>0</v>
      </c>
      <c r="CN545">
        <v>0</v>
      </c>
      <c r="CO545">
        <v>0</v>
      </c>
      <c r="CP545">
        <v>0</v>
      </c>
      <c r="CQ545">
        <v>0</v>
      </c>
      <c r="CR545">
        <v>0</v>
      </c>
      <c r="CS545">
        <v>0</v>
      </c>
      <c r="CT545">
        <v>0</v>
      </c>
      <c r="CU545">
        <v>0</v>
      </c>
      <c r="CV545">
        <v>0</v>
      </c>
      <c r="CW545">
        <v>0</v>
      </c>
      <c r="CX545">
        <v>0</v>
      </c>
      <c r="CY545">
        <v>0</v>
      </c>
      <c r="CZ545">
        <v>0</v>
      </c>
      <c r="DA545">
        <v>0</v>
      </c>
      <c r="DB545">
        <v>0</v>
      </c>
      <c r="DC545">
        <v>0</v>
      </c>
      <c r="DD545">
        <v>0</v>
      </c>
      <c r="DE545">
        <v>0</v>
      </c>
      <c r="DF545">
        <v>0</v>
      </c>
      <c r="DG545">
        <v>0</v>
      </c>
      <c r="DH545">
        <v>0</v>
      </c>
      <c r="DI545">
        <v>0</v>
      </c>
      <c r="DJ545">
        <v>0</v>
      </c>
      <c r="DK545">
        <v>0</v>
      </c>
      <c r="DL545">
        <v>0</v>
      </c>
      <c r="DM545">
        <v>0</v>
      </c>
      <c r="DN545">
        <v>0</v>
      </c>
      <c r="DO545">
        <v>0</v>
      </c>
      <c r="DP545">
        <v>0</v>
      </c>
      <c r="DQ545">
        <v>0</v>
      </c>
      <c r="DR545">
        <v>0</v>
      </c>
      <c r="DS545">
        <v>0</v>
      </c>
      <c r="DT545">
        <v>0</v>
      </c>
      <c r="DU545">
        <v>0</v>
      </c>
    </row>
    <row r="546" spans="2:125">
      <c r="B546" s="136">
        <v>537</v>
      </c>
      <c r="C546" s="138">
        <v>1</v>
      </c>
      <c r="D546" s="474">
        <v>3517.4997214726077</v>
      </c>
      <c r="E546" s="127">
        <v>241.52168738881991</v>
      </c>
      <c r="F546" s="447">
        <v>0.41787469086984363</v>
      </c>
      <c r="G546" s="127">
        <v>131.83628246185725</v>
      </c>
      <c r="H546" s="132">
        <v>54.78736197070684</v>
      </c>
      <c r="I546" s="456"/>
      <c r="J546" s="45"/>
      <c r="K546" s="45">
        <v>520</v>
      </c>
      <c r="L546" s="463"/>
      <c r="M546" s="456">
        <v>35.497711181640625</v>
      </c>
      <c r="N546" s="457"/>
      <c r="O546" s="456"/>
      <c r="P546" s="46"/>
      <c r="Q546" s="463">
        <v>69.646499633789063</v>
      </c>
      <c r="R546" s="449"/>
      <c r="S546" s="463"/>
      <c r="T546" s="480"/>
      <c r="U546" s="468"/>
      <c r="V546" s="449"/>
      <c r="W546" s="45">
        <v>1611.7431640625</v>
      </c>
      <c r="X546" s="463">
        <v>134.48573303222656</v>
      </c>
      <c r="Y546" s="449"/>
      <c r="Z546" s="45"/>
      <c r="AA546" s="468">
        <v>0.40839139407986352</v>
      </c>
      <c r="AB546" s="456"/>
      <c r="AC546" s="46"/>
      <c r="AD546" s="46"/>
      <c r="AE546" s="46"/>
      <c r="AF546" s="46"/>
      <c r="AG546" s="46"/>
      <c r="AH546" s="46"/>
      <c r="AI546" s="457"/>
      <c r="AJ546" s="138"/>
      <c r="AK546" s="745"/>
      <c r="AL546" s="54"/>
      <c r="AM546" s="468"/>
      <c r="AN546" s="449"/>
      <c r="AO546" s="45"/>
      <c r="AP546" s="45"/>
      <c r="AQ546" s="45"/>
      <c r="AR546" s="45"/>
      <c r="AS546" s="45"/>
      <c r="AT546" s="45"/>
      <c r="AU546" s="463"/>
      <c r="AV546" s="449"/>
      <c r="AW546" s="45"/>
      <c r="AX546" s="45"/>
      <c r="AY546" s="45"/>
      <c r="AZ546" s="45"/>
      <c r="BA546" s="45"/>
      <c r="BB546" s="45"/>
      <c r="BC546" s="463"/>
      <c r="BD546" s="456"/>
      <c r="BE546" s="46"/>
      <c r="BF546" s="46"/>
      <c r="BG546" s="46"/>
      <c r="BH546" s="46"/>
      <c r="BI546" s="46"/>
      <c r="BJ546" s="457"/>
      <c r="BK546" s="449">
        <v>0</v>
      </c>
      <c r="BL546" s="45"/>
      <c r="BM546" s="45"/>
      <c r="BN546" s="45"/>
      <c r="BO546" s="45"/>
      <c r="BP546" s="45"/>
      <c r="BQ546" s="45"/>
      <c r="BR546" s="45"/>
      <c r="BS546" s="45"/>
      <c r="BT546" s="45"/>
      <c r="BU546" s="45"/>
      <c r="BV546" s="45"/>
      <c r="BW546" s="45"/>
      <c r="BX546" s="45"/>
      <c r="BY546" s="45"/>
      <c r="BZ546" s="45"/>
      <c r="CA546" s="45"/>
      <c r="CB546" s="45"/>
      <c r="CC546" s="45"/>
      <c r="CD546" s="463"/>
      <c r="CE546">
        <v>0</v>
      </c>
      <c r="CF546">
        <v>0</v>
      </c>
      <c r="CG546">
        <v>0</v>
      </c>
      <c r="CH546">
        <v>0</v>
      </c>
      <c r="CI546">
        <v>0</v>
      </c>
      <c r="CJ546">
        <v>0</v>
      </c>
      <c r="CK546">
        <v>0</v>
      </c>
      <c r="CL546">
        <v>0</v>
      </c>
      <c r="CM546">
        <v>0</v>
      </c>
      <c r="CN546">
        <v>0</v>
      </c>
      <c r="CO546">
        <v>0</v>
      </c>
      <c r="CP546">
        <v>0</v>
      </c>
      <c r="CQ546">
        <v>0</v>
      </c>
      <c r="CR546">
        <v>0</v>
      </c>
      <c r="CS546">
        <v>0</v>
      </c>
      <c r="CT546">
        <v>0</v>
      </c>
      <c r="CU546">
        <v>0</v>
      </c>
      <c r="CV546">
        <v>0</v>
      </c>
      <c r="CW546">
        <v>0</v>
      </c>
      <c r="CX546">
        <v>0</v>
      </c>
      <c r="CY546">
        <v>0</v>
      </c>
      <c r="CZ546">
        <v>0</v>
      </c>
      <c r="DA546">
        <v>0</v>
      </c>
      <c r="DB546">
        <v>0</v>
      </c>
      <c r="DC546">
        <v>0</v>
      </c>
      <c r="DD546">
        <v>0</v>
      </c>
      <c r="DE546">
        <v>0</v>
      </c>
      <c r="DF546">
        <v>0</v>
      </c>
      <c r="DG546">
        <v>0</v>
      </c>
      <c r="DH546">
        <v>0</v>
      </c>
      <c r="DI546">
        <v>0</v>
      </c>
      <c r="DJ546">
        <v>0</v>
      </c>
      <c r="DK546">
        <v>0</v>
      </c>
      <c r="DL546">
        <v>0</v>
      </c>
      <c r="DM546">
        <v>0</v>
      </c>
      <c r="DN546">
        <v>0</v>
      </c>
      <c r="DO546">
        <v>0</v>
      </c>
      <c r="DP546">
        <v>0</v>
      </c>
      <c r="DQ546">
        <v>0</v>
      </c>
      <c r="DR546">
        <v>0</v>
      </c>
      <c r="DS546">
        <v>0</v>
      </c>
      <c r="DT546">
        <v>0</v>
      </c>
      <c r="DU546">
        <v>0</v>
      </c>
    </row>
    <row r="547" spans="2:125">
      <c r="B547" s="136">
        <v>538</v>
      </c>
      <c r="C547" s="138">
        <v>1</v>
      </c>
      <c r="D547" s="474">
        <v>2733.720934210427</v>
      </c>
      <c r="E547" s="127">
        <v>152.86405079911304</v>
      </c>
      <c r="F547" s="447">
        <v>0.39129500940027723</v>
      </c>
      <c r="G547" s="127">
        <v>85.27547138724924</v>
      </c>
      <c r="H547" s="132">
        <v>60.177658455692359</v>
      </c>
      <c r="I547" s="456"/>
      <c r="J547" s="45"/>
      <c r="K547" s="45">
        <v>390</v>
      </c>
      <c r="L547" s="463"/>
      <c r="M547" s="456">
        <v>27.079704284667969</v>
      </c>
      <c r="N547" s="457"/>
      <c r="O547" s="456"/>
      <c r="P547" s="46"/>
      <c r="Q547" s="463">
        <v>62.551830291748047</v>
      </c>
      <c r="R547" s="449"/>
      <c r="S547" s="463"/>
      <c r="T547" s="480"/>
      <c r="U547" s="468"/>
      <c r="V547" s="449"/>
      <c r="W547" s="45">
        <v>1150.205810546875</v>
      </c>
      <c r="X547" s="463">
        <v>100.37983703613281</v>
      </c>
      <c r="Y547" s="449"/>
      <c r="Z547" s="45"/>
      <c r="AA547" s="468">
        <v>0.37928723648636548</v>
      </c>
      <c r="AB547" s="456"/>
      <c r="AC547" s="46"/>
      <c r="AD547" s="46"/>
      <c r="AE547" s="46"/>
      <c r="AF547" s="46"/>
      <c r="AG547" s="46"/>
      <c r="AH547" s="46"/>
      <c r="AI547" s="457"/>
      <c r="AJ547" s="138"/>
      <c r="AK547" s="745"/>
      <c r="AL547" s="54"/>
      <c r="AM547" s="468"/>
      <c r="AN547" s="449"/>
      <c r="AO547" s="45"/>
      <c r="AP547" s="45"/>
      <c r="AQ547" s="45"/>
      <c r="AR547" s="45"/>
      <c r="AS547" s="45"/>
      <c r="AT547" s="45"/>
      <c r="AU547" s="463"/>
      <c r="AV547" s="449"/>
      <c r="AW547" s="45"/>
      <c r="AX547" s="45"/>
      <c r="AY547" s="45"/>
      <c r="AZ547" s="45"/>
      <c r="BA547" s="45"/>
      <c r="BB547" s="45"/>
      <c r="BC547" s="463"/>
      <c r="BD547" s="456"/>
      <c r="BE547" s="46"/>
      <c r="BF547" s="46"/>
      <c r="BG547" s="46"/>
      <c r="BH547" s="46"/>
      <c r="BI547" s="46"/>
      <c r="BJ547" s="457"/>
      <c r="BK547" s="449">
        <v>0</v>
      </c>
      <c r="BL547" s="45"/>
      <c r="BM547" s="45"/>
      <c r="BN547" s="45"/>
      <c r="BO547" s="45"/>
      <c r="BP547" s="45"/>
      <c r="BQ547" s="45"/>
      <c r="BR547" s="45"/>
      <c r="BS547" s="45"/>
      <c r="BT547" s="45"/>
      <c r="BU547" s="45"/>
      <c r="BV547" s="45"/>
      <c r="BW547" s="45"/>
      <c r="BX547" s="45"/>
      <c r="BY547" s="45"/>
      <c r="BZ547" s="45"/>
      <c r="CA547" s="45"/>
      <c r="CB547" s="45"/>
      <c r="CC547" s="45"/>
      <c r="CD547" s="463"/>
      <c r="CE547">
        <v>0</v>
      </c>
      <c r="CF547">
        <v>0</v>
      </c>
      <c r="CG547">
        <v>0</v>
      </c>
      <c r="CH547">
        <v>0</v>
      </c>
      <c r="CI547">
        <v>0</v>
      </c>
      <c r="CJ547">
        <v>0</v>
      </c>
      <c r="CK547">
        <v>0</v>
      </c>
      <c r="CL547">
        <v>0</v>
      </c>
      <c r="CM547">
        <v>0</v>
      </c>
      <c r="CN547">
        <v>0</v>
      </c>
      <c r="CO547">
        <v>0</v>
      </c>
      <c r="CP547">
        <v>0</v>
      </c>
      <c r="CQ547">
        <v>0</v>
      </c>
      <c r="CR547">
        <v>0</v>
      </c>
      <c r="CS547">
        <v>0</v>
      </c>
      <c r="CT547">
        <v>0</v>
      </c>
      <c r="CU547">
        <v>0</v>
      </c>
      <c r="CV547">
        <v>0</v>
      </c>
      <c r="CW547">
        <v>0</v>
      </c>
      <c r="CX547">
        <v>0</v>
      </c>
      <c r="CY547">
        <v>0</v>
      </c>
      <c r="CZ547">
        <v>0</v>
      </c>
      <c r="DA547">
        <v>0</v>
      </c>
      <c r="DB547">
        <v>0</v>
      </c>
      <c r="DC547">
        <v>0</v>
      </c>
      <c r="DD547">
        <v>0</v>
      </c>
      <c r="DE547">
        <v>0</v>
      </c>
      <c r="DF547">
        <v>0</v>
      </c>
      <c r="DG547">
        <v>0</v>
      </c>
      <c r="DH547">
        <v>0</v>
      </c>
      <c r="DI547">
        <v>0</v>
      </c>
      <c r="DJ547">
        <v>0</v>
      </c>
      <c r="DK547">
        <v>0</v>
      </c>
      <c r="DL547">
        <v>0</v>
      </c>
      <c r="DM547">
        <v>0</v>
      </c>
      <c r="DN547">
        <v>0</v>
      </c>
      <c r="DO547">
        <v>0</v>
      </c>
      <c r="DP547">
        <v>0</v>
      </c>
      <c r="DQ547">
        <v>0</v>
      </c>
      <c r="DR547">
        <v>0</v>
      </c>
      <c r="DS547">
        <v>0</v>
      </c>
      <c r="DT547">
        <v>0</v>
      </c>
      <c r="DU547">
        <v>0</v>
      </c>
    </row>
    <row r="548" spans="2:125">
      <c r="B548" s="136">
        <v>539</v>
      </c>
      <c r="C548" s="138">
        <v>1</v>
      </c>
      <c r="D548" s="474">
        <v>3390.0902930779821</v>
      </c>
      <c r="E548" s="127">
        <v>233.84812649869593</v>
      </c>
      <c r="F548" s="447">
        <v>0.49293659591023725</v>
      </c>
      <c r="G548" s="127">
        <v>108.5359115501562</v>
      </c>
      <c r="H548" s="132">
        <v>58.46520847065355</v>
      </c>
      <c r="I548" s="456"/>
      <c r="J548" s="45"/>
      <c r="K548" s="45">
        <v>470</v>
      </c>
      <c r="L548" s="463"/>
      <c r="M548" s="456">
        <v>46.479053497314453</v>
      </c>
      <c r="N548" s="457"/>
      <c r="O548" s="456"/>
      <c r="P548" s="46"/>
      <c r="Q548" s="463">
        <v>67.123786926269531</v>
      </c>
      <c r="R548" s="449"/>
      <c r="S548" s="463"/>
      <c r="T548" s="480"/>
      <c r="U548" s="468"/>
      <c r="V548" s="449"/>
      <c r="W548" s="45">
        <v>1995.3677978515625</v>
      </c>
      <c r="X548" s="463">
        <v>162.18205261230469</v>
      </c>
      <c r="Y548" s="449"/>
      <c r="Z548" s="45"/>
      <c r="AA548" s="468">
        <v>0.48265405801165073</v>
      </c>
      <c r="AB548" s="456"/>
      <c r="AC548" s="46"/>
      <c r="AD548" s="46"/>
      <c r="AE548" s="46"/>
      <c r="AF548" s="46"/>
      <c r="AG548" s="46"/>
      <c r="AH548" s="46"/>
      <c r="AI548" s="457"/>
      <c r="AJ548" s="138"/>
      <c r="AK548" s="745"/>
      <c r="AL548" s="54"/>
      <c r="AM548" s="468"/>
      <c r="AN548" s="449"/>
      <c r="AO548" s="45"/>
      <c r="AP548" s="45"/>
      <c r="AQ548" s="45"/>
      <c r="AR548" s="45"/>
      <c r="AS548" s="45"/>
      <c r="AT548" s="45"/>
      <c r="AU548" s="463"/>
      <c r="AV548" s="449"/>
      <c r="AW548" s="45"/>
      <c r="AX548" s="45"/>
      <c r="AY548" s="45"/>
      <c r="AZ548" s="45"/>
      <c r="BA548" s="45"/>
      <c r="BB548" s="45"/>
      <c r="BC548" s="463"/>
      <c r="BD548" s="456"/>
      <c r="BE548" s="46"/>
      <c r="BF548" s="46"/>
      <c r="BG548" s="46"/>
      <c r="BH548" s="46"/>
      <c r="BI548" s="46"/>
      <c r="BJ548" s="457"/>
      <c r="BK548" s="449">
        <v>0</v>
      </c>
      <c r="BL548" s="45"/>
      <c r="BM548" s="45"/>
      <c r="BN548" s="45"/>
      <c r="BO548" s="45"/>
      <c r="BP548" s="45"/>
      <c r="BQ548" s="45"/>
      <c r="BR548" s="45"/>
      <c r="BS548" s="45"/>
      <c r="BT548" s="45"/>
      <c r="BU548" s="45"/>
      <c r="BV548" s="45"/>
      <c r="BW548" s="45"/>
      <c r="BX548" s="45"/>
      <c r="BY548" s="45"/>
      <c r="BZ548" s="45"/>
      <c r="CA548" s="45"/>
      <c r="CB548" s="45"/>
      <c r="CC548" s="45"/>
      <c r="CD548" s="463"/>
      <c r="CE548">
        <v>0</v>
      </c>
      <c r="CF548">
        <v>0</v>
      </c>
      <c r="CG548">
        <v>0</v>
      </c>
      <c r="CH548">
        <v>0</v>
      </c>
      <c r="CI548">
        <v>0</v>
      </c>
      <c r="CJ548">
        <v>0</v>
      </c>
      <c r="CK548">
        <v>0</v>
      </c>
      <c r="CL548">
        <v>0</v>
      </c>
      <c r="CM548">
        <v>0</v>
      </c>
      <c r="CN548">
        <v>0</v>
      </c>
      <c r="CO548">
        <v>0</v>
      </c>
      <c r="CP548">
        <v>0</v>
      </c>
      <c r="CQ548">
        <v>0</v>
      </c>
      <c r="CR548">
        <v>0</v>
      </c>
      <c r="CS548">
        <v>0</v>
      </c>
      <c r="CT548">
        <v>0</v>
      </c>
      <c r="CU548">
        <v>0</v>
      </c>
      <c r="CV548">
        <v>0</v>
      </c>
      <c r="CW548">
        <v>0</v>
      </c>
      <c r="CX548">
        <v>0</v>
      </c>
      <c r="CY548">
        <v>0</v>
      </c>
      <c r="CZ548">
        <v>0</v>
      </c>
      <c r="DA548">
        <v>0</v>
      </c>
      <c r="DB548">
        <v>0</v>
      </c>
      <c r="DC548">
        <v>0</v>
      </c>
      <c r="DD548">
        <v>0</v>
      </c>
      <c r="DE548">
        <v>0</v>
      </c>
      <c r="DF548">
        <v>0</v>
      </c>
      <c r="DG548">
        <v>0</v>
      </c>
      <c r="DH548">
        <v>0</v>
      </c>
      <c r="DI548">
        <v>0</v>
      </c>
      <c r="DJ548">
        <v>0</v>
      </c>
      <c r="DK548">
        <v>0</v>
      </c>
      <c r="DL548">
        <v>0</v>
      </c>
      <c r="DM548">
        <v>0</v>
      </c>
      <c r="DN548">
        <v>0</v>
      </c>
      <c r="DO548">
        <v>0</v>
      </c>
      <c r="DP548">
        <v>0</v>
      </c>
      <c r="DQ548">
        <v>0</v>
      </c>
      <c r="DR548">
        <v>0</v>
      </c>
      <c r="DS548">
        <v>0</v>
      </c>
      <c r="DT548">
        <v>0</v>
      </c>
      <c r="DU548">
        <v>0</v>
      </c>
    </row>
    <row r="549" spans="2:125">
      <c r="B549" s="136">
        <v>540</v>
      </c>
      <c r="C549" s="138">
        <v>1</v>
      </c>
      <c r="D549" s="474">
        <v>2855.4112635523529</v>
      </c>
      <c r="E549" s="127">
        <v>243.14444894260765</v>
      </c>
      <c r="F549" s="447">
        <v>0.42476847022358777</v>
      </c>
      <c r="G549" s="127">
        <v>89.295049531240807</v>
      </c>
      <c r="H549" s="132">
        <v>54.019576741355337</v>
      </c>
      <c r="I549" s="456"/>
      <c r="J549" s="45"/>
      <c r="K549" s="45">
        <v>390</v>
      </c>
      <c r="L549" s="463"/>
      <c r="M549" s="456">
        <v>32.309841156005859</v>
      </c>
      <c r="N549" s="457"/>
      <c r="O549" s="456"/>
      <c r="P549" s="46"/>
      <c r="Q549" s="463">
        <v>56.537147521972656</v>
      </c>
      <c r="R549" s="449"/>
      <c r="S549" s="463"/>
      <c r="T549" s="480"/>
      <c r="U549" s="468"/>
      <c r="V549" s="449"/>
      <c r="W549" s="45">
        <v>1273.1527099609375</v>
      </c>
      <c r="X549" s="463">
        <v>109.30717468261719</v>
      </c>
      <c r="Y549" s="449"/>
      <c r="Z549" s="45"/>
      <c r="AA549" s="468">
        <v>0.41303798157838961</v>
      </c>
      <c r="AB549" s="456"/>
      <c r="AC549" s="46"/>
      <c r="AD549" s="46"/>
      <c r="AE549" s="46"/>
      <c r="AF549" s="46"/>
      <c r="AG549" s="46"/>
      <c r="AH549" s="46"/>
      <c r="AI549" s="457"/>
      <c r="AJ549" s="138"/>
      <c r="AK549" s="745"/>
      <c r="AL549" s="54"/>
      <c r="AM549" s="468"/>
      <c r="AN549" s="449"/>
      <c r="AO549" s="45"/>
      <c r="AP549" s="45"/>
      <c r="AQ549" s="45"/>
      <c r="AR549" s="45"/>
      <c r="AS549" s="45"/>
      <c r="AT549" s="45"/>
      <c r="AU549" s="463"/>
      <c r="AV549" s="449"/>
      <c r="AW549" s="45"/>
      <c r="AX549" s="45"/>
      <c r="AY549" s="45"/>
      <c r="AZ549" s="45"/>
      <c r="BA549" s="45"/>
      <c r="BB549" s="45"/>
      <c r="BC549" s="463"/>
      <c r="BD549" s="456"/>
      <c r="BE549" s="46"/>
      <c r="BF549" s="46"/>
      <c r="BG549" s="46"/>
      <c r="BH549" s="46"/>
      <c r="BI549" s="46"/>
      <c r="BJ549" s="457"/>
      <c r="BK549" s="449">
        <v>0</v>
      </c>
      <c r="BL549" s="45"/>
      <c r="BM549" s="45"/>
      <c r="BN549" s="45"/>
      <c r="BO549" s="45"/>
      <c r="BP549" s="45"/>
      <c r="BQ549" s="45"/>
      <c r="BR549" s="45"/>
      <c r="BS549" s="45"/>
      <c r="BT549" s="45"/>
      <c r="BU549" s="45"/>
      <c r="BV549" s="45"/>
      <c r="BW549" s="45"/>
      <c r="BX549" s="45"/>
      <c r="BY549" s="45"/>
      <c r="BZ549" s="45"/>
      <c r="CA549" s="45"/>
      <c r="CB549" s="45"/>
      <c r="CC549" s="45"/>
      <c r="CD549" s="463"/>
      <c r="CE549">
        <v>0</v>
      </c>
      <c r="CF549">
        <v>0</v>
      </c>
      <c r="CG549">
        <v>0</v>
      </c>
      <c r="CH549">
        <v>0</v>
      </c>
      <c r="CI549">
        <v>0</v>
      </c>
      <c r="CJ549">
        <v>0</v>
      </c>
      <c r="CK549">
        <v>0</v>
      </c>
      <c r="CL549">
        <v>0</v>
      </c>
      <c r="CM549">
        <v>0</v>
      </c>
      <c r="CN549">
        <v>0</v>
      </c>
      <c r="CO549">
        <v>0</v>
      </c>
      <c r="CP549">
        <v>0</v>
      </c>
      <c r="CQ549">
        <v>0</v>
      </c>
      <c r="CR549">
        <v>0</v>
      </c>
      <c r="CS549">
        <v>0</v>
      </c>
      <c r="CT549">
        <v>0</v>
      </c>
      <c r="CU549">
        <v>0</v>
      </c>
      <c r="CV549">
        <v>0</v>
      </c>
      <c r="CW549">
        <v>0</v>
      </c>
      <c r="CX549">
        <v>0</v>
      </c>
      <c r="CY549">
        <v>0</v>
      </c>
      <c r="CZ549">
        <v>0</v>
      </c>
      <c r="DA549">
        <v>0</v>
      </c>
      <c r="DB549">
        <v>0</v>
      </c>
      <c r="DC549">
        <v>0</v>
      </c>
      <c r="DD549">
        <v>0</v>
      </c>
      <c r="DE549">
        <v>0</v>
      </c>
      <c r="DF549">
        <v>0</v>
      </c>
      <c r="DG549">
        <v>0</v>
      </c>
      <c r="DH549">
        <v>0</v>
      </c>
      <c r="DI549">
        <v>0</v>
      </c>
      <c r="DJ549">
        <v>0</v>
      </c>
      <c r="DK549">
        <v>0</v>
      </c>
      <c r="DL549">
        <v>0</v>
      </c>
      <c r="DM549">
        <v>0</v>
      </c>
      <c r="DN549">
        <v>0</v>
      </c>
      <c r="DO549">
        <v>0</v>
      </c>
      <c r="DP549">
        <v>0</v>
      </c>
      <c r="DQ549">
        <v>0</v>
      </c>
      <c r="DR549">
        <v>0</v>
      </c>
      <c r="DS549">
        <v>0</v>
      </c>
      <c r="DT549">
        <v>0</v>
      </c>
      <c r="DU549">
        <v>0</v>
      </c>
    </row>
    <row r="550" spans="2:125">
      <c r="B550" s="136">
        <v>541</v>
      </c>
      <c r="C550" s="138">
        <v>1</v>
      </c>
      <c r="D550" s="474">
        <v>3288.3148788530225</v>
      </c>
      <c r="E550" s="127">
        <v>190.83150265804164</v>
      </c>
      <c r="F550" s="447">
        <v>0.53164653143992624</v>
      </c>
      <c r="G550" s="127">
        <v>128.06027276774643</v>
      </c>
      <c r="H550" s="132">
        <v>51.362719789293884</v>
      </c>
      <c r="I550" s="456"/>
      <c r="J550" s="45"/>
      <c r="K550" s="45">
        <v>520</v>
      </c>
      <c r="L550" s="463"/>
      <c r="M550" s="456">
        <v>66.027412414550781</v>
      </c>
      <c r="N550" s="457"/>
      <c r="O550" s="456"/>
      <c r="P550" s="46"/>
      <c r="Q550" s="463">
        <v>65.108634948730469</v>
      </c>
      <c r="R550" s="449"/>
      <c r="S550" s="463"/>
      <c r="T550" s="480"/>
      <c r="U550" s="468"/>
      <c r="V550" s="449"/>
      <c r="W550" s="45">
        <v>2740.4716796875</v>
      </c>
      <c r="X550" s="463">
        <v>216.56275939941406</v>
      </c>
      <c r="Y550" s="449"/>
      <c r="Z550" s="45"/>
      <c r="AA550" s="468">
        <v>0.52081030317664412</v>
      </c>
      <c r="AB550" s="456"/>
      <c r="AC550" s="46"/>
      <c r="AD550" s="46"/>
      <c r="AE550" s="46"/>
      <c r="AF550" s="46"/>
      <c r="AG550" s="46"/>
      <c r="AH550" s="46"/>
      <c r="AI550" s="457"/>
      <c r="AJ550" s="138"/>
      <c r="AK550" s="745"/>
      <c r="AL550" s="54"/>
      <c r="AM550" s="468"/>
      <c r="AN550" s="449"/>
      <c r="AO550" s="45"/>
      <c r="AP550" s="45"/>
      <c r="AQ550" s="45"/>
      <c r="AR550" s="45"/>
      <c r="AS550" s="45"/>
      <c r="AT550" s="45"/>
      <c r="AU550" s="463"/>
      <c r="AV550" s="449"/>
      <c r="AW550" s="45"/>
      <c r="AX550" s="45"/>
      <c r="AY550" s="45"/>
      <c r="AZ550" s="45"/>
      <c r="BA550" s="45"/>
      <c r="BB550" s="45"/>
      <c r="BC550" s="463"/>
      <c r="BD550" s="456"/>
      <c r="BE550" s="46"/>
      <c r="BF550" s="46"/>
      <c r="BG550" s="46"/>
      <c r="BH550" s="46"/>
      <c r="BI550" s="46"/>
      <c r="BJ550" s="457"/>
      <c r="BK550" s="449">
        <v>0</v>
      </c>
      <c r="BL550" s="45"/>
      <c r="BM550" s="45"/>
      <c r="BN550" s="45"/>
      <c r="BO550" s="45"/>
      <c r="BP550" s="45"/>
      <c r="BQ550" s="45"/>
      <c r="BR550" s="45"/>
      <c r="BS550" s="45"/>
      <c r="BT550" s="45"/>
      <c r="BU550" s="45"/>
      <c r="BV550" s="45"/>
      <c r="BW550" s="45"/>
      <c r="BX550" s="45"/>
      <c r="BY550" s="45"/>
      <c r="BZ550" s="45"/>
      <c r="CA550" s="45"/>
      <c r="CB550" s="45"/>
      <c r="CC550" s="45"/>
      <c r="CD550" s="463"/>
      <c r="CE550">
        <v>0</v>
      </c>
      <c r="CF550">
        <v>0</v>
      </c>
      <c r="CG550">
        <v>0</v>
      </c>
      <c r="CH550">
        <v>0</v>
      </c>
      <c r="CI550">
        <v>0</v>
      </c>
      <c r="CJ550">
        <v>0</v>
      </c>
      <c r="CK550">
        <v>0</v>
      </c>
      <c r="CL550">
        <v>0</v>
      </c>
      <c r="CM550">
        <v>0</v>
      </c>
      <c r="CN550">
        <v>0</v>
      </c>
      <c r="CO550">
        <v>0</v>
      </c>
      <c r="CP550">
        <v>0</v>
      </c>
      <c r="CQ550">
        <v>0</v>
      </c>
      <c r="CR550">
        <v>0</v>
      </c>
      <c r="CS550">
        <v>0</v>
      </c>
      <c r="CT550">
        <v>0</v>
      </c>
      <c r="CU550">
        <v>0</v>
      </c>
      <c r="CV550">
        <v>0</v>
      </c>
      <c r="CW550">
        <v>0</v>
      </c>
      <c r="CX550">
        <v>0</v>
      </c>
      <c r="CY550">
        <v>0</v>
      </c>
      <c r="CZ550">
        <v>0</v>
      </c>
      <c r="DA550">
        <v>0</v>
      </c>
      <c r="DB550">
        <v>0</v>
      </c>
      <c r="DC550">
        <v>0</v>
      </c>
      <c r="DD550">
        <v>0</v>
      </c>
      <c r="DE550">
        <v>0</v>
      </c>
      <c r="DF550">
        <v>0</v>
      </c>
      <c r="DG550">
        <v>0</v>
      </c>
      <c r="DH550">
        <v>0</v>
      </c>
      <c r="DI550">
        <v>0</v>
      </c>
      <c r="DJ550">
        <v>0</v>
      </c>
      <c r="DK550">
        <v>0</v>
      </c>
      <c r="DL550">
        <v>0</v>
      </c>
      <c r="DM550">
        <v>0</v>
      </c>
      <c r="DN550">
        <v>0</v>
      </c>
      <c r="DO550">
        <v>0</v>
      </c>
      <c r="DP550">
        <v>0</v>
      </c>
      <c r="DQ550">
        <v>0</v>
      </c>
      <c r="DR550">
        <v>0</v>
      </c>
      <c r="DS550">
        <v>0</v>
      </c>
      <c r="DT550">
        <v>0</v>
      </c>
      <c r="DU550">
        <v>0</v>
      </c>
    </row>
    <row r="551" spans="2:125">
      <c r="B551" s="136">
        <v>542</v>
      </c>
      <c r="C551" s="138">
        <v>1</v>
      </c>
      <c r="D551" s="474">
        <v>2521.3250572647057</v>
      </c>
      <c r="E551" s="127">
        <v>205.74189503938067</v>
      </c>
      <c r="F551" s="447">
        <v>0.44427412085156431</v>
      </c>
      <c r="G551" s="127">
        <v>89.699875784913957</v>
      </c>
      <c r="H551" s="132">
        <v>46.582743006867616</v>
      </c>
      <c r="I551" s="456"/>
      <c r="J551" s="45"/>
      <c r="K551" s="45">
        <v>370</v>
      </c>
      <c r="L551" s="463"/>
      <c r="M551" s="456">
        <v>36.887859344482422</v>
      </c>
      <c r="N551" s="457"/>
      <c r="O551" s="456"/>
      <c r="P551" s="46"/>
      <c r="Q551" s="463">
        <v>49.9222412109375</v>
      </c>
      <c r="R551" s="449"/>
      <c r="S551" s="463"/>
      <c r="T551" s="480"/>
      <c r="U551" s="468"/>
      <c r="V551" s="449"/>
      <c r="W551" s="45">
        <v>1315.0709228515625</v>
      </c>
      <c r="X551" s="463">
        <v>112.27764129638672</v>
      </c>
      <c r="Y551" s="449"/>
      <c r="Z551" s="45"/>
      <c r="AA551" s="468">
        <v>0.43083456758198613</v>
      </c>
      <c r="AB551" s="456"/>
      <c r="AC551" s="46"/>
      <c r="AD551" s="46"/>
      <c r="AE551" s="46"/>
      <c r="AF551" s="46"/>
      <c r="AG551" s="46"/>
      <c r="AH551" s="46"/>
      <c r="AI551" s="457"/>
      <c r="AJ551" s="138"/>
      <c r="AK551" s="745"/>
      <c r="AL551" s="54"/>
      <c r="AM551" s="468"/>
      <c r="AN551" s="449"/>
      <c r="AO551" s="45"/>
      <c r="AP551" s="45"/>
      <c r="AQ551" s="45"/>
      <c r="AR551" s="45"/>
      <c r="AS551" s="45"/>
      <c r="AT551" s="45"/>
      <c r="AU551" s="463"/>
      <c r="AV551" s="449"/>
      <c r="AW551" s="45"/>
      <c r="AX551" s="45"/>
      <c r="AY551" s="45"/>
      <c r="AZ551" s="45"/>
      <c r="BA551" s="45"/>
      <c r="BB551" s="45"/>
      <c r="BC551" s="463"/>
      <c r="BD551" s="456"/>
      <c r="BE551" s="46"/>
      <c r="BF551" s="46"/>
      <c r="BG551" s="46"/>
      <c r="BH551" s="46"/>
      <c r="BI551" s="46"/>
      <c r="BJ551" s="457"/>
      <c r="BK551" s="449">
        <v>0</v>
      </c>
      <c r="BL551" s="45"/>
      <c r="BM551" s="45"/>
      <c r="BN551" s="45"/>
      <c r="BO551" s="45"/>
      <c r="BP551" s="45"/>
      <c r="BQ551" s="45"/>
      <c r="BR551" s="45"/>
      <c r="BS551" s="45"/>
      <c r="BT551" s="45"/>
      <c r="BU551" s="45"/>
      <c r="BV551" s="45"/>
      <c r="BW551" s="45"/>
      <c r="BX551" s="45"/>
      <c r="BY551" s="45"/>
      <c r="BZ551" s="45"/>
      <c r="CA551" s="45"/>
      <c r="CB551" s="45"/>
      <c r="CC551" s="45"/>
      <c r="CD551" s="463"/>
      <c r="CE551">
        <v>0</v>
      </c>
      <c r="CF551">
        <v>0</v>
      </c>
      <c r="CG551">
        <v>0</v>
      </c>
      <c r="CH551">
        <v>0</v>
      </c>
      <c r="CI551">
        <v>0</v>
      </c>
      <c r="CJ551">
        <v>0</v>
      </c>
      <c r="CK551">
        <v>0</v>
      </c>
      <c r="CL551">
        <v>0</v>
      </c>
      <c r="CM551">
        <v>0</v>
      </c>
      <c r="CN551">
        <v>0</v>
      </c>
      <c r="CO551">
        <v>0</v>
      </c>
      <c r="CP551">
        <v>0</v>
      </c>
      <c r="CQ551">
        <v>0</v>
      </c>
      <c r="CR551">
        <v>0</v>
      </c>
      <c r="CS551">
        <v>0</v>
      </c>
      <c r="CT551">
        <v>0</v>
      </c>
      <c r="CU551">
        <v>0</v>
      </c>
      <c r="CV551">
        <v>0</v>
      </c>
      <c r="CW551">
        <v>0</v>
      </c>
      <c r="CX551">
        <v>0</v>
      </c>
      <c r="CY551">
        <v>0</v>
      </c>
      <c r="CZ551">
        <v>0</v>
      </c>
      <c r="DA551">
        <v>0</v>
      </c>
      <c r="DB551">
        <v>0</v>
      </c>
      <c r="DC551">
        <v>0</v>
      </c>
      <c r="DD551">
        <v>0</v>
      </c>
      <c r="DE551">
        <v>0</v>
      </c>
      <c r="DF551">
        <v>0</v>
      </c>
      <c r="DG551">
        <v>0</v>
      </c>
      <c r="DH551">
        <v>0</v>
      </c>
      <c r="DI551">
        <v>0</v>
      </c>
      <c r="DJ551">
        <v>0</v>
      </c>
      <c r="DK551">
        <v>0</v>
      </c>
      <c r="DL551">
        <v>0</v>
      </c>
      <c r="DM551">
        <v>0</v>
      </c>
      <c r="DN551">
        <v>0</v>
      </c>
      <c r="DO551">
        <v>0</v>
      </c>
      <c r="DP551">
        <v>0</v>
      </c>
      <c r="DQ551">
        <v>0</v>
      </c>
      <c r="DR551">
        <v>0</v>
      </c>
      <c r="DS551">
        <v>0</v>
      </c>
      <c r="DT551">
        <v>0</v>
      </c>
      <c r="DU551">
        <v>0</v>
      </c>
    </row>
    <row r="552" spans="2:125">
      <c r="B552" s="136">
        <v>543</v>
      </c>
      <c r="C552" s="138">
        <v>1</v>
      </c>
      <c r="D552" s="474">
        <v>3270.4149295365496</v>
      </c>
      <c r="E552" s="127">
        <v>231.00062325965996</v>
      </c>
      <c r="F552" s="447">
        <v>0.51557423783684941</v>
      </c>
      <c r="G552" s="127">
        <v>106.6877402680327</v>
      </c>
      <c r="H552" s="132">
        <v>56.921282538279222</v>
      </c>
      <c r="I552" s="456"/>
      <c r="J552" s="45"/>
      <c r="K552" s="45">
        <v>470</v>
      </c>
      <c r="L552" s="463"/>
      <c r="M552" s="456">
        <v>53.554553985595703</v>
      </c>
      <c r="N552" s="457"/>
      <c r="O552" s="456"/>
      <c r="P552" s="46"/>
      <c r="Q552" s="463">
        <v>64.754219055175781</v>
      </c>
      <c r="R552" s="449"/>
      <c r="S552" s="463"/>
      <c r="T552" s="480"/>
      <c r="U552" s="468"/>
      <c r="V552" s="449"/>
      <c r="W552" s="45">
        <v>2228.751953125</v>
      </c>
      <c r="X552" s="463">
        <v>179.134765625</v>
      </c>
      <c r="Y552" s="449"/>
      <c r="Z552" s="45"/>
      <c r="AA552" s="468">
        <v>0.50477698870560817</v>
      </c>
      <c r="AB552" s="456"/>
      <c r="AC552" s="46"/>
      <c r="AD552" s="46"/>
      <c r="AE552" s="46"/>
      <c r="AF552" s="46"/>
      <c r="AG552" s="46"/>
      <c r="AH552" s="46"/>
      <c r="AI552" s="457"/>
      <c r="AJ552" s="138"/>
      <c r="AK552" s="745"/>
      <c r="AL552" s="54"/>
      <c r="AM552" s="468"/>
      <c r="AN552" s="449"/>
      <c r="AO552" s="45"/>
      <c r="AP552" s="45"/>
      <c r="AQ552" s="45"/>
      <c r="AR552" s="45"/>
      <c r="AS552" s="45"/>
      <c r="AT552" s="45"/>
      <c r="AU552" s="463"/>
      <c r="AV552" s="449"/>
      <c r="AW552" s="45"/>
      <c r="AX552" s="45"/>
      <c r="AY552" s="45"/>
      <c r="AZ552" s="45"/>
      <c r="BA552" s="45"/>
      <c r="BB552" s="45"/>
      <c r="BC552" s="463"/>
      <c r="BD552" s="456"/>
      <c r="BE552" s="46"/>
      <c r="BF552" s="46"/>
      <c r="BG552" s="46"/>
      <c r="BH552" s="46"/>
      <c r="BI552" s="46"/>
      <c r="BJ552" s="457"/>
      <c r="BK552" s="449">
        <v>0</v>
      </c>
      <c r="BL552" s="45"/>
      <c r="BM552" s="45"/>
      <c r="BN552" s="45"/>
      <c r="BO552" s="45"/>
      <c r="BP552" s="45"/>
      <c r="BQ552" s="45"/>
      <c r="BR552" s="45"/>
      <c r="BS552" s="45"/>
      <c r="BT552" s="45"/>
      <c r="BU552" s="45"/>
      <c r="BV552" s="45"/>
      <c r="BW552" s="45"/>
      <c r="BX552" s="45"/>
      <c r="BY552" s="45"/>
      <c r="BZ552" s="45"/>
      <c r="CA552" s="45"/>
      <c r="CB552" s="45"/>
      <c r="CC552" s="45"/>
      <c r="CD552" s="463"/>
      <c r="CE552">
        <v>0</v>
      </c>
      <c r="CF552">
        <v>0</v>
      </c>
      <c r="CG552">
        <v>0</v>
      </c>
      <c r="CH552">
        <v>0</v>
      </c>
      <c r="CI552">
        <v>0</v>
      </c>
      <c r="CJ552">
        <v>0</v>
      </c>
      <c r="CK552">
        <v>0</v>
      </c>
      <c r="CL552">
        <v>0</v>
      </c>
      <c r="CM552">
        <v>0</v>
      </c>
      <c r="CN552">
        <v>0</v>
      </c>
      <c r="CO552">
        <v>0</v>
      </c>
      <c r="CP552">
        <v>0</v>
      </c>
      <c r="CQ552">
        <v>0</v>
      </c>
      <c r="CR552">
        <v>0</v>
      </c>
      <c r="CS552">
        <v>0</v>
      </c>
      <c r="CT552">
        <v>0</v>
      </c>
      <c r="CU552">
        <v>0</v>
      </c>
      <c r="CV552">
        <v>0</v>
      </c>
      <c r="CW552">
        <v>0</v>
      </c>
      <c r="CX552">
        <v>0</v>
      </c>
      <c r="CY552">
        <v>0</v>
      </c>
      <c r="CZ552">
        <v>0</v>
      </c>
      <c r="DA552">
        <v>0</v>
      </c>
      <c r="DB552">
        <v>0</v>
      </c>
      <c r="DC552">
        <v>0</v>
      </c>
      <c r="DD552">
        <v>0</v>
      </c>
      <c r="DE552">
        <v>0</v>
      </c>
      <c r="DF552">
        <v>0</v>
      </c>
      <c r="DG552">
        <v>0</v>
      </c>
      <c r="DH552">
        <v>0</v>
      </c>
      <c r="DI552">
        <v>0</v>
      </c>
      <c r="DJ552">
        <v>0</v>
      </c>
      <c r="DK552">
        <v>0</v>
      </c>
      <c r="DL552">
        <v>0</v>
      </c>
      <c r="DM552">
        <v>0</v>
      </c>
      <c r="DN552">
        <v>0</v>
      </c>
      <c r="DO552">
        <v>0</v>
      </c>
      <c r="DP552">
        <v>0</v>
      </c>
      <c r="DQ552">
        <v>0</v>
      </c>
      <c r="DR552">
        <v>0</v>
      </c>
      <c r="DS552">
        <v>0</v>
      </c>
      <c r="DT552">
        <v>0</v>
      </c>
      <c r="DU552">
        <v>0</v>
      </c>
    </row>
    <row r="553" spans="2:125">
      <c r="B553" s="136">
        <v>544</v>
      </c>
      <c r="C553" s="138">
        <v>1</v>
      </c>
      <c r="D553" s="474">
        <v>3233.2786995620727</v>
      </c>
      <c r="E553" s="127">
        <v>214.80599736309446</v>
      </c>
      <c r="F553" s="447">
        <v>0.37901249248346164</v>
      </c>
      <c r="G553" s="127">
        <v>107.45306674855017</v>
      </c>
      <c r="H553" s="132">
        <v>56.082277555931142</v>
      </c>
      <c r="I553" s="456"/>
      <c r="J553" s="45"/>
      <c r="K553" s="45">
        <v>450</v>
      </c>
      <c r="L553" s="463"/>
      <c r="M553" s="456">
        <v>28.569091796875</v>
      </c>
      <c r="N553" s="457"/>
      <c r="O553" s="456"/>
      <c r="P553" s="46"/>
      <c r="Q553" s="463">
        <v>64.0189208984375</v>
      </c>
      <c r="R553" s="449"/>
      <c r="S553" s="463"/>
      <c r="T553" s="480"/>
      <c r="U553" s="468"/>
      <c r="V553" s="449"/>
      <c r="W553" s="45">
        <v>1242.0537109375</v>
      </c>
      <c r="X553" s="463">
        <v>107.28551483154297</v>
      </c>
      <c r="Y553" s="449"/>
      <c r="Z553" s="45"/>
      <c r="AA553" s="468">
        <v>0.36893595628691228</v>
      </c>
      <c r="AB553" s="456"/>
      <c r="AC553" s="46"/>
      <c r="AD553" s="46"/>
      <c r="AE553" s="46"/>
      <c r="AF553" s="46"/>
      <c r="AG553" s="46"/>
      <c r="AH553" s="46"/>
      <c r="AI553" s="457"/>
      <c r="AJ553" s="138"/>
      <c r="AK553" s="745"/>
      <c r="AL553" s="54"/>
      <c r="AM553" s="468"/>
      <c r="AN553" s="449"/>
      <c r="AO553" s="45"/>
      <c r="AP553" s="45"/>
      <c r="AQ553" s="45"/>
      <c r="AR553" s="45"/>
      <c r="AS553" s="45"/>
      <c r="AT553" s="45"/>
      <c r="AU553" s="463"/>
      <c r="AV553" s="449"/>
      <c r="AW553" s="45"/>
      <c r="AX553" s="45"/>
      <c r="AY553" s="45"/>
      <c r="AZ553" s="45"/>
      <c r="BA553" s="45"/>
      <c r="BB553" s="45"/>
      <c r="BC553" s="463"/>
      <c r="BD553" s="456"/>
      <c r="BE553" s="46"/>
      <c r="BF553" s="46"/>
      <c r="BG553" s="46"/>
      <c r="BH553" s="46"/>
      <c r="BI553" s="46"/>
      <c r="BJ553" s="457"/>
      <c r="BK553" s="449">
        <v>0</v>
      </c>
      <c r="BL553" s="45"/>
      <c r="BM553" s="45"/>
      <c r="BN553" s="45"/>
      <c r="BO553" s="45"/>
      <c r="BP553" s="45"/>
      <c r="BQ553" s="45"/>
      <c r="BR553" s="45"/>
      <c r="BS553" s="45"/>
      <c r="BT553" s="45"/>
      <c r="BU553" s="45"/>
      <c r="BV553" s="45"/>
      <c r="BW553" s="45"/>
      <c r="BX553" s="45"/>
      <c r="BY553" s="45"/>
      <c r="BZ553" s="45"/>
      <c r="CA553" s="45"/>
      <c r="CB553" s="45"/>
      <c r="CC553" s="45"/>
      <c r="CD553" s="463"/>
      <c r="CE553">
        <v>0</v>
      </c>
      <c r="CF553">
        <v>0</v>
      </c>
      <c r="CG553">
        <v>0</v>
      </c>
      <c r="CH553">
        <v>0</v>
      </c>
      <c r="CI553">
        <v>0</v>
      </c>
      <c r="CJ553">
        <v>0</v>
      </c>
      <c r="CK553">
        <v>0</v>
      </c>
      <c r="CL553">
        <v>0</v>
      </c>
      <c r="CM553">
        <v>0</v>
      </c>
      <c r="CN553">
        <v>0</v>
      </c>
      <c r="CO553">
        <v>0</v>
      </c>
      <c r="CP553">
        <v>0</v>
      </c>
      <c r="CQ553">
        <v>0</v>
      </c>
      <c r="CR553">
        <v>0</v>
      </c>
      <c r="CS553">
        <v>0</v>
      </c>
      <c r="CT553">
        <v>0</v>
      </c>
      <c r="CU553">
        <v>0</v>
      </c>
      <c r="CV553">
        <v>0</v>
      </c>
      <c r="CW553">
        <v>0</v>
      </c>
      <c r="CX553">
        <v>0</v>
      </c>
      <c r="CY553">
        <v>0</v>
      </c>
      <c r="CZ553">
        <v>0</v>
      </c>
      <c r="DA553">
        <v>0</v>
      </c>
      <c r="DB553">
        <v>0</v>
      </c>
      <c r="DC553">
        <v>0</v>
      </c>
      <c r="DD553">
        <v>0</v>
      </c>
      <c r="DE553">
        <v>0</v>
      </c>
      <c r="DF553">
        <v>0</v>
      </c>
      <c r="DG553">
        <v>0</v>
      </c>
      <c r="DH553">
        <v>0</v>
      </c>
      <c r="DI553">
        <v>0</v>
      </c>
      <c r="DJ553">
        <v>0</v>
      </c>
      <c r="DK553">
        <v>0</v>
      </c>
      <c r="DL553">
        <v>0</v>
      </c>
      <c r="DM553">
        <v>0</v>
      </c>
      <c r="DN553">
        <v>0</v>
      </c>
      <c r="DO553">
        <v>0</v>
      </c>
      <c r="DP553">
        <v>0</v>
      </c>
      <c r="DQ553">
        <v>0</v>
      </c>
      <c r="DR553">
        <v>0</v>
      </c>
      <c r="DS553">
        <v>0</v>
      </c>
      <c r="DT553">
        <v>0</v>
      </c>
      <c r="DU553">
        <v>0</v>
      </c>
    </row>
    <row r="554" spans="2:125">
      <c r="B554" s="136">
        <v>545</v>
      </c>
      <c r="C554" s="138">
        <v>1</v>
      </c>
      <c r="D554" s="474">
        <v>2761.2340051838705</v>
      </c>
      <c r="E554" s="127">
        <v>264.40835817414558</v>
      </c>
      <c r="F554" s="447">
        <v>0.39243657121755637</v>
      </c>
      <c r="G554" s="127">
        <v>90.403004012276739</v>
      </c>
      <c r="H554" s="132">
        <v>51.835748762472207</v>
      </c>
      <c r="I554" s="456"/>
      <c r="J554" s="45"/>
      <c r="K554" s="45">
        <v>380</v>
      </c>
      <c r="L554" s="463"/>
      <c r="M554" s="456">
        <v>29.507331848144531</v>
      </c>
      <c r="N554" s="457"/>
      <c r="O554" s="456"/>
      <c r="P554" s="46"/>
      <c r="Q554" s="463">
        <v>54.672435760498047</v>
      </c>
      <c r="R554" s="449"/>
      <c r="S554" s="463"/>
      <c r="T554" s="480"/>
      <c r="U554" s="468"/>
      <c r="V554" s="449"/>
      <c r="W554" s="45">
        <v>1128.6715087890625</v>
      </c>
      <c r="X554" s="463">
        <v>98.761100769042969</v>
      </c>
      <c r="Y554" s="449"/>
      <c r="Z554" s="45"/>
      <c r="AA554" s="468">
        <v>0.38054017585132455</v>
      </c>
      <c r="AB554" s="456"/>
      <c r="AC554" s="46"/>
      <c r="AD554" s="46"/>
      <c r="AE554" s="46"/>
      <c r="AF554" s="46"/>
      <c r="AG554" s="46"/>
      <c r="AH554" s="46"/>
      <c r="AI554" s="457"/>
      <c r="AJ554" s="138"/>
      <c r="AK554" s="745"/>
      <c r="AL554" s="54"/>
      <c r="AM554" s="468"/>
      <c r="AN554" s="449"/>
      <c r="AO554" s="45"/>
      <c r="AP554" s="45"/>
      <c r="AQ554" s="45"/>
      <c r="AR554" s="45"/>
      <c r="AS554" s="45"/>
      <c r="AT554" s="45"/>
      <c r="AU554" s="463"/>
      <c r="AV554" s="449"/>
      <c r="AW554" s="45"/>
      <c r="AX554" s="45"/>
      <c r="AY554" s="45"/>
      <c r="AZ554" s="45"/>
      <c r="BA554" s="45"/>
      <c r="BB554" s="45"/>
      <c r="BC554" s="463"/>
      <c r="BD554" s="456"/>
      <c r="BE554" s="46"/>
      <c r="BF554" s="46"/>
      <c r="BG554" s="46"/>
      <c r="BH554" s="46"/>
      <c r="BI554" s="46"/>
      <c r="BJ554" s="457"/>
      <c r="BK554" s="449">
        <v>0</v>
      </c>
      <c r="BL554" s="45"/>
      <c r="BM554" s="45"/>
      <c r="BN554" s="45"/>
      <c r="BO554" s="45"/>
      <c r="BP554" s="45"/>
      <c r="BQ554" s="45"/>
      <c r="BR554" s="45"/>
      <c r="BS554" s="45"/>
      <c r="BT554" s="45"/>
      <c r="BU554" s="45"/>
      <c r="BV554" s="45"/>
      <c r="BW554" s="45"/>
      <c r="BX554" s="45"/>
      <c r="BY554" s="45"/>
      <c r="BZ554" s="45"/>
      <c r="CA554" s="45"/>
      <c r="CB554" s="45"/>
      <c r="CC554" s="45"/>
      <c r="CD554" s="463"/>
      <c r="CE554">
        <v>0</v>
      </c>
      <c r="CF554">
        <v>0</v>
      </c>
      <c r="CG554">
        <v>0</v>
      </c>
      <c r="CH554">
        <v>0</v>
      </c>
      <c r="CI554">
        <v>0</v>
      </c>
      <c r="CJ554">
        <v>0</v>
      </c>
      <c r="CK554">
        <v>0</v>
      </c>
      <c r="CL554">
        <v>0</v>
      </c>
      <c r="CM554">
        <v>0</v>
      </c>
      <c r="CN554">
        <v>0</v>
      </c>
      <c r="CO554">
        <v>0</v>
      </c>
      <c r="CP554">
        <v>0</v>
      </c>
      <c r="CQ554">
        <v>0</v>
      </c>
      <c r="CR554">
        <v>0</v>
      </c>
      <c r="CS554">
        <v>0</v>
      </c>
      <c r="CT554">
        <v>0</v>
      </c>
      <c r="CU554">
        <v>0</v>
      </c>
      <c r="CV554">
        <v>0</v>
      </c>
      <c r="CW554">
        <v>0</v>
      </c>
      <c r="CX554">
        <v>0</v>
      </c>
      <c r="CY554">
        <v>0</v>
      </c>
      <c r="CZ554">
        <v>0</v>
      </c>
      <c r="DA554">
        <v>0</v>
      </c>
      <c r="DB554">
        <v>0</v>
      </c>
      <c r="DC554">
        <v>0</v>
      </c>
      <c r="DD554">
        <v>0</v>
      </c>
      <c r="DE554">
        <v>0</v>
      </c>
      <c r="DF554">
        <v>0</v>
      </c>
      <c r="DG554">
        <v>0</v>
      </c>
      <c r="DH554">
        <v>0</v>
      </c>
      <c r="DI554">
        <v>0</v>
      </c>
      <c r="DJ554">
        <v>0</v>
      </c>
      <c r="DK554">
        <v>0</v>
      </c>
      <c r="DL554">
        <v>0</v>
      </c>
      <c r="DM554">
        <v>0</v>
      </c>
      <c r="DN554">
        <v>0</v>
      </c>
      <c r="DO554">
        <v>0</v>
      </c>
      <c r="DP554">
        <v>0</v>
      </c>
      <c r="DQ554">
        <v>0</v>
      </c>
      <c r="DR554">
        <v>0</v>
      </c>
      <c r="DS554">
        <v>0</v>
      </c>
      <c r="DT554">
        <v>0</v>
      </c>
      <c r="DU554">
        <v>0</v>
      </c>
    </row>
    <row r="555" spans="2:125">
      <c r="B555" s="136">
        <v>546</v>
      </c>
      <c r="C555" s="138">
        <v>1</v>
      </c>
      <c r="D555" s="474">
        <v>3461.3982099813175</v>
      </c>
      <c r="E555" s="127">
        <v>214.18406162503106</v>
      </c>
      <c r="F555" s="447">
        <v>0.41235616782728785</v>
      </c>
      <c r="G555" s="127">
        <v>110.93973414508952</v>
      </c>
      <c r="H555" s="132">
        <v>65.160037546608137</v>
      </c>
      <c r="I555" s="456"/>
      <c r="J555" s="45"/>
      <c r="K555" s="45">
        <v>500</v>
      </c>
      <c r="L555" s="463"/>
      <c r="M555" s="456">
        <v>31.333255767822266</v>
      </c>
      <c r="N555" s="457"/>
      <c r="O555" s="456"/>
      <c r="P555" s="46"/>
      <c r="Q555" s="463">
        <v>76.962417602539063</v>
      </c>
      <c r="R555" s="449"/>
      <c r="S555" s="463"/>
      <c r="T555" s="480"/>
      <c r="U555" s="468"/>
      <c r="V555" s="449"/>
      <c r="W555" s="45">
        <v>1508.3741455078125</v>
      </c>
      <c r="X555" s="463">
        <v>126.87654113769531</v>
      </c>
      <c r="Y555" s="449"/>
      <c r="Z555" s="45"/>
      <c r="AA555" s="468">
        <v>0.40275105413055284</v>
      </c>
      <c r="AB555" s="456"/>
      <c r="AC555" s="46"/>
      <c r="AD555" s="46"/>
      <c r="AE555" s="46"/>
      <c r="AF555" s="46"/>
      <c r="AG555" s="46"/>
      <c r="AH555" s="46"/>
      <c r="AI555" s="457"/>
      <c r="AJ555" s="138"/>
      <c r="AK555" s="745"/>
      <c r="AL555" s="54"/>
      <c r="AM555" s="468"/>
      <c r="AN555" s="449"/>
      <c r="AO555" s="45"/>
      <c r="AP555" s="45"/>
      <c r="AQ555" s="45"/>
      <c r="AR555" s="45"/>
      <c r="AS555" s="45"/>
      <c r="AT555" s="45"/>
      <c r="AU555" s="463"/>
      <c r="AV555" s="449"/>
      <c r="AW555" s="45"/>
      <c r="AX555" s="45"/>
      <c r="AY555" s="45"/>
      <c r="AZ555" s="45"/>
      <c r="BA555" s="45"/>
      <c r="BB555" s="45"/>
      <c r="BC555" s="463"/>
      <c r="BD555" s="456"/>
      <c r="BE555" s="46"/>
      <c r="BF555" s="46"/>
      <c r="BG555" s="46"/>
      <c r="BH555" s="46"/>
      <c r="BI555" s="46"/>
      <c r="BJ555" s="457"/>
      <c r="BK555" s="449">
        <v>0</v>
      </c>
      <c r="BL555" s="45"/>
      <c r="BM555" s="45"/>
      <c r="BN555" s="45"/>
      <c r="BO555" s="45"/>
      <c r="BP555" s="45"/>
      <c r="BQ555" s="45"/>
      <c r="BR555" s="45"/>
      <c r="BS555" s="45"/>
      <c r="BT555" s="45"/>
      <c r="BU555" s="45"/>
      <c r="BV555" s="45"/>
      <c r="BW555" s="45"/>
      <c r="BX555" s="45"/>
      <c r="BY555" s="45"/>
      <c r="BZ555" s="45"/>
      <c r="CA555" s="45"/>
      <c r="CB555" s="45"/>
      <c r="CC555" s="45"/>
      <c r="CD555" s="463"/>
      <c r="CE555">
        <v>0</v>
      </c>
      <c r="CF555">
        <v>0</v>
      </c>
      <c r="CG555">
        <v>0</v>
      </c>
      <c r="CH555">
        <v>0</v>
      </c>
      <c r="CI555">
        <v>0</v>
      </c>
      <c r="CJ555">
        <v>0</v>
      </c>
      <c r="CK555">
        <v>0</v>
      </c>
      <c r="CL555">
        <v>0</v>
      </c>
      <c r="CM555">
        <v>0</v>
      </c>
      <c r="CN555">
        <v>0</v>
      </c>
      <c r="CO555">
        <v>0</v>
      </c>
      <c r="CP555">
        <v>0</v>
      </c>
      <c r="CQ555">
        <v>0</v>
      </c>
      <c r="CR555">
        <v>0</v>
      </c>
      <c r="CS555">
        <v>0</v>
      </c>
      <c r="CT555">
        <v>0</v>
      </c>
      <c r="CU555">
        <v>0</v>
      </c>
      <c r="CV555">
        <v>0</v>
      </c>
      <c r="CW555">
        <v>0</v>
      </c>
      <c r="CX555">
        <v>0</v>
      </c>
      <c r="CY555">
        <v>0</v>
      </c>
      <c r="CZ555">
        <v>0</v>
      </c>
      <c r="DA555">
        <v>0</v>
      </c>
      <c r="DB555">
        <v>0</v>
      </c>
      <c r="DC555">
        <v>0</v>
      </c>
      <c r="DD555">
        <v>0</v>
      </c>
      <c r="DE555">
        <v>0</v>
      </c>
      <c r="DF555">
        <v>0</v>
      </c>
      <c r="DG555">
        <v>0</v>
      </c>
      <c r="DH555">
        <v>0</v>
      </c>
      <c r="DI555">
        <v>0</v>
      </c>
      <c r="DJ555">
        <v>0</v>
      </c>
      <c r="DK555">
        <v>0</v>
      </c>
      <c r="DL555">
        <v>0</v>
      </c>
      <c r="DM555">
        <v>0</v>
      </c>
      <c r="DN555">
        <v>0</v>
      </c>
      <c r="DO555">
        <v>0</v>
      </c>
      <c r="DP555">
        <v>0</v>
      </c>
      <c r="DQ555">
        <v>0</v>
      </c>
      <c r="DR555">
        <v>0</v>
      </c>
      <c r="DS555">
        <v>0</v>
      </c>
      <c r="DT555">
        <v>0</v>
      </c>
      <c r="DU555">
        <v>0</v>
      </c>
    </row>
    <row r="556" spans="2:125">
      <c r="B556" s="136">
        <v>547</v>
      </c>
      <c r="C556" s="138">
        <v>1</v>
      </c>
      <c r="D556" s="474">
        <v>3407.5583414253774</v>
      </c>
      <c r="E556" s="127">
        <v>246.12210050073841</v>
      </c>
      <c r="F556" s="447">
        <v>0.43177541145364495</v>
      </c>
      <c r="G556" s="127">
        <v>110.28700044940484</v>
      </c>
      <c r="H556" s="132">
        <v>58.333560929453768</v>
      </c>
      <c r="I556" s="456"/>
      <c r="J556" s="45"/>
      <c r="K556" s="45">
        <v>470</v>
      </c>
      <c r="L556" s="463"/>
      <c r="M556" s="456">
        <v>34.815052032470703</v>
      </c>
      <c r="N556" s="457"/>
      <c r="O556" s="456"/>
      <c r="P556" s="46"/>
      <c r="Q556" s="463">
        <v>67.469657897949219</v>
      </c>
      <c r="R556" s="449"/>
      <c r="S556" s="463"/>
      <c r="T556" s="480"/>
      <c r="U556" s="468"/>
      <c r="V556" s="449"/>
      <c r="W556" s="45">
        <v>1536.9935302734375</v>
      </c>
      <c r="X556" s="463">
        <v>128.83477783203125</v>
      </c>
      <c r="Y556" s="449"/>
      <c r="Z556" s="45"/>
      <c r="AA556" s="468">
        <v>0.42190455823297696</v>
      </c>
      <c r="AB556" s="456"/>
      <c r="AC556" s="46"/>
      <c r="AD556" s="46"/>
      <c r="AE556" s="46"/>
      <c r="AF556" s="46"/>
      <c r="AG556" s="46"/>
      <c r="AH556" s="46"/>
      <c r="AI556" s="457"/>
      <c r="AJ556" s="138"/>
      <c r="AK556" s="745"/>
      <c r="AL556" s="54"/>
      <c r="AM556" s="468"/>
      <c r="AN556" s="449"/>
      <c r="AO556" s="45"/>
      <c r="AP556" s="45"/>
      <c r="AQ556" s="45"/>
      <c r="AR556" s="45"/>
      <c r="AS556" s="45"/>
      <c r="AT556" s="45"/>
      <c r="AU556" s="463"/>
      <c r="AV556" s="449"/>
      <c r="AW556" s="45"/>
      <c r="AX556" s="45"/>
      <c r="AY556" s="45"/>
      <c r="AZ556" s="45"/>
      <c r="BA556" s="45"/>
      <c r="BB556" s="45"/>
      <c r="BC556" s="463"/>
      <c r="BD556" s="456"/>
      <c r="BE556" s="46"/>
      <c r="BF556" s="46"/>
      <c r="BG556" s="46"/>
      <c r="BH556" s="46"/>
      <c r="BI556" s="46"/>
      <c r="BJ556" s="457"/>
      <c r="BK556" s="449">
        <v>0</v>
      </c>
      <c r="BL556" s="45"/>
      <c r="BM556" s="45"/>
      <c r="BN556" s="45"/>
      <c r="BO556" s="45"/>
      <c r="BP556" s="45"/>
      <c r="BQ556" s="45"/>
      <c r="BR556" s="45"/>
      <c r="BS556" s="45"/>
      <c r="BT556" s="45"/>
      <c r="BU556" s="45"/>
      <c r="BV556" s="45"/>
      <c r="BW556" s="45"/>
      <c r="BX556" s="45"/>
      <c r="BY556" s="45"/>
      <c r="BZ556" s="45"/>
      <c r="CA556" s="45"/>
      <c r="CB556" s="45"/>
      <c r="CC556" s="45"/>
      <c r="CD556" s="463"/>
      <c r="CE556">
        <v>0</v>
      </c>
      <c r="CF556">
        <v>0</v>
      </c>
      <c r="CG556">
        <v>0</v>
      </c>
      <c r="CH556">
        <v>0</v>
      </c>
      <c r="CI556">
        <v>0</v>
      </c>
      <c r="CJ556">
        <v>0</v>
      </c>
      <c r="CK556">
        <v>0</v>
      </c>
      <c r="CL556">
        <v>0</v>
      </c>
      <c r="CM556">
        <v>0</v>
      </c>
      <c r="CN556">
        <v>0</v>
      </c>
      <c r="CO556">
        <v>0</v>
      </c>
      <c r="CP556">
        <v>0</v>
      </c>
      <c r="CQ556">
        <v>0</v>
      </c>
      <c r="CR556">
        <v>0</v>
      </c>
      <c r="CS556">
        <v>0</v>
      </c>
      <c r="CT556">
        <v>0</v>
      </c>
      <c r="CU556">
        <v>0</v>
      </c>
      <c r="CV556">
        <v>0</v>
      </c>
      <c r="CW556">
        <v>0</v>
      </c>
      <c r="CX556">
        <v>0</v>
      </c>
      <c r="CY556">
        <v>0</v>
      </c>
      <c r="CZ556">
        <v>0</v>
      </c>
      <c r="DA556">
        <v>0</v>
      </c>
      <c r="DB556">
        <v>0</v>
      </c>
      <c r="DC556">
        <v>0</v>
      </c>
      <c r="DD556">
        <v>0</v>
      </c>
      <c r="DE556">
        <v>0</v>
      </c>
      <c r="DF556">
        <v>0</v>
      </c>
      <c r="DG556">
        <v>0</v>
      </c>
      <c r="DH556">
        <v>0</v>
      </c>
      <c r="DI556">
        <v>0</v>
      </c>
      <c r="DJ556">
        <v>0</v>
      </c>
      <c r="DK556">
        <v>0</v>
      </c>
      <c r="DL556">
        <v>0</v>
      </c>
      <c r="DM556">
        <v>0</v>
      </c>
      <c r="DN556">
        <v>0</v>
      </c>
      <c r="DO556">
        <v>0</v>
      </c>
      <c r="DP556">
        <v>0</v>
      </c>
      <c r="DQ556">
        <v>0</v>
      </c>
      <c r="DR556">
        <v>0</v>
      </c>
      <c r="DS556">
        <v>0</v>
      </c>
      <c r="DT556">
        <v>0</v>
      </c>
      <c r="DU556">
        <v>0</v>
      </c>
    </row>
    <row r="557" spans="2:125">
      <c r="B557" s="136">
        <v>548</v>
      </c>
      <c r="C557" s="138">
        <v>1</v>
      </c>
      <c r="D557" s="474">
        <v>2712.1993969183709</v>
      </c>
      <c r="E557" s="127">
        <v>303.53623435322385</v>
      </c>
      <c r="F557" s="447">
        <v>0.41823079778591549</v>
      </c>
      <c r="G557" s="127">
        <v>112.75038288359056</v>
      </c>
      <c r="H557" s="132">
        <v>42.516227980137224</v>
      </c>
      <c r="I557" s="456"/>
      <c r="J557" s="45"/>
      <c r="K557" s="45">
        <v>430</v>
      </c>
      <c r="L557" s="463"/>
      <c r="M557" s="456">
        <v>36.238079071044922</v>
      </c>
      <c r="N557" s="457"/>
      <c r="O557" s="456"/>
      <c r="P557" s="46"/>
      <c r="Q557" s="463">
        <v>53.701549530029297</v>
      </c>
      <c r="R557" s="449"/>
      <c r="S557" s="463"/>
      <c r="T557" s="480"/>
      <c r="U557" s="468"/>
      <c r="V557" s="449"/>
      <c r="W557" s="45">
        <v>1375.5489501953125</v>
      </c>
      <c r="X557" s="463">
        <v>116.93071746826172</v>
      </c>
      <c r="Y557" s="449"/>
      <c r="Z557" s="45"/>
      <c r="AA557" s="468">
        <v>0.40592911524973191</v>
      </c>
      <c r="AB557" s="456"/>
      <c r="AC557" s="46"/>
      <c r="AD557" s="46"/>
      <c r="AE557" s="46"/>
      <c r="AF557" s="46"/>
      <c r="AG557" s="46"/>
      <c r="AH557" s="46"/>
      <c r="AI557" s="457"/>
      <c r="AJ557" s="138"/>
      <c r="AK557" s="745"/>
      <c r="AL557" s="54"/>
      <c r="AM557" s="468"/>
      <c r="AN557" s="449"/>
      <c r="AO557" s="45"/>
      <c r="AP557" s="45"/>
      <c r="AQ557" s="45"/>
      <c r="AR557" s="45"/>
      <c r="AS557" s="45"/>
      <c r="AT557" s="45"/>
      <c r="AU557" s="463"/>
      <c r="AV557" s="449"/>
      <c r="AW557" s="45"/>
      <c r="AX557" s="45"/>
      <c r="AY557" s="45"/>
      <c r="AZ557" s="45"/>
      <c r="BA557" s="45"/>
      <c r="BB557" s="45"/>
      <c r="BC557" s="463"/>
      <c r="BD557" s="456"/>
      <c r="BE557" s="46"/>
      <c r="BF557" s="46"/>
      <c r="BG557" s="46"/>
      <c r="BH557" s="46"/>
      <c r="BI557" s="46"/>
      <c r="BJ557" s="457"/>
      <c r="BK557" s="449">
        <v>0</v>
      </c>
      <c r="BL557" s="45"/>
      <c r="BM557" s="45"/>
      <c r="BN557" s="45"/>
      <c r="BO557" s="45"/>
      <c r="BP557" s="45"/>
      <c r="BQ557" s="45"/>
      <c r="BR557" s="45"/>
      <c r="BS557" s="45"/>
      <c r="BT557" s="45"/>
      <c r="BU557" s="45"/>
      <c r="BV557" s="45"/>
      <c r="BW557" s="45"/>
      <c r="BX557" s="45"/>
      <c r="BY557" s="45"/>
      <c r="BZ557" s="45"/>
      <c r="CA557" s="45"/>
      <c r="CB557" s="45"/>
      <c r="CC557" s="45"/>
      <c r="CD557" s="463"/>
      <c r="CE557">
        <v>0</v>
      </c>
      <c r="CF557">
        <v>0</v>
      </c>
      <c r="CG557">
        <v>0</v>
      </c>
      <c r="CH557">
        <v>0</v>
      </c>
      <c r="CI557">
        <v>0</v>
      </c>
      <c r="CJ557">
        <v>0</v>
      </c>
      <c r="CK557">
        <v>0</v>
      </c>
      <c r="CL557">
        <v>0</v>
      </c>
      <c r="CM557">
        <v>0</v>
      </c>
      <c r="CN557">
        <v>0</v>
      </c>
      <c r="CO557">
        <v>0</v>
      </c>
      <c r="CP557">
        <v>0</v>
      </c>
      <c r="CQ557">
        <v>0</v>
      </c>
      <c r="CR557">
        <v>0</v>
      </c>
      <c r="CS557">
        <v>0</v>
      </c>
      <c r="CT557">
        <v>0</v>
      </c>
      <c r="CU557">
        <v>0</v>
      </c>
      <c r="CV557">
        <v>0</v>
      </c>
      <c r="CW557">
        <v>0</v>
      </c>
      <c r="CX557">
        <v>0</v>
      </c>
      <c r="CY557">
        <v>0</v>
      </c>
      <c r="CZ557">
        <v>0</v>
      </c>
      <c r="DA557">
        <v>0</v>
      </c>
      <c r="DB557">
        <v>0</v>
      </c>
      <c r="DC557">
        <v>0</v>
      </c>
      <c r="DD557">
        <v>0</v>
      </c>
      <c r="DE557">
        <v>0</v>
      </c>
      <c r="DF557">
        <v>0</v>
      </c>
      <c r="DG557">
        <v>0</v>
      </c>
      <c r="DH557">
        <v>0</v>
      </c>
      <c r="DI557">
        <v>0</v>
      </c>
      <c r="DJ557">
        <v>0</v>
      </c>
      <c r="DK557">
        <v>0</v>
      </c>
      <c r="DL557">
        <v>0</v>
      </c>
      <c r="DM557">
        <v>0</v>
      </c>
      <c r="DN557">
        <v>0</v>
      </c>
      <c r="DO557">
        <v>0</v>
      </c>
      <c r="DP557">
        <v>0</v>
      </c>
      <c r="DQ557">
        <v>0</v>
      </c>
      <c r="DR557">
        <v>0</v>
      </c>
      <c r="DS557">
        <v>0</v>
      </c>
      <c r="DT557">
        <v>0</v>
      </c>
      <c r="DU557">
        <v>0</v>
      </c>
    </row>
    <row r="558" spans="2:125">
      <c r="B558" s="136">
        <v>549</v>
      </c>
      <c r="C558" s="138">
        <v>1</v>
      </c>
      <c r="D558" s="474">
        <v>4427.9396232903819</v>
      </c>
      <c r="E558" s="127">
        <v>266.09464293487252</v>
      </c>
      <c r="F558" s="447">
        <v>0.44553984381745015</v>
      </c>
      <c r="G558" s="127">
        <v>156.906577839058</v>
      </c>
      <c r="H558" s="132">
        <v>68.692552691846046</v>
      </c>
      <c r="I558" s="456"/>
      <c r="J558" s="45"/>
      <c r="K558" s="45">
        <v>670</v>
      </c>
      <c r="L558" s="463"/>
      <c r="M558" s="456">
        <v>42.310111999511719</v>
      </c>
      <c r="N558" s="457"/>
      <c r="O558" s="456"/>
      <c r="P558" s="46"/>
      <c r="Q558" s="463">
        <v>90</v>
      </c>
      <c r="R558" s="449"/>
      <c r="S558" s="463"/>
      <c r="T558" s="480"/>
      <c r="U558" s="468"/>
      <c r="V558" s="449"/>
      <c r="W558" s="45">
        <v>2218.029541015625</v>
      </c>
      <c r="X558" s="463">
        <v>179.19337463378906</v>
      </c>
      <c r="Y558" s="449"/>
      <c r="Z558" s="45"/>
      <c r="AA558" s="468">
        <v>0.43788147451675269</v>
      </c>
      <c r="AB558" s="456"/>
      <c r="AC558" s="46"/>
      <c r="AD558" s="46"/>
      <c r="AE558" s="46"/>
      <c r="AF558" s="46"/>
      <c r="AG558" s="46"/>
      <c r="AH558" s="46"/>
      <c r="AI558" s="457"/>
      <c r="AJ558" s="138"/>
      <c r="AK558" s="745"/>
      <c r="AL558" s="54"/>
      <c r="AM558" s="468"/>
      <c r="AN558" s="449"/>
      <c r="AO558" s="45"/>
      <c r="AP558" s="45"/>
      <c r="AQ558" s="45"/>
      <c r="AR558" s="45"/>
      <c r="AS558" s="45"/>
      <c r="AT558" s="45"/>
      <c r="AU558" s="463"/>
      <c r="AV558" s="449"/>
      <c r="AW558" s="45"/>
      <c r="AX558" s="45"/>
      <c r="AY558" s="45"/>
      <c r="AZ558" s="45"/>
      <c r="BA558" s="45"/>
      <c r="BB558" s="45"/>
      <c r="BC558" s="463"/>
      <c r="BD558" s="456"/>
      <c r="BE558" s="46"/>
      <c r="BF558" s="46"/>
      <c r="BG558" s="46"/>
      <c r="BH558" s="46"/>
      <c r="BI558" s="46"/>
      <c r="BJ558" s="457"/>
      <c r="BK558" s="449">
        <v>0</v>
      </c>
      <c r="BL558" s="45"/>
      <c r="BM558" s="45"/>
      <c r="BN558" s="45"/>
      <c r="BO558" s="45"/>
      <c r="BP558" s="45"/>
      <c r="BQ558" s="45"/>
      <c r="BR558" s="45"/>
      <c r="BS558" s="45"/>
      <c r="BT558" s="45"/>
      <c r="BU558" s="45"/>
      <c r="BV558" s="45"/>
      <c r="BW558" s="45"/>
      <c r="BX558" s="45"/>
      <c r="BY558" s="45"/>
      <c r="BZ558" s="45"/>
      <c r="CA558" s="45"/>
      <c r="CB558" s="45"/>
      <c r="CC558" s="45"/>
      <c r="CD558" s="463"/>
      <c r="CE558">
        <v>0</v>
      </c>
      <c r="CF558">
        <v>0</v>
      </c>
      <c r="CG558">
        <v>0</v>
      </c>
      <c r="CH558">
        <v>0</v>
      </c>
      <c r="CI558">
        <v>0</v>
      </c>
      <c r="CJ558">
        <v>0</v>
      </c>
      <c r="CK558">
        <v>0</v>
      </c>
      <c r="CL558">
        <v>0</v>
      </c>
      <c r="CM558">
        <v>0</v>
      </c>
      <c r="CN558">
        <v>0</v>
      </c>
      <c r="CO558">
        <v>0</v>
      </c>
      <c r="CP558">
        <v>0</v>
      </c>
      <c r="CQ558">
        <v>0</v>
      </c>
      <c r="CR558">
        <v>0</v>
      </c>
      <c r="CS558">
        <v>0</v>
      </c>
      <c r="CT558">
        <v>0</v>
      </c>
      <c r="CU558">
        <v>0</v>
      </c>
      <c r="CV558">
        <v>0</v>
      </c>
      <c r="CW558">
        <v>0</v>
      </c>
      <c r="CX558">
        <v>0</v>
      </c>
      <c r="CY558">
        <v>0</v>
      </c>
      <c r="CZ558">
        <v>0</v>
      </c>
      <c r="DA558">
        <v>0</v>
      </c>
      <c r="DB558">
        <v>0</v>
      </c>
      <c r="DC558">
        <v>0</v>
      </c>
      <c r="DD558">
        <v>0</v>
      </c>
      <c r="DE558">
        <v>0</v>
      </c>
      <c r="DF558">
        <v>0</v>
      </c>
      <c r="DG558">
        <v>0</v>
      </c>
      <c r="DH558">
        <v>0</v>
      </c>
      <c r="DI558">
        <v>0</v>
      </c>
      <c r="DJ558">
        <v>0</v>
      </c>
      <c r="DK558">
        <v>0</v>
      </c>
      <c r="DL558">
        <v>0</v>
      </c>
      <c r="DM558">
        <v>0</v>
      </c>
      <c r="DN558">
        <v>0</v>
      </c>
      <c r="DO558">
        <v>0</v>
      </c>
      <c r="DP558">
        <v>0</v>
      </c>
      <c r="DQ558">
        <v>0</v>
      </c>
      <c r="DR558">
        <v>0</v>
      </c>
      <c r="DS558">
        <v>0</v>
      </c>
      <c r="DT558">
        <v>0</v>
      </c>
      <c r="DU558">
        <v>0</v>
      </c>
    </row>
    <row r="559" spans="2:125">
      <c r="B559" s="136">
        <v>550</v>
      </c>
      <c r="C559" s="138">
        <v>1</v>
      </c>
      <c r="D559" s="474">
        <v>3698.3930203939171</v>
      </c>
      <c r="E559" s="127">
        <v>239.76935125290964</v>
      </c>
      <c r="F559" s="447">
        <v>0.49741384342948847</v>
      </c>
      <c r="G559" s="127">
        <v>123.28442724752087</v>
      </c>
      <c r="H559" s="132">
        <v>59.93599144989318</v>
      </c>
      <c r="I559" s="456"/>
      <c r="J559" s="45"/>
      <c r="K559" s="45">
        <v>530</v>
      </c>
      <c r="L559" s="463"/>
      <c r="M559" s="456">
        <v>50.036724090576172</v>
      </c>
      <c r="N559" s="457"/>
      <c r="O559" s="456"/>
      <c r="P559" s="46"/>
      <c r="Q559" s="463">
        <v>73.228187561035156</v>
      </c>
      <c r="R559" s="449"/>
      <c r="S559" s="463"/>
      <c r="T559" s="480"/>
      <c r="U559" s="468"/>
      <c r="V559" s="449"/>
      <c r="W559" s="45">
        <v>2261.46875</v>
      </c>
      <c r="X559" s="463">
        <v>181.76322937011719</v>
      </c>
      <c r="Y559" s="449"/>
      <c r="Z559" s="45"/>
      <c r="AA559" s="468">
        <v>0.48796425906247404</v>
      </c>
      <c r="AB559" s="456"/>
      <c r="AC559" s="46"/>
      <c r="AD559" s="46"/>
      <c r="AE559" s="46"/>
      <c r="AF559" s="46"/>
      <c r="AG559" s="46"/>
      <c r="AH559" s="46"/>
      <c r="AI559" s="457"/>
      <c r="AJ559" s="138"/>
      <c r="AK559" s="745"/>
      <c r="AL559" s="54"/>
      <c r="AM559" s="468"/>
      <c r="AN559" s="449"/>
      <c r="AO559" s="45"/>
      <c r="AP559" s="45"/>
      <c r="AQ559" s="45"/>
      <c r="AR559" s="45"/>
      <c r="AS559" s="45"/>
      <c r="AT559" s="45"/>
      <c r="AU559" s="463"/>
      <c r="AV559" s="449"/>
      <c r="AW559" s="45"/>
      <c r="AX559" s="45"/>
      <c r="AY559" s="45"/>
      <c r="AZ559" s="45"/>
      <c r="BA559" s="45"/>
      <c r="BB559" s="45"/>
      <c r="BC559" s="463"/>
      <c r="BD559" s="456"/>
      <c r="BE559" s="46"/>
      <c r="BF559" s="46"/>
      <c r="BG559" s="46"/>
      <c r="BH559" s="46"/>
      <c r="BI559" s="46"/>
      <c r="BJ559" s="457"/>
      <c r="BK559" s="449">
        <v>0</v>
      </c>
      <c r="BL559" s="45"/>
      <c r="BM559" s="45"/>
      <c r="BN559" s="45"/>
      <c r="BO559" s="45"/>
      <c r="BP559" s="45"/>
      <c r="BQ559" s="45"/>
      <c r="BR559" s="45"/>
      <c r="BS559" s="45"/>
      <c r="BT559" s="45"/>
      <c r="BU559" s="45"/>
      <c r="BV559" s="45"/>
      <c r="BW559" s="45"/>
      <c r="BX559" s="45"/>
      <c r="BY559" s="45"/>
      <c r="BZ559" s="45"/>
      <c r="CA559" s="45"/>
      <c r="CB559" s="45"/>
      <c r="CC559" s="45"/>
      <c r="CD559" s="463"/>
      <c r="CE559">
        <v>0</v>
      </c>
      <c r="CF559">
        <v>0</v>
      </c>
      <c r="CG559">
        <v>0</v>
      </c>
      <c r="CH559">
        <v>0</v>
      </c>
      <c r="CI559">
        <v>0</v>
      </c>
      <c r="CJ559">
        <v>0</v>
      </c>
      <c r="CK559">
        <v>0</v>
      </c>
      <c r="CL559">
        <v>0</v>
      </c>
      <c r="CM559">
        <v>0</v>
      </c>
      <c r="CN559">
        <v>0</v>
      </c>
      <c r="CO559">
        <v>0</v>
      </c>
      <c r="CP559">
        <v>0</v>
      </c>
      <c r="CQ559">
        <v>0</v>
      </c>
      <c r="CR559">
        <v>0</v>
      </c>
      <c r="CS559">
        <v>0</v>
      </c>
      <c r="CT559">
        <v>0</v>
      </c>
      <c r="CU559">
        <v>0</v>
      </c>
      <c r="CV559">
        <v>0</v>
      </c>
      <c r="CW559">
        <v>0</v>
      </c>
      <c r="CX559">
        <v>0</v>
      </c>
      <c r="CY559">
        <v>0</v>
      </c>
      <c r="CZ559">
        <v>0</v>
      </c>
      <c r="DA559">
        <v>0</v>
      </c>
      <c r="DB559">
        <v>0</v>
      </c>
      <c r="DC559">
        <v>0</v>
      </c>
      <c r="DD559">
        <v>0</v>
      </c>
      <c r="DE559">
        <v>0</v>
      </c>
      <c r="DF559">
        <v>0</v>
      </c>
      <c r="DG559">
        <v>0</v>
      </c>
      <c r="DH559">
        <v>0</v>
      </c>
      <c r="DI559">
        <v>0</v>
      </c>
      <c r="DJ559">
        <v>0</v>
      </c>
      <c r="DK559">
        <v>0</v>
      </c>
      <c r="DL559">
        <v>0</v>
      </c>
      <c r="DM559">
        <v>0</v>
      </c>
      <c r="DN559">
        <v>0</v>
      </c>
      <c r="DO559">
        <v>0</v>
      </c>
      <c r="DP559">
        <v>0</v>
      </c>
      <c r="DQ559">
        <v>0</v>
      </c>
      <c r="DR559">
        <v>0</v>
      </c>
      <c r="DS559">
        <v>0</v>
      </c>
      <c r="DT559">
        <v>0</v>
      </c>
      <c r="DU559">
        <v>0</v>
      </c>
    </row>
    <row r="560" spans="2:125">
      <c r="B560" s="136">
        <v>551</v>
      </c>
      <c r="C560" s="138">
        <v>1</v>
      </c>
      <c r="D560" s="474">
        <v>4044.3661291147509</v>
      </c>
      <c r="E560" s="127">
        <v>267.48011908461962</v>
      </c>
      <c r="F560" s="447">
        <v>0.46952543338781261</v>
      </c>
      <c r="G560" s="127">
        <v>150.93765324999995</v>
      </c>
      <c r="H560" s="132">
        <v>59.030849450092695</v>
      </c>
      <c r="I560" s="456"/>
      <c r="J560" s="45"/>
      <c r="K560" s="45">
        <v>610</v>
      </c>
      <c r="L560" s="463"/>
      <c r="M560" s="456">
        <v>47.035629272460938</v>
      </c>
      <c r="N560" s="457"/>
      <c r="O560" s="456"/>
      <c r="P560" s="46"/>
      <c r="Q560" s="463">
        <v>80.078453063964844</v>
      </c>
      <c r="R560" s="449"/>
      <c r="S560" s="463"/>
      <c r="T560" s="480"/>
      <c r="U560" s="468"/>
      <c r="V560" s="449"/>
      <c r="W560" s="45">
        <v>2273.857177734375</v>
      </c>
      <c r="X560" s="463">
        <v>183.00189208984375</v>
      </c>
      <c r="Y560" s="449"/>
      <c r="Z560" s="45"/>
      <c r="AA560" s="468">
        <v>0.46102212098486661</v>
      </c>
      <c r="AB560" s="456"/>
      <c r="AC560" s="46"/>
      <c r="AD560" s="46"/>
      <c r="AE560" s="46"/>
      <c r="AF560" s="46"/>
      <c r="AG560" s="46"/>
      <c r="AH560" s="46"/>
      <c r="AI560" s="457"/>
      <c r="AJ560" s="138"/>
      <c r="AK560" s="745"/>
      <c r="AL560" s="54"/>
      <c r="AM560" s="468"/>
      <c r="AN560" s="449"/>
      <c r="AO560" s="45"/>
      <c r="AP560" s="45"/>
      <c r="AQ560" s="45"/>
      <c r="AR560" s="45"/>
      <c r="AS560" s="45"/>
      <c r="AT560" s="45"/>
      <c r="AU560" s="463"/>
      <c r="AV560" s="449"/>
      <c r="AW560" s="45"/>
      <c r="AX560" s="45"/>
      <c r="AY560" s="45"/>
      <c r="AZ560" s="45"/>
      <c r="BA560" s="45"/>
      <c r="BB560" s="45"/>
      <c r="BC560" s="463"/>
      <c r="BD560" s="456"/>
      <c r="BE560" s="46"/>
      <c r="BF560" s="46"/>
      <c r="BG560" s="46"/>
      <c r="BH560" s="46"/>
      <c r="BI560" s="46"/>
      <c r="BJ560" s="457"/>
      <c r="BK560" s="449">
        <v>0</v>
      </c>
      <c r="BL560" s="45"/>
      <c r="BM560" s="45"/>
      <c r="BN560" s="45"/>
      <c r="BO560" s="45"/>
      <c r="BP560" s="45"/>
      <c r="BQ560" s="45"/>
      <c r="BR560" s="45"/>
      <c r="BS560" s="45"/>
      <c r="BT560" s="45"/>
      <c r="BU560" s="45"/>
      <c r="BV560" s="45"/>
      <c r="BW560" s="45"/>
      <c r="BX560" s="45"/>
      <c r="BY560" s="45"/>
      <c r="BZ560" s="45"/>
      <c r="CA560" s="45"/>
      <c r="CB560" s="45"/>
      <c r="CC560" s="45"/>
      <c r="CD560" s="463"/>
      <c r="CE560">
        <v>0</v>
      </c>
      <c r="CF560">
        <v>0</v>
      </c>
      <c r="CG560">
        <v>0</v>
      </c>
      <c r="CH560">
        <v>0</v>
      </c>
      <c r="CI560">
        <v>0</v>
      </c>
      <c r="CJ560">
        <v>0</v>
      </c>
      <c r="CK560">
        <v>0</v>
      </c>
      <c r="CL560">
        <v>0</v>
      </c>
      <c r="CM560">
        <v>0</v>
      </c>
      <c r="CN560">
        <v>0</v>
      </c>
      <c r="CO560">
        <v>0</v>
      </c>
      <c r="CP560">
        <v>0</v>
      </c>
      <c r="CQ560">
        <v>0</v>
      </c>
      <c r="CR560">
        <v>0</v>
      </c>
      <c r="CS560">
        <v>0</v>
      </c>
      <c r="CT560">
        <v>0</v>
      </c>
      <c r="CU560">
        <v>0</v>
      </c>
      <c r="CV560">
        <v>0</v>
      </c>
      <c r="CW560">
        <v>0</v>
      </c>
      <c r="CX560">
        <v>0</v>
      </c>
      <c r="CY560">
        <v>0</v>
      </c>
      <c r="CZ560">
        <v>0</v>
      </c>
      <c r="DA560">
        <v>0</v>
      </c>
      <c r="DB560">
        <v>0</v>
      </c>
      <c r="DC560">
        <v>0</v>
      </c>
      <c r="DD560">
        <v>0</v>
      </c>
      <c r="DE560">
        <v>0</v>
      </c>
      <c r="DF560">
        <v>0</v>
      </c>
      <c r="DG560">
        <v>0</v>
      </c>
      <c r="DH560">
        <v>0</v>
      </c>
      <c r="DI560">
        <v>0</v>
      </c>
      <c r="DJ560">
        <v>0</v>
      </c>
      <c r="DK560">
        <v>0</v>
      </c>
      <c r="DL560">
        <v>0</v>
      </c>
      <c r="DM560">
        <v>0</v>
      </c>
      <c r="DN560">
        <v>0</v>
      </c>
      <c r="DO560">
        <v>0</v>
      </c>
      <c r="DP560">
        <v>0</v>
      </c>
      <c r="DQ560">
        <v>0</v>
      </c>
      <c r="DR560">
        <v>0</v>
      </c>
      <c r="DS560">
        <v>0</v>
      </c>
      <c r="DT560">
        <v>0</v>
      </c>
      <c r="DU560">
        <v>0</v>
      </c>
    </row>
    <row r="561" spans="2:125">
      <c r="B561" s="136">
        <v>552</v>
      </c>
      <c r="C561" s="138">
        <v>1</v>
      </c>
      <c r="D561" s="474">
        <v>3176.5765486524529</v>
      </c>
      <c r="E561" s="127">
        <v>282.76854940698638</v>
      </c>
      <c r="F561" s="447">
        <v>0.38808886937788356</v>
      </c>
      <c r="G561" s="127">
        <v>116.64969493073305</v>
      </c>
      <c r="H561" s="132">
        <v>52.490660806487696</v>
      </c>
      <c r="I561" s="456"/>
      <c r="J561" s="45"/>
      <c r="K561" s="45">
        <v>460</v>
      </c>
      <c r="L561" s="463"/>
      <c r="M561" s="456">
        <v>30.744718551635742</v>
      </c>
      <c r="N561" s="457"/>
      <c r="O561" s="456"/>
      <c r="P561" s="46"/>
      <c r="Q561" s="463">
        <v>62.896217346191406</v>
      </c>
      <c r="R561" s="449"/>
      <c r="S561" s="463"/>
      <c r="T561" s="480"/>
      <c r="U561" s="468"/>
      <c r="V561" s="449"/>
      <c r="W561" s="45">
        <v>1320.7442626953125</v>
      </c>
      <c r="X561" s="463">
        <v>113.08023834228516</v>
      </c>
      <c r="Y561" s="449"/>
      <c r="Z561" s="45"/>
      <c r="AA561" s="468">
        <v>0.37777532053504026</v>
      </c>
      <c r="AB561" s="456"/>
      <c r="AC561" s="46"/>
      <c r="AD561" s="46"/>
      <c r="AE561" s="46"/>
      <c r="AF561" s="46"/>
      <c r="AG561" s="46"/>
      <c r="AH561" s="46"/>
      <c r="AI561" s="457"/>
      <c r="AJ561" s="138"/>
      <c r="AK561" s="745"/>
      <c r="AL561" s="54"/>
      <c r="AM561" s="468"/>
      <c r="AN561" s="449"/>
      <c r="AO561" s="45"/>
      <c r="AP561" s="45"/>
      <c r="AQ561" s="45"/>
      <c r="AR561" s="45"/>
      <c r="AS561" s="45"/>
      <c r="AT561" s="45"/>
      <c r="AU561" s="463"/>
      <c r="AV561" s="449"/>
      <c r="AW561" s="45"/>
      <c r="AX561" s="45"/>
      <c r="AY561" s="45"/>
      <c r="AZ561" s="45"/>
      <c r="BA561" s="45"/>
      <c r="BB561" s="45"/>
      <c r="BC561" s="463"/>
      <c r="BD561" s="456"/>
      <c r="BE561" s="46"/>
      <c r="BF561" s="46"/>
      <c r="BG561" s="46"/>
      <c r="BH561" s="46"/>
      <c r="BI561" s="46"/>
      <c r="BJ561" s="457"/>
      <c r="BK561" s="449">
        <v>0</v>
      </c>
      <c r="BL561" s="45"/>
      <c r="BM561" s="45"/>
      <c r="BN561" s="45"/>
      <c r="BO561" s="45"/>
      <c r="BP561" s="45"/>
      <c r="BQ561" s="45"/>
      <c r="BR561" s="45"/>
      <c r="BS561" s="45"/>
      <c r="BT561" s="45"/>
      <c r="BU561" s="45"/>
      <c r="BV561" s="45"/>
      <c r="BW561" s="45"/>
      <c r="BX561" s="45"/>
      <c r="BY561" s="45"/>
      <c r="BZ561" s="45"/>
      <c r="CA561" s="45"/>
      <c r="CB561" s="45"/>
      <c r="CC561" s="45"/>
      <c r="CD561" s="463"/>
      <c r="CE561">
        <v>0</v>
      </c>
      <c r="CF561">
        <v>0</v>
      </c>
      <c r="CG561">
        <v>0</v>
      </c>
      <c r="CH561">
        <v>0</v>
      </c>
      <c r="CI561">
        <v>0</v>
      </c>
      <c r="CJ561">
        <v>0</v>
      </c>
      <c r="CK561">
        <v>0</v>
      </c>
      <c r="CL561">
        <v>0</v>
      </c>
      <c r="CM561">
        <v>0</v>
      </c>
      <c r="CN561">
        <v>0</v>
      </c>
      <c r="CO561">
        <v>0</v>
      </c>
      <c r="CP561">
        <v>0</v>
      </c>
      <c r="CQ561">
        <v>0</v>
      </c>
      <c r="CR561">
        <v>0</v>
      </c>
      <c r="CS561">
        <v>0</v>
      </c>
      <c r="CT561">
        <v>0</v>
      </c>
      <c r="CU561">
        <v>0</v>
      </c>
      <c r="CV561">
        <v>0</v>
      </c>
      <c r="CW561">
        <v>0</v>
      </c>
      <c r="CX561">
        <v>0</v>
      </c>
      <c r="CY561">
        <v>0</v>
      </c>
      <c r="CZ561">
        <v>0</v>
      </c>
      <c r="DA561">
        <v>0</v>
      </c>
      <c r="DB561">
        <v>0</v>
      </c>
      <c r="DC561">
        <v>0</v>
      </c>
      <c r="DD561">
        <v>0</v>
      </c>
      <c r="DE561">
        <v>0</v>
      </c>
      <c r="DF561">
        <v>0</v>
      </c>
      <c r="DG561">
        <v>0</v>
      </c>
      <c r="DH561">
        <v>0</v>
      </c>
      <c r="DI561">
        <v>0</v>
      </c>
      <c r="DJ561">
        <v>0</v>
      </c>
      <c r="DK561">
        <v>0</v>
      </c>
      <c r="DL561">
        <v>0</v>
      </c>
      <c r="DM561">
        <v>0</v>
      </c>
      <c r="DN561">
        <v>0</v>
      </c>
      <c r="DO561">
        <v>0</v>
      </c>
      <c r="DP561">
        <v>0</v>
      </c>
      <c r="DQ561">
        <v>0</v>
      </c>
      <c r="DR561">
        <v>0</v>
      </c>
      <c r="DS561">
        <v>0</v>
      </c>
      <c r="DT561">
        <v>0</v>
      </c>
      <c r="DU561">
        <v>0</v>
      </c>
    </row>
    <row r="562" spans="2:125">
      <c r="B562" s="136">
        <v>553</v>
      </c>
      <c r="C562" s="138">
        <v>1</v>
      </c>
      <c r="D562" s="474">
        <v>3361.7518777240557</v>
      </c>
      <c r="E562" s="127">
        <v>234.31206051563274</v>
      </c>
      <c r="F562" s="447">
        <v>0.44227492982135241</v>
      </c>
      <c r="G562" s="127">
        <v>136.50333840364809</v>
      </c>
      <c r="H562" s="132">
        <v>50.293311203186548</v>
      </c>
      <c r="I562" s="456"/>
      <c r="J562" s="45"/>
      <c r="K562" s="45">
        <v>530</v>
      </c>
      <c r="L562" s="463"/>
      <c r="M562" s="456">
        <v>41.061122894287109</v>
      </c>
      <c r="N562" s="457"/>
      <c r="O562" s="456"/>
      <c r="P562" s="46"/>
      <c r="Q562" s="463">
        <v>66.562690734863281</v>
      </c>
      <c r="R562" s="449"/>
      <c r="S562" s="463"/>
      <c r="T562" s="480"/>
      <c r="U562" s="468"/>
      <c r="V562" s="449"/>
      <c r="W562" s="45">
        <v>1795.8736572265625</v>
      </c>
      <c r="X562" s="463">
        <v>147.90791320800781</v>
      </c>
      <c r="Y562" s="449"/>
      <c r="Z562" s="45"/>
      <c r="AA562" s="468">
        <v>0.43220711404330614</v>
      </c>
      <c r="AB562" s="456"/>
      <c r="AC562" s="46"/>
      <c r="AD562" s="46"/>
      <c r="AE562" s="46"/>
      <c r="AF562" s="46"/>
      <c r="AG562" s="46"/>
      <c r="AH562" s="46"/>
      <c r="AI562" s="457"/>
      <c r="AJ562" s="138"/>
      <c r="AK562" s="745"/>
      <c r="AL562" s="54"/>
      <c r="AM562" s="468"/>
      <c r="AN562" s="449"/>
      <c r="AO562" s="45"/>
      <c r="AP562" s="45"/>
      <c r="AQ562" s="45"/>
      <c r="AR562" s="45"/>
      <c r="AS562" s="45"/>
      <c r="AT562" s="45"/>
      <c r="AU562" s="463"/>
      <c r="AV562" s="449"/>
      <c r="AW562" s="45"/>
      <c r="AX562" s="45"/>
      <c r="AY562" s="45"/>
      <c r="AZ562" s="45"/>
      <c r="BA562" s="45"/>
      <c r="BB562" s="45"/>
      <c r="BC562" s="463"/>
      <c r="BD562" s="456"/>
      <c r="BE562" s="46"/>
      <c r="BF562" s="46"/>
      <c r="BG562" s="46"/>
      <c r="BH562" s="46"/>
      <c r="BI562" s="46"/>
      <c r="BJ562" s="457"/>
      <c r="BK562" s="449">
        <v>0</v>
      </c>
      <c r="BL562" s="45"/>
      <c r="BM562" s="45"/>
      <c r="BN562" s="45"/>
      <c r="BO562" s="45"/>
      <c r="BP562" s="45"/>
      <c r="BQ562" s="45"/>
      <c r="BR562" s="45"/>
      <c r="BS562" s="45"/>
      <c r="BT562" s="45"/>
      <c r="BU562" s="45"/>
      <c r="BV562" s="45"/>
      <c r="BW562" s="45"/>
      <c r="BX562" s="45"/>
      <c r="BY562" s="45"/>
      <c r="BZ562" s="45"/>
      <c r="CA562" s="45"/>
      <c r="CB562" s="45"/>
      <c r="CC562" s="45"/>
      <c r="CD562" s="463"/>
      <c r="CE562">
        <v>0</v>
      </c>
      <c r="CF562">
        <v>0</v>
      </c>
      <c r="CG562">
        <v>0</v>
      </c>
      <c r="CH562">
        <v>0</v>
      </c>
      <c r="CI562">
        <v>0</v>
      </c>
      <c r="CJ562">
        <v>0</v>
      </c>
      <c r="CK562">
        <v>0</v>
      </c>
      <c r="CL562">
        <v>0</v>
      </c>
      <c r="CM562">
        <v>0</v>
      </c>
      <c r="CN562">
        <v>0</v>
      </c>
      <c r="CO562">
        <v>0</v>
      </c>
      <c r="CP562">
        <v>0</v>
      </c>
      <c r="CQ562">
        <v>0</v>
      </c>
      <c r="CR562">
        <v>0</v>
      </c>
      <c r="CS562">
        <v>0</v>
      </c>
      <c r="CT562">
        <v>0</v>
      </c>
      <c r="CU562">
        <v>0</v>
      </c>
      <c r="CV562">
        <v>0</v>
      </c>
      <c r="CW562">
        <v>0</v>
      </c>
      <c r="CX562">
        <v>0</v>
      </c>
      <c r="CY562">
        <v>0</v>
      </c>
      <c r="CZ562">
        <v>0</v>
      </c>
      <c r="DA562">
        <v>0</v>
      </c>
      <c r="DB562">
        <v>0</v>
      </c>
      <c r="DC562">
        <v>0</v>
      </c>
      <c r="DD562">
        <v>0</v>
      </c>
      <c r="DE562">
        <v>0</v>
      </c>
      <c r="DF562">
        <v>0</v>
      </c>
      <c r="DG562">
        <v>0</v>
      </c>
      <c r="DH562">
        <v>0</v>
      </c>
      <c r="DI562">
        <v>0</v>
      </c>
      <c r="DJ562">
        <v>0</v>
      </c>
      <c r="DK562">
        <v>0</v>
      </c>
      <c r="DL562">
        <v>0</v>
      </c>
      <c r="DM562">
        <v>0</v>
      </c>
      <c r="DN562">
        <v>0</v>
      </c>
      <c r="DO562">
        <v>0</v>
      </c>
      <c r="DP562">
        <v>0</v>
      </c>
      <c r="DQ562">
        <v>0</v>
      </c>
      <c r="DR562">
        <v>0</v>
      </c>
      <c r="DS562">
        <v>0</v>
      </c>
      <c r="DT562">
        <v>0</v>
      </c>
      <c r="DU562">
        <v>0</v>
      </c>
    </row>
    <row r="563" spans="2:125">
      <c r="B563" s="136">
        <v>554</v>
      </c>
      <c r="C563" s="138">
        <v>1</v>
      </c>
      <c r="D563" s="474">
        <v>3017.5294559410449</v>
      </c>
      <c r="E563" s="127">
        <v>282.52064385283848</v>
      </c>
      <c r="F563" s="447">
        <v>0.43974575827502155</v>
      </c>
      <c r="G563" s="127">
        <v>111.34299046084801</v>
      </c>
      <c r="H563" s="132">
        <v>50.795048657226104</v>
      </c>
      <c r="I563" s="456"/>
      <c r="J563" s="45"/>
      <c r="K563" s="45">
        <v>450</v>
      </c>
      <c r="L563" s="463"/>
      <c r="M563" s="456">
        <v>37.393848419189453</v>
      </c>
      <c r="N563" s="457"/>
      <c r="O563" s="456"/>
      <c r="P563" s="46"/>
      <c r="Q563" s="463">
        <v>59.747085571289063</v>
      </c>
      <c r="R563" s="449"/>
      <c r="S563" s="463"/>
      <c r="T563" s="480"/>
      <c r="U563" s="468"/>
      <c r="V563" s="449"/>
      <c r="W563" s="45">
        <v>1526.737060546875</v>
      </c>
      <c r="X563" s="463">
        <v>127.9964599609375</v>
      </c>
      <c r="Y563" s="449"/>
      <c r="Z563" s="45"/>
      <c r="AA563" s="468">
        <v>0.42854622711585971</v>
      </c>
      <c r="AB563" s="456"/>
      <c r="AC563" s="46"/>
      <c r="AD563" s="46"/>
      <c r="AE563" s="46"/>
      <c r="AF563" s="46"/>
      <c r="AG563" s="46"/>
      <c r="AH563" s="46"/>
      <c r="AI563" s="457"/>
      <c r="AJ563" s="138"/>
      <c r="AK563" s="745"/>
      <c r="AL563" s="54"/>
      <c r="AM563" s="468"/>
      <c r="AN563" s="449"/>
      <c r="AO563" s="45"/>
      <c r="AP563" s="45"/>
      <c r="AQ563" s="45"/>
      <c r="AR563" s="45"/>
      <c r="AS563" s="45"/>
      <c r="AT563" s="45"/>
      <c r="AU563" s="463"/>
      <c r="AV563" s="449"/>
      <c r="AW563" s="45"/>
      <c r="AX563" s="45"/>
      <c r="AY563" s="45"/>
      <c r="AZ563" s="45"/>
      <c r="BA563" s="45"/>
      <c r="BB563" s="45"/>
      <c r="BC563" s="463"/>
      <c r="BD563" s="456"/>
      <c r="BE563" s="46"/>
      <c r="BF563" s="46"/>
      <c r="BG563" s="46"/>
      <c r="BH563" s="46"/>
      <c r="BI563" s="46"/>
      <c r="BJ563" s="457"/>
      <c r="BK563" s="449">
        <v>0</v>
      </c>
      <c r="BL563" s="45"/>
      <c r="BM563" s="45"/>
      <c r="BN563" s="45"/>
      <c r="BO563" s="45"/>
      <c r="BP563" s="45"/>
      <c r="BQ563" s="45"/>
      <c r="BR563" s="45"/>
      <c r="BS563" s="45"/>
      <c r="BT563" s="45"/>
      <c r="BU563" s="45"/>
      <c r="BV563" s="45"/>
      <c r="BW563" s="45"/>
      <c r="BX563" s="45"/>
      <c r="BY563" s="45"/>
      <c r="BZ563" s="45"/>
      <c r="CA563" s="45"/>
      <c r="CB563" s="45"/>
      <c r="CC563" s="45"/>
      <c r="CD563" s="463"/>
      <c r="CE563">
        <v>0</v>
      </c>
      <c r="CF563">
        <v>0</v>
      </c>
      <c r="CG563">
        <v>0</v>
      </c>
      <c r="CH563">
        <v>0</v>
      </c>
      <c r="CI563">
        <v>0</v>
      </c>
      <c r="CJ563">
        <v>0</v>
      </c>
      <c r="CK563">
        <v>0</v>
      </c>
      <c r="CL563">
        <v>0</v>
      </c>
      <c r="CM563">
        <v>0</v>
      </c>
      <c r="CN563">
        <v>0</v>
      </c>
      <c r="CO563">
        <v>0</v>
      </c>
      <c r="CP563">
        <v>0</v>
      </c>
      <c r="CQ563">
        <v>0</v>
      </c>
      <c r="CR563">
        <v>0</v>
      </c>
      <c r="CS563">
        <v>0</v>
      </c>
      <c r="CT563">
        <v>0</v>
      </c>
      <c r="CU563">
        <v>0</v>
      </c>
      <c r="CV563">
        <v>0</v>
      </c>
      <c r="CW563">
        <v>0</v>
      </c>
      <c r="CX563">
        <v>0</v>
      </c>
      <c r="CY563">
        <v>0</v>
      </c>
      <c r="CZ563">
        <v>0</v>
      </c>
      <c r="DA563">
        <v>0</v>
      </c>
      <c r="DB563">
        <v>0</v>
      </c>
      <c r="DC563">
        <v>0</v>
      </c>
      <c r="DD563">
        <v>0</v>
      </c>
      <c r="DE563">
        <v>0</v>
      </c>
      <c r="DF563">
        <v>0</v>
      </c>
      <c r="DG563">
        <v>0</v>
      </c>
      <c r="DH563">
        <v>0</v>
      </c>
      <c r="DI563">
        <v>0</v>
      </c>
      <c r="DJ563">
        <v>0</v>
      </c>
      <c r="DK563">
        <v>0</v>
      </c>
      <c r="DL563">
        <v>0</v>
      </c>
      <c r="DM563">
        <v>0</v>
      </c>
      <c r="DN563">
        <v>0</v>
      </c>
      <c r="DO563">
        <v>0</v>
      </c>
      <c r="DP563">
        <v>0</v>
      </c>
      <c r="DQ563">
        <v>0</v>
      </c>
      <c r="DR563">
        <v>0</v>
      </c>
      <c r="DS563">
        <v>0</v>
      </c>
      <c r="DT563">
        <v>0</v>
      </c>
      <c r="DU563">
        <v>0</v>
      </c>
    </row>
    <row r="564" spans="2:125">
      <c r="B564" s="136">
        <v>555</v>
      </c>
      <c r="C564" s="138">
        <v>1</v>
      </c>
      <c r="D564" s="474">
        <v>2796.5591153754012</v>
      </c>
      <c r="E564" s="127">
        <v>166.05630455144714</v>
      </c>
      <c r="F564" s="447">
        <v>0.42029353720456031</v>
      </c>
      <c r="G564" s="127">
        <v>90.919837303306664</v>
      </c>
      <c r="H564" s="132">
        <v>52.402746340666411</v>
      </c>
      <c r="I564" s="456"/>
      <c r="J564" s="45"/>
      <c r="K564" s="45">
        <v>390</v>
      </c>
      <c r="L564" s="463"/>
      <c r="M564" s="456">
        <v>32.152000427246094</v>
      </c>
      <c r="N564" s="457"/>
      <c r="O564" s="456"/>
      <c r="P564" s="46"/>
      <c r="Q564" s="463">
        <v>55.371875762939453</v>
      </c>
      <c r="R564" s="449"/>
      <c r="S564" s="463"/>
      <c r="T564" s="480"/>
      <c r="U564" s="468"/>
      <c r="V564" s="449"/>
      <c r="W564" s="45">
        <v>1246.990966796875</v>
      </c>
      <c r="X564" s="463">
        <v>107.39145660400391</v>
      </c>
      <c r="Y564" s="449"/>
      <c r="Z564" s="45"/>
      <c r="AA564" s="468">
        <v>0.40834818959491154</v>
      </c>
      <c r="AB564" s="456"/>
      <c r="AC564" s="46"/>
      <c r="AD564" s="46"/>
      <c r="AE564" s="46"/>
      <c r="AF564" s="46"/>
      <c r="AG564" s="46"/>
      <c r="AH564" s="46"/>
      <c r="AI564" s="457"/>
      <c r="AJ564" s="138"/>
      <c r="AK564" s="745"/>
      <c r="AL564" s="54"/>
      <c r="AM564" s="468"/>
      <c r="AN564" s="449"/>
      <c r="AO564" s="45"/>
      <c r="AP564" s="45"/>
      <c r="AQ564" s="45"/>
      <c r="AR564" s="45"/>
      <c r="AS564" s="45"/>
      <c r="AT564" s="45"/>
      <c r="AU564" s="463"/>
      <c r="AV564" s="449"/>
      <c r="AW564" s="45"/>
      <c r="AX564" s="45"/>
      <c r="AY564" s="45"/>
      <c r="AZ564" s="45"/>
      <c r="BA564" s="45"/>
      <c r="BB564" s="45"/>
      <c r="BC564" s="463"/>
      <c r="BD564" s="456"/>
      <c r="BE564" s="46"/>
      <c r="BF564" s="46"/>
      <c r="BG564" s="46"/>
      <c r="BH564" s="46"/>
      <c r="BI564" s="46"/>
      <c r="BJ564" s="457"/>
      <c r="BK564" s="449">
        <v>0</v>
      </c>
      <c r="BL564" s="45"/>
      <c r="BM564" s="45"/>
      <c r="BN564" s="45"/>
      <c r="BO564" s="45"/>
      <c r="BP564" s="45"/>
      <c r="BQ564" s="45"/>
      <c r="BR564" s="45"/>
      <c r="BS564" s="45"/>
      <c r="BT564" s="45"/>
      <c r="BU564" s="45"/>
      <c r="BV564" s="45"/>
      <c r="BW564" s="45"/>
      <c r="BX564" s="45"/>
      <c r="BY564" s="45"/>
      <c r="BZ564" s="45"/>
      <c r="CA564" s="45"/>
      <c r="CB564" s="45"/>
      <c r="CC564" s="45"/>
      <c r="CD564" s="463"/>
      <c r="CE564">
        <v>0</v>
      </c>
      <c r="CF564">
        <v>0</v>
      </c>
      <c r="CG564">
        <v>0</v>
      </c>
      <c r="CH564">
        <v>0</v>
      </c>
      <c r="CI564">
        <v>0</v>
      </c>
      <c r="CJ564">
        <v>0</v>
      </c>
      <c r="CK564">
        <v>0</v>
      </c>
      <c r="CL564">
        <v>0</v>
      </c>
      <c r="CM564">
        <v>0</v>
      </c>
      <c r="CN564">
        <v>0</v>
      </c>
      <c r="CO564">
        <v>0</v>
      </c>
      <c r="CP564">
        <v>0</v>
      </c>
      <c r="CQ564">
        <v>0</v>
      </c>
      <c r="CR564">
        <v>0</v>
      </c>
      <c r="CS564">
        <v>0</v>
      </c>
      <c r="CT564">
        <v>0</v>
      </c>
      <c r="CU564">
        <v>0</v>
      </c>
      <c r="CV564">
        <v>0</v>
      </c>
      <c r="CW564">
        <v>0</v>
      </c>
      <c r="CX564">
        <v>0</v>
      </c>
      <c r="CY564">
        <v>0</v>
      </c>
      <c r="CZ564">
        <v>0</v>
      </c>
      <c r="DA564">
        <v>0</v>
      </c>
      <c r="DB564">
        <v>0</v>
      </c>
      <c r="DC564">
        <v>0</v>
      </c>
      <c r="DD564">
        <v>0</v>
      </c>
      <c r="DE564">
        <v>0</v>
      </c>
      <c r="DF564">
        <v>0</v>
      </c>
      <c r="DG564">
        <v>0</v>
      </c>
      <c r="DH564">
        <v>0</v>
      </c>
      <c r="DI564">
        <v>0</v>
      </c>
      <c r="DJ564">
        <v>0</v>
      </c>
      <c r="DK564">
        <v>0</v>
      </c>
      <c r="DL564">
        <v>0</v>
      </c>
      <c r="DM564">
        <v>0</v>
      </c>
      <c r="DN564">
        <v>0</v>
      </c>
      <c r="DO564">
        <v>0</v>
      </c>
      <c r="DP564">
        <v>0</v>
      </c>
      <c r="DQ564">
        <v>0</v>
      </c>
      <c r="DR564">
        <v>0</v>
      </c>
      <c r="DS564">
        <v>0</v>
      </c>
      <c r="DT564">
        <v>0</v>
      </c>
      <c r="DU564">
        <v>0</v>
      </c>
    </row>
    <row r="565" spans="2:125">
      <c r="B565" s="136">
        <v>556</v>
      </c>
      <c r="C565" s="138">
        <v>1</v>
      </c>
      <c r="D565" s="474">
        <v>3197.7635396040291</v>
      </c>
      <c r="E565" s="127">
        <v>319.7097548266342</v>
      </c>
      <c r="F565" s="447">
        <v>0.46464330801070119</v>
      </c>
      <c r="G565" s="127">
        <v>120.66663151360842</v>
      </c>
      <c r="H565" s="132">
        <v>51.725749997567441</v>
      </c>
      <c r="I565" s="456"/>
      <c r="J565" s="45"/>
      <c r="K565" s="45">
        <v>490</v>
      </c>
      <c r="L565" s="463"/>
      <c r="M565" s="456">
        <v>43.275131225585937</v>
      </c>
      <c r="N565" s="457"/>
      <c r="O565" s="456"/>
      <c r="P565" s="46"/>
      <c r="Q565" s="463">
        <v>63.315723419189453</v>
      </c>
      <c r="R565" s="449"/>
      <c r="S565" s="463"/>
      <c r="T565" s="480"/>
      <c r="U565" s="468"/>
      <c r="V565" s="449"/>
      <c r="W565" s="45">
        <v>1815.3001708984375</v>
      </c>
      <c r="X565" s="463">
        <v>149.13919067382812</v>
      </c>
      <c r="Y565" s="449"/>
      <c r="Z565" s="45"/>
      <c r="AA565" s="468">
        <v>0.45391929238681283</v>
      </c>
      <c r="AB565" s="456"/>
      <c r="AC565" s="46"/>
      <c r="AD565" s="46"/>
      <c r="AE565" s="46"/>
      <c r="AF565" s="46"/>
      <c r="AG565" s="46"/>
      <c r="AH565" s="46"/>
      <c r="AI565" s="457"/>
      <c r="AJ565" s="138"/>
      <c r="AK565" s="745"/>
      <c r="AL565" s="54"/>
      <c r="AM565" s="468"/>
      <c r="AN565" s="449"/>
      <c r="AO565" s="45"/>
      <c r="AP565" s="45"/>
      <c r="AQ565" s="45"/>
      <c r="AR565" s="45"/>
      <c r="AS565" s="45"/>
      <c r="AT565" s="45"/>
      <c r="AU565" s="463"/>
      <c r="AV565" s="449"/>
      <c r="AW565" s="45"/>
      <c r="AX565" s="45"/>
      <c r="AY565" s="45"/>
      <c r="AZ565" s="45"/>
      <c r="BA565" s="45"/>
      <c r="BB565" s="45"/>
      <c r="BC565" s="463"/>
      <c r="BD565" s="456"/>
      <c r="BE565" s="46"/>
      <c r="BF565" s="46"/>
      <c r="BG565" s="46"/>
      <c r="BH565" s="46"/>
      <c r="BI565" s="46"/>
      <c r="BJ565" s="457"/>
      <c r="BK565" s="449">
        <v>0</v>
      </c>
      <c r="BL565" s="45"/>
      <c r="BM565" s="45"/>
      <c r="BN565" s="45"/>
      <c r="BO565" s="45"/>
      <c r="BP565" s="45"/>
      <c r="BQ565" s="45"/>
      <c r="BR565" s="45"/>
      <c r="BS565" s="45"/>
      <c r="BT565" s="45"/>
      <c r="BU565" s="45"/>
      <c r="BV565" s="45"/>
      <c r="BW565" s="45"/>
      <c r="BX565" s="45"/>
      <c r="BY565" s="45"/>
      <c r="BZ565" s="45"/>
      <c r="CA565" s="45"/>
      <c r="CB565" s="45"/>
      <c r="CC565" s="45"/>
      <c r="CD565" s="463"/>
      <c r="CE565">
        <v>0</v>
      </c>
      <c r="CF565">
        <v>0</v>
      </c>
      <c r="CG565">
        <v>0</v>
      </c>
      <c r="CH565">
        <v>0</v>
      </c>
      <c r="CI565">
        <v>0</v>
      </c>
      <c r="CJ565">
        <v>0</v>
      </c>
      <c r="CK565">
        <v>0</v>
      </c>
      <c r="CL565">
        <v>0</v>
      </c>
      <c r="CM565">
        <v>0</v>
      </c>
      <c r="CN565">
        <v>0</v>
      </c>
      <c r="CO565">
        <v>0</v>
      </c>
      <c r="CP565">
        <v>0</v>
      </c>
      <c r="CQ565">
        <v>0</v>
      </c>
      <c r="CR565">
        <v>0</v>
      </c>
      <c r="CS565">
        <v>0</v>
      </c>
      <c r="CT565">
        <v>0</v>
      </c>
      <c r="CU565">
        <v>0</v>
      </c>
      <c r="CV565">
        <v>0</v>
      </c>
      <c r="CW565">
        <v>0</v>
      </c>
      <c r="CX565">
        <v>0</v>
      </c>
      <c r="CY565">
        <v>0</v>
      </c>
      <c r="CZ565">
        <v>0</v>
      </c>
      <c r="DA565">
        <v>0</v>
      </c>
      <c r="DB565">
        <v>0</v>
      </c>
      <c r="DC565">
        <v>0</v>
      </c>
      <c r="DD565">
        <v>0</v>
      </c>
      <c r="DE565">
        <v>0</v>
      </c>
      <c r="DF565">
        <v>0</v>
      </c>
      <c r="DG565">
        <v>0</v>
      </c>
      <c r="DH565">
        <v>0</v>
      </c>
      <c r="DI565">
        <v>0</v>
      </c>
      <c r="DJ565">
        <v>0</v>
      </c>
      <c r="DK565">
        <v>0</v>
      </c>
      <c r="DL565">
        <v>0</v>
      </c>
      <c r="DM565">
        <v>0</v>
      </c>
      <c r="DN565">
        <v>0</v>
      </c>
      <c r="DO565">
        <v>0</v>
      </c>
      <c r="DP565">
        <v>0</v>
      </c>
      <c r="DQ565">
        <v>0</v>
      </c>
      <c r="DR565">
        <v>0</v>
      </c>
      <c r="DS565">
        <v>0</v>
      </c>
      <c r="DT565">
        <v>0</v>
      </c>
      <c r="DU565">
        <v>0</v>
      </c>
    </row>
    <row r="566" spans="2:125">
      <c r="B566" s="136">
        <v>557</v>
      </c>
      <c r="C566" s="138">
        <v>1</v>
      </c>
      <c r="D566" s="474">
        <v>4373.347054825229</v>
      </c>
      <c r="E566" s="127">
        <v>248.85257825445112</v>
      </c>
      <c r="F566" s="447">
        <v>0.3976988333716644</v>
      </c>
      <c r="G566" s="127">
        <v>160.91682321925643</v>
      </c>
      <c r="H566" s="132">
        <v>61.813859298580979</v>
      </c>
      <c r="I566" s="456"/>
      <c r="J566" s="45"/>
      <c r="K566" s="45">
        <v>640</v>
      </c>
      <c r="L566" s="463"/>
      <c r="M566" s="456">
        <v>34.399723052978516</v>
      </c>
      <c r="N566" s="457"/>
      <c r="O566" s="456"/>
      <c r="P566" s="46"/>
      <c r="Q566" s="463">
        <v>86.592277526855469</v>
      </c>
      <c r="R566" s="449"/>
      <c r="S566" s="463"/>
      <c r="T566" s="480"/>
      <c r="U566" s="468"/>
      <c r="V566" s="449"/>
      <c r="W566" s="45">
        <v>1802.9447021484375</v>
      </c>
      <c r="X566" s="463">
        <v>148.88667297363281</v>
      </c>
      <c r="Y566" s="449"/>
      <c r="Z566" s="45"/>
      <c r="AA566" s="468">
        <v>0.39016364893413513</v>
      </c>
      <c r="AB566" s="456"/>
      <c r="AC566" s="46"/>
      <c r="AD566" s="46"/>
      <c r="AE566" s="46"/>
      <c r="AF566" s="46"/>
      <c r="AG566" s="46"/>
      <c r="AH566" s="46"/>
      <c r="AI566" s="457"/>
      <c r="AJ566" s="138"/>
      <c r="AK566" s="745"/>
      <c r="AL566" s="54"/>
      <c r="AM566" s="468"/>
      <c r="AN566" s="449"/>
      <c r="AO566" s="45"/>
      <c r="AP566" s="45"/>
      <c r="AQ566" s="45"/>
      <c r="AR566" s="45"/>
      <c r="AS566" s="45"/>
      <c r="AT566" s="45"/>
      <c r="AU566" s="463"/>
      <c r="AV566" s="449"/>
      <c r="AW566" s="45"/>
      <c r="AX566" s="45"/>
      <c r="AY566" s="45"/>
      <c r="AZ566" s="45"/>
      <c r="BA566" s="45"/>
      <c r="BB566" s="45"/>
      <c r="BC566" s="463"/>
      <c r="BD566" s="456"/>
      <c r="BE566" s="46"/>
      <c r="BF566" s="46"/>
      <c r="BG566" s="46"/>
      <c r="BH566" s="46"/>
      <c r="BI566" s="46"/>
      <c r="BJ566" s="457"/>
      <c r="BK566" s="449">
        <v>0</v>
      </c>
      <c r="BL566" s="45"/>
      <c r="BM566" s="45"/>
      <c r="BN566" s="45"/>
      <c r="BO566" s="45"/>
      <c r="BP566" s="45"/>
      <c r="BQ566" s="45"/>
      <c r="BR566" s="45"/>
      <c r="BS566" s="45"/>
      <c r="BT566" s="45"/>
      <c r="BU566" s="45"/>
      <c r="BV566" s="45"/>
      <c r="BW566" s="45"/>
      <c r="BX566" s="45"/>
      <c r="BY566" s="45"/>
      <c r="BZ566" s="45"/>
      <c r="CA566" s="45"/>
      <c r="CB566" s="45"/>
      <c r="CC566" s="45"/>
      <c r="CD566" s="463"/>
      <c r="CE566">
        <v>0</v>
      </c>
      <c r="CF566">
        <v>0</v>
      </c>
      <c r="CG566">
        <v>0</v>
      </c>
      <c r="CH566">
        <v>0</v>
      </c>
      <c r="CI566">
        <v>0</v>
      </c>
      <c r="CJ566">
        <v>0</v>
      </c>
      <c r="CK566">
        <v>0</v>
      </c>
      <c r="CL566">
        <v>0</v>
      </c>
      <c r="CM566">
        <v>0</v>
      </c>
      <c r="CN566">
        <v>0</v>
      </c>
      <c r="CO566">
        <v>0</v>
      </c>
      <c r="CP566">
        <v>0</v>
      </c>
      <c r="CQ566">
        <v>0</v>
      </c>
      <c r="CR566">
        <v>0</v>
      </c>
      <c r="CS566">
        <v>0</v>
      </c>
      <c r="CT566">
        <v>0</v>
      </c>
      <c r="CU566">
        <v>0</v>
      </c>
      <c r="CV566">
        <v>0</v>
      </c>
      <c r="CW566">
        <v>0</v>
      </c>
      <c r="CX566">
        <v>0</v>
      </c>
      <c r="CY566">
        <v>0</v>
      </c>
      <c r="CZ566">
        <v>0</v>
      </c>
      <c r="DA566">
        <v>0</v>
      </c>
      <c r="DB566">
        <v>0</v>
      </c>
      <c r="DC566">
        <v>0</v>
      </c>
      <c r="DD566">
        <v>0</v>
      </c>
      <c r="DE566">
        <v>0</v>
      </c>
      <c r="DF566">
        <v>0</v>
      </c>
      <c r="DG566">
        <v>0</v>
      </c>
      <c r="DH566">
        <v>0</v>
      </c>
      <c r="DI566">
        <v>0</v>
      </c>
      <c r="DJ566">
        <v>0</v>
      </c>
      <c r="DK566">
        <v>0</v>
      </c>
      <c r="DL566">
        <v>0</v>
      </c>
      <c r="DM566">
        <v>0</v>
      </c>
      <c r="DN566">
        <v>0</v>
      </c>
      <c r="DO566">
        <v>0</v>
      </c>
      <c r="DP566">
        <v>0</v>
      </c>
      <c r="DQ566">
        <v>0</v>
      </c>
      <c r="DR566">
        <v>0</v>
      </c>
      <c r="DS566">
        <v>0</v>
      </c>
      <c r="DT566">
        <v>0</v>
      </c>
      <c r="DU566">
        <v>0</v>
      </c>
    </row>
    <row r="567" spans="2:125">
      <c r="B567" s="136">
        <v>558</v>
      </c>
      <c r="C567" s="138">
        <v>1</v>
      </c>
      <c r="D567" s="474">
        <v>3575.3193072902932</v>
      </c>
      <c r="E567" s="127">
        <v>255.23585475015472</v>
      </c>
      <c r="F567" s="447">
        <v>0.37117084344892581</v>
      </c>
      <c r="G567" s="127">
        <v>114.50070959178124</v>
      </c>
      <c r="H567" s="132">
        <v>60.015658219108175</v>
      </c>
      <c r="I567" s="456"/>
      <c r="J567" s="45"/>
      <c r="K567" s="45">
        <v>480</v>
      </c>
      <c r="L567" s="463"/>
      <c r="M567" s="456">
        <v>27.735195159912109</v>
      </c>
      <c r="N567" s="457"/>
      <c r="O567" s="456"/>
      <c r="P567" s="46"/>
      <c r="Q567" s="463">
        <v>70.791328430175781</v>
      </c>
      <c r="R567" s="449"/>
      <c r="S567" s="463"/>
      <c r="T567" s="480"/>
      <c r="U567" s="468"/>
      <c r="V567" s="449"/>
      <c r="W567" s="45">
        <v>1291.5572509765625</v>
      </c>
      <c r="X567" s="463">
        <v>111.02981567382812</v>
      </c>
      <c r="Y567" s="449"/>
      <c r="Z567" s="45"/>
      <c r="AA567" s="468">
        <v>0.36210216619739605</v>
      </c>
      <c r="AB567" s="456"/>
      <c r="AC567" s="46"/>
      <c r="AD567" s="46"/>
      <c r="AE567" s="46"/>
      <c r="AF567" s="46"/>
      <c r="AG567" s="46"/>
      <c r="AH567" s="46"/>
      <c r="AI567" s="457"/>
      <c r="AJ567" s="138"/>
      <c r="AK567" s="745"/>
      <c r="AL567" s="54"/>
      <c r="AM567" s="468"/>
      <c r="AN567" s="449"/>
      <c r="AO567" s="45"/>
      <c r="AP567" s="45"/>
      <c r="AQ567" s="45"/>
      <c r="AR567" s="45"/>
      <c r="AS567" s="45"/>
      <c r="AT567" s="45"/>
      <c r="AU567" s="463"/>
      <c r="AV567" s="449"/>
      <c r="AW567" s="45"/>
      <c r="AX567" s="45"/>
      <c r="AY567" s="45"/>
      <c r="AZ567" s="45"/>
      <c r="BA567" s="45"/>
      <c r="BB567" s="45"/>
      <c r="BC567" s="463"/>
      <c r="BD567" s="456"/>
      <c r="BE567" s="46"/>
      <c r="BF567" s="46"/>
      <c r="BG567" s="46"/>
      <c r="BH567" s="46"/>
      <c r="BI567" s="46"/>
      <c r="BJ567" s="457"/>
      <c r="BK567" s="449">
        <v>0</v>
      </c>
      <c r="BL567" s="45"/>
      <c r="BM567" s="45"/>
      <c r="BN567" s="45"/>
      <c r="BO567" s="45"/>
      <c r="BP567" s="45"/>
      <c r="BQ567" s="45"/>
      <c r="BR567" s="45"/>
      <c r="BS567" s="45"/>
      <c r="BT567" s="45"/>
      <c r="BU567" s="45"/>
      <c r="BV567" s="45"/>
      <c r="BW567" s="45"/>
      <c r="BX567" s="45"/>
      <c r="BY567" s="45"/>
      <c r="BZ567" s="45"/>
      <c r="CA567" s="45"/>
      <c r="CB567" s="45"/>
      <c r="CC567" s="45"/>
      <c r="CD567" s="463"/>
      <c r="CE567">
        <v>0</v>
      </c>
      <c r="CF567">
        <v>0</v>
      </c>
      <c r="CG567">
        <v>0</v>
      </c>
      <c r="CH567">
        <v>0</v>
      </c>
      <c r="CI567">
        <v>0</v>
      </c>
      <c r="CJ567">
        <v>0</v>
      </c>
      <c r="CK567">
        <v>0</v>
      </c>
      <c r="CL567">
        <v>0</v>
      </c>
      <c r="CM567">
        <v>0</v>
      </c>
      <c r="CN567">
        <v>0</v>
      </c>
      <c r="CO567">
        <v>0</v>
      </c>
      <c r="CP567">
        <v>0</v>
      </c>
      <c r="CQ567">
        <v>0</v>
      </c>
      <c r="CR567">
        <v>0</v>
      </c>
      <c r="CS567">
        <v>0</v>
      </c>
      <c r="CT567">
        <v>0</v>
      </c>
      <c r="CU567">
        <v>0</v>
      </c>
      <c r="CV567">
        <v>0</v>
      </c>
      <c r="CW567">
        <v>0</v>
      </c>
      <c r="CX567">
        <v>0</v>
      </c>
      <c r="CY567">
        <v>0</v>
      </c>
      <c r="CZ567">
        <v>0</v>
      </c>
      <c r="DA567">
        <v>0</v>
      </c>
      <c r="DB567">
        <v>0</v>
      </c>
      <c r="DC567">
        <v>0</v>
      </c>
      <c r="DD567">
        <v>0</v>
      </c>
      <c r="DE567">
        <v>0</v>
      </c>
      <c r="DF567">
        <v>0</v>
      </c>
      <c r="DG567">
        <v>0</v>
      </c>
      <c r="DH567">
        <v>0</v>
      </c>
      <c r="DI567">
        <v>0</v>
      </c>
      <c r="DJ567">
        <v>0</v>
      </c>
      <c r="DK567">
        <v>0</v>
      </c>
      <c r="DL567">
        <v>0</v>
      </c>
      <c r="DM567">
        <v>0</v>
      </c>
      <c r="DN567">
        <v>0</v>
      </c>
      <c r="DO567">
        <v>0</v>
      </c>
      <c r="DP567">
        <v>0</v>
      </c>
      <c r="DQ567">
        <v>0</v>
      </c>
      <c r="DR567">
        <v>0</v>
      </c>
      <c r="DS567">
        <v>0</v>
      </c>
      <c r="DT567">
        <v>0</v>
      </c>
      <c r="DU567">
        <v>0</v>
      </c>
    </row>
    <row r="568" spans="2:125">
      <c r="B568" s="136">
        <v>559</v>
      </c>
      <c r="C568" s="138">
        <v>1</v>
      </c>
      <c r="D568" s="474">
        <v>4175.5488294438246</v>
      </c>
      <c r="E568" s="127">
        <v>292.28447488047692</v>
      </c>
      <c r="F568" s="447">
        <v>0.37500018719426259</v>
      </c>
      <c r="G568" s="127">
        <v>158.02026796514312</v>
      </c>
      <c r="H568" s="132">
        <v>59.469537860296029</v>
      </c>
      <c r="I568" s="456"/>
      <c r="J568" s="45"/>
      <c r="K568" s="45">
        <v>620</v>
      </c>
      <c r="L568" s="463"/>
      <c r="M568" s="456">
        <v>31.569025039672852</v>
      </c>
      <c r="N568" s="457"/>
      <c r="O568" s="456"/>
      <c r="P568" s="46"/>
      <c r="Q568" s="463">
        <v>82.675865173339844</v>
      </c>
      <c r="R568" s="449"/>
      <c r="S568" s="463"/>
      <c r="T568" s="480"/>
      <c r="U568" s="468"/>
      <c r="V568" s="449"/>
      <c r="W568" s="45">
        <v>1626.4849853515625</v>
      </c>
      <c r="X568" s="463">
        <v>135.95655822753906</v>
      </c>
      <c r="Y568" s="449"/>
      <c r="Z568" s="45"/>
      <c r="AA568" s="468">
        <v>0.36721677833679417</v>
      </c>
      <c r="AB568" s="456"/>
      <c r="AC568" s="46"/>
      <c r="AD568" s="46"/>
      <c r="AE568" s="46"/>
      <c r="AF568" s="46"/>
      <c r="AG568" s="46"/>
      <c r="AH568" s="46"/>
      <c r="AI568" s="457"/>
      <c r="AJ568" s="138"/>
      <c r="AK568" s="745"/>
      <c r="AL568" s="54"/>
      <c r="AM568" s="468"/>
      <c r="AN568" s="449"/>
      <c r="AO568" s="45"/>
      <c r="AP568" s="45"/>
      <c r="AQ568" s="45"/>
      <c r="AR568" s="45"/>
      <c r="AS568" s="45"/>
      <c r="AT568" s="45"/>
      <c r="AU568" s="463"/>
      <c r="AV568" s="449"/>
      <c r="AW568" s="45"/>
      <c r="AX568" s="45"/>
      <c r="AY568" s="45"/>
      <c r="AZ568" s="45"/>
      <c r="BA568" s="45"/>
      <c r="BB568" s="45"/>
      <c r="BC568" s="463"/>
      <c r="BD568" s="456"/>
      <c r="BE568" s="46"/>
      <c r="BF568" s="46"/>
      <c r="BG568" s="46"/>
      <c r="BH568" s="46"/>
      <c r="BI568" s="46"/>
      <c r="BJ568" s="457"/>
      <c r="BK568" s="449">
        <v>0</v>
      </c>
      <c r="BL568" s="45"/>
      <c r="BM568" s="45"/>
      <c r="BN568" s="45"/>
      <c r="BO568" s="45"/>
      <c r="BP568" s="45"/>
      <c r="BQ568" s="45"/>
      <c r="BR568" s="45"/>
      <c r="BS568" s="45"/>
      <c r="BT568" s="45"/>
      <c r="BU568" s="45"/>
      <c r="BV568" s="45"/>
      <c r="BW568" s="45"/>
      <c r="BX568" s="45"/>
      <c r="BY568" s="45"/>
      <c r="BZ568" s="45"/>
      <c r="CA568" s="45"/>
      <c r="CB568" s="45"/>
      <c r="CC568" s="45"/>
      <c r="CD568" s="463"/>
      <c r="CE568">
        <v>0</v>
      </c>
      <c r="CF568">
        <v>0</v>
      </c>
      <c r="CG568">
        <v>0</v>
      </c>
      <c r="CH568">
        <v>0</v>
      </c>
      <c r="CI568">
        <v>0</v>
      </c>
      <c r="CJ568">
        <v>0</v>
      </c>
      <c r="CK568">
        <v>0</v>
      </c>
      <c r="CL568">
        <v>0</v>
      </c>
      <c r="CM568">
        <v>0</v>
      </c>
      <c r="CN568">
        <v>0</v>
      </c>
      <c r="CO568">
        <v>0</v>
      </c>
      <c r="CP568">
        <v>0</v>
      </c>
      <c r="CQ568">
        <v>0</v>
      </c>
      <c r="CR568">
        <v>0</v>
      </c>
      <c r="CS568">
        <v>0</v>
      </c>
      <c r="CT568">
        <v>0</v>
      </c>
      <c r="CU568">
        <v>0</v>
      </c>
      <c r="CV568">
        <v>0</v>
      </c>
      <c r="CW568">
        <v>0</v>
      </c>
      <c r="CX568">
        <v>0</v>
      </c>
      <c r="CY568">
        <v>0</v>
      </c>
      <c r="CZ568">
        <v>0</v>
      </c>
      <c r="DA568">
        <v>0</v>
      </c>
      <c r="DB568">
        <v>0</v>
      </c>
      <c r="DC568">
        <v>0</v>
      </c>
      <c r="DD568">
        <v>0</v>
      </c>
      <c r="DE568">
        <v>0</v>
      </c>
      <c r="DF568">
        <v>0</v>
      </c>
      <c r="DG568">
        <v>0</v>
      </c>
      <c r="DH568">
        <v>0</v>
      </c>
      <c r="DI568">
        <v>0</v>
      </c>
      <c r="DJ568">
        <v>0</v>
      </c>
      <c r="DK568">
        <v>0</v>
      </c>
      <c r="DL568">
        <v>0</v>
      </c>
      <c r="DM568">
        <v>0</v>
      </c>
      <c r="DN568">
        <v>0</v>
      </c>
      <c r="DO568">
        <v>0</v>
      </c>
      <c r="DP568">
        <v>0</v>
      </c>
      <c r="DQ568">
        <v>0</v>
      </c>
      <c r="DR568">
        <v>0</v>
      </c>
      <c r="DS568">
        <v>0</v>
      </c>
      <c r="DT568">
        <v>0</v>
      </c>
      <c r="DU568">
        <v>0</v>
      </c>
    </row>
    <row r="569" spans="2:125">
      <c r="B569" s="136">
        <v>560</v>
      </c>
      <c r="C569" s="138">
        <v>1</v>
      </c>
      <c r="D569" s="474">
        <v>2711.076792223917</v>
      </c>
      <c r="E569" s="127">
        <v>247.74878903752955</v>
      </c>
      <c r="F569" s="447">
        <v>0.50362621158267717</v>
      </c>
      <c r="G569" s="127">
        <v>89.065068110682589</v>
      </c>
      <c r="H569" s="132">
        <v>51.195977227211152</v>
      </c>
      <c r="I569" s="456"/>
      <c r="J569" s="45"/>
      <c r="K569" s="45">
        <v>390</v>
      </c>
      <c r="L569" s="463"/>
      <c r="M569" s="456">
        <v>47.50421142578125</v>
      </c>
      <c r="N569" s="457"/>
      <c r="O569" s="456"/>
      <c r="P569" s="46"/>
      <c r="Q569" s="463">
        <v>53.679325103759766</v>
      </c>
      <c r="R569" s="449"/>
      <c r="S569" s="463"/>
      <c r="T569" s="480"/>
      <c r="U569" s="468"/>
      <c r="V569" s="449"/>
      <c r="W569" s="45">
        <v>1765.0894775390625</v>
      </c>
      <c r="X569" s="463">
        <v>145.08059692382812</v>
      </c>
      <c r="Y569" s="449"/>
      <c r="Z569" s="45"/>
      <c r="AA569" s="468">
        <v>0.49068946101469224</v>
      </c>
      <c r="AB569" s="456"/>
      <c r="AC569" s="46"/>
      <c r="AD569" s="46"/>
      <c r="AE569" s="46"/>
      <c r="AF569" s="46"/>
      <c r="AG569" s="46"/>
      <c r="AH569" s="46"/>
      <c r="AI569" s="457"/>
      <c r="AJ569" s="138"/>
      <c r="AK569" s="745"/>
      <c r="AL569" s="54"/>
      <c r="AM569" s="468"/>
      <c r="AN569" s="449"/>
      <c r="AO569" s="45"/>
      <c r="AP569" s="45"/>
      <c r="AQ569" s="45"/>
      <c r="AR569" s="45"/>
      <c r="AS569" s="45"/>
      <c r="AT569" s="45"/>
      <c r="AU569" s="463"/>
      <c r="AV569" s="449"/>
      <c r="AW569" s="45"/>
      <c r="AX569" s="45"/>
      <c r="AY569" s="45"/>
      <c r="AZ569" s="45"/>
      <c r="BA569" s="45"/>
      <c r="BB569" s="45"/>
      <c r="BC569" s="463"/>
      <c r="BD569" s="456"/>
      <c r="BE569" s="46"/>
      <c r="BF569" s="46"/>
      <c r="BG569" s="46"/>
      <c r="BH569" s="46"/>
      <c r="BI569" s="46"/>
      <c r="BJ569" s="457"/>
      <c r="BK569" s="449">
        <v>0</v>
      </c>
      <c r="BL569" s="45"/>
      <c r="BM569" s="45"/>
      <c r="BN569" s="45"/>
      <c r="BO569" s="45"/>
      <c r="BP569" s="45"/>
      <c r="BQ569" s="45"/>
      <c r="BR569" s="45"/>
      <c r="BS569" s="45"/>
      <c r="BT569" s="45"/>
      <c r="BU569" s="45"/>
      <c r="BV569" s="45"/>
      <c r="BW569" s="45"/>
      <c r="BX569" s="45"/>
      <c r="BY569" s="45"/>
      <c r="BZ569" s="45"/>
      <c r="CA569" s="45"/>
      <c r="CB569" s="45"/>
      <c r="CC569" s="45"/>
      <c r="CD569" s="463"/>
      <c r="CE569">
        <v>0</v>
      </c>
      <c r="CF569">
        <v>0</v>
      </c>
      <c r="CG569">
        <v>0</v>
      </c>
      <c r="CH569">
        <v>0</v>
      </c>
      <c r="CI569">
        <v>0</v>
      </c>
      <c r="CJ569">
        <v>0</v>
      </c>
      <c r="CK569">
        <v>0</v>
      </c>
      <c r="CL569">
        <v>0</v>
      </c>
      <c r="CM569">
        <v>0</v>
      </c>
      <c r="CN569">
        <v>0</v>
      </c>
      <c r="CO569">
        <v>0</v>
      </c>
      <c r="CP569">
        <v>0</v>
      </c>
      <c r="CQ569">
        <v>0</v>
      </c>
      <c r="CR569">
        <v>0</v>
      </c>
      <c r="CS569">
        <v>0</v>
      </c>
      <c r="CT569">
        <v>0</v>
      </c>
      <c r="CU569">
        <v>0</v>
      </c>
      <c r="CV569">
        <v>0</v>
      </c>
      <c r="CW569">
        <v>0</v>
      </c>
      <c r="CX569">
        <v>0</v>
      </c>
      <c r="CY569">
        <v>0</v>
      </c>
      <c r="CZ569">
        <v>0</v>
      </c>
      <c r="DA569">
        <v>0</v>
      </c>
      <c r="DB569">
        <v>0</v>
      </c>
      <c r="DC569">
        <v>0</v>
      </c>
      <c r="DD569">
        <v>0</v>
      </c>
      <c r="DE569">
        <v>0</v>
      </c>
      <c r="DF569">
        <v>0</v>
      </c>
      <c r="DG569">
        <v>0</v>
      </c>
      <c r="DH569">
        <v>0</v>
      </c>
      <c r="DI569">
        <v>0</v>
      </c>
      <c r="DJ569">
        <v>0</v>
      </c>
      <c r="DK569">
        <v>0</v>
      </c>
      <c r="DL569">
        <v>0</v>
      </c>
      <c r="DM569">
        <v>0</v>
      </c>
      <c r="DN569">
        <v>0</v>
      </c>
      <c r="DO569">
        <v>0</v>
      </c>
      <c r="DP569">
        <v>0</v>
      </c>
      <c r="DQ569">
        <v>0</v>
      </c>
      <c r="DR569">
        <v>0</v>
      </c>
      <c r="DS569">
        <v>0</v>
      </c>
      <c r="DT569">
        <v>0</v>
      </c>
      <c r="DU569">
        <v>0</v>
      </c>
    </row>
    <row r="570" spans="2:125">
      <c r="B570" s="136">
        <v>561</v>
      </c>
      <c r="C570" s="138">
        <v>1</v>
      </c>
      <c r="D570" s="474">
        <v>2635.7063971332509</v>
      </c>
      <c r="E570" s="127">
        <v>240.2323302722956</v>
      </c>
      <c r="F570" s="447">
        <v>0.43947109344864266</v>
      </c>
      <c r="G570" s="127">
        <v>96.548992102291436</v>
      </c>
      <c r="H570" s="132">
        <v>46.947413989512434</v>
      </c>
      <c r="I570" s="456"/>
      <c r="J570" s="45"/>
      <c r="K570" s="45">
        <v>390</v>
      </c>
      <c r="L570" s="463"/>
      <c r="M570" s="456">
        <v>36.596542358398437</v>
      </c>
      <c r="N570" s="457"/>
      <c r="O570" s="456"/>
      <c r="P570" s="46"/>
      <c r="Q570" s="463">
        <v>52.186985015869141</v>
      </c>
      <c r="R570" s="449"/>
      <c r="S570" s="463"/>
      <c r="T570" s="480"/>
      <c r="U570" s="468"/>
      <c r="V570" s="449"/>
      <c r="W570" s="45">
        <v>1355.1090087890625</v>
      </c>
      <c r="X570" s="463">
        <v>115.27607727050781</v>
      </c>
      <c r="Y570" s="449"/>
      <c r="Z570" s="45"/>
      <c r="AA570" s="468">
        <v>0.42665122022386914</v>
      </c>
      <c r="AB570" s="456"/>
      <c r="AC570" s="46"/>
      <c r="AD570" s="46"/>
      <c r="AE570" s="46"/>
      <c r="AF570" s="46"/>
      <c r="AG570" s="46"/>
      <c r="AH570" s="46"/>
      <c r="AI570" s="457"/>
      <c r="AJ570" s="138"/>
      <c r="AK570" s="745"/>
      <c r="AL570" s="54"/>
      <c r="AM570" s="468"/>
      <c r="AN570" s="449"/>
      <c r="AO570" s="45"/>
      <c r="AP570" s="45"/>
      <c r="AQ570" s="45"/>
      <c r="AR570" s="45"/>
      <c r="AS570" s="45"/>
      <c r="AT570" s="45"/>
      <c r="AU570" s="463"/>
      <c r="AV570" s="449"/>
      <c r="AW570" s="45"/>
      <c r="AX570" s="45"/>
      <c r="AY570" s="45"/>
      <c r="AZ570" s="45"/>
      <c r="BA570" s="45"/>
      <c r="BB570" s="45"/>
      <c r="BC570" s="463"/>
      <c r="BD570" s="456"/>
      <c r="BE570" s="46"/>
      <c r="BF570" s="46"/>
      <c r="BG570" s="46"/>
      <c r="BH570" s="46"/>
      <c r="BI570" s="46"/>
      <c r="BJ570" s="457"/>
      <c r="BK570" s="449">
        <v>0</v>
      </c>
      <c r="BL570" s="45"/>
      <c r="BM570" s="45"/>
      <c r="BN570" s="45"/>
      <c r="BO570" s="45"/>
      <c r="BP570" s="45"/>
      <c r="BQ570" s="45"/>
      <c r="BR570" s="45"/>
      <c r="BS570" s="45"/>
      <c r="BT570" s="45"/>
      <c r="BU570" s="45"/>
      <c r="BV570" s="45"/>
      <c r="BW570" s="45"/>
      <c r="BX570" s="45"/>
      <c r="BY570" s="45"/>
      <c r="BZ570" s="45"/>
      <c r="CA570" s="45"/>
      <c r="CB570" s="45"/>
      <c r="CC570" s="45"/>
      <c r="CD570" s="463"/>
      <c r="CE570">
        <v>0</v>
      </c>
      <c r="CF570">
        <v>0</v>
      </c>
      <c r="CG570">
        <v>0</v>
      </c>
      <c r="CH570">
        <v>0</v>
      </c>
      <c r="CI570">
        <v>0</v>
      </c>
      <c r="CJ570">
        <v>0</v>
      </c>
      <c r="CK570">
        <v>0</v>
      </c>
      <c r="CL570">
        <v>0</v>
      </c>
      <c r="CM570">
        <v>0</v>
      </c>
      <c r="CN570">
        <v>0</v>
      </c>
      <c r="CO570">
        <v>0</v>
      </c>
      <c r="CP570">
        <v>0</v>
      </c>
      <c r="CQ570">
        <v>0</v>
      </c>
      <c r="CR570">
        <v>0</v>
      </c>
      <c r="CS570">
        <v>0</v>
      </c>
      <c r="CT570">
        <v>0</v>
      </c>
      <c r="CU570">
        <v>0</v>
      </c>
      <c r="CV570">
        <v>0</v>
      </c>
      <c r="CW570">
        <v>0</v>
      </c>
      <c r="CX570">
        <v>0</v>
      </c>
      <c r="CY570">
        <v>0</v>
      </c>
      <c r="CZ570">
        <v>0</v>
      </c>
      <c r="DA570">
        <v>0</v>
      </c>
      <c r="DB570">
        <v>0</v>
      </c>
      <c r="DC570">
        <v>0</v>
      </c>
      <c r="DD570">
        <v>0</v>
      </c>
      <c r="DE570">
        <v>0</v>
      </c>
      <c r="DF570">
        <v>0</v>
      </c>
      <c r="DG570">
        <v>0</v>
      </c>
      <c r="DH570">
        <v>0</v>
      </c>
      <c r="DI570">
        <v>0</v>
      </c>
      <c r="DJ570">
        <v>0</v>
      </c>
      <c r="DK570">
        <v>0</v>
      </c>
      <c r="DL570">
        <v>0</v>
      </c>
      <c r="DM570">
        <v>0</v>
      </c>
      <c r="DN570">
        <v>0</v>
      </c>
      <c r="DO570">
        <v>0</v>
      </c>
      <c r="DP570">
        <v>0</v>
      </c>
      <c r="DQ570">
        <v>0</v>
      </c>
      <c r="DR570">
        <v>0</v>
      </c>
      <c r="DS570">
        <v>0</v>
      </c>
      <c r="DT570">
        <v>0</v>
      </c>
      <c r="DU570">
        <v>0</v>
      </c>
    </row>
    <row r="571" spans="2:125">
      <c r="B571" s="136">
        <v>562</v>
      </c>
      <c r="C571" s="138">
        <v>1</v>
      </c>
      <c r="D571" s="474">
        <v>2666.803168492539</v>
      </c>
      <c r="E571" s="127">
        <v>256.86182735917305</v>
      </c>
      <c r="F571" s="447">
        <v>0.42295107232997714</v>
      </c>
      <c r="G571" s="127">
        <v>95.180871753247814</v>
      </c>
      <c r="H571" s="132">
        <v>48.19851245503758</v>
      </c>
      <c r="I571" s="456"/>
      <c r="J571" s="45"/>
      <c r="K571" s="45">
        <v>390</v>
      </c>
      <c r="L571" s="463"/>
      <c r="M571" s="456">
        <v>34.131111145019531</v>
      </c>
      <c r="N571" s="457"/>
      <c r="O571" s="456"/>
      <c r="P571" s="46"/>
      <c r="Q571" s="463">
        <v>52.802703857421875</v>
      </c>
      <c r="R571" s="449"/>
      <c r="S571" s="463"/>
      <c r="T571" s="480"/>
      <c r="U571" s="468"/>
      <c r="V571" s="449"/>
      <c r="W571" s="45">
        <v>1274.4049072265625</v>
      </c>
      <c r="X571" s="463">
        <v>109.40260314941406</v>
      </c>
      <c r="Y571" s="449"/>
      <c r="Z571" s="45"/>
      <c r="AA571" s="468">
        <v>0.4104045815195913</v>
      </c>
      <c r="AB571" s="456"/>
      <c r="AC571" s="46"/>
      <c r="AD571" s="46"/>
      <c r="AE571" s="46"/>
      <c r="AF571" s="46"/>
      <c r="AG571" s="46"/>
      <c r="AH571" s="46"/>
      <c r="AI571" s="457"/>
      <c r="AJ571" s="138"/>
      <c r="AK571" s="745"/>
      <c r="AL571" s="54"/>
      <c r="AM571" s="468"/>
      <c r="AN571" s="449"/>
      <c r="AO571" s="45"/>
      <c r="AP571" s="45"/>
      <c r="AQ571" s="45"/>
      <c r="AR571" s="45"/>
      <c r="AS571" s="45"/>
      <c r="AT571" s="45"/>
      <c r="AU571" s="463"/>
      <c r="AV571" s="449"/>
      <c r="AW571" s="45"/>
      <c r="AX571" s="45"/>
      <c r="AY571" s="45"/>
      <c r="AZ571" s="45"/>
      <c r="BA571" s="45"/>
      <c r="BB571" s="45"/>
      <c r="BC571" s="463"/>
      <c r="BD571" s="456"/>
      <c r="BE571" s="46"/>
      <c r="BF571" s="46"/>
      <c r="BG571" s="46"/>
      <c r="BH571" s="46"/>
      <c r="BI571" s="46"/>
      <c r="BJ571" s="457"/>
      <c r="BK571" s="449">
        <v>0</v>
      </c>
      <c r="BL571" s="45"/>
      <c r="BM571" s="45"/>
      <c r="BN571" s="45"/>
      <c r="BO571" s="45"/>
      <c r="BP571" s="45"/>
      <c r="BQ571" s="45"/>
      <c r="BR571" s="45"/>
      <c r="BS571" s="45"/>
      <c r="BT571" s="45"/>
      <c r="BU571" s="45"/>
      <c r="BV571" s="45"/>
      <c r="BW571" s="45"/>
      <c r="BX571" s="45"/>
      <c r="BY571" s="45"/>
      <c r="BZ571" s="45"/>
      <c r="CA571" s="45"/>
      <c r="CB571" s="45"/>
      <c r="CC571" s="45"/>
      <c r="CD571" s="463"/>
      <c r="CE571">
        <v>0</v>
      </c>
      <c r="CF571">
        <v>0</v>
      </c>
      <c r="CG571">
        <v>0</v>
      </c>
      <c r="CH571">
        <v>0</v>
      </c>
      <c r="CI571">
        <v>0</v>
      </c>
      <c r="CJ571">
        <v>0</v>
      </c>
      <c r="CK571">
        <v>0</v>
      </c>
      <c r="CL571">
        <v>0</v>
      </c>
      <c r="CM571">
        <v>0</v>
      </c>
      <c r="CN571">
        <v>0</v>
      </c>
      <c r="CO571">
        <v>0</v>
      </c>
      <c r="CP571">
        <v>0</v>
      </c>
      <c r="CQ571">
        <v>0</v>
      </c>
      <c r="CR571">
        <v>0</v>
      </c>
      <c r="CS571">
        <v>0</v>
      </c>
      <c r="CT571">
        <v>0</v>
      </c>
      <c r="CU571">
        <v>0</v>
      </c>
      <c r="CV571">
        <v>0</v>
      </c>
      <c r="CW571">
        <v>0</v>
      </c>
      <c r="CX571">
        <v>0</v>
      </c>
      <c r="CY571">
        <v>0</v>
      </c>
      <c r="CZ571">
        <v>0</v>
      </c>
      <c r="DA571">
        <v>0</v>
      </c>
      <c r="DB571">
        <v>0</v>
      </c>
      <c r="DC571">
        <v>0</v>
      </c>
      <c r="DD571">
        <v>0</v>
      </c>
      <c r="DE571">
        <v>0</v>
      </c>
      <c r="DF571">
        <v>0</v>
      </c>
      <c r="DG571">
        <v>0</v>
      </c>
      <c r="DH571">
        <v>0</v>
      </c>
      <c r="DI571">
        <v>0</v>
      </c>
      <c r="DJ571">
        <v>0</v>
      </c>
      <c r="DK571">
        <v>0</v>
      </c>
      <c r="DL571">
        <v>0</v>
      </c>
      <c r="DM571">
        <v>0</v>
      </c>
      <c r="DN571">
        <v>0</v>
      </c>
      <c r="DO571">
        <v>0</v>
      </c>
      <c r="DP571">
        <v>0</v>
      </c>
      <c r="DQ571">
        <v>0</v>
      </c>
      <c r="DR571">
        <v>0</v>
      </c>
      <c r="DS571">
        <v>0</v>
      </c>
      <c r="DT571">
        <v>0</v>
      </c>
      <c r="DU571">
        <v>0</v>
      </c>
    </row>
    <row r="572" spans="2:125">
      <c r="B572" s="136">
        <v>563</v>
      </c>
      <c r="C572" s="138">
        <v>1</v>
      </c>
      <c r="D572" s="474">
        <v>2573.2646091164561</v>
      </c>
      <c r="E572" s="127">
        <v>226.59792745785606</v>
      </c>
      <c r="F572" s="447">
        <v>0.45120557438437714</v>
      </c>
      <c r="G572" s="127">
        <v>79.640415439636655</v>
      </c>
      <c r="H572" s="132">
        <v>58.955195462533901</v>
      </c>
      <c r="I572" s="456"/>
      <c r="J572" s="45"/>
      <c r="K572" s="45">
        <v>380</v>
      </c>
      <c r="L572" s="463"/>
      <c r="M572" s="456">
        <v>33.528846740722656</v>
      </c>
      <c r="N572" s="457"/>
      <c r="O572" s="456"/>
      <c r="P572" s="46"/>
      <c r="Q572" s="463">
        <v>59.373825073242188</v>
      </c>
      <c r="R572" s="449"/>
      <c r="S572" s="463"/>
      <c r="T572" s="480"/>
      <c r="U572" s="468"/>
      <c r="V572" s="449"/>
      <c r="W572" s="45">
        <v>1352.3109130859375</v>
      </c>
      <c r="X572" s="463">
        <v>115.01183319091797</v>
      </c>
      <c r="Y572" s="449"/>
      <c r="Z572" s="45"/>
      <c r="AA572" s="468">
        <v>0.4379834162871693</v>
      </c>
      <c r="AB572" s="456"/>
      <c r="AC572" s="46"/>
      <c r="AD572" s="46"/>
      <c r="AE572" s="46"/>
      <c r="AF572" s="46"/>
      <c r="AG572" s="46"/>
      <c r="AH572" s="46"/>
      <c r="AI572" s="457"/>
      <c r="AJ572" s="138"/>
      <c r="AK572" s="745"/>
      <c r="AL572" s="54"/>
      <c r="AM572" s="468"/>
      <c r="AN572" s="449"/>
      <c r="AO572" s="45"/>
      <c r="AP572" s="45"/>
      <c r="AQ572" s="45"/>
      <c r="AR572" s="45"/>
      <c r="AS572" s="45"/>
      <c r="AT572" s="45"/>
      <c r="AU572" s="463"/>
      <c r="AV572" s="449"/>
      <c r="AW572" s="45"/>
      <c r="AX572" s="45"/>
      <c r="AY572" s="45"/>
      <c r="AZ572" s="45"/>
      <c r="BA572" s="45"/>
      <c r="BB572" s="45"/>
      <c r="BC572" s="463"/>
      <c r="BD572" s="456"/>
      <c r="BE572" s="46"/>
      <c r="BF572" s="46"/>
      <c r="BG572" s="46"/>
      <c r="BH572" s="46"/>
      <c r="BI572" s="46"/>
      <c r="BJ572" s="457"/>
      <c r="BK572" s="449">
        <v>0</v>
      </c>
      <c r="BL572" s="45"/>
      <c r="BM572" s="45"/>
      <c r="BN572" s="45"/>
      <c r="BO572" s="45"/>
      <c r="BP572" s="45"/>
      <c r="BQ572" s="45"/>
      <c r="BR572" s="45"/>
      <c r="BS572" s="45"/>
      <c r="BT572" s="45"/>
      <c r="BU572" s="45"/>
      <c r="BV572" s="45"/>
      <c r="BW572" s="45"/>
      <c r="BX572" s="45"/>
      <c r="BY572" s="45"/>
      <c r="BZ572" s="45"/>
      <c r="CA572" s="45"/>
      <c r="CB572" s="45"/>
      <c r="CC572" s="45"/>
      <c r="CD572" s="463"/>
      <c r="CE572">
        <v>0</v>
      </c>
      <c r="CF572">
        <v>0</v>
      </c>
      <c r="CG572">
        <v>0</v>
      </c>
      <c r="CH572">
        <v>0</v>
      </c>
      <c r="CI572">
        <v>0</v>
      </c>
      <c r="CJ572">
        <v>0</v>
      </c>
      <c r="CK572">
        <v>0</v>
      </c>
      <c r="CL572">
        <v>0</v>
      </c>
      <c r="CM572">
        <v>0</v>
      </c>
      <c r="CN572">
        <v>0</v>
      </c>
      <c r="CO572">
        <v>0</v>
      </c>
      <c r="CP572">
        <v>0</v>
      </c>
      <c r="CQ572">
        <v>0</v>
      </c>
      <c r="CR572">
        <v>0</v>
      </c>
      <c r="CS572">
        <v>0</v>
      </c>
      <c r="CT572">
        <v>0</v>
      </c>
      <c r="CU572">
        <v>0</v>
      </c>
      <c r="CV572">
        <v>0</v>
      </c>
      <c r="CW572">
        <v>0</v>
      </c>
      <c r="CX572">
        <v>0</v>
      </c>
      <c r="CY572">
        <v>0</v>
      </c>
      <c r="CZ572">
        <v>0</v>
      </c>
      <c r="DA572">
        <v>0</v>
      </c>
      <c r="DB572">
        <v>0</v>
      </c>
      <c r="DC572">
        <v>0</v>
      </c>
      <c r="DD572">
        <v>0</v>
      </c>
      <c r="DE572">
        <v>0</v>
      </c>
      <c r="DF572">
        <v>0</v>
      </c>
      <c r="DG572">
        <v>0</v>
      </c>
      <c r="DH572">
        <v>0</v>
      </c>
      <c r="DI572">
        <v>0</v>
      </c>
      <c r="DJ572">
        <v>0</v>
      </c>
      <c r="DK572">
        <v>0</v>
      </c>
      <c r="DL572">
        <v>0</v>
      </c>
      <c r="DM572">
        <v>0</v>
      </c>
      <c r="DN572">
        <v>0</v>
      </c>
      <c r="DO572">
        <v>0</v>
      </c>
      <c r="DP572">
        <v>0</v>
      </c>
      <c r="DQ572">
        <v>0</v>
      </c>
      <c r="DR572">
        <v>0</v>
      </c>
      <c r="DS572">
        <v>0</v>
      </c>
      <c r="DT572">
        <v>0</v>
      </c>
      <c r="DU572">
        <v>0</v>
      </c>
    </row>
    <row r="573" spans="2:125">
      <c r="B573" s="136">
        <v>564</v>
      </c>
      <c r="C573" s="138">
        <v>1</v>
      </c>
      <c r="D573" s="474">
        <v>3710.3846984121869</v>
      </c>
      <c r="E573" s="127">
        <v>252.44536141286702</v>
      </c>
      <c r="F573" s="447">
        <v>0.4423782273901582</v>
      </c>
      <c r="G573" s="127">
        <v>133.9720931492179</v>
      </c>
      <c r="H573" s="132">
        <v>57.624739849003369</v>
      </c>
      <c r="I573" s="456"/>
      <c r="J573" s="45"/>
      <c r="K573" s="45">
        <v>540</v>
      </c>
      <c r="L573" s="463"/>
      <c r="M573" s="456">
        <v>39.399833679199219</v>
      </c>
      <c r="N573" s="457"/>
      <c r="O573" s="456"/>
      <c r="P573" s="46"/>
      <c r="Q573" s="463">
        <v>73.465621948242188</v>
      </c>
      <c r="R573" s="449"/>
      <c r="S573" s="463"/>
      <c r="T573" s="480"/>
      <c r="U573" s="468"/>
      <c r="V573" s="449"/>
      <c r="W573" s="45">
        <v>1829.089111328125</v>
      </c>
      <c r="X573" s="463">
        <v>150.38665771484375</v>
      </c>
      <c r="Y573" s="449"/>
      <c r="Z573" s="45"/>
      <c r="AA573" s="468">
        <v>0.43325584054916899</v>
      </c>
      <c r="AB573" s="456"/>
      <c r="AC573" s="46"/>
      <c r="AD573" s="46"/>
      <c r="AE573" s="46"/>
      <c r="AF573" s="46"/>
      <c r="AG573" s="46"/>
      <c r="AH573" s="46"/>
      <c r="AI573" s="457"/>
      <c r="AJ573" s="138"/>
      <c r="AK573" s="745"/>
      <c r="AL573" s="54"/>
      <c r="AM573" s="468"/>
      <c r="AN573" s="449"/>
      <c r="AO573" s="45"/>
      <c r="AP573" s="45"/>
      <c r="AQ573" s="45"/>
      <c r="AR573" s="45"/>
      <c r="AS573" s="45"/>
      <c r="AT573" s="45"/>
      <c r="AU573" s="463"/>
      <c r="AV573" s="449"/>
      <c r="AW573" s="45"/>
      <c r="AX573" s="45"/>
      <c r="AY573" s="45"/>
      <c r="AZ573" s="45"/>
      <c r="BA573" s="45"/>
      <c r="BB573" s="45"/>
      <c r="BC573" s="463"/>
      <c r="BD573" s="456"/>
      <c r="BE573" s="46"/>
      <c r="BF573" s="46"/>
      <c r="BG573" s="46"/>
      <c r="BH573" s="46"/>
      <c r="BI573" s="46"/>
      <c r="BJ573" s="457"/>
      <c r="BK573" s="449">
        <v>0</v>
      </c>
      <c r="BL573" s="45"/>
      <c r="BM573" s="45"/>
      <c r="BN573" s="45"/>
      <c r="BO573" s="45"/>
      <c r="BP573" s="45"/>
      <c r="BQ573" s="45"/>
      <c r="BR573" s="45"/>
      <c r="BS573" s="45"/>
      <c r="BT573" s="45"/>
      <c r="BU573" s="45"/>
      <c r="BV573" s="45"/>
      <c r="BW573" s="45"/>
      <c r="BX573" s="45"/>
      <c r="BY573" s="45"/>
      <c r="BZ573" s="45"/>
      <c r="CA573" s="45"/>
      <c r="CB573" s="45"/>
      <c r="CC573" s="45"/>
      <c r="CD573" s="463"/>
      <c r="CE573">
        <v>0</v>
      </c>
      <c r="CF573">
        <v>0</v>
      </c>
      <c r="CG573">
        <v>0</v>
      </c>
      <c r="CH573">
        <v>0</v>
      </c>
      <c r="CI573">
        <v>0</v>
      </c>
      <c r="CJ573">
        <v>0</v>
      </c>
      <c r="CK573">
        <v>0</v>
      </c>
      <c r="CL573">
        <v>0</v>
      </c>
      <c r="CM573">
        <v>0</v>
      </c>
      <c r="CN573">
        <v>0</v>
      </c>
      <c r="CO573">
        <v>0</v>
      </c>
      <c r="CP573">
        <v>0</v>
      </c>
      <c r="CQ573">
        <v>0</v>
      </c>
      <c r="CR573">
        <v>0</v>
      </c>
      <c r="CS573">
        <v>0</v>
      </c>
      <c r="CT573">
        <v>0</v>
      </c>
      <c r="CU573">
        <v>0</v>
      </c>
      <c r="CV573">
        <v>0</v>
      </c>
      <c r="CW573">
        <v>0</v>
      </c>
      <c r="CX573">
        <v>0</v>
      </c>
      <c r="CY573">
        <v>0</v>
      </c>
      <c r="CZ573">
        <v>0</v>
      </c>
      <c r="DA573">
        <v>0</v>
      </c>
      <c r="DB573">
        <v>0</v>
      </c>
      <c r="DC573">
        <v>0</v>
      </c>
      <c r="DD573">
        <v>0</v>
      </c>
      <c r="DE573">
        <v>0</v>
      </c>
      <c r="DF573">
        <v>0</v>
      </c>
      <c r="DG573">
        <v>0</v>
      </c>
      <c r="DH573">
        <v>0</v>
      </c>
      <c r="DI573">
        <v>0</v>
      </c>
      <c r="DJ573">
        <v>0</v>
      </c>
      <c r="DK573">
        <v>0</v>
      </c>
      <c r="DL573">
        <v>0</v>
      </c>
      <c r="DM573">
        <v>0</v>
      </c>
      <c r="DN573">
        <v>0</v>
      </c>
      <c r="DO573">
        <v>0</v>
      </c>
      <c r="DP573">
        <v>0</v>
      </c>
      <c r="DQ573">
        <v>0</v>
      </c>
      <c r="DR573">
        <v>0</v>
      </c>
      <c r="DS573">
        <v>0</v>
      </c>
      <c r="DT573">
        <v>0</v>
      </c>
      <c r="DU573">
        <v>0</v>
      </c>
    </row>
    <row r="574" spans="2:125">
      <c r="B574" s="136">
        <v>565</v>
      </c>
      <c r="C574" s="138">
        <v>1</v>
      </c>
      <c r="D574" s="474">
        <v>3874.5512826776312</v>
      </c>
      <c r="E574" s="127">
        <v>252.85177794362863</v>
      </c>
      <c r="F574" s="447">
        <v>0.39702105695205264</v>
      </c>
      <c r="G574" s="127">
        <v>159.77569548539876</v>
      </c>
      <c r="H574" s="132">
        <v>60.543412415037025</v>
      </c>
      <c r="I574" s="456"/>
      <c r="J574" s="45"/>
      <c r="K574" s="45">
        <v>630</v>
      </c>
      <c r="L574" s="463"/>
      <c r="M574" s="456">
        <v>34.235969543457031</v>
      </c>
      <c r="N574" s="457"/>
      <c r="O574" s="456"/>
      <c r="P574" s="46"/>
      <c r="Q574" s="463">
        <v>84.564247131347656</v>
      </c>
      <c r="R574" s="449"/>
      <c r="S574" s="463"/>
      <c r="T574" s="480"/>
      <c r="U574" s="468"/>
      <c r="V574" s="449"/>
      <c r="W574" s="45">
        <v>1769.5452880859375</v>
      </c>
      <c r="X574" s="463">
        <v>146.40740966796875</v>
      </c>
      <c r="Y574" s="449"/>
      <c r="Z574" s="45"/>
      <c r="AA574" s="468">
        <v>0.3885193186252659</v>
      </c>
      <c r="AB574" s="456"/>
      <c r="AC574" s="46"/>
      <c r="AD574" s="46"/>
      <c r="AE574" s="46"/>
      <c r="AF574" s="46"/>
      <c r="AG574" s="46"/>
      <c r="AH574" s="46"/>
      <c r="AI574" s="457"/>
      <c r="AJ574" s="138"/>
      <c r="AK574" s="745"/>
      <c r="AL574" s="54"/>
      <c r="AM574" s="468"/>
      <c r="AN574" s="449"/>
      <c r="AO574" s="45"/>
      <c r="AP574" s="45"/>
      <c r="AQ574" s="45"/>
      <c r="AR574" s="45"/>
      <c r="AS574" s="45"/>
      <c r="AT574" s="45"/>
      <c r="AU574" s="463"/>
      <c r="AV574" s="449"/>
      <c r="AW574" s="45"/>
      <c r="AX574" s="45"/>
      <c r="AY574" s="45"/>
      <c r="AZ574" s="45"/>
      <c r="BA574" s="45"/>
      <c r="BB574" s="45"/>
      <c r="BC574" s="463"/>
      <c r="BD574" s="456"/>
      <c r="BE574" s="46"/>
      <c r="BF574" s="46"/>
      <c r="BG574" s="46"/>
      <c r="BH574" s="46"/>
      <c r="BI574" s="46"/>
      <c r="BJ574" s="457"/>
      <c r="BK574" s="449">
        <v>0</v>
      </c>
      <c r="BL574" s="45"/>
      <c r="BM574" s="45"/>
      <c r="BN574" s="45"/>
      <c r="BO574" s="45"/>
      <c r="BP574" s="45"/>
      <c r="BQ574" s="45"/>
      <c r="BR574" s="45"/>
      <c r="BS574" s="45"/>
      <c r="BT574" s="45"/>
      <c r="BU574" s="45"/>
      <c r="BV574" s="45"/>
      <c r="BW574" s="45"/>
      <c r="BX574" s="45"/>
      <c r="BY574" s="45"/>
      <c r="BZ574" s="45"/>
      <c r="CA574" s="45"/>
      <c r="CB574" s="45"/>
      <c r="CC574" s="45"/>
      <c r="CD574" s="463"/>
      <c r="CE574">
        <v>0</v>
      </c>
      <c r="CF574">
        <v>0</v>
      </c>
      <c r="CG574">
        <v>0</v>
      </c>
      <c r="CH574">
        <v>0</v>
      </c>
      <c r="CI574">
        <v>0</v>
      </c>
      <c r="CJ574">
        <v>0</v>
      </c>
      <c r="CK574">
        <v>0</v>
      </c>
      <c r="CL574">
        <v>0</v>
      </c>
      <c r="CM574">
        <v>0</v>
      </c>
      <c r="CN574">
        <v>0</v>
      </c>
      <c r="CO574">
        <v>0</v>
      </c>
      <c r="CP574">
        <v>0</v>
      </c>
      <c r="CQ574">
        <v>0</v>
      </c>
      <c r="CR574">
        <v>0</v>
      </c>
      <c r="CS574">
        <v>0</v>
      </c>
      <c r="CT574">
        <v>0</v>
      </c>
      <c r="CU574">
        <v>0</v>
      </c>
      <c r="CV574">
        <v>0</v>
      </c>
      <c r="CW574">
        <v>0</v>
      </c>
      <c r="CX574">
        <v>0</v>
      </c>
      <c r="CY574">
        <v>0</v>
      </c>
      <c r="CZ574">
        <v>0</v>
      </c>
      <c r="DA574">
        <v>0</v>
      </c>
      <c r="DB574">
        <v>0</v>
      </c>
      <c r="DC574">
        <v>0</v>
      </c>
      <c r="DD574">
        <v>0</v>
      </c>
      <c r="DE574">
        <v>0</v>
      </c>
      <c r="DF574">
        <v>0</v>
      </c>
      <c r="DG574">
        <v>0</v>
      </c>
      <c r="DH574">
        <v>0</v>
      </c>
      <c r="DI574">
        <v>0</v>
      </c>
      <c r="DJ574">
        <v>0</v>
      </c>
      <c r="DK574">
        <v>0</v>
      </c>
      <c r="DL574">
        <v>0</v>
      </c>
      <c r="DM574">
        <v>0</v>
      </c>
      <c r="DN574">
        <v>0</v>
      </c>
      <c r="DO574">
        <v>0</v>
      </c>
      <c r="DP574">
        <v>0</v>
      </c>
      <c r="DQ574">
        <v>0</v>
      </c>
      <c r="DR574">
        <v>0</v>
      </c>
      <c r="DS574">
        <v>0</v>
      </c>
      <c r="DT574">
        <v>0</v>
      </c>
      <c r="DU574">
        <v>0</v>
      </c>
    </row>
    <row r="575" spans="2:125">
      <c r="B575" s="136">
        <v>566</v>
      </c>
      <c r="C575" s="138">
        <v>1</v>
      </c>
      <c r="D575" s="474">
        <v>3473.3267013917252</v>
      </c>
      <c r="E575" s="127">
        <v>206.64342058173864</v>
      </c>
      <c r="F575" s="447">
        <v>0.38688754288802485</v>
      </c>
      <c r="G575" s="127">
        <v>139.07251241481919</v>
      </c>
      <c r="H575" s="132">
        <v>51.867050927484641</v>
      </c>
      <c r="I575" s="456"/>
      <c r="J575" s="45"/>
      <c r="K575" s="45">
        <v>530</v>
      </c>
      <c r="L575" s="463"/>
      <c r="M575" s="456">
        <v>32.551548004150391</v>
      </c>
      <c r="N575" s="457"/>
      <c r="O575" s="456"/>
      <c r="P575" s="46"/>
      <c r="Q575" s="463">
        <v>68.771865844726563</v>
      </c>
      <c r="R575" s="449"/>
      <c r="S575" s="463"/>
      <c r="T575" s="480"/>
      <c r="U575" s="468"/>
      <c r="V575" s="449"/>
      <c r="W575" s="45">
        <v>1487.604248046875</v>
      </c>
      <c r="X575" s="463">
        <v>125.50463104248047</v>
      </c>
      <c r="Y575" s="449"/>
      <c r="Z575" s="45"/>
      <c r="AA575" s="468">
        <v>0.37746206879005334</v>
      </c>
      <c r="AB575" s="456"/>
      <c r="AC575" s="46"/>
      <c r="AD575" s="46"/>
      <c r="AE575" s="46"/>
      <c r="AF575" s="46"/>
      <c r="AG575" s="46"/>
      <c r="AH575" s="46"/>
      <c r="AI575" s="457"/>
      <c r="AJ575" s="138"/>
      <c r="AK575" s="745"/>
      <c r="AL575" s="54"/>
      <c r="AM575" s="468"/>
      <c r="AN575" s="449"/>
      <c r="AO575" s="45"/>
      <c r="AP575" s="45"/>
      <c r="AQ575" s="45"/>
      <c r="AR575" s="45"/>
      <c r="AS575" s="45"/>
      <c r="AT575" s="45"/>
      <c r="AU575" s="463"/>
      <c r="AV575" s="449"/>
      <c r="AW575" s="45"/>
      <c r="AX575" s="45"/>
      <c r="AY575" s="45"/>
      <c r="AZ575" s="45"/>
      <c r="BA575" s="45"/>
      <c r="BB575" s="45"/>
      <c r="BC575" s="463"/>
      <c r="BD575" s="456"/>
      <c r="BE575" s="46"/>
      <c r="BF575" s="46"/>
      <c r="BG575" s="46"/>
      <c r="BH575" s="46"/>
      <c r="BI575" s="46"/>
      <c r="BJ575" s="457"/>
      <c r="BK575" s="449">
        <v>0</v>
      </c>
      <c r="BL575" s="45"/>
      <c r="BM575" s="45"/>
      <c r="BN575" s="45"/>
      <c r="BO575" s="45"/>
      <c r="BP575" s="45"/>
      <c r="BQ575" s="45"/>
      <c r="BR575" s="45"/>
      <c r="BS575" s="45"/>
      <c r="BT575" s="45"/>
      <c r="BU575" s="45"/>
      <c r="BV575" s="45"/>
      <c r="BW575" s="45"/>
      <c r="BX575" s="45"/>
      <c r="BY575" s="45"/>
      <c r="BZ575" s="45"/>
      <c r="CA575" s="45"/>
      <c r="CB575" s="45"/>
      <c r="CC575" s="45"/>
      <c r="CD575" s="463"/>
      <c r="CE575">
        <v>0</v>
      </c>
      <c r="CF575">
        <v>0</v>
      </c>
      <c r="CG575">
        <v>0</v>
      </c>
      <c r="CH575">
        <v>0</v>
      </c>
      <c r="CI575">
        <v>0</v>
      </c>
      <c r="CJ575">
        <v>0</v>
      </c>
      <c r="CK575">
        <v>0</v>
      </c>
      <c r="CL575">
        <v>0</v>
      </c>
      <c r="CM575">
        <v>0</v>
      </c>
      <c r="CN575">
        <v>0</v>
      </c>
      <c r="CO575">
        <v>0</v>
      </c>
      <c r="CP575">
        <v>0</v>
      </c>
      <c r="CQ575">
        <v>0</v>
      </c>
      <c r="CR575">
        <v>0</v>
      </c>
      <c r="CS575">
        <v>0</v>
      </c>
      <c r="CT575">
        <v>0</v>
      </c>
      <c r="CU575">
        <v>0</v>
      </c>
      <c r="CV575">
        <v>0</v>
      </c>
      <c r="CW575">
        <v>0</v>
      </c>
      <c r="CX575">
        <v>0</v>
      </c>
      <c r="CY575">
        <v>0</v>
      </c>
      <c r="CZ575">
        <v>0</v>
      </c>
      <c r="DA575">
        <v>0</v>
      </c>
      <c r="DB575">
        <v>0</v>
      </c>
      <c r="DC575">
        <v>0</v>
      </c>
      <c r="DD575">
        <v>0</v>
      </c>
      <c r="DE575">
        <v>0</v>
      </c>
      <c r="DF575">
        <v>0</v>
      </c>
      <c r="DG575">
        <v>0</v>
      </c>
      <c r="DH575">
        <v>0</v>
      </c>
      <c r="DI575">
        <v>0</v>
      </c>
      <c r="DJ575">
        <v>0</v>
      </c>
      <c r="DK575">
        <v>0</v>
      </c>
      <c r="DL575">
        <v>0</v>
      </c>
      <c r="DM575">
        <v>0</v>
      </c>
      <c r="DN575">
        <v>0</v>
      </c>
      <c r="DO575">
        <v>0</v>
      </c>
      <c r="DP575">
        <v>0</v>
      </c>
      <c r="DQ575">
        <v>0</v>
      </c>
      <c r="DR575">
        <v>0</v>
      </c>
      <c r="DS575">
        <v>0</v>
      </c>
      <c r="DT575">
        <v>0</v>
      </c>
      <c r="DU575">
        <v>0</v>
      </c>
    </row>
    <row r="576" spans="2:125">
      <c r="B576" s="136">
        <v>567</v>
      </c>
      <c r="C576" s="138">
        <v>1</v>
      </c>
      <c r="D576" s="474">
        <v>2669.1310757288702</v>
      </c>
      <c r="E576" s="127">
        <v>190.19922030713263</v>
      </c>
      <c r="F576" s="447">
        <v>0.3870952214860352</v>
      </c>
      <c r="G576" s="127">
        <v>98.146422652094614</v>
      </c>
      <c r="H576" s="132">
        <v>47.2001784014262</v>
      </c>
      <c r="I576" s="456"/>
      <c r="J576" s="45"/>
      <c r="K576" s="45">
        <v>390</v>
      </c>
      <c r="L576" s="463"/>
      <c r="M576" s="456">
        <v>30.639839172363281</v>
      </c>
      <c r="N576" s="457"/>
      <c r="O576" s="456"/>
      <c r="P576" s="46"/>
      <c r="Q576" s="463">
        <v>52.848796844482422</v>
      </c>
      <c r="R576" s="449"/>
      <c r="S576" s="463"/>
      <c r="T576" s="480"/>
      <c r="U576" s="468"/>
      <c r="V576" s="449"/>
      <c r="W576" s="45">
        <v>1140.669677734375</v>
      </c>
      <c r="X576" s="463">
        <v>99.678558349609375</v>
      </c>
      <c r="Y576" s="449"/>
      <c r="Z576" s="45"/>
      <c r="AA576" s="468">
        <v>0.37482834380158886</v>
      </c>
      <c r="AB576" s="456"/>
      <c r="AC576" s="46"/>
      <c r="AD576" s="46"/>
      <c r="AE576" s="46"/>
      <c r="AF576" s="46"/>
      <c r="AG576" s="46"/>
      <c r="AH576" s="46"/>
      <c r="AI576" s="457"/>
      <c r="AJ576" s="138"/>
      <c r="AK576" s="745"/>
      <c r="AL576" s="54"/>
      <c r="AM576" s="468"/>
      <c r="AN576" s="449"/>
      <c r="AO576" s="45"/>
      <c r="AP576" s="45"/>
      <c r="AQ576" s="45"/>
      <c r="AR576" s="45"/>
      <c r="AS576" s="45"/>
      <c r="AT576" s="45"/>
      <c r="AU576" s="463"/>
      <c r="AV576" s="449"/>
      <c r="AW576" s="45"/>
      <c r="AX576" s="45"/>
      <c r="AY576" s="45"/>
      <c r="AZ576" s="45"/>
      <c r="BA576" s="45"/>
      <c r="BB576" s="45"/>
      <c r="BC576" s="463"/>
      <c r="BD576" s="456"/>
      <c r="BE576" s="46"/>
      <c r="BF576" s="46"/>
      <c r="BG576" s="46"/>
      <c r="BH576" s="46"/>
      <c r="BI576" s="46"/>
      <c r="BJ576" s="457"/>
      <c r="BK576" s="449">
        <v>0</v>
      </c>
      <c r="BL576" s="45"/>
      <c r="BM576" s="45"/>
      <c r="BN576" s="45"/>
      <c r="BO576" s="45"/>
      <c r="BP576" s="45"/>
      <c r="BQ576" s="45"/>
      <c r="BR576" s="45"/>
      <c r="BS576" s="45"/>
      <c r="BT576" s="45"/>
      <c r="BU576" s="45"/>
      <c r="BV576" s="45"/>
      <c r="BW576" s="45"/>
      <c r="BX576" s="45"/>
      <c r="BY576" s="45"/>
      <c r="BZ576" s="45"/>
      <c r="CA576" s="45"/>
      <c r="CB576" s="45"/>
      <c r="CC576" s="45"/>
      <c r="CD576" s="463"/>
      <c r="CE576">
        <v>0</v>
      </c>
      <c r="CF576">
        <v>0</v>
      </c>
      <c r="CG576">
        <v>0</v>
      </c>
      <c r="CH576">
        <v>0</v>
      </c>
      <c r="CI576">
        <v>0</v>
      </c>
      <c r="CJ576">
        <v>0</v>
      </c>
      <c r="CK576">
        <v>0</v>
      </c>
      <c r="CL576">
        <v>0</v>
      </c>
      <c r="CM576">
        <v>0</v>
      </c>
      <c r="CN576">
        <v>0</v>
      </c>
      <c r="CO576">
        <v>0</v>
      </c>
      <c r="CP576">
        <v>0</v>
      </c>
      <c r="CQ576">
        <v>0</v>
      </c>
      <c r="CR576">
        <v>0</v>
      </c>
      <c r="CS576">
        <v>0</v>
      </c>
      <c r="CT576">
        <v>0</v>
      </c>
      <c r="CU576">
        <v>0</v>
      </c>
      <c r="CV576">
        <v>0</v>
      </c>
      <c r="CW576">
        <v>0</v>
      </c>
      <c r="CX576">
        <v>0</v>
      </c>
      <c r="CY576">
        <v>0</v>
      </c>
      <c r="CZ576">
        <v>0</v>
      </c>
      <c r="DA576">
        <v>0</v>
      </c>
      <c r="DB576">
        <v>0</v>
      </c>
      <c r="DC576">
        <v>0</v>
      </c>
      <c r="DD576">
        <v>0</v>
      </c>
      <c r="DE576">
        <v>0</v>
      </c>
      <c r="DF576">
        <v>0</v>
      </c>
      <c r="DG576">
        <v>0</v>
      </c>
      <c r="DH576">
        <v>0</v>
      </c>
      <c r="DI576">
        <v>0</v>
      </c>
      <c r="DJ576">
        <v>0</v>
      </c>
      <c r="DK576">
        <v>0</v>
      </c>
      <c r="DL576">
        <v>0</v>
      </c>
      <c r="DM576">
        <v>0</v>
      </c>
      <c r="DN576">
        <v>0</v>
      </c>
      <c r="DO576">
        <v>0</v>
      </c>
      <c r="DP576">
        <v>0</v>
      </c>
      <c r="DQ576">
        <v>0</v>
      </c>
      <c r="DR576">
        <v>0</v>
      </c>
      <c r="DS576">
        <v>0</v>
      </c>
      <c r="DT576">
        <v>0</v>
      </c>
      <c r="DU576">
        <v>0</v>
      </c>
    </row>
    <row r="577" spans="2:125">
      <c r="B577" s="136">
        <v>568</v>
      </c>
      <c r="C577" s="138">
        <v>1</v>
      </c>
      <c r="D577" s="474">
        <v>2607.6068769953908</v>
      </c>
      <c r="E577" s="127">
        <v>238.04095139788987</v>
      </c>
      <c r="F577" s="447">
        <v>0.46036101766552834</v>
      </c>
      <c r="G577" s="127">
        <v>84.175890444032376</v>
      </c>
      <c r="H577" s="132">
        <v>50.507992311493702</v>
      </c>
      <c r="I577" s="456"/>
      <c r="J577" s="45"/>
      <c r="K577" s="45">
        <v>370</v>
      </c>
      <c r="L577" s="463"/>
      <c r="M577" s="456">
        <v>37.475723266601563</v>
      </c>
      <c r="N577" s="457"/>
      <c r="O577" s="456"/>
      <c r="P577" s="46"/>
      <c r="Q577" s="463">
        <v>51.630619049072266</v>
      </c>
      <c r="R577" s="449"/>
      <c r="S577" s="463"/>
      <c r="T577" s="480"/>
      <c r="U577" s="468"/>
      <c r="V577" s="449"/>
      <c r="W577" s="45">
        <v>1373.365234375</v>
      </c>
      <c r="X577" s="463">
        <v>116.49252319335937</v>
      </c>
      <c r="Y577" s="449"/>
      <c r="Z577" s="45"/>
      <c r="AA577" s="468">
        <v>0.44724277478348562</v>
      </c>
      <c r="AB577" s="456"/>
      <c r="AC577" s="46"/>
      <c r="AD577" s="46"/>
      <c r="AE577" s="46"/>
      <c r="AF577" s="46"/>
      <c r="AG577" s="46"/>
      <c r="AH577" s="46"/>
      <c r="AI577" s="457"/>
      <c r="AJ577" s="138"/>
      <c r="AK577" s="745"/>
      <c r="AL577" s="54"/>
      <c r="AM577" s="468"/>
      <c r="AN577" s="449"/>
      <c r="AO577" s="45"/>
      <c r="AP577" s="45"/>
      <c r="AQ577" s="45"/>
      <c r="AR577" s="45"/>
      <c r="AS577" s="45"/>
      <c r="AT577" s="45"/>
      <c r="AU577" s="463"/>
      <c r="AV577" s="449"/>
      <c r="AW577" s="45"/>
      <c r="AX577" s="45"/>
      <c r="AY577" s="45"/>
      <c r="AZ577" s="45"/>
      <c r="BA577" s="45"/>
      <c r="BB577" s="45"/>
      <c r="BC577" s="463"/>
      <c r="BD577" s="456"/>
      <c r="BE577" s="46"/>
      <c r="BF577" s="46"/>
      <c r="BG577" s="46"/>
      <c r="BH577" s="46"/>
      <c r="BI577" s="46"/>
      <c r="BJ577" s="457"/>
      <c r="BK577" s="449">
        <v>0</v>
      </c>
      <c r="BL577" s="45"/>
      <c r="BM577" s="45"/>
      <c r="BN577" s="45"/>
      <c r="BO577" s="45"/>
      <c r="BP577" s="45"/>
      <c r="BQ577" s="45"/>
      <c r="BR577" s="45"/>
      <c r="BS577" s="45"/>
      <c r="BT577" s="45"/>
      <c r="BU577" s="45"/>
      <c r="BV577" s="45"/>
      <c r="BW577" s="45"/>
      <c r="BX577" s="45"/>
      <c r="BY577" s="45"/>
      <c r="BZ577" s="45"/>
      <c r="CA577" s="45"/>
      <c r="CB577" s="45"/>
      <c r="CC577" s="45"/>
      <c r="CD577" s="463"/>
      <c r="CE577">
        <v>0</v>
      </c>
      <c r="CF577">
        <v>0</v>
      </c>
      <c r="CG577">
        <v>0</v>
      </c>
      <c r="CH577">
        <v>0</v>
      </c>
      <c r="CI577">
        <v>0</v>
      </c>
      <c r="CJ577">
        <v>0</v>
      </c>
      <c r="CK577">
        <v>0</v>
      </c>
      <c r="CL577">
        <v>0</v>
      </c>
      <c r="CM577">
        <v>0</v>
      </c>
      <c r="CN577">
        <v>0</v>
      </c>
      <c r="CO577">
        <v>0</v>
      </c>
      <c r="CP577">
        <v>0</v>
      </c>
      <c r="CQ577">
        <v>0</v>
      </c>
      <c r="CR577">
        <v>0</v>
      </c>
      <c r="CS577">
        <v>0</v>
      </c>
      <c r="CT577">
        <v>0</v>
      </c>
      <c r="CU577">
        <v>0</v>
      </c>
      <c r="CV577">
        <v>0</v>
      </c>
      <c r="CW577">
        <v>0</v>
      </c>
      <c r="CX577">
        <v>0</v>
      </c>
      <c r="CY577">
        <v>0</v>
      </c>
      <c r="CZ577">
        <v>0</v>
      </c>
      <c r="DA577">
        <v>0</v>
      </c>
      <c r="DB577">
        <v>0</v>
      </c>
      <c r="DC577">
        <v>0</v>
      </c>
      <c r="DD577">
        <v>0</v>
      </c>
      <c r="DE577">
        <v>0</v>
      </c>
      <c r="DF577">
        <v>0</v>
      </c>
      <c r="DG577">
        <v>0</v>
      </c>
      <c r="DH577">
        <v>0</v>
      </c>
      <c r="DI577">
        <v>0</v>
      </c>
      <c r="DJ577">
        <v>0</v>
      </c>
      <c r="DK577">
        <v>0</v>
      </c>
      <c r="DL577">
        <v>0</v>
      </c>
      <c r="DM577">
        <v>0</v>
      </c>
      <c r="DN577">
        <v>0</v>
      </c>
      <c r="DO577">
        <v>0</v>
      </c>
      <c r="DP577">
        <v>0</v>
      </c>
      <c r="DQ577">
        <v>0</v>
      </c>
      <c r="DR577">
        <v>0</v>
      </c>
      <c r="DS577">
        <v>0</v>
      </c>
      <c r="DT577">
        <v>0</v>
      </c>
      <c r="DU577">
        <v>0</v>
      </c>
    </row>
    <row r="578" spans="2:125">
      <c r="B578" s="136">
        <v>569</v>
      </c>
      <c r="C578" s="138">
        <v>1</v>
      </c>
      <c r="D578" s="474">
        <v>2742.9242165654696</v>
      </c>
      <c r="E578" s="127">
        <v>257.84449180121675</v>
      </c>
      <c r="F578" s="447">
        <v>0.36189103249440974</v>
      </c>
      <c r="G578" s="127">
        <v>105.83633250120107</v>
      </c>
      <c r="H578" s="132">
        <v>46.222423743265196</v>
      </c>
      <c r="I578" s="456"/>
      <c r="J578" s="45"/>
      <c r="K578" s="45">
        <v>410</v>
      </c>
      <c r="L578" s="463"/>
      <c r="M578" s="456">
        <v>29.110219955444336</v>
      </c>
      <c r="N578" s="457"/>
      <c r="O578" s="456"/>
      <c r="P578" s="46"/>
      <c r="Q578" s="463">
        <v>54.309902191162109</v>
      </c>
      <c r="R578" s="449"/>
      <c r="S578" s="463"/>
      <c r="T578" s="480"/>
      <c r="U578" s="468"/>
      <c r="V578" s="449"/>
      <c r="W578" s="45">
        <v>1106.626953125</v>
      </c>
      <c r="X578" s="463">
        <v>97.281234741210938</v>
      </c>
      <c r="Y578" s="449"/>
      <c r="Z578" s="45"/>
      <c r="AA578" s="468">
        <v>0.35013794779188945</v>
      </c>
      <c r="AB578" s="456"/>
      <c r="AC578" s="46"/>
      <c r="AD578" s="46"/>
      <c r="AE578" s="46"/>
      <c r="AF578" s="46"/>
      <c r="AG578" s="46"/>
      <c r="AH578" s="46"/>
      <c r="AI578" s="457"/>
      <c r="AJ578" s="138"/>
      <c r="AK578" s="745"/>
      <c r="AL578" s="54"/>
      <c r="AM578" s="468"/>
      <c r="AN578" s="449"/>
      <c r="AO578" s="45"/>
      <c r="AP578" s="45"/>
      <c r="AQ578" s="45"/>
      <c r="AR578" s="45"/>
      <c r="AS578" s="45"/>
      <c r="AT578" s="45"/>
      <c r="AU578" s="463"/>
      <c r="AV578" s="449"/>
      <c r="AW578" s="45"/>
      <c r="AX578" s="45"/>
      <c r="AY578" s="45"/>
      <c r="AZ578" s="45"/>
      <c r="BA578" s="45"/>
      <c r="BB578" s="45"/>
      <c r="BC578" s="463"/>
      <c r="BD578" s="456"/>
      <c r="BE578" s="46"/>
      <c r="BF578" s="46"/>
      <c r="BG578" s="46"/>
      <c r="BH578" s="46"/>
      <c r="BI578" s="46"/>
      <c r="BJ578" s="457"/>
      <c r="BK578" s="449">
        <v>0</v>
      </c>
      <c r="BL578" s="45"/>
      <c r="BM578" s="45"/>
      <c r="BN578" s="45"/>
      <c r="BO578" s="45"/>
      <c r="BP578" s="45"/>
      <c r="BQ578" s="45"/>
      <c r="BR578" s="45"/>
      <c r="BS578" s="45"/>
      <c r="BT578" s="45"/>
      <c r="BU578" s="45"/>
      <c r="BV578" s="45"/>
      <c r="BW578" s="45"/>
      <c r="BX578" s="45"/>
      <c r="BY578" s="45"/>
      <c r="BZ578" s="45"/>
      <c r="CA578" s="45"/>
      <c r="CB578" s="45"/>
      <c r="CC578" s="45"/>
      <c r="CD578" s="463"/>
      <c r="CE578">
        <v>0</v>
      </c>
      <c r="CF578">
        <v>0</v>
      </c>
      <c r="CG578">
        <v>0</v>
      </c>
      <c r="CH578">
        <v>0</v>
      </c>
      <c r="CI578">
        <v>0</v>
      </c>
      <c r="CJ578">
        <v>0</v>
      </c>
      <c r="CK578">
        <v>0</v>
      </c>
      <c r="CL578">
        <v>0</v>
      </c>
      <c r="CM578">
        <v>0</v>
      </c>
      <c r="CN578">
        <v>0</v>
      </c>
      <c r="CO578">
        <v>0</v>
      </c>
      <c r="CP578">
        <v>0</v>
      </c>
      <c r="CQ578">
        <v>0</v>
      </c>
      <c r="CR578">
        <v>0</v>
      </c>
      <c r="CS578">
        <v>0</v>
      </c>
      <c r="CT578">
        <v>0</v>
      </c>
      <c r="CU578">
        <v>0</v>
      </c>
      <c r="CV578">
        <v>0</v>
      </c>
      <c r="CW578">
        <v>0</v>
      </c>
      <c r="CX578">
        <v>0</v>
      </c>
      <c r="CY578">
        <v>0</v>
      </c>
      <c r="CZ578">
        <v>0</v>
      </c>
      <c r="DA578">
        <v>0</v>
      </c>
      <c r="DB578">
        <v>0</v>
      </c>
      <c r="DC578">
        <v>0</v>
      </c>
      <c r="DD578">
        <v>0</v>
      </c>
      <c r="DE578">
        <v>0</v>
      </c>
      <c r="DF578">
        <v>0</v>
      </c>
      <c r="DG578">
        <v>0</v>
      </c>
      <c r="DH578">
        <v>0</v>
      </c>
      <c r="DI578">
        <v>0</v>
      </c>
      <c r="DJ578">
        <v>0</v>
      </c>
      <c r="DK578">
        <v>0</v>
      </c>
      <c r="DL578">
        <v>0</v>
      </c>
      <c r="DM578">
        <v>0</v>
      </c>
      <c r="DN578">
        <v>0</v>
      </c>
      <c r="DO578">
        <v>0</v>
      </c>
      <c r="DP578">
        <v>0</v>
      </c>
      <c r="DQ578">
        <v>0</v>
      </c>
      <c r="DR578">
        <v>0</v>
      </c>
      <c r="DS578">
        <v>0</v>
      </c>
      <c r="DT578">
        <v>0</v>
      </c>
      <c r="DU578">
        <v>0</v>
      </c>
    </row>
    <row r="579" spans="2:125">
      <c r="B579" s="136">
        <v>570</v>
      </c>
      <c r="C579" s="138">
        <v>1</v>
      </c>
      <c r="D579" s="474">
        <v>3609.8447562981528</v>
      </c>
      <c r="E579" s="127">
        <v>213.99526239250514</v>
      </c>
      <c r="F579" s="447">
        <v>0.3610260174789896</v>
      </c>
      <c r="G579" s="127">
        <v>117.1569546500849</v>
      </c>
      <c r="H579" s="132">
        <v>65.894276169138351</v>
      </c>
      <c r="I579" s="456"/>
      <c r="J579" s="45"/>
      <c r="K579" s="45">
        <v>510</v>
      </c>
      <c r="L579" s="463"/>
      <c r="M579" s="456">
        <v>26.359317779541016</v>
      </c>
      <c r="N579" s="457"/>
      <c r="O579" s="456"/>
      <c r="P579" s="46"/>
      <c r="Q579" s="463">
        <v>79.885574340820313</v>
      </c>
      <c r="R579" s="449"/>
      <c r="S579" s="463"/>
      <c r="T579" s="480"/>
      <c r="U579" s="468"/>
      <c r="V579" s="449"/>
      <c r="W579" s="45">
        <v>1325.5506591796875</v>
      </c>
      <c r="X579" s="463">
        <v>113.64054107666016</v>
      </c>
      <c r="Y579" s="449"/>
      <c r="Z579" s="45"/>
      <c r="AA579" s="468">
        <v>0.35210028174108449</v>
      </c>
      <c r="AB579" s="456"/>
      <c r="AC579" s="46"/>
      <c r="AD579" s="46"/>
      <c r="AE579" s="46"/>
      <c r="AF579" s="46"/>
      <c r="AG579" s="46"/>
      <c r="AH579" s="46"/>
      <c r="AI579" s="457"/>
      <c r="AJ579" s="138"/>
      <c r="AK579" s="745"/>
      <c r="AL579" s="54"/>
      <c r="AM579" s="468"/>
      <c r="AN579" s="449"/>
      <c r="AO579" s="45"/>
      <c r="AP579" s="45"/>
      <c r="AQ579" s="45"/>
      <c r="AR579" s="45"/>
      <c r="AS579" s="45"/>
      <c r="AT579" s="45"/>
      <c r="AU579" s="463"/>
      <c r="AV579" s="449"/>
      <c r="AW579" s="45"/>
      <c r="AX579" s="45"/>
      <c r="AY579" s="45"/>
      <c r="AZ579" s="45"/>
      <c r="BA579" s="45"/>
      <c r="BB579" s="45"/>
      <c r="BC579" s="463"/>
      <c r="BD579" s="456"/>
      <c r="BE579" s="46"/>
      <c r="BF579" s="46"/>
      <c r="BG579" s="46"/>
      <c r="BH579" s="46"/>
      <c r="BI579" s="46"/>
      <c r="BJ579" s="457"/>
      <c r="BK579" s="449">
        <v>0</v>
      </c>
      <c r="BL579" s="45"/>
      <c r="BM579" s="45"/>
      <c r="BN579" s="45"/>
      <c r="BO579" s="45"/>
      <c r="BP579" s="45"/>
      <c r="BQ579" s="45"/>
      <c r="BR579" s="45"/>
      <c r="BS579" s="45"/>
      <c r="BT579" s="45"/>
      <c r="BU579" s="45"/>
      <c r="BV579" s="45"/>
      <c r="BW579" s="45"/>
      <c r="BX579" s="45"/>
      <c r="BY579" s="45"/>
      <c r="BZ579" s="45"/>
      <c r="CA579" s="45"/>
      <c r="CB579" s="45"/>
      <c r="CC579" s="45"/>
      <c r="CD579" s="463"/>
      <c r="CE579">
        <v>0</v>
      </c>
      <c r="CF579">
        <v>0</v>
      </c>
      <c r="CG579">
        <v>0</v>
      </c>
      <c r="CH579">
        <v>0</v>
      </c>
      <c r="CI579">
        <v>0</v>
      </c>
      <c r="CJ579">
        <v>0</v>
      </c>
      <c r="CK579">
        <v>0</v>
      </c>
      <c r="CL579">
        <v>0</v>
      </c>
      <c r="CM579">
        <v>0</v>
      </c>
      <c r="CN579">
        <v>0</v>
      </c>
      <c r="CO579">
        <v>0</v>
      </c>
      <c r="CP579">
        <v>0</v>
      </c>
      <c r="CQ579">
        <v>0</v>
      </c>
      <c r="CR579">
        <v>0</v>
      </c>
      <c r="CS579">
        <v>0</v>
      </c>
      <c r="CT579">
        <v>0</v>
      </c>
      <c r="CU579">
        <v>0</v>
      </c>
      <c r="CV579">
        <v>0</v>
      </c>
      <c r="CW579">
        <v>0</v>
      </c>
      <c r="CX579">
        <v>0</v>
      </c>
      <c r="CY579">
        <v>0</v>
      </c>
      <c r="CZ579">
        <v>0</v>
      </c>
      <c r="DA579">
        <v>0</v>
      </c>
      <c r="DB579">
        <v>0</v>
      </c>
      <c r="DC579">
        <v>0</v>
      </c>
      <c r="DD579">
        <v>0</v>
      </c>
      <c r="DE579">
        <v>0</v>
      </c>
      <c r="DF579">
        <v>0</v>
      </c>
      <c r="DG579">
        <v>0</v>
      </c>
      <c r="DH579">
        <v>0</v>
      </c>
      <c r="DI579">
        <v>0</v>
      </c>
      <c r="DJ579">
        <v>0</v>
      </c>
      <c r="DK579">
        <v>0</v>
      </c>
      <c r="DL579">
        <v>0</v>
      </c>
      <c r="DM579">
        <v>0</v>
      </c>
      <c r="DN579">
        <v>0</v>
      </c>
      <c r="DO579">
        <v>0</v>
      </c>
      <c r="DP579">
        <v>0</v>
      </c>
      <c r="DQ579">
        <v>0</v>
      </c>
      <c r="DR579">
        <v>0</v>
      </c>
      <c r="DS579">
        <v>0</v>
      </c>
      <c r="DT579">
        <v>0</v>
      </c>
      <c r="DU579">
        <v>0</v>
      </c>
    </row>
    <row r="580" spans="2:125">
      <c r="B580" s="136">
        <v>571</v>
      </c>
      <c r="C580" s="138">
        <v>1</v>
      </c>
      <c r="D580" s="474">
        <v>3043.632563764726</v>
      </c>
      <c r="E580" s="127">
        <v>225.89874848803743</v>
      </c>
      <c r="F580" s="447">
        <v>0.44203196520873639</v>
      </c>
      <c r="G580" s="127">
        <v>107.19586185584151</v>
      </c>
      <c r="H580" s="132">
        <v>52.592727553466098</v>
      </c>
      <c r="I580" s="456"/>
      <c r="J580" s="45"/>
      <c r="K580" s="45">
        <v>440</v>
      </c>
      <c r="L580" s="463"/>
      <c r="M580" s="456">
        <v>36.962936401367188</v>
      </c>
      <c r="N580" s="457"/>
      <c r="O580" s="456"/>
      <c r="P580" s="46"/>
      <c r="Q580" s="463">
        <v>60.263931274414062</v>
      </c>
      <c r="R580" s="449"/>
      <c r="S580" s="463"/>
      <c r="T580" s="480"/>
      <c r="U580" s="468"/>
      <c r="V580" s="449"/>
      <c r="W580" s="45">
        <v>1515.302490234375</v>
      </c>
      <c r="X580" s="463">
        <v>127.13536834716797</v>
      </c>
      <c r="Y580" s="449"/>
      <c r="Z580" s="45"/>
      <c r="AA580" s="468">
        <v>0.4309134617116136</v>
      </c>
      <c r="AB580" s="456"/>
      <c r="AC580" s="46"/>
      <c r="AD580" s="46"/>
      <c r="AE580" s="46"/>
      <c r="AF580" s="46"/>
      <c r="AG580" s="46"/>
      <c r="AH580" s="46"/>
      <c r="AI580" s="457"/>
      <c r="AJ580" s="138"/>
      <c r="AK580" s="745"/>
      <c r="AL580" s="54"/>
      <c r="AM580" s="468"/>
      <c r="AN580" s="449"/>
      <c r="AO580" s="45"/>
      <c r="AP580" s="45"/>
      <c r="AQ580" s="45"/>
      <c r="AR580" s="45"/>
      <c r="AS580" s="45"/>
      <c r="AT580" s="45"/>
      <c r="AU580" s="463"/>
      <c r="AV580" s="449"/>
      <c r="AW580" s="45"/>
      <c r="AX580" s="45"/>
      <c r="AY580" s="45"/>
      <c r="AZ580" s="45"/>
      <c r="BA580" s="45"/>
      <c r="BB580" s="45"/>
      <c r="BC580" s="463"/>
      <c r="BD580" s="456"/>
      <c r="BE580" s="46"/>
      <c r="BF580" s="46"/>
      <c r="BG580" s="46"/>
      <c r="BH580" s="46"/>
      <c r="BI580" s="46"/>
      <c r="BJ580" s="457"/>
      <c r="BK580" s="449">
        <v>0</v>
      </c>
      <c r="BL580" s="45"/>
      <c r="BM580" s="45"/>
      <c r="BN580" s="45"/>
      <c r="BO580" s="45"/>
      <c r="BP580" s="45"/>
      <c r="BQ580" s="45"/>
      <c r="BR580" s="45"/>
      <c r="BS580" s="45"/>
      <c r="BT580" s="45"/>
      <c r="BU580" s="45"/>
      <c r="BV580" s="45"/>
      <c r="BW580" s="45"/>
      <c r="BX580" s="45"/>
      <c r="BY580" s="45"/>
      <c r="BZ580" s="45"/>
      <c r="CA580" s="45"/>
      <c r="CB580" s="45"/>
      <c r="CC580" s="45"/>
      <c r="CD580" s="463"/>
      <c r="CE580">
        <v>0</v>
      </c>
      <c r="CF580">
        <v>0</v>
      </c>
      <c r="CG580">
        <v>0</v>
      </c>
      <c r="CH580">
        <v>0</v>
      </c>
      <c r="CI580">
        <v>0</v>
      </c>
      <c r="CJ580">
        <v>0</v>
      </c>
      <c r="CK580">
        <v>0</v>
      </c>
      <c r="CL580">
        <v>0</v>
      </c>
      <c r="CM580">
        <v>0</v>
      </c>
      <c r="CN580">
        <v>0</v>
      </c>
      <c r="CO580">
        <v>0</v>
      </c>
      <c r="CP580">
        <v>0</v>
      </c>
      <c r="CQ580">
        <v>0</v>
      </c>
      <c r="CR580">
        <v>0</v>
      </c>
      <c r="CS580">
        <v>0</v>
      </c>
      <c r="CT580">
        <v>0</v>
      </c>
      <c r="CU580">
        <v>0</v>
      </c>
      <c r="CV580">
        <v>0</v>
      </c>
      <c r="CW580">
        <v>0</v>
      </c>
      <c r="CX580">
        <v>0</v>
      </c>
      <c r="CY580">
        <v>0</v>
      </c>
      <c r="CZ580">
        <v>0</v>
      </c>
      <c r="DA580">
        <v>0</v>
      </c>
      <c r="DB580">
        <v>0</v>
      </c>
      <c r="DC580">
        <v>0</v>
      </c>
      <c r="DD580">
        <v>0</v>
      </c>
      <c r="DE580">
        <v>0</v>
      </c>
      <c r="DF580">
        <v>0</v>
      </c>
      <c r="DG580">
        <v>0</v>
      </c>
      <c r="DH580">
        <v>0</v>
      </c>
      <c r="DI580">
        <v>0</v>
      </c>
      <c r="DJ580">
        <v>0</v>
      </c>
      <c r="DK580">
        <v>0</v>
      </c>
      <c r="DL580">
        <v>0</v>
      </c>
      <c r="DM580">
        <v>0</v>
      </c>
      <c r="DN580">
        <v>0</v>
      </c>
      <c r="DO580">
        <v>0</v>
      </c>
      <c r="DP580">
        <v>0</v>
      </c>
      <c r="DQ580">
        <v>0</v>
      </c>
      <c r="DR580">
        <v>0</v>
      </c>
      <c r="DS580">
        <v>0</v>
      </c>
      <c r="DT580">
        <v>0</v>
      </c>
      <c r="DU580">
        <v>0</v>
      </c>
    </row>
    <row r="581" spans="2:125">
      <c r="B581" s="136">
        <v>572</v>
      </c>
      <c r="C581" s="138">
        <v>1</v>
      </c>
      <c r="D581" s="474">
        <v>3469.1550220814934</v>
      </c>
      <c r="E581" s="127">
        <v>178.53572438921253</v>
      </c>
      <c r="F581" s="447">
        <v>0.40719390163200508</v>
      </c>
      <c r="G581" s="127">
        <v>126.36555204607521</v>
      </c>
      <c r="H581" s="132">
        <v>55.363643639286373</v>
      </c>
      <c r="I581" s="456"/>
      <c r="J581" s="45"/>
      <c r="K581" s="45">
        <v>510</v>
      </c>
      <c r="L581" s="463"/>
      <c r="M581" s="456">
        <v>33.527851104736328</v>
      </c>
      <c r="N581" s="457"/>
      <c r="O581" s="456"/>
      <c r="P581" s="46"/>
      <c r="Q581" s="463">
        <v>68.689277648925781</v>
      </c>
      <c r="R581" s="449"/>
      <c r="S581" s="463"/>
      <c r="T581" s="480"/>
      <c r="U581" s="468"/>
      <c r="V581" s="449"/>
      <c r="W581" s="45">
        <v>1515.16064453125</v>
      </c>
      <c r="X581" s="463">
        <v>127.40121459960938</v>
      </c>
      <c r="Y581" s="449"/>
      <c r="Z581" s="45"/>
      <c r="AA581" s="468">
        <v>0.39764002530717202</v>
      </c>
      <c r="AB581" s="456"/>
      <c r="AC581" s="46"/>
      <c r="AD581" s="46"/>
      <c r="AE581" s="46"/>
      <c r="AF581" s="46"/>
      <c r="AG581" s="46"/>
      <c r="AH581" s="46"/>
      <c r="AI581" s="457"/>
      <c r="AJ581" s="138"/>
      <c r="AK581" s="745"/>
      <c r="AL581" s="54"/>
      <c r="AM581" s="468"/>
      <c r="AN581" s="449"/>
      <c r="AO581" s="45"/>
      <c r="AP581" s="45"/>
      <c r="AQ581" s="45"/>
      <c r="AR581" s="45"/>
      <c r="AS581" s="45"/>
      <c r="AT581" s="45"/>
      <c r="AU581" s="463"/>
      <c r="AV581" s="449"/>
      <c r="AW581" s="45"/>
      <c r="AX581" s="45"/>
      <c r="AY581" s="45"/>
      <c r="AZ581" s="45"/>
      <c r="BA581" s="45"/>
      <c r="BB581" s="45"/>
      <c r="BC581" s="463"/>
      <c r="BD581" s="456"/>
      <c r="BE581" s="46"/>
      <c r="BF581" s="46"/>
      <c r="BG581" s="46"/>
      <c r="BH581" s="46"/>
      <c r="BI581" s="46"/>
      <c r="BJ581" s="457"/>
      <c r="BK581" s="449">
        <v>0</v>
      </c>
      <c r="BL581" s="45"/>
      <c r="BM581" s="45"/>
      <c r="BN581" s="45"/>
      <c r="BO581" s="45"/>
      <c r="BP581" s="45"/>
      <c r="BQ581" s="45"/>
      <c r="BR581" s="45"/>
      <c r="BS581" s="45"/>
      <c r="BT581" s="45"/>
      <c r="BU581" s="45"/>
      <c r="BV581" s="45"/>
      <c r="BW581" s="45"/>
      <c r="BX581" s="45"/>
      <c r="BY581" s="45"/>
      <c r="BZ581" s="45"/>
      <c r="CA581" s="45"/>
      <c r="CB581" s="45"/>
      <c r="CC581" s="45"/>
      <c r="CD581" s="463"/>
      <c r="CE581">
        <v>0</v>
      </c>
      <c r="CF581">
        <v>0</v>
      </c>
      <c r="CG581">
        <v>0</v>
      </c>
      <c r="CH581">
        <v>0</v>
      </c>
      <c r="CI581">
        <v>0</v>
      </c>
      <c r="CJ581">
        <v>0</v>
      </c>
      <c r="CK581">
        <v>0</v>
      </c>
      <c r="CL581">
        <v>0</v>
      </c>
      <c r="CM581">
        <v>0</v>
      </c>
      <c r="CN581">
        <v>0</v>
      </c>
      <c r="CO581">
        <v>0</v>
      </c>
      <c r="CP581">
        <v>0</v>
      </c>
      <c r="CQ581">
        <v>0</v>
      </c>
      <c r="CR581">
        <v>0</v>
      </c>
      <c r="CS581">
        <v>0</v>
      </c>
      <c r="CT581">
        <v>0</v>
      </c>
      <c r="CU581">
        <v>0</v>
      </c>
      <c r="CV581">
        <v>0</v>
      </c>
      <c r="CW581">
        <v>0</v>
      </c>
      <c r="CX581">
        <v>0</v>
      </c>
      <c r="CY581">
        <v>0</v>
      </c>
      <c r="CZ581">
        <v>0</v>
      </c>
      <c r="DA581">
        <v>0</v>
      </c>
      <c r="DB581">
        <v>0</v>
      </c>
      <c r="DC581">
        <v>0</v>
      </c>
      <c r="DD581">
        <v>0</v>
      </c>
      <c r="DE581">
        <v>0</v>
      </c>
      <c r="DF581">
        <v>0</v>
      </c>
      <c r="DG581">
        <v>0</v>
      </c>
      <c r="DH581">
        <v>0</v>
      </c>
      <c r="DI581">
        <v>0</v>
      </c>
      <c r="DJ581">
        <v>0</v>
      </c>
      <c r="DK581">
        <v>0</v>
      </c>
      <c r="DL581">
        <v>0</v>
      </c>
      <c r="DM581">
        <v>0</v>
      </c>
      <c r="DN581">
        <v>0</v>
      </c>
      <c r="DO581">
        <v>0</v>
      </c>
      <c r="DP581">
        <v>0</v>
      </c>
      <c r="DQ581">
        <v>0</v>
      </c>
      <c r="DR581">
        <v>0</v>
      </c>
      <c r="DS581">
        <v>0</v>
      </c>
      <c r="DT581">
        <v>0</v>
      </c>
      <c r="DU581">
        <v>0</v>
      </c>
    </row>
    <row r="582" spans="2:125">
      <c r="B582" s="136">
        <v>573</v>
      </c>
      <c r="C582" s="138">
        <v>1</v>
      </c>
      <c r="D582" s="474">
        <v>3502.4994720053655</v>
      </c>
      <c r="E582" s="127">
        <v>253.54696899986888</v>
      </c>
      <c r="F582" s="447">
        <v>0.3612894367118612</v>
      </c>
      <c r="G582" s="127">
        <v>128.82553431120914</v>
      </c>
      <c r="H582" s="132">
        <v>55.317092864597207</v>
      </c>
      <c r="I582" s="456"/>
      <c r="J582" s="45"/>
      <c r="K582" s="45">
        <v>510</v>
      </c>
      <c r="L582" s="463"/>
      <c r="M582" s="456">
        <v>28.465141296386719</v>
      </c>
      <c r="N582" s="457"/>
      <c r="O582" s="456"/>
      <c r="P582" s="46"/>
      <c r="Q582" s="463">
        <v>69.349494934082031</v>
      </c>
      <c r="R582" s="449"/>
      <c r="S582" s="463"/>
      <c r="T582" s="480"/>
      <c r="U582" s="468"/>
      <c r="V582" s="449"/>
      <c r="W582" s="45">
        <v>1317.8665771484375</v>
      </c>
      <c r="X582" s="463">
        <v>113.05085754394531</v>
      </c>
      <c r="Y582" s="449"/>
      <c r="Z582" s="45"/>
      <c r="AA582" s="468">
        <v>0.35208863911237254</v>
      </c>
      <c r="AB582" s="456"/>
      <c r="AC582" s="46"/>
      <c r="AD582" s="46"/>
      <c r="AE582" s="46"/>
      <c r="AF582" s="46"/>
      <c r="AG582" s="46"/>
      <c r="AH582" s="46"/>
      <c r="AI582" s="457"/>
      <c r="AJ582" s="138"/>
      <c r="AK582" s="745"/>
      <c r="AL582" s="54"/>
      <c r="AM582" s="468"/>
      <c r="AN582" s="449"/>
      <c r="AO582" s="45"/>
      <c r="AP582" s="45"/>
      <c r="AQ582" s="45"/>
      <c r="AR582" s="45"/>
      <c r="AS582" s="45"/>
      <c r="AT582" s="45"/>
      <c r="AU582" s="463"/>
      <c r="AV582" s="449"/>
      <c r="AW582" s="45"/>
      <c r="AX582" s="45"/>
      <c r="AY582" s="45"/>
      <c r="AZ582" s="45"/>
      <c r="BA582" s="45"/>
      <c r="BB582" s="45"/>
      <c r="BC582" s="463"/>
      <c r="BD582" s="456"/>
      <c r="BE582" s="46"/>
      <c r="BF582" s="46"/>
      <c r="BG582" s="46"/>
      <c r="BH582" s="46"/>
      <c r="BI582" s="46"/>
      <c r="BJ582" s="457"/>
      <c r="BK582" s="449">
        <v>0</v>
      </c>
      <c r="BL582" s="45"/>
      <c r="BM582" s="45"/>
      <c r="BN582" s="45"/>
      <c r="BO582" s="45"/>
      <c r="BP582" s="45"/>
      <c r="BQ582" s="45"/>
      <c r="BR582" s="45"/>
      <c r="BS582" s="45"/>
      <c r="BT582" s="45"/>
      <c r="BU582" s="45"/>
      <c r="BV582" s="45"/>
      <c r="BW582" s="45"/>
      <c r="BX582" s="45"/>
      <c r="BY582" s="45"/>
      <c r="BZ582" s="45"/>
      <c r="CA582" s="45"/>
      <c r="CB582" s="45"/>
      <c r="CC582" s="45"/>
      <c r="CD582" s="463"/>
      <c r="CE582">
        <v>0</v>
      </c>
      <c r="CF582">
        <v>0</v>
      </c>
      <c r="CG582">
        <v>0</v>
      </c>
      <c r="CH582">
        <v>0</v>
      </c>
      <c r="CI582">
        <v>0</v>
      </c>
      <c r="CJ582">
        <v>0</v>
      </c>
      <c r="CK582">
        <v>0</v>
      </c>
      <c r="CL582">
        <v>0</v>
      </c>
      <c r="CM582">
        <v>0</v>
      </c>
      <c r="CN582">
        <v>0</v>
      </c>
      <c r="CO582">
        <v>0</v>
      </c>
      <c r="CP582">
        <v>0</v>
      </c>
      <c r="CQ582">
        <v>0</v>
      </c>
      <c r="CR582">
        <v>0</v>
      </c>
      <c r="CS582">
        <v>0</v>
      </c>
      <c r="CT582">
        <v>0</v>
      </c>
      <c r="CU582">
        <v>0</v>
      </c>
      <c r="CV582">
        <v>0</v>
      </c>
      <c r="CW582">
        <v>0</v>
      </c>
      <c r="CX582">
        <v>0</v>
      </c>
      <c r="CY582">
        <v>0</v>
      </c>
      <c r="CZ582">
        <v>0</v>
      </c>
      <c r="DA582">
        <v>0</v>
      </c>
      <c r="DB582">
        <v>0</v>
      </c>
      <c r="DC582">
        <v>0</v>
      </c>
      <c r="DD582">
        <v>0</v>
      </c>
      <c r="DE582">
        <v>0</v>
      </c>
      <c r="DF582">
        <v>0</v>
      </c>
      <c r="DG582">
        <v>0</v>
      </c>
      <c r="DH582">
        <v>0</v>
      </c>
      <c r="DI582">
        <v>0</v>
      </c>
      <c r="DJ582">
        <v>0</v>
      </c>
      <c r="DK582">
        <v>0</v>
      </c>
      <c r="DL582">
        <v>0</v>
      </c>
      <c r="DM582">
        <v>0</v>
      </c>
      <c r="DN582">
        <v>0</v>
      </c>
      <c r="DO582">
        <v>0</v>
      </c>
      <c r="DP582">
        <v>0</v>
      </c>
      <c r="DQ582">
        <v>0</v>
      </c>
      <c r="DR582">
        <v>0</v>
      </c>
      <c r="DS582">
        <v>0</v>
      </c>
      <c r="DT582">
        <v>0</v>
      </c>
      <c r="DU582">
        <v>0</v>
      </c>
    </row>
    <row r="583" spans="2:125">
      <c r="B583" s="136">
        <v>574</v>
      </c>
      <c r="C583" s="138">
        <v>1</v>
      </c>
      <c r="D583" s="474">
        <v>3825.9957722022427</v>
      </c>
      <c r="E583" s="127">
        <v>307.72010387960927</v>
      </c>
      <c r="F583" s="447">
        <v>0.38819083395935183</v>
      </c>
      <c r="G583" s="127">
        <v>123.26232500488069</v>
      </c>
      <c r="H583" s="132">
        <v>61.848729000745251</v>
      </c>
      <c r="I583" s="456"/>
      <c r="J583" s="45"/>
      <c r="K583" s="45">
        <v>520</v>
      </c>
      <c r="L583" s="463"/>
      <c r="M583" s="456">
        <v>29.927339553833008</v>
      </c>
      <c r="N583" s="457"/>
      <c r="O583" s="456"/>
      <c r="P583" s="46"/>
      <c r="Q583" s="463">
        <v>75.754714965820313</v>
      </c>
      <c r="R583" s="449"/>
      <c r="S583" s="463"/>
      <c r="T583" s="480"/>
      <c r="U583" s="468"/>
      <c r="V583" s="449"/>
      <c r="W583" s="45">
        <v>1444.7447509765625</v>
      </c>
      <c r="X583" s="463">
        <v>122.32326507568359</v>
      </c>
      <c r="Y583" s="449"/>
      <c r="Z583" s="45"/>
      <c r="AA583" s="468">
        <v>0.37962735960393501</v>
      </c>
      <c r="AB583" s="456"/>
      <c r="AC583" s="46"/>
      <c r="AD583" s="46"/>
      <c r="AE583" s="46"/>
      <c r="AF583" s="46"/>
      <c r="AG583" s="46"/>
      <c r="AH583" s="46"/>
      <c r="AI583" s="457"/>
      <c r="AJ583" s="138"/>
      <c r="AK583" s="745"/>
      <c r="AL583" s="54"/>
      <c r="AM583" s="468"/>
      <c r="AN583" s="449"/>
      <c r="AO583" s="45"/>
      <c r="AP583" s="45"/>
      <c r="AQ583" s="45"/>
      <c r="AR583" s="45"/>
      <c r="AS583" s="45"/>
      <c r="AT583" s="45"/>
      <c r="AU583" s="463"/>
      <c r="AV583" s="449"/>
      <c r="AW583" s="45"/>
      <c r="AX583" s="45"/>
      <c r="AY583" s="45"/>
      <c r="AZ583" s="45"/>
      <c r="BA583" s="45"/>
      <c r="BB583" s="45"/>
      <c r="BC583" s="463"/>
      <c r="BD583" s="456"/>
      <c r="BE583" s="46"/>
      <c r="BF583" s="46"/>
      <c r="BG583" s="46"/>
      <c r="BH583" s="46"/>
      <c r="BI583" s="46"/>
      <c r="BJ583" s="457"/>
      <c r="BK583" s="449">
        <v>0</v>
      </c>
      <c r="BL583" s="45"/>
      <c r="BM583" s="45"/>
      <c r="BN583" s="45"/>
      <c r="BO583" s="45"/>
      <c r="BP583" s="45"/>
      <c r="BQ583" s="45"/>
      <c r="BR583" s="45"/>
      <c r="BS583" s="45"/>
      <c r="BT583" s="45"/>
      <c r="BU583" s="45"/>
      <c r="BV583" s="45"/>
      <c r="BW583" s="45"/>
      <c r="BX583" s="45"/>
      <c r="BY583" s="45"/>
      <c r="BZ583" s="45"/>
      <c r="CA583" s="45"/>
      <c r="CB583" s="45"/>
      <c r="CC583" s="45"/>
      <c r="CD583" s="463"/>
      <c r="CE583">
        <v>0</v>
      </c>
      <c r="CF583">
        <v>0</v>
      </c>
      <c r="CG583">
        <v>0</v>
      </c>
      <c r="CH583">
        <v>0</v>
      </c>
      <c r="CI583">
        <v>0</v>
      </c>
      <c r="CJ583">
        <v>0</v>
      </c>
      <c r="CK583">
        <v>0</v>
      </c>
      <c r="CL583">
        <v>0</v>
      </c>
      <c r="CM583">
        <v>0</v>
      </c>
      <c r="CN583">
        <v>0</v>
      </c>
      <c r="CO583">
        <v>0</v>
      </c>
      <c r="CP583">
        <v>0</v>
      </c>
      <c r="CQ583">
        <v>0</v>
      </c>
      <c r="CR583">
        <v>0</v>
      </c>
      <c r="CS583">
        <v>0</v>
      </c>
      <c r="CT583">
        <v>0</v>
      </c>
      <c r="CU583">
        <v>0</v>
      </c>
      <c r="CV583">
        <v>0</v>
      </c>
      <c r="CW583">
        <v>0</v>
      </c>
      <c r="CX583">
        <v>0</v>
      </c>
      <c r="CY583">
        <v>0</v>
      </c>
      <c r="CZ583">
        <v>0</v>
      </c>
      <c r="DA583">
        <v>0</v>
      </c>
      <c r="DB583">
        <v>0</v>
      </c>
      <c r="DC583">
        <v>0</v>
      </c>
      <c r="DD583">
        <v>0</v>
      </c>
      <c r="DE583">
        <v>0</v>
      </c>
      <c r="DF583">
        <v>0</v>
      </c>
      <c r="DG583">
        <v>0</v>
      </c>
      <c r="DH583">
        <v>0</v>
      </c>
      <c r="DI583">
        <v>0</v>
      </c>
      <c r="DJ583">
        <v>0</v>
      </c>
      <c r="DK583">
        <v>0</v>
      </c>
      <c r="DL583">
        <v>0</v>
      </c>
      <c r="DM583">
        <v>0</v>
      </c>
      <c r="DN583">
        <v>0</v>
      </c>
      <c r="DO583">
        <v>0</v>
      </c>
      <c r="DP583">
        <v>0</v>
      </c>
      <c r="DQ583">
        <v>0</v>
      </c>
      <c r="DR583">
        <v>0</v>
      </c>
      <c r="DS583">
        <v>0</v>
      </c>
      <c r="DT583">
        <v>0</v>
      </c>
      <c r="DU583">
        <v>0</v>
      </c>
    </row>
    <row r="584" spans="2:125">
      <c r="B584" s="136">
        <v>575</v>
      </c>
      <c r="C584" s="138">
        <v>1</v>
      </c>
      <c r="D584" s="474">
        <v>3427.6013828896916</v>
      </c>
      <c r="E584" s="127">
        <v>219.2535047560477</v>
      </c>
      <c r="F584" s="447">
        <v>0.48795259590643553</v>
      </c>
      <c r="G584" s="127">
        <v>134.52665269672701</v>
      </c>
      <c r="H584" s="132">
        <v>59.461065824505631</v>
      </c>
      <c r="I584" s="456"/>
      <c r="J584" s="45"/>
      <c r="K584" s="45">
        <v>560</v>
      </c>
      <c r="L584" s="463"/>
      <c r="M584" s="456">
        <v>49.352310180664063</v>
      </c>
      <c r="N584" s="457"/>
      <c r="O584" s="456"/>
      <c r="P584" s="46"/>
      <c r="Q584" s="463">
        <v>75.873641967773438</v>
      </c>
      <c r="R584" s="449"/>
      <c r="S584" s="463"/>
      <c r="T584" s="480"/>
      <c r="U584" s="468"/>
      <c r="V584" s="449"/>
      <c r="W584" s="45">
        <v>2289.1865234375</v>
      </c>
      <c r="X584" s="463">
        <v>183.91621398925781</v>
      </c>
      <c r="Y584" s="449"/>
      <c r="Z584" s="45"/>
      <c r="AA584" s="468">
        <v>0.4778116699248896</v>
      </c>
      <c r="AB584" s="456"/>
      <c r="AC584" s="46"/>
      <c r="AD584" s="46"/>
      <c r="AE584" s="46"/>
      <c r="AF584" s="46"/>
      <c r="AG584" s="46"/>
      <c r="AH584" s="46"/>
      <c r="AI584" s="457"/>
      <c r="AJ584" s="138"/>
      <c r="AK584" s="745"/>
      <c r="AL584" s="54"/>
      <c r="AM584" s="468"/>
      <c r="AN584" s="449"/>
      <c r="AO584" s="45"/>
      <c r="AP584" s="45"/>
      <c r="AQ584" s="45"/>
      <c r="AR584" s="45"/>
      <c r="AS584" s="45"/>
      <c r="AT584" s="45"/>
      <c r="AU584" s="463"/>
      <c r="AV584" s="449"/>
      <c r="AW584" s="45"/>
      <c r="AX584" s="45"/>
      <c r="AY584" s="45"/>
      <c r="AZ584" s="45"/>
      <c r="BA584" s="45"/>
      <c r="BB584" s="45"/>
      <c r="BC584" s="463"/>
      <c r="BD584" s="456"/>
      <c r="BE584" s="46"/>
      <c r="BF584" s="46"/>
      <c r="BG584" s="46"/>
      <c r="BH584" s="46"/>
      <c r="BI584" s="46"/>
      <c r="BJ584" s="457"/>
      <c r="BK584" s="449">
        <v>0</v>
      </c>
      <c r="BL584" s="45"/>
      <c r="BM584" s="45"/>
      <c r="BN584" s="45"/>
      <c r="BO584" s="45"/>
      <c r="BP584" s="45"/>
      <c r="BQ584" s="45"/>
      <c r="BR584" s="45"/>
      <c r="BS584" s="45"/>
      <c r="BT584" s="45"/>
      <c r="BU584" s="45"/>
      <c r="BV584" s="45"/>
      <c r="BW584" s="45"/>
      <c r="BX584" s="45"/>
      <c r="BY584" s="45"/>
      <c r="BZ584" s="45"/>
      <c r="CA584" s="45"/>
      <c r="CB584" s="45"/>
      <c r="CC584" s="45"/>
      <c r="CD584" s="463"/>
      <c r="CE584">
        <v>0</v>
      </c>
      <c r="CF584">
        <v>0</v>
      </c>
      <c r="CG584">
        <v>0</v>
      </c>
      <c r="CH584">
        <v>0</v>
      </c>
      <c r="CI584">
        <v>0</v>
      </c>
      <c r="CJ584">
        <v>0</v>
      </c>
      <c r="CK584">
        <v>0</v>
      </c>
      <c r="CL584">
        <v>0</v>
      </c>
      <c r="CM584">
        <v>0</v>
      </c>
      <c r="CN584">
        <v>0</v>
      </c>
      <c r="CO584">
        <v>0</v>
      </c>
      <c r="CP584">
        <v>0</v>
      </c>
      <c r="CQ584">
        <v>0</v>
      </c>
      <c r="CR584">
        <v>0</v>
      </c>
      <c r="CS584">
        <v>0</v>
      </c>
      <c r="CT584">
        <v>0</v>
      </c>
      <c r="CU584">
        <v>0</v>
      </c>
      <c r="CV584">
        <v>0</v>
      </c>
      <c r="CW584">
        <v>0</v>
      </c>
      <c r="CX584">
        <v>0</v>
      </c>
      <c r="CY584">
        <v>0</v>
      </c>
      <c r="CZ584">
        <v>0</v>
      </c>
      <c r="DA584">
        <v>0</v>
      </c>
      <c r="DB584">
        <v>0</v>
      </c>
      <c r="DC584">
        <v>0</v>
      </c>
      <c r="DD584">
        <v>0</v>
      </c>
      <c r="DE584">
        <v>0</v>
      </c>
      <c r="DF584">
        <v>0</v>
      </c>
      <c r="DG584">
        <v>0</v>
      </c>
      <c r="DH584">
        <v>0</v>
      </c>
      <c r="DI584">
        <v>0</v>
      </c>
      <c r="DJ584">
        <v>0</v>
      </c>
      <c r="DK584">
        <v>0</v>
      </c>
      <c r="DL584">
        <v>0</v>
      </c>
      <c r="DM584">
        <v>0</v>
      </c>
      <c r="DN584">
        <v>0</v>
      </c>
      <c r="DO584">
        <v>0</v>
      </c>
      <c r="DP584">
        <v>0</v>
      </c>
      <c r="DQ584">
        <v>0</v>
      </c>
      <c r="DR584">
        <v>0</v>
      </c>
      <c r="DS584">
        <v>0</v>
      </c>
      <c r="DT584">
        <v>0</v>
      </c>
      <c r="DU584">
        <v>0</v>
      </c>
    </row>
    <row r="585" spans="2:125">
      <c r="B585" s="136">
        <v>576</v>
      </c>
      <c r="C585" s="138">
        <v>1</v>
      </c>
      <c r="D585" s="474">
        <v>3518.7893780051304</v>
      </c>
      <c r="E585" s="127">
        <v>317.94179828876963</v>
      </c>
      <c r="F585" s="447">
        <v>0.37960266221930866</v>
      </c>
      <c r="G585" s="127">
        <v>108.61615903372727</v>
      </c>
      <c r="H585" s="132">
        <v>60.464614761834746</v>
      </c>
      <c r="I585" s="456"/>
      <c r="J585" s="45"/>
      <c r="K585" s="45">
        <v>470</v>
      </c>
      <c r="L585" s="463"/>
      <c r="M585" s="456">
        <v>28.202175140380859</v>
      </c>
      <c r="N585" s="457"/>
      <c r="O585" s="456"/>
      <c r="P585" s="46"/>
      <c r="Q585" s="463">
        <v>69.672035217285156</v>
      </c>
      <c r="R585" s="449"/>
      <c r="S585" s="463"/>
      <c r="T585" s="480"/>
      <c r="U585" s="468"/>
      <c r="V585" s="449"/>
      <c r="W585" s="45">
        <v>1295.2713623046875</v>
      </c>
      <c r="X585" s="463">
        <v>111.25164794921875</v>
      </c>
      <c r="Y585" s="449"/>
      <c r="Z585" s="45"/>
      <c r="AA585" s="468">
        <v>0.37034037063456393</v>
      </c>
      <c r="AB585" s="456"/>
      <c r="AC585" s="46"/>
      <c r="AD585" s="46"/>
      <c r="AE585" s="46"/>
      <c r="AF585" s="46"/>
      <c r="AG585" s="46"/>
      <c r="AH585" s="46"/>
      <c r="AI585" s="457"/>
      <c r="AJ585" s="138"/>
      <c r="AK585" s="745"/>
      <c r="AL585" s="54"/>
      <c r="AM585" s="468"/>
      <c r="AN585" s="449"/>
      <c r="AO585" s="45"/>
      <c r="AP585" s="45"/>
      <c r="AQ585" s="45"/>
      <c r="AR585" s="45"/>
      <c r="AS585" s="45"/>
      <c r="AT585" s="45"/>
      <c r="AU585" s="463"/>
      <c r="AV585" s="449"/>
      <c r="AW585" s="45"/>
      <c r="AX585" s="45"/>
      <c r="AY585" s="45"/>
      <c r="AZ585" s="45"/>
      <c r="BA585" s="45"/>
      <c r="BB585" s="45"/>
      <c r="BC585" s="463"/>
      <c r="BD585" s="456"/>
      <c r="BE585" s="46"/>
      <c r="BF585" s="46"/>
      <c r="BG585" s="46"/>
      <c r="BH585" s="46"/>
      <c r="BI585" s="46"/>
      <c r="BJ585" s="457"/>
      <c r="BK585" s="449">
        <v>0</v>
      </c>
      <c r="BL585" s="45"/>
      <c r="BM585" s="45"/>
      <c r="BN585" s="45"/>
      <c r="BO585" s="45"/>
      <c r="BP585" s="45"/>
      <c r="BQ585" s="45"/>
      <c r="BR585" s="45"/>
      <c r="BS585" s="45"/>
      <c r="BT585" s="45"/>
      <c r="BU585" s="45"/>
      <c r="BV585" s="45"/>
      <c r="BW585" s="45"/>
      <c r="BX585" s="45"/>
      <c r="BY585" s="45"/>
      <c r="BZ585" s="45"/>
      <c r="CA585" s="45"/>
      <c r="CB585" s="45"/>
      <c r="CC585" s="45"/>
      <c r="CD585" s="463"/>
      <c r="CE585">
        <v>0</v>
      </c>
      <c r="CF585">
        <v>0</v>
      </c>
      <c r="CG585">
        <v>0</v>
      </c>
      <c r="CH585">
        <v>0</v>
      </c>
      <c r="CI585">
        <v>0</v>
      </c>
      <c r="CJ585">
        <v>0</v>
      </c>
      <c r="CK585">
        <v>0</v>
      </c>
      <c r="CL585">
        <v>0</v>
      </c>
      <c r="CM585">
        <v>0</v>
      </c>
      <c r="CN585">
        <v>0</v>
      </c>
      <c r="CO585">
        <v>0</v>
      </c>
      <c r="CP585">
        <v>0</v>
      </c>
      <c r="CQ585">
        <v>0</v>
      </c>
      <c r="CR585">
        <v>0</v>
      </c>
      <c r="CS585">
        <v>0</v>
      </c>
      <c r="CT585">
        <v>0</v>
      </c>
      <c r="CU585">
        <v>0</v>
      </c>
      <c r="CV585">
        <v>0</v>
      </c>
      <c r="CW585">
        <v>0</v>
      </c>
      <c r="CX585">
        <v>0</v>
      </c>
      <c r="CY585">
        <v>0</v>
      </c>
      <c r="CZ585">
        <v>0</v>
      </c>
      <c r="DA585">
        <v>0</v>
      </c>
      <c r="DB585">
        <v>0</v>
      </c>
      <c r="DC585">
        <v>0</v>
      </c>
      <c r="DD585">
        <v>0</v>
      </c>
      <c r="DE585">
        <v>0</v>
      </c>
      <c r="DF585">
        <v>0</v>
      </c>
      <c r="DG585">
        <v>0</v>
      </c>
      <c r="DH585">
        <v>0</v>
      </c>
      <c r="DI585">
        <v>0</v>
      </c>
      <c r="DJ585">
        <v>0</v>
      </c>
      <c r="DK585">
        <v>0</v>
      </c>
      <c r="DL585">
        <v>0</v>
      </c>
      <c r="DM585">
        <v>0</v>
      </c>
      <c r="DN585">
        <v>0</v>
      </c>
      <c r="DO585">
        <v>0</v>
      </c>
      <c r="DP585">
        <v>0</v>
      </c>
      <c r="DQ585">
        <v>0</v>
      </c>
      <c r="DR585">
        <v>0</v>
      </c>
      <c r="DS585">
        <v>0</v>
      </c>
      <c r="DT585">
        <v>0</v>
      </c>
      <c r="DU585">
        <v>0</v>
      </c>
    </row>
    <row r="586" spans="2:125">
      <c r="B586" s="136">
        <v>577</v>
      </c>
      <c r="C586" s="138">
        <v>1</v>
      </c>
      <c r="D586" s="474">
        <v>3132.2976745365622</v>
      </c>
      <c r="E586" s="127">
        <v>220.66523066137785</v>
      </c>
      <c r="F586" s="447">
        <v>0.38040859854759818</v>
      </c>
      <c r="G586" s="127">
        <v>129.36962482363163</v>
      </c>
      <c r="H586" s="132">
        <v>47.381352457689346</v>
      </c>
      <c r="I586" s="456"/>
      <c r="J586" s="45"/>
      <c r="K586" s="45">
        <v>490</v>
      </c>
      <c r="L586" s="463"/>
      <c r="M586" s="456">
        <v>31.702865600585938</v>
      </c>
      <c r="N586" s="457"/>
      <c r="O586" s="456"/>
      <c r="P586" s="46"/>
      <c r="Q586" s="463">
        <v>62.019496917724609</v>
      </c>
      <c r="R586" s="449"/>
      <c r="S586" s="463"/>
      <c r="T586" s="480"/>
      <c r="U586" s="468"/>
      <c r="V586" s="449"/>
      <c r="W586" s="45">
        <v>1352.1427001953125</v>
      </c>
      <c r="X586" s="463">
        <v>115.46298217773437</v>
      </c>
      <c r="Y586" s="449"/>
      <c r="Z586" s="45"/>
      <c r="AA586" s="468">
        <v>0.3699982942409436</v>
      </c>
      <c r="AB586" s="456"/>
      <c r="AC586" s="46"/>
      <c r="AD586" s="46"/>
      <c r="AE586" s="46"/>
      <c r="AF586" s="46"/>
      <c r="AG586" s="46"/>
      <c r="AH586" s="46"/>
      <c r="AI586" s="457"/>
      <c r="AJ586" s="138"/>
      <c r="AK586" s="745"/>
      <c r="AL586" s="54"/>
      <c r="AM586" s="468"/>
      <c r="AN586" s="449"/>
      <c r="AO586" s="45"/>
      <c r="AP586" s="45"/>
      <c r="AQ586" s="45"/>
      <c r="AR586" s="45"/>
      <c r="AS586" s="45"/>
      <c r="AT586" s="45"/>
      <c r="AU586" s="463"/>
      <c r="AV586" s="449"/>
      <c r="AW586" s="45"/>
      <c r="AX586" s="45"/>
      <c r="AY586" s="45"/>
      <c r="AZ586" s="45"/>
      <c r="BA586" s="45"/>
      <c r="BB586" s="45"/>
      <c r="BC586" s="463"/>
      <c r="BD586" s="456"/>
      <c r="BE586" s="46"/>
      <c r="BF586" s="46"/>
      <c r="BG586" s="46"/>
      <c r="BH586" s="46"/>
      <c r="BI586" s="46"/>
      <c r="BJ586" s="457"/>
      <c r="BK586" s="449">
        <v>0</v>
      </c>
      <c r="BL586" s="45"/>
      <c r="BM586" s="45"/>
      <c r="BN586" s="45"/>
      <c r="BO586" s="45"/>
      <c r="BP586" s="45"/>
      <c r="BQ586" s="45"/>
      <c r="BR586" s="45"/>
      <c r="BS586" s="45"/>
      <c r="BT586" s="45"/>
      <c r="BU586" s="45"/>
      <c r="BV586" s="45"/>
      <c r="BW586" s="45"/>
      <c r="BX586" s="45"/>
      <c r="BY586" s="45"/>
      <c r="BZ586" s="45"/>
      <c r="CA586" s="45"/>
      <c r="CB586" s="45"/>
      <c r="CC586" s="45"/>
      <c r="CD586" s="463"/>
      <c r="CE586">
        <v>0</v>
      </c>
      <c r="CF586">
        <v>0</v>
      </c>
      <c r="CG586">
        <v>0</v>
      </c>
      <c r="CH586">
        <v>0</v>
      </c>
      <c r="CI586">
        <v>0</v>
      </c>
      <c r="CJ586">
        <v>0</v>
      </c>
      <c r="CK586">
        <v>0</v>
      </c>
      <c r="CL586">
        <v>0</v>
      </c>
      <c r="CM586">
        <v>0</v>
      </c>
      <c r="CN586">
        <v>0</v>
      </c>
      <c r="CO586">
        <v>0</v>
      </c>
      <c r="CP586">
        <v>0</v>
      </c>
      <c r="CQ586">
        <v>0</v>
      </c>
      <c r="CR586">
        <v>0</v>
      </c>
      <c r="CS586">
        <v>0</v>
      </c>
      <c r="CT586">
        <v>0</v>
      </c>
      <c r="CU586">
        <v>0</v>
      </c>
      <c r="CV586">
        <v>0</v>
      </c>
      <c r="CW586">
        <v>0</v>
      </c>
      <c r="CX586">
        <v>0</v>
      </c>
      <c r="CY586">
        <v>0</v>
      </c>
      <c r="CZ586">
        <v>0</v>
      </c>
      <c r="DA586">
        <v>0</v>
      </c>
      <c r="DB586">
        <v>0</v>
      </c>
      <c r="DC586">
        <v>0</v>
      </c>
      <c r="DD586">
        <v>0</v>
      </c>
      <c r="DE586">
        <v>0</v>
      </c>
      <c r="DF586">
        <v>0</v>
      </c>
      <c r="DG586">
        <v>0</v>
      </c>
      <c r="DH586">
        <v>0</v>
      </c>
      <c r="DI586">
        <v>0</v>
      </c>
      <c r="DJ586">
        <v>0</v>
      </c>
      <c r="DK586">
        <v>0</v>
      </c>
      <c r="DL586">
        <v>0</v>
      </c>
      <c r="DM586">
        <v>0</v>
      </c>
      <c r="DN586">
        <v>0</v>
      </c>
      <c r="DO586">
        <v>0</v>
      </c>
      <c r="DP586">
        <v>0</v>
      </c>
      <c r="DQ586">
        <v>0</v>
      </c>
      <c r="DR586">
        <v>0</v>
      </c>
      <c r="DS586">
        <v>0</v>
      </c>
      <c r="DT586">
        <v>0</v>
      </c>
      <c r="DU586">
        <v>0</v>
      </c>
    </row>
    <row r="587" spans="2:125">
      <c r="B587" s="136">
        <v>578</v>
      </c>
      <c r="C587" s="138">
        <v>1</v>
      </c>
      <c r="D587" s="474">
        <v>3636.6170853503763</v>
      </c>
      <c r="E587" s="127">
        <v>297.19192754850661</v>
      </c>
      <c r="F587" s="447">
        <v>0.43954448001171975</v>
      </c>
      <c r="G587" s="127">
        <v>114.12838422622607</v>
      </c>
      <c r="H587" s="132">
        <v>66.830817845748911</v>
      </c>
      <c r="I587" s="456"/>
      <c r="J587" s="45"/>
      <c r="K587" s="45">
        <v>520</v>
      </c>
      <c r="L587" s="463"/>
      <c r="M587" s="456">
        <v>35.1202392578125</v>
      </c>
      <c r="N587" s="457"/>
      <c r="O587" s="456"/>
      <c r="P587" s="46"/>
      <c r="Q587" s="463">
        <v>80.483016967773438</v>
      </c>
      <c r="R587" s="449"/>
      <c r="S587" s="463"/>
      <c r="T587" s="480"/>
      <c r="U587" s="468"/>
      <c r="V587" s="449"/>
      <c r="W587" s="45">
        <v>1717.075927734375</v>
      </c>
      <c r="X587" s="463">
        <v>142.13925170898437</v>
      </c>
      <c r="Y587" s="449"/>
      <c r="Z587" s="45"/>
      <c r="AA587" s="468">
        <v>0.43025263299918814</v>
      </c>
      <c r="AB587" s="456"/>
      <c r="AC587" s="46"/>
      <c r="AD587" s="46"/>
      <c r="AE587" s="46"/>
      <c r="AF587" s="46"/>
      <c r="AG587" s="46"/>
      <c r="AH587" s="46"/>
      <c r="AI587" s="457"/>
      <c r="AJ587" s="138"/>
      <c r="AK587" s="745"/>
      <c r="AL587" s="54"/>
      <c r="AM587" s="468"/>
      <c r="AN587" s="449"/>
      <c r="AO587" s="45"/>
      <c r="AP587" s="45"/>
      <c r="AQ587" s="45"/>
      <c r="AR587" s="45"/>
      <c r="AS587" s="45"/>
      <c r="AT587" s="45"/>
      <c r="AU587" s="463"/>
      <c r="AV587" s="449"/>
      <c r="AW587" s="45"/>
      <c r="AX587" s="45"/>
      <c r="AY587" s="45"/>
      <c r="AZ587" s="45"/>
      <c r="BA587" s="45"/>
      <c r="BB587" s="45"/>
      <c r="BC587" s="463"/>
      <c r="BD587" s="456"/>
      <c r="BE587" s="46"/>
      <c r="BF587" s="46"/>
      <c r="BG587" s="46"/>
      <c r="BH587" s="46"/>
      <c r="BI587" s="46"/>
      <c r="BJ587" s="457"/>
      <c r="BK587" s="449">
        <v>0</v>
      </c>
      <c r="BL587" s="45"/>
      <c r="BM587" s="45"/>
      <c r="BN587" s="45"/>
      <c r="BO587" s="45"/>
      <c r="BP587" s="45"/>
      <c r="BQ587" s="45"/>
      <c r="BR587" s="45"/>
      <c r="BS587" s="45"/>
      <c r="BT587" s="45"/>
      <c r="BU587" s="45"/>
      <c r="BV587" s="45"/>
      <c r="BW587" s="45"/>
      <c r="BX587" s="45"/>
      <c r="BY587" s="45"/>
      <c r="BZ587" s="45"/>
      <c r="CA587" s="45"/>
      <c r="CB587" s="45"/>
      <c r="CC587" s="45"/>
      <c r="CD587" s="463"/>
      <c r="CE587">
        <v>0</v>
      </c>
      <c r="CF587">
        <v>0</v>
      </c>
      <c r="CG587">
        <v>0</v>
      </c>
      <c r="CH587">
        <v>0</v>
      </c>
      <c r="CI587">
        <v>0</v>
      </c>
      <c r="CJ587">
        <v>0</v>
      </c>
      <c r="CK587">
        <v>0</v>
      </c>
      <c r="CL587">
        <v>0</v>
      </c>
      <c r="CM587">
        <v>0</v>
      </c>
      <c r="CN587">
        <v>0</v>
      </c>
      <c r="CO587">
        <v>0</v>
      </c>
      <c r="CP587">
        <v>0</v>
      </c>
      <c r="CQ587">
        <v>0</v>
      </c>
      <c r="CR587">
        <v>0</v>
      </c>
      <c r="CS587">
        <v>0</v>
      </c>
      <c r="CT587">
        <v>0</v>
      </c>
      <c r="CU587">
        <v>0</v>
      </c>
      <c r="CV587">
        <v>0</v>
      </c>
      <c r="CW587">
        <v>0</v>
      </c>
      <c r="CX587">
        <v>0</v>
      </c>
      <c r="CY587">
        <v>0</v>
      </c>
      <c r="CZ587">
        <v>0</v>
      </c>
      <c r="DA587">
        <v>0</v>
      </c>
      <c r="DB587">
        <v>0</v>
      </c>
      <c r="DC587">
        <v>0</v>
      </c>
      <c r="DD587">
        <v>0</v>
      </c>
      <c r="DE587">
        <v>0</v>
      </c>
      <c r="DF587">
        <v>0</v>
      </c>
      <c r="DG587">
        <v>0</v>
      </c>
      <c r="DH587">
        <v>0</v>
      </c>
      <c r="DI587">
        <v>0</v>
      </c>
      <c r="DJ587">
        <v>0</v>
      </c>
      <c r="DK587">
        <v>0</v>
      </c>
      <c r="DL587">
        <v>0</v>
      </c>
      <c r="DM587">
        <v>0</v>
      </c>
      <c r="DN587">
        <v>0</v>
      </c>
      <c r="DO587">
        <v>0</v>
      </c>
      <c r="DP587">
        <v>0</v>
      </c>
      <c r="DQ587">
        <v>0</v>
      </c>
      <c r="DR587">
        <v>0</v>
      </c>
      <c r="DS587">
        <v>0</v>
      </c>
      <c r="DT587">
        <v>0</v>
      </c>
      <c r="DU587">
        <v>0</v>
      </c>
    </row>
    <row r="588" spans="2:125">
      <c r="B588" s="136">
        <v>579</v>
      </c>
      <c r="C588" s="138">
        <v>1</v>
      </c>
      <c r="D588" s="474">
        <v>3250.5917674670927</v>
      </c>
      <c r="E588" s="127">
        <v>244.89106904920959</v>
      </c>
      <c r="F588" s="447">
        <v>0.45870872413465974</v>
      </c>
      <c r="G588" s="127">
        <v>112.40347811476596</v>
      </c>
      <c r="H588" s="132">
        <v>55.096140369528754</v>
      </c>
      <c r="I588" s="456"/>
      <c r="J588" s="45"/>
      <c r="K588" s="45">
        <v>470</v>
      </c>
      <c r="L588" s="463"/>
      <c r="M588" s="456">
        <v>40.162303924560547</v>
      </c>
      <c r="N588" s="457"/>
      <c r="O588" s="456"/>
      <c r="P588" s="46"/>
      <c r="Q588" s="463">
        <v>64.361724853515625</v>
      </c>
      <c r="R588" s="449"/>
      <c r="S588" s="463"/>
      <c r="T588" s="480"/>
      <c r="U588" s="468"/>
      <c r="V588" s="449"/>
      <c r="W588" s="45">
        <v>1704.668212890625</v>
      </c>
      <c r="X588" s="463">
        <v>141.02131652832031</v>
      </c>
      <c r="Y588" s="449"/>
      <c r="Z588" s="45"/>
      <c r="AA588" s="468">
        <v>0.44819550779518619</v>
      </c>
      <c r="AB588" s="456"/>
      <c r="AC588" s="46"/>
      <c r="AD588" s="46"/>
      <c r="AE588" s="46"/>
      <c r="AF588" s="46"/>
      <c r="AG588" s="46"/>
      <c r="AH588" s="46"/>
      <c r="AI588" s="457"/>
      <c r="AJ588" s="138"/>
      <c r="AK588" s="745"/>
      <c r="AL588" s="54"/>
      <c r="AM588" s="468"/>
      <c r="AN588" s="449"/>
      <c r="AO588" s="45"/>
      <c r="AP588" s="45"/>
      <c r="AQ588" s="45"/>
      <c r="AR588" s="45"/>
      <c r="AS588" s="45"/>
      <c r="AT588" s="45"/>
      <c r="AU588" s="463"/>
      <c r="AV588" s="449"/>
      <c r="AW588" s="45"/>
      <c r="AX588" s="45"/>
      <c r="AY588" s="45"/>
      <c r="AZ588" s="45"/>
      <c r="BA588" s="45"/>
      <c r="BB588" s="45"/>
      <c r="BC588" s="463"/>
      <c r="BD588" s="456"/>
      <c r="BE588" s="46"/>
      <c r="BF588" s="46"/>
      <c r="BG588" s="46"/>
      <c r="BH588" s="46"/>
      <c r="BI588" s="46"/>
      <c r="BJ588" s="457"/>
      <c r="BK588" s="449">
        <v>0</v>
      </c>
      <c r="BL588" s="45"/>
      <c r="BM588" s="45"/>
      <c r="BN588" s="45"/>
      <c r="BO588" s="45"/>
      <c r="BP588" s="45"/>
      <c r="BQ588" s="45"/>
      <c r="BR588" s="45"/>
      <c r="BS588" s="45"/>
      <c r="BT588" s="45"/>
      <c r="BU588" s="45"/>
      <c r="BV588" s="45"/>
      <c r="BW588" s="45"/>
      <c r="BX588" s="45"/>
      <c r="BY588" s="45"/>
      <c r="BZ588" s="45"/>
      <c r="CA588" s="45"/>
      <c r="CB588" s="45"/>
      <c r="CC588" s="45"/>
      <c r="CD588" s="463"/>
      <c r="CE588">
        <v>0</v>
      </c>
      <c r="CF588">
        <v>0</v>
      </c>
      <c r="CG588">
        <v>0</v>
      </c>
      <c r="CH588">
        <v>0</v>
      </c>
      <c r="CI588">
        <v>0</v>
      </c>
      <c r="CJ588">
        <v>0</v>
      </c>
      <c r="CK588">
        <v>0</v>
      </c>
      <c r="CL588">
        <v>0</v>
      </c>
      <c r="CM588">
        <v>0</v>
      </c>
      <c r="CN588">
        <v>0</v>
      </c>
      <c r="CO588">
        <v>0</v>
      </c>
      <c r="CP588">
        <v>0</v>
      </c>
      <c r="CQ588">
        <v>0</v>
      </c>
      <c r="CR588">
        <v>0</v>
      </c>
      <c r="CS588">
        <v>0</v>
      </c>
      <c r="CT588">
        <v>0</v>
      </c>
      <c r="CU588">
        <v>0</v>
      </c>
      <c r="CV588">
        <v>0</v>
      </c>
      <c r="CW588">
        <v>0</v>
      </c>
      <c r="CX588">
        <v>0</v>
      </c>
      <c r="CY588">
        <v>0</v>
      </c>
      <c r="CZ588">
        <v>0</v>
      </c>
      <c r="DA588">
        <v>0</v>
      </c>
      <c r="DB588">
        <v>0</v>
      </c>
      <c r="DC588">
        <v>0</v>
      </c>
      <c r="DD588">
        <v>0</v>
      </c>
      <c r="DE588">
        <v>0</v>
      </c>
      <c r="DF588">
        <v>0</v>
      </c>
      <c r="DG588">
        <v>0</v>
      </c>
      <c r="DH588">
        <v>0</v>
      </c>
      <c r="DI588">
        <v>0</v>
      </c>
      <c r="DJ588">
        <v>0</v>
      </c>
      <c r="DK588">
        <v>0</v>
      </c>
      <c r="DL588">
        <v>0</v>
      </c>
      <c r="DM588">
        <v>0</v>
      </c>
      <c r="DN588">
        <v>0</v>
      </c>
      <c r="DO588">
        <v>0</v>
      </c>
      <c r="DP588">
        <v>0</v>
      </c>
      <c r="DQ588">
        <v>0</v>
      </c>
      <c r="DR588">
        <v>0</v>
      </c>
      <c r="DS588">
        <v>0</v>
      </c>
      <c r="DT588">
        <v>0</v>
      </c>
      <c r="DU588">
        <v>0</v>
      </c>
    </row>
    <row r="589" spans="2:125">
      <c r="B589" s="136">
        <v>580</v>
      </c>
      <c r="C589" s="138">
        <v>1</v>
      </c>
      <c r="D589" s="474">
        <v>2664.9051579812458</v>
      </c>
      <c r="E589" s="127">
        <v>277.59754900664183</v>
      </c>
      <c r="F589" s="447">
        <v>0.42778651297851583</v>
      </c>
      <c r="G589" s="127">
        <v>103.15545169089222</v>
      </c>
      <c r="H589" s="132">
        <v>54.307213008886293</v>
      </c>
      <c r="I589" s="456"/>
      <c r="J589" s="45"/>
      <c r="K589" s="45">
        <v>430</v>
      </c>
      <c r="L589" s="463"/>
      <c r="M589" s="456">
        <v>33.956409454345703</v>
      </c>
      <c r="N589" s="457"/>
      <c r="O589" s="456"/>
      <c r="P589" s="46"/>
      <c r="Q589" s="463">
        <v>60.845252990722656</v>
      </c>
      <c r="R589" s="449"/>
      <c r="S589" s="463"/>
      <c r="T589" s="480"/>
      <c r="U589" s="468"/>
      <c r="V589" s="449"/>
      <c r="W589" s="45">
        <v>1407.3453369140625</v>
      </c>
      <c r="X589" s="463">
        <v>119.2425537109375</v>
      </c>
      <c r="Y589" s="449"/>
      <c r="Z589" s="45"/>
      <c r="AA589" s="468">
        <v>0.41519479647443208</v>
      </c>
      <c r="AB589" s="456"/>
      <c r="AC589" s="46"/>
      <c r="AD589" s="46"/>
      <c r="AE589" s="46"/>
      <c r="AF589" s="46"/>
      <c r="AG589" s="46"/>
      <c r="AH589" s="46"/>
      <c r="AI589" s="457"/>
      <c r="AJ589" s="138"/>
      <c r="AK589" s="745"/>
      <c r="AL589" s="54"/>
      <c r="AM589" s="468"/>
      <c r="AN589" s="449"/>
      <c r="AO589" s="45"/>
      <c r="AP589" s="45"/>
      <c r="AQ589" s="45"/>
      <c r="AR589" s="45"/>
      <c r="AS589" s="45"/>
      <c r="AT589" s="45"/>
      <c r="AU589" s="463"/>
      <c r="AV589" s="449"/>
      <c r="AW589" s="45"/>
      <c r="AX589" s="45"/>
      <c r="AY589" s="45"/>
      <c r="AZ589" s="45"/>
      <c r="BA589" s="45"/>
      <c r="BB589" s="45"/>
      <c r="BC589" s="463"/>
      <c r="BD589" s="456"/>
      <c r="BE589" s="46"/>
      <c r="BF589" s="46"/>
      <c r="BG589" s="46"/>
      <c r="BH589" s="46"/>
      <c r="BI589" s="46"/>
      <c r="BJ589" s="457"/>
      <c r="BK589" s="449">
        <v>0</v>
      </c>
      <c r="BL589" s="45"/>
      <c r="BM589" s="45"/>
      <c r="BN589" s="45"/>
      <c r="BO589" s="45"/>
      <c r="BP589" s="45"/>
      <c r="BQ589" s="45"/>
      <c r="BR589" s="45"/>
      <c r="BS589" s="45"/>
      <c r="BT589" s="45"/>
      <c r="BU589" s="45"/>
      <c r="BV589" s="45"/>
      <c r="BW589" s="45"/>
      <c r="BX589" s="45"/>
      <c r="BY589" s="45"/>
      <c r="BZ589" s="45"/>
      <c r="CA589" s="45"/>
      <c r="CB589" s="45"/>
      <c r="CC589" s="45"/>
      <c r="CD589" s="463"/>
      <c r="CE589">
        <v>0</v>
      </c>
      <c r="CF589">
        <v>0</v>
      </c>
      <c r="CG589">
        <v>0</v>
      </c>
      <c r="CH589">
        <v>0</v>
      </c>
      <c r="CI589">
        <v>0</v>
      </c>
      <c r="CJ589">
        <v>0</v>
      </c>
      <c r="CK589">
        <v>0</v>
      </c>
      <c r="CL589">
        <v>0</v>
      </c>
      <c r="CM589">
        <v>0</v>
      </c>
      <c r="CN589">
        <v>0</v>
      </c>
      <c r="CO589">
        <v>0</v>
      </c>
      <c r="CP589">
        <v>0</v>
      </c>
      <c r="CQ589">
        <v>0</v>
      </c>
      <c r="CR589">
        <v>0</v>
      </c>
      <c r="CS589">
        <v>0</v>
      </c>
      <c r="CT589">
        <v>0</v>
      </c>
      <c r="CU589">
        <v>0</v>
      </c>
      <c r="CV589">
        <v>0</v>
      </c>
      <c r="CW589">
        <v>0</v>
      </c>
      <c r="CX589">
        <v>0</v>
      </c>
      <c r="CY589">
        <v>0</v>
      </c>
      <c r="CZ589">
        <v>0</v>
      </c>
      <c r="DA589">
        <v>0</v>
      </c>
      <c r="DB589">
        <v>0</v>
      </c>
      <c r="DC589">
        <v>0</v>
      </c>
      <c r="DD589">
        <v>0</v>
      </c>
      <c r="DE589">
        <v>0</v>
      </c>
      <c r="DF589">
        <v>0</v>
      </c>
      <c r="DG589">
        <v>0</v>
      </c>
      <c r="DH589">
        <v>0</v>
      </c>
      <c r="DI589">
        <v>0</v>
      </c>
      <c r="DJ589">
        <v>0</v>
      </c>
      <c r="DK589">
        <v>0</v>
      </c>
      <c r="DL589">
        <v>0</v>
      </c>
      <c r="DM589">
        <v>0</v>
      </c>
      <c r="DN589">
        <v>0</v>
      </c>
      <c r="DO589">
        <v>0</v>
      </c>
      <c r="DP589">
        <v>0</v>
      </c>
      <c r="DQ589">
        <v>0</v>
      </c>
      <c r="DR589">
        <v>0</v>
      </c>
      <c r="DS589">
        <v>0</v>
      </c>
      <c r="DT589">
        <v>0</v>
      </c>
      <c r="DU589">
        <v>0</v>
      </c>
    </row>
    <row r="590" spans="2:125">
      <c r="B590" s="136">
        <v>581</v>
      </c>
      <c r="C590" s="138">
        <v>1</v>
      </c>
      <c r="D590" s="474">
        <v>3368.2624960908843</v>
      </c>
      <c r="E590" s="127">
        <v>223.98993046982287</v>
      </c>
      <c r="F590" s="447">
        <v>0.38180677171897881</v>
      </c>
      <c r="G590" s="127">
        <v>108.52200781487976</v>
      </c>
      <c r="H590" s="132">
        <v>58.112317196027625</v>
      </c>
      <c r="I590" s="456"/>
      <c r="J590" s="45"/>
      <c r="K590" s="45">
        <v>460</v>
      </c>
      <c r="L590" s="463"/>
      <c r="M590" s="456">
        <v>28.477912902832031</v>
      </c>
      <c r="N590" s="457"/>
      <c r="O590" s="456"/>
      <c r="P590" s="46"/>
      <c r="Q590" s="463">
        <v>66.691596984863281</v>
      </c>
      <c r="R590" s="449"/>
      <c r="S590" s="463"/>
      <c r="T590" s="480"/>
      <c r="U590" s="468"/>
      <c r="V590" s="449"/>
      <c r="W590" s="45">
        <v>1271.9114990234375</v>
      </c>
      <c r="X590" s="463">
        <v>109.49474334716797</v>
      </c>
      <c r="Y590" s="449"/>
      <c r="Z590" s="45"/>
      <c r="AA590" s="468">
        <v>0.37211746292185971</v>
      </c>
      <c r="AB590" s="456"/>
      <c r="AC590" s="46"/>
      <c r="AD590" s="46"/>
      <c r="AE590" s="46"/>
      <c r="AF590" s="46"/>
      <c r="AG590" s="46"/>
      <c r="AH590" s="46"/>
      <c r="AI590" s="457"/>
      <c r="AJ590" s="138"/>
      <c r="AK590" s="745"/>
      <c r="AL590" s="54"/>
      <c r="AM590" s="468"/>
      <c r="AN590" s="449"/>
      <c r="AO590" s="45"/>
      <c r="AP590" s="45"/>
      <c r="AQ590" s="45"/>
      <c r="AR590" s="45"/>
      <c r="AS590" s="45"/>
      <c r="AT590" s="45"/>
      <c r="AU590" s="463"/>
      <c r="AV590" s="449"/>
      <c r="AW590" s="45"/>
      <c r="AX590" s="45"/>
      <c r="AY590" s="45"/>
      <c r="AZ590" s="45"/>
      <c r="BA590" s="45"/>
      <c r="BB590" s="45"/>
      <c r="BC590" s="463"/>
      <c r="BD590" s="456"/>
      <c r="BE590" s="46"/>
      <c r="BF590" s="46"/>
      <c r="BG590" s="46"/>
      <c r="BH590" s="46"/>
      <c r="BI590" s="46"/>
      <c r="BJ590" s="457"/>
      <c r="BK590" s="449">
        <v>0</v>
      </c>
      <c r="BL590" s="45"/>
      <c r="BM590" s="45"/>
      <c r="BN590" s="45"/>
      <c r="BO590" s="45"/>
      <c r="BP590" s="45"/>
      <c r="BQ590" s="45"/>
      <c r="BR590" s="45"/>
      <c r="BS590" s="45"/>
      <c r="BT590" s="45"/>
      <c r="BU590" s="45"/>
      <c r="BV590" s="45"/>
      <c r="BW590" s="45"/>
      <c r="BX590" s="45"/>
      <c r="BY590" s="45"/>
      <c r="BZ590" s="45"/>
      <c r="CA590" s="45"/>
      <c r="CB590" s="45"/>
      <c r="CC590" s="45"/>
      <c r="CD590" s="463"/>
      <c r="CE590">
        <v>0</v>
      </c>
      <c r="CF590">
        <v>0</v>
      </c>
      <c r="CG590">
        <v>0</v>
      </c>
      <c r="CH590">
        <v>0</v>
      </c>
      <c r="CI590">
        <v>0</v>
      </c>
      <c r="CJ590">
        <v>0</v>
      </c>
      <c r="CK590">
        <v>0</v>
      </c>
      <c r="CL590">
        <v>0</v>
      </c>
      <c r="CM590">
        <v>0</v>
      </c>
      <c r="CN590">
        <v>0</v>
      </c>
      <c r="CO590">
        <v>0</v>
      </c>
      <c r="CP590">
        <v>0</v>
      </c>
      <c r="CQ590">
        <v>0</v>
      </c>
      <c r="CR590">
        <v>0</v>
      </c>
      <c r="CS590">
        <v>0</v>
      </c>
      <c r="CT590">
        <v>0</v>
      </c>
      <c r="CU590">
        <v>0</v>
      </c>
      <c r="CV590">
        <v>0</v>
      </c>
      <c r="CW590">
        <v>0</v>
      </c>
      <c r="CX590">
        <v>0</v>
      </c>
      <c r="CY590">
        <v>0</v>
      </c>
      <c r="CZ590">
        <v>0</v>
      </c>
      <c r="DA590">
        <v>0</v>
      </c>
      <c r="DB590">
        <v>0</v>
      </c>
      <c r="DC590">
        <v>0</v>
      </c>
      <c r="DD590">
        <v>0</v>
      </c>
      <c r="DE590">
        <v>0</v>
      </c>
      <c r="DF590">
        <v>0</v>
      </c>
      <c r="DG590">
        <v>0</v>
      </c>
      <c r="DH590">
        <v>0</v>
      </c>
      <c r="DI590">
        <v>0</v>
      </c>
      <c r="DJ590">
        <v>0</v>
      </c>
      <c r="DK590">
        <v>0</v>
      </c>
      <c r="DL590">
        <v>0</v>
      </c>
      <c r="DM590">
        <v>0</v>
      </c>
      <c r="DN590">
        <v>0</v>
      </c>
      <c r="DO590">
        <v>0</v>
      </c>
      <c r="DP590">
        <v>0</v>
      </c>
      <c r="DQ590">
        <v>0</v>
      </c>
      <c r="DR590">
        <v>0</v>
      </c>
      <c r="DS590">
        <v>0</v>
      </c>
      <c r="DT590">
        <v>0</v>
      </c>
      <c r="DU590">
        <v>0</v>
      </c>
    </row>
    <row r="591" spans="2:125">
      <c r="B591" s="136">
        <v>582</v>
      </c>
      <c r="C591" s="138">
        <v>1</v>
      </c>
      <c r="D591" s="474">
        <v>3678.8488240778156</v>
      </c>
      <c r="E591" s="127">
        <v>218.44427399176371</v>
      </c>
      <c r="F591" s="447">
        <v>0.39561287477193963</v>
      </c>
      <c r="G591" s="127">
        <v>141.33156445593488</v>
      </c>
      <c r="H591" s="132">
        <v>55.203820503920262</v>
      </c>
      <c r="I591" s="456"/>
      <c r="J591" s="45"/>
      <c r="K591" s="45">
        <v>550</v>
      </c>
      <c r="L591" s="463"/>
      <c r="M591" s="456">
        <v>33.308490753173828</v>
      </c>
      <c r="N591" s="457"/>
      <c r="O591" s="456"/>
      <c r="P591" s="46"/>
      <c r="Q591" s="463">
        <v>72.841201782226562</v>
      </c>
      <c r="R591" s="449"/>
      <c r="S591" s="463"/>
      <c r="T591" s="480"/>
      <c r="U591" s="468"/>
      <c r="V591" s="449"/>
      <c r="W591" s="45">
        <v>1571.3045654296875</v>
      </c>
      <c r="X591" s="463">
        <v>131.66731262207031</v>
      </c>
      <c r="Y591" s="449"/>
      <c r="Z591" s="45"/>
      <c r="AA591" s="468">
        <v>0.38666652794734863</v>
      </c>
      <c r="AB591" s="456"/>
      <c r="AC591" s="46"/>
      <c r="AD591" s="46"/>
      <c r="AE591" s="46"/>
      <c r="AF591" s="46"/>
      <c r="AG591" s="46"/>
      <c r="AH591" s="46"/>
      <c r="AI591" s="457"/>
      <c r="AJ591" s="138"/>
      <c r="AK591" s="745"/>
      <c r="AL591" s="54"/>
      <c r="AM591" s="468"/>
      <c r="AN591" s="449"/>
      <c r="AO591" s="45"/>
      <c r="AP591" s="45"/>
      <c r="AQ591" s="45"/>
      <c r="AR591" s="45"/>
      <c r="AS591" s="45"/>
      <c r="AT591" s="45"/>
      <c r="AU591" s="463"/>
      <c r="AV591" s="449"/>
      <c r="AW591" s="45"/>
      <c r="AX591" s="45"/>
      <c r="AY591" s="45"/>
      <c r="AZ591" s="45"/>
      <c r="BA591" s="45"/>
      <c r="BB591" s="45"/>
      <c r="BC591" s="463"/>
      <c r="BD591" s="456"/>
      <c r="BE591" s="46"/>
      <c r="BF591" s="46"/>
      <c r="BG591" s="46"/>
      <c r="BH591" s="46"/>
      <c r="BI591" s="46"/>
      <c r="BJ591" s="457"/>
      <c r="BK591" s="449">
        <v>0</v>
      </c>
      <c r="BL591" s="45"/>
      <c r="BM591" s="45"/>
      <c r="BN591" s="45"/>
      <c r="BO591" s="45"/>
      <c r="BP591" s="45"/>
      <c r="BQ591" s="45"/>
      <c r="BR591" s="45"/>
      <c r="BS591" s="45"/>
      <c r="BT591" s="45"/>
      <c r="BU591" s="45"/>
      <c r="BV591" s="45"/>
      <c r="BW591" s="45"/>
      <c r="BX591" s="45"/>
      <c r="BY591" s="45"/>
      <c r="BZ591" s="45"/>
      <c r="CA591" s="45"/>
      <c r="CB591" s="45"/>
      <c r="CC591" s="45"/>
      <c r="CD591" s="463"/>
      <c r="CE591">
        <v>0</v>
      </c>
      <c r="CF591">
        <v>0</v>
      </c>
      <c r="CG591">
        <v>0</v>
      </c>
      <c r="CH591">
        <v>0</v>
      </c>
      <c r="CI591">
        <v>0</v>
      </c>
      <c r="CJ591">
        <v>0</v>
      </c>
      <c r="CK591">
        <v>0</v>
      </c>
      <c r="CL591">
        <v>0</v>
      </c>
      <c r="CM591">
        <v>0</v>
      </c>
      <c r="CN591">
        <v>0</v>
      </c>
      <c r="CO591">
        <v>0</v>
      </c>
      <c r="CP591">
        <v>0</v>
      </c>
      <c r="CQ591">
        <v>0</v>
      </c>
      <c r="CR591">
        <v>0</v>
      </c>
      <c r="CS591">
        <v>0</v>
      </c>
      <c r="CT591">
        <v>0</v>
      </c>
      <c r="CU591">
        <v>0</v>
      </c>
      <c r="CV591">
        <v>0</v>
      </c>
      <c r="CW591">
        <v>0</v>
      </c>
      <c r="CX591">
        <v>0</v>
      </c>
      <c r="CY591">
        <v>0</v>
      </c>
      <c r="CZ591">
        <v>0</v>
      </c>
      <c r="DA591">
        <v>0</v>
      </c>
      <c r="DB591">
        <v>0</v>
      </c>
      <c r="DC591">
        <v>0</v>
      </c>
      <c r="DD591">
        <v>0</v>
      </c>
      <c r="DE591">
        <v>0</v>
      </c>
      <c r="DF591">
        <v>0</v>
      </c>
      <c r="DG591">
        <v>0</v>
      </c>
      <c r="DH591">
        <v>0</v>
      </c>
      <c r="DI591">
        <v>0</v>
      </c>
      <c r="DJ591">
        <v>0</v>
      </c>
      <c r="DK591">
        <v>0</v>
      </c>
      <c r="DL591">
        <v>0</v>
      </c>
      <c r="DM591">
        <v>0</v>
      </c>
      <c r="DN591">
        <v>0</v>
      </c>
      <c r="DO591">
        <v>0</v>
      </c>
      <c r="DP591">
        <v>0</v>
      </c>
      <c r="DQ591">
        <v>0</v>
      </c>
      <c r="DR591">
        <v>0</v>
      </c>
      <c r="DS591">
        <v>0</v>
      </c>
      <c r="DT591">
        <v>0</v>
      </c>
      <c r="DU591">
        <v>0</v>
      </c>
    </row>
    <row r="592" spans="2:125">
      <c r="B592" s="136">
        <v>583</v>
      </c>
      <c r="C592" s="138">
        <v>1</v>
      </c>
      <c r="D592" s="474">
        <v>3531.7304710244402</v>
      </c>
      <c r="E592" s="127">
        <v>241.73367004538218</v>
      </c>
      <c r="F592" s="447">
        <v>0.44942404407901593</v>
      </c>
      <c r="G592" s="127">
        <v>134.18278866798906</v>
      </c>
      <c r="H592" s="132">
        <v>61.176876818159933</v>
      </c>
      <c r="I592" s="456"/>
      <c r="J592" s="45"/>
      <c r="K592" s="45">
        <v>560</v>
      </c>
      <c r="L592" s="463"/>
      <c r="M592" s="456">
        <v>40.029594421386719</v>
      </c>
      <c r="N592" s="457"/>
      <c r="O592" s="456"/>
      <c r="P592" s="46"/>
      <c r="Q592" s="463">
        <v>78.003753662109375</v>
      </c>
      <c r="R592" s="449"/>
      <c r="S592" s="463"/>
      <c r="T592" s="480"/>
      <c r="U592" s="468"/>
      <c r="V592" s="449"/>
      <c r="W592" s="45">
        <v>1919.55615234375</v>
      </c>
      <c r="X592" s="463">
        <v>157.02716064453125</v>
      </c>
      <c r="Y592" s="449"/>
      <c r="Z592" s="45"/>
      <c r="AA592" s="468">
        <v>0.43980029697814466</v>
      </c>
      <c r="AB592" s="456"/>
      <c r="AC592" s="46"/>
      <c r="AD592" s="46"/>
      <c r="AE592" s="46"/>
      <c r="AF592" s="46"/>
      <c r="AG592" s="46"/>
      <c r="AH592" s="46"/>
      <c r="AI592" s="457"/>
      <c r="AJ592" s="138"/>
      <c r="AK592" s="745"/>
      <c r="AL592" s="54"/>
      <c r="AM592" s="468"/>
      <c r="AN592" s="449"/>
      <c r="AO592" s="45"/>
      <c r="AP592" s="45"/>
      <c r="AQ592" s="45"/>
      <c r="AR592" s="45"/>
      <c r="AS592" s="45"/>
      <c r="AT592" s="45"/>
      <c r="AU592" s="463"/>
      <c r="AV592" s="449"/>
      <c r="AW592" s="45"/>
      <c r="AX592" s="45"/>
      <c r="AY592" s="45"/>
      <c r="AZ592" s="45"/>
      <c r="BA592" s="45"/>
      <c r="BB592" s="45"/>
      <c r="BC592" s="463"/>
      <c r="BD592" s="456"/>
      <c r="BE592" s="46"/>
      <c r="BF592" s="46"/>
      <c r="BG592" s="46"/>
      <c r="BH592" s="46"/>
      <c r="BI592" s="46"/>
      <c r="BJ592" s="457"/>
      <c r="BK592" s="449">
        <v>0</v>
      </c>
      <c r="BL592" s="45"/>
      <c r="BM592" s="45"/>
      <c r="BN592" s="45"/>
      <c r="BO592" s="45"/>
      <c r="BP592" s="45"/>
      <c r="BQ592" s="45"/>
      <c r="BR592" s="45"/>
      <c r="BS592" s="45"/>
      <c r="BT592" s="45"/>
      <c r="BU592" s="45"/>
      <c r="BV592" s="45"/>
      <c r="BW592" s="45"/>
      <c r="BX592" s="45"/>
      <c r="BY592" s="45"/>
      <c r="BZ592" s="45"/>
      <c r="CA592" s="45"/>
      <c r="CB592" s="45"/>
      <c r="CC592" s="45"/>
      <c r="CD592" s="463"/>
      <c r="CE592">
        <v>0</v>
      </c>
      <c r="CF592">
        <v>0</v>
      </c>
      <c r="CG592">
        <v>0</v>
      </c>
      <c r="CH592">
        <v>0</v>
      </c>
      <c r="CI592">
        <v>0</v>
      </c>
      <c r="CJ592">
        <v>0</v>
      </c>
      <c r="CK592">
        <v>0</v>
      </c>
      <c r="CL592">
        <v>0</v>
      </c>
      <c r="CM592">
        <v>0</v>
      </c>
      <c r="CN592">
        <v>0</v>
      </c>
      <c r="CO592">
        <v>0</v>
      </c>
      <c r="CP592">
        <v>0</v>
      </c>
      <c r="CQ592">
        <v>0</v>
      </c>
      <c r="CR592">
        <v>0</v>
      </c>
      <c r="CS592">
        <v>0</v>
      </c>
      <c r="CT592">
        <v>0</v>
      </c>
      <c r="CU592">
        <v>0</v>
      </c>
      <c r="CV592">
        <v>0</v>
      </c>
      <c r="CW592">
        <v>0</v>
      </c>
      <c r="CX592">
        <v>0</v>
      </c>
      <c r="CY592">
        <v>0</v>
      </c>
      <c r="CZ592">
        <v>0</v>
      </c>
      <c r="DA592">
        <v>0</v>
      </c>
      <c r="DB592">
        <v>0</v>
      </c>
      <c r="DC592">
        <v>0</v>
      </c>
      <c r="DD592">
        <v>0</v>
      </c>
      <c r="DE592">
        <v>0</v>
      </c>
      <c r="DF592">
        <v>0</v>
      </c>
      <c r="DG592">
        <v>0</v>
      </c>
      <c r="DH592">
        <v>0</v>
      </c>
      <c r="DI592">
        <v>0</v>
      </c>
      <c r="DJ592">
        <v>0</v>
      </c>
      <c r="DK592">
        <v>0</v>
      </c>
      <c r="DL592">
        <v>0</v>
      </c>
      <c r="DM592">
        <v>0</v>
      </c>
      <c r="DN592">
        <v>0</v>
      </c>
      <c r="DO592">
        <v>0</v>
      </c>
      <c r="DP592">
        <v>0</v>
      </c>
      <c r="DQ592">
        <v>0</v>
      </c>
      <c r="DR592">
        <v>0</v>
      </c>
      <c r="DS592">
        <v>0</v>
      </c>
      <c r="DT592">
        <v>0</v>
      </c>
      <c r="DU592">
        <v>0</v>
      </c>
    </row>
    <row r="593" spans="2:125">
      <c r="B593" s="136">
        <v>584</v>
      </c>
      <c r="C593" s="138">
        <v>1</v>
      </c>
      <c r="D593" s="474">
        <v>3842.6213340429376</v>
      </c>
      <c r="E593" s="127">
        <v>251.62594721816544</v>
      </c>
      <c r="F593" s="447">
        <v>0.37005163409075825</v>
      </c>
      <c r="G593" s="127">
        <v>151.24460407439361</v>
      </c>
      <c r="H593" s="132">
        <v>62.004582756839213</v>
      </c>
      <c r="I593" s="456"/>
      <c r="J593" s="45"/>
      <c r="K593" s="45">
        <v>600</v>
      </c>
      <c r="L593" s="463"/>
      <c r="M593" s="456">
        <v>30.171180725097656</v>
      </c>
      <c r="N593" s="457"/>
      <c r="O593" s="456"/>
      <c r="P593" s="46"/>
      <c r="Q593" s="463">
        <v>84.057273864746094</v>
      </c>
      <c r="R593" s="449"/>
      <c r="S593" s="463"/>
      <c r="T593" s="480"/>
      <c r="U593" s="468"/>
      <c r="V593" s="449"/>
      <c r="W593" s="45">
        <v>1570.980712890625</v>
      </c>
      <c r="X593" s="463">
        <v>131.86770629882812</v>
      </c>
      <c r="Y593" s="449"/>
      <c r="Z593" s="45"/>
      <c r="AA593" s="468">
        <v>0.36161962118468166</v>
      </c>
      <c r="AB593" s="456"/>
      <c r="AC593" s="46"/>
      <c r="AD593" s="46"/>
      <c r="AE593" s="46"/>
      <c r="AF593" s="46"/>
      <c r="AG593" s="46"/>
      <c r="AH593" s="46"/>
      <c r="AI593" s="457"/>
      <c r="AJ593" s="138"/>
      <c r="AK593" s="745"/>
      <c r="AL593" s="54"/>
      <c r="AM593" s="468"/>
      <c r="AN593" s="449"/>
      <c r="AO593" s="45"/>
      <c r="AP593" s="45"/>
      <c r="AQ593" s="45"/>
      <c r="AR593" s="45"/>
      <c r="AS593" s="45"/>
      <c r="AT593" s="45"/>
      <c r="AU593" s="463"/>
      <c r="AV593" s="449"/>
      <c r="AW593" s="45"/>
      <c r="AX593" s="45"/>
      <c r="AY593" s="45"/>
      <c r="AZ593" s="45"/>
      <c r="BA593" s="45"/>
      <c r="BB593" s="45"/>
      <c r="BC593" s="463"/>
      <c r="BD593" s="456"/>
      <c r="BE593" s="46"/>
      <c r="BF593" s="46"/>
      <c r="BG593" s="46"/>
      <c r="BH593" s="46"/>
      <c r="BI593" s="46"/>
      <c r="BJ593" s="457"/>
      <c r="BK593" s="449">
        <v>0</v>
      </c>
      <c r="BL593" s="45"/>
      <c r="BM593" s="45"/>
      <c r="BN593" s="45"/>
      <c r="BO593" s="45"/>
      <c r="BP593" s="45"/>
      <c r="BQ593" s="45"/>
      <c r="BR593" s="45"/>
      <c r="BS593" s="45"/>
      <c r="BT593" s="45"/>
      <c r="BU593" s="45"/>
      <c r="BV593" s="45"/>
      <c r="BW593" s="45"/>
      <c r="BX593" s="45"/>
      <c r="BY593" s="45"/>
      <c r="BZ593" s="45"/>
      <c r="CA593" s="45"/>
      <c r="CB593" s="45"/>
      <c r="CC593" s="45"/>
      <c r="CD593" s="463"/>
      <c r="CE593">
        <v>0</v>
      </c>
      <c r="CF593">
        <v>0</v>
      </c>
      <c r="CG593">
        <v>0</v>
      </c>
      <c r="CH593">
        <v>0</v>
      </c>
      <c r="CI593">
        <v>0</v>
      </c>
      <c r="CJ593">
        <v>0</v>
      </c>
      <c r="CK593">
        <v>0</v>
      </c>
      <c r="CL593">
        <v>0</v>
      </c>
      <c r="CM593">
        <v>0</v>
      </c>
      <c r="CN593">
        <v>0</v>
      </c>
      <c r="CO593">
        <v>0</v>
      </c>
      <c r="CP593">
        <v>0</v>
      </c>
      <c r="CQ593">
        <v>0</v>
      </c>
      <c r="CR593">
        <v>0</v>
      </c>
      <c r="CS593">
        <v>0</v>
      </c>
      <c r="CT593">
        <v>0</v>
      </c>
      <c r="CU593">
        <v>0</v>
      </c>
      <c r="CV593">
        <v>0</v>
      </c>
      <c r="CW593">
        <v>0</v>
      </c>
      <c r="CX593">
        <v>0</v>
      </c>
      <c r="CY593">
        <v>0</v>
      </c>
      <c r="CZ593">
        <v>0</v>
      </c>
      <c r="DA593">
        <v>0</v>
      </c>
      <c r="DB593">
        <v>0</v>
      </c>
      <c r="DC593">
        <v>0</v>
      </c>
      <c r="DD593">
        <v>0</v>
      </c>
      <c r="DE593">
        <v>0</v>
      </c>
      <c r="DF593">
        <v>0</v>
      </c>
      <c r="DG593">
        <v>0</v>
      </c>
      <c r="DH593">
        <v>0</v>
      </c>
      <c r="DI593">
        <v>0</v>
      </c>
      <c r="DJ593">
        <v>0</v>
      </c>
      <c r="DK593">
        <v>0</v>
      </c>
      <c r="DL593">
        <v>0</v>
      </c>
      <c r="DM593">
        <v>0</v>
      </c>
      <c r="DN593">
        <v>0</v>
      </c>
      <c r="DO593">
        <v>0</v>
      </c>
      <c r="DP593">
        <v>0</v>
      </c>
      <c r="DQ593">
        <v>0</v>
      </c>
      <c r="DR593">
        <v>0</v>
      </c>
      <c r="DS593">
        <v>0</v>
      </c>
      <c r="DT593">
        <v>0</v>
      </c>
      <c r="DU593">
        <v>0</v>
      </c>
    </row>
    <row r="594" spans="2:125">
      <c r="B594" s="136">
        <v>585</v>
      </c>
      <c r="C594" s="138">
        <v>1</v>
      </c>
      <c r="D594" s="474">
        <v>3608.4597004648194</v>
      </c>
      <c r="E594" s="127">
        <v>236.60631248957952</v>
      </c>
      <c r="F594" s="447">
        <v>0.35069134927609746</v>
      </c>
      <c r="G594" s="127">
        <v>132.13153601131242</v>
      </c>
      <c r="H594" s="132">
        <v>56.343286875465125</v>
      </c>
      <c r="I594" s="456"/>
      <c r="J594" s="45"/>
      <c r="K594" s="45">
        <v>520</v>
      </c>
      <c r="L594" s="463"/>
      <c r="M594" s="456">
        <v>27.686845779418945</v>
      </c>
      <c r="N594" s="457"/>
      <c r="O594" s="456"/>
      <c r="P594" s="46"/>
      <c r="Q594" s="463">
        <v>71.447502136230469</v>
      </c>
      <c r="R594" s="449"/>
      <c r="S594" s="463"/>
      <c r="T594" s="480"/>
      <c r="U594" s="468"/>
      <c r="V594" s="449"/>
      <c r="W594" s="45">
        <v>1312.26611328125</v>
      </c>
      <c r="X594" s="463">
        <v>112.70551300048828</v>
      </c>
      <c r="Y594" s="449"/>
      <c r="Z594" s="45"/>
      <c r="AA594" s="468">
        <v>0.34181946774132566</v>
      </c>
      <c r="AB594" s="456"/>
      <c r="AC594" s="46"/>
      <c r="AD594" s="46"/>
      <c r="AE594" s="46"/>
      <c r="AF594" s="46"/>
      <c r="AG594" s="46"/>
      <c r="AH594" s="46"/>
      <c r="AI594" s="457"/>
      <c r="AJ594" s="138"/>
      <c r="AK594" s="745"/>
      <c r="AL594" s="54"/>
      <c r="AM594" s="468"/>
      <c r="AN594" s="449"/>
      <c r="AO594" s="45"/>
      <c r="AP594" s="45"/>
      <c r="AQ594" s="45"/>
      <c r="AR594" s="45"/>
      <c r="AS594" s="45"/>
      <c r="AT594" s="45"/>
      <c r="AU594" s="463"/>
      <c r="AV594" s="449"/>
      <c r="AW594" s="45"/>
      <c r="AX594" s="45"/>
      <c r="AY594" s="45"/>
      <c r="AZ594" s="45"/>
      <c r="BA594" s="45"/>
      <c r="BB594" s="45"/>
      <c r="BC594" s="463"/>
      <c r="BD594" s="456"/>
      <c r="BE594" s="46"/>
      <c r="BF594" s="46"/>
      <c r="BG594" s="46"/>
      <c r="BH594" s="46"/>
      <c r="BI594" s="46"/>
      <c r="BJ594" s="457"/>
      <c r="BK594" s="449">
        <v>0</v>
      </c>
      <c r="BL594" s="45"/>
      <c r="BM594" s="45"/>
      <c r="BN594" s="45"/>
      <c r="BO594" s="45"/>
      <c r="BP594" s="45"/>
      <c r="BQ594" s="45"/>
      <c r="BR594" s="45"/>
      <c r="BS594" s="45"/>
      <c r="BT594" s="45"/>
      <c r="BU594" s="45"/>
      <c r="BV594" s="45"/>
      <c r="BW594" s="45"/>
      <c r="BX594" s="45"/>
      <c r="BY594" s="45"/>
      <c r="BZ594" s="45"/>
      <c r="CA594" s="45"/>
      <c r="CB594" s="45"/>
      <c r="CC594" s="45"/>
      <c r="CD594" s="463"/>
      <c r="CE594">
        <v>0</v>
      </c>
      <c r="CF594">
        <v>0</v>
      </c>
      <c r="CG594">
        <v>0</v>
      </c>
      <c r="CH594">
        <v>0</v>
      </c>
      <c r="CI594">
        <v>0</v>
      </c>
      <c r="CJ594">
        <v>0</v>
      </c>
      <c r="CK594">
        <v>0</v>
      </c>
      <c r="CL594">
        <v>0</v>
      </c>
      <c r="CM594">
        <v>0</v>
      </c>
      <c r="CN594">
        <v>0</v>
      </c>
      <c r="CO594">
        <v>0</v>
      </c>
      <c r="CP594">
        <v>0</v>
      </c>
      <c r="CQ594">
        <v>0</v>
      </c>
      <c r="CR594">
        <v>0</v>
      </c>
      <c r="CS594">
        <v>0</v>
      </c>
      <c r="CT594">
        <v>0</v>
      </c>
      <c r="CU594">
        <v>0</v>
      </c>
      <c r="CV594">
        <v>0</v>
      </c>
      <c r="CW594">
        <v>0</v>
      </c>
      <c r="CX594">
        <v>0</v>
      </c>
      <c r="CY594">
        <v>0</v>
      </c>
      <c r="CZ594">
        <v>0</v>
      </c>
      <c r="DA594">
        <v>0</v>
      </c>
      <c r="DB594">
        <v>0</v>
      </c>
      <c r="DC594">
        <v>0</v>
      </c>
      <c r="DD594">
        <v>0</v>
      </c>
      <c r="DE594">
        <v>0</v>
      </c>
      <c r="DF594">
        <v>0</v>
      </c>
      <c r="DG594">
        <v>0</v>
      </c>
      <c r="DH594">
        <v>0</v>
      </c>
      <c r="DI594">
        <v>0</v>
      </c>
      <c r="DJ594">
        <v>0</v>
      </c>
      <c r="DK594">
        <v>0</v>
      </c>
      <c r="DL594">
        <v>0</v>
      </c>
      <c r="DM594">
        <v>0</v>
      </c>
      <c r="DN594">
        <v>0</v>
      </c>
      <c r="DO594">
        <v>0</v>
      </c>
      <c r="DP594">
        <v>0</v>
      </c>
      <c r="DQ594">
        <v>0</v>
      </c>
      <c r="DR594">
        <v>0</v>
      </c>
      <c r="DS594">
        <v>0</v>
      </c>
      <c r="DT594">
        <v>0</v>
      </c>
      <c r="DU594">
        <v>0</v>
      </c>
    </row>
    <row r="595" spans="2:125">
      <c r="B595" s="136">
        <v>586</v>
      </c>
      <c r="C595" s="138">
        <v>1</v>
      </c>
      <c r="D595" s="474">
        <v>2765.634125601774</v>
      </c>
      <c r="E595" s="127">
        <v>181.43107951365346</v>
      </c>
      <c r="F595" s="447">
        <v>0.42697304513541445</v>
      </c>
      <c r="G595" s="127">
        <v>102.83214256090622</v>
      </c>
      <c r="H595" s="132">
        <v>56.279726845494068</v>
      </c>
      <c r="I595" s="456"/>
      <c r="J595" s="45"/>
      <c r="K595" s="45">
        <v>440</v>
      </c>
      <c r="L595" s="463"/>
      <c r="M595" s="456">
        <v>33.470531463623047</v>
      </c>
      <c r="N595" s="457"/>
      <c r="O595" s="456"/>
      <c r="P595" s="46"/>
      <c r="Q595" s="463">
        <v>62.905658721923828</v>
      </c>
      <c r="R595" s="449"/>
      <c r="S595" s="463"/>
      <c r="T595" s="480"/>
      <c r="U595" s="468"/>
      <c r="V595" s="449"/>
      <c r="W595" s="45">
        <v>1416.44580078125</v>
      </c>
      <c r="X595" s="463">
        <v>119.92711639404297</v>
      </c>
      <c r="Y595" s="449"/>
      <c r="Z595" s="45"/>
      <c r="AA595" s="468">
        <v>0.41484582245175222</v>
      </c>
      <c r="AB595" s="456"/>
      <c r="AC595" s="46"/>
      <c r="AD595" s="46"/>
      <c r="AE595" s="46"/>
      <c r="AF595" s="46"/>
      <c r="AG595" s="46"/>
      <c r="AH595" s="46"/>
      <c r="AI595" s="457"/>
      <c r="AJ595" s="138"/>
      <c r="AK595" s="745"/>
      <c r="AL595" s="54"/>
      <c r="AM595" s="468"/>
      <c r="AN595" s="449"/>
      <c r="AO595" s="45"/>
      <c r="AP595" s="45"/>
      <c r="AQ595" s="45"/>
      <c r="AR595" s="45"/>
      <c r="AS595" s="45"/>
      <c r="AT595" s="45"/>
      <c r="AU595" s="463"/>
      <c r="AV595" s="449"/>
      <c r="AW595" s="45"/>
      <c r="AX595" s="45"/>
      <c r="AY595" s="45"/>
      <c r="AZ595" s="45"/>
      <c r="BA595" s="45"/>
      <c r="BB595" s="45"/>
      <c r="BC595" s="463"/>
      <c r="BD595" s="456"/>
      <c r="BE595" s="46"/>
      <c r="BF595" s="46"/>
      <c r="BG595" s="46"/>
      <c r="BH595" s="46"/>
      <c r="BI595" s="46"/>
      <c r="BJ595" s="457"/>
      <c r="BK595" s="449">
        <v>0</v>
      </c>
      <c r="BL595" s="45"/>
      <c r="BM595" s="45"/>
      <c r="BN595" s="45"/>
      <c r="BO595" s="45"/>
      <c r="BP595" s="45"/>
      <c r="BQ595" s="45"/>
      <c r="BR595" s="45"/>
      <c r="BS595" s="45"/>
      <c r="BT595" s="45"/>
      <c r="BU595" s="45"/>
      <c r="BV595" s="45"/>
      <c r="BW595" s="45"/>
      <c r="BX595" s="45"/>
      <c r="BY595" s="45"/>
      <c r="BZ595" s="45"/>
      <c r="CA595" s="45"/>
      <c r="CB595" s="45"/>
      <c r="CC595" s="45"/>
      <c r="CD595" s="463"/>
      <c r="CE595">
        <v>0</v>
      </c>
      <c r="CF595">
        <v>0</v>
      </c>
      <c r="CG595">
        <v>0</v>
      </c>
      <c r="CH595">
        <v>0</v>
      </c>
      <c r="CI595">
        <v>0</v>
      </c>
      <c r="CJ595">
        <v>0</v>
      </c>
      <c r="CK595">
        <v>0</v>
      </c>
      <c r="CL595">
        <v>0</v>
      </c>
      <c r="CM595">
        <v>0</v>
      </c>
      <c r="CN595">
        <v>0</v>
      </c>
      <c r="CO595">
        <v>0</v>
      </c>
      <c r="CP595">
        <v>0</v>
      </c>
      <c r="CQ595">
        <v>0</v>
      </c>
      <c r="CR595">
        <v>0</v>
      </c>
      <c r="CS595">
        <v>0</v>
      </c>
      <c r="CT595">
        <v>0</v>
      </c>
      <c r="CU595">
        <v>0</v>
      </c>
      <c r="CV595">
        <v>0</v>
      </c>
      <c r="CW595">
        <v>0</v>
      </c>
      <c r="CX595">
        <v>0</v>
      </c>
      <c r="CY595">
        <v>0</v>
      </c>
      <c r="CZ595">
        <v>0</v>
      </c>
      <c r="DA595">
        <v>0</v>
      </c>
      <c r="DB595">
        <v>0</v>
      </c>
      <c r="DC595">
        <v>0</v>
      </c>
      <c r="DD595">
        <v>0</v>
      </c>
      <c r="DE595">
        <v>0</v>
      </c>
      <c r="DF595">
        <v>0</v>
      </c>
      <c r="DG595">
        <v>0</v>
      </c>
      <c r="DH595">
        <v>0</v>
      </c>
      <c r="DI595">
        <v>0</v>
      </c>
      <c r="DJ595">
        <v>0</v>
      </c>
      <c r="DK595">
        <v>0</v>
      </c>
      <c r="DL595">
        <v>0</v>
      </c>
      <c r="DM595">
        <v>0</v>
      </c>
      <c r="DN595">
        <v>0</v>
      </c>
      <c r="DO595">
        <v>0</v>
      </c>
      <c r="DP595">
        <v>0</v>
      </c>
      <c r="DQ595">
        <v>0</v>
      </c>
      <c r="DR595">
        <v>0</v>
      </c>
      <c r="DS595">
        <v>0</v>
      </c>
      <c r="DT595">
        <v>0</v>
      </c>
      <c r="DU595">
        <v>0</v>
      </c>
    </row>
    <row r="596" spans="2:125">
      <c r="B596" s="136">
        <v>587</v>
      </c>
      <c r="C596" s="138">
        <v>1</v>
      </c>
      <c r="D596" s="474">
        <v>3034.4846960093082</v>
      </c>
      <c r="E596" s="127">
        <v>235.95441510291855</v>
      </c>
      <c r="F596" s="447">
        <v>0.39929210150034722</v>
      </c>
      <c r="G596" s="127">
        <v>108.34888805009939</v>
      </c>
      <c r="H596" s="132">
        <v>52.066670241232437</v>
      </c>
      <c r="I596" s="456"/>
      <c r="J596" s="45"/>
      <c r="K596" s="45">
        <v>440</v>
      </c>
      <c r="L596" s="463"/>
      <c r="M596" s="456">
        <v>31.353727340698242</v>
      </c>
      <c r="N596" s="457"/>
      <c r="O596" s="456"/>
      <c r="P596" s="46"/>
      <c r="Q596" s="463">
        <v>60.082798004150391</v>
      </c>
      <c r="R596" s="449"/>
      <c r="S596" s="463"/>
      <c r="T596" s="480"/>
      <c r="U596" s="468"/>
      <c r="V596" s="449"/>
      <c r="W596" s="45">
        <v>1299.2239990234375</v>
      </c>
      <c r="X596" s="463">
        <v>111.40462493896484</v>
      </c>
      <c r="Y596" s="449"/>
      <c r="Z596" s="45"/>
      <c r="AA596" s="468">
        <v>0.38842177413524726</v>
      </c>
      <c r="AB596" s="456"/>
      <c r="AC596" s="46"/>
      <c r="AD596" s="46"/>
      <c r="AE596" s="46"/>
      <c r="AF596" s="46"/>
      <c r="AG596" s="46"/>
      <c r="AH596" s="46"/>
      <c r="AI596" s="457"/>
      <c r="AJ596" s="138"/>
      <c r="AK596" s="745"/>
      <c r="AL596" s="54"/>
      <c r="AM596" s="468"/>
      <c r="AN596" s="449"/>
      <c r="AO596" s="45"/>
      <c r="AP596" s="45"/>
      <c r="AQ596" s="45"/>
      <c r="AR596" s="45"/>
      <c r="AS596" s="45"/>
      <c r="AT596" s="45"/>
      <c r="AU596" s="463"/>
      <c r="AV596" s="449"/>
      <c r="AW596" s="45"/>
      <c r="AX596" s="45"/>
      <c r="AY596" s="45"/>
      <c r="AZ596" s="45"/>
      <c r="BA596" s="45"/>
      <c r="BB596" s="45"/>
      <c r="BC596" s="463"/>
      <c r="BD596" s="456"/>
      <c r="BE596" s="46"/>
      <c r="BF596" s="46"/>
      <c r="BG596" s="46"/>
      <c r="BH596" s="46"/>
      <c r="BI596" s="46"/>
      <c r="BJ596" s="457"/>
      <c r="BK596" s="449">
        <v>0</v>
      </c>
      <c r="BL596" s="45"/>
      <c r="BM596" s="45"/>
      <c r="BN596" s="45"/>
      <c r="BO596" s="45"/>
      <c r="BP596" s="45"/>
      <c r="BQ596" s="45"/>
      <c r="BR596" s="45"/>
      <c r="BS596" s="45"/>
      <c r="BT596" s="45"/>
      <c r="BU596" s="45"/>
      <c r="BV596" s="45"/>
      <c r="BW596" s="45"/>
      <c r="BX596" s="45"/>
      <c r="BY596" s="45"/>
      <c r="BZ596" s="45"/>
      <c r="CA596" s="45"/>
      <c r="CB596" s="45"/>
      <c r="CC596" s="45"/>
      <c r="CD596" s="463"/>
      <c r="CE596">
        <v>0</v>
      </c>
      <c r="CF596">
        <v>0</v>
      </c>
      <c r="CG596">
        <v>0</v>
      </c>
      <c r="CH596">
        <v>0</v>
      </c>
      <c r="CI596">
        <v>0</v>
      </c>
      <c r="CJ596">
        <v>0</v>
      </c>
      <c r="CK596">
        <v>0</v>
      </c>
      <c r="CL596">
        <v>0</v>
      </c>
      <c r="CM596">
        <v>0</v>
      </c>
      <c r="CN596">
        <v>0</v>
      </c>
      <c r="CO596">
        <v>0</v>
      </c>
      <c r="CP596">
        <v>0</v>
      </c>
      <c r="CQ596">
        <v>0</v>
      </c>
      <c r="CR596">
        <v>0</v>
      </c>
      <c r="CS596">
        <v>0</v>
      </c>
      <c r="CT596">
        <v>0</v>
      </c>
      <c r="CU596">
        <v>0</v>
      </c>
      <c r="CV596">
        <v>0</v>
      </c>
      <c r="CW596">
        <v>0</v>
      </c>
      <c r="CX596">
        <v>0</v>
      </c>
      <c r="CY596">
        <v>0</v>
      </c>
      <c r="CZ596">
        <v>0</v>
      </c>
      <c r="DA596">
        <v>0</v>
      </c>
      <c r="DB596">
        <v>0</v>
      </c>
      <c r="DC596">
        <v>0</v>
      </c>
      <c r="DD596">
        <v>0</v>
      </c>
      <c r="DE596">
        <v>0</v>
      </c>
      <c r="DF596">
        <v>0</v>
      </c>
      <c r="DG596">
        <v>0</v>
      </c>
      <c r="DH596">
        <v>0</v>
      </c>
      <c r="DI596">
        <v>0</v>
      </c>
      <c r="DJ596">
        <v>0</v>
      </c>
      <c r="DK596">
        <v>0</v>
      </c>
      <c r="DL596">
        <v>0</v>
      </c>
      <c r="DM596">
        <v>0</v>
      </c>
      <c r="DN596">
        <v>0</v>
      </c>
      <c r="DO596">
        <v>0</v>
      </c>
      <c r="DP596">
        <v>0</v>
      </c>
      <c r="DQ596">
        <v>0</v>
      </c>
      <c r="DR596">
        <v>0</v>
      </c>
      <c r="DS596">
        <v>0</v>
      </c>
      <c r="DT596">
        <v>0</v>
      </c>
      <c r="DU596">
        <v>0</v>
      </c>
    </row>
    <row r="597" spans="2:125">
      <c r="B597" s="136">
        <v>588</v>
      </c>
      <c r="C597" s="138">
        <v>1</v>
      </c>
      <c r="D597" s="474">
        <v>3907.4991261555028</v>
      </c>
      <c r="E597" s="127">
        <v>269.45856752484974</v>
      </c>
      <c r="F597" s="447">
        <v>0.46796236456856888</v>
      </c>
      <c r="G597" s="127">
        <v>130.90588660146179</v>
      </c>
      <c r="H597" s="132">
        <v>67.075744400080168</v>
      </c>
      <c r="I597" s="456"/>
      <c r="J597" s="45"/>
      <c r="K597" s="45">
        <v>580</v>
      </c>
      <c r="L597" s="463"/>
      <c r="M597" s="456">
        <v>42.547130584716797</v>
      </c>
      <c r="N597" s="457"/>
      <c r="O597" s="456"/>
      <c r="P597" s="46"/>
      <c r="Q597" s="463">
        <v>85.725143432617188</v>
      </c>
      <c r="R597" s="449"/>
      <c r="S597" s="463"/>
      <c r="T597" s="480"/>
      <c r="U597" s="468"/>
      <c r="V597" s="449"/>
      <c r="W597" s="45">
        <v>2136.069091796875</v>
      </c>
      <c r="X597" s="463">
        <v>172.86630249023437</v>
      </c>
      <c r="Y597" s="449"/>
      <c r="Z597" s="45"/>
      <c r="AA597" s="468">
        <v>0.45916920910466058</v>
      </c>
      <c r="AB597" s="456"/>
      <c r="AC597" s="46"/>
      <c r="AD597" s="46"/>
      <c r="AE597" s="46"/>
      <c r="AF597" s="46"/>
      <c r="AG597" s="46"/>
      <c r="AH597" s="46"/>
      <c r="AI597" s="457"/>
      <c r="AJ597" s="138"/>
      <c r="AK597" s="745"/>
      <c r="AL597" s="54"/>
      <c r="AM597" s="468"/>
      <c r="AN597" s="449"/>
      <c r="AO597" s="45"/>
      <c r="AP597" s="45"/>
      <c r="AQ597" s="45"/>
      <c r="AR597" s="45"/>
      <c r="AS597" s="45"/>
      <c r="AT597" s="45"/>
      <c r="AU597" s="463"/>
      <c r="AV597" s="449"/>
      <c r="AW597" s="45"/>
      <c r="AX597" s="45"/>
      <c r="AY597" s="45"/>
      <c r="AZ597" s="45"/>
      <c r="BA597" s="45"/>
      <c r="BB597" s="45"/>
      <c r="BC597" s="463"/>
      <c r="BD597" s="456"/>
      <c r="BE597" s="46"/>
      <c r="BF597" s="46"/>
      <c r="BG597" s="46"/>
      <c r="BH597" s="46"/>
      <c r="BI597" s="46"/>
      <c r="BJ597" s="457"/>
      <c r="BK597" s="449">
        <v>0</v>
      </c>
      <c r="BL597" s="45"/>
      <c r="BM597" s="45"/>
      <c r="BN597" s="45"/>
      <c r="BO597" s="45"/>
      <c r="BP597" s="45"/>
      <c r="BQ597" s="45"/>
      <c r="BR597" s="45"/>
      <c r="BS597" s="45"/>
      <c r="BT597" s="45"/>
      <c r="BU597" s="45"/>
      <c r="BV597" s="45"/>
      <c r="BW597" s="45"/>
      <c r="BX597" s="45"/>
      <c r="BY597" s="45"/>
      <c r="BZ597" s="45"/>
      <c r="CA597" s="45"/>
      <c r="CB597" s="45"/>
      <c r="CC597" s="45"/>
      <c r="CD597" s="463"/>
      <c r="CE597">
        <v>0</v>
      </c>
      <c r="CF597">
        <v>0</v>
      </c>
      <c r="CG597">
        <v>0</v>
      </c>
      <c r="CH597">
        <v>0</v>
      </c>
      <c r="CI597">
        <v>0</v>
      </c>
      <c r="CJ597">
        <v>0</v>
      </c>
      <c r="CK597">
        <v>0</v>
      </c>
      <c r="CL597">
        <v>0</v>
      </c>
      <c r="CM597">
        <v>0</v>
      </c>
      <c r="CN597">
        <v>0</v>
      </c>
      <c r="CO597">
        <v>0</v>
      </c>
      <c r="CP597">
        <v>0</v>
      </c>
      <c r="CQ597">
        <v>0</v>
      </c>
      <c r="CR597">
        <v>0</v>
      </c>
      <c r="CS597">
        <v>0</v>
      </c>
      <c r="CT597">
        <v>0</v>
      </c>
      <c r="CU597">
        <v>0</v>
      </c>
      <c r="CV597">
        <v>0</v>
      </c>
      <c r="CW597">
        <v>0</v>
      </c>
      <c r="CX597">
        <v>0</v>
      </c>
      <c r="CY597">
        <v>0</v>
      </c>
      <c r="CZ597">
        <v>0</v>
      </c>
      <c r="DA597">
        <v>0</v>
      </c>
      <c r="DB597">
        <v>0</v>
      </c>
      <c r="DC597">
        <v>0</v>
      </c>
      <c r="DD597">
        <v>0</v>
      </c>
      <c r="DE597">
        <v>0</v>
      </c>
      <c r="DF597">
        <v>0</v>
      </c>
      <c r="DG597">
        <v>0</v>
      </c>
      <c r="DH597">
        <v>0</v>
      </c>
      <c r="DI597">
        <v>0</v>
      </c>
      <c r="DJ597">
        <v>0</v>
      </c>
      <c r="DK597">
        <v>0</v>
      </c>
      <c r="DL597">
        <v>0</v>
      </c>
      <c r="DM597">
        <v>0</v>
      </c>
      <c r="DN597">
        <v>0</v>
      </c>
      <c r="DO597">
        <v>0</v>
      </c>
      <c r="DP597">
        <v>0</v>
      </c>
      <c r="DQ597">
        <v>0</v>
      </c>
      <c r="DR597">
        <v>0</v>
      </c>
      <c r="DS597">
        <v>0</v>
      </c>
      <c r="DT597">
        <v>0</v>
      </c>
      <c r="DU597">
        <v>0</v>
      </c>
    </row>
    <row r="598" spans="2:125">
      <c r="B598" s="136">
        <v>589</v>
      </c>
      <c r="C598" s="138">
        <v>1</v>
      </c>
      <c r="D598" s="474">
        <v>3286.8495827955157</v>
      </c>
      <c r="E598" s="127">
        <v>236.75117957488214</v>
      </c>
      <c r="F598" s="447">
        <v>0.46321158393228323</v>
      </c>
      <c r="G598" s="127">
        <v>126.45352831026018</v>
      </c>
      <c r="H598" s="132">
        <v>51.82084453418436</v>
      </c>
      <c r="I598" s="456"/>
      <c r="J598" s="45"/>
      <c r="K598" s="45">
        <v>500</v>
      </c>
      <c r="L598" s="463"/>
      <c r="M598" s="456">
        <v>43.582889556884766</v>
      </c>
      <c r="N598" s="457"/>
      <c r="O598" s="456"/>
      <c r="P598" s="46"/>
      <c r="Q598" s="463">
        <v>65.079620361328125</v>
      </c>
      <c r="R598" s="449"/>
      <c r="S598" s="463"/>
      <c r="T598" s="480"/>
      <c r="U598" s="468"/>
      <c r="V598" s="449"/>
      <c r="W598" s="45">
        <v>1861.3992919921875</v>
      </c>
      <c r="X598" s="463">
        <v>152.56163024902344</v>
      </c>
      <c r="Y598" s="449"/>
      <c r="Z598" s="45"/>
      <c r="AA598" s="468">
        <v>0.45278694148499987</v>
      </c>
      <c r="AB598" s="456"/>
      <c r="AC598" s="46"/>
      <c r="AD598" s="46"/>
      <c r="AE598" s="46"/>
      <c r="AF598" s="46"/>
      <c r="AG598" s="46"/>
      <c r="AH598" s="46"/>
      <c r="AI598" s="457"/>
      <c r="AJ598" s="138"/>
      <c r="AK598" s="745"/>
      <c r="AL598" s="54"/>
      <c r="AM598" s="468"/>
      <c r="AN598" s="449"/>
      <c r="AO598" s="45"/>
      <c r="AP598" s="45"/>
      <c r="AQ598" s="45"/>
      <c r="AR598" s="45"/>
      <c r="AS598" s="45"/>
      <c r="AT598" s="45"/>
      <c r="AU598" s="463"/>
      <c r="AV598" s="449"/>
      <c r="AW598" s="45"/>
      <c r="AX598" s="45"/>
      <c r="AY598" s="45"/>
      <c r="AZ598" s="45"/>
      <c r="BA598" s="45"/>
      <c r="BB598" s="45"/>
      <c r="BC598" s="463"/>
      <c r="BD598" s="456"/>
      <c r="BE598" s="46"/>
      <c r="BF598" s="46"/>
      <c r="BG598" s="46"/>
      <c r="BH598" s="46"/>
      <c r="BI598" s="46"/>
      <c r="BJ598" s="457"/>
      <c r="BK598" s="449">
        <v>0</v>
      </c>
      <c r="BL598" s="45"/>
      <c r="BM598" s="45"/>
      <c r="BN598" s="45"/>
      <c r="BO598" s="45"/>
      <c r="BP598" s="45"/>
      <c r="BQ598" s="45"/>
      <c r="BR598" s="45"/>
      <c r="BS598" s="45"/>
      <c r="BT598" s="45"/>
      <c r="BU598" s="45"/>
      <c r="BV598" s="45"/>
      <c r="BW598" s="45"/>
      <c r="BX598" s="45"/>
      <c r="BY598" s="45"/>
      <c r="BZ598" s="45"/>
      <c r="CA598" s="45"/>
      <c r="CB598" s="45"/>
      <c r="CC598" s="45"/>
      <c r="CD598" s="463"/>
      <c r="CE598">
        <v>0</v>
      </c>
      <c r="CF598">
        <v>0</v>
      </c>
      <c r="CG598">
        <v>0</v>
      </c>
      <c r="CH598">
        <v>0</v>
      </c>
      <c r="CI598">
        <v>0</v>
      </c>
      <c r="CJ598">
        <v>0</v>
      </c>
      <c r="CK598">
        <v>0</v>
      </c>
      <c r="CL598">
        <v>0</v>
      </c>
      <c r="CM598">
        <v>0</v>
      </c>
      <c r="CN598">
        <v>0</v>
      </c>
      <c r="CO598">
        <v>0</v>
      </c>
      <c r="CP598">
        <v>0</v>
      </c>
      <c r="CQ598">
        <v>0</v>
      </c>
      <c r="CR598">
        <v>0</v>
      </c>
      <c r="CS598">
        <v>0</v>
      </c>
      <c r="CT598">
        <v>0</v>
      </c>
      <c r="CU598">
        <v>0</v>
      </c>
      <c r="CV598">
        <v>0</v>
      </c>
      <c r="CW598">
        <v>0</v>
      </c>
      <c r="CX598">
        <v>0</v>
      </c>
      <c r="CY598">
        <v>0</v>
      </c>
      <c r="CZ598">
        <v>0</v>
      </c>
      <c r="DA598">
        <v>0</v>
      </c>
      <c r="DB598">
        <v>0</v>
      </c>
      <c r="DC598">
        <v>0</v>
      </c>
      <c r="DD598">
        <v>0</v>
      </c>
      <c r="DE598">
        <v>0</v>
      </c>
      <c r="DF598">
        <v>0</v>
      </c>
      <c r="DG598">
        <v>0</v>
      </c>
      <c r="DH598">
        <v>0</v>
      </c>
      <c r="DI598">
        <v>0</v>
      </c>
      <c r="DJ598">
        <v>0</v>
      </c>
      <c r="DK598">
        <v>0</v>
      </c>
      <c r="DL598">
        <v>0</v>
      </c>
      <c r="DM598">
        <v>0</v>
      </c>
      <c r="DN598">
        <v>0</v>
      </c>
      <c r="DO598">
        <v>0</v>
      </c>
      <c r="DP598">
        <v>0</v>
      </c>
      <c r="DQ598">
        <v>0</v>
      </c>
      <c r="DR598">
        <v>0</v>
      </c>
      <c r="DS598">
        <v>0</v>
      </c>
      <c r="DT598">
        <v>0</v>
      </c>
      <c r="DU598">
        <v>0</v>
      </c>
    </row>
    <row r="599" spans="2:125">
      <c r="B599" s="136">
        <v>590</v>
      </c>
      <c r="C599" s="138">
        <v>1</v>
      </c>
      <c r="D599" s="474">
        <v>3490.7615748429712</v>
      </c>
      <c r="E599" s="127">
        <v>214.21327195926756</v>
      </c>
      <c r="F599" s="447">
        <v>0.40954417593103704</v>
      </c>
      <c r="G599" s="127">
        <v>110.17886705627456</v>
      </c>
      <c r="H599" s="132">
        <v>59.683501905583142</v>
      </c>
      <c r="I599" s="456"/>
      <c r="J599" s="45"/>
      <c r="K599" s="45">
        <v>470</v>
      </c>
      <c r="L599" s="463"/>
      <c r="M599" s="456">
        <v>31.615829467773438</v>
      </c>
      <c r="N599" s="457"/>
      <c r="O599" s="456"/>
      <c r="P599" s="46"/>
      <c r="Q599" s="463">
        <v>69.117080688476562</v>
      </c>
      <c r="R599" s="449"/>
      <c r="S599" s="463"/>
      <c r="T599" s="480"/>
      <c r="U599" s="468"/>
      <c r="V599" s="449"/>
      <c r="W599" s="45">
        <v>1428.7054443359375</v>
      </c>
      <c r="X599" s="463">
        <v>120.96890258789062</v>
      </c>
      <c r="Y599" s="449"/>
      <c r="Z599" s="45"/>
      <c r="AA599" s="468">
        <v>0.40003596896616755</v>
      </c>
      <c r="AB599" s="456"/>
      <c r="AC599" s="46"/>
      <c r="AD599" s="46"/>
      <c r="AE599" s="46"/>
      <c r="AF599" s="46"/>
      <c r="AG599" s="46"/>
      <c r="AH599" s="46"/>
      <c r="AI599" s="457"/>
      <c r="AJ599" s="138"/>
      <c r="AK599" s="745"/>
      <c r="AL599" s="54"/>
      <c r="AM599" s="468"/>
      <c r="AN599" s="449"/>
      <c r="AO599" s="45"/>
      <c r="AP599" s="45"/>
      <c r="AQ599" s="45"/>
      <c r="AR599" s="45"/>
      <c r="AS599" s="45"/>
      <c r="AT599" s="45"/>
      <c r="AU599" s="463"/>
      <c r="AV599" s="449"/>
      <c r="AW599" s="45"/>
      <c r="AX599" s="45"/>
      <c r="AY599" s="45"/>
      <c r="AZ599" s="45"/>
      <c r="BA599" s="45"/>
      <c r="BB599" s="45"/>
      <c r="BC599" s="463"/>
      <c r="BD599" s="456"/>
      <c r="BE599" s="46"/>
      <c r="BF599" s="46"/>
      <c r="BG599" s="46"/>
      <c r="BH599" s="46"/>
      <c r="BI599" s="46"/>
      <c r="BJ599" s="457"/>
      <c r="BK599" s="449">
        <v>0</v>
      </c>
      <c r="BL599" s="45"/>
      <c r="BM599" s="45"/>
      <c r="BN599" s="45"/>
      <c r="BO599" s="45"/>
      <c r="BP599" s="45"/>
      <c r="BQ599" s="45"/>
      <c r="BR599" s="45"/>
      <c r="BS599" s="45"/>
      <c r="BT599" s="45"/>
      <c r="BU599" s="45"/>
      <c r="BV599" s="45"/>
      <c r="BW599" s="45"/>
      <c r="BX599" s="45"/>
      <c r="BY599" s="45"/>
      <c r="BZ599" s="45"/>
      <c r="CA599" s="45"/>
      <c r="CB599" s="45"/>
      <c r="CC599" s="45"/>
      <c r="CD599" s="463"/>
      <c r="CE599">
        <v>0</v>
      </c>
      <c r="CF599">
        <v>0</v>
      </c>
      <c r="CG599">
        <v>0</v>
      </c>
      <c r="CH599">
        <v>0</v>
      </c>
      <c r="CI599">
        <v>0</v>
      </c>
      <c r="CJ599">
        <v>0</v>
      </c>
      <c r="CK599">
        <v>0</v>
      </c>
      <c r="CL599">
        <v>0</v>
      </c>
      <c r="CM599">
        <v>0</v>
      </c>
      <c r="CN599">
        <v>0</v>
      </c>
      <c r="CO599">
        <v>0</v>
      </c>
      <c r="CP599">
        <v>0</v>
      </c>
      <c r="CQ599">
        <v>0</v>
      </c>
      <c r="CR599">
        <v>0</v>
      </c>
      <c r="CS599">
        <v>0</v>
      </c>
      <c r="CT599">
        <v>0</v>
      </c>
      <c r="CU599">
        <v>0</v>
      </c>
      <c r="CV599">
        <v>0</v>
      </c>
      <c r="CW599">
        <v>0</v>
      </c>
      <c r="CX599">
        <v>0</v>
      </c>
      <c r="CY599">
        <v>0</v>
      </c>
      <c r="CZ599">
        <v>0</v>
      </c>
      <c r="DA599">
        <v>0</v>
      </c>
      <c r="DB599">
        <v>0</v>
      </c>
      <c r="DC599">
        <v>0</v>
      </c>
      <c r="DD599">
        <v>0</v>
      </c>
      <c r="DE599">
        <v>0</v>
      </c>
      <c r="DF599">
        <v>0</v>
      </c>
      <c r="DG599">
        <v>0</v>
      </c>
      <c r="DH599">
        <v>0</v>
      </c>
      <c r="DI599">
        <v>0</v>
      </c>
      <c r="DJ599">
        <v>0</v>
      </c>
      <c r="DK599">
        <v>0</v>
      </c>
      <c r="DL599">
        <v>0</v>
      </c>
      <c r="DM599">
        <v>0</v>
      </c>
      <c r="DN599">
        <v>0</v>
      </c>
      <c r="DO599">
        <v>0</v>
      </c>
      <c r="DP599">
        <v>0</v>
      </c>
      <c r="DQ599">
        <v>0</v>
      </c>
      <c r="DR599">
        <v>0</v>
      </c>
      <c r="DS599">
        <v>0</v>
      </c>
      <c r="DT599">
        <v>0</v>
      </c>
      <c r="DU599">
        <v>0</v>
      </c>
    </row>
    <row r="600" spans="2:125">
      <c r="B600" s="136">
        <v>591</v>
      </c>
      <c r="C600" s="138">
        <v>1</v>
      </c>
      <c r="D600" s="474">
        <v>3198.0176580910575</v>
      </c>
      <c r="E600" s="127">
        <v>160.96748691816768</v>
      </c>
      <c r="F600" s="447">
        <v>0.36868336589773937</v>
      </c>
      <c r="G600" s="127">
        <v>128.73996232800965</v>
      </c>
      <c r="H600" s="132">
        <v>49.163603077008375</v>
      </c>
      <c r="I600" s="456"/>
      <c r="J600" s="45"/>
      <c r="K600" s="45">
        <v>490</v>
      </c>
      <c r="L600" s="463"/>
      <c r="M600" s="456">
        <v>30.138019561767578</v>
      </c>
      <c r="N600" s="457"/>
      <c r="O600" s="456"/>
      <c r="P600" s="46"/>
      <c r="Q600" s="463">
        <v>63.320755004882812</v>
      </c>
      <c r="R600" s="449"/>
      <c r="S600" s="463"/>
      <c r="T600" s="480"/>
      <c r="U600" s="468"/>
      <c r="V600" s="449"/>
      <c r="W600" s="45">
        <v>1306.1090087890625</v>
      </c>
      <c r="X600" s="463">
        <v>112.11658477783203</v>
      </c>
      <c r="Y600" s="449"/>
      <c r="Z600" s="45"/>
      <c r="AA600" s="468">
        <v>0.35856032382007952</v>
      </c>
      <c r="AB600" s="456"/>
      <c r="AC600" s="46"/>
      <c r="AD600" s="46"/>
      <c r="AE600" s="46"/>
      <c r="AF600" s="46"/>
      <c r="AG600" s="46"/>
      <c r="AH600" s="46"/>
      <c r="AI600" s="457"/>
      <c r="AJ600" s="138"/>
      <c r="AK600" s="745"/>
      <c r="AL600" s="54"/>
      <c r="AM600" s="468"/>
      <c r="AN600" s="449"/>
      <c r="AO600" s="45"/>
      <c r="AP600" s="45"/>
      <c r="AQ600" s="45"/>
      <c r="AR600" s="45"/>
      <c r="AS600" s="45"/>
      <c r="AT600" s="45"/>
      <c r="AU600" s="463"/>
      <c r="AV600" s="449"/>
      <c r="AW600" s="45"/>
      <c r="AX600" s="45"/>
      <c r="AY600" s="45"/>
      <c r="AZ600" s="45"/>
      <c r="BA600" s="45"/>
      <c r="BB600" s="45"/>
      <c r="BC600" s="463"/>
      <c r="BD600" s="456"/>
      <c r="BE600" s="46"/>
      <c r="BF600" s="46"/>
      <c r="BG600" s="46"/>
      <c r="BH600" s="46"/>
      <c r="BI600" s="46"/>
      <c r="BJ600" s="457"/>
      <c r="BK600" s="449">
        <v>0</v>
      </c>
      <c r="BL600" s="45"/>
      <c r="BM600" s="45"/>
      <c r="BN600" s="45"/>
      <c r="BO600" s="45"/>
      <c r="BP600" s="45"/>
      <c r="BQ600" s="45"/>
      <c r="BR600" s="45"/>
      <c r="BS600" s="45"/>
      <c r="BT600" s="45"/>
      <c r="BU600" s="45"/>
      <c r="BV600" s="45"/>
      <c r="BW600" s="45"/>
      <c r="BX600" s="45"/>
      <c r="BY600" s="45"/>
      <c r="BZ600" s="45"/>
      <c r="CA600" s="45"/>
      <c r="CB600" s="45"/>
      <c r="CC600" s="45"/>
      <c r="CD600" s="463"/>
      <c r="CE600">
        <v>0</v>
      </c>
      <c r="CF600">
        <v>0</v>
      </c>
      <c r="CG600">
        <v>0</v>
      </c>
      <c r="CH600">
        <v>0</v>
      </c>
      <c r="CI600">
        <v>0</v>
      </c>
      <c r="CJ600">
        <v>0</v>
      </c>
      <c r="CK600">
        <v>0</v>
      </c>
      <c r="CL600">
        <v>0</v>
      </c>
      <c r="CM600">
        <v>0</v>
      </c>
      <c r="CN600">
        <v>0</v>
      </c>
      <c r="CO600">
        <v>0</v>
      </c>
      <c r="CP600">
        <v>0</v>
      </c>
      <c r="CQ600">
        <v>0</v>
      </c>
      <c r="CR600">
        <v>0</v>
      </c>
      <c r="CS600">
        <v>0</v>
      </c>
      <c r="CT600">
        <v>0</v>
      </c>
      <c r="CU600">
        <v>0</v>
      </c>
      <c r="CV600">
        <v>0</v>
      </c>
      <c r="CW600">
        <v>0</v>
      </c>
      <c r="CX600">
        <v>0</v>
      </c>
      <c r="CY600">
        <v>0</v>
      </c>
      <c r="CZ600">
        <v>0</v>
      </c>
      <c r="DA600">
        <v>0</v>
      </c>
      <c r="DB600">
        <v>0</v>
      </c>
      <c r="DC600">
        <v>0</v>
      </c>
      <c r="DD600">
        <v>0</v>
      </c>
      <c r="DE600">
        <v>0</v>
      </c>
      <c r="DF600">
        <v>0</v>
      </c>
      <c r="DG600">
        <v>0</v>
      </c>
      <c r="DH600">
        <v>0</v>
      </c>
      <c r="DI600">
        <v>0</v>
      </c>
      <c r="DJ600">
        <v>0</v>
      </c>
      <c r="DK600">
        <v>0</v>
      </c>
      <c r="DL600">
        <v>0</v>
      </c>
      <c r="DM600">
        <v>0</v>
      </c>
      <c r="DN600">
        <v>0</v>
      </c>
      <c r="DO600">
        <v>0</v>
      </c>
      <c r="DP600">
        <v>0</v>
      </c>
      <c r="DQ600">
        <v>0</v>
      </c>
      <c r="DR600">
        <v>0</v>
      </c>
      <c r="DS600">
        <v>0</v>
      </c>
      <c r="DT600">
        <v>0</v>
      </c>
      <c r="DU600">
        <v>0</v>
      </c>
    </row>
    <row r="601" spans="2:125">
      <c r="B601" s="136">
        <v>592</v>
      </c>
      <c r="C601" s="138">
        <v>1</v>
      </c>
      <c r="D601" s="474">
        <v>3591.7152944103091</v>
      </c>
      <c r="E601" s="127">
        <v>217.26876891452082</v>
      </c>
      <c r="F601" s="447">
        <v>0.42314115950429398</v>
      </c>
      <c r="G601" s="127">
        <v>115.99996260845516</v>
      </c>
      <c r="H601" s="132">
        <v>59.930981978141652</v>
      </c>
      <c r="I601" s="456"/>
      <c r="J601" s="45"/>
      <c r="K601" s="45">
        <v>490</v>
      </c>
      <c r="L601" s="463"/>
      <c r="M601" s="456">
        <v>33.985065460205078</v>
      </c>
      <c r="N601" s="457"/>
      <c r="O601" s="456"/>
      <c r="P601" s="46"/>
      <c r="Q601" s="463">
        <v>71.115966796875</v>
      </c>
      <c r="R601" s="449"/>
      <c r="S601" s="463"/>
      <c r="T601" s="480"/>
      <c r="U601" s="468"/>
      <c r="V601" s="449"/>
      <c r="W601" s="45">
        <v>1555.703369140625</v>
      </c>
      <c r="X601" s="463">
        <v>130.29438781738281</v>
      </c>
      <c r="Y601" s="449"/>
      <c r="Z601" s="45"/>
      <c r="AA601" s="468">
        <v>0.41382449032336999</v>
      </c>
      <c r="AB601" s="456"/>
      <c r="AC601" s="46"/>
      <c r="AD601" s="46"/>
      <c r="AE601" s="46"/>
      <c r="AF601" s="46"/>
      <c r="AG601" s="46"/>
      <c r="AH601" s="46"/>
      <c r="AI601" s="457"/>
      <c r="AJ601" s="138"/>
      <c r="AK601" s="745"/>
      <c r="AL601" s="54"/>
      <c r="AM601" s="468"/>
      <c r="AN601" s="449"/>
      <c r="AO601" s="45"/>
      <c r="AP601" s="45"/>
      <c r="AQ601" s="45"/>
      <c r="AR601" s="45"/>
      <c r="AS601" s="45"/>
      <c r="AT601" s="45"/>
      <c r="AU601" s="463"/>
      <c r="AV601" s="449"/>
      <c r="AW601" s="45"/>
      <c r="AX601" s="45"/>
      <c r="AY601" s="45"/>
      <c r="AZ601" s="45"/>
      <c r="BA601" s="45"/>
      <c r="BB601" s="45"/>
      <c r="BC601" s="463"/>
      <c r="BD601" s="456"/>
      <c r="BE601" s="46"/>
      <c r="BF601" s="46"/>
      <c r="BG601" s="46"/>
      <c r="BH601" s="46"/>
      <c r="BI601" s="46"/>
      <c r="BJ601" s="457"/>
      <c r="BK601" s="449">
        <v>0</v>
      </c>
      <c r="BL601" s="45"/>
      <c r="BM601" s="45"/>
      <c r="BN601" s="45"/>
      <c r="BO601" s="45"/>
      <c r="BP601" s="45"/>
      <c r="BQ601" s="45"/>
      <c r="BR601" s="45"/>
      <c r="BS601" s="45"/>
      <c r="BT601" s="45"/>
      <c r="BU601" s="45"/>
      <c r="BV601" s="45"/>
      <c r="BW601" s="45"/>
      <c r="BX601" s="45"/>
      <c r="BY601" s="45"/>
      <c r="BZ601" s="45"/>
      <c r="CA601" s="45"/>
      <c r="CB601" s="45"/>
      <c r="CC601" s="45"/>
      <c r="CD601" s="463"/>
      <c r="CE601">
        <v>0</v>
      </c>
      <c r="CF601">
        <v>0</v>
      </c>
      <c r="CG601">
        <v>0</v>
      </c>
      <c r="CH601">
        <v>0</v>
      </c>
      <c r="CI601">
        <v>0</v>
      </c>
      <c r="CJ601">
        <v>0</v>
      </c>
      <c r="CK601">
        <v>0</v>
      </c>
      <c r="CL601">
        <v>0</v>
      </c>
      <c r="CM601">
        <v>0</v>
      </c>
      <c r="CN601">
        <v>0</v>
      </c>
      <c r="CO601">
        <v>0</v>
      </c>
      <c r="CP601">
        <v>0</v>
      </c>
      <c r="CQ601">
        <v>0</v>
      </c>
      <c r="CR601">
        <v>0</v>
      </c>
      <c r="CS601">
        <v>0</v>
      </c>
      <c r="CT601">
        <v>0</v>
      </c>
      <c r="CU601">
        <v>0</v>
      </c>
      <c r="CV601">
        <v>0</v>
      </c>
      <c r="CW601">
        <v>0</v>
      </c>
      <c r="CX601">
        <v>0</v>
      </c>
      <c r="CY601">
        <v>0</v>
      </c>
      <c r="CZ601">
        <v>0</v>
      </c>
      <c r="DA601">
        <v>0</v>
      </c>
      <c r="DB601">
        <v>0</v>
      </c>
      <c r="DC601">
        <v>0</v>
      </c>
      <c r="DD601">
        <v>0</v>
      </c>
      <c r="DE601">
        <v>0</v>
      </c>
      <c r="DF601">
        <v>0</v>
      </c>
      <c r="DG601">
        <v>0</v>
      </c>
      <c r="DH601">
        <v>0</v>
      </c>
      <c r="DI601">
        <v>0</v>
      </c>
      <c r="DJ601">
        <v>0</v>
      </c>
      <c r="DK601">
        <v>0</v>
      </c>
      <c r="DL601">
        <v>0</v>
      </c>
      <c r="DM601">
        <v>0</v>
      </c>
      <c r="DN601">
        <v>0</v>
      </c>
      <c r="DO601">
        <v>0</v>
      </c>
      <c r="DP601">
        <v>0</v>
      </c>
      <c r="DQ601">
        <v>0</v>
      </c>
      <c r="DR601">
        <v>0</v>
      </c>
      <c r="DS601">
        <v>0</v>
      </c>
      <c r="DT601">
        <v>0</v>
      </c>
      <c r="DU601">
        <v>0</v>
      </c>
    </row>
    <row r="602" spans="2:125">
      <c r="B602" s="136">
        <v>593</v>
      </c>
      <c r="C602" s="138">
        <v>1</v>
      </c>
      <c r="D602" s="474">
        <v>3636.3421576132664</v>
      </c>
      <c r="E602" s="127">
        <v>232.52104185089792</v>
      </c>
      <c r="F602" s="447">
        <v>0.39281029862228645</v>
      </c>
      <c r="G602" s="127">
        <v>112.15368976642158</v>
      </c>
      <c r="H602" s="132">
        <v>61.448014748987021</v>
      </c>
      <c r="I602" s="456"/>
      <c r="J602" s="45"/>
      <c r="K602" s="45">
        <v>490</v>
      </c>
      <c r="L602" s="463"/>
      <c r="M602" s="456">
        <v>29.653842926025391</v>
      </c>
      <c r="N602" s="457"/>
      <c r="O602" s="456"/>
      <c r="P602" s="46"/>
      <c r="Q602" s="463">
        <v>71.99957275390625</v>
      </c>
      <c r="R602" s="449"/>
      <c r="S602" s="463"/>
      <c r="T602" s="480"/>
      <c r="U602" s="468"/>
      <c r="V602" s="449"/>
      <c r="W602" s="45">
        <v>1383.0341796875</v>
      </c>
      <c r="X602" s="463">
        <v>117.69654846191406</v>
      </c>
      <c r="Y602" s="449"/>
      <c r="Z602" s="45"/>
      <c r="AA602" s="468">
        <v>0.3837747886102113</v>
      </c>
      <c r="AB602" s="456"/>
      <c r="AC602" s="46"/>
      <c r="AD602" s="46"/>
      <c r="AE602" s="46"/>
      <c r="AF602" s="46"/>
      <c r="AG602" s="46"/>
      <c r="AH602" s="46"/>
      <c r="AI602" s="457"/>
      <c r="AJ602" s="138"/>
      <c r="AK602" s="745"/>
      <c r="AL602" s="54"/>
      <c r="AM602" s="468"/>
      <c r="AN602" s="449"/>
      <c r="AO602" s="45"/>
      <c r="AP602" s="45"/>
      <c r="AQ602" s="45"/>
      <c r="AR602" s="45"/>
      <c r="AS602" s="45"/>
      <c r="AT602" s="45"/>
      <c r="AU602" s="463"/>
      <c r="AV602" s="449"/>
      <c r="AW602" s="45"/>
      <c r="AX602" s="45"/>
      <c r="AY602" s="45"/>
      <c r="AZ602" s="45"/>
      <c r="BA602" s="45"/>
      <c r="BB602" s="45"/>
      <c r="BC602" s="463"/>
      <c r="BD602" s="456"/>
      <c r="BE602" s="46"/>
      <c r="BF602" s="46"/>
      <c r="BG602" s="46"/>
      <c r="BH602" s="46"/>
      <c r="BI602" s="46"/>
      <c r="BJ602" s="457"/>
      <c r="BK602" s="449">
        <v>0</v>
      </c>
      <c r="BL602" s="45"/>
      <c r="BM602" s="45"/>
      <c r="BN602" s="45"/>
      <c r="BO602" s="45"/>
      <c r="BP602" s="45"/>
      <c r="BQ602" s="45"/>
      <c r="BR602" s="45"/>
      <c r="BS602" s="45"/>
      <c r="BT602" s="45"/>
      <c r="BU602" s="45"/>
      <c r="BV602" s="45"/>
      <c r="BW602" s="45"/>
      <c r="BX602" s="45"/>
      <c r="BY602" s="45"/>
      <c r="BZ602" s="45"/>
      <c r="CA602" s="45"/>
      <c r="CB602" s="45"/>
      <c r="CC602" s="45"/>
      <c r="CD602" s="463"/>
      <c r="CE602">
        <v>0</v>
      </c>
      <c r="CF602">
        <v>0</v>
      </c>
      <c r="CG602">
        <v>0</v>
      </c>
      <c r="CH602">
        <v>0</v>
      </c>
      <c r="CI602">
        <v>0</v>
      </c>
      <c r="CJ602">
        <v>0</v>
      </c>
      <c r="CK602">
        <v>0</v>
      </c>
      <c r="CL602">
        <v>0</v>
      </c>
      <c r="CM602">
        <v>0</v>
      </c>
      <c r="CN602">
        <v>0</v>
      </c>
      <c r="CO602">
        <v>0</v>
      </c>
      <c r="CP602">
        <v>0</v>
      </c>
      <c r="CQ602">
        <v>0</v>
      </c>
      <c r="CR602">
        <v>0</v>
      </c>
      <c r="CS602">
        <v>0</v>
      </c>
      <c r="CT602">
        <v>0</v>
      </c>
      <c r="CU602">
        <v>0</v>
      </c>
      <c r="CV602">
        <v>0</v>
      </c>
      <c r="CW602">
        <v>0</v>
      </c>
      <c r="CX602">
        <v>0</v>
      </c>
      <c r="CY602">
        <v>0</v>
      </c>
      <c r="CZ602">
        <v>0</v>
      </c>
      <c r="DA602">
        <v>0</v>
      </c>
      <c r="DB602">
        <v>0</v>
      </c>
      <c r="DC602">
        <v>0</v>
      </c>
      <c r="DD602">
        <v>0</v>
      </c>
      <c r="DE602">
        <v>0</v>
      </c>
      <c r="DF602">
        <v>0</v>
      </c>
      <c r="DG602">
        <v>0</v>
      </c>
      <c r="DH602">
        <v>0</v>
      </c>
      <c r="DI602">
        <v>0</v>
      </c>
      <c r="DJ602">
        <v>0</v>
      </c>
      <c r="DK602">
        <v>0</v>
      </c>
      <c r="DL602">
        <v>0</v>
      </c>
      <c r="DM602">
        <v>0</v>
      </c>
      <c r="DN602">
        <v>0</v>
      </c>
      <c r="DO602">
        <v>0</v>
      </c>
      <c r="DP602">
        <v>0</v>
      </c>
      <c r="DQ602">
        <v>0</v>
      </c>
      <c r="DR602">
        <v>0</v>
      </c>
      <c r="DS602">
        <v>0</v>
      </c>
      <c r="DT602">
        <v>0</v>
      </c>
      <c r="DU602">
        <v>0</v>
      </c>
    </row>
    <row r="603" spans="2:125">
      <c r="B603" s="136">
        <v>594</v>
      </c>
      <c r="C603" s="138">
        <v>1</v>
      </c>
      <c r="D603" s="474">
        <v>3962.7091429416846</v>
      </c>
      <c r="E603" s="127">
        <v>192.89087173257255</v>
      </c>
      <c r="F603" s="447">
        <v>0.39387653488334101</v>
      </c>
      <c r="G603" s="127">
        <v>148.09882951501066</v>
      </c>
      <c r="H603" s="132">
        <v>58.38399713262654</v>
      </c>
      <c r="I603" s="456"/>
      <c r="J603" s="45"/>
      <c r="K603" s="45">
        <v>590</v>
      </c>
      <c r="L603" s="463"/>
      <c r="M603" s="456">
        <v>33.276397705078125</v>
      </c>
      <c r="N603" s="457"/>
      <c r="O603" s="456"/>
      <c r="P603" s="46"/>
      <c r="Q603" s="463">
        <v>78.461647033691406</v>
      </c>
      <c r="R603" s="449"/>
      <c r="S603" s="463"/>
      <c r="T603" s="480"/>
      <c r="U603" s="468"/>
      <c r="V603" s="449"/>
      <c r="W603" s="45">
        <v>1644.8736572265625</v>
      </c>
      <c r="X603" s="463">
        <v>137.15943908691406</v>
      </c>
      <c r="Y603" s="449"/>
      <c r="Z603" s="45"/>
      <c r="AA603" s="468">
        <v>0.38557980415905163</v>
      </c>
      <c r="AB603" s="456"/>
      <c r="AC603" s="46"/>
      <c r="AD603" s="46"/>
      <c r="AE603" s="46"/>
      <c r="AF603" s="46"/>
      <c r="AG603" s="46"/>
      <c r="AH603" s="46"/>
      <c r="AI603" s="457"/>
      <c r="AJ603" s="138"/>
      <c r="AK603" s="745"/>
      <c r="AL603" s="54"/>
      <c r="AM603" s="468"/>
      <c r="AN603" s="449"/>
      <c r="AO603" s="45"/>
      <c r="AP603" s="45"/>
      <c r="AQ603" s="45"/>
      <c r="AR603" s="45"/>
      <c r="AS603" s="45"/>
      <c r="AT603" s="45"/>
      <c r="AU603" s="463"/>
      <c r="AV603" s="449"/>
      <c r="AW603" s="45"/>
      <c r="AX603" s="45"/>
      <c r="AY603" s="45"/>
      <c r="AZ603" s="45"/>
      <c r="BA603" s="45"/>
      <c r="BB603" s="45"/>
      <c r="BC603" s="463"/>
      <c r="BD603" s="456"/>
      <c r="BE603" s="46"/>
      <c r="BF603" s="46"/>
      <c r="BG603" s="46"/>
      <c r="BH603" s="46"/>
      <c r="BI603" s="46"/>
      <c r="BJ603" s="457"/>
      <c r="BK603" s="449">
        <v>0</v>
      </c>
      <c r="BL603" s="45"/>
      <c r="BM603" s="45"/>
      <c r="BN603" s="45"/>
      <c r="BO603" s="45"/>
      <c r="BP603" s="45"/>
      <c r="BQ603" s="45"/>
      <c r="BR603" s="45"/>
      <c r="BS603" s="45"/>
      <c r="BT603" s="45"/>
      <c r="BU603" s="45"/>
      <c r="BV603" s="45"/>
      <c r="BW603" s="45"/>
      <c r="BX603" s="45"/>
      <c r="BY603" s="45"/>
      <c r="BZ603" s="45"/>
      <c r="CA603" s="45"/>
      <c r="CB603" s="45"/>
      <c r="CC603" s="45"/>
      <c r="CD603" s="463"/>
      <c r="CE603">
        <v>0</v>
      </c>
      <c r="CF603">
        <v>0</v>
      </c>
      <c r="CG603">
        <v>0</v>
      </c>
      <c r="CH603">
        <v>0</v>
      </c>
      <c r="CI603">
        <v>0</v>
      </c>
      <c r="CJ603">
        <v>0</v>
      </c>
      <c r="CK603">
        <v>0</v>
      </c>
      <c r="CL603">
        <v>0</v>
      </c>
      <c r="CM603">
        <v>0</v>
      </c>
      <c r="CN603">
        <v>0</v>
      </c>
      <c r="CO603">
        <v>0</v>
      </c>
      <c r="CP603">
        <v>0</v>
      </c>
      <c r="CQ603">
        <v>0</v>
      </c>
      <c r="CR603">
        <v>0</v>
      </c>
      <c r="CS603">
        <v>0</v>
      </c>
      <c r="CT603">
        <v>0</v>
      </c>
      <c r="CU603">
        <v>0</v>
      </c>
      <c r="CV603">
        <v>0</v>
      </c>
      <c r="CW603">
        <v>0</v>
      </c>
      <c r="CX603">
        <v>0</v>
      </c>
      <c r="CY603">
        <v>0</v>
      </c>
      <c r="CZ603">
        <v>0</v>
      </c>
      <c r="DA603">
        <v>0</v>
      </c>
      <c r="DB603">
        <v>0</v>
      </c>
      <c r="DC603">
        <v>0</v>
      </c>
      <c r="DD603">
        <v>0</v>
      </c>
      <c r="DE603">
        <v>0</v>
      </c>
      <c r="DF603">
        <v>0</v>
      </c>
      <c r="DG603">
        <v>0</v>
      </c>
      <c r="DH603">
        <v>0</v>
      </c>
      <c r="DI603">
        <v>0</v>
      </c>
      <c r="DJ603">
        <v>0</v>
      </c>
      <c r="DK603">
        <v>0</v>
      </c>
      <c r="DL603">
        <v>0</v>
      </c>
      <c r="DM603">
        <v>0</v>
      </c>
      <c r="DN603">
        <v>0</v>
      </c>
      <c r="DO603">
        <v>0</v>
      </c>
      <c r="DP603">
        <v>0</v>
      </c>
      <c r="DQ603">
        <v>0</v>
      </c>
      <c r="DR603">
        <v>0</v>
      </c>
      <c r="DS603">
        <v>0</v>
      </c>
      <c r="DT603">
        <v>0</v>
      </c>
      <c r="DU603">
        <v>0</v>
      </c>
    </row>
    <row r="604" spans="2:125">
      <c r="B604" s="136">
        <v>595</v>
      </c>
      <c r="C604" s="138">
        <v>1</v>
      </c>
      <c r="D604" s="474">
        <v>3594.0913766491085</v>
      </c>
      <c r="E604" s="127">
        <v>189.50988422444098</v>
      </c>
      <c r="F604" s="447">
        <v>0.36605644576003599</v>
      </c>
      <c r="G604" s="127">
        <v>127.65496659719503</v>
      </c>
      <c r="H604" s="132">
        <v>63.531542616302538</v>
      </c>
      <c r="I604" s="456"/>
      <c r="J604" s="45"/>
      <c r="K604" s="45">
        <v>540</v>
      </c>
      <c r="L604" s="463"/>
      <c r="M604" s="456">
        <v>27.868719100952148</v>
      </c>
      <c r="N604" s="457"/>
      <c r="O604" s="456"/>
      <c r="P604" s="46"/>
      <c r="Q604" s="463">
        <v>79.386474609375</v>
      </c>
      <c r="R604" s="449"/>
      <c r="S604" s="463"/>
      <c r="T604" s="480"/>
      <c r="U604" s="468"/>
      <c r="V604" s="449"/>
      <c r="W604" s="45">
        <v>1397.5162353515625</v>
      </c>
      <c r="X604" s="463">
        <v>118.96958923339844</v>
      </c>
      <c r="Y604" s="449"/>
      <c r="Z604" s="45"/>
      <c r="AA604" s="468">
        <v>0.35706359456955383</v>
      </c>
      <c r="AB604" s="456"/>
      <c r="AC604" s="46"/>
      <c r="AD604" s="46"/>
      <c r="AE604" s="46"/>
      <c r="AF604" s="46"/>
      <c r="AG604" s="46"/>
      <c r="AH604" s="46"/>
      <c r="AI604" s="457"/>
      <c r="AJ604" s="138"/>
      <c r="AK604" s="745"/>
      <c r="AL604" s="54"/>
      <c r="AM604" s="468"/>
      <c r="AN604" s="449"/>
      <c r="AO604" s="45"/>
      <c r="AP604" s="45"/>
      <c r="AQ604" s="45"/>
      <c r="AR604" s="45"/>
      <c r="AS604" s="45"/>
      <c r="AT604" s="45"/>
      <c r="AU604" s="463"/>
      <c r="AV604" s="449"/>
      <c r="AW604" s="45"/>
      <c r="AX604" s="45"/>
      <c r="AY604" s="45"/>
      <c r="AZ604" s="45"/>
      <c r="BA604" s="45"/>
      <c r="BB604" s="45"/>
      <c r="BC604" s="463"/>
      <c r="BD604" s="456"/>
      <c r="BE604" s="46"/>
      <c r="BF604" s="46"/>
      <c r="BG604" s="46"/>
      <c r="BH604" s="46"/>
      <c r="BI604" s="46"/>
      <c r="BJ604" s="457"/>
      <c r="BK604" s="449">
        <v>0</v>
      </c>
      <c r="BL604" s="45"/>
      <c r="BM604" s="45"/>
      <c r="BN604" s="45"/>
      <c r="BO604" s="45"/>
      <c r="BP604" s="45"/>
      <c r="BQ604" s="45"/>
      <c r="BR604" s="45"/>
      <c r="BS604" s="45"/>
      <c r="BT604" s="45"/>
      <c r="BU604" s="45"/>
      <c r="BV604" s="45"/>
      <c r="BW604" s="45"/>
      <c r="BX604" s="45"/>
      <c r="BY604" s="45"/>
      <c r="BZ604" s="45"/>
      <c r="CA604" s="45"/>
      <c r="CB604" s="45"/>
      <c r="CC604" s="45"/>
      <c r="CD604" s="463"/>
      <c r="CE604">
        <v>0</v>
      </c>
      <c r="CF604">
        <v>0</v>
      </c>
      <c r="CG604">
        <v>0</v>
      </c>
      <c r="CH604">
        <v>0</v>
      </c>
      <c r="CI604">
        <v>0</v>
      </c>
      <c r="CJ604">
        <v>0</v>
      </c>
      <c r="CK604">
        <v>0</v>
      </c>
      <c r="CL604">
        <v>0</v>
      </c>
      <c r="CM604">
        <v>0</v>
      </c>
      <c r="CN604">
        <v>0</v>
      </c>
      <c r="CO604">
        <v>0</v>
      </c>
      <c r="CP604">
        <v>0</v>
      </c>
      <c r="CQ604">
        <v>0</v>
      </c>
      <c r="CR604">
        <v>0</v>
      </c>
      <c r="CS604">
        <v>0</v>
      </c>
      <c r="CT604">
        <v>0</v>
      </c>
      <c r="CU604">
        <v>0</v>
      </c>
      <c r="CV604">
        <v>0</v>
      </c>
      <c r="CW604">
        <v>0</v>
      </c>
      <c r="CX604">
        <v>0</v>
      </c>
      <c r="CY604">
        <v>0</v>
      </c>
      <c r="CZ604">
        <v>0</v>
      </c>
      <c r="DA604">
        <v>0</v>
      </c>
      <c r="DB604">
        <v>0</v>
      </c>
      <c r="DC604">
        <v>0</v>
      </c>
      <c r="DD604">
        <v>0</v>
      </c>
      <c r="DE604">
        <v>0</v>
      </c>
      <c r="DF604">
        <v>0</v>
      </c>
      <c r="DG604">
        <v>0</v>
      </c>
      <c r="DH604">
        <v>0</v>
      </c>
      <c r="DI604">
        <v>0</v>
      </c>
      <c r="DJ604">
        <v>0</v>
      </c>
      <c r="DK604">
        <v>0</v>
      </c>
      <c r="DL604">
        <v>0</v>
      </c>
      <c r="DM604">
        <v>0</v>
      </c>
      <c r="DN604">
        <v>0</v>
      </c>
      <c r="DO604">
        <v>0</v>
      </c>
      <c r="DP604">
        <v>0</v>
      </c>
      <c r="DQ604">
        <v>0</v>
      </c>
      <c r="DR604">
        <v>0</v>
      </c>
      <c r="DS604">
        <v>0</v>
      </c>
      <c r="DT604">
        <v>0</v>
      </c>
      <c r="DU604">
        <v>0</v>
      </c>
    </row>
    <row r="605" spans="2:125">
      <c r="B605" s="136">
        <v>596</v>
      </c>
      <c r="C605" s="138">
        <v>1</v>
      </c>
      <c r="D605" s="474">
        <v>3943.2146680640453</v>
      </c>
      <c r="E605" s="127">
        <v>214.36202465250159</v>
      </c>
      <c r="F605" s="447">
        <v>0.37817355049552343</v>
      </c>
      <c r="G605" s="127">
        <v>160.9599393599803</v>
      </c>
      <c r="H605" s="132">
        <v>61.326507152328922</v>
      </c>
      <c r="I605" s="456"/>
      <c r="J605" s="45"/>
      <c r="K605" s="45">
        <v>640</v>
      </c>
      <c r="L605" s="463"/>
      <c r="M605" s="456">
        <v>31.987054824829102</v>
      </c>
      <c r="N605" s="457"/>
      <c r="O605" s="456"/>
      <c r="P605" s="46"/>
      <c r="Q605" s="463">
        <v>85.944976806640625</v>
      </c>
      <c r="R605" s="449"/>
      <c r="S605" s="463"/>
      <c r="T605" s="480"/>
      <c r="U605" s="468"/>
      <c r="V605" s="449"/>
      <c r="W605" s="45">
        <v>1684.8045654296875</v>
      </c>
      <c r="X605" s="463">
        <v>140.27618408203125</v>
      </c>
      <c r="Y605" s="449"/>
      <c r="Z605" s="45"/>
      <c r="AA605" s="468">
        <v>0.36991544796977432</v>
      </c>
      <c r="AB605" s="456"/>
      <c r="AC605" s="46"/>
      <c r="AD605" s="46"/>
      <c r="AE605" s="46"/>
      <c r="AF605" s="46"/>
      <c r="AG605" s="46"/>
      <c r="AH605" s="46"/>
      <c r="AI605" s="457"/>
      <c r="AJ605" s="138"/>
      <c r="AK605" s="745"/>
      <c r="AL605" s="54"/>
      <c r="AM605" s="468"/>
      <c r="AN605" s="449"/>
      <c r="AO605" s="45"/>
      <c r="AP605" s="45"/>
      <c r="AQ605" s="45"/>
      <c r="AR605" s="45"/>
      <c r="AS605" s="45"/>
      <c r="AT605" s="45"/>
      <c r="AU605" s="463"/>
      <c r="AV605" s="449"/>
      <c r="AW605" s="45"/>
      <c r="AX605" s="45"/>
      <c r="AY605" s="45"/>
      <c r="AZ605" s="45"/>
      <c r="BA605" s="45"/>
      <c r="BB605" s="45"/>
      <c r="BC605" s="463"/>
      <c r="BD605" s="456"/>
      <c r="BE605" s="46"/>
      <c r="BF605" s="46"/>
      <c r="BG605" s="46"/>
      <c r="BH605" s="46"/>
      <c r="BI605" s="46"/>
      <c r="BJ605" s="457"/>
      <c r="BK605" s="449">
        <v>0</v>
      </c>
      <c r="BL605" s="45"/>
      <c r="BM605" s="45"/>
      <c r="BN605" s="45"/>
      <c r="BO605" s="45"/>
      <c r="BP605" s="45"/>
      <c r="BQ605" s="45"/>
      <c r="BR605" s="45"/>
      <c r="BS605" s="45"/>
      <c r="BT605" s="45"/>
      <c r="BU605" s="45"/>
      <c r="BV605" s="45"/>
      <c r="BW605" s="45"/>
      <c r="BX605" s="45"/>
      <c r="BY605" s="45"/>
      <c r="BZ605" s="45"/>
      <c r="CA605" s="45"/>
      <c r="CB605" s="45"/>
      <c r="CC605" s="45"/>
      <c r="CD605" s="463"/>
      <c r="CE605">
        <v>0</v>
      </c>
      <c r="CF605">
        <v>0</v>
      </c>
      <c r="CG605">
        <v>0</v>
      </c>
      <c r="CH605">
        <v>0</v>
      </c>
      <c r="CI605">
        <v>0</v>
      </c>
      <c r="CJ605">
        <v>0</v>
      </c>
      <c r="CK605">
        <v>0</v>
      </c>
      <c r="CL605">
        <v>0</v>
      </c>
      <c r="CM605">
        <v>0</v>
      </c>
      <c r="CN605">
        <v>0</v>
      </c>
      <c r="CO605">
        <v>0</v>
      </c>
      <c r="CP605">
        <v>0</v>
      </c>
      <c r="CQ605">
        <v>0</v>
      </c>
      <c r="CR605">
        <v>0</v>
      </c>
      <c r="CS605">
        <v>0</v>
      </c>
      <c r="CT605">
        <v>0</v>
      </c>
      <c r="CU605">
        <v>0</v>
      </c>
      <c r="CV605">
        <v>0</v>
      </c>
      <c r="CW605">
        <v>0</v>
      </c>
      <c r="CX605">
        <v>0</v>
      </c>
      <c r="CY605">
        <v>0</v>
      </c>
      <c r="CZ605">
        <v>0</v>
      </c>
      <c r="DA605">
        <v>0</v>
      </c>
      <c r="DB605">
        <v>0</v>
      </c>
      <c r="DC605">
        <v>0</v>
      </c>
      <c r="DD605">
        <v>0</v>
      </c>
      <c r="DE605">
        <v>0</v>
      </c>
      <c r="DF605">
        <v>0</v>
      </c>
      <c r="DG605">
        <v>0</v>
      </c>
      <c r="DH605">
        <v>0</v>
      </c>
      <c r="DI605">
        <v>0</v>
      </c>
      <c r="DJ605">
        <v>0</v>
      </c>
      <c r="DK605">
        <v>0</v>
      </c>
      <c r="DL605">
        <v>0</v>
      </c>
      <c r="DM605">
        <v>0</v>
      </c>
      <c r="DN605">
        <v>0</v>
      </c>
      <c r="DO605">
        <v>0</v>
      </c>
      <c r="DP605">
        <v>0</v>
      </c>
      <c r="DQ605">
        <v>0</v>
      </c>
      <c r="DR605">
        <v>0</v>
      </c>
      <c r="DS605">
        <v>0</v>
      </c>
      <c r="DT605">
        <v>0</v>
      </c>
      <c r="DU605">
        <v>0</v>
      </c>
    </row>
    <row r="606" spans="2:125">
      <c r="B606" s="136">
        <v>597</v>
      </c>
      <c r="C606" s="138">
        <v>1</v>
      </c>
      <c r="D606" s="474">
        <v>4269.1945237565678</v>
      </c>
      <c r="E606" s="127">
        <v>228.22100785279903</v>
      </c>
      <c r="F606" s="447">
        <v>0.36998802666852254</v>
      </c>
      <c r="G606" s="127">
        <v>160.23914155514589</v>
      </c>
      <c r="H606" s="132">
        <v>60.414672923059342</v>
      </c>
      <c r="I606" s="456"/>
      <c r="J606" s="45"/>
      <c r="K606" s="45">
        <v>630</v>
      </c>
      <c r="L606" s="463"/>
      <c r="M606" s="456">
        <v>31.081138610839844</v>
      </c>
      <c r="N606" s="457"/>
      <c r="O606" s="456"/>
      <c r="P606" s="46"/>
      <c r="Q606" s="463">
        <v>84.530052185058594</v>
      </c>
      <c r="R606" s="449"/>
      <c r="S606" s="463"/>
      <c r="T606" s="480"/>
      <c r="U606" s="468"/>
      <c r="V606" s="449"/>
      <c r="W606" s="45">
        <v>1627.1259765625</v>
      </c>
      <c r="X606" s="463">
        <v>136.04940795898437</v>
      </c>
      <c r="Y606" s="449"/>
      <c r="Z606" s="45"/>
      <c r="AA606" s="468">
        <v>0.36239882913885341</v>
      </c>
      <c r="AB606" s="456"/>
      <c r="AC606" s="46"/>
      <c r="AD606" s="46"/>
      <c r="AE606" s="46"/>
      <c r="AF606" s="46"/>
      <c r="AG606" s="46"/>
      <c r="AH606" s="46"/>
      <c r="AI606" s="457"/>
      <c r="AJ606" s="138"/>
      <c r="AK606" s="745"/>
      <c r="AL606" s="54"/>
      <c r="AM606" s="468"/>
      <c r="AN606" s="449"/>
      <c r="AO606" s="45"/>
      <c r="AP606" s="45"/>
      <c r="AQ606" s="45"/>
      <c r="AR606" s="45"/>
      <c r="AS606" s="45"/>
      <c r="AT606" s="45"/>
      <c r="AU606" s="463"/>
      <c r="AV606" s="449"/>
      <c r="AW606" s="45"/>
      <c r="AX606" s="45"/>
      <c r="AY606" s="45"/>
      <c r="AZ606" s="45"/>
      <c r="BA606" s="45"/>
      <c r="BB606" s="45"/>
      <c r="BC606" s="463"/>
      <c r="BD606" s="456"/>
      <c r="BE606" s="46"/>
      <c r="BF606" s="46"/>
      <c r="BG606" s="46"/>
      <c r="BH606" s="46"/>
      <c r="BI606" s="46"/>
      <c r="BJ606" s="457"/>
      <c r="BK606" s="449">
        <v>0</v>
      </c>
      <c r="BL606" s="45"/>
      <c r="BM606" s="45"/>
      <c r="BN606" s="45"/>
      <c r="BO606" s="45"/>
      <c r="BP606" s="45"/>
      <c r="BQ606" s="45"/>
      <c r="BR606" s="45"/>
      <c r="BS606" s="45"/>
      <c r="BT606" s="45"/>
      <c r="BU606" s="45"/>
      <c r="BV606" s="45"/>
      <c r="BW606" s="45"/>
      <c r="BX606" s="45"/>
      <c r="BY606" s="45"/>
      <c r="BZ606" s="45"/>
      <c r="CA606" s="45"/>
      <c r="CB606" s="45"/>
      <c r="CC606" s="45"/>
      <c r="CD606" s="463"/>
      <c r="CE606">
        <v>0</v>
      </c>
      <c r="CF606">
        <v>0</v>
      </c>
      <c r="CG606">
        <v>0</v>
      </c>
      <c r="CH606">
        <v>0</v>
      </c>
      <c r="CI606">
        <v>0</v>
      </c>
      <c r="CJ606">
        <v>0</v>
      </c>
      <c r="CK606">
        <v>0</v>
      </c>
      <c r="CL606">
        <v>0</v>
      </c>
      <c r="CM606">
        <v>0</v>
      </c>
      <c r="CN606">
        <v>0</v>
      </c>
      <c r="CO606">
        <v>0</v>
      </c>
      <c r="CP606">
        <v>0</v>
      </c>
      <c r="CQ606">
        <v>0</v>
      </c>
      <c r="CR606">
        <v>0</v>
      </c>
      <c r="CS606">
        <v>0</v>
      </c>
      <c r="CT606">
        <v>0</v>
      </c>
      <c r="CU606">
        <v>0</v>
      </c>
      <c r="CV606">
        <v>0</v>
      </c>
      <c r="CW606">
        <v>0</v>
      </c>
      <c r="CX606">
        <v>0</v>
      </c>
      <c r="CY606">
        <v>0</v>
      </c>
      <c r="CZ606">
        <v>0</v>
      </c>
      <c r="DA606">
        <v>0</v>
      </c>
      <c r="DB606">
        <v>0</v>
      </c>
      <c r="DC606">
        <v>0</v>
      </c>
      <c r="DD606">
        <v>0</v>
      </c>
      <c r="DE606">
        <v>0</v>
      </c>
      <c r="DF606">
        <v>0</v>
      </c>
      <c r="DG606">
        <v>0</v>
      </c>
      <c r="DH606">
        <v>0</v>
      </c>
      <c r="DI606">
        <v>0</v>
      </c>
      <c r="DJ606">
        <v>0</v>
      </c>
      <c r="DK606">
        <v>0</v>
      </c>
      <c r="DL606">
        <v>0</v>
      </c>
      <c r="DM606">
        <v>0</v>
      </c>
      <c r="DN606">
        <v>0</v>
      </c>
      <c r="DO606">
        <v>0</v>
      </c>
      <c r="DP606">
        <v>0</v>
      </c>
      <c r="DQ606">
        <v>0</v>
      </c>
      <c r="DR606">
        <v>0</v>
      </c>
      <c r="DS606">
        <v>0</v>
      </c>
      <c r="DT606">
        <v>0</v>
      </c>
      <c r="DU606">
        <v>0</v>
      </c>
    </row>
    <row r="607" spans="2:125">
      <c r="B607" s="136">
        <v>598</v>
      </c>
      <c r="C607" s="138">
        <v>1</v>
      </c>
      <c r="D607" s="474">
        <v>3046.6270190757527</v>
      </c>
      <c r="E607" s="127">
        <v>262.23882347634657</v>
      </c>
      <c r="F607" s="447">
        <v>0.44907267540367501</v>
      </c>
      <c r="G607" s="127">
        <v>102.24711735393316</v>
      </c>
      <c r="H607" s="132">
        <v>54.059742962718026</v>
      </c>
      <c r="I607" s="456"/>
      <c r="J607" s="45"/>
      <c r="K607" s="45">
        <v>430</v>
      </c>
      <c r="L607" s="463"/>
      <c r="M607" s="456">
        <v>37.144863128662109</v>
      </c>
      <c r="N607" s="457"/>
      <c r="O607" s="456"/>
      <c r="P607" s="46"/>
      <c r="Q607" s="463">
        <v>60.323215484619141</v>
      </c>
      <c r="R607" s="449"/>
      <c r="S607" s="463"/>
      <c r="T607" s="480"/>
      <c r="U607" s="468"/>
      <c r="V607" s="449"/>
      <c r="W607" s="45">
        <v>1518.6268310546875</v>
      </c>
      <c r="X607" s="463">
        <v>127.33090209960937</v>
      </c>
      <c r="Y607" s="449"/>
      <c r="Z607" s="45"/>
      <c r="AA607" s="468">
        <v>0.4379188803065705</v>
      </c>
      <c r="AB607" s="456"/>
      <c r="AC607" s="46"/>
      <c r="AD607" s="46"/>
      <c r="AE607" s="46"/>
      <c r="AF607" s="46"/>
      <c r="AG607" s="46"/>
      <c r="AH607" s="46"/>
      <c r="AI607" s="457"/>
      <c r="AJ607" s="138"/>
      <c r="AK607" s="745"/>
      <c r="AL607" s="54"/>
      <c r="AM607" s="468"/>
      <c r="AN607" s="449"/>
      <c r="AO607" s="45"/>
      <c r="AP607" s="45"/>
      <c r="AQ607" s="45"/>
      <c r="AR607" s="45"/>
      <c r="AS607" s="45"/>
      <c r="AT607" s="45"/>
      <c r="AU607" s="463"/>
      <c r="AV607" s="449"/>
      <c r="AW607" s="45"/>
      <c r="AX607" s="45"/>
      <c r="AY607" s="45"/>
      <c r="AZ607" s="45"/>
      <c r="BA607" s="45"/>
      <c r="BB607" s="45"/>
      <c r="BC607" s="463"/>
      <c r="BD607" s="456"/>
      <c r="BE607" s="46"/>
      <c r="BF607" s="46"/>
      <c r="BG607" s="46"/>
      <c r="BH607" s="46"/>
      <c r="BI607" s="46"/>
      <c r="BJ607" s="457"/>
      <c r="BK607" s="449">
        <v>0</v>
      </c>
      <c r="BL607" s="45"/>
      <c r="BM607" s="45"/>
      <c r="BN607" s="45"/>
      <c r="BO607" s="45"/>
      <c r="BP607" s="45"/>
      <c r="BQ607" s="45"/>
      <c r="BR607" s="45"/>
      <c r="BS607" s="45"/>
      <c r="BT607" s="45"/>
      <c r="BU607" s="45"/>
      <c r="BV607" s="45"/>
      <c r="BW607" s="45"/>
      <c r="BX607" s="45"/>
      <c r="BY607" s="45"/>
      <c r="BZ607" s="45"/>
      <c r="CA607" s="45"/>
      <c r="CB607" s="45"/>
      <c r="CC607" s="45"/>
      <c r="CD607" s="463"/>
      <c r="CE607">
        <v>0</v>
      </c>
      <c r="CF607">
        <v>0</v>
      </c>
      <c r="CG607">
        <v>0</v>
      </c>
      <c r="CH607">
        <v>0</v>
      </c>
      <c r="CI607">
        <v>0</v>
      </c>
      <c r="CJ607">
        <v>0</v>
      </c>
      <c r="CK607">
        <v>0</v>
      </c>
      <c r="CL607">
        <v>0</v>
      </c>
      <c r="CM607">
        <v>0</v>
      </c>
      <c r="CN607">
        <v>0</v>
      </c>
      <c r="CO607">
        <v>0</v>
      </c>
      <c r="CP607">
        <v>0</v>
      </c>
      <c r="CQ607">
        <v>0</v>
      </c>
      <c r="CR607">
        <v>0</v>
      </c>
      <c r="CS607">
        <v>0</v>
      </c>
      <c r="CT607">
        <v>0</v>
      </c>
      <c r="CU607">
        <v>0</v>
      </c>
      <c r="CV607">
        <v>0</v>
      </c>
      <c r="CW607">
        <v>0</v>
      </c>
      <c r="CX607">
        <v>0</v>
      </c>
      <c r="CY607">
        <v>0</v>
      </c>
      <c r="CZ607">
        <v>0</v>
      </c>
      <c r="DA607">
        <v>0</v>
      </c>
      <c r="DB607">
        <v>0</v>
      </c>
      <c r="DC607">
        <v>0</v>
      </c>
      <c r="DD607">
        <v>0</v>
      </c>
      <c r="DE607">
        <v>0</v>
      </c>
      <c r="DF607">
        <v>0</v>
      </c>
      <c r="DG607">
        <v>0</v>
      </c>
      <c r="DH607">
        <v>0</v>
      </c>
      <c r="DI607">
        <v>0</v>
      </c>
      <c r="DJ607">
        <v>0</v>
      </c>
      <c r="DK607">
        <v>0</v>
      </c>
      <c r="DL607">
        <v>0</v>
      </c>
      <c r="DM607">
        <v>0</v>
      </c>
      <c r="DN607">
        <v>0</v>
      </c>
      <c r="DO607">
        <v>0</v>
      </c>
      <c r="DP607">
        <v>0</v>
      </c>
      <c r="DQ607">
        <v>0</v>
      </c>
      <c r="DR607">
        <v>0</v>
      </c>
      <c r="DS607">
        <v>0</v>
      </c>
      <c r="DT607">
        <v>0</v>
      </c>
      <c r="DU607">
        <v>0</v>
      </c>
    </row>
    <row r="608" spans="2:125">
      <c r="B608" s="136">
        <v>599</v>
      </c>
      <c r="C608" s="138">
        <v>1</v>
      </c>
      <c r="D608" s="474">
        <v>3486.880115620208</v>
      </c>
      <c r="E608" s="127">
        <v>222.99421713114614</v>
      </c>
      <c r="F608" s="447">
        <v>0.45281168655360277</v>
      </c>
      <c r="G608" s="127">
        <v>128.48290974951857</v>
      </c>
      <c r="H608" s="132">
        <v>55.124046811771507</v>
      </c>
      <c r="I608" s="456"/>
      <c r="J608" s="45"/>
      <c r="K608" s="45">
        <v>520</v>
      </c>
      <c r="L608" s="463"/>
      <c r="M608" s="456">
        <v>41.034629821777344</v>
      </c>
      <c r="N608" s="457"/>
      <c r="O608" s="456"/>
      <c r="P608" s="46"/>
      <c r="Q608" s="463">
        <v>69.040229797363281</v>
      </c>
      <c r="R608" s="449"/>
      <c r="S608" s="463"/>
      <c r="T608" s="480"/>
      <c r="U608" s="468"/>
      <c r="V608" s="449"/>
      <c r="W608" s="45">
        <v>1825.4443359375</v>
      </c>
      <c r="X608" s="463">
        <v>150.01097106933594</v>
      </c>
      <c r="Y608" s="449"/>
      <c r="Z608" s="45"/>
      <c r="AA608" s="468">
        <v>0.44304472221820451</v>
      </c>
      <c r="AB608" s="456"/>
      <c r="AC608" s="46"/>
      <c r="AD608" s="46"/>
      <c r="AE608" s="46"/>
      <c r="AF608" s="46"/>
      <c r="AG608" s="46"/>
      <c r="AH608" s="46"/>
      <c r="AI608" s="457"/>
      <c r="AJ608" s="138"/>
      <c r="AK608" s="745"/>
      <c r="AL608" s="54"/>
      <c r="AM608" s="468"/>
      <c r="AN608" s="449"/>
      <c r="AO608" s="45"/>
      <c r="AP608" s="45"/>
      <c r="AQ608" s="45"/>
      <c r="AR608" s="45"/>
      <c r="AS608" s="45"/>
      <c r="AT608" s="45"/>
      <c r="AU608" s="463"/>
      <c r="AV608" s="449"/>
      <c r="AW608" s="45"/>
      <c r="AX608" s="45"/>
      <c r="AY608" s="45"/>
      <c r="AZ608" s="45"/>
      <c r="BA608" s="45"/>
      <c r="BB608" s="45"/>
      <c r="BC608" s="463"/>
      <c r="BD608" s="456"/>
      <c r="BE608" s="46"/>
      <c r="BF608" s="46"/>
      <c r="BG608" s="46"/>
      <c r="BH608" s="46"/>
      <c r="BI608" s="46"/>
      <c r="BJ608" s="457"/>
      <c r="BK608" s="449">
        <v>0</v>
      </c>
      <c r="BL608" s="45"/>
      <c r="BM608" s="45"/>
      <c r="BN608" s="45"/>
      <c r="BO608" s="45"/>
      <c r="BP608" s="45"/>
      <c r="BQ608" s="45"/>
      <c r="BR608" s="45"/>
      <c r="BS608" s="45"/>
      <c r="BT608" s="45"/>
      <c r="BU608" s="45"/>
      <c r="BV608" s="45"/>
      <c r="BW608" s="45"/>
      <c r="BX608" s="45"/>
      <c r="BY608" s="45"/>
      <c r="BZ608" s="45"/>
      <c r="CA608" s="45"/>
      <c r="CB608" s="45"/>
      <c r="CC608" s="45"/>
      <c r="CD608" s="463"/>
      <c r="CE608">
        <v>0</v>
      </c>
      <c r="CF608">
        <v>0</v>
      </c>
      <c r="CG608">
        <v>0</v>
      </c>
      <c r="CH608">
        <v>0</v>
      </c>
      <c r="CI608">
        <v>0</v>
      </c>
      <c r="CJ608">
        <v>0</v>
      </c>
      <c r="CK608">
        <v>0</v>
      </c>
      <c r="CL608">
        <v>0</v>
      </c>
      <c r="CM608">
        <v>0</v>
      </c>
      <c r="CN608">
        <v>0</v>
      </c>
      <c r="CO608">
        <v>0</v>
      </c>
      <c r="CP608">
        <v>0</v>
      </c>
      <c r="CQ608">
        <v>0</v>
      </c>
      <c r="CR608">
        <v>0</v>
      </c>
      <c r="CS608">
        <v>0</v>
      </c>
      <c r="CT608">
        <v>0</v>
      </c>
      <c r="CU608">
        <v>0</v>
      </c>
      <c r="CV608">
        <v>0</v>
      </c>
      <c r="CW608">
        <v>0</v>
      </c>
      <c r="CX608">
        <v>0</v>
      </c>
      <c r="CY608">
        <v>0</v>
      </c>
      <c r="CZ608">
        <v>0</v>
      </c>
      <c r="DA608">
        <v>0</v>
      </c>
      <c r="DB608">
        <v>0</v>
      </c>
      <c r="DC608">
        <v>0</v>
      </c>
      <c r="DD608">
        <v>0</v>
      </c>
      <c r="DE608">
        <v>0</v>
      </c>
      <c r="DF608">
        <v>0</v>
      </c>
      <c r="DG608">
        <v>0</v>
      </c>
      <c r="DH608">
        <v>0</v>
      </c>
      <c r="DI608">
        <v>0</v>
      </c>
      <c r="DJ608">
        <v>0</v>
      </c>
      <c r="DK608">
        <v>0</v>
      </c>
      <c r="DL608">
        <v>0</v>
      </c>
      <c r="DM608">
        <v>0</v>
      </c>
      <c r="DN608">
        <v>0</v>
      </c>
      <c r="DO608">
        <v>0</v>
      </c>
      <c r="DP608">
        <v>0</v>
      </c>
      <c r="DQ608">
        <v>0</v>
      </c>
      <c r="DR608">
        <v>0</v>
      </c>
      <c r="DS608">
        <v>0</v>
      </c>
      <c r="DT608">
        <v>0</v>
      </c>
      <c r="DU608">
        <v>0</v>
      </c>
    </row>
    <row r="609" spans="2:125">
      <c r="B609" s="136">
        <v>600</v>
      </c>
      <c r="C609" s="138">
        <v>1</v>
      </c>
      <c r="D609" s="474">
        <v>3022.2288626008435</v>
      </c>
      <c r="E609" s="127">
        <v>243.74170037670444</v>
      </c>
      <c r="F609" s="447">
        <v>0.4234097487268802</v>
      </c>
      <c r="G609" s="127">
        <v>98.803417690316337</v>
      </c>
      <c r="H609" s="132">
        <v>54.546341106839193</v>
      </c>
      <c r="I609" s="456"/>
      <c r="J609" s="45"/>
      <c r="K609" s="45">
        <v>420</v>
      </c>
      <c r="L609" s="463"/>
      <c r="M609" s="456">
        <v>33.044097900390625</v>
      </c>
      <c r="N609" s="457"/>
      <c r="O609" s="456"/>
      <c r="P609" s="46"/>
      <c r="Q609" s="463">
        <v>59.840133666992188</v>
      </c>
      <c r="R609" s="449"/>
      <c r="S609" s="463"/>
      <c r="T609" s="480"/>
      <c r="U609" s="468"/>
      <c r="V609" s="449"/>
      <c r="W609" s="45">
        <v>1357.0196533203125</v>
      </c>
      <c r="X609" s="463">
        <v>115.53961181640625</v>
      </c>
      <c r="Y609" s="449"/>
      <c r="Z609" s="45"/>
      <c r="AA609" s="468">
        <v>0.41233573795665152</v>
      </c>
      <c r="AB609" s="456"/>
      <c r="AC609" s="46"/>
      <c r="AD609" s="46"/>
      <c r="AE609" s="46"/>
      <c r="AF609" s="46"/>
      <c r="AG609" s="46"/>
      <c r="AH609" s="46"/>
      <c r="AI609" s="457"/>
      <c r="AJ609" s="138"/>
      <c r="AK609" s="745"/>
      <c r="AL609" s="54"/>
      <c r="AM609" s="468"/>
      <c r="AN609" s="449"/>
      <c r="AO609" s="45"/>
      <c r="AP609" s="45"/>
      <c r="AQ609" s="45"/>
      <c r="AR609" s="45"/>
      <c r="AS609" s="45"/>
      <c r="AT609" s="45"/>
      <c r="AU609" s="463"/>
      <c r="AV609" s="449"/>
      <c r="AW609" s="45"/>
      <c r="AX609" s="45"/>
      <c r="AY609" s="45"/>
      <c r="AZ609" s="45"/>
      <c r="BA609" s="45"/>
      <c r="BB609" s="45"/>
      <c r="BC609" s="463"/>
      <c r="BD609" s="456"/>
      <c r="BE609" s="46"/>
      <c r="BF609" s="46"/>
      <c r="BG609" s="46"/>
      <c r="BH609" s="46"/>
      <c r="BI609" s="46"/>
      <c r="BJ609" s="457"/>
      <c r="BK609" s="449">
        <v>0</v>
      </c>
      <c r="BL609" s="45"/>
      <c r="BM609" s="45"/>
      <c r="BN609" s="45"/>
      <c r="BO609" s="45"/>
      <c r="BP609" s="45"/>
      <c r="BQ609" s="45"/>
      <c r="BR609" s="45"/>
      <c r="BS609" s="45"/>
      <c r="BT609" s="45"/>
      <c r="BU609" s="45"/>
      <c r="BV609" s="45"/>
      <c r="BW609" s="45"/>
      <c r="BX609" s="45"/>
      <c r="BY609" s="45"/>
      <c r="BZ609" s="45"/>
      <c r="CA609" s="45"/>
      <c r="CB609" s="45"/>
      <c r="CC609" s="45"/>
      <c r="CD609" s="463"/>
      <c r="CE609">
        <v>0</v>
      </c>
      <c r="CF609">
        <v>0</v>
      </c>
      <c r="CG609">
        <v>0</v>
      </c>
      <c r="CH609">
        <v>0</v>
      </c>
      <c r="CI609">
        <v>0</v>
      </c>
      <c r="CJ609">
        <v>0</v>
      </c>
      <c r="CK609">
        <v>0</v>
      </c>
      <c r="CL609">
        <v>0</v>
      </c>
      <c r="CM609">
        <v>0</v>
      </c>
      <c r="CN609">
        <v>0</v>
      </c>
      <c r="CO609">
        <v>0</v>
      </c>
      <c r="CP609">
        <v>0</v>
      </c>
      <c r="CQ609">
        <v>0</v>
      </c>
      <c r="CR609">
        <v>0</v>
      </c>
      <c r="CS609">
        <v>0</v>
      </c>
      <c r="CT609">
        <v>0</v>
      </c>
      <c r="CU609">
        <v>0</v>
      </c>
      <c r="CV609">
        <v>0</v>
      </c>
      <c r="CW609">
        <v>0</v>
      </c>
      <c r="CX609">
        <v>0</v>
      </c>
      <c r="CY609">
        <v>0</v>
      </c>
      <c r="CZ609">
        <v>0</v>
      </c>
      <c r="DA609">
        <v>0</v>
      </c>
      <c r="DB609">
        <v>0</v>
      </c>
      <c r="DC609">
        <v>0</v>
      </c>
      <c r="DD609">
        <v>0</v>
      </c>
      <c r="DE609">
        <v>0</v>
      </c>
      <c r="DF609">
        <v>0</v>
      </c>
      <c r="DG609">
        <v>0</v>
      </c>
      <c r="DH609">
        <v>0</v>
      </c>
      <c r="DI609">
        <v>0</v>
      </c>
      <c r="DJ609">
        <v>0</v>
      </c>
      <c r="DK609">
        <v>0</v>
      </c>
      <c r="DL609">
        <v>0</v>
      </c>
      <c r="DM609">
        <v>0</v>
      </c>
      <c r="DN609">
        <v>0</v>
      </c>
      <c r="DO609">
        <v>0</v>
      </c>
      <c r="DP609">
        <v>0</v>
      </c>
      <c r="DQ609">
        <v>0</v>
      </c>
      <c r="DR609">
        <v>0</v>
      </c>
      <c r="DS609">
        <v>0</v>
      </c>
      <c r="DT609">
        <v>0</v>
      </c>
      <c r="DU609">
        <v>0</v>
      </c>
    </row>
    <row r="610" spans="2:125">
      <c r="B610" s="136">
        <v>601</v>
      </c>
      <c r="C610" s="138">
        <v>1</v>
      </c>
      <c r="D610" s="474">
        <v>4061.6987828944852</v>
      </c>
      <c r="E610" s="127">
        <v>279.27377884852979</v>
      </c>
      <c r="F610" s="447">
        <v>0.40843546481279219</v>
      </c>
      <c r="G610" s="127">
        <v>167.11324027963033</v>
      </c>
      <c r="H610" s="132">
        <v>55.320694812035718</v>
      </c>
      <c r="I610" s="456"/>
      <c r="J610" s="45"/>
      <c r="K610" s="45">
        <v>640</v>
      </c>
      <c r="L610" s="463"/>
      <c r="M610" s="456">
        <v>37.341926574707031</v>
      </c>
      <c r="N610" s="457"/>
      <c r="O610" s="456"/>
      <c r="P610" s="46"/>
      <c r="Q610" s="463">
        <v>80.421638488769531</v>
      </c>
      <c r="R610" s="449"/>
      <c r="S610" s="463"/>
      <c r="T610" s="480"/>
      <c r="U610" s="468"/>
      <c r="V610" s="449"/>
      <c r="W610" s="45">
        <v>1865.9345703125</v>
      </c>
      <c r="X610" s="463">
        <v>153.44601440429687</v>
      </c>
      <c r="Y610" s="449"/>
      <c r="Z610" s="45"/>
      <c r="AA610" s="468">
        <v>0.40026924888463344</v>
      </c>
      <c r="AB610" s="456"/>
      <c r="AC610" s="46"/>
      <c r="AD610" s="46"/>
      <c r="AE610" s="46"/>
      <c r="AF610" s="46"/>
      <c r="AG610" s="46"/>
      <c r="AH610" s="46"/>
      <c r="AI610" s="457"/>
      <c r="AJ610" s="138"/>
      <c r="AK610" s="745"/>
      <c r="AL610" s="54"/>
      <c r="AM610" s="468"/>
      <c r="AN610" s="449"/>
      <c r="AO610" s="45"/>
      <c r="AP610" s="45"/>
      <c r="AQ610" s="45"/>
      <c r="AR610" s="45"/>
      <c r="AS610" s="45"/>
      <c r="AT610" s="45"/>
      <c r="AU610" s="463"/>
      <c r="AV610" s="449"/>
      <c r="AW610" s="45"/>
      <c r="AX610" s="45"/>
      <c r="AY610" s="45"/>
      <c r="AZ610" s="45"/>
      <c r="BA610" s="45"/>
      <c r="BB610" s="45"/>
      <c r="BC610" s="463"/>
      <c r="BD610" s="456"/>
      <c r="BE610" s="46"/>
      <c r="BF610" s="46"/>
      <c r="BG610" s="46"/>
      <c r="BH610" s="46"/>
      <c r="BI610" s="46"/>
      <c r="BJ610" s="457"/>
      <c r="BK610" s="449">
        <v>0</v>
      </c>
      <c r="BL610" s="45"/>
      <c r="BM610" s="45"/>
      <c r="BN610" s="45"/>
      <c r="BO610" s="45"/>
      <c r="BP610" s="45"/>
      <c r="BQ610" s="45"/>
      <c r="BR610" s="45"/>
      <c r="BS610" s="45"/>
      <c r="BT610" s="45"/>
      <c r="BU610" s="45"/>
      <c r="BV610" s="45"/>
      <c r="BW610" s="45"/>
      <c r="BX610" s="45"/>
      <c r="BY610" s="45"/>
      <c r="BZ610" s="45"/>
      <c r="CA610" s="45"/>
      <c r="CB610" s="45"/>
      <c r="CC610" s="45"/>
      <c r="CD610" s="463"/>
      <c r="CE610">
        <v>0</v>
      </c>
      <c r="CF610">
        <v>0</v>
      </c>
      <c r="CG610">
        <v>0</v>
      </c>
      <c r="CH610">
        <v>0</v>
      </c>
      <c r="CI610">
        <v>0</v>
      </c>
      <c r="CJ610">
        <v>0</v>
      </c>
      <c r="CK610">
        <v>0</v>
      </c>
      <c r="CL610">
        <v>0</v>
      </c>
      <c r="CM610">
        <v>0</v>
      </c>
      <c r="CN610">
        <v>0</v>
      </c>
      <c r="CO610">
        <v>0</v>
      </c>
      <c r="CP610">
        <v>0</v>
      </c>
      <c r="CQ610">
        <v>0</v>
      </c>
      <c r="CR610">
        <v>0</v>
      </c>
      <c r="CS610">
        <v>0</v>
      </c>
      <c r="CT610">
        <v>0</v>
      </c>
      <c r="CU610">
        <v>0</v>
      </c>
      <c r="CV610">
        <v>0</v>
      </c>
      <c r="CW610">
        <v>0</v>
      </c>
      <c r="CX610">
        <v>0</v>
      </c>
      <c r="CY610">
        <v>0</v>
      </c>
      <c r="CZ610">
        <v>0</v>
      </c>
      <c r="DA610">
        <v>0</v>
      </c>
      <c r="DB610">
        <v>0</v>
      </c>
      <c r="DC610">
        <v>0</v>
      </c>
      <c r="DD610">
        <v>0</v>
      </c>
      <c r="DE610">
        <v>0</v>
      </c>
      <c r="DF610">
        <v>0</v>
      </c>
      <c r="DG610">
        <v>0</v>
      </c>
      <c r="DH610">
        <v>0</v>
      </c>
      <c r="DI610">
        <v>0</v>
      </c>
      <c r="DJ610">
        <v>0</v>
      </c>
      <c r="DK610">
        <v>0</v>
      </c>
      <c r="DL610">
        <v>0</v>
      </c>
      <c r="DM610">
        <v>0</v>
      </c>
      <c r="DN610">
        <v>0</v>
      </c>
      <c r="DO610">
        <v>0</v>
      </c>
      <c r="DP610">
        <v>0</v>
      </c>
      <c r="DQ610">
        <v>0</v>
      </c>
      <c r="DR610">
        <v>0</v>
      </c>
      <c r="DS610">
        <v>0</v>
      </c>
      <c r="DT610">
        <v>0</v>
      </c>
      <c r="DU610">
        <v>0</v>
      </c>
    </row>
    <row r="611" spans="2:125">
      <c r="B611" s="136">
        <v>602</v>
      </c>
      <c r="C611" s="138">
        <v>1</v>
      </c>
      <c r="D611" s="474">
        <v>3661.8973789042784</v>
      </c>
      <c r="E611" s="127">
        <v>209.86344990500305</v>
      </c>
      <c r="F611" s="447">
        <v>0.45332901531490211</v>
      </c>
      <c r="G611" s="127">
        <v>120.49453455853302</v>
      </c>
      <c r="H611" s="132">
        <v>60.001311766706948</v>
      </c>
      <c r="I611" s="456"/>
      <c r="J611" s="45"/>
      <c r="K611" s="45">
        <v>510</v>
      </c>
      <c r="L611" s="463"/>
      <c r="M611" s="456">
        <v>39.345264434814453</v>
      </c>
      <c r="N611" s="457"/>
      <c r="O611" s="456"/>
      <c r="P611" s="46"/>
      <c r="Q611" s="463">
        <v>72.505569458007813</v>
      </c>
      <c r="R611" s="449"/>
      <c r="S611" s="463"/>
      <c r="T611" s="480"/>
      <c r="U611" s="468"/>
      <c r="V611" s="449"/>
      <c r="W611" s="45">
        <v>1800.73681640625</v>
      </c>
      <c r="X611" s="463">
        <v>148.19090270996094</v>
      </c>
      <c r="Y611" s="449"/>
      <c r="Z611" s="45"/>
      <c r="AA611" s="468">
        <v>0.44402602924474316</v>
      </c>
      <c r="AB611" s="456"/>
      <c r="AC611" s="46"/>
      <c r="AD611" s="46"/>
      <c r="AE611" s="46"/>
      <c r="AF611" s="46"/>
      <c r="AG611" s="46"/>
      <c r="AH611" s="46"/>
      <c r="AI611" s="457"/>
      <c r="AJ611" s="138"/>
      <c r="AK611" s="745"/>
      <c r="AL611" s="54"/>
      <c r="AM611" s="468"/>
      <c r="AN611" s="449"/>
      <c r="AO611" s="45"/>
      <c r="AP611" s="45"/>
      <c r="AQ611" s="45"/>
      <c r="AR611" s="45"/>
      <c r="AS611" s="45"/>
      <c r="AT611" s="45"/>
      <c r="AU611" s="463"/>
      <c r="AV611" s="449"/>
      <c r="AW611" s="45"/>
      <c r="AX611" s="45"/>
      <c r="AY611" s="45"/>
      <c r="AZ611" s="45"/>
      <c r="BA611" s="45"/>
      <c r="BB611" s="45"/>
      <c r="BC611" s="463"/>
      <c r="BD611" s="456"/>
      <c r="BE611" s="46"/>
      <c r="BF611" s="46"/>
      <c r="BG611" s="46"/>
      <c r="BH611" s="46"/>
      <c r="BI611" s="46"/>
      <c r="BJ611" s="457"/>
      <c r="BK611" s="449">
        <v>0</v>
      </c>
      <c r="BL611" s="45"/>
      <c r="BM611" s="45"/>
      <c r="BN611" s="45"/>
      <c r="BO611" s="45"/>
      <c r="BP611" s="45"/>
      <c r="BQ611" s="45"/>
      <c r="BR611" s="45"/>
      <c r="BS611" s="45"/>
      <c r="BT611" s="45"/>
      <c r="BU611" s="45"/>
      <c r="BV611" s="45"/>
      <c r="BW611" s="45"/>
      <c r="BX611" s="45"/>
      <c r="BY611" s="45"/>
      <c r="BZ611" s="45"/>
      <c r="CA611" s="45"/>
      <c r="CB611" s="45"/>
      <c r="CC611" s="45"/>
      <c r="CD611" s="463"/>
      <c r="CE611">
        <v>0</v>
      </c>
      <c r="CF611">
        <v>0</v>
      </c>
      <c r="CG611">
        <v>0</v>
      </c>
      <c r="CH611">
        <v>0</v>
      </c>
      <c r="CI611">
        <v>0</v>
      </c>
      <c r="CJ611">
        <v>0</v>
      </c>
      <c r="CK611">
        <v>0</v>
      </c>
      <c r="CL611">
        <v>0</v>
      </c>
      <c r="CM611">
        <v>0</v>
      </c>
      <c r="CN611">
        <v>0</v>
      </c>
      <c r="CO611">
        <v>0</v>
      </c>
      <c r="CP611">
        <v>0</v>
      </c>
      <c r="CQ611">
        <v>0</v>
      </c>
      <c r="CR611">
        <v>0</v>
      </c>
      <c r="CS611">
        <v>0</v>
      </c>
      <c r="CT611">
        <v>0</v>
      </c>
      <c r="CU611">
        <v>0</v>
      </c>
      <c r="CV611">
        <v>0</v>
      </c>
      <c r="CW611">
        <v>0</v>
      </c>
      <c r="CX611">
        <v>0</v>
      </c>
      <c r="CY611">
        <v>0</v>
      </c>
      <c r="CZ611">
        <v>0</v>
      </c>
      <c r="DA611">
        <v>0</v>
      </c>
      <c r="DB611">
        <v>0</v>
      </c>
      <c r="DC611">
        <v>0</v>
      </c>
      <c r="DD611">
        <v>0</v>
      </c>
      <c r="DE611">
        <v>0</v>
      </c>
      <c r="DF611">
        <v>0</v>
      </c>
      <c r="DG611">
        <v>0</v>
      </c>
      <c r="DH611">
        <v>0</v>
      </c>
      <c r="DI611">
        <v>0</v>
      </c>
      <c r="DJ611">
        <v>0</v>
      </c>
      <c r="DK611">
        <v>0</v>
      </c>
      <c r="DL611">
        <v>0</v>
      </c>
      <c r="DM611">
        <v>0</v>
      </c>
      <c r="DN611">
        <v>0</v>
      </c>
      <c r="DO611">
        <v>0</v>
      </c>
      <c r="DP611">
        <v>0</v>
      </c>
      <c r="DQ611">
        <v>0</v>
      </c>
      <c r="DR611">
        <v>0</v>
      </c>
      <c r="DS611">
        <v>0</v>
      </c>
      <c r="DT611">
        <v>0</v>
      </c>
      <c r="DU611">
        <v>0</v>
      </c>
    </row>
    <row r="612" spans="2:125">
      <c r="B612" s="136">
        <v>603</v>
      </c>
      <c r="C612" s="138">
        <v>1</v>
      </c>
      <c r="D612" s="474">
        <v>3780.5080223254145</v>
      </c>
      <c r="E612" s="127">
        <v>281.83224850970987</v>
      </c>
      <c r="F612" s="447">
        <v>0.3588135046445074</v>
      </c>
      <c r="G612" s="127">
        <v>128.88669796075601</v>
      </c>
      <c r="H612" s="132">
        <v>65.824698127635003</v>
      </c>
      <c r="I612" s="456"/>
      <c r="J612" s="45"/>
      <c r="K612" s="45">
        <v>550</v>
      </c>
      <c r="L612" s="463"/>
      <c r="M612" s="456">
        <v>27.088586807250977</v>
      </c>
      <c r="N612" s="457"/>
      <c r="O612" s="456"/>
      <c r="P612" s="46"/>
      <c r="Q612" s="463">
        <v>83.168632507324219</v>
      </c>
      <c r="R612" s="449"/>
      <c r="S612" s="463"/>
      <c r="T612" s="480"/>
      <c r="U612" s="468"/>
      <c r="V612" s="449"/>
      <c r="W612" s="45">
        <v>1401.092529296875</v>
      </c>
      <c r="X612" s="463">
        <v>119.29202270507812</v>
      </c>
      <c r="Y612" s="449"/>
      <c r="Z612" s="45"/>
      <c r="AA612" s="468">
        <v>0.35030240774883187</v>
      </c>
      <c r="AB612" s="456"/>
      <c r="AC612" s="46"/>
      <c r="AD612" s="46"/>
      <c r="AE612" s="46"/>
      <c r="AF612" s="46"/>
      <c r="AG612" s="46"/>
      <c r="AH612" s="46"/>
      <c r="AI612" s="457"/>
      <c r="AJ612" s="138"/>
      <c r="AK612" s="745"/>
      <c r="AL612" s="54"/>
      <c r="AM612" s="468"/>
      <c r="AN612" s="449"/>
      <c r="AO612" s="45"/>
      <c r="AP612" s="45"/>
      <c r="AQ612" s="45"/>
      <c r="AR612" s="45"/>
      <c r="AS612" s="45"/>
      <c r="AT612" s="45"/>
      <c r="AU612" s="463"/>
      <c r="AV612" s="449"/>
      <c r="AW612" s="45"/>
      <c r="AX612" s="45"/>
      <c r="AY612" s="45"/>
      <c r="AZ612" s="45"/>
      <c r="BA612" s="45"/>
      <c r="BB612" s="45"/>
      <c r="BC612" s="463"/>
      <c r="BD612" s="456"/>
      <c r="BE612" s="46"/>
      <c r="BF612" s="46"/>
      <c r="BG612" s="46"/>
      <c r="BH612" s="46"/>
      <c r="BI612" s="46"/>
      <c r="BJ612" s="457"/>
      <c r="BK612" s="449">
        <v>0</v>
      </c>
      <c r="BL612" s="45"/>
      <c r="BM612" s="45"/>
      <c r="BN612" s="45"/>
      <c r="BO612" s="45"/>
      <c r="BP612" s="45"/>
      <c r="BQ612" s="45"/>
      <c r="BR612" s="45"/>
      <c r="BS612" s="45"/>
      <c r="BT612" s="45"/>
      <c r="BU612" s="45"/>
      <c r="BV612" s="45"/>
      <c r="BW612" s="45"/>
      <c r="BX612" s="45"/>
      <c r="BY612" s="45"/>
      <c r="BZ612" s="45"/>
      <c r="CA612" s="45"/>
      <c r="CB612" s="45"/>
      <c r="CC612" s="45"/>
      <c r="CD612" s="463"/>
      <c r="CE612">
        <v>0</v>
      </c>
      <c r="CF612">
        <v>0</v>
      </c>
      <c r="CG612">
        <v>0</v>
      </c>
      <c r="CH612">
        <v>0</v>
      </c>
      <c r="CI612">
        <v>0</v>
      </c>
      <c r="CJ612">
        <v>0</v>
      </c>
      <c r="CK612">
        <v>0</v>
      </c>
      <c r="CL612">
        <v>0</v>
      </c>
      <c r="CM612">
        <v>0</v>
      </c>
      <c r="CN612">
        <v>0</v>
      </c>
      <c r="CO612">
        <v>0</v>
      </c>
      <c r="CP612">
        <v>0</v>
      </c>
      <c r="CQ612">
        <v>0</v>
      </c>
      <c r="CR612">
        <v>0</v>
      </c>
      <c r="CS612">
        <v>0</v>
      </c>
      <c r="CT612">
        <v>0</v>
      </c>
      <c r="CU612">
        <v>0</v>
      </c>
      <c r="CV612">
        <v>0</v>
      </c>
      <c r="CW612">
        <v>0</v>
      </c>
      <c r="CX612">
        <v>0</v>
      </c>
      <c r="CY612">
        <v>0</v>
      </c>
      <c r="CZ612">
        <v>0</v>
      </c>
      <c r="DA612">
        <v>0</v>
      </c>
      <c r="DB612">
        <v>0</v>
      </c>
      <c r="DC612">
        <v>0</v>
      </c>
      <c r="DD612">
        <v>0</v>
      </c>
      <c r="DE612">
        <v>0</v>
      </c>
      <c r="DF612">
        <v>0</v>
      </c>
      <c r="DG612">
        <v>0</v>
      </c>
      <c r="DH612">
        <v>0</v>
      </c>
      <c r="DI612">
        <v>0</v>
      </c>
      <c r="DJ612">
        <v>0</v>
      </c>
      <c r="DK612">
        <v>0</v>
      </c>
      <c r="DL612">
        <v>0</v>
      </c>
      <c r="DM612">
        <v>0</v>
      </c>
      <c r="DN612">
        <v>0</v>
      </c>
      <c r="DO612">
        <v>0</v>
      </c>
      <c r="DP612">
        <v>0</v>
      </c>
      <c r="DQ612">
        <v>0</v>
      </c>
      <c r="DR612">
        <v>0</v>
      </c>
      <c r="DS612">
        <v>0</v>
      </c>
      <c r="DT612">
        <v>0</v>
      </c>
      <c r="DU612">
        <v>0</v>
      </c>
    </row>
    <row r="613" spans="2:125">
      <c r="B613" s="136">
        <v>604</v>
      </c>
      <c r="C613" s="138">
        <v>1</v>
      </c>
      <c r="D613" s="474">
        <v>3094.394366230732</v>
      </c>
      <c r="E613" s="127">
        <v>230.58710922591669</v>
      </c>
      <c r="F613" s="447">
        <v>0.46039176606566107</v>
      </c>
      <c r="G613" s="127">
        <v>129.74041765637165</v>
      </c>
      <c r="H613" s="132">
        <v>46.286447170393856</v>
      </c>
      <c r="I613" s="456"/>
      <c r="J613" s="45"/>
      <c r="K613" s="45">
        <v>500</v>
      </c>
      <c r="L613" s="463"/>
      <c r="M613" s="456">
        <v>44.619209289550781</v>
      </c>
      <c r="N613" s="457"/>
      <c r="O613" s="456"/>
      <c r="P613" s="46"/>
      <c r="Q613" s="463">
        <v>61.269008636474609</v>
      </c>
      <c r="R613" s="449"/>
      <c r="S613" s="463"/>
      <c r="T613" s="480"/>
      <c r="U613" s="468"/>
      <c r="V613" s="449"/>
      <c r="W613" s="45">
        <v>1837.9647216796875</v>
      </c>
      <c r="X613" s="463">
        <v>150.84078979492188</v>
      </c>
      <c r="Y613" s="449"/>
      <c r="Z613" s="45"/>
      <c r="AA613" s="468">
        <v>0.44933699047059633</v>
      </c>
      <c r="AB613" s="456"/>
      <c r="AC613" s="46"/>
      <c r="AD613" s="46"/>
      <c r="AE613" s="46"/>
      <c r="AF613" s="46"/>
      <c r="AG613" s="46"/>
      <c r="AH613" s="46"/>
      <c r="AI613" s="457"/>
      <c r="AJ613" s="138"/>
      <c r="AK613" s="745"/>
      <c r="AL613" s="54"/>
      <c r="AM613" s="468"/>
      <c r="AN613" s="449"/>
      <c r="AO613" s="45"/>
      <c r="AP613" s="45"/>
      <c r="AQ613" s="45"/>
      <c r="AR613" s="45"/>
      <c r="AS613" s="45"/>
      <c r="AT613" s="45"/>
      <c r="AU613" s="463"/>
      <c r="AV613" s="449"/>
      <c r="AW613" s="45"/>
      <c r="AX613" s="45"/>
      <c r="AY613" s="45"/>
      <c r="AZ613" s="45"/>
      <c r="BA613" s="45"/>
      <c r="BB613" s="45"/>
      <c r="BC613" s="463"/>
      <c r="BD613" s="456"/>
      <c r="BE613" s="46"/>
      <c r="BF613" s="46"/>
      <c r="BG613" s="46"/>
      <c r="BH613" s="46"/>
      <c r="BI613" s="46"/>
      <c r="BJ613" s="457"/>
      <c r="BK613" s="449">
        <v>0</v>
      </c>
      <c r="BL613" s="45"/>
      <c r="BM613" s="45"/>
      <c r="BN613" s="45"/>
      <c r="BO613" s="45"/>
      <c r="BP613" s="45"/>
      <c r="BQ613" s="45"/>
      <c r="BR613" s="45"/>
      <c r="BS613" s="45"/>
      <c r="BT613" s="45"/>
      <c r="BU613" s="45"/>
      <c r="BV613" s="45"/>
      <c r="BW613" s="45"/>
      <c r="BX613" s="45"/>
      <c r="BY613" s="45"/>
      <c r="BZ613" s="45"/>
      <c r="CA613" s="45"/>
      <c r="CB613" s="45"/>
      <c r="CC613" s="45"/>
      <c r="CD613" s="463"/>
      <c r="CE613">
        <v>0</v>
      </c>
      <c r="CF613">
        <v>0</v>
      </c>
      <c r="CG613">
        <v>0</v>
      </c>
      <c r="CH613">
        <v>0</v>
      </c>
      <c r="CI613">
        <v>0</v>
      </c>
      <c r="CJ613">
        <v>0</v>
      </c>
      <c r="CK613">
        <v>0</v>
      </c>
      <c r="CL613">
        <v>0</v>
      </c>
      <c r="CM613">
        <v>0</v>
      </c>
      <c r="CN613">
        <v>0</v>
      </c>
      <c r="CO613">
        <v>0</v>
      </c>
      <c r="CP613">
        <v>0</v>
      </c>
      <c r="CQ613">
        <v>0</v>
      </c>
      <c r="CR613">
        <v>0</v>
      </c>
      <c r="CS613">
        <v>0</v>
      </c>
      <c r="CT613">
        <v>0</v>
      </c>
      <c r="CU613">
        <v>0</v>
      </c>
      <c r="CV613">
        <v>0</v>
      </c>
      <c r="CW613">
        <v>0</v>
      </c>
      <c r="CX613">
        <v>0</v>
      </c>
      <c r="CY613">
        <v>0</v>
      </c>
      <c r="CZ613">
        <v>0</v>
      </c>
      <c r="DA613">
        <v>0</v>
      </c>
      <c r="DB613">
        <v>0</v>
      </c>
      <c r="DC613">
        <v>0</v>
      </c>
      <c r="DD613">
        <v>0</v>
      </c>
      <c r="DE613">
        <v>0</v>
      </c>
      <c r="DF613">
        <v>0</v>
      </c>
      <c r="DG613">
        <v>0</v>
      </c>
      <c r="DH613">
        <v>0</v>
      </c>
      <c r="DI613">
        <v>0</v>
      </c>
      <c r="DJ613">
        <v>0</v>
      </c>
      <c r="DK613">
        <v>0</v>
      </c>
      <c r="DL613">
        <v>0</v>
      </c>
      <c r="DM613">
        <v>0</v>
      </c>
      <c r="DN613">
        <v>0</v>
      </c>
      <c r="DO613">
        <v>0</v>
      </c>
      <c r="DP613">
        <v>0</v>
      </c>
      <c r="DQ613">
        <v>0</v>
      </c>
      <c r="DR613">
        <v>0</v>
      </c>
      <c r="DS613">
        <v>0</v>
      </c>
      <c r="DT613">
        <v>0</v>
      </c>
      <c r="DU613">
        <v>0</v>
      </c>
    </row>
    <row r="614" spans="2:125">
      <c r="B614" s="136">
        <v>605</v>
      </c>
      <c r="C614" s="138">
        <v>1</v>
      </c>
      <c r="D614" s="474">
        <v>3060.6620333003139</v>
      </c>
      <c r="E614" s="127">
        <v>231.71201651384206</v>
      </c>
      <c r="F614" s="447">
        <v>0.43542835766171356</v>
      </c>
      <c r="G614" s="127">
        <v>96.057188878050312</v>
      </c>
      <c r="H614" s="132">
        <v>62.678545455950498</v>
      </c>
      <c r="I614" s="456"/>
      <c r="J614" s="45"/>
      <c r="K614" s="45">
        <v>440</v>
      </c>
      <c r="L614" s="463"/>
      <c r="M614" s="456">
        <v>32.941978454589844</v>
      </c>
      <c r="N614" s="457"/>
      <c r="O614" s="456"/>
      <c r="P614" s="46"/>
      <c r="Q614" s="463">
        <v>69.039108276367188</v>
      </c>
      <c r="R614" s="449"/>
      <c r="S614" s="463"/>
      <c r="T614" s="480"/>
      <c r="U614" s="468"/>
      <c r="V614" s="449"/>
      <c r="W614" s="45">
        <v>1468.8292236328125</v>
      </c>
      <c r="X614" s="463">
        <v>123.7625732421875</v>
      </c>
      <c r="Y614" s="449"/>
      <c r="Z614" s="45"/>
      <c r="AA614" s="468">
        <v>0.42441486881959978</v>
      </c>
      <c r="AB614" s="456"/>
      <c r="AC614" s="46"/>
      <c r="AD614" s="46"/>
      <c r="AE614" s="46"/>
      <c r="AF614" s="46"/>
      <c r="AG614" s="46"/>
      <c r="AH614" s="46"/>
      <c r="AI614" s="457"/>
      <c r="AJ614" s="138"/>
      <c r="AK614" s="745"/>
      <c r="AL614" s="54"/>
      <c r="AM614" s="468"/>
      <c r="AN614" s="449"/>
      <c r="AO614" s="45"/>
      <c r="AP614" s="45"/>
      <c r="AQ614" s="45"/>
      <c r="AR614" s="45"/>
      <c r="AS614" s="45"/>
      <c r="AT614" s="45"/>
      <c r="AU614" s="463"/>
      <c r="AV614" s="449"/>
      <c r="AW614" s="45"/>
      <c r="AX614" s="45"/>
      <c r="AY614" s="45"/>
      <c r="AZ614" s="45"/>
      <c r="BA614" s="45"/>
      <c r="BB614" s="45"/>
      <c r="BC614" s="463"/>
      <c r="BD614" s="456"/>
      <c r="BE614" s="46"/>
      <c r="BF614" s="46"/>
      <c r="BG614" s="46"/>
      <c r="BH614" s="46"/>
      <c r="BI614" s="46"/>
      <c r="BJ614" s="457"/>
      <c r="BK614" s="449">
        <v>0</v>
      </c>
      <c r="BL614" s="45"/>
      <c r="BM614" s="45"/>
      <c r="BN614" s="45"/>
      <c r="BO614" s="45"/>
      <c r="BP614" s="45"/>
      <c r="BQ614" s="45"/>
      <c r="BR614" s="45"/>
      <c r="BS614" s="45"/>
      <c r="BT614" s="45"/>
      <c r="BU614" s="45"/>
      <c r="BV614" s="45"/>
      <c r="BW614" s="45"/>
      <c r="BX614" s="45"/>
      <c r="BY614" s="45"/>
      <c r="BZ614" s="45"/>
      <c r="CA614" s="45"/>
      <c r="CB614" s="45"/>
      <c r="CC614" s="45"/>
      <c r="CD614" s="463"/>
      <c r="CE614">
        <v>0</v>
      </c>
      <c r="CF614">
        <v>0</v>
      </c>
      <c r="CG614">
        <v>0</v>
      </c>
      <c r="CH614">
        <v>0</v>
      </c>
      <c r="CI614">
        <v>0</v>
      </c>
      <c r="CJ614">
        <v>0</v>
      </c>
      <c r="CK614">
        <v>0</v>
      </c>
      <c r="CL614">
        <v>0</v>
      </c>
      <c r="CM614">
        <v>0</v>
      </c>
      <c r="CN614">
        <v>0</v>
      </c>
      <c r="CO614">
        <v>0</v>
      </c>
      <c r="CP614">
        <v>0</v>
      </c>
      <c r="CQ614">
        <v>0</v>
      </c>
      <c r="CR614">
        <v>0</v>
      </c>
      <c r="CS614">
        <v>0</v>
      </c>
      <c r="CT614">
        <v>0</v>
      </c>
      <c r="CU614">
        <v>0</v>
      </c>
      <c r="CV614">
        <v>0</v>
      </c>
      <c r="CW614">
        <v>0</v>
      </c>
      <c r="CX614">
        <v>0</v>
      </c>
      <c r="CY614">
        <v>0</v>
      </c>
      <c r="CZ614">
        <v>0</v>
      </c>
      <c r="DA614">
        <v>0</v>
      </c>
      <c r="DB614">
        <v>0</v>
      </c>
      <c r="DC614">
        <v>0</v>
      </c>
      <c r="DD614">
        <v>0</v>
      </c>
      <c r="DE614">
        <v>0</v>
      </c>
      <c r="DF614">
        <v>0</v>
      </c>
      <c r="DG614">
        <v>0</v>
      </c>
      <c r="DH614">
        <v>0</v>
      </c>
      <c r="DI614">
        <v>0</v>
      </c>
      <c r="DJ614">
        <v>0</v>
      </c>
      <c r="DK614">
        <v>0</v>
      </c>
      <c r="DL614">
        <v>0</v>
      </c>
      <c r="DM614">
        <v>0</v>
      </c>
      <c r="DN614">
        <v>0</v>
      </c>
      <c r="DO614">
        <v>0</v>
      </c>
      <c r="DP614">
        <v>0</v>
      </c>
      <c r="DQ614">
        <v>0</v>
      </c>
      <c r="DR614">
        <v>0</v>
      </c>
      <c r="DS614">
        <v>0</v>
      </c>
      <c r="DT614">
        <v>0</v>
      </c>
      <c r="DU614">
        <v>0</v>
      </c>
    </row>
    <row r="615" spans="2:125">
      <c r="B615" s="136">
        <v>606</v>
      </c>
      <c r="C615" s="138">
        <v>1</v>
      </c>
      <c r="D615" s="474">
        <v>3916.9461099763357</v>
      </c>
      <c r="E615" s="127">
        <v>232.50421590471717</v>
      </c>
      <c r="F615" s="447">
        <v>0.35180914473002789</v>
      </c>
      <c r="G615" s="127">
        <v>150.30803286945638</v>
      </c>
      <c r="H615" s="132">
        <v>57.086364022280307</v>
      </c>
      <c r="I615" s="456"/>
      <c r="J615" s="45"/>
      <c r="K615" s="45">
        <v>580</v>
      </c>
      <c r="L615" s="463"/>
      <c r="M615" s="456">
        <v>28.799278259277344</v>
      </c>
      <c r="N615" s="457"/>
      <c r="O615" s="456"/>
      <c r="P615" s="46"/>
      <c r="Q615" s="463">
        <v>77.555534362792969</v>
      </c>
      <c r="R615" s="449"/>
      <c r="S615" s="463"/>
      <c r="T615" s="480"/>
      <c r="U615" s="468"/>
      <c r="V615" s="449"/>
      <c r="W615" s="45">
        <v>1440.4510498046875</v>
      </c>
      <c r="X615" s="463">
        <v>122.26806640625</v>
      </c>
      <c r="Y615" s="449"/>
      <c r="Z615" s="45"/>
      <c r="AA615" s="468">
        <v>0.34363027731773305</v>
      </c>
      <c r="AB615" s="456"/>
      <c r="AC615" s="46"/>
      <c r="AD615" s="46"/>
      <c r="AE615" s="46"/>
      <c r="AF615" s="46"/>
      <c r="AG615" s="46"/>
      <c r="AH615" s="46"/>
      <c r="AI615" s="457"/>
      <c r="AJ615" s="138"/>
      <c r="AK615" s="745"/>
      <c r="AL615" s="54"/>
      <c r="AM615" s="468"/>
      <c r="AN615" s="449"/>
      <c r="AO615" s="45"/>
      <c r="AP615" s="45"/>
      <c r="AQ615" s="45"/>
      <c r="AR615" s="45"/>
      <c r="AS615" s="45"/>
      <c r="AT615" s="45"/>
      <c r="AU615" s="463"/>
      <c r="AV615" s="449"/>
      <c r="AW615" s="45"/>
      <c r="AX615" s="45"/>
      <c r="AY615" s="45"/>
      <c r="AZ615" s="45"/>
      <c r="BA615" s="45"/>
      <c r="BB615" s="45"/>
      <c r="BC615" s="463"/>
      <c r="BD615" s="456"/>
      <c r="BE615" s="46"/>
      <c r="BF615" s="46"/>
      <c r="BG615" s="46"/>
      <c r="BH615" s="46"/>
      <c r="BI615" s="46"/>
      <c r="BJ615" s="457"/>
      <c r="BK615" s="449">
        <v>0</v>
      </c>
      <c r="BL615" s="45"/>
      <c r="BM615" s="45"/>
      <c r="BN615" s="45"/>
      <c r="BO615" s="45"/>
      <c r="BP615" s="45"/>
      <c r="BQ615" s="45"/>
      <c r="BR615" s="45"/>
      <c r="BS615" s="45"/>
      <c r="BT615" s="45"/>
      <c r="BU615" s="45"/>
      <c r="BV615" s="45"/>
      <c r="BW615" s="45"/>
      <c r="BX615" s="45"/>
      <c r="BY615" s="45"/>
      <c r="BZ615" s="45"/>
      <c r="CA615" s="45"/>
      <c r="CB615" s="45"/>
      <c r="CC615" s="45"/>
      <c r="CD615" s="463"/>
      <c r="CE615">
        <v>0</v>
      </c>
      <c r="CF615">
        <v>0</v>
      </c>
      <c r="CG615">
        <v>0</v>
      </c>
      <c r="CH615">
        <v>0</v>
      </c>
      <c r="CI615">
        <v>0</v>
      </c>
      <c r="CJ615">
        <v>0</v>
      </c>
      <c r="CK615">
        <v>0</v>
      </c>
      <c r="CL615">
        <v>0</v>
      </c>
      <c r="CM615">
        <v>0</v>
      </c>
      <c r="CN615">
        <v>0</v>
      </c>
      <c r="CO615">
        <v>0</v>
      </c>
      <c r="CP615">
        <v>0</v>
      </c>
      <c r="CQ615">
        <v>0</v>
      </c>
      <c r="CR615">
        <v>0</v>
      </c>
      <c r="CS615">
        <v>0</v>
      </c>
      <c r="CT615">
        <v>0</v>
      </c>
      <c r="CU615">
        <v>0</v>
      </c>
      <c r="CV615">
        <v>0</v>
      </c>
      <c r="CW615">
        <v>0</v>
      </c>
      <c r="CX615">
        <v>0</v>
      </c>
      <c r="CY615">
        <v>0</v>
      </c>
      <c r="CZ615">
        <v>0</v>
      </c>
      <c r="DA615">
        <v>0</v>
      </c>
      <c r="DB615">
        <v>0</v>
      </c>
      <c r="DC615">
        <v>0</v>
      </c>
      <c r="DD615">
        <v>0</v>
      </c>
      <c r="DE615">
        <v>0</v>
      </c>
      <c r="DF615">
        <v>0</v>
      </c>
      <c r="DG615">
        <v>0</v>
      </c>
      <c r="DH615">
        <v>0</v>
      </c>
      <c r="DI615">
        <v>0</v>
      </c>
      <c r="DJ615">
        <v>0</v>
      </c>
      <c r="DK615">
        <v>0</v>
      </c>
      <c r="DL615">
        <v>0</v>
      </c>
      <c r="DM615">
        <v>0</v>
      </c>
      <c r="DN615">
        <v>0</v>
      </c>
      <c r="DO615">
        <v>0</v>
      </c>
      <c r="DP615">
        <v>0</v>
      </c>
      <c r="DQ615">
        <v>0</v>
      </c>
      <c r="DR615">
        <v>0</v>
      </c>
      <c r="DS615">
        <v>0</v>
      </c>
      <c r="DT615">
        <v>0</v>
      </c>
      <c r="DU615">
        <v>0</v>
      </c>
    </row>
    <row r="616" spans="2:125">
      <c r="B616" s="136">
        <v>607</v>
      </c>
      <c r="C616" s="138">
        <v>1</v>
      </c>
      <c r="D616" s="474">
        <v>3989.8924363107267</v>
      </c>
      <c r="E616" s="127">
        <v>200.168323927974</v>
      </c>
      <c r="F616" s="447">
        <v>0.47946760811175287</v>
      </c>
      <c r="G616" s="127">
        <v>140.53899442918939</v>
      </c>
      <c r="H616" s="132">
        <v>66.277752275131377</v>
      </c>
      <c r="I616" s="456"/>
      <c r="J616" s="45"/>
      <c r="K616" s="45">
        <v>610</v>
      </c>
      <c r="L616" s="463"/>
      <c r="M616" s="456">
        <v>46.996768951416016</v>
      </c>
      <c r="N616" s="457"/>
      <c r="O616" s="456"/>
      <c r="P616" s="46"/>
      <c r="Q616" s="463">
        <v>87.242942810058594</v>
      </c>
      <c r="R616" s="449"/>
      <c r="S616" s="463"/>
      <c r="T616" s="480"/>
      <c r="U616" s="468"/>
      <c r="V616" s="449"/>
      <c r="W616" s="45">
        <v>2373.359130859375</v>
      </c>
      <c r="X616" s="463">
        <v>190.25834655761719</v>
      </c>
      <c r="Y616" s="449"/>
      <c r="Z616" s="45"/>
      <c r="AA616" s="468">
        <v>0.47079836383653167</v>
      </c>
      <c r="AB616" s="456"/>
      <c r="AC616" s="46"/>
      <c r="AD616" s="46"/>
      <c r="AE616" s="46"/>
      <c r="AF616" s="46"/>
      <c r="AG616" s="46"/>
      <c r="AH616" s="46"/>
      <c r="AI616" s="457"/>
      <c r="AJ616" s="138"/>
      <c r="AK616" s="745"/>
      <c r="AL616" s="54"/>
      <c r="AM616" s="468"/>
      <c r="AN616" s="449"/>
      <c r="AO616" s="45"/>
      <c r="AP616" s="45"/>
      <c r="AQ616" s="45"/>
      <c r="AR616" s="45"/>
      <c r="AS616" s="45"/>
      <c r="AT616" s="45"/>
      <c r="AU616" s="463"/>
      <c r="AV616" s="449"/>
      <c r="AW616" s="45"/>
      <c r="AX616" s="45"/>
      <c r="AY616" s="45"/>
      <c r="AZ616" s="45"/>
      <c r="BA616" s="45"/>
      <c r="BB616" s="45"/>
      <c r="BC616" s="463"/>
      <c r="BD616" s="456"/>
      <c r="BE616" s="46"/>
      <c r="BF616" s="46"/>
      <c r="BG616" s="46"/>
      <c r="BH616" s="46"/>
      <c r="BI616" s="46"/>
      <c r="BJ616" s="457"/>
      <c r="BK616" s="449">
        <v>0</v>
      </c>
      <c r="BL616" s="45"/>
      <c r="BM616" s="45"/>
      <c r="BN616" s="45"/>
      <c r="BO616" s="45"/>
      <c r="BP616" s="45"/>
      <c r="BQ616" s="45"/>
      <c r="BR616" s="45"/>
      <c r="BS616" s="45"/>
      <c r="BT616" s="45"/>
      <c r="BU616" s="45"/>
      <c r="BV616" s="45"/>
      <c r="BW616" s="45"/>
      <c r="BX616" s="45"/>
      <c r="BY616" s="45"/>
      <c r="BZ616" s="45"/>
      <c r="CA616" s="45"/>
      <c r="CB616" s="45"/>
      <c r="CC616" s="45"/>
      <c r="CD616" s="463"/>
      <c r="CE616">
        <v>0</v>
      </c>
      <c r="CF616">
        <v>0</v>
      </c>
      <c r="CG616">
        <v>0</v>
      </c>
      <c r="CH616">
        <v>0</v>
      </c>
      <c r="CI616">
        <v>0</v>
      </c>
      <c r="CJ616">
        <v>0</v>
      </c>
      <c r="CK616">
        <v>0</v>
      </c>
      <c r="CL616">
        <v>0</v>
      </c>
      <c r="CM616">
        <v>0</v>
      </c>
      <c r="CN616">
        <v>0</v>
      </c>
      <c r="CO616">
        <v>0</v>
      </c>
      <c r="CP616">
        <v>0</v>
      </c>
      <c r="CQ616">
        <v>0</v>
      </c>
      <c r="CR616">
        <v>0</v>
      </c>
      <c r="CS616">
        <v>0</v>
      </c>
      <c r="CT616">
        <v>0</v>
      </c>
      <c r="CU616">
        <v>0</v>
      </c>
      <c r="CV616">
        <v>0</v>
      </c>
      <c r="CW616">
        <v>0</v>
      </c>
      <c r="CX616">
        <v>0</v>
      </c>
      <c r="CY616">
        <v>0</v>
      </c>
      <c r="CZ616">
        <v>0</v>
      </c>
      <c r="DA616">
        <v>0</v>
      </c>
      <c r="DB616">
        <v>0</v>
      </c>
      <c r="DC616">
        <v>0</v>
      </c>
      <c r="DD616">
        <v>0</v>
      </c>
      <c r="DE616">
        <v>0</v>
      </c>
      <c r="DF616">
        <v>0</v>
      </c>
      <c r="DG616">
        <v>0</v>
      </c>
      <c r="DH616">
        <v>0</v>
      </c>
      <c r="DI616">
        <v>0</v>
      </c>
      <c r="DJ616">
        <v>0</v>
      </c>
      <c r="DK616">
        <v>0</v>
      </c>
      <c r="DL616">
        <v>0</v>
      </c>
      <c r="DM616">
        <v>0</v>
      </c>
      <c r="DN616">
        <v>0</v>
      </c>
      <c r="DO616">
        <v>0</v>
      </c>
      <c r="DP616">
        <v>0</v>
      </c>
      <c r="DQ616">
        <v>0</v>
      </c>
      <c r="DR616">
        <v>0</v>
      </c>
      <c r="DS616">
        <v>0</v>
      </c>
      <c r="DT616">
        <v>0</v>
      </c>
      <c r="DU616">
        <v>0</v>
      </c>
    </row>
    <row r="617" spans="2:125">
      <c r="B617" s="136">
        <v>608</v>
      </c>
      <c r="C617" s="138">
        <v>1</v>
      </c>
      <c r="D617" s="474">
        <v>3074.1520504757464</v>
      </c>
      <c r="E617" s="127">
        <v>247.78466410553261</v>
      </c>
      <c r="F617" s="447">
        <v>0.47101594337933134</v>
      </c>
      <c r="G617" s="127">
        <v>118.77053208143933</v>
      </c>
      <c r="H617" s="132">
        <v>49.656152263029902</v>
      </c>
      <c r="I617" s="456"/>
      <c r="J617" s="45"/>
      <c r="K617" s="45">
        <v>470</v>
      </c>
      <c r="L617" s="463"/>
      <c r="M617" s="456">
        <v>44.728927612304688</v>
      </c>
      <c r="N617" s="457"/>
      <c r="O617" s="456"/>
      <c r="P617" s="46"/>
      <c r="Q617" s="463">
        <v>60.868213653564453</v>
      </c>
      <c r="R617" s="449"/>
      <c r="S617" s="463"/>
      <c r="T617" s="480"/>
      <c r="U617" s="468"/>
      <c r="V617" s="449"/>
      <c r="W617" s="45">
        <v>1825.56884765625</v>
      </c>
      <c r="X617" s="463">
        <v>149.83328247070313</v>
      </c>
      <c r="Y617" s="449"/>
      <c r="Z617" s="45"/>
      <c r="AA617" s="468">
        <v>0.45981925619456443</v>
      </c>
      <c r="AB617" s="456"/>
      <c r="AC617" s="46"/>
      <c r="AD617" s="46"/>
      <c r="AE617" s="46"/>
      <c r="AF617" s="46"/>
      <c r="AG617" s="46"/>
      <c r="AH617" s="46"/>
      <c r="AI617" s="457"/>
      <c r="AJ617" s="138"/>
      <c r="AK617" s="745"/>
      <c r="AL617" s="54"/>
      <c r="AM617" s="468"/>
      <c r="AN617" s="449"/>
      <c r="AO617" s="45"/>
      <c r="AP617" s="45"/>
      <c r="AQ617" s="45"/>
      <c r="AR617" s="45"/>
      <c r="AS617" s="45"/>
      <c r="AT617" s="45"/>
      <c r="AU617" s="463"/>
      <c r="AV617" s="449"/>
      <c r="AW617" s="45"/>
      <c r="AX617" s="45"/>
      <c r="AY617" s="45"/>
      <c r="AZ617" s="45"/>
      <c r="BA617" s="45"/>
      <c r="BB617" s="45"/>
      <c r="BC617" s="463"/>
      <c r="BD617" s="456"/>
      <c r="BE617" s="46"/>
      <c r="BF617" s="46"/>
      <c r="BG617" s="46"/>
      <c r="BH617" s="46"/>
      <c r="BI617" s="46"/>
      <c r="BJ617" s="457"/>
      <c r="BK617" s="449">
        <v>0</v>
      </c>
      <c r="BL617" s="45"/>
      <c r="BM617" s="45"/>
      <c r="BN617" s="45"/>
      <c r="BO617" s="45"/>
      <c r="BP617" s="45"/>
      <c r="BQ617" s="45"/>
      <c r="BR617" s="45"/>
      <c r="BS617" s="45"/>
      <c r="BT617" s="45"/>
      <c r="BU617" s="45"/>
      <c r="BV617" s="45"/>
      <c r="BW617" s="45"/>
      <c r="BX617" s="45"/>
      <c r="BY617" s="45"/>
      <c r="BZ617" s="45"/>
      <c r="CA617" s="45"/>
      <c r="CB617" s="45"/>
      <c r="CC617" s="45"/>
      <c r="CD617" s="463"/>
      <c r="CE617">
        <v>0</v>
      </c>
      <c r="CF617">
        <v>0</v>
      </c>
      <c r="CG617">
        <v>0</v>
      </c>
      <c r="CH617">
        <v>0</v>
      </c>
      <c r="CI617">
        <v>0</v>
      </c>
      <c r="CJ617">
        <v>0</v>
      </c>
      <c r="CK617">
        <v>0</v>
      </c>
      <c r="CL617">
        <v>0</v>
      </c>
      <c r="CM617">
        <v>0</v>
      </c>
      <c r="CN617">
        <v>0</v>
      </c>
      <c r="CO617">
        <v>0</v>
      </c>
      <c r="CP617">
        <v>0</v>
      </c>
      <c r="CQ617">
        <v>0</v>
      </c>
      <c r="CR617">
        <v>0</v>
      </c>
      <c r="CS617">
        <v>0</v>
      </c>
      <c r="CT617">
        <v>0</v>
      </c>
      <c r="CU617">
        <v>0</v>
      </c>
      <c r="CV617">
        <v>0</v>
      </c>
      <c r="CW617">
        <v>0</v>
      </c>
      <c r="CX617">
        <v>0</v>
      </c>
      <c r="CY617">
        <v>0</v>
      </c>
      <c r="CZ617">
        <v>0</v>
      </c>
      <c r="DA617">
        <v>0</v>
      </c>
      <c r="DB617">
        <v>0</v>
      </c>
      <c r="DC617">
        <v>0</v>
      </c>
      <c r="DD617">
        <v>0</v>
      </c>
      <c r="DE617">
        <v>0</v>
      </c>
      <c r="DF617">
        <v>0</v>
      </c>
      <c r="DG617">
        <v>0</v>
      </c>
      <c r="DH617">
        <v>0</v>
      </c>
      <c r="DI617">
        <v>0</v>
      </c>
      <c r="DJ617">
        <v>0</v>
      </c>
      <c r="DK617">
        <v>0</v>
      </c>
      <c r="DL617">
        <v>0</v>
      </c>
      <c r="DM617">
        <v>0</v>
      </c>
      <c r="DN617">
        <v>0</v>
      </c>
      <c r="DO617">
        <v>0</v>
      </c>
      <c r="DP617">
        <v>0</v>
      </c>
      <c r="DQ617">
        <v>0</v>
      </c>
      <c r="DR617">
        <v>0</v>
      </c>
      <c r="DS617">
        <v>0</v>
      </c>
      <c r="DT617">
        <v>0</v>
      </c>
      <c r="DU617">
        <v>0</v>
      </c>
    </row>
    <row r="618" spans="2:125">
      <c r="B618" s="136">
        <v>609</v>
      </c>
      <c r="C618" s="138">
        <v>1</v>
      </c>
      <c r="D618" s="474">
        <v>3197.7862412853015</v>
      </c>
      <c r="E618" s="127">
        <v>165.48030561182247</v>
      </c>
      <c r="F618" s="447">
        <v>0.44067396333899922</v>
      </c>
      <c r="G618" s="127">
        <v>126.95135907879208</v>
      </c>
      <c r="H618" s="132">
        <v>49.750282930920989</v>
      </c>
      <c r="I618" s="456"/>
      <c r="J618" s="45"/>
      <c r="K618" s="45">
        <v>500</v>
      </c>
      <c r="L618" s="463"/>
      <c r="M618" s="456">
        <v>39.619842529296875</v>
      </c>
      <c r="N618" s="457"/>
      <c r="O618" s="456"/>
      <c r="P618" s="46"/>
      <c r="Q618" s="463">
        <v>63.316169738769531</v>
      </c>
      <c r="R618" s="449"/>
      <c r="S618" s="463"/>
      <c r="T618" s="480"/>
      <c r="U618" s="468"/>
      <c r="V618" s="449"/>
      <c r="W618" s="45">
        <v>1679.392578125</v>
      </c>
      <c r="X618" s="463">
        <v>139.29461669921875</v>
      </c>
      <c r="Y618" s="449"/>
      <c r="Z618" s="45"/>
      <c r="AA618" s="468">
        <v>0.43009993596023699</v>
      </c>
      <c r="AB618" s="456"/>
      <c r="AC618" s="46"/>
      <c r="AD618" s="46"/>
      <c r="AE618" s="46"/>
      <c r="AF618" s="46"/>
      <c r="AG618" s="46"/>
      <c r="AH618" s="46"/>
      <c r="AI618" s="457"/>
      <c r="AJ618" s="138"/>
      <c r="AK618" s="745"/>
      <c r="AL618" s="54"/>
      <c r="AM618" s="468"/>
      <c r="AN618" s="449"/>
      <c r="AO618" s="45"/>
      <c r="AP618" s="45"/>
      <c r="AQ618" s="45"/>
      <c r="AR618" s="45"/>
      <c r="AS618" s="45"/>
      <c r="AT618" s="45"/>
      <c r="AU618" s="463"/>
      <c r="AV618" s="449"/>
      <c r="AW618" s="45"/>
      <c r="AX618" s="45"/>
      <c r="AY618" s="45"/>
      <c r="AZ618" s="45"/>
      <c r="BA618" s="45"/>
      <c r="BB618" s="45"/>
      <c r="BC618" s="463"/>
      <c r="BD618" s="456"/>
      <c r="BE618" s="46"/>
      <c r="BF618" s="46"/>
      <c r="BG618" s="46"/>
      <c r="BH618" s="46"/>
      <c r="BI618" s="46"/>
      <c r="BJ618" s="457"/>
      <c r="BK618" s="449">
        <v>0</v>
      </c>
      <c r="BL618" s="45"/>
      <c r="BM618" s="45"/>
      <c r="BN618" s="45"/>
      <c r="BO618" s="45"/>
      <c r="BP618" s="45"/>
      <c r="BQ618" s="45"/>
      <c r="BR618" s="45"/>
      <c r="BS618" s="45"/>
      <c r="BT618" s="45"/>
      <c r="BU618" s="45"/>
      <c r="BV618" s="45"/>
      <c r="BW618" s="45"/>
      <c r="BX618" s="45"/>
      <c r="BY618" s="45"/>
      <c r="BZ618" s="45"/>
      <c r="CA618" s="45"/>
      <c r="CB618" s="45"/>
      <c r="CC618" s="45"/>
      <c r="CD618" s="463"/>
      <c r="CE618">
        <v>0</v>
      </c>
      <c r="CF618">
        <v>0</v>
      </c>
      <c r="CG618">
        <v>0</v>
      </c>
      <c r="CH618">
        <v>0</v>
      </c>
      <c r="CI618">
        <v>0</v>
      </c>
      <c r="CJ618">
        <v>0</v>
      </c>
      <c r="CK618">
        <v>0</v>
      </c>
      <c r="CL618">
        <v>0</v>
      </c>
      <c r="CM618">
        <v>0</v>
      </c>
      <c r="CN618">
        <v>0</v>
      </c>
      <c r="CO618">
        <v>0</v>
      </c>
      <c r="CP618">
        <v>0</v>
      </c>
      <c r="CQ618">
        <v>0</v>
      </c>
      <c r="CR618">
        <v>0</v>
      </c>
      <c r="CS618">
        <v>0</v>
      </c>
      <c r="CT618">
        <v>0</v>
      </c>
      <c r="CU618">
        <v>0</v>
      </c>
      <c r="CV618">
        <v>0</v>
      </c>
      <c r="CW618">
        <v>0</v>
      </c>
      <c r="CX618">
        <v>0</v>
      </c>
      <c r="CY618">
        <v>0</v>
      </c>
      <c r="CZ618">
        <v>0</v>
      </c>
      <c r="DA618">
        <v>0</v>
      </c>
      <c r="DB618">
        <v>0</v>
      </c>
      <c r="DC618">
        <v>0</v>
      </c>
      <c r="DD618">
        <v>0</v>
      </c>
      <c r="DE618">
        <v>0</v>
      </c>
      <c r="DF618">
        <v>0</v>
      </c>
      <c r="DG618">
        <v>0</v>
      </c>
      <c r="DH618">
        <v>0</v>
      </c>
      <c r="DI618">
        <v>0</v>
      </c>
      <c r="DJ618">
        <v>0</v>
      </c>
      <c r="DK618">
        <v>0</v>
      </c>
      <c r="DL618">
        <v>0</v>
      </c>
      <c r="DM618">
        <v>0</v>
      </c>
      <c r="DN618">
        <v>0</v>
      </c>
      <c r="DO618">
        <v>0</v>
      </c>
      <c r="DP618">
        <v>0</v>
      </c>
      <c r="DQ618">
        <v>0</v>
      </c>
      <c r="DR618">
        <v>0</v>
      </c>
      <c r="DS618">
        <v>0</v>
      </c>
      <c r="DT618">
        <v>0</v>
      </c>
      <c r="DU618">
        <v>0</v>
      </c>
    </row>
    <row r="619" spans="2:125">
      <c r="B619" s="136">
        <v>610</v>
      </c>
      <c r="C619" s="138">
        <v>1</v>
      </c>
      <c r="D619" s="474">
        <v>2778.9931614900679</v>
      </c>
      <c r="E619" s="127">
        <v>203.46325279665285</v>
      </c>
      <c r="F619" s="447">
        <v>0.38773976717515102</v>
      </c>
      <c r="G619" s="127">
        <v>110.52425537814567</v>
      </c>
      <c r="H619" s="132">
        <v>54.376003479141737</v>
      </c>
      <c r="I619" s="456"/>
      <c r="J619" s="45"/>
      <c r="K619" s="45">
        <v>450</v>
      </c>
      <c r="L619" s="463"/>
      <c r="M619" s="456">
        <v>30.007148742675781</v>
      </c>
      <c r="N619" s="457"/>
      <c r="O619" s="456"/>
      <c r="P619" s="46"/>
      <c r="Q619" s="463">
        <v>63.0479736328125</v>
      </c>
      <c r="R619" s="449"/>
      <c r="S619" s="463"/>
      <c r="T619" s="480"/>
      <c r="U619" s="468"/>
      <c r="V619" s="449"/>
      <c r="W619" s="45">
        <v>1290.01025390625</v>
      </c>
      <c r="X619" s="463">
        <v>110.7978515625</v>
      </c>
      <c r="Y619" s="449"/>
      <c r="Z619" s="45"/>
      <c r="AA619" s="468">
        <v>0.37595319792503445</v>
      </c>
      <c r="AB619" s="456"/>
      <c r="AC619" s="46"/>
      <c r="AD619" s="46"/>
      <c r="AE619" s="46"/>
      <c r="AF619" s="46"/>
      <c r="AG619" s="46"/>
      <c r="AH619" s="46"/>
      <c r="AI619" s="457"/>
      <c r="AJ619" s="138"/>
      <c r="AK619" s="745"/>
      <c r="AL619" s="54"/>
      <c r="AM619" s="468"/>
      <c r="AN619" s="449"/>
      <c r="AO619" s="45"/>
      <c r="AP619" s="45"/>
      <c r="AQ619" s="45"/>
      <c r="AR619" s="45"/>
      <c r="AS619" s="45"/>
      <c r="AT619" s="45"/>
      <c r="AU619" s="463"/>
      <c r="AV619" s="449"/>
      <c r="AW619" s="45"/>
      <c r="AX619" s="45"/>
      <c r="AY619" s="45"/>
      <c r="AZ619" s="45"/>
      <c r="BA619" s="45"/>
      <c r="BB619" s="45"/>
      <c r="BC619" s="463"/>
      <c r="BD619" s="456"/>
      <c r="BE619" s="46"/>
      <c r="BF619" s="46"/>
      <c r="BG619" s="46"/>
      <c r="BH619" s="46"/>
      <c r="BI619" s="46"/>
      <c r="BJ619" s="457"/>
      <c r="BK619" s="449">
        <v>0</v>
      </c>
      <c r="BL619" s="45"/>
      <c r="BM619" s="45"/>
      <c r="BN619" s="45"/>
      <c r="BO619" s="45"/>
      <c r="BP619" s="45"/>
      <c r="BQ619" s="45"/>
      <c r="BR619" s="45"/>
      <c r="BS619" s="45"/>
      <c r="BT619" s="45"/>
      <c r="BU619" s="45"/>
      <c r="BV619" s="45"/>
      <c r="BW619" s="45"/>
      <c r="BX619" s="45"/>
      <c r="BY619" s="45"/>
      <c r="BZ619" s="45"/>
      <c r="CA619" s="45"/>
      <c r="CB619" s="45"/>
      <c r="CC619" s="45"/>
      <c r="CD619" s="463"/>
      <c r="CE619">
        <v>0</v>
      </c>
      <c r="CF619">
        <v>0</v>
      </c>
      <c r="CG619">
        <v>0</v>
      </c>
      <c r="CH619">
        <v>0</v>
      </c>
      <c r="CI619">
        <v>0</v>
      </c>
      <c r="CJ619">
        <v>0</v>
      </c>
      <c r="CK619">
        <v>0</v>
      </c>
      <c r="CL619">
        <v>0</v>
      </c>
      <c r="CM619">
        <v>0</v>
      </c>
      <c r="CN619">
        <v>0</v>
      </c>
      <c r="CO619">
        <v>0</v>
      </c>
      <c r="CP619">
        <v>0</v>
      </c>
      <c r="CQ619">
        <v>0</v>
      </c>
      <c r="CR619">
        <v>0</v>
      </c>
      <c r="CS619">
        <v>0</v>
      </c>
      <c r="CT619">
        <v>0</v>
      </c>
      <c r="CU619">
        <v>0</v>
      </c>
      <c r="CV619">
        <v>0</v>
      </c>
      <c r="CW619">
        <v>0</v>
      </c>
      <c r="CX619">
        <v>0</v>
      </c>
      <c r="CY619">
        <v>0</v>
      </c>
      <c r="CZ619">
        <v>0</v>
      </c>
      <c r="DA619">
        <v>0</v>
      </c>
      <c r="DB619">
        <v>0</v>
      </c>
      <c r="DC619">
        <v>0</v>
      </c>
      <c r="DD619">
        <v>0</v>
      </c>
      <c r="DE619">
        <v>0</v>
      </c>
      <c r="DF619">
        <v>0</v>
      </c>
      <c r="DG619">
        <v>0</v>
      </c>
      <c r="DH619">
        <v>0</v>
      </c>
      <c r="DI619">
        <v>0</v>
      </c>
      <c r="DJ619">
        <v>0</v>
      </c>
      <c r="DK619">
        <v>0</v>
      </c>
      <c r="DL619">
        <v>0</v>
      </c>
      <c r="DM619">
        <v>0</v>
      </c>
      <c r="DN619">
        <v>0</v>
      </c>
      <c r="DO619">
        <v>0</v>
      </c>
      <c r="DP619">
        <v>0</v>
      </c>
      <c r="DQ619">
        <v>0</v>
      </c>
      <c r="DR619">
        <v>0</v>
      </c>
      <c r="DS619">
        <v>0</v>
      </c>
      <c r="DT619">
        <v>0</v>
      </c>
      <c r="DU619">
        <v>0</v>
      </c>
    </row>
    <row r="620" spans="2:125">
      <c r="B620" s="136">
        <v>611</v>
      </c>
      <c r="C620" s="138">
        <v>1</v>
      </c>
      <c r="D620" s="474">
        <v>2962.4978180321823</v>
      </c>
      <c r="E620" s="127">
        <v>272.68692514890085</v>
      </c>
      <c r="F620" s="447">
        <v>0.50027489799503311</v>
      </c>
      <c r="G620" s="127">
        <v>122.40083231765995</v>
      </c>
      <c r="H620" s="132">
        <v>45.637164909187049</v>
      </c>
      <c r="I620" s="456"/>
      <c r="J620" s="45"/>
      <c r="K620" s="45">
        <v>480</v>
      </c>
      <c r="L620" s="463"/>
      <c r="M620" s="456">
        <v>54.401790618896484</v>
      </c>
      <c r="N620" s="457"/>
      <c r="O620" s="456"/>
      <c r="P620" s="46"/>
      <c r="Q620" s="463">
        <v>58.657459259033203</v>
      </c>
      <c r="R620" s="449"/>
      <c r="S620" s="463"/>
      <c r="T620" s="480"/>
      <c r="U620" s="468"/>
      <c r="V620" s="449"/>
      <c r="W620" s="45">
        <v>2143.275634765625</v>
      </c>
      <c r="X620" s="463">
        <v>172.96720886230469</v>
      </c>
      <c r="Y620" s="449"/>
      <c r="Z620" s="45"/>
      <c r="AA620" s="468">
        <v>0.48845868744904436</v>
      </c>
      <c r="AB620" s="456"/>
      <c r="AC620" s="46"/>
      <c r="AD620" s="46"/>
      <c r="AE620" s="46"/>
      <c r="AF620" s="46"/>
      <c r="AG620" s="46"/>
      <c r="AH620" s="46"/>
      <c r="AI620" s="457"/>
      <c r="AJ620" s="138"/>
      <c r="AK620" s="745"/>
      <c r="AL620" s="54"/>
      <c r="AM620" s="468"/>
      <c r="AN620" s="449"/>
      <c r="AO620" s="45"/>
      <c r="AP620" s="45"/>
      <c r="AQ620" s="45"/>
      <c r="AR620" s="45"/>
      <c r="AS620" s="45"/>
      <c r="AT620" s="45"/>
      <c r="AU620" s="463"/>
      <c r="AV620" s="449"/>
      <c r="AW620" s="45"/>
      <c r="AX620" s="45"/>
      <c r="AY620" s="45"/>
      <c r="AZ620" s="45"/>
      <c r="BA620" s="45"/>
      <c r="BB620" s="45"/>
      <c r="BC620" s="463"/>
      <c r="BD620" s="456"/>
      <c r="BE620" s="46"/>
      <c r="BF620" s="46"/>
      <c r="BG620" s="46"/>
      <c r="BH620" s="46"/>
      <c r="BI620" s="46"/>
      <c r="BJ620" s="457"/>
      <c r="BK620" s="449">
        <v>0</v>
      </c>
      <c r="BL620" s="45"/>
      <c r="BM620" s="45"/>
      <c r="BN620" s="45"/>
      <c r="BO620" s="45"/>
      <c r="BP620" s="45"/>
      <c r="BQ620" s="45"/>
      <c r="BR620" s="45"/>
      <c r="BS620" s="45"/>
      <c r="BT620" s="45"/>
      <c r="BU620" s="45"/>
      <c r="BV620" s="45"/>
      <c r="BW620" s="45"/>
      <c r="BX620" s="45"/>
      <c r="BY620" s="45"/>
      <c r="BZ620" s="45"/>
      <c r="CA620" s="45"/>
      <c r="CB620" s="45"/>
      <c r="CC620" s="45"/>
      <c r="CD620" s="463"/>
      <c r="CE620">
        <v>0</v>
      </c>
      <c r="CF620">
        <v>0</v>
      </c>
      <c r="CG620">
        <v>0</v>
      </c>
      <c r="CH620">
        <v>0</v>
      </c>
      <c r="CI620">
        <v>0</v>
      </c>
      <c r="CJ620">
        <v>0</v>
      </c>
      <c r="CK620">
        <v>0</v>
      </c>
      <c r="CL620">
        <v>0</v>
      </c>
      <c r="CM620">
        <v>0</v>
      </c>
      <c r="CN620">
        <v>0</v>
      </c>
      <c r="CO620">
        <v>0</v>
      </c>
      <c r="CP620">
        <v>0</v>
      </c>
      <c r="CQ620">
        <v>0</v>
      </c>
      <c r="CR620">
        <v>0</v>
      </c>
      <c r="CS620">
        <v>0</v>
      </c>
      <c r="CT620">
        <v>0</v>
      </c>
      <c r="CU620">
        <v>0</v>
      </c>
      <c r="CV620">
        <v>0</v>
      </c>
      <c r="CW620">
        <v>0</v>
      </c>
      <c r="CX620">
        <v>0</v>
      </c>
      <c r="CY620">
        <v>0</v>
      </c>
      <c r="CZ620">
        <v>0</v>
      </c>
      <c r="DA620">
        <v>0</v>
      </c>
      <c r="DB620">
        <v>0</v>
      </c>
      <c r="DC620">
        <v>0</v>
      </c>
      <c r="DD620">
        <v>0</v>
      </c>
      <c r="DE620">
        <v>0</v>
      </c>
      <c r="DF620">
        <v>0</v>
      </c>
      <c r="DG620">
        <v>0</v>
      </c>
      <c r="DH620">
        <v>0</v>
      </c>
      <c r="DI620">
        <v>0</v>
      </c>
      <c r="DJ620">
        <v>0</v>
      </c>
      <c r="DK620">
        <v>0</v>
      </c>
      <c r="DL620">
        <v>0</v>
      </c>
      <c r="DM620">
        <v>0</v>
      </c>
      <c r="DN620">
        <v>0</v>
      </c>
      <c r="DO620">
        <v>0</v>
      </c>
      <c r="DP620">
        <v>0</v>
      </c>
      <c r="DQ620">
        <v>0</v>
      </c>
      <c r="DR620">
        <v>0</v>
      </c>
      <c r="DS620">
        <v>0</v>
      </c>
      <c r="DT620">
        <v>0</v>
      </c>
      <c r="DU620">
        <v>0</v>
      </c>
    </row>
    <row r="621" spans="2:125">
      <c r="B621" s="136">
        <v>612</v>
      </c>
      <c r="C621" s="138">
        <v>1</v>
      </c>
      <c r="D621" s="474">
        <v>3138.0510151901062</v>
      </c>
      <c r="E621" s="127">
        <v>292.11548367508129</v>
      </c>
      <c r="F621" s="447">
        <v>0.35639826894094595</v>
      </c>
      <c r="G621" s="127">
        <v>122.91955924932769</v>
      </c>
      <c r="H621" s="132">
        <v>49.730765099022037</v>
      </c>
      <c r="I621" s="456"/>
      <c r="J621" s="45"/>
      <c r="K621" s="45">
        <v>470</v>
      </c>
      <c r="L621" s="463"/>
      <c r="M621" s="456">
        <v>28.761711120605469</v>
      </c>
      <c r="N621" s="457"/>
      <c r="O621" s="456"/>
      <c r="P621" s="46"/>
      <c r="Q621" s="463">
        <v>62.133411407470703</v>
      </c>
      <c r="R621" s="449"/>
      <c r="S621" s="463"/>
      <c r="T621" s="480"/>
      <c r="U621" s="468"/>
      <c r="V621" s="449"/>
      <c r="W621" s="45">
        <v>1224.5191650390625</v>
      </c>
      <c r="X621" s="463">
        <v>106.11170959472656</v>
      </c>
      <c r="Y621" s="449"/>
      <c r="Z621" s="45"/>
      <c r="AA621" s="468">
        <v>0.34616007803095122</v>
      </c>
      <c r="AB621" s="456"/>
      <c r="AC621" s="46"/>
      <c r="AD621" s="46"/>
      <c r="AE621" s="46"/>
      <c r="AF621" s="46"/>
      <c r="AG621" s="46"/>
      <c r="AH621" s="46"/>
      <c r="AI621" s="457"/>
      <c r="AJ621" s="138"/>
      <c r="AK621" s="745"/>
      <c r="AL621" s="54"/>
      <c r="AM621" s="468"/>
      <c r="AN621" s="449"/>
      <c r="AO621" s="45"/>
      <c r="AP621" s="45"/>
      <c r="AQ621" s="45"/>
      <c r="AR621" s="45"/>
      <c r="AS621" s="45"/>
      <c r="AT621" s="45"/>
      <c r="AU621" s="463"/>
      <c r="AV621" s="449"/>
      <c r="AW621" s="45"/>
      <c r="AX621" s="45"/>
      <c r="AY621" s="45"/>
      <c r="AZ621" s="45"/>
      <c r="BA621" s="45"/>
      <c r="BB621" s="45"/>
      <c r="BC621" s="463"/>
      <c r="BD621" s="456"/>
      <c r="BE621" s="46"/>
      <c r="BF621" s="46"/>
      <c r="BG621" s="46"/>
      <c r="BH621" s="46"/>
      <c r="BI621" s="46"/>
      <c r="BJ621" s="457"/>
      <c r="BK621" s="449">
        <v>0</v>
      </c>
      <c r="BL621" s="45"/>
      <c r="BM621" s="45"/>
      <c r="BN621" s="45"/>
      <c r="BO621" s="45"/>
      <c r="BP621" s="45"/>
      <c r="BQ621" s="45"/>
      <c r="BR621" s="45"/>
      <c r="BS621" s="45"/>
      <c r="BT621" s="45"/>
      <c r="BU621" s="45"/>
      <c r="BV621" s="45"/>
      <c r="BW621" s="45"/>
      <c r="BX621" s="45"/>
      <c r="BY621" s="45"/>
      <c r="BZ621" s="45"/>
      <c r="CA621" s="45"/>
      <c r="CB621" s="45"/>
      <c r="CC621" s="45"/>
      <c r="CD621" s="463"/>
      <c r="CE621">
        <v>0</v>
      </c>
      <c r="CF621">
        <v>0</v>
      </c>
      <c r="CG621">
        <v>0</v>
      </c>
      <c r="CH621">
        <v>0</v>
      </c>
      <c r="CI621">
        <v>0</v>
      </c>
      <c r="CJ621">
        <v>0</v>
      </c>
      <c r="CK621">
        <v>0</v>
      </c>
      <c r="CL621">
        <v>0</v>
      </c>
      <c r="CM621">
        <v>0</v>
      </c>
      <c r="CN621">
        <v>0</v>
      </c>
      <c r="CO621">
        <v>0</v>
      </c>
      <c r="CP621">
        <v>0</v>
      </c>
      <c r="CQ621">
        <v>0</v>
      </c>
      <c r="CR621">
        <v>0</v>
      </c>
      <c r="CS621">
        <v>0</v>
      </c>
      <c r="CT621">
        <v>0</v>
      </c>
      <c r="CU621">
        <v>0</v>
      </c>
      <c r="CV621">
        <v>0</v>
      </c>
      <c r="CW621">
        <v>0</v>
      </c>
      <c r="CX621">
        <v>0</v>
      </c>
      <c r="CY621">
        <v>0</v>
      </c>
      <c r="CZ621">
        <v>0</v>
      </c>
      <c r="DA621">
        <v>0</v>
      </c>
      <c r="DB621">
        <v>0</v>
      </c>
      <c r="DC621">
        <v>0</v>
      </c>
      <c r="DD621">
        <v>0</v>
      </c>
      <c r="DE621">
        <v>0</v>
      </c>
      <c r="DF621">
        <v>0</v>
      </c>
      <c r="DG621">
        <v>0</v>
      </c>
      <c r="DH621">
        <v>0</v>
      </c>
      <c r="DI621">
        <v>0</v>
      </c>
      <c r="DJ621">
        <v>0</v>
      </c>
      <c r="DK621">
        <v>0</v>
      </c>
      <c r="DL621">
        <v>0</v>
      </c>
      <c r="DM621">
        <v>0</v>
      </c>
      <c r="DN621">
        <v>0</v>
      </c>
      <c r="DO621">
        <v>0</v>
      </c>
      <c r="DP621">
        <v>0</v>
      </c>
      <c r="DQ621">
        <v>0</v>
      </c>
      <c r="DR621">
        <v>0</v>
      </c>
      <c r="DS621">
        <v>0</v>
      </c>
      <c r="DT621">
        <v>0</v>
      </c>
      <c r="DU621">
        <v>0</v>
      </c>
    </row>
    <row r="622" spans="2:125">
      <c r="B622" s="136">
        <v>613</v>
      </c>
      <c r="C622" s="138">
        <v>1</v>
      </c>
      <c r="D622" s="474">
        <v>3054.8989106343429</v>
      </c>
      <c r="E622" s="127">
        <v>212.57369450339485</v>
      </c>
      <c r="F622" s="447">
        <v>0.35827728551619892</v>
      </c>
      <c r="G622" s="127">
        <v>108.62276723367464</v>
      </c>
      <c r="H622" s="132">
        <v>52.400263134172476</v>
      </c>
      <c r="I622" s="456"/>
      <c r="J622" s="45"/>
      <c r="K622" s="45">
        <v>440</v>
      </c>
      <c r="L622" s="463"/>
      <c r="M622" s="456">
        <v>27.858112335205078</v>
      </c>
      <c r="N622" s="457"/>
      <c r="O622" s="456"/>
      <c r="P622" s="46"/>
      <c r="Q622" s="463">
        <v>60.487003326416016</v>
      </c>
      <c r="R622" s="449"/>
      <c r="S622" s="463"/>
      <c r="T622" s="480"/>
      <c r="U622" s="468"/>
      <c r="V622" s="449"/>
      <c r="W622" s="45">
        <v>1156.90283203125</v>
      </c>
      <c r="X622" s="463">
        <v>101.05788421630859</v>
      </c>
      <c r="Y622" s="449"/>
      <c r="Z622" s="45"/>
      <c r="AA622" s="468">
        <v>0.34774811690824486</v>
      </c>
      <c r="AB622" s="456"/>
      <c r="AC622" s="46"/>
      <c r="AD622" s="46"/>
      <c r="AE622" s="46"/>
      <c r="AF622" s="46"/>
      <c r="AG622" s="46"/>
      <c r="AH622" s="46"/>
      <c r="AI622" s="457"/>
      <c r="AJ622" s="138"/>
      <c r="AK622" s="745"/>
      <c r="AL622" s="54"/>
      <c r="AM622" s="468"/>
      <c r="AN622" s="449"/>
      <c r="AO622" s="45"/>
      <c r="AP622" s="45"/>
      <c r="AQ622" s="45"/>
      <c r="AR622" s="45"/>
      <c r="AS622" s="45"/>
      <c r="AT622" s="45"/>
      <c r="AU622" s="463"/>
      <c r="AV622" s="449"/>
      <c r="AW622" s="45"/>
      <c r="AX622" s="45"/>
      <c r="AY622" s="45"/>
      <c r="AZ622" s="45"/>
      <c r="BA622" s="45"/>
      <c r="BB622" s="45"/>
      <c r="BC622" s="463"/>
      <c r="BD622" s="456"/>
      <c r="BE622" s="46"/>
      <c r="BF622" s="46"/>
      <c r="BG622" s="46"/>
      <c r="BH622" s="46"/>
      <c r="BI622" s="46"/>
      <c r="BJ622" s="457"/>
      <c r="BK622" s="449">
        <v>0</v>
      </c>
      <c r="BL622" s="45"/>
      <c r="BM622" s="45"/>
      <c r="BN622" s="45"/>
      <c r="BO622" s="45"/>
      <c r="BP622" s="45"/>
      <c r="BQ622" s="45"/>
      <c r="BR622" s="45"/>
      <c r="BS622" s="45"/>
      <c r="BT622" s="45"/>
      <c r="BU622" s="45"/>
      <c r="BV622" s="45"/>
      <c r="BW622" s="45"/>
      <c r="BX622" s="45"/>
      <c r="BY622" s="45"/>
      <c r="BZ622" s="45"/>
      <c r="CA622" s="45"/>
      <c r="CB622" s="45"/>
      <c r="CC622" s="45"/>
      <c r="CD622" s="463"/>
      <c r="CE622">
        <v>0</v>
      </c>
      <c r="CF622">
        <v>0</v>
      </c>
      <c r="CG622">
        <v>0</v>
      </c>
      <c r="CH622">
        <v>0</v>
      </c>
      <c r="CI622">
        <v>0</v>
      </c>
      <c r="CJ622">
        <v>0</v>
      </c>
      <c r="CK622">
        <v>0</v>
      </c>
      <c r="CL622">
        <v>0</v>
      </c>
      <c r="CM622">
        <v>0</v>
      </c>
      <c r="CN622">
        <v>0</v>
      </c>
      <c r="CO622">
        <v>0</v>
      </c>
      <c r="CP622">
        <v>0</v>
      </c>
      <c r="CQ622">
        <v>0</v>
      </c>
      <c r="CR622">
        <v>0</v>
      </c>
      <c r="CS622">
        <v>0</v>
      </c>
      <c r="CT622">
        <v>0</v>
      </c>
      <c r="CU622">
        <v>0</v>
      </c>
      <c r="CV622">
        <v>0</v>
      </c>
      <c r="CW622">
        <v>0</v>
      </c>
      <c r="CX622">
        <v>0</v>
      </c>
      <c r="CY622">
        <v>0</v>
      </c>
      <c r="CZ622">
        <v>0</v>
      </c>
      <c r="DA622">
        <v>0</v>
      </c>
      <c r="DB622">
        <v>0</v>
      </c>
      <c r="DC622">
        <v>0</v>
      </c>
      <c r="DD622">
        <v>0</v>
      </c>
      <c r="DE622">
        <v>0</v>
      </c>
      <c r="DF622">
        <v>0</v>
      </c>
      <c r="DG622">
        <v>0</v>
      </c>
      <c r="DH622">
        <v>0</v>
      </c>
      <c r="DI622">
        <v>0</v>
      </c>
      <c r="DJ622">
        <v>0</v>
      </c>
      <c r="DK622">
        <v>0</v>
      </c>
      <c r="DL622">
        <v>0</v>
      </c>
      <c r="DM622">
        <v>0</v>
      </c>
      <c r="DN622">
        <v>0</v>
      </c>
      <c r="DO622">
        <v>0</v>
      </c>
      <c r="DP622">
        <v>0</v>
      </c>
      <c r="DQ622">
        <v>0</v>
      </c>
      <c r="DR622">
        <v>0</v>
      </c>
      <c r="DS622">
        <v>0</v>
      </c>
      <c r="DT622">
        <v>0</v>
      </c>
      <c r="DU622">
        <v>0</v>
      </c>
    </row>
    <row r="623" spans="2:125">
      <c r="B623" s="136">
        <v>614</v>
      </c>
      <c r="C623" s="138">
        <v>1</v>
      </c>
      <c r="D623" s="474">
        <v>2577.385219211621</v>
      </c>
      <c r="E623" s="127">
        <v>285.81271499891091</v>
      </c>
      <c r="F623" s="447">
        <v>0.4373144950127501</v>
      </c>
      <c r="G623" s="127">
        <v>80.880354851130718</v>
      </c>
      <c r="H623" s="132">
        <v>58.716261425358709</v>
      </c>
      <c r="I623" s="456"/>
      <c r="J623" s="45"/>
      <c r="K623" s="45">
        <v>380</v>
      </c>
      <c r="L623" s="463"/>
      <c r="M623" s="456">
        <v>31.852447509765625</v>
      </c>
      <c r="N623" s="457"/>
      <c r="O623" s="456"/>
      <c r="P623" s="46"/>
      <c r="Q623" s="463">
        <v>59.436897277832031</v>
      </c>
      <c r="R623" s="449"/>
      <c r="S623" s="463"/>
      <c r="T623" s="480"/>
      <c r="U623" s="468"/>
      <c r="V623" s="449"/>
      <c r="W623" s="45">
        <v>1292.2086181640625</v>
      </c>
      <c r="X623" s="463">
        <v>110.64888763427734</v>
      </c>
      <c r="Y623" s="449"/>
      <c r="Z623" s="45"/>
      <c r="AA623" s="468">
        <v>0.4242212679511867</v>
      </c>
      <c r="AB623" s="456"/>
      <c r="AC623" s="46"/>
      <c r="AD623" s="46"/>
      <c r="AE623" s="46"/>
      <c r="AF623" s="46"/>
      <c r="AG623" s="46"/>
      <c r="AH623" s="46"/>
      <c r="AI623" s="457"/>
      <c r="AJ623" s="138"/>
      <c r="AK623" s="745"/>
      <c r="AL623" s="54"/>
      <c r="AM623" s="468"/>
      <c r="AN623" s="449"/>
      <c r="AO623" s="45"/>
      <c r="AP623" s="45"/>
      <c r="AQ623" s="45"/>
      <c r="AR623" s="45"/>
      <c r="AS623" s="45"/>
      <c r="AT623" s="45"/>
      <c r="AU623" s="463"/>
      <c r="AV623" s="449"/>
      <c r="AW623" s="45"/>
      <c r="AX623" s="45"/>
      <c r="AY623" s="45"/>
      <c r="AZ623" s="45"/>
      <c r="BA623" s="45"/>
      <c r="BB623" s="45"/>
      <c r="BC623" s="463"/>
      <c r="BD623" s="456"/>
      <c r="BE623" s="46"/>
      <c r="BF623" s="46"/>
      <c r="BG623" s="46"/>
      <c r="BH623" s="46"/>
      <c r="BI623" s="46"/>
      <c r="BJ623" s="457"/>
      <c r="BK623" s="449">
        <v>0</v>
      </c>
      <c r="BL623" s="45"/>
      <c r="BM623" s="45"/>
      <c r="BN623" s="45"/>
      <c r="BO623" s="45"/>
      <c r="BP623" s="45"/>
      <c r="BQ623" s="45"/>
      <c r="BR623" s="45"/>
      <c r="BS623" s="45"/>
      <c r="BT623" s="45"/>
      <c r="BU623" s="45"/>
      <c r="BV623" s="45"/>
      <c r="BW623" s="45"/>
      <c r="BX623" s="45"/>
      <c r="BY623" s="45"/>
      <c r="BZ623" s="45"/>
      <c r="CA623" s="45"/>
      <c r="CB623" s="45"/>
      <c r="CC623" s="45"/>
      <c r="CD623" s="463"/>
      <c r="CE623">
        <v>0</v>
      </c>
      <c r="CF623">
        <v>0</v>
      </c>
      <c r="CG623">
        <v>0</v>
      </c>
      <c r="CH623">
        <v>0</v>
      </c>
      <c r="CI623">
        <v>0</v>
      </c>
      <c r="CJ623">
        <v>0</v>
      </c>
      <c r="CK623">
        <v>0</v>
      </c>
      <c r="CL623">
        <v>0</v>
      </c>
      <c r="CM623">
        <v>0</v>
      </c>
      <c r="CN623">
        <v>0</v>
      </c>
      <c r="CO623">
        <v>0</v>
      </c>
      <c r="CP623">
        <v>0</v>
      </c>
      <c r="CQ623">
        <v>0</v>
      </c>
      <c r="CR623">
        <v>0</v>
      </c>
      <c r="CS623">
        <v>0</v>
      </c>
      <c r="CT623">
        <v>0</v>
      </c>
      <c r="CU623">
        <v>0</v>
      </c>
      <c r="CV623">
        <v>0</v>
      </c>
      <c r="CW623">
        <v>0</v>
      </c>
      <c r="CX623">
        <v>0</v>
      </c>
      <c r="CY623">
        <v>0</v>
      </c>
      <c r="CZ623">
        <v>0</v>
      </c>
      <c r="DA623">
        <v>0</v>
      </c>
      <c r="DB623">
        <v>0</v>
      </c>
      <c r="DC623">
        <v>0</v>
      </c>
      <c r="DD623">
        <v>0</v>
      </c>
      <c r="DE623">
        <v>0</v>
      </c>
      <c r="DF623">
        <v>0</v>
      </c>
      <c r="DG623">
        <v>0</v>
      </c>
      <c r="DH623">
        <v>0</v>
      </c>
      <c r="DI623">
        <v>0</v>
      </c>
      <c r="DJ623">
        <v>0</v>
      </c>
      <c r="DK623">
        <v>0</v>
      </c>
      <c r="DL623">
        <v>0</v>
      </c>
      <c r="DM623">
        <v>0</v>
      </c>
      <c r="DN623">
        <v>0</v>
      </c>
      <c r="DO623">
        <v>0</v>
      </c>
      <c r="DP623">
        <v>0</v>
      </c>
      <c r="DQ623">
        <v>0</v>
      </c>
      <c r="DR623">
        <v>0</v>
      </c>
      <c r="DS623">
        <v>0</v>
      </c>
      <c r="DT623">
        <v>0</v>
      </c>
      <c r="DU623">
        <v>0</v>
      </c>
    </row>
    <row r="624" spans="2:125">
      <c r="B624" s="136">
        <v>615</v>
      </c>
      <c r="C624" s="138">
        <v>1</v>
      </c>
      <c r="D624" s="474">
        <v>3566.8220248529265</v>
      </c>
      <c r="E624" s="127">
        <v>244.35678512098485</v>
      </c>
      <c r="F624" s="447">
        <v>0.42677407510254717</v>
      </c>
      <c r="G624" s="127">
        <v>133.43637341807832</v>
      </c>
      <c r="H624" s="132">
        <v>55.262759604638866</v>
      </c>
      <c r="I624" s="456"/>
      <c r="J624" s="45"/>
      <c r="K624" s="45">
        <v>530</v>
      </c>
      <c r="L624" s="463"/>
      <c r="M624" s="456">
        <v>37.141944885253906</v>
      </c>
      <c r="N624" s="457"/>
      <c r="O624" s="456"/>
      <c r="P624" s="46"/>
      <c r="Q624" s="463">
        <v>70.623077392578125</v>
      </c>
      <c r="R624" s="449"/>
      <c r="S624" s="463"/>
      <c r="T624" s="480"/>
      <c r="U624" s="468"/>
      <c r="V624" s="449"/>
      <c r="W624" s="45">
        <v>1695.039306640625</v>
      </c>
      <c r="X624" s="463">
        <v>140.58909606933594</v>
      </c>
      <c r="Y624" s="449"/>
      <c r="Z624" s="45"/>
      <c r="AA624" s="468">
        <v>0.41737201319186523</v>
      </c>
      <c r="AB624" s="456"/>
      <c r="AC624" s="46"/>
      <c r="AD624" s="46"/>
      <c r="AE624" s="46"/>
      <c r="AF624" s="46"/>
      <c r="AG624" s="46"/>
      <c r="AH624" s="46"/>
      <c r="AI624" s="457"/>
      <c r="AJ624" s="138"/>
      <c r="AK624" s="745"/>
      <c r="AL624" s="54"/>
      <c r="AM624" s="468"/>
      <c r="AN624" s="449"/>
      <c r="AO624" s="45"/>
      <c r="AP624" s="45"/>
      <c r="AQ624" s="45"/>
      <c r="AR624" s="45"/>
      <c r="AS624" s="45"/>
      <c r="AT624" s="45"/>
      <c r="AU624" s="463"/>
      <c r="AV624" s="449"/>
      <c r="AW624" s="45"/>
      <c r="AX624" s="45"/>
      <c r="AY624" s="45"/>
      <c r="AZ624" s="45"/>
      <c r="BA624" s="45"/>
      <c r="BB624" s="45"/>
      <c r="BC624" s="463"/>
      <c r="BD624" s="456"/>
      <c r="BE624" s="46"/>
      <c r="BF624" s="46"/>
      <c r="BG624" s="46"/>
      <c r="BH624" s="46"/>
      <c r="BI624" s="46"/>
      <c r="BJ624" s="457"/>
      <c r="BK624" s="449">
        <v>0</v>
      </c>
      <c r="BL624" s="45"/>
      <c r="BM624" s="45"/>
      <c r="BN624" s="45"/>
      <c r="BO624" s="45"/>
      <c r="BP624" s="45"/>
      <c r="BQ624" s="45"/>
      <c r="BR624" s="45"/>
      <c r="BS624" s="45"/>
      <c r="BT624" s="45"/>
      <c r="BU624" s="45"/>
      <c r="BV624" s="45"/>
      <c r="BW624" s="45"/>
      <c r="BX624" s="45"/>
      <c r="BY624" s="45"/>
      <c r="BZ624" s="45"/>
      <c r="CA624" s="45"/>
      <c r="CB624" s="45"/>
      <c r="CC624" s="45"/>
      <c r="CD624" s="463"/>
      <c r="CE624">
        <v>0</v>
      </c>
      <c r="CF624">
        <v>0</v>
      </c>
      <c r="CG624">
        <v>0</v>
      </c>
      <c r="CH624">
        <v>0</v>
      </c>
      <c r="CI624">
        <v>0</v>
      </c>
      <c r="CJ624">
        <v>0</v>
      </c>
      <c r="CK624">
        <v>0</v>
      </c>
      <c r="CL624">
        <v>0</v>
      </c>
      <c r="CM624">
        <v>0</v>
      </c>
      <c r="CN624">
        <v>0</v>
      </c>
      <c r="CO624">
        <v>0</v>
      </c>
      <c r="CP624">
        <v>0</v>
      </c>
      <c r="CQ624">
        <v>0</v>
      </c>
      <c r="CR624">
        <v>0</v>
      </c>
      <c r="CS624">
        <v>0</v>
      </c>
      <c r="CT624">
        <v>0</v>
      </c>
      <c r="CU624">
        <v>0</v>
      </c>
      <c r="CV624">
        <v>0</v>
      </c>
      <c r="CW624">
        <v>0</v>
      </c>
      <c r="CX624">
        <v>0</v>
      </c>
      <c r="CY624">
        <v>0</v>
      </c>
      <c r="CZ624">
        <v>0</v>
      </c>
      <c r="DA624">
        <v>0</v>
      </c>
      <c r="DB624">
        <v>0</v>
      </c>
      <c r="DC624">
        <v>0</v>
      </c>
      <c r="DD624">
        <v>0</v>
      </c>
      <c r="DE624">
        <v>0</v>
      </c>
      <c r="DF624">
        <v>0</v>
      </c>
      <c r="DG624">
        <v>0</v>
      </c>
      <c r="DH624">
        <v>0</v>
      </c>
      <c r="DI624">
        <v>0</v>
      </c>
      <c r="DJ624">
        <v>0</v>
      </c>
      <c r="DK624">
        <v>0</v>
      </c>
      <c r="DL624">
        <v>0</v>
      </c>
      <c r="DM624">
        <v>0</v>
      </c>
      <c r="DN624">
        <v>0</v>
      </c>
      <c r="DO624">
        <v>0</v>
      </c>
      <c r="DP624">
        <v>0</v>
      </c>
      <c r="DQ624">
        <v>0</v>
      </c>
      <c r="DR624">
        <v>0</v>
      </c>
      <c r="DS624">
        <v>0</v>
      </c>
      <c r="DT624">
        <v>0</v>
      </c>
      <c r="DU624">
        <v>0</v>
      </c>
    </row>
    <row r="625" spans="2:125">
      <c r="B625" s="136">
        <v>616</v>
      </c>
      <c r="C625" s="138">
        <v>1</v>
      </c>
      <c r="D625" s="474">
        <v>3888.4258482639088</v>
      </c>
      <c r="E625" s="127">
        <v>256.24577446244541</v>
      </c>
      <c r="F625" s="447">
        <v>0.36458637881027328</v>
      </c>
      <c r="G625" s="127">
        <v>138.77116445174681</v>
      </c>
      <c r="H625" s="132">
        <v>59.373971362331631</v>
      </c>
      <c r="I625" s="456"/>
      <c r="J625" s="45"/>
      <c r="K625" s="45">
        <v>560</v>
      </c>
      <c r="L625" s="463"/>
      <c r="M625" s="456">
        <v>29.158134460449219</v>
      </c>
      <c r="N625" s="457"/>
      <c r="O625" s="456"/>
      <c r="P625" s="46"/>
      <c r="Q625" s="463">
        <v>76.990829467773438</v>
      </c>
      <c r="R625" s="449"/>
      <c r="S625" s="463"/>
      <c r="T625" s="480"/>
      <c r="U625" s="468"/>
      <c r="V625" s="449"/>
      <c r="W625" s="45">
        <v>1440.8841552734375</v>
      </c>
      <c r="X625" s="463">
        <v>122.20732116699219</v>
      </c>
      <c r="Y625" s="449"/>
      <c r="Z625" s="45"/>
      <c r="AA625" s="468">
        <v>0.35628180291341699</v>
      </c>
      <c r="AB625" s="456"/>
      <c r="AC625" s="46"/>
      <c r="AD625" s="46"/>
      <c r="AE625" s="46"/>
      <c r="AF625" s="46"/>
      <c r="AG625" s="46"/>
      <c r="AH625" s="46"/>
      <c r="AI625" s="457"/>
      <c r="AJ625" s="138"/>
      <c r="AK625" s="745"/>
      <c r="AL625" s="54"/>
      <c r="AM625" s="468"/>
      <c r="AN625" s="449"/>
      <c r="AO625" s="45"/>
      <c r="AP625" s="45"/>
      <c r="AQ625" s="45"/>
      <c r="AR625" s="45"/>
      <c r="AS625" s="45"/>
      <c r="AT625" s="45"/>
      <c r="AU625" s="463"/>
      <c r="AV625" s="449"/>
      <c r="AW625" s="45"/>
      <c r="AX625" s="45"/>
      <c r="AY625" s="45"/>
      <c r="AZ625" s="45"/>
      <c r="BA625" s="45"/>
      <c r="BB625" s="45"/>
      <c r="BC625" s="463"/>
      <c r="BD625" s="456"/>
      <c r="BE625" s="46"/>
      <c r="BF625" s="46"/>
      <c r="BG625" s="46"/>
      <c r="BH625" s="46"/>
      <c r="BI625" s="46"/>
      <c r="BJ625" s="457"/>
      <c r="BK625" s="449">
        <v>0</v>
      </c>
      <c r="BL625" s="45"/>
      <c r="BM625" s="45"/>
      <c r="BN625" s="45"/>
      <c r="BO625" s="45"/>
      <c r="BP625" s="45"/>
      <c r="BQ625" s="45"/>
      <c r="BR625" s="45"/>
      <c r="BS625" s="45"/>
      <c r="BT625" s="45"/>
      <c r="BU625" s="45"/>
      <c r="BV625" s="45"/>
      <c r="BW625" s="45"/>
      <c r="BX625" s="45"/>
      <c r="BY625" s="45"/>
      <c r="BZ625" s="45"/>
      <c r="CA625" s="45"/>
      <c r="CB625" s="45"/>
      <c r="CC625" s="45"/>
      <c r="CD625" s="463"/>
      <c r="CE625">
        <v>0</v>
      </c>
      <c r="CF625">
        <v>0</v>
      </c>
      <c r="CG625">
        <v>0</v>
      </c>
      <c r="CH625">
        <v>0</v>
      </c>
      <c r="CI625">
        <v>0</v>
      </c>
      <c r="CJ625">
        <v>0</v>
      </c>
      <c r="CK625">
        <v>0</v>
      </c>
      <c r="CL625">
        <v>0</v>
      </c>
      <c r="CM625">
        <v>0</v>
      </c>
      <c r="CN625">
        <v>0</v>
      </c>
      <c r="CO625">
        <v>0</v>
      </c>
      <c r="CP625">
        <v>0</v>
      </c>
      <c r="CQ625">
        <v>0</v>
      </c>
      <c r="CR625">
        <v>0</v>
      </c>
      <c r="CS625">
        <v>0</v>
      </c>
      <c r="CT625">
        <v>0</v>
      </c>
      <c r="CU625">
        <v>0</v>
      </c>
      <c r="CV625">
        <v>0</v>
      </c>
      <c r="CW625">
        <v>0</v>
      </c>
      <c r="CX625">
        <v>0</v>
      </c>
      <c r="CY625">
        <v>0</v>
      </c>
      <c r="CZ625">
        <v>0</v>
      </c>
      <c r="DA625">
        <v>0</v>
      </c>
      <c r="DB625">
        <v>0</v>
      </c>
      <c r="DC625">
        <v>0</v>
      </c>
      <c r="DD625">
        <v>0</v>
      </c>
      <c r="DE625">
        <v>0</v>
      </c>
      <c r="DF625">
        <v>0</v>
      </c>
      <c r="DG625">
        <v>0</v>
      </c>
      <c r="DH625">
        <v>0</v>
      </c>
      <c r="DI625">
        <v>0</v>
      </c>
      <c r="DJ625">
        <v>0</v>
      </c>
      <c r="DK625">
        <v>0</v>
      </c>
      <c r="DL625">
        <v>0</v>
      </c>
      <c r="DM625">
        <v>0</v>
      </c>
      <c r="DN625">
        <v>0</v>
      </c>
      <c r="DO625">
        <v>0</v>
      </c>
      <c r="DP625">
        <v>0</v>
      </c>
      <c r="DQ625">
        <v>0</v>
      </c>
      <c r="DR625">
        <v>0</v>
      </c>
      <c r="DS625">
        <v>0</v>
      </c>
      <c r="DT625">
        <v>0</v>
      </c>
      <c r="DU625">
        <v>0</v>
      </c>
    </row>
    <row r="626" spans="2:125">
      <c r="B626" s="136">
        <v>617</v>
      </c>
      <c r="C626" s="138">
        <v>1</v>
      </c>
      <c r="D626" s="474">
        <v>2643.706018174752</v>
      </c>
      <c r="E626" s="127">
        <v>205.42391711160869</v>
      </c>
      <c r="F626" s="447">
        <v>0.38018048149656408</v>
      </c>
      <c r="G626" s="127">
        <v>99.248027630946666</v>
      </c>
      <c r="H626" s="132">
        <v>55.022416166626073</v>
      </c>
      <c r="I626" s="456"/>
      <c r="J626" s="45"/>
      <c r="K626" s="45">
        <v>420</v>
      </c>
      <c r="L626" s="463"/>
      <c r="M626" s="456">
        <v>28.232538223266602</v>
      </c>
      <c r="N626" s="457"/>
      <c r="O626" s="456"/>
      <c r="P626" s="46"/>
      <c r="Q626" s="463">
        <v>60.478927612304688</v>
      </c>
      <c r="R626" s="449"/>
      <c r="S626" s="463"/>
      <c r="T626" s="480"/>
      <c r="U626" s="468"/>
      <c r="V626" s="449"/>
      <c r="W626" s="45">
        <v>1173.1346435546875</v>
      </c>
      <c r="X626" s="463">
        <v>102.14430236816406</v>
      </c>
      <c r="Y626" s="449"/>
      <c r="Z626" s="45"/>
      <c r="AA626" s="468">
        <v>0.36784794171877089</v>
      </c>
      <c r="AB626" s="456"/>
      <c r="AC626" s="46"/>
      <c r="AD626" s="46"/>
      <c r="AE626" s="46"/>
      <c r="AF626" s="46"/>
      <c r="AG626" s="46"/>
      <c r="AH626" s="46"/>
      <c r="AI626" s="457"/>
      <c r="AJ626" s="138"/>
      <c r="AK626" s="745"/>
      <c r="AL626" s="54"/>
      <c r="AM626" s="468"/>
      <c r="AN626" s="449"/>
      <c r="AO626" s="45"/>
      <c r="AP626" s="45"/>
      <c r="AQ626" s="45"/>
      <c r="AR626" s="45"/>
      <c r="AS626" s="45"/>
      <c r="AT626" s="45"/>
      <c r="AU626" s="463"/>
      <c r="AV626" s="449"/>
      <c r="AW626" s="45"/>
      <c r="AX626" s="45"/>
      <c r="AY626" s="45"/>
      <c r="AZ626" s="45"/>
      <c r="BA626" s="45"/>
      <c r="BB626" s="45"/>
      <c r="BC626" s="463"/>
      <c r="BD626" s="456"/>
      <c r="BE626" s="46"/>
      <c r="BF626" s="46"/>
      <c r="BG626" s="46"/>
      <c r="BH626" s="46"/>
      <c r="BI626" s="46"/>
      <c r="BJ626" s="457"/>
      <c r="BK626" s="449">
        <v>0</v>
      </c>
      <c r="BL626" s="45"/>
      <c r="BM626" s="45"/>
      <c r="BN626" s="45"/>
      <c r="BO626" s="45"/>
      <c r="BP626" s="45"/>
      <c r="BQ626" s="45"/>
      <c r="BR626" s="45"/>
      <c r="BS626" s="45"/>
      <c r="BT626" s="45"/>
      <c r="BU626" s="45"/>
      <c r="BV626" s="45"/>
      <c r="BW626" s="45"/>
      <c r="BX626" s="45"/>
      <c r="BY626" s="45"/>
      <c r="BZ626" s="45"/>
      <c r="CA626" s="45"/>
      <c r="CB626" s="45"/>
      <c r="CC626" s="45"/>
      <c r="CD626" s="463"/>
      <c r="CE626">
        <v>0</v>
      </c>
      <c r="CF626">
        <v>0</v>
      </c>
      <c r="CG626">
        <v>0</v>
      </c>
      <c r="CH626">
        <v>0</v>
      </c>
      <c r="CI626">
        <v>0</v>
      </c>
      <c r="CJ626">
        <v>0</v>
      </c>
      <c r="CK626">
        <v>0</v>
      </c>
      <c r="CL626">
        <v>0</v>
      </c>
      <c r="CM626">
        <v>0</v>
      </c>
      <c r="CN626">
        <v>0</v>
      </c>
      <c r="CO626">
        <v>0</v>
      </c>
      <c r="CP626">
        <v>0</v>
      </c>
      <c r="CQ626">
        <v>0</v>
      </c>
      <c r="CR626">
        <v>0</v>
      </c>
      <c r="CS626">
        <v>0</v>
      </c>
      <c r="CT626">
        <v>0</v>
      </c>
      <c r="CU626">
        <v>0</v>
      </c>
      <c r="CV626">
        <v>0</v>
      </c>
      <c r="CW626">
        <v>0</v>
      </c>
      <c r="CX626">
        <v>0</v>
      </c>
      <c r="CY626">
        <v>0</v>
      </c>
      <c r="CZ626">
        <v>0</v>
      </c>
      <c r="DA626">
        <v>0</v>
      </c>
      <c r="DB626">
        <v>0</v>
      </c>
      <c r="DC626">
        <v>0</v>
      </c>
      <c r="DD626">
        <v>0</v>
      </c>
      <c r="DE626">
        <v>0</v>
      </c>
      <c r="DF626">
        <v>0</v>
      </c>
      <c r="DG626">
        <v>0</v>
      </c>
      <c r="DH626">
        <v>0</v>
      </c>
      <c r="DI626">
        <v>0</v>
      </c>
      <c r="DJ626">
        <v>0</v>
      </c>
      <c r="DK626">
        <v>0</v>
      </c>
      <c r="DL626">
        <v>0</v>
      </c>
      <c r="DM626">
        <v>0</v>
      </c>
      <c r="DN626">
        <v>0</v>
      </c>
      <c r="DO626">
        <v>0</v>
      </c>
      <c r="DP626">
        <v>0</v>
      </c>
      <c r="DQ626">
        <v>0</v>
      </c>
      <c r="DR626">
        <v>0</v>
      </c>
      <c r="DS626">
        <v>0</v>
      </c>
      <c r="DT626">
        <v>0</v>
      </c>
      <c r="DU626">
        <v>0</v>
      </c>
    </row>
    <row r="627" spans="2:125">
      <c r="B627" s="136">
        <v>618</v>
      </c>
      <c r="C627" s="138">
        <v>1</v>
      </c>
      <c r="D627" s="474">
        <v>3793.4938286108568</v>
      </c>
      <c r="E627" s="127">
        <v>205.07720728938907</v>
      </c>
      <c r="F627" s="447">
        <v>0.36311765610860802</v>
      </c>
      <c r="G627" s="127">
        <v>119.62273886669988</v>
      </c>
      <c r="H627" s="132">
        <v>67.769950808995688</v>
      </c>
      <c r="I627" s="456"/>
      <c r="J627" s="45"/>
      <c r="K627" s="45">
        <v>530</v>
      </c>
      <c r="L627" s="463"/>
      <c r="M627" s="456">
        <v>26.645963668823242</v>
      </c>
      <c r="N627" s="457"/>
      <c r="O627" s="456"/>
      <c r="P627" s="46"/>
      <c r="Q627" s="463">
        <v>83.590377807617188</v>
      </c>
      <c r="R627" s="449"/>
      <c r="S627" s="463"/>
      <c r="T627" s="480"/>
      <c r="U627" s="468"/>
      <c r="V627" s="449"/>
      <c r="W627" s="45">
        <v>1376.4222412109375</v>
      </c>
      <c r="X627" s="463">
        <v>117.42362213134766</v>
      </c>
      <c r="Y627" s="449"/>
      <c r="Z627" s="45"/>
      <c r="AA627" s="468">
        <v>0.35461300193496825</v>
      </c>
      <c r="AB627" s="456"/>
      <c r="AC627" s="46"/>
      <c r="AD627" s="46"/>
      <c r="AE627" s="46"/>
      <c r="AF627" s="46"/>
      <c r="AG627" s="46"/>
      <c r="AH627" s="46"/>
      <c r="AI627" s="457"/>
      <c r="AJ627" s="138"/>
      <c r="AK627" s="745"/>
      <c r="AL627" s="54"/>
      <c r="AM627" s="468"/>
      <c r="AN627" s="449"/>
      <c r="AO627" s="45"/>
      <c r="AP627" s="45"/>
      <c r="AQ627" s="45"/>
      <c r="AR627" s="45"/>
      <c r="AS627" s="45"/>
      <c r="AT627" s="45"/>
      <c r="AU627" s="463"/>
      <c r="AV627" s="449"/>
      <c r="AW627" s="45"/>
      <c r="AX627" s="45"/>
      <c r="AY627" s="45"/>
      <c r="AZ627" s="45"/>
      <c r="BA627" s="45"/>
      <c r="BB627" s="45"/>
      <c r="BC627" s="463"/>
      <c r="BD627" s="456"/>
      <c r="BE627" s="46"/>
      <c r="BF627" s="46"/>
      <c r="BG627" s="46"/>
      <c r="BH627" s="46"/>
      <c r="BI627" s="46"/>
      <c r="BJ627" s="457"/>
      <c r="BK627" s="449">
        <v>0</v>
      </c>
      <c r="BL627" s="45"/>
      <c r="BM627" s="45"/>
      <c r="BN627" s="45"/>
      <c r="BO627" s="45"/>
      <c r="BP627" s="45"/>
      <c r="BQ627" s="45"/>
      <c r="BR627" s="45"/>
      <c r="BS627" s="45"/>
      <c r="BT627" s="45"/>
      <c r="BU627" s="45"/>
      <c r="BV627" s="45"/>
      <c r="BW627" s="45"/>
      <c r="BX627" s="45"/>
      <c r="BY627" s="45"/>
      <c r="BZ627" s="45"/>
      <c r="CA627" s="45"/>
      <c r="CB627" s="45"/>
      <c r="CC627" s="45"/>
      <c r="CD627" s="463"/>
      <c r="CE627">
        <v>0</v>
      </c>
      <c r="CF627">
        <v>0</v>
      </c>
      <c r="CG627">
        <v>0</v>
      </c>
      <c r="CH627">
        <v>0</v>
      </c>
      <c r="CI627">
        <v>0</v>
      </c>
      <c r="CJ627">
        <v>0</v>
      </c>
      <c r="CK627">
        <v>0</v>
      </c>
      <c r="CL627">
        <v>0</v>
      </c>
      <c r="CM627">
        <v>0</v>
      </c>
      <c r="CN627">
        <v>0</v>
      </c>
      <c r="CO627">
        <v>0</v>
      </c>
      <c r="CP627">
        <v>0</v>
      </c>
      <c r="CQ627">
        <v>0</v>
      </c>
      <c r="CR627">
        <v>0</v>
      </c>
      <c r="CS627">
        <v>0</v>
      </c>
      <c r="CT627">
        <v>0</v>
      </c>
      <c r="CU627">
        <v>0</v>
      </c>
      <c r="CV627">
        <v>0</v>
      </c>
      <c r="CW627">
        <v>0</v>
      </c>
      <c r="CX627">
        <v>0</v>
      </c>
      <c r="CY627">
        <v>0</v>
      </c>
      <c r="CZ627">
        <v>0</v>
      </c>
      <c r="DA627">
        <v>0</v>
      </c>
      <c r="DB627">
        <v>0</v>
      </c>
      <c r="DC627">
        <v>0</v>
      </c>
      <c r="DD627">
        <v>0</v>
      </c>
      <c r="DE627">
        <v>0</v>
      </c>
      <c r="DF627">
        <v>0</v>
      </c>
      <c r="DG627">
        <v>0</v>
      </c>
      <c r="DH627">
        <v>0</v>
      </c>
      <c r="DI627">
        <v>0</v>
      </c>
      <c r="DJ627">
        <v>0</v>
      </c>
      <c r="DK627">
        <v>0</v>
      </c>
      <c r="DL627">
        <v>0</v>
      </c>
      <c r="DM627">
        <v>0</v>
      </c>
      <c r="DN627">
        <v>0</v>
      </c>
      <c r="DO627">
        <v>0</v>
      </c>
      <c r="DP627">
        <v>0</v>
      </c>
      <c r="DQ627">
        <v>0</v>
      </c>
      <c r="DR627">
        <v>0</v>
      </c>
      <c r="DS627">
        <v>0</v>
      </c>
      <c r="DT627">
        <v>0</v>
      </c>
      <c r="DU627">
        <v>0</v>
      </c>
    </row>
    <row r="628" spans="2:125">
      <c r="B628" s="136">
        <v>619</v>
      </c>
      <c r="C628" s="138">
        <v>1</v>
      </c>
      <c r="D628" s="474">
        <v>4216.6231163033899</v>
      </c>
      <c r="E628" s="127">
        <v>238.65565921017583</v>
      </c>
      <c r="F628" s="447">
        <v>0.42479220472965729</v>
      </c>
      <c r="G628" s="127">
        <v>131.0167171307599</v>
      </c>
      <c r="H628" s="132">
        <v>65.633339129429032</v>
      </c>
      <c r="I628" s="456"/>
      <c r="J628" s="45"/>
      <c r="K628" s="45">
        <v>570</v>
      </c>
      <c r="L628" s="463"/>
      <c r="M628" s="456">
        <v>34.8944091796875</v>
      </c>
      <c r="N628" s="457"/>
      <c r="O628" s="456"/>
      <c r="P628" s="46"/>
      <c r="Q628" s="463">
        <v>83.489151000976562</v>
      </c>
      <c r="R628" s="449"/>
      <c r="S628" s="463"/>
      <c r="T628" s="480"/>
      <c r="U628" s="468"/>
      <c r="V628" s="449"/>
      <c r="W628" s="45">
        <v>1759.0208740234375</v>
      </c>
      <c r="X628" s="463">
        <v>145.37950134277344</v>
      </c>
      <c r="Y628" s="449"/>
      <c r="Z628" s="45"/>
      <c r="AA628" s="468">
        <v>0.41684844424390677</v>
      </c>
      <c r="AB628" s="456"/>
      <c r="AC628" s="46"/>
      <c r="AD628" s="46"/>
      <c r="AE628" s="46"/>
      <c r="AF628" s="46"/>
      <c r="AG628" s="46"/>
      <c r="AH628" s="46"/>
      <c r="AI628" s="457"/>
      <c r="AJ628" s="138"/>
      <c r="AK628" s="745"/>
      <c r="AL628" s="54"/>
      <c r="AM628" s="468"/>
      <c r="AN628" s="449"/>
      <c r="AO628" s="45"/>
      <c r="AP628" s="45"/>
      <c r="AQ628" s="45"/>
      <c r="AR628" s="45"/>
      <c r="AS628" s="45"/>
      <c r="AT628" s="45"/>
      <c r="AU628" s="463"/>
      <c r="AV628" s="449"/>
      <c r="AW628" s="45"/>
      <c r="AX628" s="45"/>
      <c r="AY628" s="45"/>
      <c r="AZ628" s="45"/>
      <c r="BA628" s="45"/>
      <c r="BB628" s="45"/>
      <c r="BC628" s="463"/>
      <c r="BD628" s="456"/>
      <c r="BE628" s="46"/>
      <c r="BF628" s="46"/>
      <c r="BG628" s="46"/>
      <c r="BH628" s="46"/>
      <c r="BI628" s="46"/>
      <c r="BJ628" s="457"/>
      <c r="BK628" s="449">
        <v>0</v>
      </c>
      <c r="BL628" s="45"/>
      <c r="BM628" s="45"/>
      <c r="BN628" s="45"/>
      <c r="BO628" s="45"/>
      <c r="BP628" s="45"/>
      <c r="BQ628" s="45"/>
      <c r="BR628" s="45"/>
      <c r="BS628" s="45"/>
      <c r="BT628" s="45"/>
      <c r="BU628" s="45"/>
      <c r="BV628" s="45"/>
      <c r="BW628" s="45"/>
      <c r="BX628" s="45"/>
      <c r="BY628" s="45"/>
      <c r="BZ628" s="45"/>
      <c r="CA628" s="45"/>
      <c r="CB628" s="45"/>
      <c r="CC628" s="45"/>
      <c r="CD628" s="463"/>
      <c r="CE628">
        <v>0</v>
      </c>
      <c r="CF628">
        <v>0</v>
      </c>
      <c r="CG628">
        <v>0</v>
      </c>
      <c r="CH628">
        <v>0</v>
      </c>
      <c r="CI628">
        <v>0</v>
      </c>
      <c r="CJ628">
        <v>0</v>
      </c>
      <c r="CK628">
        <v>0</v>
      </c>
      <c r="CL628">
        <v>0</v>
      </c>
      <c r="CM628">
        <v>0</v>
      </c>
      <c r="CN628">
        <v>0</v>
      </c>
      <c r="CO628">
        <v>0</v>
      </c>
      <c r="CP628">
        <v>0</v>
      </c>
      <c r="CQ628">
        <v>0</v>
      </c>
      <c r="CR628">
        <v>0</v>
      </c>
      <c r="CS628">
        <v>0</v>
      </c>
      <c r="CT628">
        <v>0</v>
      </c>
      <c r="CU628">
        <v>0</v>
      </c>
      <c r="CV628">
        <v>0</v>
      </c>
      <c r="CW628">
        <v>0</v>
      </c>
      <c r="CX628">
        <v>0</v>
      </c>
      <c r="CY628">
        <v>0</v>
      </c>
      <c r="CZ628">
        <v>0</v>
      </c>
      <c r="DA628">
        <v>0</v>
      </c>
      <c r="DB628">
        <v>0</v>
      </c>
      <c r="DC628">
        <v>0</v>
      </c>
      <c r="DD628">
        <v>0</v>
      </c>
      <c r="DE628">
        <v>0</v>
      </c>
      <c r="DF628">
        <v>0</v>
      </c>
      <c r="DG628">
        <v>0</v>
      </c>
      <c r="DH628">
        <v>0</v>
      </c>
      <c r="DI628">
        <v>0</v>
      </c>
      <c r="DJ628">
        <v>0</v>
      </c>
      <c r="DK628">
        <v>0</v>
      </c>
      <c r="DL628">
        <v>0</v>
      </c>
      <c r="DM628">
        <v>0</v>
      </c>
      <c r="DN628">
        <v>0</v>
      </c>
      <c r="DO628">
        <v>0</v>
      </c>
      <c r="DP628">
        <v>0</v>
      </c>
      <c r="DQ628">
        <v>0</v>
      </c>
      <c r="DR628">
        <v>0</v>
      </c>
      <c r="DS628">
        <v>0</v>
      </c>
      <c r="DT628">
        <v>0</v>
      </c>
      <c r="DU628">
        <v>0</v>
      </c>
    </row>
    <row r="629" spans="2:125">
      <c r="B629" s="136">
        <v>620</v>
      </c>
      <c r="C629" s="138">
        <v>1</v>
      </c>
      <c r="D629" s="474">
        <v>2709.1503127870646</v>
      </c>
      <c r="E629" s="127">
        <v>290.89195792807084</v>
      </c>
      <c r="F629" s="447">
        <v>0.41007732614717818</v>
      </c>
      <c r="G629" s="127">
        <v>113.17138265243324</v>
      </c>
      <c r="H629" s="132">
        <v>52.171235383793906</v>
      </c>
      <c r="I629" s="456"/>
      <c r="J629" s="45"/>
      <c r="K629" s="45">
        <v>460</v>
      </c>
      <c r="L629" s="463"/>
      <c r="M629" s="456">
        <v>33.184722900390625</v>
      </c>
      <c r="N629" s="457"/>
      <c r="O629" s="456"/>
      <c r="P629" s="46"/>
      <c r="Q629" s="463">
        <v>61.578315734863281</v>
      </c>
      <c r="R629" s="449"/>
      <c r="S629" s="463"/>
      <c r="T629" s="480"/>
      <c r="U629" s="468"/>
      <c r="V629" s="449"/>
      <c r="W629" s="45">
        <v>1397.178955078125</v>
      </c>
      <c r="X629" s="463">
        <v>118.60966491699219</v>
      </c>
      <c r="Y629" s="449"/>
      <c r="Z629" s="45"/>
      <c r="AA629" s="468">
        <v>0.39782199045530692</v>
      </c>
      <c r="AB629" s="456"/>
      <c r="AC629" s="46"/>
      <c r="AD629" s="46"/>
      <c r="AE629" s="46"/>
      <c r="AF629" s="46"/>
      <c r="AG629" s="46"/>
      <c r="AH629" s="46"/>
      <c r="AI629" s="457"/>
      <c r="AJ629" s="138"/>
      <c r="AK629" s="745"/>
      <c r="AL629" s="54"/>
      <c r="AM629" s="468"/>
      <c r="AN629" s="449"/>
      <c r="AO629" s="45"/>
      <c r="AP629" s="45"/>
      <c r="AQ629" s="45"/>
      <c r="AR629" s="45"/>
      <c r="AS629" s="45"/>
      <c r="AT629" s="45"/>
      <c r="AU629" s="463"/>
      <c r="AV629" s="449"/>
      <c r="AW629" s="45"/>
      <c r="AX629" s="45"/>
      <c r="AY629" s="45"/>
      <c r="AZ629" s="45"/>
      <c r="BA629" s="45"/>
      <c r="BB629" s="45"/>
      <c r="BC629" s="463"/>
      <c r="BD629" s="456"/>
      <c r="BE629" s="46"/>
      <c r="BF629" s="46"/>
      <c r="BG629" s="46"/>
      <c r="BH629" s="46"/>
      <c r="BI629" s="46"/>
      <c r="BJ629" s="457"/>
      <c r="BK629" s="449">
        <v>0</v>
      </c>
      <c r="BL629" s="45"/>
      <c r="BM629" s="45"/>
      <c r="BN629" s="45"/>
      <c r="BO629" s="45"/>
      <c r="BP629" s="45"/>
      <c r="BQ629" s="45"/>
      <c r="BR629" s="45"/>
      <c r="BS629" s="45"/>
      <c r="BT629" s="45"/>
      <c r="BU629" s="45"/>
      <c r="BV629" s="45"/>
      <c r="BW629" s="45"/>
      <c r="BX629" s="45"/>
      <c r="BY629" s="45"/>
      <c r="BZ629" s="45"/>
      <c r="CA629" s="45"/>
      <c r="CB629" s="45"/>
      <c r="CC629" s="45"/>
      <c r="CD629" s="463"/>
      <c r="CE629">
        <v>0</v>
      </c>
      <c r="CF629">
        <v>0</v>
      </c>
      <c r="CG629">
        <v>0</v>
      </c>
      <c r="CH629">
        <v>0</v>
      </c>
      <c r="CI629">
        <v>0</v>
      </c>
      <c r="CJ629">
        <v>0</v>
      </c>
      <c r="CK629">
        <v>0</v>
      </c>
      <c r="CL629">
        <v>0</v>
      </c>
      <c r="CM629">
        <v>0</v>
      </c>
      <c r="CN629">
        <v>0</v>
      </c>
      <c r="CO629">
        <v>0</v>
      </c>
      <c r="CP629">
        <v>0</v>
      </c>
      <c r="CQ629">
        <v>0</v>
      </c>
      <c r="CR629">
        <v>0</v>
      </c>
      <c r="CS629">
        <v>0</v>
      </c>
      <c r="CT629">
        <v>0</v>
      </c>
      <c r="CU629">
        <v>0</v>
      </c>
      <c r="CV629">
        <v>0</v>
      </c>
      <c r="CW629">
        <v>0</v>
      </c>
      <c r="CX629">
        <v>0</v>
      </c>
      <c r="CY629">
        <v>0</v>
      </c>
      <c r="CZ629">
        <v>0</v>
      </c>
      <c r="DA629">
        <v>0</v>
      </c>
      <c r="DB629">
        <v>0</v>
      </c>
      <c r="DC629">
        <v>0</v>
      </c>
      <c r="DD629">
        <v>0</v>
      </c>
      <c r="DE629">
        <v>0</v>
      </c>
      <c r="DF629">
        <v>0</v>
      </c>
      <c r="DG629">
        <v>0</v>
      </c>
      <c r="DH629">
        <v>0</v>
      </c>
      <c r="DI629">
        <v>0</v>
      </c>
      <c r="DJ629">
        <v>0</v>
      </c>
      <c r="DK629">
        <v>0</v>
      </c>
      <c r="DL629">
        <v>0</v>
      </c>
      <c r="DM629">
        <v>0</v>
      </c>
      <c r="DN629">
        <v>0</v>
      </c>
      <c r="DO629">
        <v>0</v>
      </c>
      <c r="DP629">
        <v>0</v>
      </c>
      <c r="DQ629">
        <v>0</v>
      </c>
      <c r="DR629">
        <v>0</v>
      </c>
      <c r="DS629">
        <v>0</v>
      </c>
      <c r="DT629">
        <v>0</v>
      </c>
      <c r="DU629">
        <v>0</v>
      </c>
    </row>
    <row r="630" spans="2:125">
      <c r="B630" s="136">
        <v>621</v>
      </c>
      <c r="C630" s="138">
        <v>1</v>
      </c>
      <c r="D630" s="474">
        <v>3463.4342387737029</v>
      </c>
      <c r="E630" s="127">
        <v>268.11093771547115</v>
      </c>
      <c r="F630" s="447">
        <v>0.41805644820753346</v>
      </c>
      <c r="G630" s="127">
        <v>144.82650594579471</v>
      </c>
      <c r="H630" s="132">
        <v>49.854695728696576</v>
      </c>
      <c r="I630" s="456"/>
      <c r="J630" s="45"/>
      <c r="K630" s="45">
        <v>550</v>
      </c>
      <c r="L630" s="463"/>
      <c r="M630" s="456">
        <v>37.563194274902344</v>
      </c>
      <c r="N630" s="457"/>
      <c r="O630" s="456"/>
      <c r="P630" s="46"/>
      <c r="Q630" s="463">
        <v>68.576004028320312</v>
      </c>
      <c r="R630" s="449"/>
      <c r="S630" s="463"/>
      <c r="T630" s="480"/>
      <c r="U630" s="468"/>
      <c r="V630" s="449"/>
      <c r="W630" s="45">
        <v>1692.1412353515625</v>
      </c>
      <c r="X630" s="463">
        <v>140.44024658203125</v>
      </c>
      <c r="Y630" s="449"/>
      <c r="Z630" s="45"/>
      <c r="AA630" s="468">
        <v>0.40842406408697834</v>
      </c>
      <c r="AB630" s="456"/>
      <c r="AC630" s="46"/>
      <c r="AD630" s="46"/>
      <c r="AE630" s="46"/>
      <c r="AF630" s="46"/>
      <c r="AG630" s="46"/>
      <c r="AH630" s="46"/>
      <c r="AI630" s="457"/>
      <c r="AJ630" s="138"/>
      <c r="AK630" s="745"/>
      <c r="AL630" s="54"/>
      <c r="AM630" s="468"/>
      <c r="AN630" s="449"/>
      <c r="AO630" s="45"/>
      <c r="AP630" s="45"/>
      <c r="AQ630" s="45"/>
      <c r="AR630" s="45"/>
      <c r="AS630" s="45"/>
      <c r="AT630" s="45"/>
      <c r="AU630" s="463"/>
      <c r="AV630" s="449"/>
      <c r="AW630" s="45"/>
      <c r="AX630" s="45"/>
      <c r="AY630" s="45"/>
      <c r="AZ630" s="45"/>
      <c r="BA630" s="45"/>
      <c r="BB630" s="45"/>
      <c r="BC630" s="463"/>
      <c r="BD630" s="456"/>
      <c r="BE630" s="46"/>
      <c r="BF630" s="46"/>
      <c r="BG630" s="46"/>
      <c r="BH630" s="46"/>
      <c r="BI630" s="46"/>
      <c r="BJ630" s="457"/>
      <c r="BK630" s="449">
        <v>0</v>
      </c>
      <c r="BL630" s="45"/>
      <c r="BM630" s="45"/>
      <c r="BN630" s="45"/>
      <c r="BO630" s="45"/>
      <c r="BP630" s="45"/>
      <c r="BQ630" s="45"/>
      <c r="BR630" s="45"/>
      <c r="BS630" s="45"/>
      <c r="BT630" s="45"/>
      <c r="BU630" s="45"/>
      <c r="BV630" s="45"/>
      <c r="BW630" s="45"/>
      <c r="BX630" s="45"/>
      <c r="BY630" s="45"/>
      <c r="BZ630" s="45"/>
      <c r="CA630" s="45"/>
      <c r="CB630" s="45"/>
      <c r="CC630" s="45"/>
      <c r="CD630" s="463"/>
      <c r="CE630">
        <v>0</v>
      </c>
      <c r="CF630">
        <v>0</v>
      </c>
      <c r="CG630">
        <v>0</v>
      </c>
      <c r="CH630">
        <v>0</v>
      </c>
      <c r="CI630">
        <v>0</v>
      </c>
      <c r="CJ630">
        <v>0</v>
      </c>
      <c r="CK630">
        <v>0</v>
      </c>
      <c r="CL630">
        <v>0</v>
      </c>
      <c r="CM630">
        <v>0</v>
      </c>
      <c r="CN630">
        <v>0</v>
      </c>
      <c r="CO630">
        <v>0</v>
      </c>
      <c r="CP630">
        <v>0</v>
      </c>
      <c r="CQ630">
        <v>0</v>
      </c>
      <c r="CR630">
        <v>0</v>
      </c>
      <c r="CS630">
        <v>0</v>
      </c>
      <c r="CT630">
        <v>0</v>
      </c>
      <c r="CU630">
        <v>0</v>
      </c>
      <c r="CV630">
        <v>0</v>
      </c>
      <c r="CW630">
        <v>0</v>
      </c>
      <c r="CX630">
        <v>0</v>
      </c>
      <c r="CY630">
        <v>0</v>
      </c>
      <c r="CZ630">
        <v>0</v>
      </c>
      <c r="DA630">
        <v>0</v>
      </c>
      <c r="DB630">
        <v>0</v>
      </c>
      <c r="DC630">
        <v>0</v>
      </c>
      <c r="DD630">
        <v>0</v>
      </c>
      <c r="DE630">
        <v>0</v>
      </c>
      <c r="DF630">
        <v>0</v>
      </c>
      <c r="DG630">
        <v>0</v>
      </c>
      <c r="DH630">
        <v>0</v>
      </c>
      <c r="DI630">
        <v>0</v>
      </c>
      <c r="DJ630">
        <v>0</v>
      </c>
      <c r="DK630">
        <v>0</v>
      </c>
      <c r="DL630">
        <v>0</v>
      </c>
      <c r="DM630">
        <v>0</v>
      </c>
      <c r="DN630">
        <v>0</v>
      </c>
      <c r="DO630">
        <v>0</v>
      </c>
      <c r="DP630">
        <v>0</v>
      </c>
      <c r="DQ630">
        <v>0</v>
      </c>
      <c r="DR630">
        <v>0</v>
      </c>
      <c r="DS630">
        <v>0</v>
      </c>
      <c r="DT630">
        <v>0</v>
      </c>
      <c r="DU630">
        <v>0</v>
      </c>
    </row>
    <row r="631" spans="2:125">
      <c r="B631" s="136">
        <v>622</v>
      </c>
      <c r="C631" s="138">
        <v>1</v>
      </c>
      <c r="D631" s="474">
        <v>2978.5620264084428</v>
      </c>
      <c r="E631" s="127">
        <v>196.93112391177945</v>
      </c>
      <c r="F631" s="447">
        <v>0.38672593455427806</v>
      </c>
      <c r="G631" s="127">
        <v>123.47042506472192</v>
      </c>
      <c r="H631" s="132">
        <v>45.649092054219402</v>
      </c>
      <c r="I631" s="456"/>
      <c r="J631" s="45"/>
      <c r="K631" s="45">
        <v>470</v>
      </c>
      <c r="L631" s="463"/>
      <c r="M631" s="456">
        <v>32.3795166015625</v>
      </c>
      <c r="N631" s="457"/>
      <c r="O631" s="456"/>
      <c r="P631" s="46"/>
      <c r="Q631" s="463">
        <v>58.975532531738281</v>
      </c>
      <c r="R631" s="449"/>
      <c r="S631" s="463"/>
      <c r="T631" s="480"/>
      <c r="U631" s="468"/>
      <c r="V631" s="449"/>
      <c r="W631" s="45">
        <v>1326.4991455078125</v>
      </c>
      <c r="X631" s="463">
        <v>113.50827026367187</v>
      </c>
      <c r="Y631" s="449"/>
      <c r="Z631" s="45"/>
      <c r="AA631" s="468">
        <v>0.37573589358791382</v>
      </c>
      <c r="AB631" s="456"/>
      <c r="AC631" s="46"/>
      <c r="AD631" s="46"/>
      <c r="AE631" s="46"/>
      <c r="AF631" s="46"/>
      <c r="AG631" s="46"/>
      <c r="AH631" s="46"/>
      <c r="AI631" s="457"/>
      <c r="AJ631" s="138"/>
      <c r="AK631" s="745"/>
      <c r="AL631" s="54"/>
      <c r="AM631" s="468"/>
      <c r="AN631" s="449"/>
      <c r="AO631" s="45"/>
      <c r="AP631" s="45"/>
      <c r="AQ631" s="45"/>
      <c r="AR631" s="45"/>
      <c r="AS631" s="45"/>
      <c r="AT631" s="45"/>
      <c r="AU631" s="463"/>
      <c r="AV631" s="449"/>
      <c r="AW631" s="45"/>
      <c r="AX631" s="45"/>
      <c r="AY631" s="45"/>
      <c r="AZ631" s="45"/>
      <c r="BA631" s="45"/>
      <c r="BB631" s="45"/>
      <c r="BC631" s="463"/>
      <c r="BD631" s="456"/>
      <c r="BE631" s="46"/>
      <c r="BF631" s="46"/>
      <c r="BG631" s="46"/>
      <c r="BH631" s="46"/>
      <c r="BI631" s="46"/>
      <c r="BJ631" s="457"/>
      <c r="BK631" s="449">
        <v>0</v>
      </c>
      <c r="BL631" s="45"/>
      <c r="BM631" s="45"/>
      <c r="BN631" s="45"/>
      <c r="BO631" s="45"/>
      <c r="BP631" s="45"/>
      <c r="BQ631" s="45"/>
      <c r="BR631" s="45"/>
      <c r="BS631" s="45"/>
      <c r="BT631" s="45"/>
      <c r="BU631" s="45"/>
      <c r="BV631" s="45"/>
      <c r="BW631" s="45"/>
      <c r="BX631" s="45"/>
      <c r="BY631" s="45"/>
      <c r="BZ631" s="45"/>
      <c r="CA631" s="45"/>
      <c r="CB631" s="45"/>
      <c r="CC631" s="45"/>
      <c r="CD631" s="463"/>
      <c r="CE631">
        <v>0</v>
      </c>
      <c r="CF631">
        <v>0</v>
      </c>
      <c r="CG631">
        <v>0</v>
      </c>
      <c r="CH631">
        <v>0</v>
      </c>
      <c r="CI631">
        <v>0</v>
      </c>
      <c r="CJ631">
        <v>0</v>
      </c>
      <c r="CK631">
        <v>0</v>
      </c>
      <c r="CL631">
        <v>0</v>
      </c>
      <c r="CM631">
        <v>0</v>
      </c>
      <c r="CN631">
        <v>0</v>
      </c>
      <c r="CO631">
        <v>0</v>
      </c>
      <c r="CP631">
        <v>0</v>
      </c>
      <c r="CQ631">
        <v>0</v>
      </c>
      <c r="CR631">
        <v>0</v>
      </c>
      <c r="CS631">
        <v>0</v>
      </c>
      <c r="CT631">
        <v>0</v>
      </c>
      <c r="CU631">
        <v>0</v>
      </c>
      <c r="CV631">
        <v>0</v>
      </c>
      <c r="CW631">
        <v>0</v>
      </c>
      <c r="CX631">
        <v>0</v>
      </c>
      <c r="CY631">
        <v>0</v>
      </c>
      <c r="CZ631">
        <v>0</v>
      </c>
      <c r="DA631">
        <v>0</v>
      </c>
      <c r="DB631">
        <v>0</v>
      </c>
      <c r="DC631">
        <v>0</v>
      </c>
      <c r="DD631">
        <v>0</v>
      </c>
      <c r="DE631">
        <v>0</v>
      </c>
      <c r="DF631">
        <v>0</v>
      </c>
      <c r="DG631">
        <v>0</v>
      </c>
      <c r="DH631">
        <v>0</v>
      </c>
      <c r="DI631">
        <v>0</v>
      </c>
      <c r="DJ631">
        <v>0</v>
      </c>
      <c r="DK631">
        <v>0</v>
      </c>
      <c r="DL631">
        <v>0</v>
      </c>
      <c r="DM631">
        <v>0</v>
      </c>
      <c r="DN631">
        <v>0</v>
      </c>
      <c r="DO631">
        <v>0</v>
      </c>
      <c r="DP631">
        <v>0</v>
      </c>
      <c r="DQ631">
        <v>0</v>
      </c>
      <c r="DR631">
        <v>0</v>
      </c>
      <c r="DS631">
        <v>0</v>
      </c>
      <c r="DT631">
        <v>0</v>
      </c>
      <c r="DU631">
        <v>0</v>
      </c>
    </row>
    <row r="632" spans="2:125">
      <c r="B632" s="136">
        <v>623</v>
      </c>
      <c r="C632" s="138">
        <v>1</v>
      </c>
      <c r="D632" s="474">
        <v>3805.6727743114966</v>
      </c>
      <c r="E632" s="127">
        <v>222.75004951749776</v>
      </c>
      <c r="F632" s="447">
        <v>0.4780441492353763</v>
      </c>
      <c r="G632" s="127">
        <v>121.82347455951036</v>
      </c>
      <c r="H632" s="132">
        <v>61.858644702903796</v>
      </c>
      <c r="I632" s="456"/>
      <c r="J632" s="45"/>
      <c r="K632" s="45">
        <v>530</v>
      </c>
      <c r="L632" s="463"/>
      <c r="M632" s="456">
        <v>44.281364440917969</v>
      </c>
      <c r="N632" s="457"/>
      <c r="O632" s="456"/>
      <c r="P632" s="46"/>
      <c r="Q632" s="463">
        <v>75.352325439453125</v>
      </c>
      <c r="R632" s="449"/>
      <c r="S632" s="463"/>
      <c r="T632" s="480"/>
      <c r="U632" s="468"/>
      <c r="V632" s="449"/>
      <c r="W632" s="45">
        <v>2052.05517578125</v>
      </c>
      <c r="X632" s="463">
        <v>166.53140258789062</v>
      </c>
      <c r="Y632" s="449"/>
      <c r="Z632" s="45"/>
      <c r="AA632" s="468">
        <v>0.46896273708192066</v>
      </c>
      <c r="AB632" s="456"/>
      <c r="AC632" s="46"/>
      <c r="AD632" s="46"/>
      <c r="AE632" s="46"/>
      <c r="AF632" s="46"/>
      <c r="AG632" s="46"/>
      <c r="AH632" s="46"/>
      <c r="AI632" s="457"/>
      <c r="AJ632" s="138"/>
      <c r="AK632" s="745"/>
      <c r="AL632" s="54"/>
      <c r="AM632" s="468"/>
      <c r="AN632" s="449"/>
      <c r="AO632" s="45"/>
      <c r="AP632" s="45"/>
      <c r="AQ632" s="45"/>
      <c r="AR632" s="45"/>
      <c r="AS632" s="45"/>
      <c r="AT632" s="45"/>
      <c r="AU632" s="463"/>
      <c r="AV632" s="449"/>
      <c r="AW632" s="45"/>
      <c r="AX632" s="45"/>
      <c r="AY632" s="45"/>
      <c r="AZ632" s="45"/>
      <c r="BA632" s="45"/>
      <c r="BB632" s="45"/>
      <c r="BC632" s="463"/>
      <c r="BD632" s="456"/>
      <c r="BE632" s="46"/>
      <c r="BF632" s="46"/>
      <c r="BG632" s="46"/>
      <c r="BH632" s="46"/>
      <c r="BI632" s="46"/>
      <c r="BJ632" s="457"/>
      <c r="BK632" s="449">
        <v>0</v>
      </c>
      <c r="BL632" s="45"/>
      <c r="BM632" s="45"/>
      <c r="BN632" s="45"/>
      <c r="BO632" s="45"/>
      <c r="BP632" s="45"/>
      <c r="BQ632" s="45"/>
      <c r="BR632" s="45"/>
      <c r="BS632" s="45"/>
      <c r="BT632" s="45"/>
      <c r="BU632" s="45"/>
      <c r="BV632" s="45"/>
      <c r="BW632" s="45"/>
      <c r="BX632" s="45"/>
      <c r="BY632" s="45"/>
      <c r="BZ632" s="45"/>
      <c r="CA632" s="45"/>
      <c r="CB632" s="45"/>
      <c r="CC632" s="45"/>
      <c r="CD632" s="463"/>
      <c r="CE632">
        <v>0</v>
      </c>
      <c r="CF632">
        <v>0</v>
      </c>
      <c r="CG632">
        <v>0</v>
      </c>
      <c r="CH632">
        <v>0</v>
      </c>
      <c r="CI632">
        <v>0</v>
      </c>
      <c r="CJ632">
        <v>0</v>
      </c>
      <c r="CK632">
        <v>0</v>
      </c>
      <c r="CL632">
        <v>0</v>
      </c>
      <c r="CM632">
        <v>0</v>
      </c>
      <c r="CN632">
        <v>0</v>
      </c>
      <c r="CO632">
        <v>0</v>
      </c>
      <c r="CP632">
        <v>0</v>
      </c>
      <c r="CQ632">
        <v>0</v>
      </c>
      <c r="CR632">
        <v>0</v>
      </c>
      <c r="CS632">
        <v>0</v>
      </c>
      <c r="CT632">
        <v>0</v>
      </c>
      <c r="CU632">
        <v>0</v>
      </c>
      <c r="CV632">
        <v>0</v>
      </c>
      <c r="CW632">
        <v>0</v>
      </c>
      <c r="CX632">
        <v>0</v>
      </c>
      <c r="CY632">
        <v>0</v>
      </c>
      <c r="CZ632">
        <v>0</v>
      </c>
      <c r="DA632">
        <v>0</v>
      </c>
      <c r="DB632">
        <v>0</v>
      </c>
      <c r="DC632">
        <v>0</v>
      </c>
      <c r="DD632">
        <v>0</v>
      </c>
      <c r="DE632">
        <v>0</v>
      </c>
      <c r="DF632">
        <v>0</v>
      </c>
      <c r="DG632">
        <v>0</v>
      </c>
      <c r="DH632">
        <v>0</v>
      </c>
      <c r="DI632">
        <v>0</v>
      </c>
      <c r="DJ632">
        <v>0</v>
      </c>
      <c r="DK632">
        <v>0</v>
      </c>
      <c r="DL632">
        <v>0</v>
      </c>
      <c r="DM632">
        <v>0</v>
      </c>
      <c r="DN632">
        <v>0</v>
      </c>
      <c r="DO632">
        <v>0</v>
      </c>
      <c r="DP632">
        <v>0</v>
      </c>
      <c r="DQ632">
        <v>0</v>
      </c>
      <c r="DR632">
        <v>0</v>
      </c>
      <c r="DS632">
        <v>0</v>
      </c>
      <c r="DT632">
        <v>0</v>
      </c>
      <c r="DU632">
        <v>0</v>
      </c>
    </row>
    <row r="633" spans="2:125">
      <c r="B633" s="136">
        <v>624</v>
      </c>
      <c r="C633" s="138">
        <v>1</v>
      </c>
      <c r="D633" s="474">
        <v>3013.1647669534136</v>
      </c>
      <c r="E633" s="127">
        <v>199.67547506959107</v>
      </c>
      <c r="F633" s="447">
        <v>0.43209207122791427</v>
      </c>
      <c r="G633" s="127">
        <v>99.734721146784466</v>
      </c>
      <c r="H633" s="132">
        <v>54.120739723758938</v>
      </c>
      <c r="I633" s="456"/>
      <c r="J633" s="45"/>
      <c r="K633" s="45">
        <v>420</v>
      </c>
      <c r="L633" s="463"/>
      <c r="M633" s="456">
        <v>34.190761566162109</v>
      </c>
      <c r="N633" s="457"/>
      <c r="O633" s="456"/>
      <c r="P633" s="46"/>
      <c r="Q633" s="463">
        <v>59.660663604736328</v>
      </c>
      <c r="R633" s="449"/>
      <c r="S633" s="463"/>
      <c r="T633" s="480"/>
      <c r="U633" s="468"/>
      <c r="V633" s="449"/>
      <c r="W633" s="45">
        <v>1396.877685546875</v>
      </c>
      <c r="X633" s="463">
        <v>118.43555450439453</v>
      </c>
      <c r="Y633" s="449"/>
      <c r="Z633" s="45"/>
      <c r="AA633" s="468">
        <v>0.42092711875219108</v>
      </c>
      <c r="AB633" s="456"/>
      <c r="AC633" s="46"/>
      <c r="AD633" s="46"/>
      <c r="AE633" s="46"/>
      <c r="AF633" s="46"/>
      <c r="AG633" s="46"/>
      <c r="AH633" s="46"/>
      <c r="AI633" s="457"/>
      <c r="AJ633" s="138"/>
      <c r="AK633" s="745"/>
      <c r="AL633" s="54"/>
      <c r="AM633" s="468"/>
      <c r="AN633" s="449"/>
      <c r="AO633" s="45"/>
      <c r="AP633" s="45"/>
      <c r="AQ633" s="45"/>
      <c r="AR633" s="45"/>
      <c r="AS633" s="45"/>
      <c r="AT633" s="45"/>
      <c r="AU633" s="463"/>
      <c r="AV633" s="449"/>
      <c r="AW633" s="45"/>
      <c r="AX633" s="45"/>
      <c r="AY633" s="45"/>
      <c r="AZ633" s="45"/>
      <c r="BA633" s="45"/>
      <c r="BB633" s="45"/>
      <c r="BC633" s="463"/>
      <c r="BD633" s="456"/>
      <c r="BE633" s="46"/>
      <c r="BF633" s="46"/>
      <c r="BG633" s="46"/>
      <c r="BH633" s="46"/>
      <c r="BI633" s="46"/>
      <c r="BJ633" s="457"/>
      <c r="BK633" s="449">
        <v>0</v>
      </c>
      <c r="BL633" s="45"/>
      <c r="BM633" s="45"/>
      <c r="BN633" s="45"/>
      <c r="BO633" s="45"/>
      <c r="BP633" s="45"/>
      <c r="BQ633" s="45"/>
      <c r="BR633" s="45"/>
      <c r="BS633" s="45"/>
      <c r="BT633" s="45"/>
      <c r="BU633" s="45"/>
      <c r="BV633" s="45"/>
      <c r="BW633" s="45"/>
      <c r="BX633" s="45"/>
      <c r="BY633" s="45"/>
      <c r="BZ633" s="45"/>
      <c r="CA633" s="45"/>
      <c r="CB633" s="45"/>
      <c r="CC633" s="45"/>
      <c r="CD633" s="463"/>
      <c r="CE633">
        <v>0</v>
      </c>
      <c r="CF633">
        <v>0</v>
      </c>
      <c r="CG633">
        <v>0</v>
      </c>
      <c r="CH633">
        <v>0</v>
      </c>
      <c r="CI633">
        <v>0</v>
      </c>
      <c r="CJ633">
        <v>0</v>
      </c>
      <c r="CK633">
        <v>0</v>
      </c>
      <c r="CL633">
        <v>0</v>
      </c>
      <c r="CM633">
        <v>0</v>
      </c>
      <c r="CN633">
        <v>0</v>
      </c>
      <c r="CO633">
        <v>0</v>
      </c>
      <c r="CP633">
        <v>0</v>
      </c>
      <c r="CQ633">
        <v>0</v>
      </c>
      <c r="CR633">
        <v>0</v>
      </c>
      <c r="CS633">
        <v>0</v>
      </c>
      <c r="CT633">
        <v>0</v>
      </c>
      <c r="CU633">
        <v>0</v>
      </c>
      <c r="CV633">
        <v>0</v>
      </c>
      <c r="CW633">
        <v>0</v>
      </c>
      <c r="CX633">
        <v>0</v>
      </c>
      <c r="CY633">
        <v>0</v>
      </c>
      <c r="CZ633">
        <v>0</v>
      </c>
      <c r="DA633">
        <v>0</v>
      </c>
      <c r="DB633">
        <v>0</v>
      </c>
      <c r="DC633">
        <v>0</v>
      </c>
      <c r="DD633">
        <v>0</v>
      </c>
      <c r="DE633">
        <v>0</v>
      </c>
      <c r="DF633">
        <v>0</v>
      </c>
      <c r="DG633">
        <v>0</v>
      </c>
      <c r="DH633">
        <v>0</v>
      </c>
      <c r="DI633">
        <v>0</v>
      </c>
      <c r="DJ633">
        <v>0</v>
      </c>
      <c r="DK633">
        <v>0</v>
      </c>
      <c r="DL633">
        <v>0</v>
      </c>
      <c r="DM633">
        <v>0</v>
      </c>
      <c r="DN633">
        <v>0</v>
      </c>
      <c r="DO633">
        <v>0</v>
      </c>
      <c r="DP633">
        <v>0</v>
      </c>
      <c r="DQ633">
        <v>0</v>
      </c>
      <c r="DR633">
        <v>0</v>
      </c>
      <c r="DS633">
        <v>0</v>
      </c>
      <c r="DT633">
        <v>0</v>
      </c>
      <c r="DU633">
        <v>0</v>
      </c>
    </row>
    <row r="634" spans="2:125">
      <c r="B634" s="136">
        <v>625</v>
      </c>
      <c r="C634" s="138">
        <v>1</v>
      </c>
      <c r="D634" s="474">
        <v>3646.8730684057714</v>
      </c>
      <c r="E634" s="127">
        <v>276.34368661561103</v>
      </c>
      <c r="F634" s="447">
        <v>0.42831801794769414</v>
      </c>
      <c r="G634" s="127">
        <v>148.49168763332167</v>
      </c>
      <c r="H634" s="132">
        <v>52.599170229638865</v>
      </c>
      <c r="I634" s="456"/>
      <c r="J634" s="45"/>
      <c r="K634" s="45">
        <v>570</v>
      </c>
      <c r="L634" s="463"/>
      <c r="M634" s="456">
        <v>39.234233856201172</v>
      </c>
      <c r="N634" s="457"/>
      <c r="O634" s="456"/>
      <c r="P634" s="46"/>
      <c r="Q634" s="463">
        <v>72.208091735839844</v>
      </c>
      <c r="R634" s="449"/>
      <c r="S634" s="463"/>
      <c r="T634" s="480"/>
      <c r="U634" s="468"/>
      <c r="V634" s="449"/>
      <c r="W634" s="45">
        <v>1816.6890869140625</v>
      </c>
      <c r="X634" s="463">
        <v>149.58976745605469</v>
      </c>
      <c r="Y634" s="449"/>
      <c r="Z634" s="45"/>
      <c r="AA634" s="468">
        <v>0.41911386970087089</v>
      </c>
      <c r="AB634" s="456"/>
      <c r="AC634" s="46"/>
      <c r="AD634" s="46"/>
      <c r="AE634" s="46"/>
      <c r="AF634" s="46"/>
      <c r="AG634" s="46"/>
      <c r="AH634" s="46"/>
      <c r="AI634" s="457"/>
      <c r="AJ634" s="138"/>
      <c r="AK634" s="745"/>
      <c r="AL634" s="54"/>
      <c r="AM634" s="468"/>
      <c r="AN634" s="449"/>
      <c r="AO634" s="45"/>
      <c r="AP634" s="45"/>
      <c r="AQ634" s="45"/>
      <c r="AR634" s="45"/>
      <c r="AS634" s="45"/>
      <c r="AT634" s="45"/>
      <c r="AU634" s="463"/>
      <c r="AV634" s="449"/>
      <c r="AW634" s="45"/>
      <c r="AX634" s="45"/>
      <c r="AY634" s="45"/>
      <c r="AZ634" s="45"/>
      <c r="BA634" s="45"/>
      <c r="BB634" s="45"/>
      <c r="BC634" s="463"/>
      <c r="BD634" s="456"/>
      <c r="BE634" s="46"/>
      <c r="BF634" s="46"/>
      <c r="BG634" s="46"/>
      <c r="BH634" s="46"/>
      <c r="BI634" s="46"/>
      <c r="BJ634" s="457"/>
      <c r="BK634" s="449">
        <v>0</v>
      </c>
      <c r="BL634" s="45"/>
      <c r="BM634" s="45"/>
      <c r="BN634" s="45"/>
      <c r="BO634" s="45"/>
      <c r="BP634" s="45"/>
      <c r="BQ634" s="45"/>
      <c r="BR634" s="45"/>
      <c r="BS634" s="45"/>
      <c r="BT634" s="45"/>
      <c r="BU634" s="45"/>
      <c r="BV634" s="45"/>
      <c r="BW634" s="45"/>
      <c r="BX634" s="45"/>
      <c r="BY634" s="45"/>
      <c r="BZ634" s="45"/>
      <c r="CA634" s="45"/>
      <c r="CB634" s="45"/>
      <c r="CC634" s="45"/>
      <c r="CD634" s="463"/>
      <c r="CE634">
        <v>0</v>
      </c>
      <c r="CF634">
        <v>0</v>
      </c>
      <c r="CG634">
        <v>0</v>
      </c>
      <c r="CH634">
        <v>0</v>
      </c>
      <c r="CI634">
        <v>0</v>
      </c>
      <c r="CJ634">
        <v>0</v>
      </c>
      <c r="CK634">
        <v>0</v>
      </c>
      <c r="CL634">
        <v>0</v>
      </c>
      <c r="CM634">
        <v>0</v>
      </c>
      <c r="CN634">
        <v>0</v>
      </c>
      <c r="CO634">
        <v>0</v>
      </c>
      <c r="CP634">
        <v>0</v>
      </c>
      <c r="CQ634">
        <v>0</v>
      </c>
      <c r="CR634">
        <v>0</v>
      </c>
      <c r="CS634">
        <v>0</v>
      </c>
      <c r="CT634">
        <v>0</v>
      </c>
      <c r="CU634">
        <v>0</v>
      </c>
      <c r="CV634">
        <v>0</v>
      </c>
      <c r="CW634">
        <v>0</v>
      </c>
      <c r="CX634">
        <v>0</v>
      </c>
      <c r="CY634">
        <v>0</v>
      </c>
      <c r="CZ634">
        <v>0</v>
      </c>
      <c r="DA634">
        <v>0</v>
      </c>
      <c r="DB634">
        <v>0</v>
      </c>
      <c r="DC634">
        <v>0</v>
      </c>
      <c r="DD634">
        <v>0</v>
      </c>
      <c r="DE634">
        <v>0</v>
      </c>
      <c r="DF634">
        <v>0</v>
      </c>
      <c r="DG634">
        <v>0</v>
      </c>
      <c r="DH634">
        <v>0</v>
      </c>
      <c r="DI634">
        <v>0</v>
      </c>
      <c r="DJ634">
        <v>0</v>
      </c>
      <c r="DK634">
        <v>0</v>
      </c>
      <c r="DL634">
        <v>0</v>
      </c>
      <c r="DM634">
        <v>0</v>
      </c>
      <c r="DN634">
        <v>0</v>
      </c>
      <c r="DO634">
        <v>0</v>
      </c>
      <c r="DP634">
        <v>0</v>
      </c>
      <c r="DQ634">
        <v>0</v>
      </c>
      <c r="DR634">
        <v>0</v>
      </c>
      <c r="DS634">
        <v>0</v>
      </c>
      <c r="DT634">
        <v>0</v>
      </c>
      <c r="DU634">
        <v>0</v>
      </c>
    </row>
    <row r="635" spans="2:125">
      <c r="B635" s="136">
        <v>626</v>
      </c>
      <c r="C635" s="138">
        <v>1</v>
      </c>
      <c r="D635" s="474">
        <v>2817.8924324908639</v>
      </c>
      <c r="E635" s="127">
        <v>257.19011193915009</v>
      </c>
      <c r="F635" s="447">
        <v>0.42206714624505814</v>
      </c>
      <c r="G635" s="127">
        <v>104.2532622080351</v>
      </c>
      <c r="H635" s="132">
        <v>48.639164698148498</v>
      </c>
      <c r="I635" s="456"/>
      <c r="J635" s="45"/>
      <c r="K635" s="45">
        <v>420</v>
      </c>
      <c r="L635" s="463"/>
      <c r="M635" s="456">
        <v>34.688690185546875</v>
      </c>
      <c r="N635" s="457"/>
      <c r="O635" s="456"/>
      <c r="P635" s="46"/>
      <c r="Q635" s="463">
        <v>55.794273376464844</v>
      </c>
      <c r="R635" s="449"/>
      <c r="S635" s="463"/>
      <c r="T635" s="480"/>
      <c r="U635" s="468"/>
      <c r="V635" s="449"/>
      <c r="W635" s="45">
        <v>1356.5218505859375</v>
      </c>
      <c r="X635" s="463">
        <v>115.50166320800781</v>
      </c>
      <c r="Y635" s="449"/>
      <c r="Z635" s="45"/>
      <c r="AA635" s="468">
        <v>0.41019964465439562</v>
      </c>
      <c r="AB635" s="456"/>
      <c r="AC635" s="46"/>
      <c r="AD635" s="46"/>
      <c r="AE635" s="46"/>
      <c r="AF635" s="46"/>
      <c r="AG635" s="46"/>
      <c r="AH635" s="46"/>
      <c r="AI635" s="457"/>
      <c r="AJ635" s="138"/>
      <c r="AK635" s="745"/>
      <c r="AL635" s="54"/>
      <c r="AM635" s="468"/>
      <c r="AN635" s="449"/>
      <c r="AO635" s="45"/>
      <c r="AP635" s="45"/>
      <c r="AQ635" s="45"/>
      <c r="AR635" s="45"/>
      <c r="AS635" s="45"/>
      <c r="AT635" s="45"/>
      <c r="AU635" s="463"/>
      <c r="AV635" s="449"/>
      <c r="AW635" s="45"/>
      <c r="AX635" s="45"/>
      <c r="AY635" s="45"/>
      <c r="AZ635" s="45"/>
      <c r="BA635" s="45"/>
      <c r="BB635" s="45"/>
      <c r="BC635" s="463"/>
      <c r="BD635" s="456"/>
      <c r="BE635" s="46"/>
      <c r="BF635" s="46"/>
      <c r="BG635" s="46"/>
      <c r="BH635" s="46"/>
      <c r="BI635" s="46"/>
      <c r="BJ635" s="457"/>
      <c r="BK635" s="449">
        <v>0</v>
      </c>
      <c r="BL635" s="45"/>
      <c r="BM635" s="45"/>
      <c r="BN635" s="45"/>
      <c r="BO635" s="45"/>
      <c r="BP635" s="45"/>
      <c r="BQ635" s="45"/>
      <c r="BR635" s="45"/>
      <c r="BS635" s="45"/>
      <c r="BT635" s="45"/>
      <c r="BU635" s="45"/>
      <c r="BV635" s="45"/>
      <c r="BW635" s="45"/>
      <c r="BX635" s="45"/>
      <c r="BY635" s="45"/>
      <c r="BZ635" s="45"/>
      <c r="CA635" s="45"/>
      <c r="CB635" s="45"/>
      <c r="CC635" s="45"/>
      <c r="CD635" s="463"/>
      <c r="CE635">
        <v>0</v>
      </c>
      <c r="CF635">
        <v>0</v>
      </c>
      <c r="CG635">
        <v>0</v>
      </c>
      <c r="CH635">
        <v>0</v>
      </c>
      <c r="CI635">
        <v>0</v>
      </c>
      <c r="CJ635">
        <v>0</v>
      </c>
      <c r="CK635">
        <v>0</v>
      </c>
      <c r="CL635">
        <v>0</v>
      </c>
      <c r="CM635">
        <v>0</v>
      </c>
      <c r="CN635">
        <v>0</v>
      </c>
      <c r="CO635">
        <v>0</v>
      </c>
      <c r="CP635">
        <v>0</v>
      </c>
      <c r="CQ635">
        <v>0</v>
      </c>
      <c r="CR635">
        <v>0</v>
      </c>
      <c r="CS635">
        <v>0</v>
      </c>
      <c r="CT635">
        <v>0</v>
      </c>
      <c r="CU635">
        <v>0</v>
      </c>
      <c r="CV635">
        <v>0</v>
      </c>
      <c r="CW635">
        <v>0</v>
      </c>
      <c r="CX635">
        <v>0</v>
      </c>
      <c r="CY635">
        <v>0</v>
      </c>
      <c r="CZ635">
        <v>0</v>
      </c>
      <c r="DA635">
        <v>0</v>
      </c>
      <c r="DB635">
        <v>0</v>
      </c>
      <c r="DC635">
        <v>0</v>
      </c>
      <c r="DD635">
        <v>0</v>
      </c>
      <c r="DE635">
        <v>0</v>
      </c>
      <c r="DF635">
        <v>0</v>
      </c>
      <c r="DG635">
        <v>0</v>
      </c>
      <c r="DH635">
        <v>0</v>
      </c>
      <c r="DI635">
        <v>0</v>
      </c>
      <c r="DJ635">
        <v>0</v>
      </c>
      <c r="DK635">
        <v>0</v>
      </c>
      <c r="DL635">
        <v>0</v>
      </c>
      <c r="DM635">
        <v>0</v>
      </c>
      <c r="DN635">
        <v>0</v>
      </c>
      <c r="DO635">
        <v>0</v>
      </c>
      <c r="DP635">
        <v>0</v>
      </c>
      <c r="DQ635">
        <v>0</v>
      </c>
      <c r="DR635">
        <v>0</v>
      </c>
      <c r="DS635">
        <v>0</v>
      </c>
      <c r="DT635">
        <v>0</v>
      </c>
      <c r="DU635">
        <v>0</v>
      </c>
    </row>
    <row r="636" spans="2:125">
      <c r="B636" s="136">
        <v>627</v>
      </c>
      <c r="C636" s="138">
        <v>1</v>
      </c>
      <c r="D636" s="474">
        <v>4102.3096782130378</v>
      </c>
      <c r="E636" s="127">
        <v>222.81646371851727</v>
      </c>
      <c r="F636" s="447">
        <v>0.3543520399768228</v>
      </c>
      <c r="G636" s="127">
        <v>134.86902565433215</v>
      </c>
      <c r="H636" s="132">
        <v>63.360293355357619</v>
      </c>
      <c r="I636" s="456"/>
      <c r="J636" s="45"/>
      <c r="K636" s="45">
        <v>560</v>
      </c>
      <c r="L636" s="463"/>
      <c r="M636" s="456">
        <v>27.387594223022461</v>
      </c>
      <c r="N636" s="457"/>
      <c r="O636" s="456"/>
      <c r="P636" s="46"/>
      <c r="Q636" s="463">
        <v>81.225730895996094</v>
      </c>
      <c r="R636" s="449"/>
      <c r="S636" s="463"/>
      <c r="T636" s="480"/>
      <c r="U636" s="468"/>
      <c r="V636" s="449"/>
      <c r="W636" s="45">
        <v>1401.8751220703125</v>
      </c>
      <c r="X636" s="463">
        <v>119.37895202636719</v>
      </c>
      <c r="Y636" s="449"/>
      <c r="Z636" s="45"/>
      <c r="AA636" s="468">
        <v>0.3465303387118141</v>
      </c>
      <c r="AB636" s="456"/>
      <c r="AC636" s="46"/>
      <c r="AD636" s="46"/>
      <c r="AE636" s="46"/>
      <c r="AF636" s="46"/>
      <c r="AG636" s="46"/>
      <c r="AH636" s="46"/>
      <c r="AI636" s="457"/>
      <c r="AJ636" s="138"/>
      <c r="AK636" s="745"/>
      <c r="AL636" s="54"/>
      <c r="AM636" s="468"/>
      <c r="AN636" s="449"/>
      <c r="AO636" s="45"/>
      <c r="AP636" s="45"/>
      <c r="AQ636" s="45"/>
      <c r="AR636" s="45"/>
      <c r="AS636" s="45"/>
      <c r="AT636" s="45"/>
      <c r="AU636" s="463"/>
      <c r="AV636" s="449"/>
      <c r="AW636" s="45"/>
      <c r="AX636" s="45"/>
      <c r="AY636" s="45"/>
      <c r="AZ636" s="45"/>
      <c r="BA636" s="45"/>
      <c r="BB636" s="45"/>
      <c r="BC636" s="463"/>
      <c r="BD636" s="456"/>
      <c r="BE636" s="46"/>
      <c r="BF636" s="46"/>
      <c r="BG636" s="46"/>
      <c r="BH636" s="46"/>
      <c r="BI636" s="46"/>
      <c r="BJ636" s="457"/>
      <c r="BK636" s="449">
        <v>0</v>
      </c>
      <c r="BL636" s="45"/>
      <c r="BM636" s="45"/>
      <c r="BN636" s="45"/>
      <c r="BO636" s="45"/>
      <c r="BP636" s="45"/>
      <c r="BQ636" s="45"/>
      <c r="BR636" s="45"/>
      <c r="BS636" s="45"/>
      <c r="BT636" s="45"/>
      <c r="BU636" s="45"/>
      <c r="BV636" s="45"/>
      <c r="BW636" s="45"/>
      <c r="BX636" s="45"/>
      <c r="BY636" s="45"/>
      <c r="BZ636" s="45"/>
      <c r="CA636" s="45"/>
      <c r="CB636" s="45"/>
      <c r="CC636" s="45"/>
      <c r="CD636" s="463"/>
      <c r="CE636">
        <v>0</v>
      </c>
      <c r="CF636">
        <v>0</v>
      </c>
      <c r="CG636">
        <v>0</v>
      </c>
      <c r="CH636">
        <v>0</v>
      </c>
      <c r="CI636">
        <v>0</v>
      </c>
      <c r="CJ636">
        <v>0</v>
      </c>
      <c r="CK636">
        <v>0</v>
      </c>
      <c r="CL636">
        <v>0</v>
      </c>
      <c r="CM636">
        <v>0</v>
      </c>
      <c r="CN636">
        <v>0</v>
      </c>
      <c r="CO636">
        <v>0</v>
      </c>
      <c r="CP636">
        <v>0</v>
      </c>
      <c r="CQ636">
        <v>0</v>
      </c>
      <c r="CR636">
        <v>0</v>
      </c>
      <c r="CS636">
        <v>0</v>
      </c>
      <c r="CT636">
        <v>0</v>
      </c>
      <c r="CU636">
        <v>0</v>
      </c>
      <c r="CV636">
        <v>0</v>
      </c>
      <c r="CW636">
        <v>0</v>
      </c>
      <c r="CX636">
        <v>0</v>
      </c>
      <c r="CY636">
        <v>0</v>
      </c>
      <c r="CZ636">
        <v>0</v>
      </c>
      <c r="DA636">
        <v>0</v>
      </c>
      <c r="DB636">
        <v>0</v>
      </c>
      <c r="DC636">
        <v>0</v>
      </c>
      <c r="DD636">
        <v>0</v>
      </c>
      <c r="DE636">
        <v>0</v>
      </c>
      <c r="DF636">
        <v>0</v>
      </c>
      <c r="DG636">
        <v>0</v>
      </c>
      <c r="DH636">
        <v>0</v>
      </c>
      <c r="DI636">
        <v>0</v>
      </c>
      <c r="DJ636">
        <v>0</v>
      </c>
      <c r="DK636">
        <v>0</v>
      </c>
      <c r="DL636">
        <v>0</v>
      </c>
      <c r="DM636">
        <v>0</v>
      </c>
      <c r="DN636">
        <v>0</v>
      </c>
      <c r="DO636">
        <v>0</v>
      </c>
      <c r="DP636">
        <v>0</v>
      </c>
      <c r="DQ636">
        <v>0</v>
      </c>
      <c r="DR636">
        <v>0</v>
      </c>
      <c r="DS636">
        <v>0</v>
      </c>
      <c r="DT636">
        <v>0</v>
      </c>
      <c r="DU636">
        <v>0</v>
      </c>
    </row>
    <row r="637" spans="2:125">
      <c r="B637" s="136">
        <v>628</v>
      </c>
      <c r="C637" s="138">
        <v>1</v>
      </c>
      <c r="D637" s="474">
        <v>3105.8100637584821</v>
      </c>
      <c r="E637" s="127">
        <v>214.5229667314926</v>
      </c>
      <c r="F637" s="447">
        <v>0.3840541877023797</v>
      </c>
      <c r="G637" s="127">
        <v>114.40830524564851</v>
      </c>
      <c r="H637" s="132">
        <v>51.713688394930578</v>
      </c>
      <c r="I637" s="456"/>
      <c r="J637" s="45"/>
      <c r="K637" s="45">
        <v>460</v>
      </c>
      <c r="L637" s="463"/>
      <c r="M637" s="456">
        <v>30.467119216918945</v>
      </c>
      <c r="N637" s="457"/>
      <c r="O637" s="456"/>
      <c r="P637" s="46"/>
      <c r="Q637" s="463">
        <v>61.495040893554687</v>
      </c>
      <c r="R637" s="449"/>
      <c r="S637" s="463"/>
      <c r="T637" s="480"/>
      <c r="U637" s="468"/>
      <c r="V637" s="449"/>
      <c r="W637" s="45">
        <v>1287.63134765625</v>
      </c>
      <c r="X637" s="463">
        <v>110.64108276367187</v>
      </c>
      <c r="Y637" s="449"/>
      <c r="Z637" s="45"/>
      <c r="AA637" s="468">
        <v>0.37353162415755725</v>
      </c>
      <c r="AB637" s="456"/>
      <c r="AC637" s="46"/>
      <c r="AD637" s="46"/>
      <c r="AE637" s="46"/>
      <c r="AF637" s="46"/>
      <c r="AG637" s="46"/>
      <c r="AH637" s="46"/>
      <c r="AI637" s="457"/>
      <c r="AJ637" s="138"/>
      <c r="AK637" s="745"/>
      <c r="AL637" s="54"/>
      <c r="AM637" s="468"/>
      <c r="AN637" s="449"/>
      <c r="AO637" s="45"/>
      <c r="AP637" s="45"/>
      <c r="AQ637" s="45"/>
      <c r="AR637" s="45"/>
      <c r="AS637" s="45"/>
      <c r="AT637" s="45"/>
      <c r="AU637" s="463"/>
      <c r="AV637" s="449"/>
      <c r="AW637" s="45"/>
      <c r="AX637" s="45"/>
      <c r="AY637" s="45"/>
      <c r="AZ637" s="45"/>
      <c r="BA637" s="45"/>
      <c r="BB637" s="45"/>
      <c r="BC637" s="463"/>
      <c r="BD637" s="456"/>
      <c r="BE637" s="46"/>
      <c r="BF637" s="46"/>
      <c r="BG637" s="46"/>
      <c r="BH637" s="46"/>
      <c r="BI637" s="46"/>
      <c r="BJ637" s="457"/>
      <c r="BK637" s="449">
        <v>0</v>
      </c>
      <c r="BL637" s="45"/>
      <c r="BM637" s="45"/>
      <c r="BN637" s="45"/>
      <c r="BO637" s="45"/>
      <c r="BP637" s="45"/>
      <c r="BQ637" s="45"/>
      <c r="BR637" s="45"/>
      <c r="BS637" s="45"/>
      <c r="BT637" s="45"/>
      <c r="BU637" s="45"/>
      <c r="BV637" s="45"/>
      <c r="BW637" s="45"/>
      <c r="BX637" s="45"/>
      <c r="BY637" s="45"/>
      <c r="BZ637" s="45"/>
      <c r="CA637" s="45"/>
      <c r="CB637" s="45"/>
      <c r="CC637" s="45"/>
      <c r="CD637" s="463"/>
      <c r="CE637">
        <v>0</v>
      </c>
      <c r="CF637">
        <v>0</v>
      </c>
      <c r="CG637">
        <v>0</v>
      </c>
      <c r="CH637">
        <v>0</v>
      </c>
      <c r="CI637">
        <v>0</v>
      </c>
      <c r="CJ637">
        <v>0</v>
      </c>
      <c r="CK637">
        <v>0</v>
      </c>
      <c r="CL637">
        <v>0</v>
      </c>
      <c r="CM637">
        <v>0</v>
      </c>
      <c r="CN637">
        <v>0</v>
      </c>
      <c r="CO637">
        <v>0</v>
      </c>
      <c r="CP637">
        <v>0</v>
      </c>
      <c r="CQ637">
        <v>0</v>
      </c>
      <c r="CR637">
        <v>0</v>
      </c>
      <c r="CS637">
        <v>0</v>
      </c>
      <c r="CT637">
        <v>0</v>
      </c>
      <c r="CU637">
        <v>0</v>
      </c>
      <c r="CV637">
        <v>0</v>
      </c>
      <c r="CW637">
        <v>0</v>
      </c>
      <c r="CX637">
        <v>0</v>
      </c>
      <c r="CY637">
        <v>0</v>
      </c>
      <c r="CZ637">
        <v>0</v>
      </c>
      <c r="DA637">
        <v>0</v>
      </c>
      <c r="DB637">
        <v>0</v>
      </c>
      <c r="DC637">
        <v>0</v>
      </c>
      <c r="DD637">
        <v>0</v>
      </c>
      <c r="DE637">
        <v>0</v>
      </c>
      <c r="DF637">
        <v>0</v>
      </c>
      <c r="DG637">
        <v>0</v>
      </c>
      <c r="DH637">
        <v>0</v>
      </c>
      <c r="DI637">
        <v>0</v>
      </c>
      <c r="DJ637">
        <v>0</v>
      </c>
      <c r="DK637">
        <v>0</v>
      </c>
      <c r="DL637">
        <v>0</v>
      </c>
      <c r="DM637">
        <v>0</v>
      </c>
      <c r="DN637">
        <v>0</v>
      </c>
      <c r="DO637">
        <v>0</v>
      </c>
      <c r="DP637">
        <v>0</v>
      </c>
      <c r="DQ637">
        <v>0</v>
      </c>
      <c r="DR637">
        <v>0</v>
      </c>
      <c r="DS637">
        <v>0</v>
      </c>
      <c r="DT637">
        <v>0</v>
      </c>
      <c r="DU637">
        <v>0</v>
      </c>
    </row>
    <row r="638" spans="2:125">
      <c r="B638" s="136">
        <v>629</v>
      </c>
      <c r="C638" s="138">
        <v>1</v>
      </c>
      <c r="D638" s="474">
        <v>2974.4520841053918</v>
      </c>
      <c r="E638" s="127">
        <v>203.15142490971999</v>
      </c>
      <c r="F638" s="447">
        <v>0.44745244564931325</v>
      </c>
      <c r="G638" s="127">
        <v>122.63125946128005</v>
      </c>
      <c r="H638" s="132">
        <v>45.864702744246017</v>
      </c>
      <c r="I638" s="456"/>
      <c r="J638" s="45"/>
      <c r="K638" s="45">
        <v>470</v>
      </c>
      <c r="L638" s="463"/>
      <c r="M638" s="456">
        <v>41.058536529541016</v>
      </c>
      <c r="N638" s="457"/>
      <c r="O638" s="456"/>
      <c r="P638" s="46"/>
      <c r="Q638" s="463">
        <v>58.894153594970703</v>
      </c>
      <c r="R638" s="449"/>
      <c r="S638" s="463"/>
      <c r="T638" s="480"/>
      <c r="U638" s="468"/>
      <c r="V638" s="449"/>
      <c r="W638" s="45">
        <v>1657.6683349609375</v>
      </c>
      <c r="X638" s="463">
        <v>137.61878967285156</v>
      </c>
      <c r="Y638" s="449"/>
      <c r="Z638" s="45"/>
      <c r="AA638" s="468">
        <v>0.43603889856465855</v>
      </c>
      <c r="AB638" s="456"/>
      <c r="AC638" s="46"/>
      <c r="AD638" s="46"/>
      <c r="AE638" s="46"/>
      <c r="AF638" s="46"/>
      <c r="AG638" s="46"/>
      <c r="AH638" s="46"/>
      <c r="AI638" s="457"/>
      <c r="AJ638" s="138"/>
      <c r="AK638" s="745"/>
      <c r="AL638" s="54"/>
      <c r="AM638" s="468"/>
      <c r="AN638" s="449"/>
      <c r="AO638" s="45"/>
      <c r="AP638" s="45"/>
      <c r="AQ638" s="45"/>
      <c r="AR638" s="45"/>
      <c r="AS638" s="45"/>
      <c r="AT638" s="45"/>
      <c r="AU638" s="463"/>
      <c r="AV638" s="449"/>
      <c r="AW638" s="45"/>
      <c r="AX638" s="45"/>
      <c r="AY638" s="45"/>
      <c r="AZ638" s="45"/>
      <c r="BA638" s="45"/>
      <c r="BB638" s="45"/>
      <c r="BC638" s="463"/>
      <c r="BD638" s="456"/>
      <c r="BE638" s="46"/>
      <c r="BF638" s="46"/>
      <c r="BG638" s="46"/>
      <c r="BH638" s="46"/>
      <c r="BI638" s="46"/>
      <c r="BJ638" s="457"/>
      <c r="BK638" s="449">
        <v>0</v>
      </c>
      <c r="BL638" s="45"/>
      <c r="BM638" s="45"/>
      <c r="BN638" s="45"/>
      <c r="BO638" s="45"/>
      <c r="BP638" s="45"/>
      <c r="BQ638" s="45"/>
      <c r="BR638" s="45"/>
      <c r="BS638" s="45"/>
      <c r="BT638" s="45"/>
      <c r="BU638" s="45"/>
      <c r="BV638" s="45"/>
      <c r="BW638" s="45"/>
      <c r="BX638" s="45"/>
      <c r="BY638" s="45"/>
      <c r="BZ638" s="45"/>
      <c r="CA638" s="45"/>
      <c r="CB638" s="45"/>
      <c r="CC638" s="45"/>
      <c r="CD638" s="463"/>
      <c r="CE638">
        <v>0</v>
      </c>
      <c r="CF638">
        <v>0</v>
      </c>
      <c r="CG638">
        <v>0</v>
      </c>
      <c r="CH638">
        <v>0</v>
      </c>
      <c r="CI638">
        <v>0</v>
      </c>
      <c r="CJ638">
        <v>0</v>
      </c>
      <c r="CK638">
        <v>0</v>
      </c>
      <c r="CL638">
        <v>0</v>
      </c>
      <c r="CM638">
        <v>0</v>
      </c>
      <c r="CN638">
        <v>0</v>
      </c>
      <c r="CO638">
        <v>0</v>
      </c>
      <c r="CP638">
        <v>0</v>
      </c>
      <c r="CQ638">
        <v>0</v>
      </c>
      <c r="CR638">
        <v>0</v>
      </c>
      <c r="CS638">
        <v>0</v>
      </c>
      <c r="CT638">
        <v>0</v>
      </c>
      <c r="CU638">
        <v>0</v>
      </c>
      <c r="CV638">
        <v>0</v>
      </c>
      <c r="CW638">
        <v>0</v>
      </c>
      <c r="CX638">
        <v>0</v>
      </c>
      <c r="CY638">
        <v>0</v>
      </c>
      <c r="CZ638">
        <v>0</v>
      </c>
      <c r="DA638">
        <v>0</v>
      </c>
      <c r="DB638">
        <v>0</v>
      </c>
      <c r="DC638">
        <v>0</v>
      </c>
      <c r="DD638">
        <v>0</v>
      </c>
      <c r="DE638">
        <v>0</v>
      </c>
      <c r="DF638">
        <v>0</v>
      </c>
      <c r="DG638">
        <v>0</v>
      </c>
      <c r="DH638">
        <v>0</v>
      </c>
      <c r="DI638">
        <v>0</v>
      </c>
      <c r="DJ638">
        <v>0</v>
      </c>
      <c r="DK638">
        <v>0</v>
      </c>
      <c r="DL638">
        <v>0</v>
      </c>
      <c r="DM638">
        <v>0</v>
      </c>
      <c r="DN638">
        <v>0</v>
      </c>
      <c r="DO638">
        <v>0</v>
      </c>
      <c r="DP638">
        <v>0</v>
      </c>
      <c r="DQ638">
        <v>0</v>
      </c>
      <c r="DR638">
        <v>0</v>
      </c>
      <c r="DS638">
        <v>0</v>
      </c>
      <c r="DT638">
        <v>0</v>
      </c>
      <c r="DU638">
        <v>0</v>
      </c>
    </row>
    <row r="639" spans="2:125">
      <c r="B639" s="136">
        <v>630</v>
      </c>
      <c r="C639" s="138">
        <v>1</v>
      </c>
      <c r="D639" s="474">
        <v>2935.1761892821296</v>
      </c>
      <c r="E639" s="127">
        <v>224.06797244601131</v>
      </c>
      <c r="F639" s="447">
        <v>0.38153652406332272</v>
      </c>
      <c r="G639" s="127">
        <v>90.614753716334704</v>
      </c>
      <c r="H639" s="132">
        <v>55.145407855841974</v>
      </c>
      <c r="I639" s="456"/>
      <c r="J639" s="45"/>
      <c r="K639" s="45">
        <v>390</v>
      </c>
      <c r="L639" s="463"/>
      <c r="M639" s="456">
        <v>27.923736572265625</v>
      </c>
      <c r="N639" s="457"/>
      <c r="O639" s="456"/>
      <c r="P639" s="46"/>
      <c r="Q639" s="463">
        <v>58.116489410400391</v>
      </c>
      <c r="R639" s="449"/>
      <c r="S639" s="463"/>
      <c r="T639" s="480"/>
      <c r="U639" s="468"/>
      <c r="V639" s="449"/>
      <c r="W639" s="45">
        <v>1121.3428955078125</v>
      </c>
      <c r="X639" s="463">
        <v>98.279106140136719</v>
      </c>
      <c r="Y639" s="449"/>
      <c r="Z639" s="45"/>
      <c r="AA639" s="468">
        <v>0.37041939569453236</v>
      </c>
      <c r="AB639" s="456"/>
      <c r="AC639" s="46"/>
      <c r="AD639" s="46"/>
      <c r="AE639" s="46"/>
      <c r="AF639" s="46"/>
      <c r="AG639" s="46"/>
      <c r="AH639" s="46"/>
      <c r="AI639" s="457"/>
      <c r="AJ639" s="138"/>
      <c r="AK639" s="745"/>
      <c r="AL639" s="54"/>
      <c r="AM639" s="468"/>
      <c r="AN639" s="449"/>
      <c r="AO639" s="45"/>
      <c r="AP639" s="45"/>
      <c r="AQ639" s="45"/>
      <c r="AR639" s="45"/>
      <c r="AS639" s="45"/>
      <c r="AT639" s="45"/>
      <c r="AU639" s="463"/>
      <c r="AV639" s="449"/>
      <c r="AW639" s="45"/>
      <c r="AX639" s="45"/>
      <c r="AY639" s="45"/>
      <c r="AZ639" s="45"/>
      <c r="BA639" s="45"/>
      <c r="BB639" s="45"/>
      <c r="BC639" s="463"/>
      <c r="BD639" s="456"/>
      <c r="BE639" s="46"/>
      <c r="BF639" s="46"/>
      <c r="BG639" s="46"/>
      <c r="BH639" s="46"/>
      <c r="BI639" s="46"/>
      <c r="BJ639" s="457"/>
      <c r="BK639" s="449">
        <v>0</v>
      </c>
      <c r="BL639" s="45"/>
      <c r="BM639" s="45"/>
      <c r="BN639" s="45"/>
      <c r="BO639" s="45"/>
      <c r="BP639" s="45"/>
      <c r="BQ639" s="45"/>
      <c r="BR639" s="45"/>
      <c r="BS639" s="45"/>
      <c r="BT639" s="45"/>
      <c r="BU639" s="45"/>
      <c r="BV639" s="45"/>
      <c r="BW639" s="45"/>
      <c r="BX639" s="45"/>
      <c r="BY639" s="45"/>
      <c r="BZ639" s="45"/>
      <c r="CA639" s="45"/>
      <c r="CB639" s="45"/>
      <c r="CC639" s="45"/>
      <c r="CD639" s="463"/>
      <c r="CE639">
        <v>0</v>
      </c>
      <c r="CF639">
        <v>0</v>
      </c>
      <c r="CG639">
        <v>0</v>
      </c>
      <c r="CH639">
        <v>0</v>
      </c>
      <c r="CI639">
        <v>0</v>
      </c>
      <c r="CJ639">
        <v>0</v>
      </c>
      <c r="CK639">
        <v>0</v>
      </c>
      <c r="CL639">
        <v>0</v>
      </c>
      <c r="CM639">
        <v>0</v>
      </c>
      <c r="CN639">
        <v>0</v>
      </c>
      <c r="CO639">
        <v>0</v>
      </c>
      <c r="CP639">
        <v>0</v>
      </c>
      <c r="CQ639">
        <v>0</v>
      </c>
      <c r="CR639">
        <v>0</v>
      </c>
      <c r="CS639">
        <v>0</v>
      </c>
      <c r="CT639">
        <v>0</v>
      </c>
      <c r="CU639">
        <v>0</v>
      </c>
      <c r="CV639">
        <v>0</v>
      </c>
      <c r="CW639">
        <v>0</v>
      </c>
      <c r="CX639">
        <v>0</v>
      </c>
      <c r="CY639">
        <v>0</v>
      </c>
      <c r="CZ639">
        <v>0</v>
      </c>
      <c r="DA639">
        <v>0</v>
      </c>
      <c r="DB639">
        <v>0</v>
      </c>
      <c r="DC639">
        <v>0</v>
      </c>
      <c r="DD639">
        <v>0</v>
      </c>
      <c r="DE639">
        <v>0</v>
      </c>
      <c r="DF639">
        <v>0</v>
      </c>
      <c r="DG639">
        <v>0</v>
      </c>
      <c r="DH639">
        <v>0</v>
      </c>
      <c r="DI639">
        <v>0</v>
      </c>
      <c r="DJ639">
        <v>0</v>
      </c>
      <c r="DK639">
        <v>0</v>
      </c>
      <c r="DL639">
        <v>0</v>
      </c>
      <c r="DM639">
        <v>0</v>
      </c>
      <c r="DN639">
        <v>0</v>
      </c>
      <c r="DO639">
        <v>0</v>
      </c>
      <c r="DP639">
        <v>0</v>
      </c>
      <c r="DQ639">
        <v>0</v>
      </c>
      <c r="DR639">
        <v>0</v>
      </c>
      <c r="DS639">
        <v>0</v>
      </c>
      <c r="DT639">
        <v>0</v>
      </c>
      <c r="DU639">
        <v>0</v>
      </c>
    </row>
    <row r="640" spans="2:125">
      <c r="B640" s="136">
        <v>631</v>
      </c>
      <c r="C640" s="138">
        <v>1</v>
      </c>
      <c r="D640" s="474">
        <v>3330.7937645343136</v>
      </c>
      <c r="E640" s="127">
        <v>261.29889975594767</v>
      </c>
      <c r="F640" s="447">
        <v>0.44904271970837528</v>
      </c>
      <c r="G640" s="127">
        <v>104.14063758708197</v>
      </c>
      <c r="H640" s="132">
        <v>64.772691880090179</v>
      </c>
      <c r="I640" s="456"/>
      <c r="J640" s="45"/>
      <c r="K640" s="45">
        <v>480</v>
      </c>
      <c r="L640" s="463"/>
      <c r="M640" s="456">
        <v>35.757549285888672</v>
      </c>
      <c r="N640" s="457"/>
      <c r="O640" s="456"/>
      <c r="P640" s="46"/>
      <c r="Q640" s="463">
        <v>74.413108825683594</v>
      </c>
      <c r="R640" s="449"/>
      <c r="S640" s="463"/>
      <c r="T640" s="480"/>
      <c r="U640" s="468"/>
      <c r="V640" s="449"/>
      <c r="W640" s="45">
        <v>1660.7652587890625</v>
      </c>
      <c r="X640" s="463">
        <v>137.88002014160156</v>
      </c>
      <c r="Y640" s="449"/>
      <c r="Z640" s="45"/>
      <c r="AA640" s="468">
        <v>0.43884069076380677</v>
      </c>
      <c r="AB640" s="456"/>
      <c r="AC640" s="46"/>
      <c r="AD640" s="46"/>
      <c r="AE640" s="46"/>
      <c r="AF640" s="46"/>
      <c r="AG640" s="46"/>
      <c r="AH640" s="46"/>
      <c r="AI640" s="457"/>
      <c r="AJ640" s="138"/>
      <c r="AK640" s="745"/>
      <c r="AL640" s="54"/>
      <c r="AM640" s="468"/>
      <c r="AN640" s="449"/>
      <c r="AO640" s="45"/>
      <c r="AP640" s="45"/>
      <c r="AQ640" s="45"/>
      <c r="AR640" s="45"/>
      <c r="AS640" s="45"/>
      <c r="AT640" s="45"/>
      <c r="AU640" s="463"/>
      <c r="AV640" s="449"/>
      <c r="AW640" s="45"/>
      <c r="AX640" s="45"/>
      <c r="AY640" s="45"/>
      <c r="AZ640" s="45"/>
      <c r="BA640" s="45"/>
      <c r="BB640" s="45"/>
      <c r="BC640" s="463"/>
      <c r="BD640" s="456"/>
      <c r="BE640" s="46"/>
      <c r="BF640" s="46"/>
      <c r="BG640" s="46"/>
      <c r="BH640" s="46"/>
      <c r="BI640" s="46"/>
      <c r="BJ640" s="457"/>
      <c r="BK640" s="449">
        <v>0</v>
      </c>
      <c r="BL640" s="45"/>
      <c r="BM640" s="45"/>
      <c r="BN640" s="45"/>
      <c r="BO640" s="45"/>
      <c r="BP640" s="45"/>
      <c r="BQ640" s="45"/>
      <c r="BR640" s="45"/>
      <c r="BS640" s="45"/>
      <c r="BT640" s="45"/>
      <c r="BU640" s="45"/>
      <c r="BV640" s="45"/>
      <c r="BW640" s="45"/>
      <c r="BX640" s="45"/>
      <c r="BY640" s="45"/>
      <c r="BZ640" s="45"/>
      <c r="CA640" s="45"/>
      <c r="CB640" s="45"/>
      <c r="CC640" s="45"/>
      <c r="CD640" s="463"/>
      <c r="CE640">
        <v>0</v>
      </c>
      <c r="CF640">
        <v>0</v>
      </c>
      <c r="CG640">
        <v>0</v>
      </c>
      <c r="CH640">
        <v>0</v>
      </c>
      <c r="CI640">
        <v>0</v>
      </c>
      <c r="CJ640">
        <v>0</v>
      </c>
      <c r="CK640">
        <v>0</v>
      </c>
      <c r="CL640">
        <v>0</v>
      </c>
      <c r="CM640">
        <v>0</v>
      </c>
      <c r="CN640">
        <v>0</v>
      </c>
      <c r="CO640">
        <v>0</v>
      </c>
      <c r="CP640">
        <v>0</v>
      </c>
      <c r="CQ640">
        <v>0</v>
      </c>
      <c r="CR640">
        <v>0</v>
      </c>
      <c r="CS640">
        <v>0</v>
      </c>
      <c r="CT640">
        <v>0</v>
      </c>
      <c r="CU640">
        <v>0</v>
      </c>
      <c r="CV640">
        <v>0</v>
      </c>
      <c r="CW640">
        <v>0</v>
      </c>
      <c r="CX640">
        <v>0</v>
      </c>
      <c r="CY640">
        <v>0</v>
      </c>
      <c r="CZ640">
        <v>0</v>
      </c>
      <c r="DA640">
        <v>0</v>
      </c>
      <c r="DB640">
        <v>0</v>
      </c>
      <c r="DC640">
        <v>0</v>
      </c>
      <c r="DD640">
        <v>0</v>
      </c>
      <c r="DE640">
        <v>0</v>
      </c>
      <c r="DF640">
        <v>0</v>
      </c>
      <c r="DG640">
        <v>0</v>
      </c>
      <c r="DH640">
        <v>0</v>
      </c>
      <c r="DI640">
        <v>0</v>
      </c>
      <c r="DJ640">
        <v>0</v>
      </c>
      <c r="DK640">
        <v>0</v>
      </c>
      <c r="DL640">
        <v>0</v>
      </c>
      <c r="DM640">
        <v>0</v>
      </c>
      <c r="DN640">
        <v>0</v>
      </c>
      <c r="DO640">
        <v>0</v>
      </c>
      <c r="DP640">
        <v>0</v>
      </c>
      <c r="DQ640">
        <v>0</v>
      </c>
      <c r="DR640">
        <v>0</v>
      </c>
      <c r="DS640">
        <v>0</v>
      </c>
      <c r="DT640">
        <v>0</v>
      </c>
      <c r="DU640">
        <v>0</v>
      </c>
    </row>
    <row r="641" spans="2:125">
      <c r="B641" s="136">
        <v>632</v>
      </c>
      <c r="C641" s="138">
        <v>1</v>
      </c>
      <c r="D641" s="474">
        <v>4410.5823308024555</v>
      </c>
      <c r="E641" s="127">
        <v>213.971563486131</v>
      </c>
      <c r="F641" s="447">
        <v>0.40318575405473511</v>
      </c>
      <c r="G641" s="127">
        <v>155.5934045559145</v>
      </c>
      <c r="H641" s="132">
        <v>63.438873320537766</v>
      </c>
      <c r="I641" s="456"/>
      <c r="J641" s="45"/>
      <c r="K641" s="45">
        <v>630</v>
      </c>
      <c r="L641" s="463"/>
      <c r="M641" s="456">
        <v>34.440799713134766</v>
      </c>
      <c r="N641" s="457"/>
      <c r="O641" s="456"/>
      <c r="P641" s="46"/>
      <c r="Q641" s="463">
        <v>87.329536437988281</v>
      </c>
      <c r="R641" s="449"/>
      <c r="S641" s="463"/>
      <c r="T641" s="480"/>
      <c r="U641" s="468"/>
      <c r="V641" s="449"/>
      <c r="W641" s="45">
        <v>1807.456298828125</v>
      </c>
      <c r="X641" s="463">
        <v>149.17344665527344</v>
      </c>
      <c r="Y641" s="449"/>
      <c r="Z641" s="45"/>
      <c r="AA641" s="468">
        <v>0.39568930288315501</v>
      </c>
      <c r="AB641" s="456"/>
      <c r="AC641" s="46"/>
      <c r="AD641" s="46"/>
      <c r="AE641" s="46"/>
      <c r="AF641" s="46"/>
      <c r="AG641" s="46"/>
      <c r="AH641" s="46"/>
      <c r="AI641" s="457"/>
      <c r="AJ641" s="138"/>
      <c r="AK641" s="745"/>
      <c r="AL641" s="54"/>
      <c r="AM641" s="468"/>
      <c r="AN641" s="449"/>
      <c r="AO641" s="45"/>
      <c r="AP641" s="45"/>
      <c r="AQ641" s="45"/>
      <c r="AR641" s="45"/>
      <c r="AS641" s="45"/>
      <c r="AT641" s="45"/>
      <c r="AU641" s="463"/>
      <c r="AV641" s="449"/>
      <c r="AW641" s="45"/>
      <c r="AX641" s="45"/>
      <c r="AY641" s="45"/>
      <c r="AZ641" s="45"/>
      <c r="BA641" s="45"/>
      <c r="BB641" s="45"/>
      <c r="BC641" s="463"/>
      <c r="BD641" s="456"/>
      <c r="BE641" s="46"/>
      <c r="BF641" s="46"/>
      <c r="BG641" s="46"/>
      <c r="BH641" s="46"/>
      <c r="BI641" s="46"/>
      <c r="BJ641" s="457"/>
      <c r="BK641" s="449">
        <v>0</v>
      </c>
      <c r="BL641" s="45"/>
      <c r="BM641" s="45"/>
      <c r="BN641" s="45"/>
      <c r="BO641" s="45"/>
      <c r="BP641" s="45"/>
      <c r="BQ641" s="45"/>
      <c r="BR641" s="45"/>
      <c r="BS641" s="45"/>
      <c r="BT641" s="45"/>
      <c r="BU641" s="45"/>
      <c r="BV641" s="45"/>
      <c r="BW641" s="45"/>
      <c r="BX641" s="45"/>
      <c r="BY641" s="45"/>
      <c r="BZ641" s="45"/>
      <c r="CA641" s="45"/>
      <c r="CB641" s="45"/>
      <c r="CC641" s="45"/>
      <c r="CD641" s="463"/>
      <c r="CE641">
        <v>0</v>
      </c>
      <c r="CF641">
        <v>0</v>
      </c>
      <c r="CG641">
        <v>0</v>
      </c>
      <c r="CH641">
        <v>0</v>
      </c>
      <c r="CI641">
        <v>0</v>
      </c>
      <c r="CJ641">
        <v>0</v>
      </c>
      <c r="CK641">
        <v>0</v>
      </c>
      <c r="CL641">
        <v>0</v>
      </c>
      <c r="CM641">
        <v>0</v>
      </c>
      <c r="CN641">
        <v>0</v>
      </c>
      <c r="CO641">
        <v>0</v>
      </c>
      <c r="CP641">
        <v>0</v>
      </c>
      <c r="CQ641">
        <v>0</v>
      </c>
      <c r="CR641">
        <v>0</v>
      </c>
      <c r="CS641">
        <v>0</v>
      </c>
      <c r="CT641">
        <v>0</v>
      </c>
      <c r="CU641">
        <v>0</v>
      </c>
      <c r="CV641">
        <v>0</v>
      </c>
      <c r="CW641">
        <v>0</v>
      </c>
      <c r="CX641">
        <v>0</v>
      </c>
      <c r="CY641">
        <v>0</v>
      </c>
      <c r="CZ641">
        <v>0</v>
      </c>
      <c r="DA641">
        <v>0</v>
      </c>
      <c r="DB641">
        <v>0</v>
      </c>
      <c r="DC641">
        <v>0</v>
      </c>
      <c r="DD641">
        <v>0</v>
      </c>
      <c r="DE641">
        <v>0</v>
      </c>
      <c r="DF641">
        <v>0</v>
      </c>
      <c r="DG641">
        <v>0</v>
      </c>
      <c r="DH641">
        <v>0</v>
      </c>
      <c r="DI641">
        <v>0</v>
      </c>
      <c r="DJ641">
        <v>0</v>
      </c>
      <c r="DK641">
        <v>0</v>
      </c>
      <c r="DL641">
        <v>0</v>
      </c>
      <c r="DM641">
        <v>0</v>
      </c>
      <c r="DN641">
        <v>0</v>
      </c>
      <c r="DO641">
        <v>0</v>
      </c>
      <c r="DP641">
        <v>0</v>
      </c>
      <c r="DQ641">
        <v>0</v>
      </c>
      <c r="DR641">
        <v>0</v>
      </c>
      <c r="DS641">
        <v>0</v>
      </c>
      <c r="DT641">
        <v>0</v>
      </c>
      <c r="DU641">
        <v>0</v>
      </c>
    </row>
    <row r="642" spans="2:125">
      <c r="B642" s="136">
        <v>633</v>
      </c>
      <c r="C642" s="138">
        <v>1</v>
      </c>
      <c r="D642" s="474">
        <v>3712.0597372134084</v>
      </c>
      <c r="E642" s="127">
        <v>257.06990739220799</v>
      </c>
      <c r="F642" s="447">
        <v>0.38486754919577665</v>
      </c>
      <c r="G642" s="127">
        <v>121.70895042355308</v>
      </c>
      <c r="H642" s="132">
        <v>60.496681992385604</v>
      </c>
      <c r="I642" s="456"/>
      <c r="J642" s="45"/>
      <c r="K642" s="45">
        <v>510</v>
      </c>
      <c r="L642" s="463"/>
      <c r="M642" s="456">
        <v>29.728025436401367</v>
      </c>
      <c r="N642" s="457"/>
      <c r="O642" s="456"/>
      <c r="P642" s="46"/>
      <c r="Q642" s="463">
        <v>73.498786926269531</v>
      </c>
      <c r="R642" s="449"/>
      <c r="S642" s="463"/>
      <c r="T642" s="480"/>
      <c r="U642" s="468"/>
      <c r="V642" s="449"/>
      <c r="W642" s="45">
        <v>1411.1187744140625</v>
      </c>
      <c r="X642" s="463">
        <v>119.84186553955078</v>
      </c>
      <c r="Y642" s="449"/>
      <c r="Z642" s="45"/>
      <c r="AA642" s="468">
        <v>0.37605913734396168</v>
      </c>
      <c r="AB642" s="456"/>
      <c r="AC642" s="46"/>
      <c r="AD642" s="46"/>
      <c r="AE642" s="46"/>
      <c r="AF642" s="46"/>
      <c r="AG642" s="46"/>
      <c r="AH642" s="46"/>
      <c r="AI642" s="457"/>
      <c r="AJ642" s="138"/>
      <c r="AK642" s="745"/>
      <c r="AL642" s="54"/>
      <c r="AM642" s="468"/>
      <c r="AN642" s="449"/>
      <c r="AO642" s="45"/>
      <c r="AP642" s="45"/>
      <c r="AQ642" s="45"/>
      <c r="AR642" s="45"/>
      <c r="AS642" s="45"/>
      <c r="AT642" s="45"/>
      <c r="AU642" s="463"/>
      <c r="AV642" s="449"/>
      <c r="AW642" s="45"/>
      <c r="AX642" s="45"/>
      <c r="AY642" s="45"/>
      <c r="AZ642" s="45"/>
      <c r="BA642" s="45"/>
      <c r="BB642" s="45"/>
      <c r="BC642" s="463"/>
      <c r="BD642" s="456"/>
      <c r="BE642" s="46"/>
      <c r="BF642" s="46"/>
      <c r="BG642" s="46"/>
      <c r="BH642" s="46"/>
      <c r="BI642" s="46"/>
      <c r="BJ642" s="457"/>
      <c r="BK642" s="449">
        <v>0</v>
      </c>
      <c r="BL642" s="45"/>
      <c r="BM642" s="45"/>
      <c r="BN642" s="45"/>
      <c r="BO642" s="45"/>
      <c r="BP642" s="45"/>
      <c r="BQ642" s="45"/>
      <c r="BR642" s="45"/>
      <c r="BS642" s="45"/>
      <c r="BT642" s="45"/>
      <c r="BU642" s="45"/>
      <c r="BV642" s="45"/>
      <c r="BW642" s="45"/>
      <c r="BX642" s="45"/>
      <c r="BY642" s="45"/>
      <c r="BZ642" s="45"/>
      <c r="CA642" s="45"/>
      <c r="CB642" s="45"/>
      <c r="CC642" s="45"/>
      <c r="CD642" s="463"/>
      <c r="CE642">
        <v>0</v>
      </c>
      <c r="CF642">
        <v>0</v>
      </c>
      <c r="CG642">
        <v>0</v>
      </c>
      <c r="CH642">
        <v>0</v>
      </c>
      <c r="CI642">
        <v>0</v>
      </c>
      <c r="CJ642">
        <v>0</v>
      </c>
      <c r="CK642">
        <v>0</v>
      </c>
      <c r="CL642">
        <v>0</v>
      </c>
      <c r="CM642">
        <v>0</v>
      </c>
      <c r="CN642">
        <v>0</v>
      </c>
      <c r="CO642">
        <v>0</v>
      </c>
      <c r="CP642">
        <v>0</v>
      </c>
      <c r="CQ642">
        <v>0</v>
      </c>
      <c r="CR642">
        <v>0</v>
      </c>
      <c r="CS642">
        <v>0</v>
      </c>
      <c r="CT642">
        <v>0</v>
      </c>
      <c r="CU642">
        <v>0</v>
      </c>
      <c r="CV642">
        <v>0</v>
      </c>
      <c r="CW642">
        <v>0</v>
      </c>
      <c r="CX642">
        <v>0</v>
      </c>
      <c r="CY642">
        <v>0</v>
      </c>
      <c r="CZ642">
        <v>0</v>
      </c>
      <c r="DA642">
        <v>0</v>
      </c>
      <c r="DB642">
        <v>0</v>
      </c>
      <c r="DC642">
        <v>0</v>
      </c>
      <c r="DD642">
        <v>0</v>
      </c>
      <c r="DE642">
        <v>0</v>
      </c>
      <c r="DF642">
        <v>0</v>
      </c>
      <c r="DG642">
        <v>0</v>
      </c>
      <c r="DH642">
        <v>0</v>
      </c>
      <c r="DI642">
        <v>0</v>
      </c>
      <c r="DJ642">
        <v>0</v>
      </c>
      <c r="DK642">
        <v>0</v>
      </c>
      <c r="DL642">
        <v>0</v>
      </c>
      <c r="DM642">
        <v>0</v>
      </c>
      <c r="DN642">
        <v>0</v>
      </c>
      <c r="DO642">
        <v>0</v>
      </c>
      <c r="DP642">
        <v>0</v>
      </c>
      <c r="DQ642">
        <v>0</v>
      </c>
      <c r="DR642">
        <v>0</v>
      </c>
      <c r="DS642">
        <v>0</v>
      </c>
      <c r="DT642">
        <v>0</v>
      </c>
      <c r="DU642">
        <v>0</v>
      </c>
    </row>
    <row r="643" spans="2:125">
      <c r="B643" s="136">
        <v>634</v>
      </c>
      <c r="C643" s="138">
        <v>1</v>
      </c>
      <c r="D643" s="474">
        <v>3480.4765820989064</v>
      </c>
      <c r="E643" s="127">
        <v>251.87846292749595</v>
      </c>
      <c r="F643" s="447">
        <v>0.42955267297109229</v>
      </c>
      <c r="G643" s="127">
        <v>114.73273402246571</v>
      </c>
      <c r="H643" s="132">
        <v>58.463792075555752</v>
      </c>
      <c r="I643" s="456"/>
      <c r="J643" s="45"/>
      <c r="K643" s="45">
        <v>480</v>
      </c>
      <c r="L643" s="463"/>
      <c r="M643" s="456">
        <v>34.903106689453125</v>
      </c>
      <c r="N643" s="457"/>
      <c r="O643" s="456"/>
      <c r="P643" s="46"/>
      <c r="Q643" s="463">
        <v>68.913436889648438</v>
      </c>
      <c r="R643" s="449"/>
      <c r="S643" s="463"/>
      <c r="T643" s="480"/>
      <c r="U643" s="468"/>
      <c r="V643" s="449"/>
      <c r="W643" s="45">
        <v>1563.1561279296875</v>
      </c>
      <c r="X643" s="463">
        <v>130.79292297363281</v>
      </c>
      <c r="Y643" s="449"/>
      <c r="Z643" s="45"/>
      <c r="AA643" s="468">
        <v>0.4199013931342474</v>
      </c>
      <c r="AB643" s="456"/>
      <c r="AC643" s="46"/>
      <c r="AD643" s="46"/>
      <c r="AE643" s="46"/>
      <c r="AF643" s="46"/>
      <c r="AG643" s="46"/>
      <c r="AH643" s="46"/>
      <c r="AI643" s="457"/>
      <c r="AJ643" s="138"/>
      <c r="AK643" s="745"/>
      <c r="AL643" s="54"/>
      <c r="AM643" s="468"/>
      <c r="AN643" s="449"/>
      <c r="AO643" s="45"/>
      <c r="AP643" s="45"/>
      <c r="AQ643" s="45"/>
      <c r="AR643" s="45"/>
      <c r="AS643" s="45"/>
      <c r="AT643" s="45"/>
      <c r="AU643" s="463"/>
      <c r="AV643" s="449"/>
      <c r="AW643" s="45"/>
      <c r="AX643" s="45"/>
      <c r="AY643" s="45"/>
      <c r="AZ643" s="45"/>
      <c r="BA643" s="45"/>
      <c r="BB643" s="45"/>
      <c r="BC643" s="463"/>
      <c r="BD643" s="456"/>
      <c r="BE643" s="46"/>
      <c r="BF643" s="46"/>
      <c r="BG643" s="46"/>
      <c r="BH643" s="46"/>
      <c r="BI643" s="46"/>
      <c r="BJ643" s="457"/>
      <c r="BK643" s="449">
        <v>0</v>
      </c>
      <c r="BL643" s="45"/>
      <c r="BM643" s="45"/>
      <c r="BN643" s="45"/>
      <c r="BO643" s="45"/>
      <c r="BP643" s="45"/>
      <c r="BQ643" s="45"/>
      <c r="BR643" s="45"/>
      <c r="BS643" s="45"/>
      <c r="BT643" s="45"/>
      <c r="BU643" s="45"/>
      <c r="BV643" s="45"/>
      <c r="BW643" s="45"/>
      <c r="BX643" s="45"/>
      <c r="BY643" s="45"/>
      <c r="BZ643" s="45"/>
      <c r="CA643" s="45"/>
      <c r="CB643" s="45"/>
      <c r="CC643" s="45"/>
      <c r="CD643" s="463"/>
      <c r="CE643">
        <v>0</v>
      </c>
      <c r="CF643">
        <v>0</v>
      </c>
      <c r="CG643">
        <v>0</v>
      </c>
      <c r="CH643">
        <v>0</v>
      </c>
      <c r="CI643">
        <v>0</v>
      </c>
      <c r="CJ643">
        <v>0</v>
      </c>
      <c r="CK643">
        <v>0</v>
      </c>
      <c r="CL643">
        <v>0</v>
      </c>
      <c r="CM643">
        <v>0</v>
      </c>
      <c r="CN643">
        <v>0</v>
      </c>
      <c r="CO643">
        <v>0</v>
      </c>
      <c r="CP643">
        <v>0</v>
      </c>
      <c r="CQ643">
        <v>0</v>
      </c>
      <c r="CR643">
        <v>0</v>
      </c>
      <c r="CS643">
        <v>0</v>
      </c>
      <c r="CT643">
        <v>0</v>
      </c>
      <c r="CU643">
        <v>0</v>
      </c>
      <c r="CV643">
        <v>0</v>
      </c>
      <c r="CW643">
        <v>0</v>
      </c>
      <c r="CX643">
        <v>0</v>
      </c>
      <c r="CY643">
        <v>0</v>
      </c>
      <c r="CZ643">
        <v>0</v>
      </c>
      <c r="DA643">
        <v>0</v>
      </c>
      <c r="DB643">
        <v>0</v>
      </c>
      <c r="DC643">
        <v>0</v>
      </c>
      <c r="DD643">
        <v>0</v>
      </c>
      <c r="DE643">
        <v>0</v>
      </c>
      <c r="DF643">
        <v>0</v>
      </c>
      <c r="DG643">
        <v>0</v>
      </c>
      <c r="DH643">
        <v>0</v>
      </c>
      <c r="DI643">
        <v>0</v>
      </c>
      <c r="DJ643">
        <v>0</v>
      </c>
      <c r="DK643">
        <v>0</v>
      </c>
      <c r="DL643">
        <v>0</v>
      </c>
      <c r="DM643">
        <v>0</v>
      </c>
      <c r="DN643">
        <v>0</v>
      </c>
      <c r="DO643">
        <v>0</v>
      </c>
      <c r="DP643">
        <v>0</v>
      </c>
      <c r="DQ643">
        <v>0</v>
      </c>
      <c r="DR643">
        <v>0</v>
      </c>
      <c r="DS643">
        <v>0</v>
      </c>
      <c r="DT643">
        <v>0</v>
      </c>
      <c r="DU643">
        <v>0</v>
      </c>
    </row>
    <row r="644" spans="2:125">
      <c r="B644" s="136">
        <v>635</v>
      </c>
      <c r="C644" s="138">
        <v>1</v>
      </c>
      <c r="D644" s="474">
        <v>3501.3228865571718</v>
      </c>
      <c r="E644" s="127">
        <v>215.49940308248239</v>
      </c>
      <c r="F644" s="447">
        <v>0.44281902630208497</v>
      </c>
      <c r="G644" s="127">
        <v>136.22668504492663</v>
      </c>
      <c r="H644" s="132">
        <v>53.262494411765829</v>
      </c>
      <c r="I644" s="456"/>
      <c r="J644" s="45"/>
      <c r="K644" s="45">
        <v>540</v>
      </c>
      <c r="L644" s="463"/>
      <c r="M644" s="456">
        <v>40.529457092285156</v>
      </c>
      <c r="N644" s="457"/>
      <c r="O644" s="456"/>
      <c r="P644" s="46"/>
      <c r="Q644" s="463">
        <v>69.326194763183594</v>
      </c>
      <c r="R644" s="449"/>
      <c r="S644" s="463"/>
      <c r="T644" s="480"/>
      <c r="U644" s="468"/>
      <c r="V644" s="449"/>
      <c r="W644" s="45">
        <v>1816.869384765625</v>
      </c>
      <c r="X644" s="463">
        <v>149.46548461914062</v>
      </c>
      <c r="Y644" s="449"/>
      <c r="Z644" s="45"/>
      <c r="AA644" s="468">
        <v>0.43314942951738727</v>
      </c>
      <c r="AB644" s="456"/>
      <c r="AC644" s="46"/>
      <c r="AD644" s="46"/>
      <c r="AE644" s="46"/>
      <c r="AF644" s="46"/>
      <c r="AG644" s="46"/>
      <c r="AH644" s="46"/>
      <c r="AI644" s="457"/>
      <c r="AJ644" s="138"/>
      <c r="AK644" s="745"/>
      <c r="AL644" s="54"/>
      <c r="AM644" s="468"/>
      <c r="AN644" s="449"/>
      <c r="AO644" s="45"/>
      <c r="AP644" s="45"/>
      <c r="AQ644" s="45"/>
      <c r="AR644" s="45"/>
      <c r="AS644" s="45"/>
      <c r="AT644" s="45"/>
      <c r="AU644" s="463"/>
      <c r="AV644" s="449"/>
      <c r="AW644" s="45"/>
      <c r="AX644" s="45"/>
      <c r="AY644" s="45"/>
      <c r="AZ644" s="45"/>
      <c r="BA644" s="45"/>
      <c r="BB644" s="45"/>
      <c r="BC644" s="463"/>
      <c r="BD644" s="456"/>
      <c r="BE644" s="46"/>
      <c r="BF644" s="46"/>
      <c r="BG644" s="46"/>
      <c r="BH644" s="46"/>
      <c r="BI644" s="46"/>
      <c r="BJ644" s="457"/>
      <c r="BK644" s="449">
        <v>0</v>
      </c>
      <c r="BL644" s="45"/>
      <c r="BM644" s="45"/>
      <c r="BN644" s="45"/>
      <c r="BO644" s="45"/>
      <c r="BP644" s="45"/>
      <c r="BQ644" s="45"/>
      <c r="BR644" s="45"/>
      <c r="BS644" s="45"/>
      <c r="BT644" s="45"/>
      <c r="BU644" s="45"/>
      <c r="BV644" s="45"/>
      <c r="BW644" s="45"/>
      <c r="BX644" s="45"/>
      <c r="BY644" s="45"/>
      <c r="BZ644" s="45"/>
      <c r="CA644" s="45"/>
      <c r="CB644" s="45"/>
      <c r="CC644" s="45"/>
      <c r="CD644" s="463"/>
      <c r="CE644">
        <v>0</v>
      </c>
      <c r="CF644">
        <v>0</v>
      </c>
      <c r="CG644">
        <v>0</v>
      </c>
      <c r="CH644">
        <v>0</v>
      </c>
      <c r="CI644">
        <v>0</v>
      </c>
      <c r="CJ644">
        <v>0</v>
      </c>
      <c r="CK644">
        <v>0</v>
      </c>
      <c r="CL644">
        <v>0</v>
      </c>
      <c r="CM644">
        <v>0</v>
      </c>
      <c r="CN644">
        <v>0</v>
      </c>
      <c r="CO644">
        <v>0</v>
      </c>
      <c r="CP644">
        <v>0</v>
      </c>
      <c r="CQ644">
        <v>0</v>
      </c>
      <c r="CR644">
        <v>0</v>
      </c>
      <c r="CS644">
        <v>0</v>
      </c>
      <c r="CT644">
        <v>0</v>
      </c>
      <c r="CU644">
        <v>0</v>
      </c>
      <c r="CV644">
        <v>0</v>
      </c>
      <c r="CW644">
        <v>0</v>
      </c>
      <c r="CX644">
        <v>0</v>
      </c>
      <c r="CY644">
        <v>0</v>
      </c>
      <c r="CZ644">
        <v>0</v>
      </c>
      <c r="DA644">
        <v>0</v>
      </c>
      <c r="DB644">
        <v>0</v>
      </c>
      <c r="DC644">
        <v>0</v>
      </c>
      <c r="DD644">
        <v>0</v>
      </c>
      <c r="DE644">
        <v>0</v>
      </c>
      <c r="DF644">
        <v>0</v>
      </c>
      <c r="DG644">
        <v>0</v>
      </c>
      <c r="DH644">
        <v>0</v>
      </c>
      <c r="DI644">
        <v>0</v>
      </c>
      <c r="DJ644">
        <v>0</v>
      </c>
      <c r="DK644">
        <v>0</v>
      </c>
      <c r="DL644">
        <v>0</v>
      </c>
      <c r="DM644">
        <v>0</v>
      </c>
      <c r="DN644">
        <v>0</v>
      </c>
      <c r="DO644">
        <v>0</v>
      </c>
      <c r="DP644">
        <v>0</v>
      </c>
      <c r="DQ644">
        <v>0</v>
      </c>
      <c r="DR644">
        <v>0</v>
      </c>
      <c r="DS644">
        <v>0</v>
      </c>
      <c r="DT644">
        <v>0</v>
      </c>
      <c r="DU644">
        <v>0</v>
      </c>
    </row>
    <row r="645" spans="2:125">
      <c r="B645" s="136">
        <v>636</v>
      </c>
      <c r="C645" s="138">
        <v>1</v>
      </c>
      <c r="D645" s="474">
        <v>2535.1396651384575</v>
      </c>
      <c r="E645" s="127">
        <v>265.5707126580275</v>
      </c>
      <c r="F645" s="447">
        <v>0.41177001570743743</v>
      </c>
      <c r="G645" s="127">
        <v>97.134324822047532</v>
      </c>
      <c r="H645" s="132">
        <v>44.024395720348423</v>
      </c>
      <c r="I645" s="456"/>
      <c r="J645" s="45"/>
      <c r="K645" s="45">
        <v>390</v>
      </c>
      <c r="L645" s="463"/>
      <c r="M645" s="456">
        <v>34.051654815673828</v>
      </c>
      <c r="N645" s="457"/>
      <c r="O645" s="456"/>
      <c r="P645" s="46"/>
      <c r="Q645" s="463">
        <v>50.195766448974609</v>
      </c>
      <c r="R645" s="449"/>
      <c r="S645" s="463"/>
      <c r="T645" s="480"/>
      <c r="U645" s="468"/>
      <c r="V645" s="449"/>
      <c r="W645" s="45">
        <v>1217.3870849609375</v>
      </c>
      <c r="X645" s="463">
        <v>105.23387908935547</v>
      </c>
      <c r="Y645" s="449"/>
      <c r="Z645" s="45"/>
      <c r="AA645" s="468">
        <v>0.39866012642946991</v>
      </c>
      <c r="AB645" s="456"/>
      <c r="AC645" s="46"/>
      <c r="AD645" s="46"/>
      <c r="AE645" s="46"/>
      <c r="AF645" s="46"/>
      <c r="AG645" s="46"/>
      <c r="AH645" s="46"/>
      <c r="AI645" s="457"/>
      <c r="AJ645" s="138"/>
      <c r="AK645" s="745"/>
      <c r="AL645" s="54"/>
      <c r="AM645" s="468"/>
      <c r="AN645" s="449"/>
      <c r="AO645" s="45"/>
      <c r="AP645" s="45"/>
      <c r="AQ645" s="45"/>
      <c r="AR645" s="45"/>
      <c r="AS645" s="45"/>
      <c r="AT645" s="45"/>
      <c r="AU645" s="463"/>
      <c r="AV645" s="449"/>
      <c r="AW645" s="45"/>
      <c r="AX645" s="45"/>
      <c r="AY645" s="45"/>
      <c r="AZ645" s="45"/>
      <c r="BA645" s="45"/>
      <c r="BB645" s="45"/>
      <c r="BC645" s="463"/>
      <c r="BD645" s="456"/>
      <c r="BE645" s="46"/>
      <c r="BF645" s="46"/>
      <c r="BG645" s="46"/>
      <c r="BH645" s="46"/>
      <c r="BI645" s="46"/>
      <c r="BJ645" s="457"/>
      <c r="BK645" s="449">
        <v>0</v>
      </c>
      <c r="BL645" s="45"/>
      <c r="BM645" s="45"/>
      <c r="BN645" s="45"/>
      <c r="BO645" s="45"/>
      <c r="BP645" s="45"/>
      <c r="BQ645" s="45"/>
      <c r="BR645" s="45"/>
      <c r="BS645" s="45"/>
      <c r="BT645" s="45"/>
      <c r="BU645" s="45"/>
      <c r="BV645" s="45"/>
      <c r="BW645" s="45"/>
      <c r="BX645" s="45"/>
      <c r="BY645" s="45"/>
      <c r="BZ645" s="45"/>
      <c r="CA645" s="45"/>
      <c r="CB645" s="45"/>
      <c r="CC645" s="45"/>
      <c r="CD645" s="463"/>
      <c r="CE645">
        <v>0</v>
      </c>
      <c r="CF645">
        <v>0</v>
      </c>
      <c r="CG645">
        <v>0</v>
      </c>
      <c r="CH645">
        <v>0</v>
      </c>
      <c r="CI645">
        <v>0</v>
      </c>
      <c r="CJ645">
        <v>0</v>
      </c>
      <c r="CK645">
        <v>0</v>
      </c>
      <c r="CL645">
        <v>0</v>
      </c>
      <c r="CM645">
        <v>0</v>
      </c>
      <c r="CN645">
        <v>0</v>
      </c>
      <c r="CO645">
        <v>0</v>
      </c>
      <c r="CP645">
        <v>0</v>
      </c>
      <c r="CQ645">
        <v>0</v>
      </c>
      <c r="CR645">
        <v>0</v>
      </c>
      <c r="CS645">
        <v>0</v>
      </c>
      <c r="CT645">
        <v>0</v>
      </c>
      <c r="CU645">
        <v>0</v>
      </c>
      <c r="CV645">
        <v>0</v>
      </c>
      <c r="CW645">
        <v>0</v>
      </c>
      <c r="CX645">
        <v>0</v>
      </c>
      <c r="CY645">
        <v>0</v>
      </c>
      <c r="CZ645">
        <v>0</v>
      </c>
      <c r="DA645">
        <v>0</v>
      </c>
      <c r="DB645">
        <v>0</v>
      </c>
      <c r="DC645">
        <v>0</v>
      </c>
      <c r="DD645">
        <v>0</v>
      </c>
      <c r="DE645">
        <v>0</v>
      </c>
      <c r="DF645">
        <v>0</v>
      </c>
      <c r="DG645">
        <v>0</v>
      </c>
      <c r="DH645">
        <v>0</v>
      </c>
      <c r="DI645">
        <v>0</v>
      </c>
      <c r="DJ645">
        <v>0</v>
      </c>
      <c r="DK645">
        <v>0</v>
      </c>
      <c r="DL645">
        <v>0</v>
      </c>
      <c r="DM645">
        <v>0</v>
      </c>
      <c r="DN645">
        <v>0</v>
      </c>
      <c r="DO645">
        <v>0</v>
      </c>
      <c r="DP645">
        <v>0</v>
      </c>
      <c r="DQ645">
        <v>0</v>
      </c>
      <c r="DR645">
        <v>0</v>
      </c>
      <c r="DS645">
        <v>0</v>
      </c>
      <c r="DT645">
        <v>0</v>
      </c>
      <c r="DU645">
        <v>0</v>
      </c>
    </row>
    <row r="646" spans="2:125">
      <c r="B646" s="136">
        <v>637</v>
      </c>
      <c r="C646" s="138">
        <v>1</v>
      </c>
      <c r="D646" s="474">
        <v>3419.2288679144276</v>
      </c>
      <c r="E646" s="127">
        <v>234.3765649468634</v>
      </c>
      <c r="F646" s="447">
        <v>0.38520431283403356</v>
      </c>
      <c r="G646" s="127">
        <v>109.04747699942757</v>
      </c>
      <c r="H646" s="132">
        <v>58.814610314543209</v>
      </c>
      <c r="I646" s="456"/>
      <c r="J646" s="45"/>
      <c r="K646" s="45">
        <v>460</v>
      </c>
      <c r="L646" s="463"/>
      <c r="M646" s="456">
        <v>28.93829345703125</v>
      </c>
      <c r="N646" s="457"/>
      <c r="O646" s="456"/>
      <c r="P646" s="46"/>
      <c r="Q646" s="463">
        <v>67.700729370117188</v>
      </c>
      <c r="R646" s="449"/>
      <c r="S646" s="463"/>
      <c r="T646" s="480"/>
      <c r="U646" s="468"/>
      <c r="V646" s="449"/>
      <c r="W646" s="45">
        <v>1303.2615966796875</v>
      </c>
      <c r="X646" s="463">
        <v>111.80736541748047</v>
      </c>
      <c r="Y646" s="449"/>
      <c r="Z646" s="45"/>
      <c r="AA646" s="468">
        <v>0.37563955787902853</v>
      </c>
      <c r="AB646" s="456"/>
      <c r="AC646" s="46"/>
      <c r="AD646" s="46"/>
      <c r="AE646" s="46"/>
      <c r="AF646" s="46"/>
      <c r="AG646" s="46"/>
      <c r="AH646" s="46"/>
      <c r="AI646" s="457"/>
      <c r="AJ646" s="138"/>
      <c r="AK646" s="745"/>
      <c r="AL646" s="54"/>
      <c r="AM646" s="468"/>
      <c r="AN646" s="449"/>
      <c r="AO646" s="45"/>
      <c r="AP646" s="45"/>
      <c r="AQ646" s="45"/>
      <c r="AR646" s="45"/>
      <c r="AS646" s="45"/>
      <c r="AT646" s="45"/>
      <c r="AU646" s="463"/>
      <c r="AV646" s="449"/>
      <c r="AW646" s="45"/>
      <c r="AX646" s="45"/>
      <c r="AY646" s="45"/>
      <c r="AZ646" s="45"/>
      <c r="BA646" s="45"/>
      <c r="BB646" s="45"/>
      <c r="BC646" s="463"/>
      <c r="BD646" s="456"/>
      <c r="BE646" s="46"/>
      <c r="BF646" s="46"/>
      <c r="BG646" s="46"/>
      <c r="BH646" s="46"/>
      <c r="BI646" s="46"/>
      <c r="BJ646" s="457"/>
      <c r="BK646" s="449">
        <v>0</v>
      </c>
      <c r="BL646" s="45"/>
      <c r="BM646" s="45"/>
      <c r="BN646" s="45"/>
      <c r="BO646" s="45"/>
      <c r="BP646" s="45"/>
      <c r="BQ646" s="45"/>
      <c r="BR646" s="45"/>
      <c r="BS646" s="45"/>
      <c r="BT646" s="45"/>
      <c r="BU646" s="45"/>
      <c r="BV646" s="45"/>
      <c r="BW646" s="45"/>
      <c r="BX646" s="45"/>
      <c r="BY646" s="45"/>
      <c r="BZ646" s="45"/>
      <c r="CA646" s="45"/>
      <c r="CB646" s="45"/>
      <c r="CC646" s="45"/>
      <c r="CD646" s="463"/>
      <c r="CE646">
        <v>0</v>
      </c>
      <c r="CF646">
        <v>0</v>
      </c>
      <c r="CG646">
        <v>0</v>
      </c>
      <c r="CH646">
        <v>0</v>
      </c>
      <c r="CI646">
        <v>0</v>
      </c>
      <c r="CJ646">
        <v>0</v>
      </c>
      <c r="CK646">
        <v>0</v>
      </c>
      <c r="CL646">
        <v>0</v>
      </c>
      <c r="CM646">
        <v>0</v>
      </c>
      <c r="CN646">
        <v>0</v>
      </c>
      <c r="CO646">
        <v>0</v>
      </c>
      <c r="CP646">
        <v>0</v>
      </c>
      <c r="CQ646">
        <v>0</v>
      </c>
      <c r="CR646">
        <v>0</v>
      </c>
      <c r="CS646">
        <v>0</v>
      </c>
      <c r="CT646">
        <v>0</v>
      </c>
      <c r="CU646">
        <v>0</v>
      </c>
      <c r="CV646">
        <v>0</v>
      </c>
      <c r="CW646">
        <v>0</v>
      </c>
      <c r="CX646">
        <v>0</v>
      </c>
      <c r="CY646">
        <v>0</v>
      </c>
      <c r="CZ646">
        <v>0</v>
      </c>
      <c r="DA646">
        <v>0</v>
      </c>
      <c r="DB646">
        <v>0</v>
      </c>
      <c r="DC646">
        <v>0</v>
      </c>
      <c r="DD646">
        <v>0</v>
      </c>
      <c r="DE646">
        <v>0</v>
      </c>
      <c r="DF646">
        <v>0</v>
      </c>
      <c r="DG646">
        <v>0</v>
      </c>
      <c r="DH646">
        <v>0</v>
      </c>
      <c r="DI646">
        <v>0</v>
      </c>
      <c r="DJ646">
        <v>0</v>
      </c>
      <c r="DK646">
        <v>0</v>
      </c>
      <c r="DL646">
        <v>0</v>
      </c>
      <c r="DM646">
        <v>0</v>
      </c>
      <c r="DN646">
        <v>0</v>
      </c>
      <c r="DO646">
        <v>0</v>
      </c>
      <c r="DP646">
        <v>0</v>
      </c>
      <c r="DQ646">
        <v>0</v>
      </c>
      <c r="DR646">
        <v>0</v>
      </c>
      <c r="DS646">
        <v>0</v>
      </c>
      <c r="DT646">
        <v>0</v>
      </c>
      <c r="DU646">
        <v>0</v>
      </c>
    </row>
    <row r="647" spans="2:125">
      <c r="B647" s="136">
        <v>638</v>
      </c>
      <c r="C647" s="138">
        <v>1</v>
      </c>
      <c r="D647" s="474">
        <v>3691.9530065492322</v>
      </c>
      <c r="E647" s="127">
        <v>272.41004751854672</v>
      </c>
      <c r="F647" s="447">
        <v>0.38518919839325705</v>
      </c>
      <c r="G647" s="127">
        <v>118.55437542621888</v>
      </c>
      <c r="H647" s="132">
        <v>60.887283630473313</v>
      </c>
      <c r="I647" s="456"/>
      <c r="J647" s="45"/>
      <c r="K647" s="45">
        <v>500</v>
      </c>
      <c r="L647" s="463"/>
      <c r="M647" s="456">
        <v>29.493261337280273</v>
      </c>
      <c r="N647" s="457"/>
      <c r="O647" s="456"/>
      <c r="P647" s="46"/>
      <c r="Q647" s="463">
        <v>73.100669860839844</v>
      </c>
      <c r="R647" s="449"/>
      <c r="S647" s="463"/>
      <c r="T647" s="480"/>
      <c r="U647" s="468"/>
      <c r="V647" s="449"/>
      <c r="W647" s="45">
        <v>1394.3912353515625</v>
      </c>
      <c r="X647" s="463">
        <v>118.59486389160156</v>
      </c>
      <c r="Y647" s="449"/>
      <c r="Z647" s="45"/>
      <c r="AA647" s="468">
        <v>0.37633107265063487</v>
      </c>
      <c r="AB647" s="456"/>
      <c r="AC647" s="46"/>
      <c r="AD647" s="46"/>
      <c r="AE647" s="46"/>
      <c r="AF647" s="46"/>
      <c r="AG647" s="46"/>
      <c r="AH647" s="46"/>
      <c r="AI647" s="457"/>
      <c r="AJ647" s="138"/>
      <c r="AK647" s="745"/>
      <c r="AL647" s="54"/>
      <c r="AM647" s="468"/>
      <c r="AN647" s="449"/>
      <c r="AO647" s="45"/>
      <c r="AP647" s="45"/>
      <c r="AQ647" s="45"/>
      <c r="AR647" s="45"/>
      <c r="AS647" s="45"/>
      <c r="AT647" s="45"/>
      <c r="AU647" s="463"/>
      <c r="AV647" s="449"/>
      <c r="AW647" s="45"/>
      <c r="AX647" s="45"/>
      <c r="AY647" s="45"/>
      <c r="AZ647" s="45"/>
      <c r="BA647" s="45"/>
      <c r="BB647" s="45"/>
      <c r="BC647" s="463"/>
      <c r="BD647" s="456"/>
      <c r="BE647" s="46"/>
      <c r="BF647" s="46"/>
      <c r="BG647" s="46"/>
      <c r="BH647" s="46"/>
      <c r="BI647" s="46"/>
      <c r="BJ647" s="457"/>
      <c r="BK647" s="449">
        <v>0</v>
      </c>
      <c r="BL647" s="45"/>
      <c r="BM647" s="45"/>
      <c r="BN647" s="45"/>
      <c r="BO647" s="45"/>
      <c r="BP647" s="45"/>
      <c r="BQ647" s="45"/>
      <c r="BR647" s="45"/>
      <c r="BS647" s="45"/>
      <c r="BT647" s="45"/>
      <c r="BU647" s="45"/>
      <c r="BV647" s="45"/>
      <c r="BW647" s="45"/>
      <c r="BX647" s="45"/>
      <c r="BY647" s="45"/>
      <c r="BZ647" s="45"/>
      <c r="CA647" s="45"/>
      <c r="CB647" s="45"/>
      <c r="CC647" s="45"/>
      <c r="CD647" s="463"/>
      <c r="CE647">
        <v>0</v>
      </c>
      <c r="CF647">
        <v>0</v>
      </c>
      <c r="CG647">
        <v>0</v>
      </c>
      <c r="CH647">
        <v>0</v>
      </c>
      <c r="CI647">
        <v>0</v>
      </c>
      <c r="CJ647">
        <v>0</v>
      </c>
      <c r="CK647">
        <v>0</v>
      </c>
      <c r="CL647">
        <v>0</v>
      </c>
      <c r="CM647">
        <v>0</v>
      </c>
      <c r="CN647">
        <v>0</v>
      </c>
      <c r="CO647">
        <v>0</v>
      </c>
      <c r="CP647">
        <v>0</v>
      </c>
      <c r="CQ647">
        <v>0</v>
      </c>
      <c r="CR647">
        <v>0</v>
      </c>
      <c r="CS647">
        <v>0</v>
      </c>
      <c r="CT647">
        <v>0</v>
      </c>
      <c r="CU647">
        <v>0</v>
      </c>
      <c r="CV647">
        <v>0</v>
      </c>
      <c r="CW647">
        <v>0</v>
      </c>
      <c r="CX647">
        <v>0</v>
      </c>
      <c r="CY647">
        <v>0</v>
      </c>
      <c r="CZ647">
        <v>0</v>
      </c>
      <c r="DA647">
        <v>0</v>
      </c>
      <c r="DB647">
        <v>0</v>
      </c>
      <c r="DC647">
        <v>0</v>
      </c>
      <c r="DD647">
        <v>0</v>
      </c>
      <c r="DE647">
        <v>0</v>
      </c>
      <c r="DF647">
        <v>0</v>
      </c>
      <c r="DG647">
        <v>0</v>
      </c>
      <c r="DH647">
        <v>0</v>
      </c>
      <c r="DI647">
        <v>0</v>
      </c>
      <c r="DJ647">
        <v>0</v>
      </c>
      <c r="DK647">
        <v>0</v>
      </c>
      <c r="DL647">
        <v>0</v>
      </c>
      <c r="DM647">
        <v>0</v>
      </c>
      <c r="DN647">
        <v>0</v>
      </c>
      <c r="DO647">
        <v>0</v>
      </c>
      <c r="DP647">
        <v>0</v>
      </c>
      <c r="DQ647">
        <v>0</v>
      </c>
      <c r="DR647">
        <v>0</v>
      </c>
      <c r="DS647">
        <v>0</v>
      </c>
      <c r="DT647">
        <v>0</v>
      </c>
      <c r="DU647">
        <v>0</v>
      </c>
    </row>
    <row r="648" spans="2:125">
      <c r="B648" s="136">
        <v>639</v>
      </c>
      <c r="C648" s="138">
        <v>1</v>
      </c>
      <c r="D648" s="474">
        <v>3382.3068888735779</v>
      </c>
      <c r="E648" s="127">
        <v>260.43571791895494</v>
      </c>
      <c r="F648" s="447">
        <v>0.46901037129340639</v>
      </c>
      <c r="G648" s="127">
        <v>117.11746866192156</v>
      </c>
      <c r="H648" s="132">
        <v>56.221685880796656</v>
      </c>
      <c r="I648" s="456"/>
      <c r="J648" s="45"/>
      <c r="K648" s="45">
        <v>490</v>
      </c>
      <c r="L648" s="463"/>
      <c r="M648" s="456">
        <v>42.640552520751953</v>
      </c>
      <c r="N648" s="457"/>
      <c r="O648" s="456"/>
      <c r="P648" s="46"/>
      <c r="Q648" s="463">
        <v>66.969680786132813</v>
      </c>
      <c r="R648" s="449"/>
      <c r="S648" s="463"/>
      <c r="T648" s="480"/>
      <c r="U648" s="468"/>
      <c r="V648" s="449"/>
      <c r="W648" s="45">
        <v>1847.431396484375</v>
      </c>
      <c r="X648" s="463">
        <v>151.48641967773437</v>
      </c>
      <c r="Y648" s="449"/>
      <c r="Z648" s="45"/>
      <c r="AA648" s="468">
        <v>0.45884564983097342</v>
      </c>
      <c r="AB648" s="456"/>
      <c r="AC648" s="46"/>
      <c r="AD648" s="46"/>
      <c r="AE648" s="46"/>
      <c r="AF648" s="46"/>
      <c r="AG648" s="46"/>
      <c r="AH648" s="46"/>
      <c r="AI648" s="457"/>
      <c r="AJ648" s="138"/>
      <c r="AK648" s="745"/>
      <c r="AL648" s="54"/>
      <c r="AM648" s="468"/>
      <c r="AN648" s="449"/>
      <c r="AO648" s="45"/>
      <c r="AP648" s="45"/>
      <c r="AQ648" s="45"/>
      <c r="AR648" s="45"/>
      <c r="AS648" s="45"/>
      <c r="AT648" s="45"/>
      <c r="AU648" s="463"/>
      <c r="AV648" s="449"/>
      <c r="AW648" s="45"/>
      <c r="AX648" s="45"/>
      <c r="AY648" s="45"/>
      <c r="AZ648" s="45"/>
      <c r="BA648" s="45"/>
      <c r="BB648" s="45"/>
      <c r="BC648" s="463"/>
      <c r="BD648" s="456"/>
      <c r="BE648" s="46"/>
      <c r="BF648" s="46"/>
      <c r="BG648" s="46"/>
      <c r="BH648" s="46"/>
      <c r="BI648" s="46"/>
      <c r="BJ648" s="457"/>
      <c r="BK648" s="449">
        <v>0</v>
      </c>
      <c r="BL648" s="45"/>
      <c r="BM648" s="45"/>
      <c r="BN648" s="45"/>
      <c r="BO648" s="45"/>
      <c r="BP648" s="45"/>
      <c r="BQ648" s="45"/>
      <c r="BR648" s="45"/>
      <c r="BS648" s="45"/>
      <c r="BT648" s="45"/>
      <c r="BU648" s="45"/>
      <c r="BV648" s="45"/>
      <c r="BW648" s="45"/>
      <c r="BX648" s="45"/>
      <c r="BY648" s="45"/>
      <c r="BZ648" s="45"/>
      <c r="CA648" s="45"/>
      <c r="CB648" s="45"/>
      <c r="CC648" s="45"/>
      <c r="CD648" s="463"/>
      <c r="CE648">
        <v>0</v>
      </c>
      <c r="CF648">
        <v>0</v>
      </c>
      <c r="CG648">
        <v>0</v>
      </c>
      <c r="CH648">
        <v>0</v>
      </c>
      <c r="CI648">
        <v>0</v>
      </c>
      <c r="CJ648">
        <v>0</v>
      </c>
      <c r="CK648">
        <v>0</v>
      </c>
      <c r="CL648">
        <v>0</v>
      </c>
      <c r="CM648">
        <v>0</v>
      </c>
      <c r="CN648">
        <v>0</v>
      </c>
      <c r="CO648">
        <v>0</v>
      </c>
      <c r="CP648">
        <v>0</v>
      </c>
      <c r="CQ648">
        <v>0</v>
      </c>
      <c r="CR648">
        <v>0</v>
      </c>
      <c r="CS648">
        <v>0</v>
      </c>
      <c r="CT648">
        <v>0</v>
      </c>
      <c r="CU648">
        <v>0</v>
      </c>
      <c r="CV648">
        <v>0</v>
      </c>
      <c r="CW648">
        <v>0</v>
      </c>
      <c r="CX648">
        <v>0</v>
      </c>
      <c r="CY648">
        <v>0</v>
      </c>
      <c r="CZ648">
        <v>0</v>
      </c>
      <c r="DA648">
        <v>0</v>
      </c>
      <c r="DB648">
        <v>0</v>
      </c>
      <c r="DC648">
        <v>0</v>
      </c>
      <c r="DD648">
        <v>0</v>
      </c>
      <c r="DE648">
        <v>0</v>
      </c>
      <c r="DF648">
        <v>0</v>
      </c>
      <c r="DG648">
        <v>0</v>
      </c>
      <c r="DH648">
        <v>0</v>
      </c>
      <c r="DI648">
        <v>0</v>
      </c>
      <c r="DJ648">
        <v>0</v>
      </c>
      <c r="DK648">
        <v>0</v>
      </c>
      <c r="DL648">
        <v>0</v>
      </c>
      <c r="DM648">
        <v>0</v>
      </c>
      <c r="DN648">
        <v>0</v>
      </c>
      <c r="DO648">
        <v>0</v>
      </c>
      <c r="DP648">
        <v>0</v>
      </c>
      <c r="DQ648">
        <v>0</v>
      </c>
      <c r="DR648">
        <v>0</v>
      </c>
      <c r="DS648">
        <v>0</v>
      </c>
      <c r="DT648">
        <v>0</v>
      </c>
      <c r="DU648">
        <v>0</v>
      </c>
    </row>
    <row r="649" spans="2:125">
      <c r="B649" s="136">
        <v>640</v>
      </c>
      <c r="C649" s="138">
        <v>1</v>
      </c>
      <c r="D649" s="474">
        <v>3145.2159937630499</v>
      </c>
      <c r="E649" s="127">
        <v>278.47404678540647</v>
      </c>
      <c r="F649" s="447">
        <v>0.41347324169978639</v>
      </c>
      <c r="G649" s="127">
        <v>121.79875610747024</v>
      </c>
      <c r="H649" s="132">
        <v>50.252748918204759</v>
      </c>
      <c r="I649" s="456"/>
      <c r="J649" s="45"/>
      <c r="K649" s="45">
        <v>480</v>
      </c>
      <c r="L649" s="463"/>
      <c r="M649" s="456">
        <v>34.786457061767578</v>
      </c>
      <c r="N649" s="457"/>
      <c r="O649" s="456"/>
      <c r="P649" s="46"/>
      <c r="Q649" s="463">
        <v>62.275279998779297</v>
      </c>
      <c r="R649" s="449"/>
      <c r="S649" s="463"/>
      <c r="T649" s="480"/>
      <c r="U649" s="468"/>
      <c r="V649" s="449"/>
      <c r="W649" s="45">
        <v>1474.93408203125</v>
      </c>
      <c r="X649" s="463">
        <v>124.35533142089844</v>
      </c>
      <c r="Y649" s="449"/>
      <c r="Z649" s="45"/>
      <c r="AA649" s="468">
        <v>0.40289544198747124</v>
      </c>
      <c r="AB649" s="456"/>
      <c r="AC649" s="46"/>
      <c r="AD649" s="46"/>
      <c r="AE649" s="46"/>
      <c r="AF649" s="46"/>
      <c r="AG649" s="46"/>
      <c r="AH649" s="46"/>
      <c r="AI649" s="457"/>
      <c r="AJ649" s="138"/>
      <c r="AK649" s="745"/>
      <c r="AL649" s="54"/>
      <c r="AM649" s="468"/>
      <c r="AN649" s="449"/>
      <c r="AO649" s="45"/>
      <c r="AP649" s="45"/>
      <c r="AQ649" s="45"/>
      <c r="AR649" s="45"/>
      <c r="AS649" s="45"/>
      <c r="AT649" s="45"/>
      <c r="AU649" s="463"/>
      <c r="AV649" s="449"/>
      <c r="AW649" s="45"/>
      <c r="AX649" s="45"/>
      <c r="AY649" s="45"/>
      <c r="AZ649" s="45"/>
      <c r="BA649" s="45"/>
      <c r="BB649" s="45"/>
      <c r="BC649" s="463"/>
      <c r="BD649" s="456"/>
      <c r="BE649" s="46"/>
      <c r="BF649" s="46"/>
      <c r="BG649" s="46"/>
      <c r="BH649" s="46"/>
      <c r="BI649" s="46"/>
      <c r="BJ649" s="457"/>
      <c r="BK649" s="449">
        <v>0</v>
      </c>
      <c r="BL649" s="45"/>
      <c r="BM649" s="45"/>
      <c r="BN649" s="45"/>
      <c r="BO649" s="45"/>
      <c r="BP649" s="45"/>
      <c r="BQ649" s="45"/>
      <c r="BR649" s="45"/>
      <c r="BS649" s="45"/>
      <c r="BT649" s="45"/>
      <c r="BU649" s="45"/>
      <c r="BV649" s="45"/>
      <c r="BW649" s="45"/>
      <c r="BX649" s="45"/>
      <c r="BY649" s="45"/>
      <c r="BZ649" s="45"/>
      <c r="CA649" s="45"/>
      <c r="CB649" s="45"/>
      <c r="CC649" s="45"/>
      <c r="CD649" s="463"/>
      <c r="CE649">
        <v>0</v>
      </c>
      <c r="CF649">
        <v>0</v>
      </c>
      <c r="CG649">
        <v>0</v>
      </c>
      <c r="CH649">
        <v>0</v>
      </c>
      <c r="CI649">
        <v>0</v>
      </c>
      <c r="CJ649">
        <v>0</v>
      </c>
      <c r="CK649">
        <v>0</v>
      </c>
      <c r="CL649">
        <v>0</v>
      </c>
      <c r="CM649">
        <v>0</v>
      </c>
      <c r="CN649">
        <v>0</v>
      </c>
      <c r="CO649">
        <v>0</v>
      </c>
      <c r="CP649">
        <v>0</v>
      </c>
      <c r="CQ649">
        <v>0</v>
      </c>
      <c r="CR649">
        <v>0</v>
      </c>
      <c r="CS649">
        <v>0</v>
      </c>
      <c r="CT649">
        <v>0</v>
      </c>
      <c r="CU649">
        <v>0</v>
      </c>
      <c r="CV649">
        <v>0</v>
      </c>
      <c r="CW649">
        <v>0</v>
      </c>
      <c r="CX649">
        <v>0</v>
      </c>
      <c r="CY649">
        <v>0</v>
      </c>
      <c r="CZ649">
        <v>0</v>
      </c>
      <c r="DA649">
        <v>0</v>
      </c>
      <c r="DB649">
        <v>0</v>
      </c>
      <c r="DC649">
        <v>0</v>
      </c>
      <c r="DD649">
        <v>0</v>
      </c>
      <c r="DE649">
        <v>0</v>
      </c>
      <c r="DF649">
        <v>0</v>
      </c>
      <c r="DG649">
        <v>0</v>
      </c>
      <c r="DH649">
        <v>0</v>
      </c>
      <c r="DI649">
        <v>0</v>
      </c>
      <c r="DJ649">
        <v>0</v>
      </c>
      <c r="DK649">
        <v>0</v>
      </c>
      <c r="DL649">
        <v>0</v>
      </c>
      <c r="DM649">
        <v>0</v>
      </c>
      <c r="DN649">
        <v>0</v>
      </c>
      <c r="DO649">
        <v>0</v>
      </c>
      <c r="DP649">
        <v>0</v>
      </c>
      <c r="DQ649">
        <v>0</v>
      </c>
      <c r="DR649">
        <v>0</v>
      </c>
      <c r="DS649">
        <v>0</v>
      </c>
      <c r="DT649">
        <v>0</v>
      </c>
      <c r="DU649">
        <v>0</v>
      </c>
    </row>
    <row r="650" spans="2:125">
      <c r="B650" s="136">
        <v>641</v>
      </c>
      <c r="C650" s="138">
        <v>1</v>
      </c>
      <c r="D650" s="474">
        <v>3358.045255701988</v>
      </c>
      <c r="E650" s="127">
        <v>266.74840329544372</v>
      </c>
      <c r="F650" s="447">
        <v>0.40895153457836053</v>
      </c>
      <c r="G650" s="127">
        <v>116.6002045728102</v>
      </c>
      <c r="H650" s="132">
        <v>55.92704329295799</v>
      </c>
      <c r="I650" s="456"/>
      <c r="J650" s="45"/>
      <c r="K650" s="45">
        <v>480</v>
      </c>
      <c r="L650" s="463"/>
      <c r="M650" s="456">
        <v>32.668102264404297</v>
      </c>
      <c r="N650" s="457"/>
      <c r="O650" s="456"/>
      <c r="P650" s="46"/>
      <c r="Q650" s="463">
        <v>66.489303588867188</v>
      </c>
      <c r="R650" s="449"/>
      <c r="S650" s="463"/>
      <c r="T650" s="480"/>
      <c r="U650" s="468"/>
      <c r="V650" s="449"/>
      <c r="W650" s="45">
        <v>1443.7169189453125</v>
      </c>
      <c r="X650" s="463">
        <v>122.08164978027344</v>
      </c>
      <c r="Y650" s="449"/>
      <c r="Z650" s="45"/>
      <c r="AA650" s="468">
        <v>0.39907107491652932</v>
      </c>
      <c r="AB650" s="456"/>
      <c r="AC650" s="46"/>
      <c r="AD650" s="46"/>
      <c r="AE650" s="46"/>
      <c r="AF650" s="46"/>
      <c r="AG650" s="46"/>
      <c r="AH650" s="46"/>
      <c r="AI650" s="457"/>
      <c r="AJ650" s="138"/>
      <c r="AK650" s="745"/>
      <c r="AL650" s="54"/>
      <c r="AM650" s="468"/>
      <c r="AN650" s="449"/>
      <c r="AO650" s="45"/>
      <c r="AP650" s="45"/>
      <c r="AQ650" s="45"/>
      <c r="AR650" s="45"/>
      <c r="AS650" s="45"/>
      <c r="AT650" s="45"/>
      <c r="AU650" s="463"/>
      <c r="AV650" s="449"/>
      <c r="AW650" s="45"/>
      <c r="AX650" s="45"/>
      <c r="AY650" s="45"/>
      <c r="AZ650" s="45"/>
      <c r="BA650" s="45"/>
      <c r="BB650" s="45"/>
      <c r="BC650" s="463"/>
      <c r="BD650" s="456"/>
      <c r="BE650" s="46"/>
      <c r="BF650" s="46"/>
      <c r="BG650" s="46"/>
      <c r="BH650" s="46"/>
      <c r="BI650" s="46"/>
      <c r="BJ650" s="457"/>
      <c r="BK650" s="449">
        <v>0</v>
      </c>
      <c r="BL650" s="45"/>
      <c r="BM650" s="45"/>
      <c r="BN650" s="45"/>
      <c r="BO650" s="45"/>
      <c r="BP650" s="45"/>
      <c r="BQ650" s="45"/>
      <c r="BR650" s="45"/>
      <c r="BS650" s="45"/>
      <c r="BT650" s="45"/>
      <c r="BU650" s="45"/>
      <c r="BV650" s="45"/>
      <c r="BW650" s="45"/>
      <c r="BX650" s="45"/>
      <c r="BY650" s="45"/>
      <c r="BZ650" s="45"/>
      <c r="CA650" s="45"/>
      <c r="CB650" s="45"/>
      <c r="CC650" s="45"/>
      <c r="CD650" s="463"/>
      <c r="CE650">
        <v>0</v>
      </c>
      <c r="CF650">
        <v>0</v>
      </c>
      <c r="CG650">
        <v>0</v>
      </c>
      <c r="CH650">
        <v>0</v>
      </c>
      <c r="CI650">
        <v>0</v>
      </c>
      <c r="CJ650">
        <v>0</v>
      </c>
      <c r="CK650">
        <v>0</v>
      </c>
      <c r="CL650">
        <v>0</v>
      </c>
      <c r="CM650">
        <v>0</v>
      </c>
      <c r="CN650">
        <v>0</v>
      </c>
      <c r="CO650">
        <v>0</v>
      </c>
      <c r="CP650">
        <v>0</v>
      </c>
      <c r="CQ650">
        <v>0</v>
      </c>
      <c r="CR650">
        <v>0</v>
      </c>
      <c r="CS650">
        <v>0</v>
      </c>
      <c r="CT650">
        <v>0</v>
      </c>
      <c r="CU650">
        <v>0</v>
      </c>
      <c r="CV650">
        <v>0</v>
      </c>
      <c r="CW650">
        <v>0</v>
      </c>
      <c r="CX650">
        <v>0</v>
      </c>
      <c r="CY650">
        <v>0</v>
      </c>
      <c r="CZ650">
        <v>0</v>
      </c>
      <c r="DA650">
        <v>0</v>
      </c>
      <c r="DB650">
        <v>0</v>
      </c>
      <c r="DC650">
        <v>0</v>
      </c>
      <c r="DD650">
        <v>0</v>
      </c>
      <c r="DE650">
        <v>0</v>
      </c>
      <c r="DF650">
        <v>0</v>
      </c>
      <c r="DG650">
        <v>0</v>
      </c>
      <c r="DH650">
        <v>0</v>
      </c>
      <c r="DI650">
        <v>0</v>
      </c>
      <c r="DJ650">
        <v>0</v>
      </c>
      <c r="DK650">
        <v>0</v>
      </c>
      <c r="DL650">
        <v>0</v>
      </c>
      <c r="DM650">
        <v>0</v>
      </c>
      <c r="DN650">
        <v>0</v>
      </c>
      <c r="DO650">
        <v>0</v>
      </c>
      <c r="DP650">
        <v>0</v>
      </c>
      <c r="DQ650">
        <v>0</v>
      </c>
      <c r="DR650">
        <v>0</v>
      </c>
      <c r="DS650">
        <v>0</v>
      </c>
      <c r="DT650">
        <v>0</v>
      </c>
      <c r="DU650">
        <v>0</v>
      </c>
    </row>
    <row r="651" spans="2:125">
      <c r="B651" s="136">
        <v>642</v>
      </c>
      <c r="C651" s="138">
        <v>1</v>
      </c>
      <c r="D651" s="474">
        <v>3466.2070142266984</v>
      </c>
      <c r="E651" s="127">
        <v>216.61979580182836</v>
      </c>
      <c r="F651" s="447">
        <v>0.38940696974421046</v>
      </c>
      <c r="G651" s="127">
        <v>108.13741942521844</v>
      </c>
      <c r="H651" s="132">
        <v>65.784304975347354</v>
      </c>
      <c r="I651" s="456"/>
      <c r="J651" s="45"/>
      <c r="K651" s="45">
        <v>490</v>
      </c>
      <c r="L651" s="463"/>
      <c r="M651" s="456">
        <v>28.46142578125</v>
      </c>
      <c r="N651" s="457"/>
      <c r="O651" s="456"/>
      <c r="P651" s="46"/>
      <c r="Q651" s="463">
        <v>77.107955932617188</v>
      </c>
      <c r="R651" s="449"/>
      <c r="S651" s="463"/>
      <c r="T651" s="480"/>
      <c r="U651" s="468"/>
      <c r="V651" s="449"/>
      <c r="W651" s="45">
        <v>1383.323486328125</v>
      </c>
      <c r="X651" s="463">
        <v>117.74928283691406</v>
      </c>
      <c r="Y651" s="449"/>
      <c r="Z651" s="45"/>
      <c r="AA651" s="468">
        <v>0.37994759837362918</v>
      </c>
      <c r="AB651" s="456"/>
      <c r="AC651" s="46"/>
      <c r="AD651" s="46"/>
      <c r="AE651" s="46"/>
      <c r="AF651" s="46"/>
      <c r="AG651" s="46"/>
      <c r="AH651" s="46"/>
      <c r="AI651" s="457"/>
      <c r="AJ651" s="138"/>
      <c r="AK651" s="745"/>
      <c r="AL651" s="54"/>
      <c r="AM651" s="468"/>
      <c r="AN651" s="449"/>
      <c r="AO651" s="45"/>
      <c r="AP651" s="45"/>
      <c r="AQ651" s="45"/>
      <c r="AR651" s="45"/>
      <c r="AS651" s="45"/>
      <c r="AT651" s="45"/>
      <c r="AU651" s="463"/>
      <c r="AV651" s="449"/>
      <c r="AW651" s="45"/>
      <c r="AX651" s="45"/>
      <c r="AY651" s="45"/>
      <c r="AZ651" s="45"/>
      <c r="BA651" s="45"/>
      <c r="BB651" s="45"/>
      <c r="BC651" s="463"/>
      <c r="BD651" s="456"/>
      <c r="BE651" s="46"/>
      <c r="BF651" s="46"/>
      <c r="BG651" s="46"/>
      <c r="BH651" s="46"/>
      <c r="BI651" s="46"/>
      <c r="BJ651" s="457"/>
      <c r="BK651" s="449">
        <v>0</v>
      </c>
      <c r="BL651" s="45"/>
      <c r="BM651" s="45"/>
      <c r="BN651" s="45"/>
      <c r="BO651" s="45"/>
      <c r="BP651" s="45"/>
      <c r="BQ651" s="45"/>
      <c r="BR651" s="45"/>
      <c r="BS651" s="45"/>
      <c r="BT651" s="45"/>
      <c r="BU651" s="45"/>
      <c r="BV651" s="45"/>
      <c r="BW651" s="45"/>
      <c r="BX651" s="45"/>
      <c r="BY651" s="45"/>
      <c r="BZ651" s="45"/>
      <c r="CA651" s="45"/>
      <c r="CB651" s="45"/>
      <c r="CC651" s="45"/>
      <c r="CD651" s="463"/>
      <c r="CE651">
        <v>0</v>
      </c>
      <c r="CF651">
        <v>0</v>
      </c>
      <c r="CG651">
        <v>0</v>
      </c>
      <c r="CH651">
        <v>0</v>
      </c>
      <c r="CI651">
        <v>0</v>
      </c>
      <c r="CJ651">
        <v>0</v>
      </c>
      <c r="CK651">
        <v>0</v>
      </c>
      <c r="CL651">
        <v>0</v>
      </c>
      <c r="CM651">
        <v>0</v>
      </c>
      <c r="CN651">
        <v>0</v>
      </c>
      <c r="CO651">
        <v>0</v>
      </c>
      <c r="CP651">
        <v>0</v>
      </c>
      <c r="CQ651">
        <v>0</v>
      </c>
      <c r="CR651">
        <v>0</v>
      </c>
      <c r="CS651">
        <v>0</v>
      </c>
      <c r="CT651">
        <v>0</v>
      </c>
      <c r="CU651">
        <v>0</v>
      </c>
      <c r="CV651">
        <v>0</v>
      </c>
      <c r="CW651">
        <v>0</v>
      </c>
      <c r="CX651">
        <v>0</v>
      </c>
      <c r="CY651">
        <v>0</v>
      </c>
      <c r="CZ651">
        <v>0</v>
      </c>
      <c r="DA651">
        <v>0</v>
      </c>
      <c r="DB651">
        <v>0</v>
      </c>
      <c r="DC651">
        <v>0</v>
      </c>
      <c r="DD651">
        <v>0</v>
      </c>
      <c r="DE651">
        <v>0</v>
      </c>
      <c r="DF651">
        <v>0</v>
      </c>
      <c r="DG651">
        <v>0</v>
      </c>
      <c r="DH651">
        <v>0</v>
      </c>
      <c r="DI651">
        <v>0</v>
      </c>
      <c r="DJ651">
        <v>0</v>
      </c>
      <c r="DK651">
        <v>0</v>
      </c>
      <c r="DL651">
        <v>0</v>
      </c>
      <c r="DM651">
        <v>0</v>
      </c>
      <c r="DN651">
        <v>0</v>
      </c>
      <c r="DO651">
        <v>0</v>
      </c>
      <c r="DP651">
        <v>0</v>
      </c>
      <c r="DQ651">
        <v>0</v>
      </c>
      <c r="DR651">
        <v>0</v>
      </c>
      <c r="DS651">
        <v>0</v>
      </c>
      <c r="DT651">
        <v>0</v>
      </c>
      <c r="DU651">
        <v>0</v>
      </c>
    </row>
    <row r="652" spans="2:125">
      <c r="B652" s="136">
        <v>643</v>
      </c>
      <c r="C652" s="138">
        <v>1</v>
      </c>
      <c r="D652" s="474">
        <v>3460.5941844778445</v>
      </c>
      <c r="E652" s="127">
        <v>338.60638731704489</v>
      </c>
      <c r="F652" s="447">
        <v>0.40655948125751107</v>
      </c>
      <c r="G652" s="127">
        <v>130.21309196616352</v>
      </c>
      <c r="H652" s="132">
        <v>54.166985949311922</v>
      </c>
      <c r="I652" s="456"/>
      <c r="J652" s="45"/>
      <c r="K652" s="45">
        <v>510</v>
      </c>
      <c r="L652" s="463"/>
      <c r="M652" s="456">
        <v>33.930522918701172</v>
      </c>
      <c r="N652" s="457"/>
      <c r="O652" s="456"/>
      <c r="P652" s="46"/>
      <c r="Q652" s="463">
        <v>68.519767761230469</v>
      </c>
      <c r="R652" s="449"/>
      <c r="S652" s="463"/>
      <c r="T652" s="480"/>
      <c r="U652" s="468"/>
      <c r="V652" s="449"/>
      <c r="W652" s="45">
        <v>1532.272705078125</v>
      </c>
      <c r="X652" s="463">
        <v>128.67536926269531</v>
      </c>
      <c r="Y652" s="449"/>
      <c r="Z652" s="45"/>
      <c r="AA652" s="468">
        <v>0.39698563703915202</v>
      </c>
      <c r="AB652" s="456"/>
      <c r="AC652" s="46"/>
      <c r="AD652" s="46"/>
      <c r="AE652" s="46"/>
      <c r="AF652" s="46"/>
      <c r="AG652" s="46"/>
      <c r="AH652" s="46"/>
      <c r="AI652" s="457"/>
      <c r="AJ652" s="138"/>
      <c r="AK652" s="745"/>
      <c r="AL652" s="54"/>
      <c r="AM652" s="468"/>
      <c r="AN652" s="449"/>
      <c r="AO652" s="45"/>
      <c r="AP652" s="45"/>
      <c r="AQ652" s="45"/>
      <c r="AR652" s="45"/>
      <c r="AS652" s="45"/>
      <c r="AT652" s="45"/>
      <c r="AU652" s="463"/>
      <c r="AV652" s="449"/>
      <c r="AW652" s="45"/>
      <c r="AX652" s="45"/>
      <c r="AY652" s="45"/>
      <c r="AZ652" s="45"/>
      <c r="BA652" s="45"/>
      <c r="BB652" s="45"/>
      <c r="BC652" s="463"/>
      <c r="BD652" s="456"/>
      <c r="BE652" s="46"/>
      <c r="BF652" s="46"/>
      <c r="BG652" s="46"/>
      <c r="BH652" s="46"/>
      <c r="BI652" s="46"/>
      <c r="BJ652" s="457"/>
      <c r="BK652" s="449">
        <v>0</v>
      </c>
      <c r="BL652" s="45"/>
      <c r="BM652" s="45"/>
      <c r="BN652" s="45"/>
      <c r="BO652" s="45"/>
      <c r="BP652" s="45"/>
      <c r="BQ652" s="45"/>
      <c r="BR652" s="45"/>
      <c r="BS652" s="45"/>
      <c r="BT652" s="45"/>
      <c r="BU652" s="45"/>
      <c r="BV652" s="45"/>
      <c r="BW652" s="45"/>
      <c r="BX652" s="45"/>
      <c r="BY652" s="45"/>
      <c r="BZ652" s="45"/>
      <c r="CA652" s="45"/>
      <c r="CB652" s="45"/>
      <c r="CC652" s="45"/>
      <c r="CD652" s="463"/>
      <c r="CE652">
        <v>0</v>
      </c>
      <c r="CF652">
        <v>0</v>
      </c>
      <c r="CG652">
        <v>0</v>
      </c>
      <c r="CH652">
        <v>0</v>
      </c>
      <c r="CI652">
        <v>0</v>
      </c>
      <c r="CJ652">
        <v>0</v>
      </c>
      <c r="CK652">
        <v>0</v>
      </c>
      <c r="CL652">
        <v>0</v>
      </c>
      <c r="CM652">
        <v>0</v>
      </c>
      <c r="CN652">
        <v>0</v>
      </c>
      <c r="CO652">
        <v>0</v>
      </c>
      <c r="CP652">
        <v>0</v>
      </c>
      <c r="CQ652">
        <v>0</v>
      </c>
      <c r="CR652">
        <v>0</v>
      </c>
      <c r="CS652">
        <v>0</v>
      </c>
      <c r="CT652">
        <v>0</v>
      </c>
      <c r="CU652">
        <v>0</v>
      </c>
      <c r="CV652">
        <v>0</v>
      </c>
      <c r="CW652">
        <v>0</v>
      </c>
      <c r="CX652">
        <v>0</v>
      </c>
      <c r="CY652">
        <v>0</v>
      </c>
      <c r="CZ652">
        <v>0</v>
      </c>
      <c r="DA652">
        <v>0</v>
      </c>
      <c r="DB652">
        <v>0</v>
      </c>
      <c r="DC652">
        <v>0</v>
      </c>
      <c r="DD652">
        <v>0</v>
      </c>
      <c r="DE652">
        <v>0</v>
      </c>
      <c r="DF652">
        <v>0</v>
      </c>
      <c r="DG652">
        <v>0</v>
      </c>
      <c r="DH652">
        <v>0</v>
      </c>
      <c r="DI652">
        <v>0</v>
      </c>
      <c r="DJ652">
        <v>0</v>
      </c>
      <c r="DK652">
        <v>0</v>
      </c>
      <c r="DL652">
        <v>0</v>
      </c>
      <c r="DM652">
        <v>0</v>
      </c>
      <c r="DN652">
        <v>0</v>
      </c>
      <c r="DO652">
        <v>0</v>
      </c>
      <c r="DP652">
        <v>0</v>
      </c>
      <c r="DQ652">
        <v>0</v>
      </c>
      <c r="DR652">
        <v>0</v>
      </c>
      <c r="DS652">
        <v>0</v>
      </c>
      <c r="DT652">
        <v>0</v>
      </c>
      <c r="DU652">
        <v>0</v>
      </c>
    </row>
    <row r="653" spans="2:125">
      <c r="B653" s="136">
        <v>644</v>
      </c>
      <c r="C653" s="138">
        <v>1</v>
      </c>
      <c r="D653" s="474">
        <v>2635.6656802772327</v>
      </c>
      <c r="E653" s="127">
        <v>201.1658149039236</v>
      </c>
      <c r="F653" s="447">
        <v>0.44102710651348692</v>
      </c>
      <c r="G653" s="127">
        <v>82.819946196511765</v>
      </c>
      <c r="H653" s="132">
        <v>59.195952089670129</v>
      </c>
      <c r="I653" s="456"/>
      <c r="J653" s="45"/>
      <c r="K653" s="45">
        <v>390</v>
      </c>
      <c r="L653" s="463"/>
      <c r="M653" s="456">
        <v>32.638107299804688</v>
      </c>
      <c r="N653" s="457"/>
      <c r="O653" s="456"/>
      <c r="P653" s="46"/>
      <c r="Q653" s="463">
        <v>60.593017578125</v>
      </c>
      <c r="R653" s="449"/>
      <c r="S653" s="463"/>
      <c r="T653" s="480"/>
      <c r="U653" s="468"/>
      <c r="V653" s="449"/>
      <c r="W653" s="45">
        <v>1338.6751708984375</v>
      </c>
      <c r="X653" s="463">
        <v>114.06937408447266</v>
      </c>
      <c r="Y653" s="449"/>
      <c r="Z653" s="45"/>
      <c r="AA653" s="468">
        <v>0.42819522787904929</v>
      </c>
      <c r="AB653" s="456"/>
      <c r="AC653" s="46"/>
      <c r="AD653" s="46"/>
      <c r="AE653" s="46"/>
      <c r="AF653" s="46"/>
      <c r="AG653" s="46"/>
      <c r="AH653" s="46"/>
      <c r="AI653" s="457"/>
      <c r="AJ653" s="138"/>
      <c r="AK653" s="745"/>
      <c r="AL653" s="54"/>
      <c r="AM653" s="468"/>
      <c r="AN653" s="449"/>
      <c r="AO653" s="45"/>
      <c r="AP653" s="45"/>
      <c r="AQ653" s="45"/>
      <c r="AR653" s="45"/>
      <c r="AS653" s="45"/>
      <c r="AT653" s="45"/>
      <c r="AU653" s="463"/>
      <c r="AV653" s="449"/>
      <c r="AW653" s="45"/>
      <c r="AX653" s="45"/>
      <c r="AY653" s="45"/>
      <c r="AZ653" s="45"/>
      <c r="BA653" s="45"/>
      <c r="BB653" s="45"/>
      <c r="BC653" s="463"/>
      <c r="BD653" s="456"/>
      <c r="BE653" s="46"/>
      <c r="BF653" s="46"/>
      <c r="BG653" s="46"/>
      <c r="BH653" s="46"/>
      <c r="BI653" s="46"/>
      <c r="BJ653" s="457"/>
      <c r="BK653" s="449">
        <v>0</v>
      </c>
      <c r="BL653" s="45"/>
      <c r="BM653" s="45"/>
      <c r="BN653" s="45"/>
      <c r="BO653" s="45"/>
      <c r="BP653" s="45"/>
      <c r="BQ653" s="45"/>
      <c r="BR653" s="45"/>
      <c r="BS653" s="45"/>
      <c r="BT653" s="45"/>
      <c r="BU653" s="45"/>
      <c r="BV653" s="45"/>
      <c r="BW653" s="45"/>
      <c r="BX653" s="45"/>
      <c r="BY653" s="45"/>
      <c r="BZ653" s="45"/>
      <c r="CA653" s="45"/>
      <c r="CB653" s="45"/>
      <c r="CC653" s="45"/>
      <c r="CD653" s="463"/>
      <c r="CE653">
        <v>0</v>
      </c>
      <c r="CF653">
        <v>0</v>
      </c>
      <c r="CG653">
        <v>0</v>
      </c>
      <c r="CH653">
        <v>0</v>
      </c>
      <c r="CI653">
        <v>0</v>
      </c>
      <c r="CJ653">
        <v>0</v>
      </c>
      <c r="CK653">
        <v>0</v>
      </c>
      <c r="CL653">
        <v>0</v>
      </c>
      <c r="CM653">
        <v>0</v>
      </c>
      <c r="CN653">
        <v>0</v>
      </c>
      <c r="CO653">
        <v>0</v>
      </c>
      <c r="CP653">
        <v>0</v>
      </c>
      <c r="CQ653">
        <v>0</v>
      </c>
      <c r="CR653">
        <v>0</v>
      </c>
      <c r="CS653">
        <v>0</v>
      </c>
      <c r="CT653">
        <v>0</v>
      </c>
      <c r="CU653">
        <v>0</v>
      </c>
      <c r="CV653">
        <v>0</v>
      </c>
      <c r="CW653">
        <v>0</v>
      </c>
      <c r="CX653">
        <v>0</v>
      </c>
      <c r="CY653">
        <v>0</v>
      </c>
      <c r="CZ653">
        <v>0</v>
      </c>
      <c r="DA653">
        <v>0</v>
      </c>
      <c r="DB653">
        <v>0</v>
      </c>
      <c r="DC653">
        <v>0</v>
      </c>
      <c r="DD653">
        <v>0</v>
      </c>
      <c r="DE653">
        <v>0</v>
      </c>
      <c r="DF653">
        <v>0</v>
      </c>
      <c r="DG653">
        <v>0</v>
      </c>
      <c r="DH653">
        <v>0</v>
      </c>
      <c r="DI653">
        <v>0</v>
      </c>
      <c r="DJ653">
        <v>0</v>
      </c>
      <c r="DK653">
        <v>0</v>
      </c>
      <c r="DL653">
        <v>0</v>
      </c>
      <c r="DM653">
        <v>0</v>
      </c>
      <c r="DN653">
        <v>0</v>
      </c>
      <c r="DO653">
        <v>0</v>
      </c>
      <c r="DP653">
        <v>0</v>
      </c>
      <c r="DQ653">
        <v>0</v>
      </c>
      <c r="DR653">
        <v>0</v>
      </c>
      <c r="DS653">
        <v>0</v>
      </c>
      <c r="DT653">
        <v>0</v>
      </c>
      <c r="DU653">
        <v>0</v>
      </c>
    </row>
    <row r="654" spans="2:125">
      <c r="B654" s="136">
        <v>645</v>
      </c>
      <c r="C654" s="138">
        <v>1</v>
      </c>
      <c r="D654" s="474">
        <v>2883.3104823890335</v>
      </c>
      <c r="E654" s="127">
        <v>293.71431690779809</v>
      </c>
      <c r="F654" s="447">
        <v>0.41274293042917065</v>
      </c>
      <c r="G654" s="127">
        <v>103.90217916855394</v>
      </c>
      <c r="H654" s="132">
        <v>50.23923203429537</v>
      </c>
      <c r="I654" s="456"/>
      <c r="J654" s="45"/>
      <c r="K654" s="45">
        <v>420</v>
      </c>
      <c r="L654" s="463"/>
      <c r="M654" s="456">
        <v>33.036087036132813</v>
      </c>
      <c r="N654" s="457"/>
      <c r="O654" s="456"/>
      <c r="P654" s="46"/>
      <c r="Q654" s="463">
        <v>57.089550018310547</v>
      </c>
      <c r="R654" s="449"/>
      <c r="S654" s="463"/>
      <c r="T654" s="480"/>
      <c r="U654" s="468"/>
      <c r="V654" s="449"/>
      <c r="W654" s="45">
        <v>1315.315673828125</v>
      </c>
      <c r="X654" s="463">
        <v>112.50853729248047</v>
      </c>
      <c r="Y654" s="449"/>
      <c r="Z654" s="45"/>
      <c r="AA654" s="468">
        <v>0.40120936204945551</v>
      </c>
      <c r="AB654" s="456"/>
      <c r="AC654" s="46"/>
      <c r="AD654" s="46"/>
      <c r="AE654" s="46"/>
      <c r="AF654" s="46"/>
      <c r="AG654" s="46"/>
      <c r="AH654" s="46"/>
      <c r="AI654" s="457"/>
      <c r="AJ654" s="138"/>
      <c r="AK654" s="745"/>
      <c r="AL654" s="54"/>
      <c r="AM654" s="468"/>
      <c r="AN654" s="449"/>
      <c r="AO654" s="45"/>
      <c r="AP654" s="45"/>
      <c r="AQ654" s="45"/>
      <c r="AR654" s="45"/>
      <c r="AS654" s="45"/>
      <c r="AT654" s="45"/>
      <c r="AU654" s="463"/>
      <c r="AV654" s="449"/>
      <c r="AW654" s="45"/>
      <c r="AX654" s="45"/>
      <c r="AY654" s="45"/>
      <c r="AZ654" s="45"/>
      <c r="BA654" s="45"/>
      <c r="BB654" s="45"/>
      <c r="BC654" s="463"/>
      <c r="BD654" s="456"/>
      <c r="BE654" s="46"/>
      <c r="BF654" s="46"/>
      <c r="BG654" s="46"/>
      <c r="BH654" s="46"/>
      <c r="BI654" s="46"/>
      <c r="BJ654" s="457"/>
      <c r="BK654" s="449">
        <v>0</v>
      </c>
      <c r="BL654" s="45"/>
      <c r="BM654" s="45"/>
      <c r="BN654" s="45"/>
      <c r="BO654" s="45"/>
      <c r="BP654" s="45"/>
      <c r="BQ654" s="45"/>
      <c r="BR654" s="45"/>
      <c r="BS654" s="45"/>
      <c r="BT654" s="45"/>
      <c r="BU654" s="45"/>
      <c r="BV654" s="45"/>
      <c r="BW654" s="45"/>
      <c r="BX654" s="45"/>
      <c r="BY654" s="45"/>
      <c r="BZ654" s="45"/>
      <c r="CA654" s="45"/>
      <c r="CB654" s="45"/>
      <c r="CC654" s="45"/>
      <c r="CD654" s="463"/>
      <c r="CE654">
        <v>0</v>
      </c>
      <c r="CF654">
        <v>0</v>
      </c>
      <c r="CG654">
        <v>0</v>
      </c>
      <c r="CH654">
        <v>0</v>
      </c>
      <c r="CI654">
        <v>0</v>
      </c>
      <c r="CJ654">
        <v>0</v>
      </c>
      <c r="CK654">
        <v>0</v>
      </c>
      <c r="CL654">
        <v>0</v>
      </c>
      <c r="CM654">
        <v>0</v>
      </c>
      <c r="CN654">
        <v>0</v>
      </c>
      <c r="CO654">
        <v>0</v>
      </c>
      <c r="CP654">
        <v>0</v>
      </c>
      <c r="CQ654">
        <v>0</v>
      </c>
      <c r="CR654">
        <v>0</v>
      </c>
      <c r="CS654">
        <v>0</v>
      </c>
      <c r="CT654">
        <v>0</v>
      </c>
      <c r="CU654">
        <v>0</v>
      </c>
      <c r="CV654">
        <v>0</v>
      </c>
      <c r="CW654">
        <v>0</v>
      </c>
      <c r="CX654">
        <v>0</v>
      </c>
      <c r="CY654">
        <v>0</v>
      </c>
      <c r="CZ654">
        <v>0</v>
      </c>
      <c r="DA654">
        <v>0</v>
      </c>
      <c r="DB654">
        <v>0</v>
      </c>
      <c r="DC654">
        <v>0</v>
      </c>
      <c r="DD654">
        <v>0</v>
      </c>
      <c r="DE654">
        <v>0</v>
      </c>
      <c r="DF654">
        <v>0</v>
      </c>
      <c r="DG654">
        <v>0</v>
      </c>
      <c r="DH654">
        <v>0</v>
      </c>
      <c r="DI654">
        <v>0</v>
      </c>
      <c r="DJ654">
        <v>0</v>
      </c>
      <c r="DK654">
        <v>0</v>
      </c>
      <c r="DL654">
        <v>0</v>
      </c>
      <c r="DM654">
        <v>0</v>
      </c>
      <c r="DN654">
        <v>0</v>
      </c>
      <c r="DO654">
        <v>0</v>
      </c>
      <c r="DP654">
        <v>0</v>
      </c>
      <c r="DQ654">
        <v>0</v>
      </c>
      <c r="DR654">
        <v>0</v>
      </c>
      <c r="DS654">
        <v>0</v>
      </c>
      <c r="DT654">
        <v>0</v>
      </c>
      <c r="DU654">
        <v>0</v>
      </c>
    </row>
    <row r="655" spans="2:125">
      <c r="B655" s="136">
        <v>646</v>
      </c>
      <c r="C655" s="138">
        <v>1</v>
      </c>
      <c r="D655" s="474">
        <v>2949.1202603736328</v>
      </c>
      <c r="E655" s="127">
        <v>242.70254829974832</v>
      </c>
      <c r="F655" s="447">
        <v>0.36996428337097592</v>
      </c>
      <c r="G655" s="127">
        <v>119.02035062917963</v>
      </c>
      <c r="H655" s="132">
        <v>55.188519834102401</v>
      </c>
      <c r="I655" s="456"/>
      <c r="J655" s="45"/>
      <c r="K655" s="45">
        <v>480</v>
      </c>
      <c r="L655" s="463"/>
      <c r="M655" s="456">
        <v>28.656253814697266</v>
      </c>
      <c r="N655" s="457"/>
      <c r="O655" s="456"/>
      <c r="P655" s="46"/>
      <c r="Q655" s="463">
        <v>66.374832153320312</v>
      </c>
      <c r="R655" s="449"/>
      <c r="S655" s="463"/>
      <c r="T655" s="480"/>
      <c r="U655" s="468"/>
      <c r="V655" s="449"/>
      <c r="W655" s="45">
        <v>1282.7591552734375</v>
      </c>
      <c r="X655" s="463">
        <v>110.37519836425781</v>
      </c>
      <c r="Y655" s="449"/>
      <c r="Z655" s="45"/>
      <c r="AA655" s="468">
        <v>0.35897819843481443</v>
      </c>
      <c r="AB655" s="456"/>
      <c r="AC655" s="46"/>
      <c r="AD655" s="46"/>
      <c r="AE655" s="46"/>
      <c r="AF655" s="46"/>
      <c r="AG655" s="46"/>
      <c r="AH655" s="46"/>
      <c r="AI655" s="457"/>
      <c r="AJ655" s="138"/>
      <c r="AK655" s="745"/>
      <c r="AL655" s="54"/>
      <c r="AM655" s="468"/>
      <c r="AN655" s="449"/>
      <c r="AO655" s="45"/>
      <c r="AP655" s="45"/>
      <c r="AQ655" s="45"/>
      <c r="AR655" s="45"/>
      <c r="AS655" s="45"/>
      <c r="AT655" s="45"/>
      <c r="AU655" s="463"/>
      <c r="AV655" s="449"/>
      <c r="AW655" s="45"/>
      <c r="AX655" s="45"/>
      <c r="AY655" s="45"/>
      <c r="AZ655" s="45"/>
      <c r="BA655" s="45"/>
      <c r="BB655" s="45"/>
      <c r="BC655" s="463"/>
      <c r="BD655" s="456"/>
      <c r="BE655" s="46"/>
      <c r="BF655" s="46"/>
      <c r="BG655" s="46"/>
      <c r="BH655" s="46"/>
      <c r="BI655" s="46"/>
      <c r="BJ655" s="457"/>
      <c r="BK655" s="449">
        <v>0</v>
      </c>
      <c r="BL655" s="45"/>
      <c r="BM655" s="45"/>
      <c r="BN655" s="45"/>
      <c r="BO655" s="45"/>
      <c r="BP655" s="45"/>
      <c r="BQ655" s="45"/>
      <c r="BR655" s="45"/>
      <c r="BS655" s="45"/>
      <c r="BT655" s="45"/>
      <c r="BU655" s="45"/>
      <c r="BV655" s="45"/>
      <c r="BW655" s="45"/>
      <c r="BX655" s="45"/>
      <c r="BY655" s="45"/>
      <c r="BZ655" s="45"/>
      <c r="CA655" s="45"/>
      <c r="CB655" s="45"/>
      <c r="CC655" s="45"/>
      <c r="CD655" s="463"/>
      <c r="CE655">
        <v>0</v>
      </c>
      <c r="CF655">
        <v>0</v>
      </c>
      <c r="CG655">
        <v>0</v>
      </c>
      <c r="CH655">
        <v>0</v>
      </c>
      <c r="CI655">
        <v>0</v>
      </c>
      <c r="CJ655">
        <v>0</v>
      </c>
      <c r="CK655">
        <v>0</v>
      </c>
      <c r="CL655">
        <v>0</v>
      </c>
      <c r="CM655">
        <v>0</v>
      </c>
      <c r="CN655">
        <v>0</v>
      </c>
      <c r="CO655">
        <v>0</v>
      </c>
      <c r="CP655">
        <v>0</v>
      </c>
      <c r="CQ655">
        <v>0</v>
      </c>
      <c r="CR655">
        <v>0</v>
      </c>
      <c r="CS655">
        <v>0</v>
      </c>
      <c r="CT655">
        <v>0</v>
      </c>
      <c r="CU655">
        <v>0</v>
      </c>
      <c r="CV655">
        <v>0</v>
      </c>
      <c r="CW655">
        <v>0</v>
      </c>
      <c r="CX655">
        <v>0</v>
      </c>
      <c r="CY655">
        <v>0</v>
      </c>
      <c r="CZ655">
        <v>0</v>
      </c>
      <c r="DA655">
        <v>0</v>
      </c>
      <c r="DB655">
        <v>0</v>
      </c>
      <c r="DC655">
        <v>0</v>
      </c>
      <c r="DD655">
        <v>0</v>
      </c>
      <c r="DE655">
        <v>0</v>
      </c>
      <c r="DF655">
        <v>0</v>
      </c>
      <c r="DG655">
        <v>0</v>
      </c>
      <c r="DH655">
        <v>0</v>
      </c>
      <c r="DI655">
        <v>0</v>
      </c>
      <c r="DJ655">
        <v>0</v>
      </c>
      <c r="DK655">
        <v>0</v>
      </c>
      <c r="DL655">
        <v>0</v>
      </c>
      <c r="DM655">
        <v>0</v>
      </c>
      <c r="DN655">
        <v>0</v>
      </c>
      <c r="DO655">
        <v>0</v>
      </c>
      <c r="DP655">
        <v>0</v>
      </c>
      <c r="DQ655">
        <v>0</v>
      </c>
      <c r="DR655">
        <v>0</v>
      </c>
      <c r="DS655">
        <v>0</v>
      </c>
      <c r="DT655">
        <v>0</v>
      </c>
      <c r="DU655">
        <v>0</v>
      </c>
    </row>
    <row r="656" spans="2:125">
      <c r="B656" s="136">
        <v>647</v>
      </c>
      <c r="C656" s="138">
        <v>1</v>
      </c>
      <c r="D656" s="474">
        <v>3314.3224744159329</v>
      </c>
      <c r="E656" s="127">
        <v>237.24818252179998</v>
      </c>
      <c r="F656" s="447">
        <v>0.40360195059568982</v>
      </c>
      <c r="G656" s="127">
        <v>102.85856441799292</v>
      </c>
      <c r="H656" s="132">
        <v>58.580494603582821</v>
      </c>
      <c r="I656" s="456"/>
      <c r="J656" s="45"/>
      <c r="K656" s="45">
        <v>450</v>
      </c>
      <c r="L656" s="463"/>
      <c r="M656" s="456">
        <v>30.411884307861328</v>
      </c>
      <c r="N656" s="457"/>
      <c r="O656" s="456"/>
      <c r="P656" s="46"/>
      <c r="Q656" s="463">
        <v>65.623588562011719</v>
      </c>
      <c r="R656" s="449"/>
      <c r="S656" s="463"/>
      <c r="T656" s="480"/>
      <c r="U656" s="468"/>
      <c r="V656" s="449"/>
      <c r="W656" s="45">
        <v>1332.8997802734375</v>
      </c>
      <c r="X656" s="463">
        <v>113.88924407958984</v>
      </c>
      <c r="Y656" s="449"/>
      <c r="Z656" s="45"/>
      <c r="AA656" s="468">
        <v>0.39362342881116075</v>
      </c>
      <c r="AB656" s="456"/>
      <c r="AC656" s="46"/>
      <c r="AD656" s="46"/>
      <c r="AE656" s="46"/>
      <c r="AF656" s="46"/>
      <c r="AG656" s="46"/>
      <c r="AH656" s="46"/>
      <c r="AI656" s="457"/>
      <c r="AJ656" s="138"/>
      <c r="AK656" s="745"/>
      <c r="AL656" s="54"/>
      <c r="AM656" s="468"/>
      <c r="AN656" s="449"/>
      <c r="AO656" s="45"/>
      <c r="AP656" s="45"/>
      <c r="AQ656" s="45"/>
      <c r="AR656" s="45"/>
      <c r="AS656" s="45"/>
      <c r="AT656" s="45"/>
      <c r="AU656" s="463"/>
      <c r="AV656" s="449"/>
      <c r="AW656" s="45"/>
      <c r="AX656" s="45"/>
      <c r="AY656" s="45"/>
      <c r="AZ656" s="45"/>
      <c r="BA656" s="45"/>
      <c r="BB656" s="45"/>
      <c r="BC656" s="463"/>
      <c r="BD656" s="456"/>
      <c r="BE656" s="46"/>
      <c r="BF656" s="46"/>
      <c r="BG656" s="46"/>
      <c r="BH656" s="46"/>
      <c r="BI656" s="46"/>
      <c r="BJ656" s="457"/>
      <c r="BK656" s="449">
        <v>0</v>
      </c>
      <c r="BL656" s="45"/>
      <c r="BM656" s="45"/>
      <c r="BN656" s="45"/>
      <c r="BO656" s="45"/>
      <c r="BP656" s="45"/>
      <c r="BQ656" s="45"/>
      <c r="BR656" s="45"/>
      <c r="BS656" s="45"/>
      <c r="BT656" s="45"/>
      <c r="BU656" s="45"/>
      <c r="BV656" s="45"/>
      <c r="BW656" s="45"/>
      <c r="BX656" s="45"/>
      <c r="BY656" s="45"/>
      <c r="BZ656" s="45"/>
      <c r="CA656" s="45"/>
      <c r="CB656" s="45"/>
      <c r="CC656" s="45"/>
      <c r="CD656" s="463"/>
      <c r="CE656">
        <v>0</v>
      </c>
      <c r="CF656">
        <v>0</v>
      </c>
      <c r="CG656">
        <v>0</v>
      </c>
      <c r="CH656">
        <v>0</v>
      </c>
      <c r="CI656">
        <v>0</v>
      </c>
      <c r="CJ656">
        <v>0</v>
      </c>
      <c r="CK656">
        <v>0</v>
      </c>
      <c r="CL656">
        <v>0</v>
      </c>
      <c r="CM656">
        <v>0</v>
      </c>
      <c r="CN656">
        <v>0</v>
      </c>
      <c r="CO656">
        <v>0</v>
      </c>
      <c r="CP656">
        <v>0</v>
      </c>
      <c r="CQ656">
        <v>0</v>
      </c>
      <c r="CR656">
        <v>0</v>
      </c>
      <c r="CS656">
        <v>0</v>
      </c>
      <c r="CT656">
        <v>0</v>
      </c>
      <c r="CU656">
        <v>0</v>
      </c>
      <c r="CV656">
        <v>0</v>
      </c>
      <c r="CW656">
        <v>0</v>
      </c>
      <c r="CX656">
        <v>0</v>
      </c>
      <c r="CY656">
        <v>0</v>
      </c>
      <c r="CZ656">
        <v>0</v>
      </c>
      <c r="DA656">
        <v>0</v>
      </c>
      <c r="DB656">
        <v>0</v>
      </c>
      <c r="DC656">
        <v>0</v>
      </c>
      <c r="DD656">
        <v>0</v>
      </c>
      <c r="DE656">
        <v>0</v>
      </c>
      <c r="DF656">
        <v>0</v>
      </c>
      <c r="DG656">
        <v>0</v>
      </c>
      <c r="DH656">
        <v>0</v>
      </c>
      <c r="DI656">
        <v>0</v>
      </c>
      <c r="DJ656">
        <v>0</v>
      </c>
      <c r="DK656">
        <v>0</v>
      </c>
      <c r="DL656">
        <v>0</v>
      </c>
      <c r="DM656">
        <v>0</v>
      </c>
      <c r="DN656">
        <v>0</v>
      </c>
      <c r="DO656">
        <v>0</v>
      </c>
      <c r="DP656">
        <v>0</v>
      </c>
      <c r="DQ656">
        <v>0</v>
      </c>
      <c r="DR656">
        <v>0</v>
      </c>
      <c r="DS656">
        <v>0</v>
      </c>
      <c r="DT656">
        <v>0</v>
      </c>
      <c r="DU656">
        <v>0</v>
      </c>
    </row>
    <row r="657" spans="2:125">
      <c r="B657" s="136">
        <v>648</v>
      </c>
      <c r="C657" s="138">
        <v>1</v>
      </c>
      <c r="D657" s="474">
        <v>3588.1694350228381</v>
      </c>
      <c r="E657" s="127">
        <v>253.20225007538735</v>
      </c>
      <c r="F657" s="447">
        <v>0.37012478790519365</v>
      </c>
      <c r="G657" s="127">
        <v>116.00232732611835</v>
      </c>
      <c r="H657" s="132">
        <v>59.875661290081986</v>
      </c>
      <c r="I657" s="456"/>
      <c r="J657" s="45"/>
      <c r="K657" s="45">
        <v>490</v>
      </c>
      <c r="L657" s="463"/>
      <c r="M657" s="456">
        <v>27.764797210693359</v>
      </c>
      <c r="N657" s="457"/>
      <c r="O657" s="456"/>
      <c r="P657" s="46"/>
      <c r="Q657" s="463">
        <v>71.045753479003906</v>
      </c>
      <c r="R657" s="449"/>
      <c r="S657" s="463"/>
      <c r="T657" s="480"/>
      <c r="U657" s="468"/>
      <c r="V657" s="449"/>
      <c r="W657" s="45">
        <v>1296.724365234375</v>
      </c>
      <c r="X657" s="463">
        <v>111.42167663574219</v>
      </c>
      <c r="Y657" s="449"/>
      <c r="Z657" s="45"/>
      <c r="AA657" s="468">
        <v>0.36109441842435624</v>
      </c>
      <c r="AB657" s="456"/>
      <c r="AC657" s="46"/>
      <c r="AD657" s="46"/>
      <c r="AE657" s="46"/>
      <c r="AF657" s="46"/>
      <c r="AG657" s="46"/>
      <c r="AH657" s="46"/>
      <c r="AI657" s="457"/>
      <c r="AJ657" s="138"/>
      <c r="AK657" s="745"/>
      <c r="AL657" s="54"/>
      <c r="AM657" s="468"/>
      <c r="AN657" s="449"/>
      <c r="AO657" s="45"/>
      <c r="AP657" s="45"/>
      <c r="AQ657" s="45"/>
      <c r="AR657" s="45"/>
      <c r="AS657" s="45"/>
      <c r="AT657" s="45"/>
      <c r="AU657" s="463"/>
      <c r="AV657" s="449"/>
      <c r="AW657" s="45"/>
      <c r="AX657" s="45"/>
      <c r="AY657" s="45"/>
      <c r="AZ657" s="45"/>
      <c r="BA657" s="45"/>
      <c r="BB657" s="45"/>
      <c r="BC657" s="463"/>
      <c r="BD657" s="456"/>
      <c r="BE657" s="46"/>
      <c r="BF657" s="46"/>
      <c r="BG657" s="46"/>
      <c r="BH657" s="46"/>
      <c r="BI657" s="46"/>
      <c r="BJ657" s="457"/>
      <c r="BK657" s="449">
        <v>0</v>
      </c>
      <c r="BL657" s="45"/>
      <c r="BM657" s="45"/>
      <c r="BN657" s="45"/>
      <c r="BO657" s="45"/>
      <c r="BP657" s="45"/>
      <c r="BQ657" s="45"/>
      <c r="BR657" s="45"/>
      <c r="BS657" s="45"/>
      <c r="BT657" s="45"/>
      <c r="BU657" s="45"/>
      <c r="BV657" s="45"/>
      <c r="BW657" s="45"/>
      <c r="BX657" s="45"/>
      <c r="BY657" s="45"/>
      <c r="BZ657" s="45"/>
      <c r="CA657" s="45"/>
      <c r="CB657" s="45"/>
      <c r="CC657" s="45"/>
      <c r="CD657" s="463"/>
      <c r="CE657">
        <v>0</v>
      </c>
      <c r="CF657">
        <v>0</v>
      </c>
      <c r="CG657">
        <v>0</v>
      </c>
      <c r="CH657">
        <v>0</v>
      </c>
      <c r="CI657">
        <v>0</v>
      </c>
      <c r="CJ657">
        <v>0</v>
      </c>
      <c r="CK657">
        <v>0</v>
      </c>
      <c r="CL657">
        <v>0</v>
      </c>
      <c r="CM657">
        <v>0</v>
      </c>
      <c r="CN657">
        <v>0</v>
      </c>
      <c r="CO657">
        <v>0</v>
      </c>
      <c r="CP657">
        <v>0</v>
      </c>
      <c r="CQ657">
        <v>0</v>
      </c>
      <c r="CR657">
        <v>0</v>
      </c>
      <c r="CS657">
        <v>0</v>
      </c>
      <c r="CT657">
        <v>0</v>
      </c>
      <c r="CU657">
        <v>0</v>
      </c>
      <c r="CV657">
        <v>0</v>
      </c>
      <c r="CW657">
        <v>0</v>
      </c>
      <c r="CX657">
        <v>0</v>
      </c>
      <c r="CY657">
        <v>0</v>
      </c>
      <c r="CZ657">
        <v>0</v>
      </c>
      <c r="DA657">
        <v>0</v>
      </c>
      <c r="DB657">
        <v>0</v>
      </c>
      <c r="DC657">
        <v>0</v>
      </c>
      <c r="DD657">
        <v>0</v>
      </c>
      <c r="DE657">
        <v>0</v>
      </c>
      <c r="DF657">
        <v>0</v>
      </c>
      <c r="DG657">
        <v>0</v>
      </c>
      <c r="DH657">
        <v>0</v>
      </c>
      <c r="DI657">
        <v>0</v>
      </c>
      <c r="DJ657">
        <v>0</v>
      </c>
      <c r="DK657">
        <v>0</v>
      </c>
      <c r="DL657">
        <v>0</v>
      </c>
      <c r="DM657">
        <v>0</v>
      </c>
      <c r="DN657">
        <v>0</v>
      </c>
      <c r="DO657">
        <v>0</v>
      </c>
      <c r="DP657">
        <v>0</v>
      </c>
      <c r="DQ657">
        <v>0</v>
      </c>
      <c r="DR657">
        <v>0</v>
      </c>
      <c r="DS657">
        <v>0</v>
      </c>
      <c r="DT657">
        <v>0</v>
      </c>
      <c r="DU657">
        <v>0</v>
      </c>
    </row>
    <row r="658" spans="2:125">
      <c r="B658" s="136">
        <v>649</v>
      </c>
      <c r="C658" s="138">
        <v>1</v>
      </c>
      <c r="D658" s="474">
        <v>2634.8937288588113</v>
      </c>
      <c r="E658" s="127">
        <v>240.22957149792623</v>
      </c>
      <c r="F658" s="447">
        <v>0.43100278990572505</v>
      </c>
      <c r="G658" s="127">
        <v>99.660918308183341</v>
      </c>
      <c r="H658" s="132">
        <v>45.753961832105936</v>
      </c>
      <c r="I658" s="456"/>
      <c r="J658" s="45"/>
      <c r="K658" s="45">
        <v>400</v>
      </c>
      <c r="L658" s="463"/>
      <c r="M658" s="456">
        <v>36.170597076416016</v>
      </c>
      <c r="N658" s="457"/>
      <c r="O658" s="456"/>
      <c r="P658" s="46"/>
      <c r="Q658" s="463">
        <v>52.1708984375</v>
      </c>
      <c r="R658" s="449"/>
      <c r="S658" s="463"/>
      <c r="T658" s="480"/>
      <c r="U658" s="468"/>
      <c r="V658" s="449"/>
      <c r="W658" s="45">
        <v>1338.955322265625</v>
      </c>
      <c r="X658" s="463">
        <v>114.13375854492187</v>
      </c>
      <c r="Y658" s="449"/>
      <c r="Z658" s="45"/>
      <c r="AA658" s="468">
        <v>0.418243240846919</v>
      </c>
      <c r="AB658" s="456"/>
      <c r="AC658" s="46"/>
      <c r="AD658" s="46"/>
      <c r="AE658" s="46"/>
      <c r="AF658" s="46"/>
      <c r="AG658" s="46"/>
      <c r="AH658" s="46"/>
      <c r="AI658" s="457"/>
      <c r="AJ658" s="138"/>
      <c r="AK658" s="745"/>
      <c r="AL658" s="54"/>
      <c r="AM658" s="468"/>
      <c r="AN658" s="449"/>
      <c r="AO658" s="45"/>
      <c r="AP658" s="45"/>
      <c r="AQ658" s="45"/>
      <c r="AR658" s="45"/>
      <c r="AS658" s="45"/>
      <c r="AT658" s="45"/>
      <c r="AU658" s="463"/>
      <c r="AV658" s="449"/>
      <c r="AW658" s="45"/>
      <c r="AX658" s="45"/>
      <c r="AY658" s="45"/>
      <c r="AZ658" s="45"/>
      <c r="BA658" s="45"/>
      <c r="BB658" s="45"/>
      <c r="BC658" s="463"/>
      <c r="BD658" s="456"/>
      <c r="BE658" s="46"/>
      <c r="BF658" s="46"/>
      <c r="BG658" s="46"/>
      <c r="BH658" s="46"/>
      <c r="BI658" s="46"/>
      <c r="BJ658" s="457"/>
      <c r="BK658" s="449">
        <v>0</v>
      </c>
      <c r="BL658" s="45"/>
      <c r="BM658" s="45"/>
      <c r="BN658" s="45"/>
      <c r="BO658" s="45"/>
      <c r="BP658" s="45"/>
      <c r="BQ658" s="45"/>
      <c r="BR658" s="45"/>
      <c r="BS658" s="45"/>
      <c r="BT658" s="45"/>
      <c r="BU658" s="45"/>
      <c r="BV658" s="45"/>
      <c r="BW658" s="45"/>
      <c r="BX658" s="45"/>
      <c r="BY658" s="45"/>
      <c r="BZ658" s="45"/>
      <c r="CA658" s="45"/>
      <c r="CB658" s="45"/>
      <c r="CC658" s="45"/>
      <c r="CD658" s="463"/>
      <c r="CE658">
        <v>0</v>
      </c>
      <c r="CF658">
        <v>0</v>
      </c>
      <c r="CG658">
        <v>0</v>
      </c>
      <c r="CH658">
        <v>0</v>
      </c>
      <c r="CI658">
        <v>0</v>
      </c>
      <c r="CJ658">
        <v>0</v>
      </c>
      <c r="CK658">
        <v>0</v>
      </c>
      <c r="CL658">
        <v>0</v>
      </c>
      <c r="CM658">
        <v>0</v>
      </c>
      <c r="CN658">
        <v>0</v>
      </c>
      <c r="CO658">
        <v>0</v>
      </c>
      <c r="CP658">
        <v>0</v>
      </c>
      <c r="CQ658">
        <v>0</v>
      </c>
      <c r="CR658">
        <v>0</v>
      </c>
      <c r="CS658">
        <v>0</v>
      </c>
      <c r="CT658">
        <v>0</v>
      </c>
      <c r="CU658">
        <v>0</v>
      </c>
      <c r="CV658">
        <v>0</v>
      </c>
      <c r="CW658">
        <v>0</v>
      </c>
      <c r="CX658">
        <v>0</v>
      </c>
      <c r="CY658">
        <v>0</v>
      </c>
      <c r="CZ658">
        <v>0</v>
      </c>
      <c r="DA658">
        <v>0</v>
      </c>
      <c r="DB658">
        <v>0</v>
      </c>
      <c r="DC658">
        <v>0</v>
      </c>
      <c r="DD658">
        <v>0</v>
      </c>
      <c r="DE658">
        <v>0</v>
      </c>
      <c r="DF658">
        <v>0</v>
      </c>
      <c r="DG658">
        <v>0</v>
      </c>
      <c r="DH658">
        <v>0</v>
      </c>
      <c r="DI658">
        <v>0</v>
      </c>
      <c r="DJ658">
        <v>0</v>
      </c>
      <c r="DK658">
        <v>0</v>
      </c>
      <c r="DL658">
        <v>0</v>
      </c>
      <c r="DM658">
        <v>0</v>
      </c>
      <c r="DN658">
        <v>0</v>
      </c>
      <c r="DO658">
        <v>0</v>
      </c>
      <c r="DP658">
        <v>0</v>
      </c>
      <c r="DQ658">
        <v>0</v>
      </c>
      <c r="DR658">
        <v>0</v>
      </c>
      <c r="DS658">
        <v>0</v>
      </c>
      <c r="DT658">
        <v>0</v>
      </c>
      <c r="DU658">
        <v>0</v>
      </c>
    </row>
    <row r="659" spans="2:125">
      <c r="B659" s="136">
        <v>650</v>
      </c>
      <c r="C659" s="138">
        <v>1</v>
      </c>
      <c r="D659" s="474">
        <v>3042.0956803151194</v>
      </c>
      <c r="E659" s="127">
        <v>261.41419581585717</v>
      </c>
      <c r="F659" s="447">
        <v>0.39581269390060247</v>
      </c>
      <c r="G659" s="127">
        <v>103.0053215239363</v>
      </c>
      <c r="H659" s="132">
        <v>53.762123906668627</v>
      </c>
      <c r="I659" s="456"/>
      <c r="J659" s="45"/>
      <c r="K659" s="45">
        <v>430</v>
      </c>
      <c r="L659" s="463"/>
      <c r="M659" s="456">
        <v>30.386417388916016</v>
      </c>
      <c r="N659" s="457"/>
      <c r="O659" s="456"/>
      <c r="P659" s="46"/>
      <c r="Q659" s="463">
        <v>60.233497619628906</v>
      </c>
      <c r="R659" s="449"/>
      <c r="S659" s="463"/>
      <c r="T659" s="480"/>
      <c r="U659" s="468"/>
      <c r="V659" s="449"/>
      <c r="W659" s="45">
        <v>1260.8629150390625</v>
      </c>
      <c r="X659" s="463">
        <v>108.57662200927734</v>
      </c>
      <c r="Y659" s="449"/>
      <c r="Z659" s="45"/>
      <c r="AA659" s="468">
        <v>0.38499243795303079</v>
      </c>
      <c r="AB659" s="456"/>
      <c r="AC659" s="46"/>
      <c r="AD659" s="46"/>
      <c r="AE659" s="46"/>
      <c r="AF659" s="46"/>
      <c r="AG659" s="46"/>
      <c r="AH659" s="46"/>
      <c r="AI659" s="457"/>
      <c r="AJ659" s="138"/>
      <c r="AK659" s="745"/>
      <c r="AL659" s="54"/>
      <c r="AM659" s="468"/>
      <c r="AN659" s="449"/>
      <c r="AO659" s="45"/>
      <c r="AP659" s="45"/>
      <c r="AQ659" s="45"/>
      <c r="AR659" s="45"/>
      <c r="AS659" s="45"/>
      <c r="AT659" s="45"/>
      <c r="AU659" s="463"/>
      <c r="AV659" s="449"/>
      <c r="AW659" s="45"/>
      <c r="AX659" s="45"/>
      <c r="AY659" s="45"/>
      <c r="AZ659" s="45"/>
      <c r="BA659" s="45"/>
      <c r="BB659" s="45"/>
      <c r="BC659" s="463"/>
      <c r="BD659" s="456"/>
      <c r="BE659" s="46"/>
      <c r="BF659" s="46"/>
      <c r="BG659" s="46"/>
      <c r="BH659" s="46"/>
      <c r="BI659" s="46"/>
      <c r="BJ659" s="457"/>
      <c r="BK659" s="449">
        <v>0</v>
      </c>
      <c r="BL659" s="45"/>
      <c r="BM659" s="45"/>
      <c r="BN659" s="45"/>
      <c r="BO659" s="45"/>
      <c r="BP659" s="45"/>
      <c r="BQ659" s="45"/>
      <c r="BR659" s="45"/>
      <c r="BS659" s="45"/>
      <c r="BT659" s="45"/>
      <c r="BU659" s="45"/>
      <c r="BV659" s="45"/>
      <c r="BW659" s="45"/>
      <c r="BX659" s="45"/>
      <c r="BY659" s="45"/>
      <c r="BZ659" s="45"/>
      <c r="CA659" s="45"/>
      <c r="CB659" s="45"/>
      <c r="CC659" s="45"/>
      <c r="CD659" s="463"/>
      <c r="CE659">
        <v>0</v>
      </c>
      <c r="CF659">
        <v>0</v>
      </c>
      <c r="CG659">
        <v>0</v>
      </c>
      <c r="CH659">
        <v>0</v>
      </c>
      <c r="CI659">
        <v>0</v>
      </c>
      <c r="CJ659">
        <v>0</v>
      </c>
      <c r="CK659">
        <v>0</v>
      </c>
      <c r="CL659">
        <v>0</v>
      </c>
      <c r="CM659">
        <v>0</v>
      </c>
      <c r="CN659">
        <v>0</v>
      </c>
      <c r="CO659">
        <v>0</v>
      </c>
      <c r="CP659">
        <v>0</v>
      </c>
      <c r="CQ659">
        <v>0</v>
      </c>
      <c r="CR659">
        <v>0</v>
      </c>
      <c r="CS659">
        <v>0</v>
      </c>
      <c r="CT659">
        <v>0</v>
      </c>
      <c r="CU659">
        <v>0</v>
      </c>
      <c r="CV659">
        <v>0</v>
      </c>
      <c r="CW659">
        <v>0</v>
      </c>
      <c r="CX659">
        <v>0</v>
      </c>
      <c r="CY659">
        <v>0</v>
      </c>
      <c r="CZ659">
        <v>0</v>
      </c>
      <c r="DA659">
        <v>0</v>
      </c>
      <c r="DB659">
        <v>0</v>
      </c>
      <c r="DC659">
        <v>0</v>
      </c>
      <c r="DD659">
        <v>0</v>
      </c>
      <c r="DE659">
        <v>0</v>
      </c>
      <c r="DF659">
        <v>0</v>
      </c>
      <c r="DG659">
        <v>0</v>
      </c>
      <c r="DH659">
        <v>0</v>
      </c>
      <c r="DI659">
        <v>0</v>
      </c>
      <c r="DJ659">
        <v>0</v>
      </c>
      <c r="DK659">
        <v>0</v>
      </c>
      <c r="DL659">
        <v>0</v>
      </c>
      <c r="DM659">
        <v>0</v>
      </c>
      <c r="DN659">
        <v>0</v>
      </c>
      <c r="DO659">
        <v>0</v>
      </c>
      <c r="DP659">
        <v>0</v>
      </c>
      <c r="DQ659">
        <v>0</v>
      </c>
      <c r="DR659">
        <v>0</v>
      </c>
      <c r="DS659">
        <v>0</v>
      </c>
      <c r="DT659">
        <v>0</v>
      </c>
      <c r="DU659">
        <v>0</v>
      </c>
    </row>
    <row r="660" spans="2:125">
      <c r="B660" s="136">
        <v>651</v>
      </c>
      <c r="C660" s="138">
        <v>1</v>
      </c>
      <c r="D660" s="474">
        <v>2806.7578077334688</v>
      </c>
      <c r="E660" s="127">
        <v>226.93922942372976</v>
      </c>
      <c r="F660" s="447">
        <v>0.39905528437772164</v>
      </c>
      <c r="G660" s="127">
        <v>98.980361198112334</v>
      </c>
      <c r="H660" s="132">
        <v>58.009743663620966</v>
      </c>
      <c r="I660" s="456"/>
      <c r="J660" s="45"/>
      <c r="K660" s="45">
        <v>430</v>
      </c>
      <c r="L660" s="463"/>
      <c r="M660" s="456">
        <v>29.54713249206543</v>
      </c>
      <c r="N660" s="457"/>
      <c r="O660" s="456"/>
      <c r="P660" s="46"/>
      <c r="Q660" s="463">
        <v>63.809818267822266</v>
      </c>
      <c r="R660" s="449"/>
      <c r="S660" s="463"/>
      <c r="T660" s="480"/>
      <c r="U660" s="468"/>
      <c r="V660" s="449"/>
      <c r="W660" s="45">
        <v>1273.98095703125</v>
      </c>
      <c r="X660" s="463">
        <v>109.53783416748047</v>
      </c>
      <c r="Y660" s="449"/>
      <c r="Z660" s="45"/>
      <c r="AA660" s="468">
        <v>0.3873046781812477</v>
      </c>
      <c r="AB660" s="456"/>
      <c r="AC660" s="46"/>
      <c r="AD660" s="46"/>
      <c r="AE660" s="46"/>
      <c r="AF660" s="46"/>
      <c r="AG660" s="46"/>
      <c r="AH660" s="46"/>
      <c r="AI660" s="457"/>
      <c r="AJ660" s="138"/>
      <c r="AK660" s="745"/>
      <c r="AL660" s="54"/>
      <c r="AM660" s="468"/>
      <c r="AN660" s="449"/>
      <c r="AO660" s="45"/>
      <c r="AP660" s="45"/>
      <c r="AQ660" s="45"/>
      <c r="AR660" s="45"/>
      <c r="AS660" s="45"/>
      <c r="AT660" s="45"/>
      <c r="AU660" s="463"/>
      <c r="AV660" s="449"/>
      <c r="AW660" s="45"/>
      <c r="AX660" s="45"/>
      <c r="AY660" s="45"/>
      <c r="AZ660" s="45"/>
      <c r="BA660" s="45"/>
      <c r="BB660" s="45"/>
      <c r="BC660" s="463"/>
      <c r="BD660" s="456"/>
      <c r="BE660" s="46"/>
      <c r="BF660" s="46"/>
      <c r="BG660" s="46"/>
      <c r="BH660" s="46"/>
      <c r="BI660" s="46"/>
      <c r="BJ660" s="457"/>
      <c r="BK660" s="449">
        <v>0</v>
      </c>
      <c r="BL660" s="45"/>
      <c r="BM660" s="45"/>
      <c r="BN660" s="45"/>
      <c r="BO660" s="45"/>
      <c r="BP660" s="45"/>
      <c r="BQ660" s="45"/>
      <c r="BR660" s="45"/>
      <c r="BS660" s="45"/>
      <c r="BT660" s="45"/>
      <c r="BU660" s="45"/>
      <c r="BV660" s="45"/>
      <c r="BW660" s="45"/>
      <c r="BX660" s="45"/>
      <c r="BY660" s="45"/>
      <c r="BZ660" s="45"/>
      <c r="CA660" s="45"/>
      <c r="CB660" s="45"/>
      <c r="CC660" s="45"/>
      <c r="CD660" s="463"/>
      <c r="CE660">
        <v>0</v>
      </c>
      <c r="CF660">
        <v>0</v>
      </c>
      <c r="CG660">
        <v>0</v>
      </c>
      <c r="CH660">
        <v>0</v>
      </c>
      <c r="CI660">
        <v>0</v>
      </c>
      <c r="CJ660">
        <v>0</v>
      </c>
      <c r="CK660">
        <v>0</v>
      </c>
      <c r="CL660">
        <v>0</v>
      </c>
      <c r="CM660">
        <v>0</v>
      </c>
      <c r="CN660">
        <v>0</v>
      </c>
      <c r="CO660">
        <v>0</v>
      </c>
      <c r="CP660">
        <v>0</v>
      </c>
      <c r="CQ660">
        <v>0</v>
      </c>
      <c r="CR660">
        <v>0</v>
      </c>
      <c r="CS660">
        <v>0</v>
      </c>
      <c r="CT660">
        <v>0</v>
      </c>
      <c r="CU660">
        <v>0</v>
      </c>
      <c r="CV660">
        <v>0</v>
      </c>
      <c r="CW660">
        <v>0</v>
      </c>
      <c r="CX660">
        <v>0</v>
      </c>
      <c r="CY660">
        <v>0</v>
      </c>
      <c r="CZ660">
        <v>0</v>
      </c>
      <c r="DA660">
        <v>0</v>
      </c>
      <c r="DB660">
        <v>0</v>
      </c>
      <c r="DC660">
        <v>0</v>
      </c>
      <c r="DD660">
        <v>0</v>
      </c>
      <c r="DE660">
        <v>0</v>
      </c>
      <c r="DF660">
        <v>0</v>
      </c>
      <c r="DG660">
        <v>0</v>
      </c>
      <c r="DH660">
        <v>0</v>
      </c>
      <c r="DI660">
        <v>0</v>
      </c>
      <c r="DJ660">
        <v>0</v>
      </c>
      <c r="DK660">
        <v>0</v>
      </c>
      <c r="DL660">
        <v>0</v>
      </c>
      <c r="DM660">
        <v>0</v>
      </c>
      <c r="DN660">
        <v>0</v>
      </c>
      <c r="DO660">
        <v>0</v>
      </c>
      <c r="DP660">
        <v>0</v>
      </c>
      <c r="DQ660">
        <v>0</v>
      </c>
      <c r="DR660">
        <v>0</v>
      </c>
      <c r="DS660">
        <v>0</v>
      </c>
      <c r="DT660">
        <v>0</v>
      </c>
      <c r="DU660">
        <v>0</v>
      </c>
    </row>
    <row r="661" spans="2:125">
      <c r="B661" s="136">
        <v>652</v>
      </c>
      <c r="C661" s="138">
        <v>1</v>
      </c>
      <c r="D661" s="474">
        <v>3186.1539377592153</v>
      </c>
      <c r="E661" s="127">
        <v>201.3813528892569</v>
      </c>
      <c r="F661" s="447">
        <v>0.38751315994739177</v>
      </c>
      <c r="G661" s="127">
        <v>116.66514274287826</v>
      </c>
      <c r="H661" s="132">
        <v>52.678178702757997</v>
      </c>
      <c r="I661" s="456"/>
      <c r="J661" s="45"/>
      <c r="K661" s="45">
        <v>470</v>
      </c>
      <c r="L661" s="463"/>
      <c r="M661" s="456">
        <v>30.660001754760742</v>
      </c>
      <c r="N661" s="457"/>
      <c r="O661" s="456"/>
      <c r="P661" s="46"/>
      <c r="Q661" s="463">
        <v>63.085845947265625</v>
      </c>
      <c r="R661" s="449"/>
      <c r="S661" s="463"/>
      <c r="T661" s="480"/>
      <c r="U661" s="468"/>
      <c r="V661" s="449"/>
      <c r="W661" s="45">
        <v>1320.03515625</v>
      </c>
      <c r="X661" s="463">
        <v>113.03159332275391</v>
      </c>
      <c r="Y661" s="449"/>
      <c r="Z661" s="45"/>
      <c r="AA661" s="468">
        <v>0.37723422683909985</v>
      </c>
      <c r="AB661" s="456"/>
      <c r="AC661" s="46"/>
      <c r="AD661" s="46"/>
      <c r="AE661" s="46"/>
      <c r="AF661" s="46"/>
      <c r="AG661" s="46"/>
      <c r="AH661" s="46"/>
      <c r="AI661" s="457"/>
      <c r="AJ661" s="138"/>
      <c r="AK661" s="745"/>
      <c r="AL661" s="54"/>
      <c r="AM661" s="468"/>
      <c r="AN661" s="449"/>
      <c r="AO661" s="45"/>
      <c r="AP661" s="45"/>
      <c r="AQ661" s="45"/>
      <c r="AR661" s="45"/>
      <c r="AS661" s="45"/>
      <c r="AT661" s="45"/>
      <c r="AU661" s="463"/>
      <c r="AV661" s="449"/>
      <c r="AW661" s="45"/>
      <c r="AX661" s="45"/>
      <c r="AY661" s="45"/>
      <c r="AZ661" s="45"/>
      <c r="BA661" s="45"/>
      <c r="BB661" s="45"/>
      <c r="BC661" s="463"/>
      <c r="BD661" s="456"/>
      <c r="BE661" s="46"/>
      <c r="BF661" s="46"/>
      <c r="BG661" s="46"/>
      <c r="BH661" s="46"/>
      <c r="BI661" s="46"/>
      <c r="BJ661" s="457"/>
      <c r="BK661" s="449">
        <v>0</v>
      </c>
      <c r="BL661" s="45"/>
      <c r="BM661" s="45"/>
      <c r="BN661" s="45"/>
      <c r="BO661" s="45"/>
      <c r="BP661" s="45"/>
      <c r="BQ661" s="45"/>
      <c r="BR661" s="45"/>
      <c r="BS661" s="45"/>
      <c r="BT661" s="45"/>
      <c r="BU661" s="45"/>
      <c r="BV661" s="45"/>
      <c r="BW661" s="45"/>
      <c r="BX661" s="45"/>
      <c r="BY661" s="45"/>
      <c r="BZ661" s="45"/>
      <c r="CA661" s="45"/>
      <c r="CB661" s="45"/>
      <c r="CC661" s="45"/>
      <c r="CD661" s="463"/>
      <c r="CE661">
        <v>0</v>
      </c>
      <c r="CF661">
        <v>0</v>
      </c>
      <c r="CG661">
        <v>0</v>
      </c>
      <c r="CH661">
        <v>0</v>
      </c>
      <c r="CI661">
        <v>0</v>
      </c>
      <c r="CJ661">
        <v>0</v>
      </c>
      <c r="CK661">
        <v>0</v>
      </c>
      <c r="CL661">
        <v>0</v>
      </c>
      <c r="CM661">
        <v>0</v>
      </c>
      <c r="CN661">
        <v>0</v>
      </c>
      <c r="CO661">
        <v>0</v>
      </c>
      <c r="CP661">
        <v>0</v>
      </c>
      <c r="CQ661">
        <v>0</v>
      </c>
      <c r="CR661">
        <v>0</v>
      </c>
      <c r="CS661">
        <v>0</v>
      </c>
      <c r="CT661">
        <v>0</v>
      </c>
      <c r="CU661">
        <v>0</v>
      </c>
      <c r="CV661">
        <v>0</v>
      </c>
      <c r="CW661">
        <v>0</v>
      </c>
      <c r="CX661">
        <v>0</v>
      </c>
      <c r="CY661">
        <v>0</v>
      </c>
      <c r="CZ661">
        <v>0</v>
      </c>
      <c r="DA661">
        <v>0</v>
      </c>
      <c r="DB661">
        <v>0</v>
      </c>
      <c r="DC661">
        <v>0</v>
      </c>
      <c r="DD661">
        <v>0</v>
      </c>
      <c r="DE661">
        <v>0</v>
      </c>
      <c r="DF661">
        <v>0</v>
      </c>
      <c r="DG661">
        <v>0</v>
      </c>
      <c r="DH661">
        <v>0</v>
      </c>
      <c r="DI661">
        <v>0</v>
      </c>
      <c r="DJ661">
        <v>0</v>
      </c>
      <c r="DK661">
        <v>0</v>
      </c>
      <c r="DL661">
        <v>0</v>
      </c>
      <c r="DM661">
        <v>0</v>
      </c>
      <c r="DN661">
        <v>0</v>
      </c>
      <c r="DO661">
        <v>0</v>
      </c>
      <c r="DP661">
        <v>0</v>
      </c>
      <c r="DQ661">
        <v>0</v>
      </c>
      <c r="DR661">
        <v>0</v>
      </c>
      <c r="DS661">
        <v>0</v>
      </c>
      <c r="DT661">
        <v>0</v>
      </c>
      <c r="DU661">
        <v>0</v>
      </c>
    </row>
    <row r="662" spans="2:125">
      <c r="B662" s="136">
        <v>653</v>
      </c>
      <c r="C662" s="138">
        <v>1</v>
      </c>
      <c r="D662" s="474">
        <v>4204.9577355502297</v>
      </c>
      <c r="E662" s="127">
        <v>240.39169451628786</v>
      </c>
      <c r="F662" s="447">
        <v>0.38672037319312402</v>
      </c>
      <c r="G662" s="127">
        <v>154.23649573095628</v>
      </c>
      <c r="H662" s="132">
        <v>60.768089452957305</v>
      </c>
      <c r="I662" s="456"/>
      <c r="J662" s="45"/>
      <c r="K662" s="45">
        <v>610</v>
      </c>
      <c r="L662" s="463"/>
      <c r="M662" s="456">
        <v>32.541820526123047</v>
      </c>
      <c r="N662" s="457"/>
      <c r="O662" s="456"/>
      <c r="P662" s="46"/>
      <c r="Q662" s="463">
        <v>83.258171081542969</v>
      </c>
      <c r="R662" s="449"/>
      <c r="S662" s="463"/>
      <c r="T662" s="480"/>
      <c r="U662" s="468"/>
      <c r="V662" s="449"/>
      <c r="W662" s="45">
        <v>1673.364990234375</v>
      </c>
      <c r="X662" s="463">
        <v>139.34710693359375</v>
      </c>
      <c r="Y662" s="449"/>
      <c r="Z662" s="45"/>
      <c r="AA662" s="468">
        <v>0.37893565583743838</v>
      </c>
      <c r="AB662" s="456"/>
      <c r="AC662" s="46"/>
      <c r="AD662" s="46"/>
      <c r="AE662" s="46"/>
      <c r="AF662" s="46"/>
      <c r="AG662" s="46"/>
      <c r="AH662" s="46"/>
      <c r="AI662" s="457"/>
      <c r="AJ662" s="138"/>
      <c r="AK662" s="745"/>
      <c r="AL662" s="54"/>
      <c r="AM662" s="468"/>
      <c r="AN662" s="449"/>
      <c r="AO662" s="45"/>
      <c r="AP662" s="45"/>
      <c r="AQ662" s="45"/>
      <c r="AR662" s="45"/>
      <c r="AS662" s="45"/>
      <c r="AT662" s="45"/>
      <c r="AU662" s="463"/>
      <c r="AV662" s="449"/>
      <c r="AW662" s="45"/>
      <c r="AX662" s="45"/>
      <c r="AY662" s="45"/>
      <c r="AZ662" s="45"/>
      <c r="BA662" s="45"/>
      <c r="BB662" s="45"/>
      <c r="BC662" s="463"/>
      <c r="BD662" s="456"/>
      <c r="BE662" s="46"/>
      <c r="BF662" s="46"/>
      <c r="BG662" s="46"/>
      <c r="BH662" s="46"/>
      <c r="BI662" s="46"/>
      <c r="BJ662" s="457"/>
      <c r="BK662" s="449">
        <v>0</v>
      </c>
      <c r="BL662" s="45"/>
      <c r="BM662" s="45"/>
      <c r="BN662" s="45"/>
      <c r="BO662" s="45"/>
      <c r="BP662" s="45"/>
      <c r="BQ662" s="45"/>
      <c r="BR662" s="45"/>
      <c r="BS662" s="45"/>
      <c r="BT662" s="45"/>
      <c r="BU662" s="45"/>
      <c r="BV662" s="45"/>
      <c r="BW662" s="45"/>
      <c r="BX662" s="45"/>
      <c r="BY662" s="45"/>
      <c r="BZ662" s="45"/>
      <c r="CA662" s="45"/>
      <c r="CB662" s="45"/>
      <c r="CC662" s="45"/>
      <c r="CD662" s="463"/>
      <c r="CE662">
        <v>0</v>
      </c>
      <c r="CF662">
        <v>0</v>
      </c>
      <c r="CG662">
        <v>0</v>
      </c>
      <c r="CH662">
        <v>0</v>
      </c>
      <c r="CI662">
        <v>0</v>
      </c>
      <c r="CJ662">
        <v>0</v>
      </c>
      <c r="CK662">
        <v>0</v>
      </c>
      <c r="CL662">
        <v>0</v>
      </c>
      <c r="CM662">
        <v>0</v>
      </c>
      <c r="CN662">
        <v>0</v>
      </c>
      <c r="CO662">
        <v>0</v>
      </c>
      <c r="CP662">
        <v>0</v>
      </c>
      <c r="CQ662">
        <v>0</v>
      </c>
      <c r="CR662">
        <v>0</v>
      </c>
      <c r="CS662">
        <v>0</v>
      </c>
      <c r="CT662">
        <v>0</v>
      </c>
      <c r="CU662">
        <v>0</v>
      </c>
      <c r="CV662">
        <v>0</v>
      </c>
      <c r="CW662">
        <v>0</v>
      </c>
      <c r="CX662">
        <v>0</v>
      </c>
      <c r="CY662">
        <v>0</v>
      </c>
      <c r="CZ662">
        <v>0</v>
      </c>
      <c r="DA662">
        <v>0</v>
      </c>
      <c r="DB662">
        <v>0</v>
      </c>
      <c r="DC662">
        <v>0</v>
      </c>
      <c r="DD662">
        <v>0</v>
      </c>
      <c r="DE662">
        <v>0</v>
      </c>
      <c r="DF662">
        <v>0</v>
      </c>
      <c r="DG662">
        <v>0</v>
      </c>
      <c r="DH662">
        <v>0</v>
      </c>
      <c r="DI662">
        <v>0</v>
      </c>
      <c r="DJ662">
        <v>0</v>
      </c>
      <c r="DK662">
        <v>0</v>
      </c>
      <c r="DL662">
        <v>0</v>
      </c>
      <c r="DM662">
        <v>0</v>
      </c>
      <c r="DN662">
        <v>0</v>
      </c>
      <c r="DO662">
        <v>0</v>
      </c>
      <c r="DP662">
        <v>0</v>
      </c>
      <c r="DQ662">
        <v>0</v>
      </c>
      <c r="DR662">
        <v>0</v>
      </c>
      <c r="DS662">
        <v>0</v>
      </c>
      <c r="DT662">
        <v>0</v>
      </c>
      <c r="DU662">
        <v>0</v>
      </c>
    </row>
    <row r="663" spans="2:125">
      <c r="B663" s="136">
        <v>654</v>
      </c>
      <c r="C663" s="138">
        <v>1</v>
      </c>
      <c r="D663" s="474">
        <v>3275.9314448560854</v>
      </c>
      <c r="E663" s="127">
        <v>222.36171184944516</v>
      </c>
      <c r="F663" s="447">
        <v>0.45807477365387611</v>
      </c>
      <c r="G663" s="127">
        <v>102.1627967278142</v>
      </c>
      <c r="H663" s="132">
        <v>64.427804112327905</v>
      </c>
      <c r="I663" s="456"/>
      <c r="J663" s="45"/>
      <c r="K663" s="45">
        <v>480</v>
      </c>
      <c r="L663" s="463"/>
      <c r="M663" s="456">
        <v>37.097698211669922</v>
      </c>
      <c r="N663" s="457"/>
      <c r="O663" s="456"/>
      <c r="P663" s="46"/>
      <c r="Q663" s="463">
        <v>73.327369689941406</v>
      </c>
      <c r="R663" s="449"/>
      <c r="S663" s="463"/>
      <c r="T663" s="480"/>
      <c r="U663" s="468"/>
      <c r="V663" s="449"/>
      <c r="W663" s="45">
        <v>1701.5306396484375</v>
      </c>
      <c r="X663" s="463">
        <v>140.81910705566406</v>
      </c>
      <c r="Y663" s="449"/>
      <c r="Z663" s="45"/>
      <c r="AA663" s="468">
        <v>0.44764674851106717</v>
      </c>
      <c r="AB663" s="456"/>
      <c r="AC663" s="46"/>
      <c r="AD663" s="46"/>
      <c r="AE663" s="46"/>
      <c r="AF663" s="46"/>
      <c r="AG663" s="46"/>
      <c r="AH663" s="46"/>
      <c r="AI663" s="457"/>
      <c r="AJ663" s="138"/>
      <c r="AK663" s="745"/>
      <c r="AL663" s="54"/>
      <c r="AM663" s="468"/>
      <c r="AN663" s="449"/>
      <c r="AO663" s="45"/>
      <c r="AP663" s="45"/>
      <c r="AQ663" s="45"/>
      <c r="AR663" s="45"/>
      <c r="AS663" s="45"/>
      <c r="AT663" s="45"/>
      <c r="AU663" s="463"/>
      <c r="AV663" s="449"/>
      <c r="AW663" s="45"/>
      <c r="AX663" s="45"/>
      <c r="AY663" s="45"/>
      <c r="AZ663" s="45"/>
      <c r="BA663" s="45"/>
      <c r="BB663" s="45"/>
      <c r="BC663" s="463"/>
      <c r="BD663" s="456"/>
      <c r="BE663" s="46"/>
      <c r="BF663" s="46"/>
      <c r="BG663" s="46"/>
      <c r="BH663" s="46"/>
      <c r="BI663" s="46"/>
      <c r="BJ663" s="457"/>
      <c r="BK663" s="449">
        <v>0</v>
      </c>
      <c r="BL663" s="45"/>
      <c r="BM663" s="45"/>
      <c r="BN663" s="45"/>
      <c r="BO663" s="45"/>
      <c r="BP663" s="45"/>
      <c r="BQ663" s="45"/>
      <c r="BR663" s="45"/>
      <c r="BS663" s="45"/>
      <c r="BT663" s="45"/>
      <c r="BU663" s="45"/>
      <c r="BV663" s="45"/>
      <c r="BW663" s="45"/>
      <c r="BX663" s="45"/>
      <c r="BY663" s="45"/>
      <c r="BZ663" s="45"/>
      <c r="CA663" s="45"/>
      <c r="CB663" s="45"/>
      <c r="CC663" s="45"/>
      <c r="CD663" s="463"/>
      <c r="CE663">
        <v>0</v>
      </c>
      <c r="CF663">
        <v>0</v>
      </c>
      <c r="CG663">
        <v>0</v>
      </c>
      <c r="CH663">
        <v>0</v>
      </c>
      <c r="CI663">
        <v>0</v>
      </c>
      <c r="CJ663">
        <v>0</v>
      </c>
      <c r="CK663">
        <v>0</v>
      </c>
      <c r="CL663">
        <v>0</v>
      </c>
      <c r="CM663">
        <v>0</v>
      </c>
      <c r="CN663">
        <v>0</v>
      </c>
      <c r="CO663">
        <v>0</v>
      </c>
      <c r="CP663">
        <v>0</v>
      </c>
      <c r="CQ663">
        <v>0</v>
      </c>
      <c r="CR663">
        <v>0</v>
      </c>
      <c r="CS663">
        <v>0</v>
      </c>
      <c r="CT663">
        <v>0</v>
      </c>
      <c r="CU663">
        <v>0</v>
      </c>
      <c r="CV663">
        <v>0</v>
      </c>
      <c r="CW663">
        <v>0</v>
      </c>
      <c r="CX663">
        <v>0</v>
      </c>
      <c r="CY663">
        <v>0</v>
      </c>
      <c r="CZ663">
        <v>0</v>
      </c>
      <c r="DA663">
        <v>0</v>
      </c>
      <c r="DB663">
        <v>0</v>
      </c>
      <c r="DC663">
        <v>0</v>
      </c>
      <c r="DD663">
        <v>0</v>
      </c>
      <c r="DE663">
        <v>0</v>
      </c>
      <c r="DF663">
        <v>0</v>
      </c>
      <c r="DG663">
        <v>0</v>
      </c>
      <c r="DH663">
        <v>0</v>
      </c>
      <c r="DI663">
        <v>0</v>
      </c>
      <c r="DJ663">
        <v>0</v>
      </c>
      <c r="DK663">
        <v>0</v>
      </c>
      <c r="DL663">
        <v>0</v>
      </c>
      <c r="DM663">
        <v>0</v>
      </c>
      <c r="DN663">
        <v>0</v>
      </c>
      <c r="DO663">
        <v>0</v>
      </c>
      <c r="DP663">
        <v>0</v>
      </c>
      <c r="DQ663">
        <v>0</v>
      </c>
      <c r="DR663">
        <v>0</v>
      </c>
      <c r="DS663">
        <v>0</v>
      </c>
      <c r="DT663">
        <v>0</v>
      </c>
      <c r="DU663">
        <v>0</v>
      </c>
    </row>
    <row r="664" spans="2:125">
      <c r="B664" s="136">
        <v>655</v>
      </c>
      <c r="C664" s="138">
        <v>1</v>
      </c>
      <c r="D664" s="474">
        <v>2897.0744731506829</v>
      </c>
      <c r="E664" s="127">
        <v>263.67283758697732</v>
      </c>
      <c r="F664" s="447">
        <v>0.4848785013786725</v>
      </c>
      <c r="G664" s="127">
        <v>99.299417095895592</v>
      </c>
      <c r="H664" s="132">
        <v>51.958294635064384</v>
      </c>
      <c r="I664" s="456"/>
      <c r="J664" s="45"/>
      <c r="K664" s="45">
        <v>420</v>
      </c>
      <c r="L664" s="463"/>
      <c r="M664" s="456">
        <v>44.630550384521484</v>
      </c>
      <c r="N664" s="457"/>
      <c r="O664" s="456"/>
      <c r="P664" s="46"/>
      <c r="Q664" s="463">
        <v>57.362075805664063</v>
      </c>
      <c r="R664" s="449"/>
      <c r="S664" s="463"/>
      <c r="T664" s="480"/>
      <c r="U664" s="468"/>
      <c r="V664" s="449"/>
      <c r="W664" s="45">
        <v>1743.2254638671875</v>
      </c>
      <c r="X664" s="463">
        <v>143.63273620605469</v>
      </c>
      <c r="Y664" s="449"/>
      <c r="Z664" s="45"/>
      <c r="AA664" s="468">
        <v>0.47290173987352607</v>
      </c>
      <c r="AB664" s="456"/>
      <c r="AC664" s="46"/>
      <c r="AD664" s="46"/>
      <c r="AE664" s="46"/>
      <c r="AF664" s="46"/>
      <c r="AG664" s="46"/>
      <c r="AH664" s="46"/>
      <c r="AI664" s="457"/>
      <c r="AJ664" s="138"/>
      <c r="AK664" s="745"/>
      <c r="AL664" s="54"/>
      <c r="AM664" s="468"/>
      <c r="AN664" s="449"/>
      <c r="AO664" s="45"/>
      <c r="AP664" s="45"/>
      <c r="AQ664" s="45"/>
      <c r="AR664" s="45"/>
      <c r="AS664" s="45"/>
      <c r="AT664" s="45"/>
      <c r="AU664" s="463"/>
      <c r="AV664" s="449"/>
      <c r="AW664" s="45"/>
      <c r="AX664" s="45"/>
      <c r="AY664" s="45"/>
      <c r="AZ664" s="45"/>
      <c r="BA664" s="45"/>
      <c r="BB664" s="45"/>
      <c r="BC664" s="463"/>
      <c r="BD664" s="456"/>
      <c r="BE664" s="46"/>
      <c r="BF664" s="46"/>
      <c r="BG664" s="46"/>
      <c r="BH664" s="46"/>
      <c r="BI664" s="46"/>
      <c r="BJ664" s="457"/>
      <c r="BK664" s="449">
        <v>0</v>
      </c>
      <c r="BL664" s="45"/>
      <c r="BM664" s="45"/>
      <c r="BN664" s="45"/>
      <c r="BO664" s="45"/>
      <c r="BP664" s="45"/>
      <c r="BQ664" s="45"/>
      <c r="BR664" s="45"/>
      <c r="BS664" s="45"/>
      <c r="BT664" s="45"/>
      <c r="BU664" s="45"/>
      <c r="BV664" s="45"/>
      <c r="BW664" s="45"/>
      <c r="BX664" s="45"/>
      <c r="BY664" s="45"/>
      <c r="BZ664" s="45"/>
      <c r="CA664" s="45"/>
      <c r="CB664" s="45"/>
      <c r="CC664" s="45"/>
      <c r="CD664" s="463"/>
      <c r="CE664">
        <v>0</v>
      </c>
      <c r="CF664">
        <v>0</v>
      </c>
      <c r="CG664">
        <v>0</v>
      </c>
      <c r="CH664">
        <v>0</v>
      </c>
      <c r="CI664">
        <v>0</v>
      </c>
      <c r="CJ664">
        <v>0</v>
      </c>
      <c r="CK664">
        <v>0</v>
      </c>
      <c r="CL664">
        <v>0</v>
      </c>
      <c r="CM664">
        <v>0</v>
      </c>
      <c r="CN664">
        <v>0</v>
      </c>
      <c r="CO664">
        <v>0</v>
      </c>
      <c r="CP664">
        <v>0</v>
      </c>
      <c r="CQ664">
        <v>0</v>
      </c>
      <c r="CR664">
        <v>0</v>
      </c>
      <c r="CS664">
        <v>0</v>
      </c>
      <c r="CT664">
        <v>0</v>
      </c>
      <c r="CU664">
        <v>0</v>
      </c>
      <c r="CV664">
        <v>0</v>
      </c>
      <c r="CW664">
        <v>0</v>
      </c>
      <c r="CX664">
        <v>0</v>
      </c>
      <c r="CY664">
        <v>0</v>
      </c>
      <c r="CZ664">
        <v>0</v>
      </c>
      <c r="DA664">
        <v>0</v>
      </c>
      <c r="DB664">
        <v>0</v>
      </c>
      <c r="DC664">
        <v>0</v>
      </c>
      <c r="DD664">
        <v>0</v>
      </c>
      <c r="DE664">
        <v>0</v>
      </c>
      <c r="DF664">
        <v>0</v>
      </c>
      <c r="DG664">
        <v>0</v>
      </c>
      <c r="DH664">
        <v>0</v>
      </c>
      <c r="DI664">
        <v>0</v>
      </c>
      <c r="DJ664">
        <v>0</v>
      </c>
      <c r="DK664">
        <v>0</v>
      </c>
      <c r="DL664">
        <v>0</v>
      </c>
      <c r="DM664">
        <v>0</v>
      </c>
      <c r="DN664">
        <v>0</v>
      </c>
      <c r="DO664">
        <v>0</v>
      </c>
      <c r="DP664">
        <v>0</v>
      </c>
      <c r="DQ664">
        <v>0</v>
      </c>
      <c r="DR664">
        <v>0</v>
      </c>
      <c r="DS664">
        <v>0</v>
      </c>
      <c r="DT664">
        <v>0</v>
      </c>
      <c r="DU664">
        <v>0</v>
      </c>
    </row>
    <row r="665" spans="2:125">
      <c r="B665" s="136">
        <v>656</v>
      </c>
      <c r="C665" s="138">
        <v>1</v>
      </c>
      <c r="D665" s="474">
        <v>3634.1662023694789</v>
      </c>
      <c r="E665" s="127">
        <v>237.16356967150264</v>
      </c>
      <c r="F665" s="447">
        <v>0.41209826906095692</v>
      </c>
      <c r="G665" s="127">
        <v>117.00217112654207</v>
      </c>
      <c r="H665" s="132">
        <v>66.242960790148203</v>
      </c>
      <c r="I665" s="456"/>
      <c r="J665" s="45"/>
      <c r="K665" s="45">
        <v>530</v>
      </c>
      <c r="L665" s="463"/>
      <c r="M665" s="456">
        <v>31.833736419677734</v>
      </c>
      <c r="N665" s="457"/>
      <c r="O665" s="456"/>
      <c r="P665" s="46"/>
      <c r="Q665" s="463">
        <v>80.384353637695312</v>
      </c>
      <c r="R665" s="449"/>
      <c r="S665" s="463"/>
      <c r="T665" s="480"/>
      <c r="U665" s="468"/>
      <c r="V665" s="449"/>
      <c r="W665" s="45">
        <v>1574.439697265625</v>
      </c>
      <c r="X665" s="463">
        <v>131.78804016113281</v>
      </c>
      <c r="Y665" s="449"/>
      <c r="Z665" s="45"/>
      <c r="AA665" s="468">
        <v>0.40295120105962406</v>
      </c>
      <c r="AB665" s="456"/>
      <c r="AC665" s="46"/>
      <c r="AD665" s="46"/>
      <c r="AE665" s="46"/>
      <c r="AF665" s="46"/>
      <c r="AG665" s="46"/>
      <c r="AH665" s="46"/>
      <c r="AI665" s="457"/>
      <c r="AJ665" s="138"/>
      <c r="AK665" s="745"/>
      <c r="AL665" s="54"/>
      <c r="AM665" s="468"/>
      <c r="AN665" s="449"/>
      <c r="AO665" s="45"/>
      <c r="AP665" s="45"/>
      <c r="AQ665" s="45"/>
      <c r="AR665" s="45"/>
      <c r="AS665" s="45"/>
      <c r="AT665" s="45"/>
      <c r="AU665" s="463"/>
      <c r="AV665" s="449"/>
      <c r="AW665" s="45"/>
      <c r="AX665" s="45"/>
      <c r="AY665" s="45"/>
      <c r="AZ665" s="45"/>
      <c r="BA665" s="45"/>
      <c r="BB665" s="45"/>
      <c r="BC665" s="463"/>
      <c r="BD665" s="456"/>
      <c r="BE665" s="46"/>
      <c r="BF665" s="46"/>
      <c r="BG665" s="46"/>
      <c r="BH665" s="46"/>
      <c r="BI665" s="46"/>
      <c r="BJ665" s="457"/>
      <c r="BK665" s="449">
        <v>0</v>
      </c>
      <c r="BL665" s="45"/>
      <c r="BM665" s="45"/>
      <c r="BN665" s="45"/>
      <c r="BO665" s="45"/>
      <c r="BP665" s="45"/>
      <c r="BQ665" s="45"/>
      <c r="BR665" s="45"/>
      <c r="BS665" s="45"/>
      <c r="BT665" s="45"/>
      <c r="BU665" s="45"/>
      <c r="BV665" s="45"/>
      <c r="BW665" s="45"/>
      <c r="BX665" s="45"/>
      <c r="BY665" s="45"/>
      <c r="BZ665" s="45"/>
      <c r="CA665" s="45"/>
      <c r="CB665" s="45"/>
      <c r="CC665" s="45"/>
      <c r="CD665" s="463"/>
      <c r="CE665">
        <v>0</v>
      </c>
      <c r="CF665">
        <v>0</v>
      </c>
      <c r="CG665">
        <v>0</v>
      </c>
      <c r="CH665">
        <v>0</v>
      </c>
      <c r="CI665">
        <v>0</v>
      </c>
      <c r="CJ665">
        <v>0</v>
      </c>
      <c r="CK665">
        <v>0</v>
      </c>
      <c r="CL665">
        <v>0</v>
      </c>
      <c r="CM665">
        <v>0</v>
      </c>
      <c r="CN665">
        <v>0</v>
      </c>
      <c r="CO665">
        <v>0</v>
      </c>
      <c r="CP665">
        <v>0</v>
      </c>
      <c r="CQ665">
        <v>0</v>
      </c>
      <c r="CR665">
        <v>0</v>
      </c>
      <c r="CS665">
        <v>0</v>
      </c>
      <c r="CT665">
        <v>0</v>
      </c>
      <c r="CU665">
        <v>0</v>
      </c>
      <c r="CV665">
        <v>0</v>
      </c>
      <c r="CW665">
        <v>0</v>
      </c>
      <c r="CX665">
        <v>0</v>
      </c>
      <c r="CY665">
        <v>0</v>
      </c>
      <c r="CZ665">
        <v>0</v>
      </c>
      <c r="DA665">
        <v>0</v>
      </c>
      <c r="DB665">
        <v>0</v>
      </c>
      <c r="DC665">
        <v>0</v>
      </c>
      <c r="DD665">
        <v>0</v>
      </c>
      <c r="DE665">
        <v>0</v>
      </c>
      <c r="DF665">
        <v>0</v>
      </c>
      <c r="DG665">
        <v>0</v>
      </c>
      <c r="DH665">
        <v>0</v>
      </c>
      <c r="DI665">
        <v>0</v>
      </c>
      <c r="DJ665">
        <v>0</v>
      </c>
      <c r="DK665">
        <v>0</v>
      </c>
      <c r="DL665">
        <v>0</v>
      </c>
      <c r="DM665">
        <v>0</v>
      </c>
      <c r="DN665">
        <v>0</v>
      </c>
      <c r="DO665">
        <v>0</v>
      </c>
      <c r="DP665">
        <v>0</v>
      </c>
      <c r="DQ665">
        <v>0</v>
      </c>
      <c r="DR665">
        <v>0</v>
      </c>
      <c r="DS665">
        <v>0</v>
      </c>
      <c r="DT665">
        <v>0</v>
      </c>
      <c r="DU665">
        <v>0</v>
      </c>
    </row>
    <row r="666" spans="2:125">
      <c r="B666" s="136">
        <v>657</v>
      </c>
      <c r="C666" s="138">
        <v>1</v>
      </c>
      <c r="D666" s="474">
        <v>3458.5806926445084</v>
      </c>
      <c r="E666" s="127">
        <v>232.19357043740098</v>
      </c>
      <c r="F666" s="447">
        <v>0.37787165089017022</v>
      </c>
      <c r="G666" s="127">
        <v>126.15596199231159</v>
      </c>
      <c r="H666" s="132">
        <v>55.227383402615196</v>
      </c>
      <c r="I666" s="456"/>
      <c r="J666" s="45"/>
      <c r="K666" s="45">
        <v>500</v>
      </c>
      <c r="L666" s="463"/>
      <c r="M666" s="456">
        <v>29.935844421386719</v>
      </c>
      <c r="N666" s="457"/>
      <c r="O666" s="456"/>
      <c r="P666" s="46"/>
      <c r="Q666" s="463">
        <v>68.479896545410156</v>
      </c>
      <c r="R666" s="449"/>
      <c r="S666" s="463"/>
      <c r="T666" s="480"/>
      <c r="U666" s="468"/>
      <c r="V666" s="449"/>
      <c r="W666" s="45">
        <v>1366.1048583984375</v>
      </c>
      <c r="X666" s="463">
        <v>116.53185272216797</v>
      </c>
      <c r="Y666" s="449"/>
      <c r="Z666" s="45"/>
      <c r="AA666" s="468">
        <v>0.36845812669886124</v>
      </c>
      <c r="AB666" s="456"/>
      <c r="AC666" s="46"/>
      <c r="AD666" s="46"/>
      <c r="AE666" s="46"/>
      <c r="AF666" s="46"/>
      <c r="AG666" s="46"/>
      <c r="AH666" s="46"/>
      <c r="AI666" s="457"/>
      <c r="AJ666" s="138"/>
      <c r="AK666" s="745"/>
      <c r="AL666" s="54"/>
      <c r="AM666" s="468"/>
      <c r="AN666" s="449"/>
      <c r="AO666" s="45"/>
      <c r="AP666" s="45"/>
      <c r="AQ666" s="45"/>
      <c r="AR666" s="45"/>
      <c r="AS666" s="45"/>
      <c r="AT666" s="45"/>
      <c r="AU666" s="463"/>
      <c r="AV666" s="449"/>
      <c r="AW666" s="45"/>
      <c r="AX666" s="45"/>
      <c r="AY666" s="45"/>
      <c r="AZ666" s="45"/>
      <c r="BA666" s="45"/>
      <c r="BB666" s="45"/>
      <c r="BC666" s="463"/>
      <c r="BD666" s="456"/>
      <c r="BE666" s="46"/>
      <c r="BF666" s="46"/>
      <c r="BG666" s="46"/>
      <c r="BH666" s="46"/>
      <c r="BI666" s="46"/>
      <c r="BJ666" s="457"/>
      <c r="BK666" s="449">
        <v>0</v>
      </c>
      <c r="BL666" s="45"/>
      <c r="BM666" s="45"/>
      <c r="BN666" s="45"/>
      <c r="BO666" s="45"/>
      <c r="BP666" s="45"/>
      <c r="BQ666" s="45"/>
      <c r="BR666" s="45"/>
      <c r="BS666" s="45"/>
      <c r="BT666" s="45"/>
      <c r="BU666" s="45"/>
      <c r="BV666" s="45"/>
      <c r="BW666" s="45"/>
      <c r="BX666" s="45"/>
      <c r="BY666" s="45"/>
      <c r="BZ666" s="45"/>
      <c r="CA666" s="45"/>
      <c r="CB666" s="45"/>
      <c r="CC666" s="45"/>
      <c r="CD666" s="463"/>
      <c r="CE666">
        <v>0</v>
      </c>
      <c r="CF666">
        <v>0</v>
      </c>
      <c r="CG666">
        <v>0</v>
      </c>
      <c r="CH666">
        <v>0</v>
      </c>
      <c r="CI666">
        <v>0</v>
      </c>
      <c r="CJ666">
        <v>0</v>
      </c>
      <c r="CK666">
        <v>0</v>
      </c>
      <c r="CL666">
        <v>0</v>
      </c>
      <c r="CM666">
        <v>0</v>
      </c>
      <c r="CN666">
        <v>0</v>
      </c>
      <c r="CO666">
        <v>0</v>
      </c>
      <c r="CP666">
        <v>0</v>
      </c>
      <c r="CQ666">
        <v>0</v>
      </c>
      <c r="CR666">
        <v>0</v>
      </c>
      <c r="CS666">
        <v>0</v>
      </c>
      <c r="CT666">
        <v>0</v>
      </c>
      <c r="CU666">
        <v>0</v>
      </c>
      <c r="CV666">
        <v>0</v>
      </c>
      <c r="CW666">
        <v>0</v>
      </c>
      <c r="CX666">
        <v>0</v>
      </c>
      <c r="CY666">
        <v>0</v>
      </c>
      <c r="CZ666">
        <v>0</v>
      </c>
      <c r="DA666">
        <v>0</v>
      </c>
      <c r="DB666">
        <v>0</v>
      </c>
      <c r="DC666">
        <v>0</v>
      </c>
      <c r="DD666">
        <v>0</v>
      </c>
      <c r="DE666">
        <v>0</v>
      </c>
      <c r="DF666">
        <v>0</v>
      </c>
      <c r="DG666">
        <v>0</v>
      </c>
      <c r="DH666">
        <v>0</v>
      </c>
      <c r="DI666">
        <v>0</v>
      </c>
      <c r="DJ666">
        <v>0</v>
      </c>
      <c r="DK666">
        <v>0</v>
      </c>
      <c r="DL666">
        <v>0</v>
      </c>
      <c r="DM666">
        <v>0</v>
      </c>
      <c r="DN666">
        <v>0</v>
      </c>
      <c r="DO666">
        <v>0</v>
      </c>
      <c r="DP666">
        <v>0</v>
      </c>
      <c r="DQ666">
        <v>0</v>
      </c>
      <c r="DR666">
        <v>0</v>
      </c>
      <c r="DS666">
        <v>0</v>
      </c>
      <c r="DT666">
        <v>0</v>
      </c>
      <c r="DU666">
        <v>0</v>
      </c>
    </row>
    <row r="667" spans="2:125">
      <c r="B667" s="136">
        <v>658</v>
      </c>
      <c r="C667" s="138">
        <v>1</v>
      </c>
      <c r="D667" s="474">
        <v>3760.9082402144672</v>
      </c>
      <c r="E667" s="127">
        <v>262.86029628058168</v>
      </c>
      <c r="F667" s="447">
        <v>0.39149267123272752</v>
      </c>
      <c r="G667" s="127">
        <v>146.67699566770571</v>
      </c>
      <c r="H667" s="132">
        <v>61.807835327541426</v>
      </c>
      <c r="I667" s="456"/>
      <c r="J667" s="45"/>
      <c r="K667" s="45">
        <v>590</v>
      </c>
      <c r="L667" s="463"/>
      <c r="M667" s="456">
        <v>32.416160583496094</v>
      </c>
      <c r="N667" s="457"/>
      <c r="O667" s="456"/>
      <c r="P667" s="46"/>
      <c r="Q667" s="463">
        <v>82.467613220214844</v>
      </c>
      <c r="R667" s="449"/>
      <c r="S667" s="463"/>
      <c r="T667" s="480"/>
      <c r="U667" s="468"/>
      <c r="V667" s="449"/>
      <c r="W667" s="45">
        <v>1651.6859130859375</v>
      </c>
      <c r="X667" s="463">
        <v>137.69422912597656</v>
      </c>
      <c r="Y667" s="449"/>
      <c r="Z667" s="45"/>
      <c r="AA667" s="468">
        <v>0.3827634358119818</v>
      </c>
      <c r="AB667" s="456"/>
      <c r="AC667" s="46"/>
      <c r="AD667" s="46"/>
      <c r="AE667" s="46"/>
      <c r="AF667" s="46"/>
      <c r="AG667" s="46"/>
      <c r="AH667" s="46"/>
      <c r="AI667" s="457"/>
      <c r="AJ667" s="138"/>
      <c r="AK667" s="745"/>
      <c r="AL667" s="54"/>
      <c r="AM667" s="468"/>
      <c r="AN667" s="449"/>
      <c r="AO667" s="45"/>
      <c r="AP667" s="45"/>
      <c r="AQ667" s="45"/>
      <c r="AR667" s="45"/>
      <c r="AS667" s="45"/>
      <c r="AT667" s="45"/>
      <c r="AU667" s="463"/>
      <c r="AV667" s="449"/>
      <c r="AW667" s="45"/>
      <c r="AX667" s="45"/>
      <c r="AY667" s="45"/>
      <c r="AZ667" s="45"/>
      <c r="BA667" s="45"/>
      <c r="BB667" s="45"/>
      <c r="BC667" s="463"/>
      <c r="BD667" s="456"/>
      <c r="BE667" s="46"/>
      <c r="BF667" s="46"/>
      <c r="BG667" s="46"/>
      <c r="BH667" s="46"/>
      <c r="BI667" s="46"/>
      <c r="BJ667" s="457"/>
      <c r="BK667" s="449">
        <v>0</v>
      </c>
      <c r="BL667" s="45"/>
      <c r="BM667" s="45"/>
      <c r="BN667" s="45"/>
      <c r="BO667" s="45"/>
      <c r="BP667" s="45"/>
      <c r="BQ667" s="45"/>
      <c r="BR667" s="45"/>
      <c r="BS667" s="45"/>
      <c r="BT667" s="45"/>
      <c r="BU667" s="45"/>
      <c r="BV667" s="45"/>
      <c r="BW667" s="45"/>
      <c r="BX667" s="45"/>
      <c r="BY667" s="45"/>
      <c r="BZ667" s="45"/>
      <c r="CA667" s="45"/>
      <c r="CB667" s="45"/>
      <c r="CC667" s="45"/>
      <c r="CD667" s="463"/>
      <c r="CE667">
        <v>0</v>
      </c>
      <c r="CF667">
        <v>0</v>
      </c>
      <c r="CG667">
        <v>0</v>
      </c>
      <c r="CH667">
        <v>0</v>
      </c>
      <c r="CI667">
        <v>0</v>
      </c>
      <c r="CJ667">
        <v>0</v>
      </c>
      <c r="CK667">
        <v>0</v>
      </c>
      <c r="CL667">
        <v>0</v>
      </c>
      <c r="CM667">
        <v>0</v>
      </c>
      <c r="CN667">
        <v>0</v>
      </c>
      <c r="CO667">
        <v>0</v>
      </c>
      <c r="CP667">
        <v>0</v>
      </c>
      <c r="CQ667">
        <v>0</v>
      </c>
      <c r="CR667">
        <v>0</v>
      </c>
      <c r="CS667">
        <v>0</v>
      </c>
      <c r="CT667">
        <v>0</v>
      </c>
      <c r="CU667">
        <v>0</v>
      </c>
      <c r="CV667">
        <v>0</v>
      </c>
      <c r="CW667">
        <v>0</v>
      </c>
      <c r="CX667">
        <v>0</v>
      </c>
      <c r="CY667">
        <v>0</v>
      </c>
      <c r="CZ667">
        <v>0</v>
      </c>
      <c r="DA667">
        <v>0</v>
      </c>
      <c r="DB667">
        <v>0</v>
      </c>
      <c r="DC667">
        <v>0</v>
      </c>
      <c r="DD667">
        <v>0</v>
      </c>
      <c r="DE667">
        <v>0</v>
      </c>
      <c r="DF667">
        <v>0</v>
      </c>
      <c r="DG667">
        <v>0</v>
      </c>
      <c r="DH667">
        <v>0</v>
      </c>
      <c r="DI667">
        <v>0</v>
      </c>
      <c r="DJ667">
        <v>0</v>
      </c>
      <c r="DK667">
        <v>0</v>
      </c>
      <c r="DL667">
        <v>0</v>
      </c>
      <c r="DM667">
        <v>0</v>
      </c>
      <c r="DN667">
        <v>0</v>
      </c>
      <c r="DO667">
        <v>0</v>
      </c>
      <c r="DP667">
        <v>0</v>
      </c>
      <c r="DQ667">
        <v>0</v>
      </c>
      <c r="DR667">
        <v>0</v>
      </c>
      <c r="DS667">
        <v>0</v>
      </c>
      <c r="DT667">
        <v>0</v>
      </c>
      <c r="DU667">
        <v>0</v>
      </c>
    </row>
    <row r="668" spans="2:125">
      <c r="B668" s="136">
        <v>659</v>
      </c>
      <c r="C668" s="138">
        <v>1</v>
      </c>
      <c r="D668" s="474">
        <v>3230.1970742978078</v>
      </c>
      <c r="E668" s="127">
        <v>288.8102331313662</v>
      </c>
      <c r="F668" s="447">
        <v>0.52231348640976483</v>
      </c>
      <c r="G668" s="127">
        <v>109.58671717437825</v>
      </c>
      <c r="H668" s="132">
        <v>62.188940418783083</v>
      </c>
      <c r="I668" s="456"/>
      <c r="J668" s="45"/>
      <c r="K668" s="45">
        <v>500</v>
      </c>
      <c r="L668" s="463"/>
      <c r="M668" s="456">
        <v>54.925731658935547</v>
      </c>
      <c r="N668" s="457"/>
      <c r="O668" s="456"/>
      <c r="P668" s="46"/>
      <c r="Q668" s="463">
        <v>72.268684387207031</v>
      </c>
      <c r="R668" s="449"/>
      <c r="S668" s="463"/>
      <c r="T668" s="480"/>
      <c r="U668" s="468"/>
      <c r="V668" s="449"/>
      <c r="W668" s="45">
        <v>2435.10888671875</v>
      </c>
      <c r="X668" s="463">
        <v>194.26875305175781</v>
      </c>
      <c r="Y668" s="449"/>
      <c r="Z668" s="45"/>
      <c r="AA668" s="468">
        <v>0.51134007862290376</v>
      </c>
      <c r="AB668" s="456"/>
      <c r="AC668" s="46"/>
      <c r="AD668" s="46"/>
      <c r="AE668" s="46"/>
      <c r="AF668" s="46"/>
      <c r="AG668" s="46"/>
      <c r="AH668" s="46"/>
      <c r="AI668" s="457"/>
      <c r="AJ668" s="138"/>
      <c r="AK668" s="745"/>
      <c r="AL668" s="54"/>
      <c r="AM668" s="468"/>
      <c r="AN668" s="449"/>
      <c r="AO668" s="45"/>
      <c r="AP668" s="45"/>
      <c r="AQ668" s="45"/>
      <c r="AR668" s="45"/>
      <c r="AS668" s="45"/>
      <c r="AT668" s="45"/>
      <c r="AU668" s="463"/>
      <c r="AV668" s="449"/>
      <c r="AW668" s="45"/>
      <c r="AX668" s="45"/>
      <c r="AY668" s="45"/>
      <c r="AZ668" s="45"/>
      <c r="BA668" s="45"/>
      <c r="BB668" s="45"/>
      <c r="BC668" s="463"/>
      <c r="BD668" s="456"/>
      <c r="BE668" s="46"/>
      <c r="BF668" s="46"/>
      <c r="BG668" s="46"/>
      <c r="BH668" s="46"/>
      <c r="BI668" s="46"/>
      <c r="BJ668" s="457"/>
      <c r="BK668" s="449">
        <v>0</v>
      </c>
      <c r="BL668" s="45"/>
      <c r="BM668" s="45"/>
      <c r="BN668" s="45"/>
      <c r="BO668" s="45"/>
      <c r="BP668" s="45"/>
      <c r="BQ668" s="45"/>
      <c r="BR668" s="45"/>
      <c r="BS668" s="45"/>
      <c r="BT668" s="45"/>
      <c r="BU668" s="45"/>
      <c r="BV668" s="45"/>
      <c r="BW668" s="45"/>
      <c r="BX668" s="45"/>
      <c r="BY668" s="45"/>
      <c r="BZ668" s="45"/>
      <c r="CA668" s="45"/>
      <c r="CB668" s="45"/>
      <c r="CC668" s="45"/>
      <c r="CD668" s="463"/>
      <c r="CE668">
        <v>0</v>
      </c>
      <c r="CF668">
        <v>0</v>
      </c>
      <c r="CG668">
        <v>0</v>
      </c>
      <c r="CH668">
        <v>0</v>
      </c>
      <c r="CI668">
        <v>0</v>
      </c>
      <c r="CJ668">
        <v>0</v>
      </c>
      <c r="CK668">
        <v>0</v>
      </c>
      <c r="CL668">
        <v>0</v>
      </c>
      <c r="CM668">
        <v>0</v>
      </c>
      <c r="CN668">
        <v>0</v>
      </c>
      <c r="CO668">
        <v>0</v>
      </c>
      <c r="CP668">
        <v>0</v>
      </c>
      <c r="CQ668">
        <v>0</v>
      </c>
      <c r="CR668">
        <v>0</v>
      </c>
      <c r="CS668">
        <v>0</v>
      </c>
      <c r="CT668">
        <v>0</v>
      </c>
      <c r="CU668">
        <v>0</v>
      </c>
      <c r="CV668">
        <v>0</v>
      </c>
      <c r="CW668">
        <v>0</v>
      </c>
      <c r="CX668">
        <v>0</v>
      </c>
      <c r="CY668">
        <v>0</v>
      </c>
      <c r="CZ668">
        <v>0</v>
      </c>
      <c r="DA668">
        <v>0</v>
      </c>
      <c r="DB668">
        <v>0</v>
      </c>
      <c r="DC668">
        <v>0</v>
      </c>
      <c r="DD668">
        <v>0</v>
      </c>
      <c r="DE668">
        <v>0</v>
      </c>
      <c r="DF668">
        <v>0</v>
      </c>
      <c r="DG668">
        <v>0</v>
      </c>
      <c r="DH668">
        <v>0</v>
      </c>
      <c r="DI668">
        <v>0</v>
      </c>
      <c r="DJ668">
        <v>0</v>
      </c>
      <c r="DK668">
        <v>0</v>
      </c>
      <c r="DL668">
        <v>0</v>
      </c>
      <c r="DM668">
        <v>0</v>
      </c>
      <c r="DN668">
        <v>0</v>
      </c>
      <c r="DO668">
        <v>0</v>
      </c>
      <c r="DP668">
        <v>0</v>
      </c>
      <c r="DQ668">
        <v>0</v>
      </c>
      <c r="DR668">
        <v>0</v>
      </c>
      <c r="DS668">
        <v>0</v>
      </c>
      <c r="DT668">
        <v>0</v>
      </c>
      <c r="DU668">
        <v>0</v>
      </c>
    </row>
    <row r="669" spans="2:125">
      <c r="B669" s="136">
        <v>660</v>
      </c>
      <c r="C669" s="138">
        <v>1</v>
      </c>
      <c r="D669" s="474">
        <v>3298.7499577429817</v>
      </c>
      <c r="E669" s="127">
        <v>314.98796317999239</v>
      </c>
      <c r="F669" s="447">
        <v>0.44222024096062235</v>
      </c>
      <c r="G669" s="127">
        <v>134.81730174065714</v>
      </c>
      <c r="H669" s="132">
        <v>49.43741407157286</v>
      </c>
      <c r="I669" s="456"/>
      <c r="J669" s="45"/>
      <c r="K669" s="45">
        <v>520</v>
      </c>
      <c r="L669" s="463"/>
      <c r="M669" s="456">
        <v>40.833763122558594</v>
      </c>
      <c r="N669" s="457"/>
      <c r="O669" s="456"/>
      <c r="P669" s="46"/>
      <c r="Q669" s="463">
        <v>65.315254211425781</v>
      </c>
      <c r="R669" s="449"/>
      <c r="S669" s="463"/>
      <c r="T669" s="480"/>
      <c r="U669" s="468"/>
      <c r="V669" s="449"/>
      <c r="W669" s="45">
        <v>1764.7318115234375</v>
      </c>
      <c r="X669" s="463">
        <v>145.6007080078125</v>
      </c>
      <c r="Y669" s="449"/>
      <c r="Z669" s="45"/>
      <c r="AA669" s="468">
        <v>0.43196047430575019</v>
      </c>
      <c r="AB669" s="456"/>
      <c r="AC669" s="46"/>
      <c r="AD669" s="46"/>
      <c r="AE669" s="46"/>
      <c r="AF669" s="46"/>
      <c r="AG669" s="46"/>
      <c r="AH669" s="46"/>
      <c r="AI669" s="457"/>
      <c r="AJ669" s="138"/>
      <c r="AK669" s="745"/>
      <c r="AL669" s="54"/>
      <c r="AM669" s="468"/>
      <c r="AN669" s="449"/>
      <c r="AO669" s="45"/>
      <c r="AP669" s="45"/>
      <c r="AQ669" s="45"/>
      <c r="AR669" s="45"/>
      <c r="AS669" s="45"/>
      <c r="AT669" s="45"/>
      <c r="AU669" s="463"/>
      <c r="AV669" s="449"/>
      <c r="AW669" s="45"/>
      <c r="AX669" s="45"/>
      <c r="AY669" s="45"/>
      <c r="AZ669" s="45"/>
      <c r="BA669" s="45"/>
      <c r="BB669" s="45"/>
      <c r="BC669" s="463"/>
      <c r="BD669" s="456"/>
      <c r="BE669" s="46"/>
      <c r="BF669" s="46"/>
      <c r="BG669" s="46"/>
      <c r="BH669" s="46"/>
      <c r="BI669" s="46"/>
      <c r="BJ669" s="457"/>
      <c r="BK669" s="449">
        <v>0</v>
      </c>
      <c r="BL669" s="45"/>
      <c r="BM669" s="45"/>
      <c r="BN669" s="45"/>
      <c r="BO669" s="45"/>
      <c r="BP669" s="45"/>
      <c r="BQ669" s="45"/>
      <c r="BR669" s="45"/>
      <c r="BS669" s="45"/>
      <c r="BT669" s="45"/>
      <c r="BU669" s="45"/>
      <c r="BV669" s="45"/>
      <c r="BW669" s="45"/>
      <c r="BX669" s="45"/>
      <c r="BY669" s="45"/>
      <c r="BZ669" s="45"/>
      <c r="CA669" s="45"/>
      <c r="CB669" s="45"/>
      <c r="CC669" s="45"/>
      <c r="CD669" s="463"/>
      <c r="CE669">
        <v>0</v>
      </c>
      <c r="CF669">
        <v>0</v>
      </c>
      <c r="CG669">
        <v>0</v>
      </c>
      <c r="CH669">
        <v>0</v>
      </c>
      <c r="CI669">
        <v>0</v>
      </c>
      <c r="CJ669">
        <v>0</v>
      </c>
      <c r="CK669">
        <v>0</v>
      </c>
      <c r="CL669">
        <v>0</v>
      </c>
      <c r="CM669">
        <v>0</v>
      </c>
      <c r="CN669">
        <v>0</v>
      </c>
      <c r="CO669">
        <v>0</v>
      </c>
      <c r="CP669">
        <v>0</v>
      </c>
      <c r="CQ669">
        <v>0</v>
      </c>
      <c r="CR669">
        <v>0</v>
      </c>
      <c r="CS669">
        <v>0</v>
      </c>
      <c r="CT669">
        <v>0</v>
      </c>
      <c r="CU669">
        <v>0</v>
      </c>
      <c r="CV669">
        <v>0</v>
      </c>
      <c r="CW669">
        <v>0</v>
      </c>
      <c r="CX669">
        <v>0</v>
      </c>
      <c r="CY669">
        <v>0</v>
      </c>
      <c r="CZ669">
        <v>0</v>
      </c>
      <c r="DA669">
        <v>0</v>
      </c>
      <c r="DB669">
        <v>0</v>
      </c>
      <c r="DC669">
        <v>0</v>
      </c>
      <c r="DD669">
        <v>0</v>
      </c>
      <c r="DE669">
        <v>0</v>
      </c>
      <c r="DF669">
        <v>0</v>
      </c>
      <c r="DG669">
        <v>0</v>
      </c>
      <c r="DH669">
        <v>0</v>
      </c>
      <c r="DI669">
        <v>0</v>
      </c>
      <c r="DJ669">
        <v>0</v>
      </c>
      <c r="DK669">
        <v>0</v>
      </c>
      <c r="DL669">
        <v>0</v>
      </c>
      <c r="DM669">
        <v>0</v>
      </c>
      <c r="DN669">
        <v>0</v>
      </c>
      <c r="DO669">
        <v>0</v>
      </c>
      <c r="DP669">
        <v>0</v>
      </c>
      <c r="DQ669">
        <v>0</v>
      </c>
      <c r="DR669">
        <v>0</v>
      </c>
      <c r="DS669">
        <v>0</v>
      </c>
      <c r="DT669">
        <v>0</v>
      </c>
      <c r="DU669">
        <v>0</v>
      </c>
    </row>
    <row r="670" spans="2:125">
      <c r="B670" s="136">
        <v>661</v>
      </c>
      <c r="C670" s="138">
        <v>1</v>
      </c>
      <c r="D670" s="474">
        <v>2562.163651436349</v>
      </c>
      <c r="E670" s="127">
        <v>286.97342147269865</v>
      </c>
      <c r="F670" s="447">
        <v>0.43092611188166347</v>
      </c>
      <c r="G670" s="127">
        <v>90.170594041954971</v>
      </c>
      <c r="H670" s="132">
        <v>47.434929528512107</v>
      </c>
      <c r="I670" s="456"/>
      <c r="J670" s="45"/>
      <c r="K670" s="45">
        <v>370</v>
      </c>
      <c r="L670" s="463"/>
      <c r="M670" s="456">
        <v>34.902622222900391</v>
      </c>
      <c r="N670" s="457"/>
      <c r="O670" s="456"/>
      <c r="P670" s="46"/>
      <c r="Q670" s="463">
        <v>50.730838775634766</v>
      </c>
      <c r="R670" s="449"/>
      <c r="S670" s="463"/>
      <c r="T670" s="480"/>
      <c r="U670" s="468"/>
      <c r="V670" s="449"/>
      <c r="W670" s="45">
        <v>1259.9755859375</v>
      </c>
      <c r="X670" s="463">
        <v>108.28118133544922</v>
      </c>
      <c r="Y670" s="449"/>
      <c r="Z670" s="45"/>
      <c r="AA670" s="468">
        <v>0.41780496631440567</v>
      </c>
      <c r="AB670" s="456"/>
      <c r="AC670" s="46"/>
      <c r="AD670" s="46"/>
      <c r="AE670" s="46"/>
      <c r="AF670" s="46"/>
      <c r="AG670" s="46"/>
      <c r="AH670" s="46"/>
      <c r="AI670" s="457"/>
      <c r="AJ670" s="138"/>
      <c r="AK670" s="745"/>
      <c r="AL670" s="54"/>
      <c r="AM670" s="468"/>
      <c r="AN670" s="449"/>
      <c r="AO670" s="45"/>
      <c r="AP670" s="45"/>
      <c r="AQ670" s="45"/>
      <c r="AR670" s="45"/>
      <c r="AS670" s="45"/>
      <c r="AT670" s="45"/>
      <c r="AU670" s="463"/>
      <c r="AV670" s="449"/>
      <c r="AW670" s="45"/>
      <c r="AX670" s="45"/>
      <c r="AY670" s="45"/>
      <c r="AZ670" s="45"/>
      <c r="BA670" s="45"/>
      <c r="BB670" s="45"/>
      <c r="BC670" s="463"/>
      <c r="BD670" s="456"/>
      <c r="BE670" s="46"/>
      <c r="BF670" s="46"/>
      <c r="BG670" s="46"/>
      <c r="BH670" s="46"/>
      <c r="BI670" s="46"/>
      <c r="BJ670" s="457"/>
      <c r="BK670" s="449">
        <v>0</v>
      </c>
      <c r="BL670" s="45"/>
      <c r="BM670" s="45"/>
      <c r="BN670" s="45"/>
      <c r="BO670" s="45"/>
      <c r="BP670" s="45"/>
      <c r="BQ670" s="45"/>
      <c r="BR670" s="45"/>
      <c r="BS670" s="45"/>
      <c r="BT670" s="45"/>
      <c r="BU670" s="45"/>
      <c r="BV670" s="45"/>
      <c r="BW670" s="45"/>
      <c r="BX670" s="45"/>
      <c r="BY670" s="45"/>
      <c r="BZ670" s="45"/>
      <c r="CA670" s="45"/>
      <c r="CB670" s="45"/>
      <c r="CC670" s="45"/>
      <c r="CD670" s="463"/>
      <c r="CE670">
        <v>0</v>
      </c>
      <c r="CF670">
        <v>0</v>
      </c>
      <c r="CG670">
        <v>0</v>
      </c>
      <c r="CH670">
        <v>0</v>
      </c>
      <c r="CI670">
        <v>0</v>
      </c>
      <c r="CJ670">
        <v>0</v>
      </c>
      <c r="CK670">
        <v>0</v>
      </c>
      <c r="CL670">
        <v>0</v>
      </c>
      <c r="CM670">
        <v>0</v>
      </c>
      <c r="CN670">
        <v>0</v>
      </c>
      <c r="CO670">
        <v>0</v>
      </c>
      <c r="CP670">
        <v>0</v>
      </c>
      <c r="CQ670">
        <v>0</v>
      </c>
      <c r="CR670">
        <v>0</v>
      </c>
      <c r="CS670">
        <v>0</v>
      </c>
      <c r="CT670">
        <v>0</v>
      </c>
      <c r="CU670">
        <v>0</v>
      </c>
      <c r="CV670">
        <v>0</v>
      </c>
      <c r="CW670">
        <v>0</v>
      </c>
      <c r="CX670">
        <v>0</v>
      </c>
      <c r="CY670">
        <v>0</v>
      </c>
      <c r="CZ670">
        <v>0</v>
      </c>
      <c r="DA670">
        <v>0</v>
      </c>
      <c r="DB670">
        <v>0</v>
      </c>
      <c r="DC670">
        <v>0</v>
      </c>
      <c r="DD670">
        <v>0</v>
      </c>
      <c r="DE670">
        <v>0</v>
      </c>
      <c r="DF670">
        <v>0</v>
      </c>
      <c r="DG670">
        <v>0</v>
      </c>
      <c r="DH670">
        <v>0</v>
      </c>
      <c r="DI670">
        <v>0</v>
      </c>
      <c r="DJ670">
        <v>0</v>
      </c>
      <c r="DK670">
        <v>0</v>
      </c>
      <c r="DL670">
        <v>0</v>
      </c>
      <c r="DM670">
        <v>0</v>
      </c>
      <c r="DN670">
        <v>0</v>
      </c>
      <c r="DO670">
        <v>0</v>
      </c>
      <c r="DP670">
        <v>0</v>
      </c>
      <c r="DQ670">
        <v>0</v>
      </c>
      <c r="DR670">
        <v>0</v>
      </c>
      <c r="DS670">
        <v>0</v>
      </c>
      <c r="DT670">
        <v>0</v>
      </c>
      <c r="DU670">
        <v>0</v>
      </c>
    </row>
    <row r="671" spans="2:125">
      <c r="B671" s="136">
        <v>662</v>
      </c>
      <c r="C671" s="138">
        <v>1</v>
      </c>
      <c r="D671" s="474">
        <v>2799.445734252663</v>
      </c>
      <c r="E671" s="127">
        <v>221.66870621446839</v>
      </c>
      <c r="F671" s="447">
        <v>0.43155584495308086</v>
      </c>
      <c r="G671" s="127">
        <v>108.70839528233093</v>
      </c>
      <c r="H671" s="132">
        <v>46.597973953113048</v>
      </c>
      <c r="I671" s="456"/>
      <c r="J671" s="45"/>
      <c r="K671" s="45">
        <v>430</v>
      </c>
      <c r="L671" s="463"/>
      <c r="M671" s="456">
        <v>36.779064178466797</v>
      </c>
      <c r="N671" s="457"/>
      <c r="O671" s="456"/>
      <c r="P671" s="46"/>
      <c r="Q671" s="463">
        <v>55.429027557373047</v>
      </c>
      <c r="R671" s="449"/>
      <c r="S671" s="463"/>
      <c r="T671" s="480"/>
      <c r="U671" s="468"/>
      <c r="V671" s="449"/>
      <c r="W671" s="45">
        <v>1430.4874267578125</v>
      </c>
      <c r="X671" s="463">
        <v>120.91694641113281</v>
      </c>
      <c r="Y671" s="449"/>
      <c r="Z671" s="45"/>
      <c r="AA671" s="468">
        <v>0.41954235367958781</v>
      </c>
      <c r="AB671" s="456"/>
      <c r="AC671" s="46"/>
      <c r="AD671" s="46"/>
      <c r="AE671" s="46"/>
      <c r="AF671" s="46"/>
      <c r="AG671" s="46"/>
      <c r="AH671" s="46"/>
      <c r="AI671" s="457"/>
      <c r="AJ671" s="138"/>
      <c r="AK671" s="745"/>
      <c r="AL671" s="54"/>
      <c r="AM671" s="468"/>
      <c r="AN671" s="449"/>
      <c r="AO671" s="45"/>
      <c r="AP671" s="45"/>
      <c r="AQ671" s="45"/>
      <c r="AR671" s="45"/>
      <c r="AS671" s="45"/>
      <c r="AT671" s="45"/>
      <c r="AU671" s="463"/>
      <c r="AV671" s="449"/>
      <c r="AW671" s="45"/>
      <c r="AX671" s="45"/>
      <c r="AY671" s="45"/>
      <c r="AZ671" s="45"/>
      <c r="BA671" s="45"/>
      <c r="BB671" s="45"/>
      <c r="BC671" s="463"/>
      <c r="BD671" s="456"/>
      <c r="BE671" s="46"/>
      <c r="BF671" s="46"/>
      <c r="BG671" s="46"/>
      <c r="BH671" s="46"/>
      <c r="BI671" s="46"/>
      <c r="BJ671" s="457"/>
      <c r="BK671" s="449">
        <v>0</v>
      </c>
      <c r="BL671" s="45"/>
      <c r="BM671" s="45"/>
      <c r="BN671" s="45"/>
      <c r="BO671" s="45"/>
      <c r="BP671" s="45"/>
      <c r="BQ671" s="45"/>
      <c r="BR671" s="45"/>
      <c r="BS671" s="45"/>
      <c r="BT671" s="45"/>
      <c r="BU671" s="45"/>
      <c r="BV671" s="45"/>
      <c r="BW671" s="45"/>
      <c r="BX671" s="45"/>
      <c r="BY671" s="45"/>
      <c r="BZ671" s="45"/>
      <c r="CA671" s="45"/>
      <c r="CB671" s="45"/>
      <c r="CC671" s="45"/>
      <c r="CD671" s="463"/>
      <c r="CE671">
        <v>0</v>
      </c>
      <c r="CF671">
        <v>0</v>
      </c>
      <c r="CG671">
        <v>0</v>
      </c>
      <c r="CH671">
        <v>0</v>
      </c>
      <c r="CI671">
        <v>0</v>
      </c>
      <c r="CJ671">
        <v>0</v>
      </c>
      <c r="CK671">
        <v>0</v>
      </c>
      <c r="CL671">
        <v>0</v>
      </c>
      <c r="CM671">
        <v>0</v>
      </c>
      <c r="CN671">
        <v>0</v>
      </c>
      <c r="CO671">
        <v>0</v>
      </c>
      <c r="CP671">
        <v>0</v>
      </c>
      <c r="CQ671">
        <v>0</v>
      </c>
      <c r="CR671">
        <v>0</v>
      </c>
      <c r="CS671">
        <v>0</v>
      </c>
      <c r="CT671">
        <v>0</v>
      </c>
      <c r="CU671">
        <v>0</v>
      </c>
      <c r="CV671">
        <v>0</v>
      </c>
      <c r="CW671">
        <v>0</v>
      </c>
      <c r="CX671">
        <v>0</v>
      </c>
      <c r="CY671">
        <v>0</v>
      </c>
      <c r="CZ671">
        <v>0</v>
      </c>
      <c r="DA671">
        <v>0</v>
      </c>
      <c r="DB671">
        <v>0</v>
      </c>
      <c r="DC671">
        <v>0</v>
      </c>
      <c r="DD671">
        <v>0</v>
      </c>
      <c r="DE671">
        <v>0</v>
      </c>
      <c r="DF671">
        <v>0</v>
      </c>
      <c r="DG671">
        <v>0</v>
      </c>
      <c r="DH671">
        <v>0</v>
      </c>
      <c r="DI671">
        <v>0</v>
      </c>
      <c r="DJ671">
        <v>0</v>
      </c>
      <c r="DK671">
        <v>0</v>
      </c>
      <c r="DL671">
        <v>0</v>
      </c>
      <c r="DM671">
        <v>0</v>
      </c>
      <c r="DN671">
        <v>0</v>
      </c>
      <c r="DO671">
        <v>0</v>
      </c>
      <c r="DP671">
        <v>0</v>
      </c>
      <c r="DQ671">
        <v>0</v>
      </c>
      <c r="DR671">
        <v>0</v>
      </c>
      <c r="DS671">
        <v>0</v>
      </c>
      <c r="DT671">
        <v>0</v>
      </c>
      <c r="DU671">
        <v>0</v>
      </c>
    </row>
    <row r="672" spans="2:125">
      <c r="B672" s="136">
        <v>663</v>
      </c>
      <c r="C672" s="138">
        <v>1</v>
      </c>
      <c r="D672" s="474">
        <v>3204.0655550814827</v>
      </c>
      <c r="E672" s="127">
        <v>242.05606070355557</v>
      </c>
      <c r="F672" s="447">
        <v>0.41749439030011382</v>
      </c>
      <c r="G672" s="127">
        <v>112.32194222221159</v>
      </c>
      <c r="H672" s="132">
        <v>61.180658665435175</v>
      </c>
      <c r="I672" s="456"/>
      <c r="J672" s="45"/>
      <c r="K672" s="45">
        <v>490</v>
      </c>
      <c r="L672" s="463"/>
      <c r="M672" s="456">
        <v>32.607959747314453</v>
      </c>
      <c r="N672" s="457"/>
      <c r="O672" s="456"/>
      <c r="P672" s="46"/>
      <c r="Q672" s="463">
        <v>71.689277648925781</v>
      </c>
      <c r="R672" s="449"/>
      <c r="S672" s="463"/>
      <c r="T672" s="480"/>
      <c r="U672" s="468"/>
      <c r="V672" s="449"/>
      <c r="W672" s="45">
        <v>1502.1890869140625</v>
      </c>
      <c r="X672" s="463">
        <v>126.36960601806641</v>
      </c>
      <c r="Y672" s="449"/>
      <c r="Z672" s="45"/>
      <c r="AA672" s="468">
        <v>0.40708577436118243</v>
      </c>
      <c r="AB672" s="456"/>
      <c r="AC672" s="46"/>
      <c r="AD672" s="46"/>
      <c r="AE672" s="46"/>
      <c r="AF672" s="46"/>
      <c r="AG672" s="46"/>
      <c r="AH672" s="46"/>
      <c r="AI672" s="457"/>
      <c r="AJ672" s="138"/>
      <c r="AK672" s="745"/>
      <c r="AL672" s="54"/>
      <c r="AM672" s="468"/>
      <c r="AN672" s="449"/>
      <c r="AO672" s="45"/>
      <c r="AP672" s="45"/>
      <c r="AQ672" s="45"/>
      <c r="AR672" s="45"/>
      <c r="AS672" s="45"/>
      <c r="AT672" s="45"/>
      <c r="AU672" s="463"/>
      <c r="AV672" s="449"/>
      <c r="AW672" s="45"/>
      <c r="AX672" s="45"/>
      <c r="AY672" s="45"/>
      <c r="AZ672" s="45"/>
      <c r="BA672" s="45"/>
      <c r="BB672" s="45"/>
      <c r="BC672" s="463"/>
      <c r="BD672" s="456"/>
      <c r="BE672" s="46"/>
      <c r="BF672" s="46"/>
      <c r="BG672" s="46"/>
      <c r="BH672" s="46"/>
      <c r="BI672" s="46"/>
      <c r="BJ672" s="457"/>
      <c r="BK672" s="449">
        <v>0</v>
      </c>
      <c r="BL672" s="45"/>
      <c r="BM672" s="45"/>
      <c r="BN672" s="45"/>
      <c r="BO672" s="45"/>
      <c r="BP672" s="45"/>
      <c r="BQ672" s="45"/>
      <c r="BR672" s="45"/>
      <c r="BS672" s="45"/>
      <c r="BT672" s="45"/>
      <c r="BU672" s="45"/>
      <c r="BV672" s="45"/>
      <c r="BW672" s="45"/>
      <c r="BX672" s="45"/>
      <c r="BY672" s="45"/>
      <c r="BZ672" s="45"/>
      <c r="CA672" s="45"/>
      <c r="CB672" s="45"/>
      <c r="CC672" s="45"/>
      <c r="CD672" s="463"/>
      <c r="CE672">
        <v>0</v>
      </c>
      <c r="CF672">
        <v>0</v>
      </c>
      <c r="CG672">
        <v>0</v>
      </c>
      <c r="CH672">
        <v>0</v>
      </c>
      <c r="CI672">
        <v>0</v>
      </c>
      <c r="CJ672">
        <v>0</v>
      </c>
      <c r="CK672">
        <v>0</v>
      </c>
      <c r="CL672">
        <v>0</v>
      </c>
      <c r="CM672">
        <v>0</v>
      </c>
      <c r="CN672">
        <v>0</v>
      </c>
      <c r="CO672">
        <v>0</v>
      </c>
      <c r="CP672">
        <v>0</v>
      </c>
      <c r="CQ672">
        <v>0</v>
      </c>
      <c r="CR672">
        <v>0</v>
      </c>
      <c r="CS672">
        <v>0</v>
      </c>
      <c r="CT672">
        <v>0</v>
      </c>
      <c r="CU672">
        <v>0</v>
      </c>
      <c r="CV672">
        <v>0</v>
      </c>
      <c r="CW672">
        <v>0</v>
      </c>
      <c r="CX672">
        <v>0</v>
      </c>
      <c r="CY672">
        <v>0</v>
      </c>
      <c r="CZ672">
        <v>0</v>
      </c>
      <c r="DA672">
        <v>0</v>
      </c>
      <c r="DB672">
        <v>0</v>
      </c>
      <c r="DC672">
        <v>0</v>
      </c>
      <c r="DD672">
        <v>0</v>
      </c>
      <c r="DE672">
        <v>0</v>
      </c>
      <c r="DF672">
        <v>0</v>
      </c>
      <c r="DG672">
        <v>0</v>
      </c>
      <c r="DH672">
        <v>0</v>
      </c>
      <c r="DI672">
        <v>0</v>
      </c>
      <c r="DJ672">
        <v>0</v>
      </c>
      <c r="DK672">
        <v>0</v>
      </c>
      <c r="DL672">
        <v>0</v>
      </c>
      <c r="DM672">
        <v>0</v>
      </c>
      <c r="DN672">
        <v>0</v>
      </c>
      <c r="DO672">
        <v>0</v>
      </c>
      <c r="DP672">
        <v>0</v>
      </c>
      <c r="DQ672">
        <v>0</v>
      </c>
      <c r="DR672">
        <v>0</v>
      </c>
      <c r="DS672">
        <v>0</v>
      </c>
      <c r="DT672">
        <v>0</v>
      </c>
      <c r="DU672">
        <v>0</v>
      </c>
    </row>
    <row r="673" spans="2:125">
      <c r="B673" s="136">
        <v>664</v>
      </c>
      <c r="C673" s="138">
        <v>1</v>
      </c>
      <c r="D673" s="474">
        <v>3078.4659219484997</v>
      </c>
      <c r="E673" s="127">
        <v>276.78696885780141</v>
      </c>
      <c r="F673" s="447">
        <v>0.39119869957397541</v>
      </c>
      <c r="G673" s="127">
        <v>113.43279168988843</v>
      </c>
      <c r="H673" s="132">
        <v>51.440621036378907</v>
      </c>
      <c r="I673" s="456"/>
      <c r="J673" s="45"/>
      <c r="K673" s="45">
        <v>450</v>
      </c>
      <c r="L673" s="463"/>
      <c r="M673" s="456">
        <v>31.062578201293945</v>
      </c>
      <c r="N673" s="457"/>
      <c r="O673" s="456"/>
      <c r="P673" s="46"/>
      <c r="Q673" s="463">
        <v>60.953628540039062</v>
      </c>
      <c r="R673" s="449"/>
      <c r="S673" s="463"/>
      <c r="T673" s="480"/>
      <c r="U673" s="468"/>
      <c r="V673" s="449"/>
      <c r="W673" s="45">
        <v>1303.1497802734375</v>
      </c>
      <c r="X673" s="463">
        <v>111.74876403808594</v>
      </c>
      <c r="Y673" s="449"/>
      <c r="Z673" s="45"/>
      <c r="AA673" s="468">
        <v>0.38053625443938588</v>
      </c>
      <c r="AB673" s="456"/>
      <c r="AC673" s="46"/>
      <c r="AD673" s="46"/>
      <c r="AE673" s="46"/>
      <c r="AF673" s="46"/>
      <c r="AG673" s="46"/>
      <c r="AH673" s="46"/>
      <c r="AI673" s="457"/>
      <c r="AJ673" s="138"/>
      <c r="AK673" s="745"/>
      <c r="AL673" s="54"/>
      <c r="AM673" s="468"/>
      <c r="AN673" s="449"/>
      <c r="AO673" s="45"/>
      <c r="AP673" s="45"/>
      <c r="AQ673" s="45"/>
      <c r="AR673" s="45"/>
      <c r="AS673" s="45"/>
      <c r="AT673" s="45"/>
      <c r="AU673" s="463"/>
      <c r="AV673" s="449"/>
      <c r="AW673" s="45"/>
      <c r="AX673" s="45"/>
      <c r="AY673" s="45"/>
      <c r="AZ673" s="45"/>
      <c r="BA673" s="45"/>
      <c r="BB673" s="45"/>
      <c r="BC673" s="463"/>
      <c r="BD673" s="456"/>
      <c r="BE673" s="46"/>
      <c r="BF673" s="46"/>
      <c r="BG673" s="46"/>
      <c r="BH673" s="46"/>
      <c r="BI673" s="46"/>
      <c r="BJ673" s="457"/>
      <c r="BK673" s="449">
        <v>0</v>
      </c>
      <c r="BL673" s="45"/>
      <c r="BM673" s="45"/>
      <c r="BN673" s="45"/>
      <c r="BO673" s="45"/>
      <c r="BP673" s="45"/>
      <c r="BQ673" s="45"/>
      <c r="BR673" s="45"/>
      <c r="BS673" s="45"/>
      <c r="BT673" s="45"/>
      <c r="BU673" s="45"/>
      <c r="BV673" s="45"/>
      <c r="BW673" s="45"/>
      <c r="BX673" s="45"/>
      <c r="BY673" s="45"/>
      <c r="BZ673" s="45"/>
      <c r="CA673" s="45"/>
      <c r="CB673" s="45"/>
      <c r="CC673" s="45"/>
      <c r="CD673" s="463"/>
      <c r="CE673">
        <v>0</v>
      </c>
      <c r="CF673">
        <v>0</v>
      </c>
      <c r="CG673">
        <v>0</v>
      </c>
      <c r="CH673">
        <v>0</v>
      </c>
      <c r="CI673">
        <v>0</v>
      </c>
      <c r="CJ673">
        <v>0</v>
      </c>
      <c r="CK673">
        <v>0</v>
      </c>
      <c r="CL673">
        <v>0</v>
      </c>
      <c r="CM673">
        <v>0</v>
      </c>
      <c r="CN673">
        <v>0</v>
      </c>
      <c r="CO673">
        <v>0</v>
      </c>
      <c r="CP673">
        <v>0</v>
      </c>
      <c r="CQ673">
        <v>0</v>
      </c>
      <c r="CR673">
        <v>0</v>
      </c>
      <c r="CS673">
        <v>0</v>
      </c>
      <c r="CT673">
        <v>0</v>
      </c>
      <c r="CU673">
        <v>0</v>
      </c>
      <c r="CV673">
        <v>0</v>
      </c>
      <c r="CW673">
        <v>0</v>
      </c>
      <c r="CX673">
        <v>0</v>
      </c>
      <c r="CY673">
        <v>0</v>
      </c>
      <c r="CZ673">
        <v>0</v>
      </c>
      <c r="DA673">
        <v>0</v>
      </c>
      <c r="DB673">
        <v>0</v>
      </c>
      <c r="DC673">
        <v>0</v>
      </c>
      <c r="DD673">
        <v>0</v>
      </c>
      <c r="DE673">
        <v>0</v>
      </c>
      <c r="DF673">
        <v>0</v>
      </c>
      <c r="DG673">
        <v>0</v>
      </c>
      <c r="DH673">
        <v>0</v>
      </c>
      <c r="DI673">
        <v>0</v>
      </c>
      <c r="DJ673">
        <v>0</v>
      </c>
      <c r="DK673">
        <v>0</v>
      </c>
      <c r="DL673">
        <v>0</v>
      </c>
      <c r="DM673">
        <v>0</v>
      </c>
      <c r="DN673">
        <v>0</v>
      </c>
      <c r="DO673">
        <v>0</v>
      </c>
      <c r="DP673">
        <v>0</v>
      </c>
      <c r="DQ673">
        <v>0</v>
      </c>
      <c r="DR673">
        <v>0</v>
      </c>
      <c r="DS673">
        <v>0</v>
      </c>
      <c r="DT673">
        <v>0</v>
      </c>
      <c r="DU673">
        <v>0</v>
      </c>
    </row>
    <row r="674" spans="2:125">
      <c r="B674" s="136">
        <v>665</v>
      </c>
      <c r="C674" s="138">
        <v>1</v>
      </c>
      <c r="D674" s="474">
        <v>3287.3723029525709</v>
      </c>
      <c r="E674" s="127">
        <v>275.08180709849768</v>
      </c>
      <c r="F674" s="447">
        <v>0.42433296691103584</v>
      </c>
      <c r="G674" s="127">
        <v>108.44747342790107</v>
      </c>
      <c r="H674" s="132">
        <v>56.771416273823434</v>
      </c>
      <c r="I674" s="456"/>
      <c r="J674" s="45"/>
      <c r="K674" s="45">
        <v>460</v>
      </c>
      <c r="L674" s="463"/>
      <c r="M674" s="456">
        <v>33.815891265869141</v>
      </c>
      <c r="N674" s="457"/>
      <c r="O674" s="456"/>
      <c r="P674" s="46"/>
      <c r="Q674" s="463">
        <v>65.089973449707031</v>
      </c>
      <c r="R674" s="449"/>
      <c r="S674" s="463"/>
      <c r="T674" s="480"/>
      <c r="U674" s="468"/>
      <c r="V674" s="449"/>
      <c r="W674" s="45">
        <v>1464.404052734375</v>
      </c>
      <c r="X674" s="463">
        <v>123.50457763671875</v>
      </c>
      <c r="Y674" s="449"/>
      <c r="Z674" s="45"/>
      <c r="AA674" s="468">
        <v>0.41414651516410572</v>
      </c>
      <c r="AB674" s="456"/>
      <c r="AC674" s="46"/>
      <c r="AD674" s="46"/>
      <c r="AE674" s="46"/>
      <c r="AF674" s="46"/>
      <c r="AG674" s="46"/>
      <c r="AH674" s="46"/>
      <c r="AI674" s="457"/>
      <c r="AJ674" s="138"/>
      <c r="AK674" s="745"/>
      <c r="AL674" s="54"/>
      <c r="AM674" s="468"/>
      <c r="AN674" s="449"/>
      <c r="AO674" s="45"/>
      <c r="AP674" s="45"/>
      <c r="AQ674" s="45"/>
      <c r="AR674" s="45"/>
      <c r="AS674" s="45"/>
      <c r="AT674" s="45"/>
      <c r="AU674" s="463"/>
      <c r="AV674" s="449"/>
      <c r="AW674" s="45"/>
      <c r="AX674" s="45"/>
      <c r="AY674" s="45"/>
      <c r="AZ674" s="45"/>
      <c r="BA674" s="45"/>
      <c r="BB674" s="45"/>
      <c r="BC674" s="463"/>
      <c r="BD674" s="456"/>
      <c r="BE674" s="46"/>
      <c r="BF674" s="46"/>
      <c r="BG674" s="46"/>
      <c r="BH674" s="46"/>
      <c r="BI674" s="46"/>
      <c r="BJ674" s="457"/>
      <c r="BK674" s="449">
        <v>0</v>
      </c>
      <c r="BL674" s="45"/>
      <c r="BM674" s="45"/>
      <c r="BN674" s="45"/>
      <c r="BO674" s="45"/>
      <c r="BP674" s="45"/>
      <c r="BQ674" s="45"/>
      <c r="BR674" s="45"/>
      <c r="BS674" s="45"/>
      <c r="BT674" s="45"/>
      <c r="BU674" s="45"/>
      <c r="BV674" s="45"/>
      <c r="BW674" s="45"/>
      <c r="BX674" s="45"/>
      <c r="BY674" s="45"/>
      <c r="BZ674" s="45"/>
      <c r="CA674" s="45"/>
      <c r="CB674" s="45"/>
      <c r="CC674" s="45"/>
      <c r="CD674" s="463"/>
      <c r="CE674">
        <v>0</v>
      </c>
      <c r="CF674">
        <v>0</v>
      </c>
      <c r="CG674">
        <v>0</v>
      </c>
      <c r="CH674">
        <v>0</v>
      </c>
      <c r="CI674">
        <v>0</v>
      </c>
      <c r="CJ674">
        <v>0</v>
      </c>
      <c r="CK674">
        <v>0</v>
      </c>
      <c r="CL674">
        <v>0</v>
      </c>
      <c r="CM674">
        <v>0</v>
      </c>
      <c r="CN674">
        <v>0</v>
      </c>
      <c r="CO674">
        <v>0</v>
      </c>
      <c r="CP674">
        <v>0</v>
      </c>
      <c r="CQ674">
        <v>0</v>
      </c>
      <c r="CR674">
        <v>0</v>
      </c>
      <c r="CS674">
        <v>0</v>
      </c>
      <c r="CT674">
        <v>0</v>
      </c>
      <c r="CU674">
        <v>0</v>
      </c>
      <c r="CV674">
        <v>0</v>
      </c>
      <c r="CW674">
        <v>0</v>
      </c>
      <c r="CX674">
        <v>0</v>
      </c>
      <c r="CY674">
        <v>0</v>
      </c>
      <c r="CZ674">
        <v>0</v>
      </c>
      <c r="DA674">
        <v>0</v>
      </c>
      <c r="DB674">
        <v>0</v>
      </c>
      <c r="DC674">
        <v>0</v>
      </c>
      <c r="DD674">
        <v>0</v>
      </c>
      <c r="DE674">
        <v>0</v>
      </c>
      <c r="DF674">
        <v>0</v>
      </c>
      <c r="DG674">
        <v>0</v>
      </c>
      <c r="DH674">
        <v>0</v>
      </c>
      <c r="DI674">
        <v>0</v>
      </c>
      <c r="DJ674">
        <v>0</v>
      </c>
      <c r="DK674">
        <v>0</v>
      </c>
      <c r="DL674">
        <v>0</v>
      </c>
      <c r="DM674">
        <v>0</v>
      </c>
      <c r="DN674">
        <v>0</v>
      </c>
      <c r="DO674">
        <v>0</v>
      </c>
      <c r="DP674">
        <v>0</v>
      </c>
      <c r="DQ674">
        <v>0</v>
      </c>
      <c r="DR674">
        <v>0</v>
      </c>
      <c r="DS674">
        <v>0</v>
      </c>
      <c r="DT674">
        <v>0</v>
      </c>
      <c r="DU674">
        <v>0</v>
      </c>
    </row>
    <row r="675" spans="2:125">
      <c r="B675" s="136">
        <v>666</v>
      </c>
      <c r="C675" s="138">
        <v>1</v>
      </c>
      <c r="D675" s="474">
        <v>3805.4934064303052</v>
      </c>
      <c r="E675" s="127">
        <v>174.90923321882224</v>
      </c>
      <c r="F675" s="447">
        <v>0.39834863488513655</v>
      </c>
      <c r="G675" s="127">
        <v>143.81518862976714</v>
      </c>
      <c r="H675" s="132">
        <v>63.089704830651044</v>
      </c>
      <c r="I675" s="456"/>
      <c r="J675" s="45"/>
      <c r="K675" s="45">
        <v>590</v>
      </c>
      <c r="L675" s="463"/>
      <c r="M675" s="456">
        <v>32.75927734375</v>
      </c>
      <c r="N675" s="457"/>
      <c r="O675" s="456"/>
      <c r="P675" s="46"/>
      <c r="Q675" s="463">
        <v>83.425621032714844</v>
      </c>
      <c r="R675" s="449"/>
      <c r="S675" s="463"/>
      <c r="T675" s="480"/>
      <c r="U675" s="468"/>
      <c r="V675" s="449"/>
      <c r="W675" s="45">
        <v>1674.074462890625</v>
      </c>
      <c r="X675" s="463">
        <v>139.30252075195312</v>
      </c>
      <c r="Y675" s="449"/>
      <c r="Z675" s="45"/>
      <c r="AA675" s="468">
        <v>0.38968563926885275</v>
      </c>
      <c r="AB675" s="456"/>
      <c r="AC675" s="46"/>
      <c r="AD675" s="46"/>
      <c r="AE675" s="46"/>
      <c r="AF675" s="46"/>
      <c r="AG675" s="46"/>
      <c r="AH675" s="46"/>
      <c r="AI675" s="457"/>
      <c r="AJ675" s="138"/>
      <c r="AK675" s="745"/>
      <c r="AL675" s="54"/>
      <c r="AM675" s="468"/>
      <c r="AN675" s="449"/>
      <c r="AO675" s="45"/>
      <c r="AP675" s="45"/>
      <c r="AQ675" s="45"/>
      <c r="AR675" s="45"/>
      <c r="AS675" s="45"/>
      <c r="AT675" s="45"/>
      <c r="AU675" s="463"/>
      <c r="AV675" s="449"/>
      <c r="AW675" s="45"/>
      <c r="AX675" s="45"/>
      <c r="AY675" s="45"/>
      <c r="AZ675" s="45"/>
      <c r="BA675" s="45"/>
      <c r="BB675" s="45"/>
      <c r="BC675" s="463"/>
      <c r="BD675" s="456"/>
      <c r="BE675" s="46"/>
      <c r="BF675" s="46"/>
      <c r="BG675" s="46"/>
      <c r="BH675" s="46"/>
      <c r="BI675" s="46"/>
      <c r="BJ675" s="457"/>
      <c r="BK675" s="449">
        <v>0</v>
      </c>
      <c r="BL675" s="45"/>
      <c r="BM675" s="45"/>
      <c r="BN675" s="45"/>
      <c r="BO675" s="45"/>
      <c r="BP675" s="45"/>
      <c r="BQ675" s="45"/>
      <c r="BR675" s="45"/>
      <c r="BS675" s="45"/>
      <c r="BT675" s="45"/>
      <c r="BU675" s="45"/>
      <c r="BV675" s="45"/>
      <c r="BW675" s="45"/>
      <c r="BX675" s="45"/>
      <c r="BY675" s="45"/>
      <c r="BZ675" s="45"/>
      <c r="CA675" s="45"/>
      <c r="CB675" s="45"/>
      <c r="CC675" s="45"/>
      <c r="CD675" s="463"/>
      <c r="CE675">
        <v>0</v>
      </c>
      <c r="CF675">
        <v>0</v>
      </c>
      <c r="CG675">
        <v>0</v>
      </c>
      <c r="CH675">
        <v>0</v>
      </c>
      <c r="CI675">
        <v>0</v>
      </c>
      <c r="CJ675">
        <v>0</v>
      </c>
      <c r="CK675">
        <v>0</v>
      </c>
      <c r="CL675">
        <v>0</v>
      </c>
      <c r="CM675">
        <v>0</v>
      </c>
      <c r="CN675">
        <v>0</v>
      </c>
      <c r="CO675">
        <v>0</v>
      </c>
      <c r="CP675">
        <v>0</v>
      </c>
      <c r="CQ675">
        <v>0</v>
      </c>
      <c r="CR675">
        <v>0</v>
      </c>
      <c r="CS675">
        <v>0</v>
      </c>
      <c r="CT675">
        <v>0</v>
      </c>
      <c r="CU675">
        <v>0</v>
      </c>
      <c r="CV675">
        <v>0</v>
      </c>
      <c r="CW675">
        <v>0</v>
      </c>
      <c r="CX675">
        <v>0</v>
      </c>
      <c r="CY675">
        <v>0</v>
      </c>
      <c r="CZ675">
        <v>0</v>
      </c>
      <c r="DA675">
        <v>0</v>
      </c>
      <c r="DB675">
        <v>0</v>
      </c>
      <c r="DC675">
        <v>0</v>
      </c>
      <c r="DD675">
        <v>0</v>
      </c>
      <c r="DE675">
        <v>0</v>
      </c>
      <c r="DF675">
        <v>0</v>
      </c>
      <c r="DG675">
        <v>0</v>
      </c>
      <c r="DH675">
        <v>0</v>
      </c>
      <c r="DI675">
        <v>0</v>
      </c>
      <c r="DJ675">
        <v>0</v>
      </c>
      <c r="DK675">
        <v>0</v>
      </c>
      <c r="DL675">
        <v>0</v>
      </c>
      <c r="DM675">
        <v>0</v>
      </c>
      <c r="DN675">
        <v>0</v>
      </c>
      <c r="DO675">
        <v>0</v>
      </c>
      <c r="DP675">
        <v>0</v>
      </c>
      <c r="DQ675">
        <v>0</v>
      </c>
      <c r="DR675">
        <v>0</v>
      </c>
      <c r="DS675">
        <v>0</v>
      </c>
      <c r="DT675">
        <v>0</v>
      </c>
      <c r="DU675">
        <v>0</v>
      </c>
    </row>
    <row r="676" spans="2:125">
      <c r="B676" s="136">
        <v>667</v>
      </c>
      <c r="C676" s="138">
        <v>1</v>
      </c>
      <c r="D676" s="474">
        <v>3444.1377515247232</v>
      </c>
      <c r="E676" s="127">
        <v>285.39089465600762</v>
      </c>
      <c r="F676" s="447">
        <v>0.39724848262623469</v>
      </c>
      <c r="G676" s="127">
        <v>134.97002799285545</v>
      </c>
      <c r="H676" s="132">
        <v>52.492357940351539</v>
      </c>
      <c r="I676" s="456"/>
      <c r="J676" s="45"/>
      <c r="K676" s="45">
        <v>530</v>
      </c>
      <c r="L676" s="463"/>
      <c r="M676" s="456">
        <v>33.508773803710938</v>
      </c>
      <c r="N676" s="457"/>
      <c r="O676" s="456"/>
      <c r="P676" s="46"/>
      <c r="Q676" s="463">
        <v>68.193931579589844</v>
      </c>
      <c r="R676" s="449"/>
      <c r="S676" s="463"/>
      <c r="T676" s="480"/>
      <c r="U676" s="468"/>
      <c r="V676" s="449"/>
      <c r="W676" s="45">
        <v>1516.027099609375</v>
      </c>
      <c r="X676" s="463">
        <v>127.53842926025391</v>
      </c>
      <c r="Y676" s="449"/>
      <c r="Z676" s="45"/>
      <c r="AA676" s="468">
        <v>0.38768296230465643</v>
      </c>
      <c r="AB676" s="456"/>
      <c r="AC676" s="46"/>
      <c r="AD676" s="46"/>
      <c r="AE676" s="46"/>
      <c r="AF676" s="46"/>
      <c r="AG676" s="46"/>
      <c r="AH676" s="46"/>
      <c r="AI676" s="457"/>
      <c r="AJ676" s="138"/>
      <c r="AK676" s="745"/>
      <c r="AL676" s="54"/>
      <c r="AM676" s="468"/>
      <c r="AN676" s="449"/>
      <c r="AO676" s="45"/>
      <c r="AP676" s="45"/>
      <c r="AQ676" s="45"/>
      <c r="AR676" s="45"/>
      <c r="AS676" s="45"/>
      <c r="AT676" s="45"/>
      <c r="AU676" s="463"/>
      <c r="AV676" s="449"/>
      <c r="AW676" s="45"/>
      <c r="AX676" s="45"/>
      <c r="AY676" s="45"/>
      <c r="AZ676" s="45"/>
      <c r="BA676" s="45"/>
      <c r="BB676" s="45"/>
      <c r="BC676" s="463"/>
      <c r="BD676" s="456"/>
      <c r="BE676" s="46"/>
      <c r="BF676" s="46"/>
      <c r="BG676" s="46"/>
      <c r="BH676" s="46"/>
      <c r="BI676" s="46"/>
      <c r="BJ676" s="457"/>
      <c r="BK676" s="449">
        <v>0</v>
      </c>
      <c r="BL676" s="45"/>
      <c r="BM676" s="45"/>
      <c r="BN676" s="45"/>
      <c r="BO676" s="45"/>
      <c r="BP676" s="45"/>
      <c r="BQ676" s="45"/>
      <c r="BR676" s="45"/>
      <c r="BS676" s="45"/>
      <c r="BT676" s="45"/>
      <c r="BU676" s="45"/>
      <c r="BV676" s="45"/>
      <c r="BW676" s="45"/>
      <c r="BX676" s="45"/>
      <c r="BY676" s="45"/>
      <c r="BZ676" s="45"/>
      <c r="CA676" s="45"/>
      <c r="CB676" s="45"/>
      <c r="CC676" s="45"/>
      <c r="CD676" s="463"/>
      <c r="CE676">
        <v>0</v>
      </c>
      <c r="CF676">
        <v>0</v>
      </c>
      <c r="CG676">
        <v>0</v>
      </c>
      <c r="CH676">
        <v>0</v>
      </c>
      <c r="CI676">
        <v>0</v>
      </c>
      <c r="CJ676">
        <v>0</v>
      </c>
      <c r="CK676">
        <v>0</v>
      </c>
      <c r="CL676">
        <v>0</v>
      </c>
      <c r="CM676">
        <v>0</v>
      </c>
      <c r="CN676">
        <v>0</v>
      </c>
      <c r="CO676">
        <v>0</v>
      </c>
      <c r="CP676">
        <v>0</v>
      </c>
      <c r="CQ676">
        <v>0</v>
      </c>
      <c r="CR676">
        <v>0</v>
      </c>
      <c r="CS676">
        <v>0</v>
      </c>
      <c r="CT676">
        <v>0</v>
      </c>
      <c r="CU676">
        <v>0</v>
      </c>
      <c r="CV676">
        <v>0</v>
      </c>
      <c r="CW676">
        <v>0</v>
      </c>
      <c r="CX676">
        <v>0</v>
      </c>
      <c r="CY676">
        <v>0</v>
      </c>
      <c r="CZ676">
        <v>0</v>
      </c>
      <c r="DA676">
        <v>0</v>
      </c>
      <c r="DB676">
        <v>0</v>
      </c>
      <c r="DC676">
        <v>0</v>
      </c>
      <c r="DD676">
        <v>0</v>
      </c>
      <c r="DE676">
        <v>0</v>
      </c>
      <c r="DF676">
        <v>0</v>
      </c>
      <c r="DG676">
        <v>0</v>
      </c>
      <c r="DH676">
        <v>0</v>
      </c>
      <c r="DI676">
        <v>0</v>
      </c>
      <c r="DJ676">
        <v>0</v>
      </c>
      <c r="DK676">
        <v>0</v>
      </c>
      <c r="DL676">
        <v>0</v>
      </c>
      <c r="DM676">
        <v>0</v>
      </c>
      <c r="DN676">
        <v>0</v>
      </c>
      <c r="DO676">
        <v>0</v>
      </c>
      <c r="DP676">
        <v>0</v>
      </c>
      <c r="DQ676">
        <v>0</v>
      </c>
      <c r="DR676">
        <v>0</v>
      </c>
      <c r="DS676">
        <v>0</v>
      </c>
      <c r="DT676">
        <v>0</v>
      </c>
      <c r="DU676">
        <v>0</v>
      </c>
    </row>
    <row r="677" spans="2:125">
      <c r="B677" s="136">
        <v>668</v>
      </c>
      <c r="C677" s="138">
        <v>1</v>
      </c>
      <c r="D677" s="474">
        <v>3240.4113297522863</v>
      </c>
      <c r="E677" s="127">
        <v>240.78837544513269</v>
      </c>
      <c r="F677" s="447">
        <v>0.43161096181985592</v>
      </c>
      <c r="G677" s="127">
        <v>106.18245957818394</v>
      </c>
      <c r="H677" s="132">
        <v>56.531425178558528</v>
      </c>
      <c r="I677" s="456"/>
      <c r="J677" s="45"/>
      <c r="K677" s="45">
        <v>450</v>
      </c>
      <c r="L677" s="463"/>
      <c r="M677" s="456">
        <v>34.517684936523438</v>
      </c>
      <c r="N677" s="457"/>
      <c r="O677" s="456"/>
      <c r="P677" s="46"/>
      <c r="Q677" s="463">
        <v>64.160148620605469</v>
      </c>
      <c r="R677" s="449"/>
      <c r="S677" s="463"/>
      <c r="T677" s="480"/>
      <c r="U677" s="468"/>
      <c r="V677" s="449"/>
      <c r="W677" s="45">
        <v>1476.7955322265625</v>
      </c>
      <c r="X677" s="463">
        <v>124.36912536621094</v>
      </c>
      <c r="Y677" s="449"/>
      <c r="Z677" s="45"/>
      <c r="AA677" s="468">
        <v>0.42123196489202819</v>
      </c>
      <c r="AB677" s="456"/>
      <c r="AC677" s="46"/>
      <c r="AD677" s="46"/>
      <c r="AE677" s="46"/>
      <c r="AF677" s="46"/>
      <c r="AG677" s="46"/>
      <c r="AH677" s="46"/>
      <c r="AI677" s="457"/>
      <c r="AJ677" s="138"/>
      <c r="AK677" s="745"/>
      <c r="AL677" s="54"/>
      <c r="AM677" s="468"/>
      <c r="AN677" s="449"/>
      <c r="AO677" s="45"/>
      <c r="AP677" s="45"/>
      <c r="AQ677" s="45"/>
      <c r="AR677" s="45"/>
      <c r="AS677" s="45"/>
      <c r="AT677" s="45"/>
      <c r="AU677" s="463"/>
      <c r="AV677" s="449"/>
      <c r="AW677" s="45"/>
      <c r="AX677" s="45"/>
      <c r="AY677" s="45"/>
      <c r="AZ677" s="45"/>
      <c r="BA677" s="45"/>
      <c r="BB677" s="45"/>
      <c r="BC677" s="463"/>
      <c r="BD677" s="456"/>
      <c r="BE677" s="46"/>
      <c r="BF677" s="46"/>
      <c r="BG677" s="46"/>
      <c r="BH677" s="46"/>
      <c r="BI677" s="46"/>
      <c r="BJ677" s="457"/>
      <c r="BK677" s="449">
        <v>0</v>
      </c>
      <c r="BL677" s="45"/>
      <c r="BM677" s="45"/>
      <c r="BN677" s="45"/>
      <c r="BO677" s="45"/>
      <c r="BP677" s="45"/>
      <c r="BQ677" s="45"/>
      <c r="BR677" s="45"/>
      <c r="BS677" s="45"/>
      <c r="BT677" s="45"/>
      <c r="BU677" s="45"/>
      <c r="BV677" s="45"/>
      <c r="BW677" s="45"/>
      <c r="BX677" s="45"/>
      <c r="BY677" s="45"/>
      <c r="BZ677" s="45"/>
      <c r="CA677" s="45"/>
      <c r="CB677" s="45"/>
      <c r="CC677" s="45"/>
      <c r="CD677" s="463"/>
      <c r="CE677">
        <v>0</v>
      </c>
      <c r="CF677">
        <v>0</v>
      </c>
      <c r="CG677">
        <v>0</v>
      </c>
      <c r="CH677">
        <v>0</v>
      </c>
      <c r="CI677">
        <v>0</v>
      </c>
      <c r="CJ677">
        <v>0</v>
      </c>
      <c r="CK677">
        <v>0</v>
      </c>
      <c r="CL677">
        <v>0</v>
      </c>
      <c r="CM677">
        <v>0</v>
      </c>
      <c r="CN677">
        <v>0</v>
      </c>
      <c r="CO677">
        <v>0</v>
      </c>
      <c r="CP677">
        <v>0</v>
      </c>
      <c r="CQ677">
        <v>0</v>
      </c>
      <c r="CR677">
        <v>0</v>
      </c>
      <c r="CS677">
        <v>0</v>
      </c>
      <c r="CT677">
        <v>0</v>
      </c>
      <c r="CU677">
        <v>0</v>
      </c>
      <c r="CV677">
        <v>0</v>
      </c>
      <c r="CW677">
        <v>0</v>
      </c>
      <c r="CX677">
        <v>0</v>
      </c>
      <c r="CY677">
        <v>0</v>
      </c>
      <c r="CZ677">
        <v>0</v>
      </c>
      <c r="DA677">
        <v>0</v>
      </c>
      <c r="DB677">
        <v>0</v>
      </c>
      <c r="DC677">
        <v>0</v>
      </c>
      <c r="DD677">
        <v>0</v>
      </c>
      <c r="DE677">
        <v>0</v>
      </c>
      <c r="DF677">
        <v>0</v>
      </c>
      <c r="DG677">
        <v>0</v>
      </c>
      <c r="DH677">
        <v>0</v>
      </c>
      <c r="DI677">
        <v>0</v>
      </c>
      <c r="DJ677">
        <v>0</v>
      </c>
      <c r="DK677">
        <v>0</v>
      </c>
      <c r="DL677">
        <v>0</v>
      </c>
      <c r="DM677">
        <v>0</v>
      </c>
      <c r="DN677">
        <v>0</v>
      </c>
      <c r="DO677">
        <v>0</v>
      </c>
      <c r="DP677">
        <v>0</v>
      </c>
      <c r="DQ677">
        <v>0</v>
      </c>
      <c r="DR677">
        <v>0</v>
      </c>
      <c r="DS677">
        <v>0</v>
      </c>
      <c r="DT677">
        <v>0</v>
      </c>
      <c r="DU677">
        <v>0</v>
      </c>
    </row>
    <row r="678" spans="2:125">
      <c r="B678" s="136">
        <v>669</v>
      </c>
      <c r="C678" s="138">
        <v>1</v>
      </c>
      <c r="D678" s="474">
        <v>3369.733021418745</v>
      </c>
      <c r="E678" s="127">
        <v>281.95704385235229</v>
      </c>
      <c r="F678" s="447">
        <v>0.40125743115179752</v>
      </c>
      <c r="G678" s="127">
        <v>112.26930855109626</v>
      </c>
      <c r="H678" s="132">
        <v>57.224727745751174</v>
      </c>
      <c r="I678" s="456"/>
      <c r="J678" s="45"/>
      <c r="K678" s="45">
        <v>470</v>
      </c>
      <c r="L678" s="463"/>
      <c r="M678" s="456">
        <v>31.108667373657227</v>
      </c>
      <c r="N678" s="457"/>
      <c r="O678" s="456"/>
      <c r="P678" s="46"/>
      <c r="Q678" s="463">
        <v>66.720718383789063</v>
      </c>
      <c r="R678" s="449"/>
      <c r="S678" s="463"/>
      <c r="T678" s="480"/>
      <c r="U678" s="468"/>
      <c r="V678" s="449"/>
      <c r="W678" s="45">
        <v>1380.784912109375</v>
      </c>
      <c r="X678" s="463">
        <v>117.46285247802734</v>
      </c>
      <c r="Y678" s="449"/>
      <c r="Z678" s="45"/>
      <c r="AA678" s="468">
        <v>0.39145690736753302</v>
      </c>
      <c r="AB678" s="456"/>
      <c r="AC678" s="46"/>
      <c r="AD678" s="46"/>
      <c r="AE678" s="46"/>
      <c r="AF678" s="46"/>
      <c r="AG678" s="46"/>
      <c r="AH678" s="46"/>
      <c r="AI678" s="457"/>
      <c r="AJ678" s="138"/>
      <c r="AK678" s="745"/>
      <c r="AL678" s="54"/>
      <c r="AM678" s="468"/>
      <c r="AN678" s="449"/>
      <c r="AO678" s="45"/>
      <c r="AP678" s="45"/>
      <c r="AQ678" s="45"/>
      <c r="AR678" s="45"/>
      <c r="AS678" s="45"/>
      <c r="AT678" s="45"/>
      <c r="AU678" s="463"/>
      <c r="AV678" s="449"/>
      <c r="AW678" s="45"/>
      <c r="AX678" s="45"/>
      <c r="AY678" s="45"/>
      <c r="AZ678" s="45"/>
      <c r="BA678" s="45"/>
      <c r="BB678" s="45"/>
      <c r="BC678" s="463"/>
      <c r="BD678" s="456"/>
      <c r="BE678" s="46"/>
      <c r="BF678" s="46"/>
      <c r="BG678" s="46"/>
      <c r="BH678" s="46"/>
      <c r="BI678" s="46"/>
      <c r="BJ678" s="457"/>
      <c r="BK678" s="449">
        <v>0</v>
      </c>
      <c r="BL678" s="45"/>
      <c r="BM678" s="45"/>
      <c r="BN678" s="45"/>
      <c r="BO678" s="45"/>
      <c r="BP678" s="45"/>
      <c r="BQ678" s="45"/>
      <c r="BR678" s="45"/>
      <c r="BS678" s="45"/>
      <c r="BT678" s="45"/>
      <c r="BU678" s="45"/>
      <c r="BV678" s="45"/>
      <c r="BW678" s="45"/>
      <c r="BX678" s="45"/>
      <c r="BY678" s="45"/>
      <c r="BZ678" s="45"/>
      <c r="CA678" s="45"/>
      <c r="CB678" s="45"/>
      <c r="CC678" s="45"/>
      <c r="CD678" s="463"/>
      <c r="CE678">
        <v>0</v>
      </c>
      <c r="CF678">
        <v>0</v>
      </c>
      <c r="CG678">
        <v>0</v>
      </c>
      <c r="CH678">
        <v>0</v>
      </c>
      <c r="CI678">
        <v>0</v>
      </c>
      <c r="CJ678">
        <v>0</v>
      </c>
      <c r="CK678">
        <v>0</v>
      </c>
      <c r="CL678">
        <v>0</v>
      </c>
      <c r="CM678">
        <v>0</v>
      </c>
      <c r="CN678">
        <v>0</v>
      </c>
      <c r="CO678">
        <v>0</v>
      </c>
      <c r="CP678">
        <v>0</v>
      </c>
      <c r="CQ678">
        <v>0</v>
      </c>
      <c r="CR678">
        <v>0</v>
      </c>
      <c r="CS678">
        <v>0</v>
      </c>
      <c r="CT678">
        <v>0</v>
      </c>
      <c r="CU678">
        <v>0</v>
      </c>
      <c r="CV678">
        <v>0</v>
      </c>
      <c r="CW678">
        <v>0</v>
      </c>
      <c r="CX678">
        <v>0</v>
      </c>
      <c r="CY678">
        <v>0</v>
      </c>
      <c r="CZ678">
        <v>0</v>
      </c>
      <c r="DA678">
        <v>0</v>
      </c>
      <c r="DB678">
        <v>0</v>
      </c>
      <c r="DC678">
        <v>0</v>
      </c>
      <c r="DD678">
        <v>0</v>
      </c>
      <c r="DE678">
        <v>0</v>
      </c>
      <c r="DF678">
        <v>0</v>
      </c>
      <c r="DG678">
        <v>0</v>
      </c>
      <c r="DH678">
        <v>0</v>
      </c>
      <c r="DI678">
        <v>0</v>
      </c>
      <c r="DJ678">
        <v>0</v>
      </c>
      <c r="DK678">
        <v>0</v>
      </c>
      <c r="DL678">
        <v>0</v>
      </c>
      <c r="DM678">
        <v>0</v>
      </c>
      <c r="DN678">
        <v>0</v>
      </c>
      <c r="DO678">
        <v>0</v>
      </c>
      <c r="DP678">
        <v>0</v>
      </c>
      <c r="DQ678">
        <v>0</v>
      </c>
      <c r="DR678">
        <v>0</v>
      </c>
      <c r="DS678">
        <v>0</v>
      </c>
      <c r="DT678">
        <v>0</v>
      </c>
      <c r="DU678">
        <v>0</v>
      </c>
    </row>
    <row r="679" spans="2:125">
      <c r="B679" s="136">
        <v>670</v>
      </c>
      <c r="C679" s="138">
        <v>1</v>
      </c>
      <c r="D679" s="474">
        <v>3660.4401334629038</v>
      </c>
      <c r="E679" s="127">
        <v>270.76734808804474</v>
      </c>
      <c r="F679" s="447">
        <v>0.43263750489090624</v>
      </c>
      <c r="G679" s="127">
        <v>152.85284651923814</v>
      </c>
      <c r="H679" s="132">
        <v>51.57523570022969</v>
      </c>
      <c r="I679" s="456"/>
      <c r="J679" s="45"/>
      <c r="K679" s="45">
        <v>580</v>
      </c>
      <c r="L679" s="463"/>
      <c r="M679" s="456">
        <v>40.626239776611328</v>
      </c>
      <c r="N679" s="457"/>
      <c r="O679" s="456"/>
      <c r="P679" s="46"/>
      <c r="Q679" s="463">
        <v>72.476715087890625</v>
      </c>
      <c r="R679" s="449"/>
      <c r="S679" s="463"/>
      <c r="T679" s="480"/>
      <c r="U679" s="468"/>
      <c r="V679" s="449"/>
      <c r="W679" s="45">
        <v>1882.634033203125</v>
      </c>
      <c r="X679" s="463">
        <v>154.43327331542969</v>
      </c>
      <c r="Y679" s="449"/>
      <c r="Z679" s="45"/>
      <c r="AA679" s="468">
        <v>0.42344387000799355</v>
      </c>
      <c r="AB679" s="456"/>
      <c r="AC679" s="46"/>
      <c r="AD679" s="46"/>
      <c r="AE679" s="46"/>
      <c r="AF679" s="46"/>
      <c r="AG679" s="46"/>
      <c r="AH679" s="46"/>
      <c r="AI679" s="457"/>
      <c r="AJ679" s="138"/>
      <c r="AK679" s="745"/>
      <c r="AL679" s="54"/>
      <c r="AM679" s="468"/>
      <c r="AN679" s="449"/>
      <c r="AO679" s="45"/>
      <c r="AP679" s="45"/>
      <c r="AQ679" s="45"/>
      <c r="AR679" s="45"/>
      <c r="AS679" s="45"/>
      <c r="AT679" s="45"/>
      <c r="AU679" s="463"/>
      <c r="AV679" s="449"/>
      <c r="AW679" s="45"/>
      <c r="AX679" s="45"/>
      <c r="AY679" s="45"/>
      <c r="AZ679" s="45"/>
      <c r="BA679" s="45"/>
      <c r="BB679" s="45"/>
      <c r="BC679" s="463"/>
      <c r="BD679" s="456"/>
      <c r="BE679" s="46"/>
      <c r="BF679" s="46"/>
      <c r="BG679" s="46"/>
      <c r="BH679" s="46"/>
      <c r="BI679" s="46"/>
      <c r="BJ679" s="457"/>
      <c r="BK679" s="449">
        <v>0</v>
      </c>
      <c r="BL679" s="45"/>
      <c r="BM679" s="45"/>
      <c r="BN679" s="45"/>
      <c r="BO679" s="45"/>
      <c r="BP679" s="45"/>
      <c r="BQ679" s="45"/>
      <c r="BR679" s="45"/>
      <c r="BS679" s="45"/>
      <c r="BT679" s="45"/>
      <c r="BU679" s="45"/>
      <c r="BV679" s="45"/>
      <c r="BW679" s="45"/>
      <c r="BX679" s="45"/>
      <c r="BY679" s="45"/>
      <c r="BZ679" s="45"/>
      <c r="CA679" s="45"/>
      <c r="CB679" s="45"/>
      <c r="CC679" s="45"/>
      <c r="CD679" s="463"/>
      <c r="CE679">
        <v>0</v>
      </c>
      <c r="CF679">
        <v>0</v>
      </c>
      <c r="CG679">
        <v>0</v>
      </c>
      <c r="CH679">
        <v>0</v>
      </c>
      <c r="CI679">
        <v>0</v>
      </c>
      <c r="CJ679">
        <v>0</v>
      </c>
      <c r="CK679">
        <v>0</v>
      </c>
      <c r="CL679">
        <v>0</v>
      </c>
      <c r="CM679">
        <v>0</v>
      </c>
      <c r="CN679">
        <v>0</v>
      </c>
      <c r="CO679">
        <v>0</v>
      </c>
      <c r="CP679">
        <v>0</v>
      </c>
      <c r="CQ679">
        <v>0</v>
      </c>
      <c r="CR679">
        <v>0</v>
      </c>
      <c r="CS679">
        <v>0</v>
      </c>
      <c r="CT679">
        <v>0</v>
      </c>
      <c r="CU679">
        <v>0</v>
      </c>
      <c r="CV679">
        <v>0</v>
      </c>
      <c r="CW679">
        <v>0</v>
      </c>
      <c r="CX679">
        <v>0</v>
      </c>
      <c r="CY679">
        <v>0</v>
      </c>
      <c r="CZ679">
        <v>0</v>
      </c>
      <c r="DA679">
        <v>0</v>
      </c>
      <c r="DB679">
        <v>0</v>
      </c>
      <c r="DC679">
        <v>0</v>
      </c>
      <c r="DD679">
        <v>0</v>
      </c>
      <c r="DE679">
        <v>0</v>
      </c>
      <c r="DF679">
        <v>0</v>
      </c>
      <c r="DG679">
        <v>0</v>
      </c>
      <c r="DH679">
        <v>0</v>
      </c>
      <c r="DI679">
        <v>0</v>
      </c>
      <c r="DJ679">
        <v>0</v>
      </c>
      <c r="DK679">
        <v>0</v>
      </c>
      <c r="DL679">
        <v>0</v>
      </c>
      <c r="DM679">
        <v>0</v>
      </c>
      <c r="DN679">
        <v>0</v>
      </c>
      <c r="DO679">
        <v>0</v>
      </c>
      <c r="DP679">
        <v>0</v>
      </c>
      <c r="DQ679">
        <v>0</v>
      </c>
      <c r="DR679">
        <v>0</v>
      </c>
      <c r="DS679">
        <v>0</v>
      </c>
      <c r="DT679">
        <v>0</v>
      </c>
      <c r="DU679">
        <v>0</v>
      </c>
    </row>
    <row r="680" spans="2:125">
      <c r="B680" s="136">
        <v>671</v>
      </c>
      <c r="C680" s="138">
        <v>1</v>
      </c>
      <c r="D680" s="474">
        <v>3221.0319919076192</v>
      </c>
      <c r="E680" s="127">
        <v>278.49351278688306</v>
      </c>
      <c r="F680" s="447">
        <v>0.38080666718469702</v>
      </c>
      <c r="G680" s="127">
        <v>105.51059224715119</v>
      </c>
      <c r="H680" s="132">
        <v>56.36490182166628</v>
      </c>
      <c r="I680" s="456"/>
      <c r="J680" s="45"/>
      <c r="K680" s="45">
        <v>440</v>
      </c>
      <c r="L680" s="463"/>
      <c r="M680" s="456">
        <v>28.541875839233398</v>
      </c>
      <c r="N680" s="457"/>
      <c r="O680" s="456"/>
      <c r="P680" s="46"/>
      <c r="Q680" s="463">
        <v>63.776435852050781</v>
      </c>
      <c r="R680" s="449"/>
      <c r="S680" s="463"/>
      <c r="T680" s="480"/>
      <c r="U680" s="468"/>
      <c r="V680" s="449"/>
      <c r="W680" s="45">
        <v>1236.7330322265625</v>
      </c>
      <c r="X680" s="463">
        <v>106.87844085693359</v>
      </c>
      <c r="Y680" s="449"/>
      <c r="Z680" s="45"/>
      <c r="AA680" s="468">
        <v>0.37068067854949027</v>
      </c>
      <c r="AB680" s="456"/>
      <c r="AC680" s="46"/>
      <c r="AD680" s="46"/>
      <c r="AE680" s="46"/>
      <c r="AF680" s="46"/>
      <c r="AG680" s="46"/>
      <c r="AH680" s="46"/>
      <c r="AI680" s="457"/>
      <c r="AJ680" s="138"/>
      <c r="AK680" s="745"/>
      <c r="AL680" s="54"/>
      <c r="AM680" s="468"/>
      <c r="AN680" s="449"/>
      <c r="AO680" s="45"/>
      <c r="AP680" s="45"/>
      <c r="AQ680" s="45"/>
      <c r="AR680" s="45"/>
      <c r="AS680" s="45"/>
      <c r="AT680" s="45"/>
      <c r="AU680" s="463"/>
      <c r="AV680" s="449"/>
      <c r="AW680" s="45"/>
      <c r="AX680" s="45"/>
      <c r="AY680" s="45"/>
      <c r="AZ680" s="45"/>
      <c r="BA680" s="45"/>
      <c r="BB680" s="45"/>
      <c r="BC680" s="463"/>
      <c r="BD680" s="456"/>
      <c r="BE680" s="46"/>
      <c r="BF680" s="46"/>
      <c r="BG680" s="46"/>
      <c r="BH680" s="46"/>
      <c r="BI680" s="46"/>
      <c r="BJ680" s="457"/>
      <c r="BK680" s="449">
        <v>0</v>
      </c>
      <c r="BL680" s="45"/>
      <c r="BM680" s="45"/>
      <c r="BN680" s="45"/>
      <c r="BO680" s="45"/>
      <c r="BP680" s="45"/>
      <c r="BQ680" s="45"/>
      <c r="BR680" s="45"/>
      <c r="BS680" s="45"/>
      <c r="BT680" s="45"/>
      <c r="BU680" s="45"/>
      <c r="BV680" s="45"/>
      <c r="BW680" s="45"/>
      <c r="BX680" s="45"/>
      <c r="BY680" s="45"/>
      <c r="BZ680" s="45"/>
      <c r="CA680" s="45"/>
      <c r="CB680" s="45"/>
      <c r="CC680" s="45"/>
      <c r="CD680" s="463"/>
      <c r="CE680">
        <v>0</v>
      </c>
      <c r="CF680">
        <v>0</v>
      </c>
      <c r="CG680">
        <v>0</v>
      </c>
      <c r="CH680">
        <v>0</v>
      </c>
      <c r="CI680">
        <v>0</v>
      </c>
      <c r="CJ680">
        <v>0</v>
      </c>
      <c r="CK680">
        <v>0</v>
      </c>
      <c r="CL680">
        <v>0</v>
      </c>
      <c r="CM680">
        <v>0</v>
      </c>
      <c r="CN680">
        <v>0</v>
      </c>
      <c r="CO680">
        <v>0</v>
      </c>
      <c r="CP680">
        <v>0</v>
      </c>
      <c r="CQ680">
        <v>0</v>
      </c>
      <c r="CR680">
        <v>0</v>
      </c>
      <c r="CS680">
        <v>0</v>
      </c>
      <c r="CT680">
        <v>0</v>
      </c>
      <c r="CU680">
        <v>0</v>
      </c>
      <c r="CV680">
        <v>0</v>
      </c>
      <c r="CW680">
        <v>0</v>
      </c>
      <c r="CX680">
        <v>0</v>
      </c>
      <c r="CY680">
        <v>0</v>
      </c>
      <c r="CZ680">
        <v>0</v>
      </c>
      <c r="DA680">
        <v>0</v>
      </c>
      <c r="DB680">
        <v>0</v>
      </c>
      <c r="DC680">
        <v>0</v>
      </c>
      <c r="DD680">
        <v>0</v>
      </c>
      <c r="DE680">
        <v>0</v>
      </c>
      <c r="DF680">
        <v>0</v>
      </c>
      <c r="DG680">
        <v>0</v>
      </c>
      <c r="DH680">
        <v>0</v>
      </c>
      <c r="DI680">
        <v>0</v>
      </c>
      <c r="DJ680">
        <v>0</v>
      </c>
      <c r="DK680">
        <v>0</v>
      </c>
      <c r="DL680">
        <v>0</v>
      </c>
      <c r="DM680">
        <v>0</v>
      </c>
      <c r="DN680">
        <v>0</v>
      </c>
      <c r="DO680">
        <v>0</v>
      </c>
      <c r="DP680">
        <v>0</v>
      </c>
      <c r="DQ680">
        <v>0</v>
      </c>
      <c r="DR680">
        <v>0</v>
      </c>
      <c r="DS680">
        <v>0</v>
      </c>
      <c r="DT680">
        <v>0</v>
      </c>
      <c r="DU680">
        <v>0</v>
      </c>
    </row>
    <row r="681" spans="2:125">
      <c r="B681" s="136">
        <v>672</v>
      </c>
      <c r="C681" s="138">
        <v>1</v>
      </c>
      <c r="D681" s="474">
        <v>2942.4921716530121</v>
      </c>
      <c r="E681" s="127">
        <v>307.24009970595773</v>
      </c>
      <c r="F681" s="447">
        <v>0.38565645765836948</v>
      </c>
      <c r="G681" s="127">
        <v>100.51431527116085</v>
      </c>
      <c r="H681" s="132">
        <v>59.863497528734662</v>
      </c>
      <c r="I681" s="456"/>
      <c r="J681" s="45"/>
      <c r="K681" s="45">
        <v>440</v>
      </c>
      <c r="L681" s="463"/>
      <c r="M681" s="456">
        <v>27.989650726318359</v>
      </c>
      <c r="N681" s="457"/>
      <c r="O681" s="456"/>
      <c r="P681" s="46"/>
      <c r="Q681" s="463">
        <v>66.55291748046875</v>
      </c>
      <c r="R681" s="449"/>
      <c r="S681" s="463"/>
      <c r="T681" s="480"/>
      <c r="U681" s="468"/>
      <c r="V681" s="449"/>
      <c r="W681" s="45">
        <v>1244.5623779296875</v>
      </c>
      <c r="X681" s="463">
        <v>107.43621826171875</v>
      </c>
      <c r="Y681" s="449"/>
      <c r="Z681" s="45"/>
      <c r="AA681" s="468">
        <v>0.37453896702634171</v>
      </c>
      <c r="AB681" s="456"/>
      <c r="AC681" s="46"/>
      <c r="AD681" s="46"/>
      <c r="AE681" s="46"/>
      <c r="AF681" s="46"/>
      <c r="AG681" s="46"/>
      <c r="AH681" s="46"/>
      <c r="AI681" s="457"/>
      <c r="AJ681" s="138"/>
      <c r="AK681" s="745"/>
      <c r="AL681" s="54"/>
      <c r="AM681" s="468"/>
      <c r="AN681" s="449"/>
      <c r="AO681" s="45"/>
      <c r="AP681" s="45"/>
      <c r="AQ681" s="45"/>
      <c r="AR681" s="45"/>
      <c r="AS681" s="45"/>
      <c r="AT681" s="45"/>
      <c r="AU681" s="463"/>
      <c r="AV681" s="449"/>
      <c r="AW681" s="45"/>
      <c r="AX681" s="45"/>
      <c r="AY681" s="45"/>
      <c r="AZ681" s="45"/>
      <c r="BA681" s="45"/>
      <c r="BB681" s="45"/>
      <c r="BC681" s="463"/>
      <c r="BD681" s="456"/>
      <c r="BE681" s="46"/>
      <c r="BF681" s="46"/>
      <c r="BG681" s="46"/>
      <c r="BH681" s="46"/>
      <c r="BI681" s="46"/>
      <c r="BJ681" s="457"/>
      <c r="BK681" s="449">
        <v>0</v>
      </c>
      <c r="BL681" s="45"/>
      <c r="BM681" s="45"/>
      <c r="BN681" s="45"/>
      <c r="BO681" s="45"/>
      <c r="BP681" s="45"/>
      <c r="BQ681" s="45"/>
      <c r="BR681" s="45"/>
      <c r="BS681" s="45"/>
      <c r="BT681" s="45"/>
      <c r="BU681" s="45"/>
      <c r="BV681" s="45"/>
      <c r="BW681" s="45"/>
      <c r="BX681" s="45"/>
      <c r="BY681" s="45"/>
      <c r="BZ681" s="45"/>
      <c r="CA681" s="45"/>
      <c r="CB681" s="45"/>
      <c r="CC681" s="45"/>
      <c r="CD681" s="463"/>
      <c r="CE681">
        <v>0</v>
      </c>
      <c r="CF681">
        <v>0</v>
      </c>
      <c r="CG681">
        <v>0</v>
      </c>
      <c r="CH681">
        <v>0</v>
      </c>
      <c r="CI681">
        <v>0</v>
      </c>
      <c r="CJ681">
        <v>0</v>
      </c>
      <c r="CK681">
        <v>0</v>
      </c>
      <c r="CL681">
        <v>0</v>
      </c>
      <c r="CM681">
        <v>0</v>
      </c>
      <c r="CN681">
        <v>0</v>
      </c>
      <c r="CO681">
        <v>0</v>
      </c>
      <c r="CP681">
        <v>0</v>
      </c>
      <c r="CQ681">
        <v>0</v>
      </c>
      <c r="CR681">
        <v>0</v>
      </c>
      <c r="CS681">
        <v>0</v>
      </c>
      <c r="CT681">
        <v>0</v>
      </c>
      <c r="CU681">
        <v>0</v>
      </c>
      <c r="CV681">
        <v>0</v>
      </c>
      <c r="CW681">
        <v>0</v>
      </c>
      <c r="CX681">
        <v>0</v>
      </c>
      <c r="CY681">
        <v>0</v>
      </c>
      <c r="CZ681">
        <v>0</v>
      </c>
      <c r="DA681">
        <v>0</v>
      </c>
      <c r="DB681">
        <v>0</v>
      </c>
      <c r="DC681">
        <v>0</v>
      </c>
      <c r="DD681">
        <v>0</v>
      </c>
      <c r="DE681">
        <v>0</v>
      </c>
      <c r="DF681">
        <v>0</v>
      </c>
      <c r="DG681">
        <v>0</v>
      </c>
      <c r="DH681">
        <v>0</v>
      </c>
      <c r="DI681">
        <v>0</v>
      </c>
      <c r="DJ681">
        <v>0</v>
      </c>
      <c r="DK681">
        <v>0</v>
      </c>
      <c r="DL681">
        <v>0</v>
      </c>
      <c r="DM681">
        <v>0</v>
      </c>
      <c r="DN681">
        <v>0</v>
      </c>
      <c r="DO681">
        <v>0</v>
      </c>
      <c r="DP681">
        <v>0</v>
      </c>
      <c r="DQ681">
        <v>0</v>
      </c>
      <c r="DR681">
        <v>0</v>
      </c>
      <c r="DS681">
        <v>0</v>
      </c>
      <c r="DT681">
        <v>0</v>
      </c>
      <c r="DU681">
        <v>0</v>
      </c>
    </row>
    <row r="682" spans="2:125">
      <c r="B682" s="136">
        <v>673</v>
      </c>
      <c r="C682" s="138">
        <v>1</v>
      </c>
      <c r="D682" s="474">
        <v>3773.1723649826436</v>
      </c>
      <c r="E682" s="127">
        <v>240.31459990046756</v>
      </c>
      <c r="F682" s="447">
        <v>0.43965095880473187</v>
      </c>
      <c r="G682" s="127">
        <v>140.54329608909447</v>
      </c>
      <c r="H682" s="132">
        <v>57.065794235787315</v>
      </c>
      <c r="I682" s="456"/>
      <c r="J682" s="45"/>
      <c r="K682" s="45">
        <v>560</v>
      </c>
      <c r="L682" s="463"/>
      <c r="M682" s="456">
        <v>39.660079956054687</v>
      </c>
      <c r="N682" s="457"/>
      <c r="O682" s="456"/>
      <c r="P682" s="46"/>
      <c r="Q682" s="463">
        <v>74.708816528320313</v>
      </c>
      <c r="R682" s="449"/>
      <c r="S682" s="463"/>
      <c r="T682" s="480"/>
      <c r="U682" s="468"/>
      <c r="V682" s="449"/>
      <c r="W682" s="45">
        <v>1863.3297119140625</v>
      </c>
      <c r="X682" s="463">
        <v>152.94821166992187</v>
      </c>
      <c r="Y682" s="449"/>
      <c r="Z682" s="45"/>
      <c r="AA682" s="468">
        <v>0.43069482960965066</v>
      </c>
      <c r="AB682" s="456"/>
      <c r="AC682" s="46"/>
      <c r="AD682" s="46"/>
      <c r="AE682" s="46"/>
      <c r="AF682" s="46"/>
      <c r="AG682" s="46"/>
      <c r="AH682" s="46"/>
      <c r="AI682" s="457"/>
      <c r="AJ682" s="138"/>
      <c r="AK682" s="745"/>
      <c r="AL682" s="54"/>
      <c r="AM682" s="468"/>
      <c r="AN682" s="449"/>
      <c r="AO682" s="45"/>
      <c r="AP682" s="45"/>
      <c r="AQ682" s="45"/>
      <c r="AR682" s="45"/>
      <c r="AS682" s="45"/>
      <c r="AT682" s="45"/>
      <c r="AU682" s="463"/>
      <c r="AV682" s="449"/>
      <c r="AW682" s="45"/>
      <c r="AX682" s="45"/>
      <c r="AY682" s="45"/>
      <c r="AZ682" s="45"/>
      <c r="BA682" s="45"/>
      <c r="BB682" s="45"/>
      <c r="BC682" s="463"/>
      <c r="BD682" s="456"/>
      <c r="BE682" s="46"/>
      <c r="BF682" s="46"/>
      <c r="BG682" s="46"/>
      <c r="BH682" s="46"/>
      <c r="BI682" s="46"/>
      <c r="BJ682" s="457"/>
      <c r="BK682" s="449">
        <v>0</v>
      </c>
      <c r="BL682" s="45"/>
      <c r="BM682" s="45"/>
      <c r="BN682" s="45"/>
      <c r="BO682" s="45"/>
      <c r="BP682" s="45"/>
      <c r="BQ682" s="45"/>
      <c r="BR682" s="45"/>
      <c r="BS682" s="45"/>
      <c r="BT682" s="45"/>
      <c r="BU682" s="45"/>
      <c r="BV682" s="45"/>
      <c r="BW682" s="45"/>
      <c r="BX682" s="45"/>
      <c r="BY682" s="45"/>
      <c r="BZ682" s="45"/>
      <c r="CA682" s="45"/>
      <c r="CB682" s="45"/>
      <c r="CC682" s="45"/>
      <c r="CD682" s="463"/>
      <c r="CE682">
        <v>0</v>
      </c>
      <c r="CF682">
        <v>0</v>
      </c>
      <c r="CG682">
        <v>0</v>
      </c>
      <c r="CH682">
        <v>0</v>
      </c>
      <c r="CI682">
        <v>0</v>
      </c>
      <c r="CJ682">
        <v>0</v>
      </c>
      <c r="CK682">
        <v>0</v>
      </c>
      <c r="CL682">
        <v>0</v>
      </c>
      <c r="CM682">
        <v>0</v>
      </c>
      <c r="CN682">
        <v>0</v>
      </c>
      <c r="CO682">
        <v>0</v>
      </c>
      <c r="CP682">
        <v>0</v>
      </c>
      <c r="CQ682">
        <v>0</v>
      </c>
      <c r="CR682">
        <v>0</v>
      </c>
      <c r="CS682">
        <v>0</v>
      </c>
      <c r="CT682">
        <v>0</v>
      </c>
      <c r="CU682">
        <v>0</v>
      </c>
      <c r="CV682">
        <v>0</v>
      </c>
      <c r="CW682">
        <v>0</v>
      </c>
      <c r="CX682">
        <v>0</v>
      </c>
      <c r="CY682">
        <v>0</v>
      </c>
      <c r="CZ682">
        <v>0</v>
      </c>
      <c r="DA682">
        <v>0</v>
      </c>
      <c r="DB682">
        <v>0</v>
      </c>
      <c r="DC682">
        <v>0</v>
      </c>
      <c r="DD682">
        <v>0</v>
      </c>
      <c r="DE682">
        <v>0</v>
      </c>
      <c r="DF682">
        <v>0</v>
      </c>
      <c r="DG682">
        <v>0</v>
      </c>
      <c r="DH682">
        <v>0</v>
      </c>
      <c r="DI682">
        <v>0</v>
      </c>
      <c r="DJ682">
        <v>0</v>
      </c>
      <c r="DK682">
        <v>0</v>
      </c>
      <c r="DL682">
        <v>0</v>
      </c>
      <c r="DM682">
        <v>0</v>
      </c>
      <c r="DN682">
        <v>0</v>
      </c>
      <c r="DO682">
        <v>0</v>
      </c>
      <c r="DP682">
        <v>0</v>
      </c>
      <c r="DQ682">
        <v>0</v>
      </c>
      <c r="DR682">
        <v>0</v>
      </c>
      <c r="DS682">
        <v>0</v>
      </c>
      <c r="DT682">
        <v>0</v>
      </c>
      <c r="DU682">
        <v>0</v>
      </c>
    </row>
    <row r="683" spans="2:125">
      <c r="B683" s="136">
        <v>674</v>
      </c>
      <c r="C683" s="138">
        <v>1</v>
      </c>
      <c r="D683" s="474">
        <v>3572.5876166782555</v>
      </c>
      <c r="E683" s="127">
        <v>283.16658489933087</v>
      </c>
      <c r="F683" s="447">
        <v>0.42366920395796875</v>
      </c>
      <c r="G683" s="127">
        <v>144.13099934772401</v>
      </c>
      <c r="H683" s="132">
        <v>52.385488408433652</v>
      </c>
      <c r="I683" s="456"/>
      <c r="J683" s="45"/>
      <c r="K683" s="45">
        <v>550</v>
      </c>
      <c r="L683" s="463"/>
      <c r="M683" s="456">
        <v>38.062408447265625</v>
      </c>
      <c r="N683" s="457"/>
      <c r="O683" s="456"/>
      <c r="P683" s="46"/>
      <c r="Q683" s="463">
        <v>70.737236022949219</v>
      </c>
      <c r="R683" s="449"/>
      <c r="S683" s="463"/>
      <c r="T683" s="480"/>
      <c r="U683" s="468"/>
      <c r="V683" s="449"/>
      <c r="W683" s="45">
        <v>1743.213134765625</v>
      </c>
      <c r="X683" s="463">
        <v>144.18385314941406</v>
      </c>
      <c r="Y683" s="449"/>
      <c r="Z683" s="45"/>
      <c r="AA683" s="468">
        <v>0.41429969712687181</v>
      </c>
      <c r="AB683" s="456"/>
      <c r="AC683" s="46"/>
      <c r="AD683" s="46"/>
      <c r="AE683" s="46"/>
      <c r="AF683" s="46"/>
      <c r="AG683" s="46"/>
      <c r="AH683" s="46"/>
      <c r="AI683" s="457"/>
      <c r="AJ683" s="138"/>
      <c r="AK683" s="745"/>
      <c r="AL683" s="54"/>
      <c r="AM683" s="468"/>
      <c r="AN683" s="449"/>
      <c r="AO683" s="45"/>
      <c r="AP683" s="45"/>
      <c r="AQ683" s="45"/>
      <c r="AR683" s="45"/>
      <c r="AS683" s="45"/>
      <c r="AT683" s="45"/>
      <c r="AU683" s="463"/>
      <c r="AV683" s="449"/>
      <c r="AW683" s="45"/>
      <c r="AX683" s="45"/>
      <c r="AY683" s="45"/>
      <c r="AZ683" s="45"/>
      <c r="BA683" s="45"/>
      <c r="BB683" s="45"/>
      <c r="BC683" s="463"/>
      <c r="BD683" s="456"/>
      <c r="BE683" s="46"/>
      <c r="BF683" s="46"/>
      <c r="BG683" s="46"/>
      <c r="BH683" s="46"/>
      <c r="BI683" s="46"/>
      <c r="BJ683" s="457"/>
      <c r="BK683" s="449">
        <v>0</v>
      </c>
      <c r="BL683" s="45"/>
      <c r="BM683" s="45"/>
      <c r="BN683" s="45"/>
      <c r="BO683" s="45"/>
      <c r="BP683" s="45"/>
      <c r="BQ683" s="45"/>
      <c r="BR683" s="45"/>
      <c r="BS683" s="45"/>
      <c r="BT683" s="45"/>
      <c r="BU683" s="45"/>
      <c r="BV683" s="45"/>
      <c r="BW683" s="45"/>
      <c r="BX683" s="45"/>
      <c r="BY683" s="45"/>
      <c r="BZ683" s="45"/>
      <c r="CA683" s="45"/>
      <c r="CB683" s="45"/>
      <c r="CC683" s="45"/>
      <c r="CD683" s="463"/>
      <c r="CE683">
        <v>0</v>
      </c>
      <c r="CF683">
        <v>0</v>
      </c>
      <c r="CG683">
        <v>0</v>
      </c>
      <c r="CH683">
        <v>0</v>
      </c>
      <c r="CI683">
        <v>0</v>
      </c>
      <c r="CJ683">
        <v>0</v>
      </c>
      <c r="CK683">
        <v>0</v>
      </c>
      <c r="CL683">
        <v>0</v>
      </c>
      <c r="CM683">
        <v>0</v>
      </c>
      <c r="CN683">
        <v>0</v>
      </c>
      <c r="CO683">
        <v>0</v>
      </c>
      <c r="CP683">
        <v>0</v>
      </c>
      <c r="CQ683">
        <v>0</v>
      </c>
      <c r="CR683">
        <v>0</v>
      </c>
      <c r="CS683">
        <v>0</v>
      </c>
      <c r="CT683">
        <v>0</v>
      </c>
      <c r="CU683">
        <v>0</v>
      </c>
      <c r="CV683">
        <v>0</v>
      </c>
      <c r="CW683">
        <v>0</v>
      </c>
      <c r="CX683">
        <v>0</v>
      </c>
      <c r="CY683">
        <v>0</v>
      </c>
      <c r="CZ683">
        <v>0</v>
      </c>
      <c r="DA683">
        <v>0</v>
      </c>
      <c r="DB683">
        <v>0</v>
      </c>
      <c r="DC683">
        <v>0</v>
      </c>
      <c r="DD683">
        <v>0</v>
      </c>
      <c r="DE683">
        <v>0</v>
      </c>
      <c r="DF683">
        <v>0</v>
      </c>
      <c r="DG683">
        <v>0</v>
      </c>
      <c r="DH683">
        <v>0</v>
      </c>
      <c r="DI683">
        <v>0</v>
      </c>
      <c r="DJ683">
        <v>0</v>
      </c>
      <c r="DK683">
        <v>0</v>
      </c>
      <c r="DL683">
        <v>0</v>
      </c>
      <c r="DM683">
        <v>0</v>
      </c>
      <c r="DN683">
        <v>0</v>
      </c>
      <c r="DO683">
        <v>0</v>
      </c>
      <c r="DP683">
        <v>0</v>
      </c>
      <c r="DQ683">
        <v>0</v>
      </c>
      <c r="DR683">
        <v>0</v>
      </c>
      <c r="DS683">
        <v>0</v>
      </c>
      <c r="DT683">
        <v>0</v>
      </c>
      <c r="DU683">
        <v>0</v>
      </c>
    </row>
    <row r="684" spans="2:125">
      <c r="B684" s="136">
        <v>675</v>
      </c>
      <c r="C684" s="138">
        <v>1</v>
      </c>
      <c r="D684" s="474">
        <v>3177.9517488289703</v>
      </c>
      <c r="E684" s="127">
        <v>179.18468919545597</v>
      </c>
      <c r="F684" s="447">
        <v>0.46285151382810491</v>
      </c>
      <c r="G684" s="127">
        <v>122.12116612161616</v>
      </c>
      <c r="H684" s="132">
        <v>50.860740073306346</v>
      </c>
      <c r="I684" s="456"/>
      <c r="J684" s="45"/>
      <c r="K684" s="45">
        <v>490</v>
      </c>
      <c r="L684" s="463"/>
      <c r="M684" s="456">
        <v>43.301708221435547</v>
      </c>
      <c r="N684" s="457"/>
      <c r="O684" s="456"/>
      <c r="P684" s="46"/>
      <c r="Q684" s="463">
        <v>62.923450469970703</v>
      </c>
      <c r="R684" s="449"/>
      <c r="S684" s="463"/>
      <c r="T684" s="480"/>
      <c r="U684" s="468"/>
      <c r="V684" s="449"/>
      <c r="W684" s="45">
        <v>1810.9852294921875</v>
      </c>
      <c r="X684" s="463">
        <v>148.83448791503906</v>
      </c>
      <c r="Y684" s="449"/>
      <c r="Z684" s="45"/>
      <c r="AA684" s="468">
        <v>0.45207191961646048</v>
      </c>
      <c r="AB684" s="456"/>
      <c r="AC684" s="46"/>
      <c r="AD684" s="46"/>
      <c r="AE684" s="46"/>
      <c r="AF684" s="46"/>
      <c r="AG684" s="46"/>
      <c r="AH684" s="46"/>
      <c r="AI684" s="457"/>
      <c r="AJ684" s="138"/>
      <c r="AK684" s="745"/>
      <c r="AL684" s="54"/>
      <c r="AM684" s="468"/>
      <c r="AN684" s="449"/>
      <c r="AO684" s="45"/>
      <c r="AP684" s="45"/>
      <c r="AQ684" s="45"/>
      <c r="AR684" s="45"/>
      <c r="AS684" s="45"/>
      <c r="AT684" s="45"/>
      <c r="AU684" s="463"/>
      <c r="AV684" s="449"/>
      <c r="AW684" s="45"/>
      <c r="AX684" s="45"/>
      <c r="AY684" s="45"/>
      <c r="AZ684" s="45"/>
      <c r="BA684" s="45"/>
      <c r="BB684" s="45"/>
      <c r="BC684" s="463"/>
      <c r="BD684" s="456"/>
      <c r="BE684" s="46"/>
      <c r="BF684" s="46"/>
      <c r="BG684" s="46"/>
      <c r="BH684" s="46"/>
      <c r="BI684" s="46"/>
      <c r="BJ684" s="457"/>
      <c r="BK684" s="449">
        <v>0</v>
      </c>
      <c r="BL684" s="45"/>
      <c r="BM684" s="45"/>
      <c r="BN684" s="45"/>
      <c r="BO684" s="45"/>
      <c r="BP684" s="45"/>
      <c r="BQ684" s="45"/>
      <c r="BR684" s="45"/>
      <c r="BS684" s="45"/>
      <c r="BT684" s="45"/>
      <c r="BU684" s="45"/>
      <c r="BV684" s="45"/>
      <c r="BW684" s="45"/>
      <c r="BX684" s="45"/>
      <c r="BY684" s="45"/>
      <c r="BZ684" s="45"/>
      <c r="CA684" s="45"/>
      <c r="CB684" s="45"/>
      <c r="CC684" s="45"/>
      <c r="CD684" s="463"/>
      <c r="CE684">
        <v>0</v>
      </c>
      <c r="CF684">
        <v>0</v>
      </c>
      <c r="CG684">
        <v>0</v>
      </c>
      <c r="CH684">
        <v>0</v>
      </c>
      <c r="CI684">
        <v>0</v>
      </c>
      <c r="CJ684">
        <v>0</v>
      </c>
      <c r="CK684">
        <v>0</v>
      </c>
      <c r="CL684">
        <v>0</v>
      </c>
      <c r="CM684">
        <v>0</v>
      </c>
      <c r="CN684">
        <v>0</v>
      </c>
      <c r="CO684">
        <v>0</v>
      </c>
      <c r="CP684">
        <v>0</v>
      </c>
      <c r="CQ684">
        <v>0</v>
      </c>
      <c r="CR684">
        <v>0</v>
      </c>
      <c r="CS684">
        <v>0</v>
      </c>
      <c r="CT684">
        <v>0</v>
      </c>
      <c r="CU684">
        <v>0</v>
      </c>
      <c r="CV684">
        <v>0</v>
      </c>
      <c r="CW684">
        <v>0</v>
      </c>
      <c r="CX684">
        <v>0</v>
      </c>
      <c r="CY684">
        <v>0</v>
      </c>
      <c r="CZ684">
        <v>0</v>
      </c>
      <c r="DA684">
        <v>0</v>
      </c>
      <c r="DB684">
        <v>0</v>
      </c>
      <c r="DC684">
        <v>0</v>
      </c>
      <c r="DD684">
        <v>0</v>
      </c>
      <c r="DE684">
        <v>0</v>
      </c>
      <c r="DF684">
        <v>0</v>
      </c>
      <c r="DG684">
        <v>0</v>
      </c>
      <c r="DH684">
        <v>0</v>
      </c>
      <c r="DI684">
        <v>0</v>
      </c>
      <c r="DJ684">
        <v>0</v>
      </c>
      <c r="DK684">
        <v>0</v>
      </c>
      <c r="DL684">
        <v>0</v>
      </c>
      <c r="DM684">
        <v>0</v>
      </c>
      <c r="DN684">
        <v>0</v>
      </c>
      <c r="DO684">
        <v>0</v>
      </c>
      <c r="DP684">
        <v>0</v>
      </c>
      <c r="DQ684">
        <v>0</v>
      </c>
      <c r="DR684">
        <v>0</v>
      </c>
      <c r="DS684">
        <v>0</v>
      </c>
      <c r="DT684">
        <v>0</v>
      </c>
      <c r="DU684">
        <v>0</v>
      </c>
    </row>
    <row r="685" spans="2:125">
      <c r="B685" s="136">
        <v>676</v>
      </c>
      <c r="C685" s="138">
        <v>1</v>
      </c>
      <c r="D685" s="474">
        <v>2871.492168835226</v>
      </c>
      <c r="E685" s="127">
        <v>202.54042530629678</v>
      </c>
      <c r="F685" s="447">
        <v>0.39474763825938758</v>
      </c>
      <c r="G685" s="127">
        <v>110.81786032856688</v>
      </c>
      <c r="H685" s="132">
        <v>47.62827496481497</v>
      </c>
      <c r="I685" s="456"/>
      <c r="J685" s="45"/>
      <c r="K685" s="45">
        <v>430</v>
      </c>
      <c r="L685" s="463"/>
      <c r="M685" s="456">
        <v>32.149627685546875</v>
      </c>
      <c r="N685" s="457"/>
      <c r="O685" s="456"/>
      <c r="P685" s="46"/>
      <c r="Q685" s="463">
        <v>56.855552673339844</v>
      </c>
      <c r="R685" s="449"/>
      <c r="S685" s="463"/>
      <c r="T685" s="480"/>
      <c r="U685" s="468"/>
      <c r="V685" s="449"/>
      <c r="W685" s="45">
        <v>1276.249755859375</v>
      </c>
      <c r="X685" s="463">
        <v>109.71927642822266</v>
      </c>
      <c r="Y685" s="449"/>
      <c r="Z685" s="45"/>
      <c r="AA685" s="468">
        <v>0.38329193828492764</v>
      </c>
      <c r="AB685" s="456"/>
      <c r="AC685" s="46"/>
      <c r="AD685" s="46"/>
      <c r="AE685" s="46"/>
      <c r="AF685" s="46"/>
      <c r="AG685" s="46"/>
      <c r="AH685" s="46"/>
      <c r="AI685" s="457"/>
      <c r="AJ685" s="138"/>
      <c r="AK685" s="745"/>
      <c r="AL685" s="54"/>
      <c r="AM685" s="468"/>
      <c r="AN685" s="449"/>
      <c r="AO685" s="45"/>
      <c r="AP685" s="45"/>
      <c r="AQ685" s="45"/>
      <c r="AR685" s="45"/>
      <c r="AS685" s="45"/>
      <c r="AT685" s="45"/>
      <c r="AU685" s="463"/>
      <c r="AV685" s="449"/>
      <c r="AW685" s="45"/>
      <c r="AX685" s="45"/>
      <c r="AY685" s="45"/>
      <c r="AZ685" s="45"/>
      <c r="BA685" s="45"/>
      <c r="BB685" s="45"/>
      <c r="BC685" s="463"/>
      <c r="BD685" s="456"/>
      <c r="BE685" s="46"/>
      <c r="BF685" s="46"/>
      <c r="BG685" s="46"/>
      <c r="BH685" s="46"/>
      <c r="BI685" s="46"/>
      <c r="BJ685" s="457"/>
      <c r="BK685" s="449">
        <v>0</v>
      </c>
      <c r="BL685" s="45"/>
      <c r="BM685" s="45"/>
      <c r="BN685" s="45"/>
      <c r="BO685" s="45"/>
      <c r="BP685" s="45"/>
      <c r="BQ685" s="45"/>
      <c r="BR685" s="45"/>
      <c r="BS685" s="45"/>
      <c r="BT685" s="45"/>
      <c r="BU685" s="45"/>
      <c r="BV685" s="45"/>
      <c r="BW685" s="45"/>
      <c r="BX685" s="45"/>
      <c r="BY685" s="45"/>
      <c r="BZ685" s="45"/>
      <c r="CA685" s="45"/>
      <c r="CB685" s="45"/>
      <c r="CC685" s="45"/>
      <c r="CD685" s="463"/>
      <c r="CE685">
        <v>0</v>
      </c>
      <c r="CF685">
        <v>0</v>
      </c>
      <c r="CG685">
        <v>0</v>
      </c>
      <c r="CH685">
        <v>0</v>
      </c>
      <c r="CI685">
        <v>0</v>
      </c>
      <c r="CJ685">
        <v>0</v>
      </c>
      <c r="CK685">
        <v>0</v>
      </c>
      <c r="CL685">
        <v>0</v>
      </c>
      <c r="CM685">
        <v>0</v>
      </c>
      <c r="CN685">
        <v>0</v>
      </c>
      <c r="CO685">
        <v>0</v>
      </c>
      <c r="CP685">
        <v>0</v>
      </c>
      <c r="CQ685">
        <v>0</v>
      </c>
      <c r="CR685">
        <v>0</v>
      </c>
      <c r="CS685">
        <v>0</v>
      </c>
      <c r="CT685">
        <v>0</v>
      </c>
      <c r="CU685">
        <v>0</v>
      </c>
      <c r="CV685">
        <v>0</v>
      </c>
      <c r="CW685">
        <v>0</v>
      </c>
      <c r="CX685">
        <v>0</v>
      </c>
      <c r="CY685">
        <v>0</v>
      </c>
      <c r="CZ685">
        <v>0</v>
      </c>
      <c r="DA685">
        <v>0</v>
      </c>
      <c r="DB685">
        <v>0</v>
      </c>
      <c r="DC685">
        <v>0</v>
      </c>
      <c r="DD685">
        <v>0</v>
      </c>
      <c r="DE685">
        <v>0</v>
      </c>
      <c r="DF685">
        <v>0</v>
      </c>
      <c r="DG685">
        <v>0</v>
      </c>
      <c r="DH685">
        <v>0</v>
      </c>
      <c r="DI685">
        <v>0</v>
      </c>
      <c r="DJ685">
        <v>0</v>
      </c>
      <c r="DK685">
        <v>0</v>
      </c>
      <c r="DL685">
        <v>0</v>
      </c>
      <c r="DM685">
        <v>0</v>
      </c>
      <c r="DN685">
        <v>0</v>
      </c>
      <c r="DO685">
        <v>0</v>
      </c>
      <c r="DP685">
        <v>0</v>
      </c>
      <c r="DQ685">
        <v>0</v>
      </c>
      <c r="DR685">
        <v>0</v>
      </c>
      <c r="DS685">
        <v>0</v>
      </c>
      <c r="DT685">
        <v>0</v>
      </c>
      <c r="DU685">
        <v>0</v>
      </c>
    </row>
    <row r="686" spans="2:125">
      <c r="B686" s="136">
        <v>677</v>
      </c>
      <c r="C686" s="138">
        <v>1</v>
      </c>
      <c r="D686" s="474">
        <v>2528.2600011390159</v>
      </c>
      <c r="E686" s="127">
        <v>209.87073050412707</v>
      </c>
      <c r="F686" s="447">
        <v>0.45034703067767645</v>
      </c>
      <c r="G686" s="127">
        <v>89.575206543362242</v>
      </c>
      <c r="H686" s="132">
        <v>46.805380084585906</v>
      </c>
      <c r="I686" s="456"/>
      <c r="J686" s="45"/>
      <c r="K686" s="45">
        <v>370</v>
      </c>
      <c r="L686" s="463"/>
      <c r="M686" s="456">
        <v>37.527156829833984</v>
      </c>
      <c r="N686" s="457"/>
      <c r="O686" s="456"/>
      <c r="P686" s="46"/>
      <c r="Q686" s="463">
        <v>50.059547424316406</v>
      </c>
      <c r="R686" s="449"/>
      <c r="S686" s="463"/>
      <c r="T686" s="480"/>
      <c r="U686" s="468"/>
      <c r="V686" s="449"/>
      <c r="W686" s="45">
        <v>1341.298828125</v>
      </c>
      <c r="X686" s="463">
        <v>114.18051910400391</v>
      </c>
      <c r="Y686" s="449"/>
      <c r="Z686" s="45"/>
      <c r="AA686" s="468">
        <v>0.43689630148122</v>
      </c>
      <c r="AB686" s="456"/>
      <c r="AC686" s="46"/>
      <c r="AD686" s="46"/>
      <c r="AE686" s="46"/>
      <c r="AF686" s="46"/>
      <c r="AG686" s="46"/>
      <c r="AH686" s="46"/>
      <c r="AI686" s="457"/>
      <c r="AJ686" s="138"/>
      <c r="AK686" s="745"/>
      <c r="AL686" s="54"/>
      <c r="AM686" s="468"/>
      <c r="AN686" s="449"/>
      <c r="AO686" s="45"/>
      <c r="AP686" s="45"/>
      <c r="AQ686" s="45"/>
      <c r="AR686" s="45"/>
      <c r="AS686" s="45"/>
      <c r="AT686" s="45"/>
      <c r="AU686" s="463"/>
      <c r="AV686" s="449"/>
      <c r="AW686" s="45"/>
      <c r="AX686" s="45"/>
      <c r="AY686" s="45"/>
      <c r="AZ686" s="45"/>
      <c r="BA686" s="45"/>
      <c r="BB686" s="45"/>
      <c r="BC686" s="463"/>
      <c r="BD686" s="456"/>
      <c r="BE686" s="46"/>
      <c r="BF686" s="46"/>
      <c r="BG686" s="46"/>
      <c r="BH686" s="46"/>
      <c r="BI686" s="46"/>
      <c r="BJ686" s="457"/>
      <c r="BK686" s="449">
        <v>0</v>
      </c>
      <c r="BL686" s="45"/>
      <c r="BM686" s="45"/>
      <c r="BN686" s="45"/>
      <c r="BO686" s="45"/>
      <c r="BP686" s="45"/>
      <c r="BQ686" s="45"/>
      <c r="BR686" s="45"/>
      <c r="BS686" s="45"/>
      <c r="BT686" s="45"/>
      <c r="BU686" s="45"/>
      <c r="BV686" s="45"/>
      <c r="BW686" s="45"/>
      <c r="BX686" s="45"/>
      <c r="BY686" s="45"/>
      <c r="BZ686" s="45"/>
      <c r="CA686" s="45"/>
      <c r="CB686" s="45"/>
      <c r="CC686" s="45"/>
      <c r="CD686" s="463"/>
      <c r="CE686">
        <v>0</v>
      </c>
      <c r="CF686">
        <v>0</v>
      </c>
      <c r="CG686">
        <v>0</v>
      </c>
      <c r="CH686">
        <v>0</v>
      </c>
      <c r="CI686">
        <v>0</v>
      </c>
      <c r="CJ686">
        <v>0</v>
      </c>
      <c r="CK686">
        <v>0</v>
      </c>
      <c r="CL686">
        <v>0</v>
      </c>
      <c r="CM686">
        <v>0</v>
      </c>
      <c r="CN686">
        <v>0</v>
      </c>
      <c r="CO686">
        <v>0</v>
      </c>
      <c r="CP686">
        <v>0</v>
      </c>
      <c r="CQ686">
        <v>0</v>
      </c>
      <c r="CR686">
        <v>0</v>
      </c>
      <c r="CS686">
        <v>0</v>
      </c>
      <c r="CT686">
        <v>0</v>
      </c>
      <c r="CU686">
        <v>0</v>
      </c>
      <c r="CV686">
        <v>0</v>
      </c>
      <c r="CW686">
        <v>0</v>
      </c>
      <c r="CX686">
        <v>0</v>
      </c>
      <c r="CY686">
        <v>0</v>
      </c>
      <c r="CZ686">
        <v>0</v>
      </c>
      <c r="DA686">
        <v>0</v>
      </c>
      <c r="DB686">
        <v>0</v>
      </c>
      <c r="DC686">
        <v>0</v>
      </c>
      <c r="DD686">
        <v>0</v>
      </c>
      <c r="DE686">
        <v>0</v>
      </c>
      <c r="DF686">
        <v>0</v>
      </c>
      <c r="DG686">
        <v>0</v>
      </c>
      <c r="DH686">
        <v>0</v>
      </c>
      <c r="DI686">
        <v>0</v>
      </c>
      <c r="DJ686">
        <v>0</v>
      </c>
      <c r="DK686">
        <v>0</v>
      </c>
      <c r="DL686">
        <v>0</v>
      </c>
      <c r="DM686">
        <v>0</v>
      </c>
      <c r="DN686">
        <v>0</v>
      </c>
      <c r="DO686">
        <v>0</v>
      </c>
      <c r="DP686">
        <v>0</v>
      </c>
      <c r="DQ686">
        <v>0</v>
      </c>
      <c r="DR686">
        <v>0</v>
      </c>
      <c r="DS686">
        <v>0</v>
      </c>
      <c r="DT686">
        <v>0</v>
      </c>
      <c r="DU686">
        <v>0</v>
      </c>
    </row>
    <row r="687" spans="2:125">
      <c r="B687" s="136">
        <v>678</v>
      </c>
      <c r="C687" s="138">
        <v>1</v>
      </c>
      <c r="D687" s="474">
        <v>3905.9543409461648</v>
      </c>
      <c r="E687" s="127">
        <v>274.40013530754806</v>
      </c>
      <c r="F687" s="447">
        <v>0.39541733657346323</v>
      </c>
      <c r="G687" s="127">
        <v>122.12647057269788</v>
      </c>
      <c r="H687" s="132">
        <v>63.217524693084627</v>
      </c>
      <c r="I687" s="456"/>
      <c r="J687" s="45"/>
      <c r="K687" s="45">
        <v>520</v>
      </c>
      <c r="L687" s="463"/>
      <c r="M687" s="456">
        <v>30.550357818603516</v>
      </c>
      <c r="N687" s="457"/>
      <c r="O687" s="456"/>
      <c r="P687" s="46"/>
      <c r="Q687" s="463">
        <v>77.337905883789063</v>
      </c>
      <c r="R687" s="449"/>
      <c r="S687" s="463"/>
      <c r="T687" s="480"/>
      <c r="U687" s="468"/>
      <c r="V687" s="449"/>
      <c r="W687" s="45">
        <v>1488.5152587890625</v>
      </c>
      <c r="X687" s="463">
        <v>125.52735900878906</v>
      </c>
      <c r="Y687" s="449"/>
      <c r="Z687" s="45"/>
      <c r="AA687" s="468">
        <v>0.38699216211955562</v>
      </c>
      <c r="AB687" s="456"/>
      <c r="AC687" s="46"/>
      <c r="AD687" s="46"/>
      <c r="AE687" s="46"/>
      <c r="AF687" s="46"/>
      <c r="AG687" s="46"/>
      <c r="AH687" s="46"/>
      <c r="AI687" s="457"/>
      <c r="AJ687" s="138"/>
      <c r="AK687" s="745"/>
      <c r="AL687" s="54"/>
      <c r="AM687" s="468"/>
      <c r="AN687" s="449"/>
      <c r="AO687" s="45"/>
      <c r="AP687" s="45"/>
      <c r="AQ687" s="45"/>
      <c r="AR687" s="45"/>
      <c r="AS687" s="45"/>
      <c r="AT687" s="45"/>
      <c r="AU687" s="463"/>
      <c r="AV687" s="449"/>
      <c r="AW687" s="45"/>
      <c r="AX687" s="45"/>
      <c r="AY687" s="45"/>
      <c r="AZ687" s="45"/>
      <c r="BA687" s="45"/>
      <c r="BB687" s="45"/>
      <c r="BC687" s="463"/>
      <c r="BD687" s="456"/>
      <c r="BE687" s="46"/>
      <c r="BF687" s="46"/>
      <c r="BG687" s="46"/>
      <c r="BH687" s="46"/>
      <c r="BI687" s="46"/>
      <c r="BJ687" s="457"/>
      <c r="BK687" s="449">
        <v>0</v>
      </c>
      <c r="BL687" s="45"/>
      <c r="BM687" s="45"/>
      <c r="BN687" s="45"/>
      <c r="BO687" s="45"/>
      <c r="BP687" s="45"/>
      <c r="BQ687" s="45"/>
      <c r="BR687" s="45"/>
      <c r="BS687" s="45"/>
      <c r="BT687" s="45"/>
      <c r="BU687" s="45"/>
      <c r="BV687" s="45"/>
      <c r="BW687" s="45"/>
      <c r="BX687" s="45"/>
      <c r="BY687" s="45"/>
      <c r="BZ687" s="45"/>
      <c r="CA687" s="45"/>
      <c r="CB687" s="45"/>
      <c r="CC687" s="45"/>
      <c r="CD687" s="463"/>
      <c r="CE687">
        <v>0</v>
      </c>
      <c r="CF687">
        <v>0</v>
      </c>
      <c r="CG687">
        <v>0</v>
      </c>
      <c r="CH687">
        <v>0</v>
      </c>
      <c r="CI687">
        <v>0</v>
      </c>
      <c r="CJ687">
        <v>0</v>
      </c>
      <c r="CK687">
        <v>0</v>
      </c>
      <c r="CL687">
        <v>0</v>
      </c>
      <c r="CM687">
        <v>0</v>
      </c>
      <c r="CN687">
        <v>0</v>
      </c>
      <c r="CO687">
        <v>0</v>
      </c>
      <c r="CP687">
        <v>0</v>
      </c>
      <c r="CQ687">
        <v>0</v>
      </c>
      <c r="CR687">
        <v>0</v>
      </c>
      <c r="CS687">
        <v>0</v>
      </c>
      <c r="CT687">
        <v>0</v>
      </c>
      <c r="CU687">
        <v>0</v>
      </c>
      <c r="CV687">
        <v>0</v>
      </c>
      <c r="CW687">
        <v>0</v>
      </c>
      <c r="CX687">
        <v>0</v>
      </c>
      <c r="CY687">
        <v>0</v>
      </c>
      <c r="CZ687">
        <v>0</v>
      </c>
      <c r="DA687">
        <v>0</v>
      </c>
      <c r="DB687">
        <v>0</v>
      </c>
      <c r="DC687">
        <v>0</v>
      </c>
      <c r="DD687">
        <v>0</v>
      </c>
      <c r="DE687">
        <v>0</v>
      </c>
      <c r="DF687">
        <v>0</v>
      </c>
      <c r="DG687">
        <v>0</v>
      </c>
      <c r="DH687">
        <v>0</v>
      </c>
      <c r="DI687">
        <v>0</v>
      </c>
      <c r="DJ687">
        <v>0</v>
      </c>
      <c r="DK687">
        <v>0</v>
      </c>
      <c r="DL687">
        <v>0</v>
      </c>
      <c r="DM687">
        <v>0</v>
      </c>
      <c r="DN687">
        <v>0</v>
      </c>
      <c r="DO687">
        <v>0</v>
      </c>
      <c r="DP687">
        <v>0</v>
      </c>
      <c r="DQ687">
        <v>0</v>
      </c>
      <c r="DR687">
        <v>0</v>
      </c>
      <c r="DS687">
        <v>0</v>
      </c>
      <c r="DT687">
        <v>0</v>
      </c>
      <c r="DU687">
        <v>0</v>
      </c>
    </row>
    <row r="688" spans="2:125">
      <c r="B688" s="136">
        <v>679</v>
      </c>
      <c r="C688" s="138">
        <v>1</v>
      </c>
      <c r="D688" s="474">
        <v>3944.6971908420473</v>
      </c>
      <c r="E688" s="127">
        <v>169.73707423935883</v>
      </c>
      <c r="F688" s="447">
        <v>0.42225613719081179</v>
      </c>
      <c r="G688" s="127">
        <v>143.5652056903553</v>
      </c>
      <c r="H688" s="132">
        <v>59.157370832165363</v>
      </c>
      <c r="I688" s="456"/>
      <c r="J688" s="45"/>
      <c r="K688" s="45">
        <v>580</v>
      </c>
      <c r="L688" s="463"/>
      <c r="M688" s="456">
        <v>36.849777221679688</v>
      </c>
      <c r="N688" s="457"/>
      <c r="O688" s="456"/>
      <c r="P688" s="46"/>
      <c r="Q688" s="463">
        <v>78.105010986328125</v>
      </c>
      <c r="R688" s="449"/>
      <c r="S688" s="463"/>
      <c r="T688" s="480"/>
      <c r="U688" s="468"/>
      <c r="V688" s="449"/>
      <c r="W688" s="45">
        <v>1792.5010986328125</v>
      </c>
      <c r="X688" s="463">
        <v>147.86973571777344</v>
      </c>
      <c r="Y688" s="449"/>
      <c r="Z688" s="45"/>
      <c r="AA688" s="468">
        <v>0.41377763526131972</v>
      </c>
      <c r="AB688" s="456"/>
      <c r="AC688" s="46"/>
      <c r="AD688" s="46"/>
      <c r="AE688" s="46"/>
      <c r="AF688" s="46"/>
      <c r="AG688" s="46"/>
      <c r="AH688" s="46"/>
      <c r="AI688" s="457"/>
      <c r="AJ688" s="138"/>
      <c r="AK688" s="745"/>
      <c r="AL688" s="54"/>
      <c r="AM688" s="468"/>
      <c r="AN688" s="449"/>
      <c r="AO688" s="45"/>
      <c r="AP688" s="45"/>
      <c r="AQ688" s="45"/>
      <c r="AR688" s="45"/>
      <c r="AS688" s="45"/>
      <c r="AT688" s="45"/>
      <c r="AU688" s="463"/>
      <c r="AV688" s="449"/>
      <c r="AW688" s="45"/>
      <c r="AX688" s="45"/>
      <c r="AY688" s="45"/>
      <c r="AZ688" s="45"/>
      <c r="BA688" s="45"/>
      <c r="BB688" s="45"/>
      <c r="BC688" s="463"/>
      <c r="BD688" s="456"/>
      <c r="BE688" s="46"/>
      <c r="BF688" s="46"/>
      <c r="BG688" s="46"/>
      <c r="BH688" s="46"/>
      <c r="BI688" s="46"/>
      <c r="BJ688" s="457"/>
      <c r="BK688" s="449">
        <v>0</v>
      </c>
      <c r="BL688" s="45"/>
      <c r="BM688" s="45"/>
      <c r="BN688" s="45"/>
      <c r="BO688" s="45"/>
      <c r="BP688" s="45"/>
      <c r="BQ688" s="45"/>
      <c r="BR688" s="45"/>
      <c r="BS688" s="45"/>
      <c r="BT688" s="45"/>
      <c r="BU688" s="45"/>
      <c r="BV688" s="45"/>
      <c r="BW688" s="45"/>
      <c r="BX688" s="45"/>
      <c r="BY688" s="45"/>
      <c r="BZ688" s="45"/>
      <c r="CA688" s="45"/>
      <c r="CB688" s="45"/>
      <c r="CC688" s="45"/>
      <c r="CD688" s="463"/>
      <c r="CE688">
        <v>0</v>
      </c>
      <c r="CF688">
        <v>0</v>
      </c>
      <c r="CG688">
        <v>0</v>
      </c>
      <c r="CH688">
        <v>0</v>
      </c>
      <c r="CI688">
        <v>0</v>
      </c>
      <c r="CJ688">
        <v>0</v>
      </c>
      <c r="CK688">
        <v>0</v>
      </c>
      <c r="CL688">
        <v>0</v>
      </c>
      <c r="CM688">
        <v>0</v>
      </c>
      <c r="CN688">
        <v>0</v>
      </c>
      <c r="CO688">
        <v>0</v>
      </c>
      <c r="CP688">
        <v>0</v>
      </c>
      <c r="CQ688">
        <v>0</v>
      </c>
      <c r="CR688">
        <v>0</v>
      </c>
      <c r="CS688">
        <v>0</v>
      </c>
      <c r="CT688">
        <v>0</v>
      </c>
      <c r="CU688">
        <v>0</v>
      </c>
      <c r="CV688">
        <v>0</v>
      </c>
      <c r="CW688">
        <v>0</v>
      </c>
      <c r="CX688">
        <v>0</v>
      </c>
      <c r="CY688">
        <v>0</v>
      </c>
      <c r="CZ688">
        <v>0</v>
      </c>
      <c r="DA688">
        <v>0</v>
      </c>
      <c r="DB688">
        <v>0</v>
      </c>
      <c r="DC688">
        <v>0</v>
      </c>
      <c r="DD688">
        <v>0</v>
      </c>
      <c r="DE688">
        <v>0</v>
      </c>
      <c r="DF688">
        <v>0</v>
      </c>
      <c r="DG688">
        <v>0</v>
      </c>
      <c r="DH688">
        <v>0</v>
      </c>
      <c r="DI688">
        <v>0</v>
      </c>
      <c r="DJ688">
        <v>0</v>
      </c>
      <c r="DK688">
        <v>0</v>
      </c>
      <c r="DL688">
        <v>0</v>
      </c>
      <c r="DM688">
        <v>0</v>
      </c>
      <c r="DN688">
        <v>0</v>
      </c>
      <c r="DO688">
        <v>0</v>
      </c>
      <c r="DP688">
        <v>0</v>
      </c>
      <c r="DQ688">
        <v>0</v>
      </c>
      <c r="DR688">
        <v>0</v>
      </c>
      <c r="DS688">
        <v>0</v>
      </c>
      <c r="DT688">
        <v>0</v>
      </c>
      <c r="DU688">
        <v>0</v>
      </c>
    </row>
    <row r="689" spans="2:125">
      <c r="B689" s="136">
        <v>680</v>
      </c>
      <c r="C689" s="138">
        <v>1</v>
      </c>
      <c r="D689" s="474">
        <v>3035.7440217235139</v>
      </c>
      <c r="E689" s="127">
        <v>206.02403369805083</v>
      </c>
      <c r="F689" s="447">
        <v>0.44599472199382717</v>
      </c>
      <c r="G689" s="127">
        <v>100.05903978858697</v>
      </c>
      <c r="H689" s="132">
        <v>61.41815750975281</v>
      </c>
      <c r="I689" s="456"/>
      <c r="J689" s="45"/>
      <c r="K689" s="45">
        <v>450</v>
      </c>
      <c r="L689" s="463"/>
      <c r="M689" s="456">
        <v>35.317543029785156</v>
      </c>
      <c r="N689" s="457"/>
      <c r="O689" s="456"/>
      <c r="P689" s="46"/>
      <c r="Q689" s="463">
        <v>68.4630126953125</v>
      </c>
      <c r="R689" s="449"/>
      <c r="S689" s="463"/>
      <c r="T689" s="480"/>
      <c r="U689" s="468"/>
      <c r="V689" s="449"/>
      <c r="W689" s="45">
        <v>1561.8795166015625</v>
      </c>
      <c r="X689" s="463">
        <v>130.5736083984375</v>
      </c>
      <c r="Y689" s="449"/>
      <c r="Z689" s="45"/>
      <c r="AA689" s="468">
        <v>0.43482121915658245</v>
      </c>
      <c r="AB689" s="456"/>
      <c r="AC689" s="46"/>
      <c r="AD689" s="46"/>
      <c r="AE689" s="46"/>
      <c r="AF689" s="46"/>
      <c r="AG689" s="46"/>
      <c r="AH689" s="46"/>
      <c r="AI689" s="457"/>
      <c r="AJ689" s="138"/>
      <c r="AK689" s="745"/>
      <c r="AL689" s="54"/>
      <c r="AM689" s="468"/>
      <c r="AN689" s="449"/>
      <c r="AO689" s="45"/>
      <c r="AP689" s="45"/>
      <c r="AQ689" s="45"/>
      <c r="AR689" s="45"/>
      <c r="AS689" s="45"/>
      <c r="AT689" s="45"/>
      <c r="AU689" s="463"/>
      <c r="AV689" s="449"/>
      <c r="AW689" s="45"/>
      <c r="AX689" s="45"/>
      <c r="AY689" s="45"/>
      <c r="AZ689" s="45"/>
      <c r="BA689" s="45"/>
      <c r="BB689" s="45"/>
      <c r="BC689" s="463"/>
      <c r="BD689" s="456"/>
      <c r="BE689" s="46"/>
      <c r="BF689" s="46"/>
      <c r="BG689" s="46"/>
      <c r="BH689" s="46"/>
      <c r="BI689" s="46"/>
      <c r="BJ689" s="457"/>
      <c r="BK689" s="449">
        <v>0</v>
      </c>
      <c r="BL689" s="45"/>
      <c r="BM689" s="45"/>
      <c r="BN689" s="45"/>
      <c r="BO689" s="45"/>
      <c r="BP689" s="45"/>
      <c r="BQ689" s="45"/>
      <c r="BR689" s="45"/>
      <c r="BS689" s="45"/>
      <c r="BT689" s="45"/>
      <c r="BU689" s="45"/>
      <c r="BV689" s="45"/>
      <c r="BW689" s="45"/>
      <c r="BX689" s="45"/>
      <c r="BY689" s="45"/>
      <c r="BZ689" s="45"/>
      <c r="CA689" s="45"/>
      <c r="CB689" s="45"/>
      <c r="CC689" s="45"/>
      <c r="CD689" s="463"/>
      <c r="CE689">
        <v>0</v>
      </c>
      <c r="CF689">
        <v>0</v>
      </c>
      <c r="CG689">
        <v>0</v>
      </c>
      <c r="CH689">
        <v>0</v>
      </c>
      <c r="CI689">
        <v>0</v>
      </c>
      <c r="CJ689">
        <v>0</v>
      </c>
      <c r="CK689">
        <v>0</v>
      </c>
      <c r="CL689">
        <v>0</v>
      </c>
      <c r="CM689">
        <v>0</v>
      </c>
      <c r="CN689">
        <v>0</v>
      </c>
      <c r="CO689">
        <v>0</v>
      </c>
      <c r="CP689">
        <v>0</v>
      </c>
      <c r="CQ689">
        <v>0</v>
      </c>
      <c r="CR689">
        <v>0</v>
      </c>
      <c r="CS689">
        <v>0</v>
      </c>
      <c r="CT689">
        <v>0</v>
      </c>
      <c r="CU689">
        <v>0</v>
      </c>
      <c r="CV689">
        <v>0</v>
      </c>
      <c r="CW689">
        <v>0</v>
      </c>
      <c r="CX689">
        <v>0</v>
      </c>
      <c r="CY689">
        <v>0</v>
      </c>
      <c r="CZ689">
        <v>0</v>
      </c>
      <c r="DA689">
        <v>0</v>
      </c>
      <c r="DB689">
        <v>0</v>
      </c>
      <c r="DC689">
        <v>0</v>
      </c>
      <c r="DD689">
        <v>0</v>
      </c>
      <c r="DE689">
        <v>0</v>
      </c>
      <c r="DF689">
        <v>0</v>
      </c>
      <c r="DG689">
        <v>0</v>
      </c>
      <c r="DH689">
        <v>0</v>
      </c>
      <c r="DI689">
        <v>0</v>
      </c>
      <c r="DJ689">
        <v>0</v>
      </c>
      <c r="DK689">
        <v>0</v>
      </c>
      <c r="DL689">
        <v>0</v>
      </c>
      <c r="DM689">
        <v>0</v>
      </c>
      <c r="DN689">
        <v>0</v>
      </c>
      <c r="DO689">
        <v>0</v>
      </c>
      <c r="DP689">
        <v>0</v>
      </c>
      <c r="DQ689">
        <v>0</v>
      </c>
      <c r="DR689">
        <v>0</v>
      </c>
      <c r="DS689">
        <v>0</v>
      </c>
      <c r="DT689">
        <v>0</v>
      </c>
      <c r="DU689">
        <v>0</v>
      </c>
    </row>
    <row r="690" spans="2:125">
      <c r="B690" s="136">
        <v>681</v>
      </c>
      <c r="C690" s="138">
        <v>1</v>
      </c>
      <c r="D690" s="474">
        <v>3160.3248669602704</v>
      </c>
      <c r="E690" s="127">
        <v>266.55195318911825</v>
      </c>
      <c r="F690" s="447">
        <v>0.43421108405821146</v>
      </c>
      <c r="G690" s="127">
        <v>117.09145763092198</v>
      </c>
      <c r="H690" s="132">
        <v>59.368037869199384</v>
      </c>
      <c r="I690" s="456"/>
      <c r="J690" s="45"/>
      <c r="K690" s="45">
        <v>500</v>
      </c>
      <c r="L690" s="463"/>
      <c r="M690" s="456">
        <v>35.764083862304687</v>
      </c>
      <c r="N690" s="457"/>
      <c r="O690" s="456"/>
      <c r="P690" s="46"/>
      <c r="Q690" s="463">
        <v>70.716201782226562</v>
      </c>
      <c r="R690" s="449"/>
      <c r="S690" s="463"/>
      <c r="T690" s="480"/>
      <c r="U690" s="468"/>
      <c r="V690" s="449"/>
      <c r="W690" s="45">
        <v>1624.4656982421875</v>
      </c>
      <c r="X690" s="463">
        <v>135.30241394042969</v>
      </c>
      <c r="Y690" s="449"/>
      <c r="Z690" s="45"/>
      <c r="AA690" s="468">
        <v>0.42355261598952743</v>
      </c>
      <c r="AB690" s="456"/>
      <c r="AC690" s="46"/>
      <c r="AD690" s="46"/>
      <c r="AE690" s="46"/>
      <c r="AF690" s="46"/>
      <c r="AG690" s="46"/>
      <c r="AH690" s="46"/>
      <c r="AI690" s="457"/>
      <c r="AJ690" s="138"/>
      <c r="AK690" s="745"/>
      <c r="AL690" s="54"/>
      <c r="AM690" s="468"/>
      <c r="AN690" s="449"/>
      <c r="AO690" s="45"/>
      <c r="AP690" s="45"/>
      <c r="AQ690" s="45"/>
      <c r="AR690" s="45"/>
      <c r="AS690" s="45"/>
      <c r="AT690" s="45"/>
      <c r="AU690" s="463"/>
      <c r="AV690" s="449"/>
      <c r="AW690" s="45"/>
      <c r="AX690" s="45"/>
      <c r="AY690" s="45"/>
      <c r="AZ690" s="45"/>
      <c r="BA690" s="45"/>
      <c r="BB690" s="45"/>
      <c r="BC690" s="463"/>
      <c r="BD690" s="456"/>
      <c r="BE690" s="46"/>
      <c r="BF690" s="46"/>
      <c r="BG690" s="46"/>
      <c r="BH690" s="46"/>
      <c r="BI690" s="46"/>
      <c r="BJ690" s="457"/>
      <c r="BK690" s="449">
        <v>0</v>
      </c>
      <c r="BL690" s="45"/>
      <c r="BM690" s="45"/>
      <c r="BN690" s="45"/>
      <c r="BO690" s="45"/>
      <c r="BP690" s="45"/>
      <c r="BQ690" s="45"/>
      <c r="BR690" s="45"/>
      <c r="BS690" s="45"/>
      <c r="BT690" s="45"/>
      <c r="BU690" s="45"/>
      <c r="BV690" s="45"/>
      <c r="BW690" s="45"/>
      <c r="BX690" s="45"/>
      <c r="BY690" s="45"/>
      <c r="BZ690" s="45"/>
      <c r="CA690" s="45"/>
      <c r="CB690" s="45"/>
      <c r="CC690" s="45"/>
      <c r="CD690" s="463"/>
      <c r="CE690">
        <v>0</v>
      </c>
      <c r="CF690">
        <v>0</v>
      </c>
      <c r="CG690">
        <v>0</v>
      </c>
      <c r="CH690">
        <v>0</v>
      </c>
      <c r="CI690">
        <v>0</v>
      </c>
      <c r="CJ690">
        <v>0</v>
      </c>
      <c r="CK690">
        <v>0</v>
      </c>
      <c r="CL690">
        <v>0</v>
      </c>
      <c r="CM690">
        <v>0</v>
      </c>
      <c r="CN690">
        <v>0</v>
      </c>
      <c r="CO690">
        <v>0</v>
      </c>
      <c r="CP690">
        <v>0</v>
      </c>
      <c r="CQ690">
        <v>0</v>
      </c>
      <c r="CR690">
        <v>0</v>
      </c>
      <c r="CS690">
        <v>0</v>
      </c>
      <c r="CT690">
        <v>0</v>
      </c>
      <c r="CU690">
        <v>0</v>
      </c>
      <c r="CV690">
        <v>0</v>
      </c>
      <c r="CW690">
        <v>0</v>
      </c>
      <c r="CX690">
        <v>0</v>
      </c>
      <c r="CY690">
        <v>0</v>
      </c>
      <c r="CZ690">
        <v>0</v>
      </c>
      <c r="DA690">
        <v>0</v>
      </c>
      <c r="DB690">
        <v>0</v>
      </c>
      <c r="DC690">
        <v>0</v>
      </c>
      <c r="DD690">
        <v>0</v>
      </c>
      <c r="DE690">
        <v>0</v>
      </c>
      <c r="DF690">
        <v>0</v>
      </c>
      <c r="DG690">
        <v>0</v>
      </c>
      <c r="DH690">
        <v>0</v>
      </c>
      <c r="DI690">
        <v>0</v>
      </c>
      <c r="DJ690">
        <v>0</v>
      </c>
      <c r="DK690">
        <v>0</v>
      </c>
      <c r="DL690">
        <v>0</v>
      </c>
      <c r="DM690">
        <v>0</v>
      </c>
      <c r="DN690">
        <v>0</v>
      </c>
      <c r="DO690">
        <v>0</v>
      </c>
      <c r="DP690">
        <v>0</v>
      </c>
      <c r="DQ690">
        <v>0</v>
      </c>
      <c r="DR690">
        <v>0</v>
      </c>
      <c r="DS690">
        <v>0</v>
      </c>
      <c r="DT690">
        <v>0</v>
      </c>
      <c r="DU690">
        <v>0</v>
      </c>
    </row>
    <row r="691" spans="2:125">
      <c r="B691" s="136">
        <v>682</v>
      </c>
      <c r="C691" s="138">
        <v>1</v>
      </c>
      <c r="D691" s="474">
        <v>3380.2156397670515</v>
      </c>
      <c r="E691" s="127">
        <v>231.68177270787251</v>
      </c>
      <c r="F691" s="447">
        <v>0.43438751170797202</v>
      </c>
      <c r="G691" s="127">
        <v>134.49985571383169</v>
      </c>
      <c r="H691" s="132">
        <v>58.692024630394592</v>
      </c>
      <c r="I691" s="456"/>
      <c r="J691" s="45"/>
      <c r="K691" s="45">
        <v>550</v>
      </c>
      <c r="L691" s="463"/>
      <c r="M691" s="456">
        <v>37.856906890869141</v>
      </c>
      <c r="N691" s="457"/>
      <c r="O691" s="456"/>
      <c r="P691" s="46"/>
      <c r="Q691" s="463">
        <v>74.907394409179688</v>
      </c>
      <c r="R691" s="449"/>
      <c r="S691" s="463"/>
      <c r="T691" s="480"/>
      <c r="U691" s="468"/>
      <c r="V691" s="449"/>
      <c r="W691" s="45">
        <v>1784.2430419921875</v>
      </c>
      <c r="X691" s="463">
        <v>147.14241027832031</v>
      </c>
      <c r="Y691" s="449"/>
      <c r="Z691" s="45"/>
      <c r="AA691" s="468">
        <v>0.42442135752602134</v>
      </c>
      <c r="AB691" s="456"/>
      <c r="AC691" s="46"/>
      <c r="AD691" s="46"/>
      <c r="AE691" s="46"/>
      <c r="AF691" s="46"/>
      <c r="AG691" s="46"/>
      <c r="AH691" s="46"/>
      <c r="AI691" s="457"/>
      <c r="AJ691" s="138"/>
      <c r="AK691" s="745"/>
      <c r="AL691" s="54"/>
      <c r="AM691" s="468"/>
      <c r="AN691" s="449"/>
      <c r="AO691" s="45"/>
      <c r="AP691" s="45"/>
      <c r="AQ691" s="45"/>
      <c r="AR691" s="45"/>
      <c r="AS691" s="45"/>
      <c r="AT691" s="45"/>
      <c r="AU691" s="463"/>
      <c r="AV691" s="449"/>
      <c r="AW691" s="45"/>
      <c r="AX691" s="45"/>
      <c r="AY691" s="45"/>
      <c r="AZ691" s="45"/>
      <c r="BA691" s="45"/>
      <c r="BB691" s="45"/>
      <c r="BC691" s="463"/>
      <c r="BD691" s="456"/>
      <c r="BE691" s="46"/>
      <c r="BF691" s="46"/>
      <c r="BG691" s="46"/>
      <c r="BH691" s="46"/>
      <c r="BI691" s="46"/>
      <c r="BJ691" s="457"/>
      <c r="BK691" s="449">
        <v>0</v>
      </c>
      <c r="BL691" s="45"/>
      <c r="BM691" s="45"/>
      <c r="BN691" s="45"/>
      <c r="BO691" s="45"/>
      <c r="BP691" s="45"/>
      <c r="BQ691" s="45"/>
      <c r="BR691" s="45"/>
      <c r="BS691" s="45"/>
      <c r="BT691" s="45"/>
      <c r="BU691" s="45"/>
      <c r="BV691" s="45"/>
      <c r="BW691" s="45"/>
      <c r="BX691" s="45"/>
      <c r="BY691" s="45"/>
      <c r="BZ691" s="45"/>
      <c r="CA691" s="45"/>
      <c r="CB691" s="45"/>
      <c r="CC691" s="45"/>
      <c r="CD691" s="463"/>
      <c r="CE691">
        <v>0</v>
      </c>
      <c r="CF691">
        <v>0</v>
      </c>
      <c r="CG691">
        <v>0</v>
      </c>
      <c r="CH691">
        <v>0</v>
      </c>
      <c r="CI691">
        <v>0</v>
      </c>
      <c r="CJ691">
        <v>0</v>
      </c>
      <c r="CK691">
        <v>0</v>
      </c>
      <c r="CL691">
        <v>0</v>
      </c>
      <c r="CM691">
        <v>0</v>
      </c>
      <c r="CN691">
        <v>0</v>
      </c>
      <c r="CO691">
        <v>0</v>
      </c>
      <c r="CP691">
        <v>0</v>
      </c>
      <c r="CQ691">
        <v>0</v>
      </c>
      <c r="CR691">
        <v>0</v>
      </c>
      <c r="CS691">
        <v>0</v>
      </c>
      <c r="CT691">
        <v>0</v>
      </c>
      <c r="CU691">
        <v>0</v>
      </c>
      <c r="CV691">
        <v>0</v>
      </c>
      <c r="CW691">
        <v>0</v>
      </c>
      <c r="CX691">
        <v>0</v>
      </c>
      <c r="CY691">
        <v>0</v>
      </c>
      <c r="CZ691">
        <v>0</v>
      </c>
      <c r="DA691">
        <v>0</v>
      </c>
      <c r="DB691">
        <v>0</v>
      </c>
      <c r="DC691">
        <v>0</v>
      </c>
      <c r="DD691">
        <v>0</v>
      </c>
      <c r="DE691">
        <v>0</v>
      </c>
      <c r="DF691">
        <v>0</v>
      </c>
      <c r="DG691">
        <v>0</v>
      </c>
      <c r="DH691">
        <v>0</v>
      </c>
      <c r="DI691">
        <v>0</v>
      </c>
      <c r="DJ691">
        <v>0</v>
      </c>
      <c r="DK691">
        <v>0</v>
      </c>
      <c r="DL691">
        <v>0</v>
      </c>
      <c r="DM691">
        <v>0</v>
      </c>
      <c r="DN691">
        <v>0</v>
      </c>
      <c r="DO691">
        <v>0</v>
      </c>
      <c r="DP691">
        <v>0</v>
      </c>
      <c r="DQ691">
        <v>0</v>
      </c>
      <c r="DR691">
        <v>0</v>
      </c>
      <c r="DS691">
        <v>0</v>
      </c>
      <c r="DT691">
        <v>0</v>
      </c>
      <c r="DU691">
        <v>0</v>
      </c>
    </row>
    <row r="692" spans="2:125">
      <c r="B692" s="136">
        <v>683</v>
      </c>
      <c r="C692" s="138">
        <v>1</v>
      </c>
      <c r="D692" s="474">
        <v>3123.5562785026882</v>
      </c>
      <c r="E692" s="127">
        <v>289.81726483492338</v>
      </c>
      <c r="F692" s="447">
        <v>0.37689789022935882</v>
      </c>
      <c r="G692" s="127">
        <v>117.26834843191131</v>
      </c>
      <c r="H692" s="132">
        <v>51.211025701683546</v>
      </c>
      <c r="I692" s="456"/>
      <c r="J692" s="45"/>
      <c r="K692" s="45">
        <v>460</v>
      </c>
      <c r="L692" s="463"/>
      <c r="M692" s="456">
        <v>29.892494201660156</v>
      </c>
      <c r="N692" s="457"/>
      <c r="O692" s="456"/>
      <c r="P692" s="46"/>
      <c r="Q692" s="463">
        <v>61.846416473388672</v>
      </c>
      <c r="R692" s="449"/>
      <c r="S692" s="463"/>
      <c r="T692" s="480"/>
      <c r="U692" s="468"/>
      <c r="V692" s="449"/>
      <c r="W692" s="45">
        <v>1269.28515625</v>
      </c>
      <c r="X692" s="463">
        <v>109.32113647460937</v>
      </c>
      <c r="Y692" s="449"/>
      <c r="Z692" s="45"/>
      <c r="AA692" s="468">
        <v>0.36648093119182718</v>
      </c>
      <c r="AB692" s="456"/>
      <c r="AC692" s="46"/>
      <c r="AD692" s="46"/>
      <c r="AE692" s="46"/>
      <c r="AF692" s="46"/>
      <c r="AG692" s="46"/>
      <c r="AH692" s="46"/>
      <c r="AI692" s="457"/>
      <c r="AJ692" s="138"/>
      <c r="AK692" s="745"/>
      <c r="AL692" s="54"/>
      <c r="AM692" s="468"/>
      <c r="AN692" s="449"/>
      <c r="AO692" s="45"/>
      <c r="AP692" s="45"/>
      <c r="AQ692" s="45"/>
      <c r="AR692" s="45"/>
      <c r="AS692" s="45"/>
      <c r="AT692" s="45"/>
      <c r="AU692" s="463"/>
      <c r="AV692" s="449"/>
      <c r="AW692" s="45"/>
      <c r="AX692" s="45"/>
      <c r="AY692" s="45"/>
      <c r="AZ692" s="45"/>
      <c r="BA692" s="45"/>
      <c r="BB692" s="45"/>
      <c r="BC692" s="463"/>
      <c r="BD692" s="456"/>
      <c r="BE692" s="46"/>
      <c r="BF692" s="46"/>
      <c r="BG692" s="46"/>
      <c r="BH692" s="46"/>
      <c r="BI692" s="46"/>
      <c r="BJ692" s="457"/>
      <c r="BK692" s="449">
        <v>0</v>
      </c>
      <c r="BL692" s="45"/>
      <c r="BM692" s="45"/>
      <c r="BN692" s="45"/>
      <c r="BO692" s="45"/>
      <c r="BP692" s="45"/>
      <c r="BQ692" s="45"/>
      <c r="BR692" s="45"/>
      <c r="BS692" s="45"/>
      <c r="BT692" s="45"/>
      <c r="BU692" s="45"/>
      <c r="BV692" s="45"/>
      <c r="BW692" s="45"/>
      <c r="BX692" s="45"/>
      <c r="BY692" s="45"/>
      <c r="BZ692" s="45"/>
      <c r="CA692" s="45"/>
      <c r="CB692" s="45"/>
      <c r="CC692" s="45"/>
      <c r="CD692" s="463"/>
      <c r="CE692">
        <v>0</v>
      </c>
      <c r="CF692">
        <v>0</v>
      </c>
      <c r="CG692">
        <v>0</v>
      </c>
      <c r="CH692">
        <v>0</v>
      </c>
      <c r="CI692">
        <v>0</v>
      </c>
      <c r="CJ692">
        <v>0</v>
      </c>
      <c r="CK692">
        <v>0</v>
      </c>
      <c r="CL692">
        <v>0</v>
      </c>
      <c r="CM692">
        <v>0</v>
      </c>
      <c r="CN692">
        <v>0</v>
      </c>
      <c r="CO692">
        <v>0</v>
      </c>
      <c r="CP692">
        <v>0</v>
      </c>
      <c r="CQ692">
        <v>0</v>
      </c>
      <c r="CR692">
        <v>0</v>
      </c>
      <c r="CS692">
        <v>0</v>
      </c>
      <c r="CT692">
        <v>0</v>
      </c>
      <c r="CU692">
        <v>0</v>
      </c>
      <c r="CV692">
        <v>0</v>
      </c>
      <c r="CW692">
        <v>0</v>
      </c>
      <c r="CX692">
        <v>0</v>
      </c>
      <c r="CY692">
        <v>0</v>
      </c>
      <c r="CZ692">
        <v>0</v>
      </c>
      <c r="DA692">
        <v>0</v>
      </c>
      <c r="DB692">
        <v>0</v>
      </c>
      <c r="DC692">
        <v>0</v>
      </c>
      <c r="DD692">
        <v>0</v>
      </c>
      <c r="DE692">
        <v>0</v>
      </c>
      <c r="DF692">
        <v>0</v>
      </c>
      <c r="DG692">
        <v>0</v>
      </c>
      <c r="DH692">
        <v>0</v>
      </c>
      <c r="DI692">
        <v>0</v>
      </c>
      <c r="DJ692">
        <v>0</v>
      </c>
      <c r="DK692">
        <v>0</v>
      </c>
      <c r="DL692">
        <v>0</v>
      </c>
      <c r="DM692">
        <v>0</v>
      </c>
      <c r="DN692">
        <v>0</v>
      </c>
      <c r="DO692">
        <v>0</v>
      </c>
      <c r="DP692">
        <v>0</v>
      </c>
      <c r="DQ692">
        <v>0</v>
      </c>
      <c r="DR692">
        <v>0</v>
      </c>
      <c r="DS692">
        <v>0</v>
      </c>
      <c r="DT692">
        <v>0</v>
      </c>
      <c r="DU692">
        <v>0</v>
      </c>
    </row>
    <row r="693" spans="2:125">
      <c r="B693" s="136">
        <v>684</v>
      </c>
      <c r="C693" s="138">
        <v>1</v>
      </c>
      <c r="D693" s="474">
        <v>2541.8037121688558</v>
      </c>
      <c r="E693" s="127">
        <v>250.14662479046942</v>
      </c>
      <c r="F693" s="447">
        <v>0.42347518205283918</v>
      </c>
      <c r="G693" s="127">
        <v>105.5979450017378</v>
      </c>
      <c r="H693" s="132">
        <v>40.388000228168742</v>
      </c>
      <c r="I693" s="456"/>
      <c r="J693" s="45"/>
      <c r="K693" s="45">
        <v>400</v>
      </c>
      <c r="L693" s="463"/>
      <c r="M693" s="456">
        <v>36.793876647949219</v>
      </c>
      <c r="N693" s="457"/>
      <c r="O693" s="456"/>
      <c r="P693" s="46"/>
      <c r="Q693" s="463">
        <v>50.327713012695312</v>
      </c>
      <c r="R693" s="449"/>
      <c r="S693" s="463"/>
      <c r="T693" s="480"/>
      <c r="U693" s="468"/>
      <c r="V693" s="449"/>
      <c r="W693" s="45">
        <v>1320.8651123046875</v>
      </c>
      <c r="X693" s="463">
        <v>112.83528137207031</v>
      </c>
      <c r="Y693" s="449"/>
      <c r="Z693" s="45"/>
      <c r="AA693" s="468">
        <v>0.41030756274344016</v>
      </c>
      <c r="AB693" s="456"/>
      <c r="AC693" s="46"/>
      <c r="AD693" s="46"/>
      <c r="AE693" s="46"/>
      <c r="AF693" s="46"/>
      <c r="AG693" s="46"/>
      <c r="AH693" s="46"/>
      <c r="AI693" s="457"/>
      <c r="AJ693" s="138"/>
      <c r="AK693" s="745"/>
      <c r="AL693" s="54"/>
      <c r="AM693" s="468"/>
      <c r="AN693" s="449"/>
      <c r="AO693" s="45"/>
      <c r="AP693" s="45"/>
      <c r="AQ693" s="45"/>
      <c r="AR693" s="45"/>
      <c r="AS693" s="45"/>
      <c r="AT693" s="45"/>
      <c r="AU693" s="463"/>
      <c r="AV693" s="449"/>
      <c r="AW693" s="45"/>
      <c r="AX693" s="45"/>
      <c r="AY693" s="45"/>
      <c r="AZ693" s="45"/>
      <c r="BA693" s="45"/>
      <c r="BB693" s="45"/>
      <c r="BC693" s="463"/>
      <c r="BD693" s="456"/>
      <c r="BE693" s="46"/>
      <c r="BF693" s="46"/>
      <c r="BG693" s="46"/>
      <c r="BH693" s="46"/>
      <c r="BI693" s="46"/>
      <c r="BJ693" s="457"/>
      <c r="BK693" s="449">
        <v>0</v>
      </c>
      <c r="BL693" s="45"/>
      <c r="BM693" s="45"/>
      <c r="BN693" s="45"/>
      <c r="BO693" s="45"/>
      <c r="BP693" s="45"/>
      <c r="BQ693" s="45"/>
      <c r="BR693" s="45"/>
      <c r="BS693" s="45"/>
      <c r="BT693" s="45"/>
      <c r="BU693" s="45"/>
      <c r="BV693" s="45"/>
      <c r="BW693" s="45"/>
      <c r="BX693" s="45"/>
      <c r="BY693" s="45"/>
      <c r="BZ693" s="45"/>
      <c r="CA693" s="45"/>
      <c r="CB693" s="45"/>
      <c r="CC693" s="45"/>
      <c r="CD693" s="463"/>
      <c r="CE693">
        <v>0</v>
      </c>
      <c r="CF693">
        <v>0</v>
      </c>
      <c r="CG693">
        <v>0</v>
      </c>
      <c r="CH693">
        <v>0</v>
      </c>
      <c r="CI693">
        <v>0</v>
      </c>
      <c r="CJ693">
        <v>0</v>
      </c>
      <c r="CK693">
        <v>0</v>
      </c>
      <c r="CL693">
        <v>0</v>
      </c>
      <c r="CM693">
        <v>0</v>
      </c>
      <c r="CN693">
        <v>0</v>
      </c>
      <c r="CO693">
        <v>0</v>
      </c>
      <c r="CP693">
        <v>0</v>
      </c>
      <c r="CQ693">
        <v>0</v>
      </c>
      <c r="CR693">
        <v>0</v>
      </c>
      <c r="CS693">
        <v>0</v>
      </c>
      <c r="CT693">
        <v>0</v>
      </c>
      <c r="CU693">
        <v>0</v>
      </c>
      <c r="CV693">
        <v>0</v>
      </c>
      <c r="CW693">
        <v>0</v>
      </c>
      <c r="CX693">
        <v>0</v>
      </c>
      <c r="CY693">
        <v>0</v>
      </c>
      <c r="CZ693">
        <v>0</v>
      </c>
      <c r="DA693">
        <v>0</v>
      </c>
      <c r="DB693">
        <v>0</v>
      </c>
      <c r="DC693">
        <v>0</v>
      </c>
      <c r="DD693">
        <v>0</v>
      </c>
      <c r="DE693">
        <v>0</v>
      </c>
      <c r="DF693">
        <v>0</v>
      </c>
      <c r="DG693">
        <v>0</v>
      </c>
      <c r="DH693">
        <v>0</v>
      </c>
      <c r="DI693">
        <v>0</v>
      </c>
      <c r="DJ693">
        <v>0</v>
      </c>
      <c r="DK693">
        <v>0</v>
      </c>
      <c r="DL693">
        <v>0</v>
      </c>
      <c r="DM693">
        <v>0</v>
      </c>
      <c r="DN693">
        <v>0</v>
      </c>
      <c r="DO693">
        <v>0</v>
      </c>
      <c r="DP693">
        <v>0</v>
      </c>
      <c r="DQ693">
        <v>0</v>
      </c>
      <c r="DR693">
        <v>0</v>
      </c>
      <c r="DS693">
        <v>0</v>
      </c>
      <c r="DT693">
        <v>0</v>
      </c>
      <c r="DU693">
        <v>0</v>
      </c>
    </row>
    <row r="694" spans="2:125">
      <c r="B694" s="136">
        <v>685</v>
      </c>
      <c r="C694" s="138">
        <v>1</v>
      </c>
      <c r="D694" s="474">
        <v>3355.3225126929192</v>
      </c>
      <c r="E694" s="127">
        <v>247.31452094697912</v>
      </c>
      <c r="F694" s="447">
        <v>0.4525279559385732</v>
      </c>
      <c r="G694" s="127">
        <v>103.62664078315572</v>
      </c>
      <c r="H694" s="132">
        <v>59.057840971407749</v>
      </c>
      <c r="I694" s="456"/>
      <c r="J694" s="45"/>
      <c r="K694" s="45">
        <v>460</v>
      </c>
      <c r="L694" s="463"/>
      <c r="M694" s="456">
        <v>37.255435943603516</v>
      </c>
      <c r="N694" s="457"/>
      <c r="O694" s="456"/>
      <c r="P694" s="46"/>
      <c r="Q694" s="463">
        <v>66.435386657714844</v>
      </c>
      <c r="R694" s="449"/>
      <c r="S694" s="463"/>
      <c r="T694" s="480"/>
      <c r="U694" s="468"/>
      <c r="V694" s="449"/>
      <c r="W694" s="45">
        <v>1614.6739501953125</v>
      </c>
      <c r="X694" s="463">
        <v>134.42430114746094</v>
      </c>
      <c r="Y694" s="449"/>
      <c r="Z694" s="45"/>
      <c r="AA694" s="468">
        <v>0.44237973352777338</v>
      </c>
      <c r="AB694" s="456"/>
      <c r="AC694" s="46"/>
      <c r="AD694" s="46"/>
      <c r="AE694" s="46"/>
      <c r="AF694" s="46"/>
      <c r="AG694" s="46"/>
      <c r="AH694" s="46"/>
      <c r="AI694" s="457"/>
      <c r="AJ694" s="138"/>
      <c r="AK694" s="745"/>
      <c r="AL694" s="54"/>
      <c r="AM694" s="468"/>
      <c r="AN694" s="449"/>
      <c r="AO694" s="45"/>
      <c r="AP694" s="45"/>
      <c r="AQ694" s="45"/>
      <c r="AR694" s="45"/>
      <c r="AS694" s="45"/>
      <c r="AT694" s="45"/>
      <c r="AU694" s="463"/>
      <c r="AV694" s="449"/>
      <c r="AW694" s="45"/>
      <c r="AX694" s="45"/>
      <c r="AY694" s="45"/>
      <c r="AZ694" s="45"/>
      <c r="BA694" s="45"/>
      <c r="BB694" s="45"/>
      <c r="BC694" s="463"/>
      <c r="BD694" s="456"/>
      <c r="BE694" s="46"/>
      <c r="BF694" s="46"/>
      <c r="BG694" s="46"/>
      <c r="BH694" s="46"/>
      <c r="BI694" s="46"/>
      <c r="BJ694" s="457"/>
      <c r="BK694" s="449">
        <v>0</v>
      </c>
      <c r="BL694" s="45"/>
      <c r="BM694" s="45"/>
      <c r="BN694" s="45"/>
      <c r="BO694" s="45"/>
      <c r="BP694" s="45"/>
      <c r="BQ694" s="45"/>
      <c r="BR694" s="45"/>
      <c r="BS694" s="45"/>
      <c r="BT694" s="45"/>
      <c r="BU694" s="45"/>
      <c r="BV694" s="45"/>
      <c r="BW694" s="45"/>
      <c r="BX694" s="45"/>
      <c r="BY694" s="45"/>
      <c r="BZ694" s="45"/>
      <c r="CA694" s="45"/>
      <c r="CB694" s="45"/>
      <c r="CC694" s="45"/>
      <c r="CD694" s="463"/>
      <c r="CE694">
        <v>0</v>
      </c>
      <c r="CF694">
        <v>0</v>
      </c>
      <c r="CG694">
        <v>0</v>
      </c>
      <c r="CH694">
        <v>0</v>
      </c>
      <c r="CI694">
        <v>0</v>
      </c>
      <c r="CJ694">
        <v>0</v>
      </c>
      <c r="CK694">
        <v>0</v>
      </c>
      <c r="CL694">
        <v>0</v>
      </c>
      <c r="CM694">
        <v>0</v>
      </c>
      <c r="CN694">
        <v>0</v>
      </c>
      <c r="CO694">
        <v>0</v>
      </c>
      <c r="CP694">
        <v>0</v>
      </c>
      <c r="CQ694">
        <v>0</v>
      </c>
      <c r="CR694">
        <v>0</v>
      </c>
      <c r="CS694">
        <v>0</v>
      </c>
      <c r="CT694">
        <v>0</v>
      </c>
      <c r="CU694">
        <v>0</v>
      </c>
      <c r="CV694">
        <v>0</v>
      </c>
      <c r="CW694">
        <v>0</v>
      </c>
      <c r="CX694">
        <v>0</v>
      </c>
      <c r="CY694">
        <v>0</v>
      </c>
      <c r="CZ694">
        <v>0</v>
      </c>
      <c r="DA694">
        <v>0</v>
      </c>
      <c r="DB694">
        <v>0</v>
      </c>
      <c r="DC694">
        <v>0</v>
      </c>
      <c r="DD694">
        <v>0</v>
      </c>
      <c r="DE694">
        <v>0</v>
      </c>
      <c r="DF694">
        <v>0</v>
      </c>
      <c r="DG694">
        <v>0</v>
      </c>
      <c r="DH694">
        <v>0</v>
      </c>
      <c r="DI694">
        <v>0</v>
      </c>
      <c r="DJ694">
        <v>0</v>
      </c>
      <c r="DK694">
        <v>0</v>
      </c>
      <c r="DL694">
        <v>0</v>
      </c>
      <c r="DM694">
        <v>0</v>
      </c>
      <c r="DN694">
        <v>0</v>
      </c>
      <c r="DO694">
        <v>0</v>
      </c>
      <c r="DP694">
        <v>0</v>
      </c>
      <c r="DQ694">
        <v>0</v>
      </c>
      <c r="DR694">
        <v>0</v>
      </c>
      <c r="DS694">
        <v>0</v>
      </c>
      <c r="DT694">
        <v>0</v>
      </c>
      <c r="DU694">
        <v>0</v>
      </c>
    </row>
    <row r="695" spans="2:125">
      <c r="B695" s="136">
        <v>686</v>
      </c>
      <c r="C695" s="138">
        <v>1</v>
      </c>
      <c r="D695" s="474">
        <v>3562.2269662348272</v>
      </c>
      <c r="E695" s="127">
        <v>238.97376781904754</v>
      </c>
      <c r="F695" s="447">
        <v>0.38590396048640491</v>
      </c>
      <c r="G695" s="127">
        <v>126.43983383547143</v>
      </c>
      <c r="H695" s="132">
        <v>56.979942694972848</v>
      </c>
      <c r="I695" s="456"/>
      <c r="J695" s="45"/>
      <c r="K695" s="45">
        <v>510</v>
      </c>
      <c r="L695" s="463"/>
      <c r="M695" s="456">
        <v>30.653688430786133</v>
      </c>
      <c r="N695" s="457"/>
      <c r="O695" s="456"/>
      <c r="P695" s="46"/>
      <c r="Q695" s="463">
        <v>70.532096862792969</v>
      </c>
      <c r="R695" s="449"/>
      <c r="S695" s="463"/>
      <c r="T695" s="480"/>
      <c r="U695" s="468"/>
      <c r="V695" s="449"/>
      <c r="W695" s="45">
        <v>1419.95068359375</v>
      </c>
      <c r="X695" s="463">
        <v>120.48596954345703</v>
      </c>
      <c r="Y695" s="449"/>
      <c r="Z695" s="45"/>
      <c r="AA695" s="468">
        <v>0.37671923432497501</v>
      </c>
      <c r="AB695" s="456"/>
      <c r="AC695" s="46"/>
      <c r="AD695" s="46"/>
      <c r="AE695" s="46"/>
      <c r="AF695" s="46"/>
      <c r="AG695" s="46"/>
      <c r="AH695" s="46"/>
      <c r="AI695" s="457"/>
      <c r="AJ695" s="138"/>
      <c r="AK695" s="745"/>
      <c r="AL695" s="54"/>
      <c r="AM695" s="468"/>
      <c r="AN695" s="449"/>
      <c r="AO695" s="45"/>
      <c r="AP695" s="45"/>
      <c r="AQ695" s="45"/>
      <c r="AR695" s="45"/>
      <c r="AS695" s="45"/>
      <c r="AT695" s="45"/>
      <c r="AU695" s="463"/>
      <c r="AV695" s="449"/>
      <c r="AW695" s="45"/>
      <c r="AX695" s="45"/>
      <c r="AY695" s="45"/>
      <c r="AZ695" s="45"/>
      <c r="BA695" s="45"/>
      <c r="BB695" s="45"/>
      <c r="BC695" s="463"/>
      <c r="BD695" s="456"/>
      <c r="BE695" s="46"/>
      <c r="BF695" s="46"/>
      <c r="BG695" s="46"/>
      <c r="BH695" s="46"/>
      <c r="BI695" s="46"/>
      <c r="BJ695" s="457"/>
      <c r="BK695" s="449">
        <v>0</v>
      </c>
      <c r="BL695" s="45"/>
      <c r="BM695" s="45"/>
      <c r="BN695" s="45"/>
      <c r="BO695" s="45"/>
      <c r="BP695" s="45"/>
      <c r="BQ695" s="45"/>
      <c r="BR695" s="45"/>
      <c r="BS695" s="45"/>
      <c r="BT695" s="45"/>
      <c r="BU695" s="45"/>
      <c r="BV695" s="45"/>
      <c r="BW695" s="45"/>
      <c r="BX695" s="45"/>
      <c r="BY695" s="45"/>
      <c r="BZ695" s="45"/>
      <c r="CA695" s="45"/>
      <c r="CB695" s="45"/>
      <c r="CC695" s="45"/>
      <c r="CD695" s="463"/>
      <c r="CE695">
        <v>0</v>
      </c>
      <c r="CF695">
        <v>0</v>
      </c>
      <c r="CG695">
        <v>0</v>
      </c>
      <c r="CH695">
        <v>0</v>
      </c>
      <c r="CI695">
        <v>0</v>
      </c>
      <c r="CJ695">
        <v>0</v>
      </c>
      <c r="CK695">
        <v>0</v>
      </c>
      <c r="CL695">
        <v>0</v>
      </c>
      <c r="CM695">
        <v>0</v>
      </c>
      <c r="CN695">
        <v>0</v>
      </c>
      <c r="CO695">
        <v>0</v>
      </c>
      <c r="CP695">
        <v>0</v>
      </c>
      <c r="CQ695">
        <v>0</v>
      </c>
      <c r="CR695">
        <v>0</v>
      </c>
      <c r="CS695">
        <v>0</v>
      </c>
      <c r="CT695">
        <v>0</v>
      </c>
      <c r="CU695">
        <v>0</v>
      </c>
      <c r="CV695">
        <v>0</v>
      </c>
      <c r="CW695">
        <v>0</v>
      </c>
      <c r="CX695">
        <v>0</v>
      </c>
      <c r="CY695">
        <v>0</v>
      </c>
      <c r="CZ695">
        <v>0</v>
      </c>
      <c r="DA695">
        <v>0</v>
      </c>
      <c r="DB695">
        <v>0</v>
      </c>
      <c r="DC695">
        <v>0</v>
      </c>
      <c r="DD695">
        <v>0</v>
      </c>
      <c r="DE695">
        <v>0</v>
      </c>
      <c r="DF695">
        <v>0</v>
      </c>
      <c r="DG695">
        <v>0</v>
      </c>
      <c r="DH695">
        <v>0</v>
      </c>
      <c r="DI695">
        <v>0</v>
      </c>
      <c r="DJ695">
        <v>0</v>
      </c>
      <c r="DK695">
        <v>0</v>
      </c>
      <c r="DL695">
        <v>0</v>
      </c>
      <c r="DM695">
        <v>0</v>
      </c>
      <c r="DN695">
        <v>0</v>
      </c>
      <c r="DO695">
        <v>0</v>
      </c>
      <c r="DP695">
        <v>0</v>
      </c>
      <c r="DQ695">
        <v>0</v>
      </c>
      <c r="DR695">
        <v>0</v>
      </c>
      <c r="DS695">
        <v>0</v>
      </c>
      <c r="DT695">
        <v>0</v>
      </c>
      <c r="DU695">
        <v>0</v>
      </c>
    </row>
    <row r="696" spans="2:125">
      <c r="B696" s="136">
        <v>687</v>
      </c>
      <c r="C696" s="138">
        <v>1</v>
      </c>
      <c r="D696" s="474">
        <v>2924.5197701102952</v>
      </c>
      <c r="E696" s="127">
        <v>189.96077364956454</v>
      </c>
      <c r="F696" s="447">
        <v>0.47411391935765151</v>
      </c>
      <c r="G696" s="127">
        <v>95.037159477455063</v>
      </c>
      <c r="H696" s="132">
        <v>53.738312689317169</v>
      </c>
      <c r="I696" s="456"/>
      <c r="J696" s="45"/>
      <c r="K696" s="45">
        <v>410</v>
      </c>
      <c r="L696" s="463"/>
      <c r="M696" s="456">
        <v>41.177665710449219</v>
      </c>
      <c r="N696" s="457"/>
      <c r="O696" s="456"/>
      <c r="P696" s="46"/>
      <c r="Q696" s="463">
        <v>57.905490875244141</v>
      </c>
      <c r="R696" s="449"/>
      <c r="S696" s="463"/>
      <c r="T696" s="480"/>
      <c r="U696" s="468"/>
      <c r="V696" s="449"/>
      <c r="W696" s="45">
        <v>1624.3472900390625</v>
      </c>
      <c r="X696" s="463">
        <v>134.94978332519531</v>
      </c>
      <c r="Y696" s="449"/>
      <c r="Z696" s="45"/>
      <c r="AA696" s="468">
        <v>0.46232317041501314</v>
      </c>
      <c r="AB696" s="456"/>
      <c r="AC696" s="46"/>
      <c r="AD696" s="46"/>
      <c r="AE696" s="46"/>
      <c r="AF696" s="46"/>
      <c r="AG696" s="46"/>
      <c r="AH696" s="46"/>
      <c r="AI696" s="457"/>
      <c r="AJ696" s="138"/>
      <c r="AK696" s="745"/>
      <c r="AL696" s="54"/>
      <c r="AM696" s="468"/>
      <c r="AN696" s="449"/>
      <c r="AO696" s="45"/>
      <c r="AP696" s="45"/>
      <c r="AQ696" s="45"/>
      <c r="AR696" s="45"/>
      <c r="AS696" s="45"/>
      <c r="AT696" s="45"/>
      <c r="AU696" s="463"/>
      <c r="AV696" s="449"/>
      <c r="AW696" s="45"/>
      <c r="AX696" s="45"/>
      <c r="AY696" s="45"/>
      <c r="AZ696" s="45"/>
      <c r="BA696" s="45"/>
      <c r="BB696" s="45"/>
      <c r="BC696" s="463"/>
      <c r="BD696" s="456"/>
      <c r="BE696" s="46"/>
      <c r="BF696" s="46"/>
      <c r="BG696" s="46"/>
      <c r="BH696" s="46"/>
      <c r="BI696" s="46"/>
      <c r="BJ696" s="457"/>
      <c r="BK696" s="449">
        <v>0</v>
      </c>
      <c r="BL696" s="45"/>
      <c r="BM696" s="45"/>
      <c r="BN696" s="45"/>
      <c r="BO696" s="45"/>
      <c r="BP696" s="45"/>
      <c r="BQ696" s="45"/>
      <c r="BR696" s="45"/>
      <c r="BS696" s="45"/>
      <c r="BT696" s="45"/>
      <c r="BU696" s="45"/>
      <c r="BV696" s="45"/>
      <c r="BW696" s="45"/>
      <c r="BX696" s="45"/>
      <c r="BY696" s="45"/>
      <c r="BZ696" s="45"/>
      <c r="CA696" s="45"/>
      <c r="CB696" s="45"/>
      <c r="CC696" s="45"/>
      <c r="CD696" s="463"/>
      <c r="CE696">
        <v>0</v>
      </c>
      <c r="CF696">
        <v>0</v>
      </c>
      <c r="CG696">
        <v>0</v>
      </c>
      <c r="CH696">
        <v>0</v>
      </c>
      <c r="CI696">
        <v>0</v>
      </c>
      <c r="CJ696">
        <v>0</v>
      </c>
      <c r="CK696">
        <v>0</v>
      </c>
      <c r="CL696">
        <v>0</v>
      </c>
      <c r="CM696">
        <v>0</v>
      </c>
      <c r="CN696">
        <v>0</v>
      </c>
      <c r="CO696">
        <v>0</v>
      </c>
      <c r="CP696">
        <v>0</v>
      </c>
      <c r="CQ696">
        <v>0</v>
      </c>
      <c r="CR696">
        <v>0</v>
      </c>
      <c r="CS696">
        <v>0</v>
      </c>
      <c r="CT696">
        <v>0</v>
      </c>
      <c r="CU696">
        <v>0</v>
      </c>
      <c r="CV696">
        <v>0</v>
      </c>
      <c r="CW696">
        <v>0</v>
      </c>
      <c r="CX696">
        <v>0</v>
      </c>
      <c r="CY696">
        <v>0</v>
      </c>
      <c r="CZ696">
        <v>0</v>
      </c>
      <c r="DA696">
        <v>0</v>
      </c>
      <c r="DB696">
        <v>0</v>
      </c>
      <c r="DC696">
        <v>0</v>
      </c>
      <c r="DD696">
        <v>0</v>
      </c>
      <c r="DE696">
        <v>0</v>
      </c>
      <c r="DF696">
        <v>0</v>
      </c>
      <c r="DG696">
        <v>0</v>
      </c>
      <c r="DH696">
        <v>0</v>
      </c>
      <c r="DI696">
        <v>0</v>
      </c>
      <c r="DJ696">
        <v>0</v>
      </c>
      <c r="DK696">
        <v>0</v>
      </c>
      <c r="DL696">
        <v>0</v>
      </c>
      <c r="DM696">
        <v>0</v>
      </c>
      <c r="DN696">
        <v>0</v>
      </c>
      <c r="DO696">
        <v>0</v>
      </c>
      <c r="DP696">
        <v>0</v>
      </c>
      <c r="DQ696">
        <v>0</v>
      </c>
      <c r="DR696">
        <v>0</v>
      </c>
      <c r="DS696">
        <v>0</v>
      </c>
      <c r="DT696">
        <v>0</v>
      </c>
      <c r="DU696">
        <v>0</v>
      </c>
    </row>
    <row r="697" spans="2:125">
      <c r="B697" s="136">
        <v>688</v>
      </c>
      <c r="C697" s="138">
        <v>1</v>
      </c>
      <c r="D697" s="474">
        <v>3603.7074627289267</v>
      </c>
      <c r="E697" s="127">
        <v>216.58769933197127</v>
      </c>
      <c r="F697" s="447">
        <v>0.39166283604945756</v>
      </c>
      <c r="G697" s="127">
        <v>145.46110985834943</v>
      </c>
      <c r="H697" s="132">
        <v>52.620821359183793</v>
      </c>
      <c r="I697" s="456"/>
      <c r="J697" s="45"/>
      <c r="K697" s="45">
        <v>560</v>
      </c>
      <c r="L697" s="463"/>
      <c r="M697" s="456">
        <v>33.549747467041016</v>
      </c>
      <c r="N697" s="457"/>
      <c r="O697" s="456"/>
      <c r="P697" s="46"/>
      <c r="Q697" s="463">
        <v>71.353408813476563</v>
      </c>
      <c r="R697" s="449"/>
      <c r="S697" s="463"/>
      <c r="T697" s="480"/>
      <c r="U697" s="468"/>
      <c r="V697" s="449"/>
      <c r="W697" s="45">
        <v>1566.710693359375</v>
      </c>
      <c r="X697" s="463">
        <v>131.35311889648437</v>
      </c>
      <c r="Y697" s="449"/>
      <c r="Z697" s="45"/>
      <c r="AA697" s="468">
        <v>0.38255186989569384</v>
      </c>
      <c r="AB697" s="456"/>
      <c r="AC697" s="46"/>
      <c r="AD697" s="46"/>
      <c r="AE697" s="46"/>
      <c r="AF697" s="46"/>
      <c r="AG697" s="46"/>
      <c r="AH697" s="46"/>
      <c r="AI697" s="457"/>
      <c r="AJ697" s="138"/>
      <c r="AK697" s="745"/>
      <c r="AL697" s="54"/>
      <c r="AM697" s="468"/>
      <c r="AN697" s="449"/>
      <c r="AO697" s="45"/>
      <c r="AP697" s="45"/>
      <c r="AQ697" s="45"/>
      <c r="AR697" s="45"/>
      <c r="AS697" s="45"/>
      <c r="AT697" s="45"/>
      <c r="AU697" s="463"/>
      <c r="AV697" s="449"/>
      <c r="AW697" s="45"/>
      <c r="AX697" s="45"/>
      <c r="AY697" s="45"/>
      <c r="AZ697" s="45"/>
      <c r="BA697" s="45"/>
      <c r="BB697" s="45"/>
      <c r="BC697" s="463"/>
      <c r="BD697" s="456"/>
      <c r="BE697" s="46"/>
      <c r="BF697" s="46"/>
      <c r="BG697" s="46"/>
      <c r="BH697" s="46"/>
      <c r="BI697" s="46"/>
      <c r="BJ697" s="457"/>
      <c r="BK697" s="449">
        <v>0</v>
      </c>
      <c r="BL697" s="45"/>
      <c r="BM697" s="45"/>
      <c r="BN697" s="45"/>
      <c r="BO697" s="45"/>
      <c r="BP697" s="45"/>
      <c r="BQ697" s="45"/>
      <c r="BR697" s="45"/>
      <c r="BS697" s="45"/>
      <c r="BT697" s="45"/>
      <c r="BU697" s="45"/>
      <c r="BV697" s="45"/>
      <c r="BW697" s="45"/>
      <c r="BX697" s="45"/>
      <c r="BY697" s="45"/>
      <c r="BZ697" s="45"/>
      <c r="CA697" s="45"/>
      <c r="CB697" s="45"/>
      <c r="CC697" s="45"/>
      <c r="CD697" s="463"/>
      <c r="CE697">
        <v>0</v>
      </c>
      <c r="CF697">
        <v>0</v>
      </c>
      <c r="CG697">
        <v>0</v>
      </c>
      <c r="CH697">
        <v>0</v>
      </c>
      <c r="CI697">
        <v>0</v>
      </c>
      <c r="CJ697">
        <v>0</v>
      </c>
      <c r="CK697">
        <v>0</v>
      </c>
      <c r="CL697">
        <v>0</v>
      </c>
      <c r="CM697">
        <v>0</v>
      </c>
      <c r="CN697">
        <v>0</v>
      </c>
      <c r="CO697">
        <v>0</v>
      </c>
      <c r="CP697">
        <v>0</v>
      </c>
      <c r="CQ697">
        <v>0</v>
      </c>
      <c r="CR697">
        <v>0</v>
      </c>
      <c r="CS697">
        <v>0</v>
      </c>
      <c r="CT697">
        <v>0</v>
      </c>
      <c r="CU697">
        <v>0</v>
      </c>
      <c r="CV697">
        <v>0</v>
      </c>
      <c r="CW697">
        <v>0</v>
      </c>
      <c r="CX697">
        <v>0</v>
      </c>
      <c r="CY697">
        <v>0</v>
      </c>
      <c r="CZ697">
        <v>0</v>
      </c>
      <c r="DA697">
        <v>0</v>
      </c>
      <c r="DB697">
        <v>0</v>
      </c>
      <c r="DC697">
        <v>0</v>
      </c>
      <c r="DD697">
        <v>0</v>
      </c>
      <c r="DE697">
        <v>0</v>
      </c>
      <c r="DF697">
        <v>0</v>
      </c>
      <c r="DG697">
        <v>0</v>
      </c>
      <c r="DH697">
        <v>0</v>
      </c>
      <c r="DI697">
        <v>0</v>
      </c>
      <c r="DJ697">
        <v>0</v>
      </c>
      <c r="DK697">
        <v>0</v>
      </c>
      <c r="DL697">
        <v>0</v>
      </c>
      <c r="DM697">
        <v>0</v>
      </c>
      <c r="DN697">
        <v>0</v>
      </c>
      <c r="DO697">
        <v>0</v>
      </c>
      <c r="DP697">
        <v>0</v>
      </c>
      <c r="DQ697">
        <v>0</v>
      </c>
      <c r="DR697">
        <v>0</v>
      </c>
      <c r="DS697">
        <v>0</v>
      </c>
      <c r="DT697">
        <v>0</v>
      </c>
      <c r="DU697">
        <v>0</v>
      </c>
    </row>
    <row r="698" spans="2:125">
      <c r="B698" s="136">
        <v>689</v>
      </c>
      <c r="C698" s="138">
        <v>1</v>
      </c>
      <c r="D698" s="474">
        <v>2899.7566248017793</v>
      </c>
      <c r="E698" s="127">
        <v>243.75753069253201</v>
      </c>
      <c r="F698" s="447">
        <v>0.50178835239262765</v>
      </c>
      <c r="G698" s="127">
        <v>117.0963662253109</v>
      </c>
      <c r="H698" s="132">
        <v>46.025288512521421</v>
      </c>
      <c r="I698" s="456"/>
      <c r="J698" s="45"/>
      <c r="K698" s="45">
        <v>460</v>
      </c>
      <c r="L698" s="463"/>
      <c r="M698" s="456">
        <v>53.717853546142578</v>
      </c>
      <c r="N698" s="457"/>
      <c r="O698" s="456"/>
      <c r="P698" s="46"/>
      <c r="Q698" s="463">
        <v>57.415180206298828</v>
      </c>
      <c r="R698" s="449"/>
      <c r="S698" s="463"/>
      <c r="T698" s="480"/>
      <c r="U698" s="468"/>
      <c r="V698" s="449"/>
      <c r="W698" s="45">
        <v>2086.220458984375</v>
      </c>
      <c r="X698" s="463">
        <v>168.74806213378906</v>
      </c>
      <c r="Y698" s="449"/>
      <c r="Z698" s="45"/>
      <c r="AA698" s="468">
        <v>0.48970603943291596</v>
      </c>
      <c r="AB698" s="456"/>
      <c r="AC698" s="46"/>
      <c r="AD698" s="46"/>
      <c r="AE698" s="46"/>
      <c r="AF698" s="46"/>
      <c r="AG698" s="46"/>
      <c r="AH698" s="46"/>
      <c r="AI698" s="457"/>
      <c r="AJ698" s="138"/>
      <c r="AK698" s="745"/>
      <c r="AL698" s="54"/>
      <c r="AM698" s="468"/>
      <c r="AN698" s="449"/>
      <c r="AO698" s="45"/>
      <c r="AP698" s="45"/>
      <c r="AQ698" s="45"/>
      <c r="AR698" s="45"/>
      <c r="AS698" s="45"/>
      <c r="AT698" s="45"/>
      <c r="AU698" s="463"/>
      <c r="AV698" s="449"/>
      <c r="AW698" s="45"/>
      <c r="AX698" s="45"/>
      <c r="AY698" s="45"/>
      <c r="AZ698" s="45"/>
      <c r="BA698" s="45"/>
      <c r="BB698" s="45"/>
      <c r="BC698" s="463"/>
      <c r="BD698" s="456"/>
      <c r="BE698" s="46"/>
      <c r="BF698" s="46"/>
      <c r="BG698" s="46"/>
      <c r="BH698" s="46"/>
      <c r="BI698" s="46"/>
      <c r="BJ698" s="457"/>
      <c r="BK698" s="449">
        <v>0</v>
      </c>
      <c r="BL698" s="45"/>
      <c r="BM698" s="45"/>
      <c r="BN698" s="45"/>
      <c r="BO698" s="45"/>
      <c r="BP698" s="45"/>
      <c r="BQ698" s="45"/>
      <c r="BR698" s="45"/>
      <c r="BS698" s="45"/>
      <c r="BT698" s="45"/>
      <c r="BU698" s="45"/>
      <c r="BV698" s="45"/>
      <c r="BW698" s="45"/>
      <c r="BX698" s="45"/>
      <c r="BY698" s="45"/>
      <c r="BZ698" s="45"/>
      <c r="CA698" s="45"/>
      <c r="CB698" s="45"/>
      <c r="CC698" s="45"/>
      <c r="CD698" s="463"/>
      <c r="CE698">
        <v>0</v>
      </c>
      <c r="CF698">
        <v>0</v>
      </c>
      <c r="CG698">
        <v>0</v>
      </c>
      <c r="CH698">
        <v>0</v>
      </c>
      <c r="CI698">
        <v>0</v>
      </c>
      <c r="CJ698">
        <v>0</v>
      </c>
      <c r="CK698">
        <v>0</v>
      </c>
      <c r="CL698">
        <v>0</v>
      </c>
      <c r="CM698">
        <v>0</v>
      </c>
      <c r="CN698">
        <v>0</v>
      </c>
      <c r="CO698">
        <v>0</v>
      </c>
      <c r="CP698">
        <v>0</v>
      </c>
      <c r="CQ698">
        <v>0</v>
      </c>
      <c r="CR698">
        <v>0</v>
      </c>
      <c r="CS698">
        <v>0</v>
      </c>
      <c r="CT698">
        <v>0</v>
      </c>
      <c r="CU698">
        <v>0</v>
      </c>
      <c r="CV698">
        <v>0</v>
      </c>
      <c r="CW698">
        <v>0</v>
      </c>
      <c r="CX698">
        <v>0</v>
      </c>
      <c r="CY698">
        <v>0</v>
      </c>
      <c r="CZ698">
        <v>0</v>
      </c>
      <c r="DA698">
        <v>0</v>
      </c>
      <c r="DB698">
        <v>0</v>
      </c>
      <c r="DC698">
        <v>0</v>
      </c>
      <c r="DD698">
        <v>0</v>
      </c>
      <c r="DE698">
        <v>0</v>
      </c>
      <c r="DF698">
        <v>0</v>
      </c>
      <c r="DG698">
        <v>0</v>
      </c>
      <c r="DH698">
        <v>0</v>
      </c>
      <c r="DI698">
        <v>0</v>
      </c>
      <c r="DJ698">
        <v>0</v>
      </c>
      <c r="DK698">
        <v>0</v>
      </c>
      <c r="DL698">
        <v>0</v>
      </c>
      <c r="DM698">
        <v>0</v>
      </c>
      <c r="DN698">
        <v>0</v>
      </c>
      <c r="DO698">
        <v>0</v>
      </c>
      <c r="DP698">
        <v>0</v>
      </c>
      <c r="DQ698">
        <v>0</v>
      </c>
      <c r="DR698">
        <v>0</v>
      </c>
      <c r="DS698">
        <v>0</v>
      </c>
      <c r="DT698">
        <v>0</v>
      </c>
      <c r="DU698">
        <v>0</v>
      </c>
    </row>
    <row r="699" spans="2:125">
      <c r="B699" s="136">
        <v>690</v>
      </c>
      <c r="C699" s="138">
        <v>1</v>
      </c>
      <c r="D699" s="474">
        <v>3572.8729475704463</v>
      </c>
      <c r="E699" s="127">
        <v>245.53142446104249</v>
      </c>
      <c r="F699" s="447">
        <v>0.44633058576589918</v>
      </c>
      <c r="G699" s="127">
        <v>116.09281472568732</v>
      </c>
      <c r="H699" s="132">
        <v>59.617553572702413</v>
      </c>
      <c r="I699" s="456"/>
      <c r="J699" s="45"/>
      <c r="K699" s="45">
        <v>500</v>
      </c>
      <c r="L699" s="463"/>
      <c r="M699" s="456">
        <v>37.800624847412109</v>
      </c>
      <c r="N699" s="457"/>
      <c r="O699" s="456"/>
      <c r="P699" s="46"/>
      <c r="Q699" s="463">
        <v>70.742889404296875</v>
      </c>
      <c r="R699" s="449"/>
      <c r="S699" s="463"/>
      <c r="T699" s="480"/>
      <c r="U699" s="468"/>
      <c r="V699" s="449"/>
      <c r="W699" s="45">
        <v>1708.97705078125</v>
      </c>
      <c r="X699" s="463">
        <v>141.45977783203125</v>
      </c>
      <c r="Y699" s="449"/>
      <c r="Z699" s="45"/>
      <c r="AA699" s="468">
        <v>0.43683497475113081</v>
      </c>
      <c r="AB699" s="456"/>
      <c r="AC699" s="46"/>
      <c r="AD699" s="46"/>
      <c r="AE699" s="46"/>
      <c r="AF699" s="46"/>
      <c r="AG699" s="46"/>
      <c r="AH699" s="46"/>
      <c r="AI699" s="457"/>
      <c r="AJ699" s="138"/>
      <c r="AK699" s="745"/>
      <c r="AL699" s="54"/>
      <c r="AM699" s="468"/>
      <c r="AN699" s="449"/>
      <c r="AO699" s="45"/>
      <c r="AP699" s="45"/>
      <c r="AQ699" s="45"/>
      <c r="AR699" s="45"/>
      <c r="AS699" s="45"/>
      <c r="AT699" s="45"/>
      <c r="AU699" s="463"/>
      <c r="AV699" s="449"/>
      <c r="AW699" s="45"/>
      <c r="AX699" s="45"/>
      <c r="AY699" s="45"/>
      <c r="AZ699" s="45"/>
      <c r="BA699" s="45"/>
      <c r="BB699" s="45"/>
      <c r="BC699" s="463"/>
      <c r="BD699" s="456"/>
      <c r="BE699" s="46"/>
      <c r="BF699" s="46"/>
      <c r="BG699" s="46"/>
      <c r="BH699" s="46"/>
      <c r="BI699" s="46"/>
      <c r="BJ699" s="457"/>
      <c r="BK699" s="449">
        <v>0</v>
      </c>
      <c r="BL699" s="45"/>
      <c r="BM699" s="45"/>
      <c r="BN699" s="45"/>
      <c r="BO699" s="45"/>
      <c r="BP699" s="45"/>
      <c r="BQ699" s="45"/>
      <c r="BR699" s="45"/>
      <c r="BS699" s="45"/>
      <c r="BT699" s="45"/>
      <c r="BU699" s="45"/>
      <c r="BV699" s="45"/>
      <c r="BW699" s="45"/>
      <c r="BX699" s="45"/>
      <c r="BY699" s="45"/>
      <c r="BZ699" s="45"/>
      <c r="CA699" s="45"/>
      <c r="CB699" s="45"/>
      <c r="CC699" s="45"/>
      <c r="CD699" s="463"/>
      <c r="CE699">
        <v>0</v>
      </c>
      <c r="CF699">
        <v>0</v>
      </c>
      <c r="CG699">
        <v>0</v>
      </c>
      <c r="CH699">
        <v>0</v>
      </c>
      <c r="CI699">
        <v>0</v>
      </c>
      <c r="CJ699">
        <v>0</v>
      </c>
      <c r="CK699">
        <v>0</v>
      </c>
      <c r="CL699">
        <v>0</v>
      </c>
      <c r="CM699">
        <v>0</v>
      </c>
      <c r="CN699">
        <v>0</v>
      </c>
      <c r="CO699">
        <v>0</v>
      </c>
      <c r="CP699">
        <v>0</v>
      </c>
      <c r="CQ699">
        <v>0</v>
      </c>
      <c r="CR699">
        <v>0</v>
      </c>
      <c r="CS699">
        <v>0</v>
      </c>
      <c r="CT699">
        <v>0</v>
      </c>
      <c r="CU699">
        <v>0</v>
      </c>
      <c r="CV699">
        <v>0</v>
      </c>
      <c r="CW699">
        <v>0</v>
      </c>
      <c r="CX699">
        <v>0</v>
      </c>
      <c r="CY699">
        <v>0</v>
      </c>
      <c r="CZ699">
        <v>0</v>
      </c>
      <c r="DA699">
        <v>0</v>
      </c>
      <c r="DB699">
        <v>0</v>
      </c>
      <c r="DC699">
        <v>0</v>
      </c>
      <c r="DD699">
        <v>0</v>
      </c>
      <c r="DE699">
        <v>0</v>
      </c>
      <c r="DF699">
        <v>0</v>
      </c>
      <c r="DG699">
        <v>0</v>
      </c>
      <c r="DH699">
        <v>0</v>
      </c>
      <c r="DI699">
        <v>0</v>
      </c>
      <c r="DJ699">
        <v>0</v>
      </c>
      <c r="DK699">
        <v>0</v>
      </c>
      <c r="DL699">
        <v>0</v>
      </c>
      <c r="DM699">
        <v>0</v>
      </c>
      <c r="DN699">
        <v>0</v>
      </c>
      <c r="DO699">
        <v>0</v>
      </c>
      <c r="DP699">
        <v>0</v>
      </c>
      <c r="DQ699">
        <v>0</v>
      </c>
      <c r="DR699">
        <v>0</v>
      </c>
      <c r="DS699">
        <v>0</v>
      </c>
      <c r="DT699">
        <v>0</v>
      </c>
      <c r="DU699">
        <v>0</v>
      </c>
    </row>
    <row r="700" spans="2:125">
      <c r="B700" s="136">
        <v>691</v>
      </c>
      <c r="C700" s="138">
        <v>1</v>
      </c>
      <c r="D700" s="474">
        <v>2703.8978067453236</v>
      </c>
      <c r="E700" s="127">
        <v>238.23554329206462</v>
      </c>
      <c r="F700" s="447">
        <v>0.43508940251818545</v>
      </c>
      <c r="G700" s="127">
        <v>109.01028545328649</v>
      </c>
      <c r="H700" s="132">
        <v>43.891519183750972</v>
      </c>
      <c r="I700" s="456"/>
      <c r="J700" s="45"/>
      <c r="K700" s="45">
        <v>420</v>
      </c>
      <c r="L700" s="463"/>
      <c r="M700" s="456">
        <v>37.911399841308594</v>
      </c>
      <c r="N700" s="457"/>
      <c r="O700" s="456"/>
      <c r="P700" s="46"/>
      <c r="Q700" s="463">
        <v>53.537174224853516</v>
      </c>
      <c r="R700" s="449"/>
      <c r="S700" s="463"/>
      <c r="T700" s="480"/>
      <c r="U700" s="468"/>
      <c r="V700" s="449"/>
      <c r="W700" s="45">
        <v>1435.124267578125</v>
      </c>
      <c r="X700" s="463">
        <v>121.23038482666016</v>
      </c>
      <c r="Y700" s="449"/>
      <c r="Z700" s="45"/>
      <c r="AA700" s="468">
        <v>0.4226252524433235</v>
      </c>
      <c r="AB700" s="456"/>
      <c r="AC700" s="46"/>
      <c r="AD700" s="46"/>
      <c r="AE700" s="46"/>
      <c r="AF700" s="46"/>
      <c r="AG700" s="46"/>
      <c r="AH700" s="46"/>
      <c r="AI700" s="457"/>
      <c r="AJ700" s="138"/>
      <c r="AK700" s="745"/>
      <c r="AL700" s="54"/>
      <c r="AM700" s="468"/>
      <c r="AN700" s="449"/>
      <c r="AO700" s="45"/>
      <c r="AP700" s="45"/>
      <c r="AQ700" s="45"/>
      <c r="AR700" s="45"/>
      <c r="AS700" s="45"/>
      <c r="AT700" s="45"/>
      <c r="AU700" s="463"/>
      <c r="AV700" s="449"/>
      <c r="AW700" s="45"/>
      <c r="AX700" s="45"/>
      <c r="AY700" s="45"/>
      <c r="AZ700" s="45"/>
      <c r="BA700" s="45"/>
      <c r="BB700" s="45"/>
      <c r="BC700" s="463"/>
      <c r="BD700" s="456"/>
      <c r="BE700" s="46"/>
      <c r="BF700" s="46"/>
      <c r="BG700" s="46"/>
      <c r="BH700" s="46"/>
      <c r="BI700" s="46"/>
      <c r="BJ700" s="457"/>
      <c r="BK700" s="449">
        <v>0</v>
      </c>
      <c r="BL700" s="45"/>
      <c r="BM700" s="45"/>
      <c r="BN700" s="45"/>
      <c r="BO700" s="45"/>
      <c r="BP700" s="45"/>
      <c r="BQ700" s="45"/>
      <c r="BR700" s="45"/>
      <c r="BS700" s="45"/>
      <c r="BT700" s="45"/>
      <c r="BU700" s="45"/>
      <c r="BV700" s="45"/>
      <c r="BW700" s="45"/>
      <c r="BX700" s="45"/>
      <c r="BY700" s="45"/>
      <c r="BZ700" s="45"/>
      <c r="CA700" s="45"/>
      <c r="CB700" s="45"/>
      <c r="CC700" s="45"/>
      <c r="CD700" s="463"/>
      <c r="CE700">
        <v>0</v>
      </c>
      <c r="CF700">
        <v>0</v>
      </c>
      <c r="CG700">
        <v>0</v>
      </c>
      <c r="CH700">
        <v>0</v>
      </c>
      <c r="CI700">
        <v>0</v>
      </c>
      <c r="CJ700">
        <v>0</v>
      </c>
      <c r="CK700">
        <v>0</v>
      </c>
      <c r="CL700">
        <v>0</v>
      </c>
      <c r="CM700">
        <v>0</v>
      </c>
      <c r="CN700">
        <v>0</v>
      </c>
      <c r="CO700">
        <v>0</v>
      </c>
      <c r="CP700">
        <v>0</v>
      </c>
      <c r="CQ700">
        <v>0</v>
      </c>
      <c r="CR700">
        <v>0</v>
      </c>
      <c r="CS700">
        <v>0</v>
      </c>
      <c r="CT700">
        <v>0</v>
      </c>
      <c r="CU700">
        <v>0</v>
      </c>
      <c r="CV700">
        <v>0</v>
      </c>
      <c r="CW700">
        <v>0</v>
      </c>
      <c r="CX700">
        <v>0</v>
      </c>
      <c r="CY700">
        <v>0</v>
      </c>
      <c r="CZ700">
        <v>0</v>
      </c>
      <c r="DA700">
        <v>0</v>
      </c>
      <c r="DB700">
        <v>0</v>
      </c>
      <c r="DC700">
        <v>0</v>
      </c>
      <c r="DD700">
        <v>0</v>
      </c>
      <c r="DE700">
        <v>0</v>
      </c>
      <c r="DF700">
        <v>0</v>
      </c>
      <c r="DG700">
        <v>0</v>
      </c>
      <c r="DH700">
        <v>0</v>
      </c>
      <c r="DI700">
        <v>0</v>
      </c>
      <c r="DJ700">
        <v>0</v>
      </c>
      <c r="DK700">
        <v>0</v>
      </c>
      <c r="DL700">
        <v>0</v>
      </c>
      <c r="DM700">
        <v>0</v>
      </c>
      <c r="DN700">
        <v>0</v>
      </c>
      <c r="DO700">
        <v>0</v>
      </c>
      <c r="DP700">
        <v>0</v>
      </c>
      <c r="DQ700">
        <v>0</v>
      </c>
      <c r="DR700">
        <v>0</v>
      </c>
      <c r="DS700">
        <v>0</v>
      </c>
      <c r="DT700">
        <v>0</v>
      </c>
      <c r="DU700">
        <v>0</v>
      </c>
    </row>
    <row r="701" spans="2:125">
      <c r="B701" s="136">
        <v>692</v>
      </c>
      <c r="C701" s="138">
        <v>1</v>
      </c>
      <c r="D701" s="474">
        <v>2674.6391364097944</v>
      </c>
      <c r="E701" s="127">
        <v>250.0437714461718</v>
      </c>
      <c r="F701" s="447">
        <v>0.46263601690340977</v>
      </c>
      <c r="G701" s="127">
        <v>92.477302060263099</v>
      </c>
      <c r="H701" s="132">
        <v>57.416795037948127</v>
      </c>
      <c r="I701" s="456"/>
      <c r="J701" s="45"/>
      <c r="K701" s="45">
        <v>410</v>
      </c>
      <c r="L701" s="463"/>
      <c r="M701" s="456">
        <v>37.593082427978516</v>
      </c>
      <c r="N701" s="457"/>
      <c r="O701" s="456"/>
      <c r="P701" s="46"/>
      <c r="Q701" s="463">
        <v>61.224601745605469</v>
      </c>
      <c r="R701" s="449"/>
      <c r="S701" s="463"/>
      <c r="T701" s="480"/>
      <c r="U701" s="468"/>
      <c r="V701" s="449"/>
      <c r="W701" s="45">
        <v>1541.46044921875</v>
      </c>
      <c r="X701" s="463">
        <v>128.92335510253906</v>
      </c>
      <c r="Y701" s="449"/>
      <c r="Z701" s="45"/>
      <c r="AA701" s="468">
        <v>0.44982953401314363</v>
      </c>
      <c r="AB701" s="456"/>
      <c r="AC701" s="46"/>
      <c r="AD701" s="46"/>
      <c r="AE701" s="46"/>
      <c r="AF701" s="46"/>
      <c r="AG701" s="46"/>
      <c r="AH701" s="46"/>
      <c r="AI701" s="457"/>
      <c r="AJ701" s="138"/>
      <c r="AK701" s="745"/>
      <c r="AL701" s="54"/>
      <c r="AM701" s="468"/>
      <c r="AN701" s="449"/>
      <c r="AO701" s="45"/>
      <c r="AP701" s="45"/>
      <c r="AQ701" s="45"/>
      <c r="AR701" s="45"/>
      <c r="AS701" s="45"/>
      <c r="AT701" s="45"/>
      <c r="AU701" s="463"/>
      <c r="AV701" s="449"/>
      <c r="AW701" s="45"/>
      <c r="AX701" s="45"/>
      <c r="AY701" s="45"/>
      <c r="AZ701" s="45"/>
      <c r="BA701" s="45"/>
      <c r="BB701" s="45"/>
      <c r="BC701" s="463"/>
      <c r="BD701" s="456"/>
      <c r="BE701" s="46"/>
      <c r="BF701" s="46"/>
      <c r="BG701" s="46"/>
      <c r="BH701" s="46"/>
      <c r="BI701" s="46"/>
      <c r="BJ701" s="457"/>
      <c r="BK701" s="449">
        <v>0</v>
      </c>
      <c r="BL701" s="45"/>
      <c r="BM701" s="45"/>
      <c r="BN701" s="45"/>
      <c r="BO701" s="45"/>
      <c r="BP701" s="45"/>
      <c r="BQ701" s="45"/>
      <c r="BR701" s="45"/>
      <c r="BS701" s="45"/>
      <c r="BT701" s="45"/>
      <c r="BU701" s="45"/>
      <c r="BV701" s="45"/>
      <c r="BW701" s="45"/>
      <c r="BX701" s="45"/>
      <c r="BY701" s="45"/>
      <c r="BZ701" s="45"/>
      <c r="CA701" s="45"/>
      <c r="CB701" s="45"/>
      <c r="CC701" s="45"/>
      <c r="CD701" s="463"/>
      <c r="CE701">
        <v>0</v>
      </c>
      <c r="CF701">
        <v>0</v>
      </c>
      <c r="CG701">
        <v>0</v>
      </c>
      <c r="CH701">
        <v>0</v>
      </c>
      <c r="CI701">
        <v>0</v>
      </c>
      <c r="CJ701">
        <v>0</v>
      </c>
      <c r="CK701">
        <v>0</v>
      </c>
      <c r="CL701">
        <v>0</v>
      </c>
      <c r="CM701">
        <v>0</v>
      </c>
      <c r="CN701">
        <v>0</v>
      </c>
      <c r="CO701">
        <v>0</v>
      </c>
      <c r="CP701">
        <v>0</v>
      </c>
      <c r="CQ701">
        <v>0</v>
      </c>
      <c r="CR701">
        <v>0</v>
      </c>
      <c r="CS701">
        <v>0</v>
      </c>
      <c r="CT701">
        <v>0</v>
      </c>
      <c r="CU701">
        <v>0</v>
      </c>
      <c r="CV701">
        <v>0</v>
      </c>
      <c r="CW701">
        <v>0</v>
      </c>
      <c r="CX701">
        <v>0</v>
      </c>
      <c r="CY701">
        <v>0</v>
      </c>
      <c r="CZ701">
        <v>0</v>
      </c>
      <c r="DA701">
        <v>0</v>
      </c>
      <c r="DB701">
        <v>0</v>
      </c>
      <c r="DC701">
        <v>0</v>
      </c>
      <c r="DD701">
        <v>0</v>
      </c>
      <c r="DE701">
        <v>0</v>
      </c>
      <c r="DF701">
        <v>0</v>
      </c>
      <c r="DG701">
        <v>0</v>
      </c>
      <c r="DH701">
        <v>0</v>
      </c>
      <c r="DI701">
        <v>0</v>
      </c>
      <c r="DJ701">
        <v>0</v>
      </c>
      <c r="DK701">
        <v>0</v>
      </c>
      <c r="DL701">
        <v>0</v>
      </c>
      <c r="DM701">
        <v>0</v>
      </c>
      <c r="DN701">
        <v>0</v>
      </c>
      <c r="DO701">
        <v>0</v>
      </c>
      <c r="DP701">
        <v>0</v>
      </c>
      <c r="DQ701">
        <v>0</v>
      </c>
      <c r="DR701">
        <v>0</v>
      </c>
      <c r="DS701">
        <v>0</v>
      </c>
      <c r="DT701">
        <v>0</v>
      </c>
      <c r="DU701">
        <v>0</v>
      </c>
    </row>
    <row r="702" spans="2:125">
      <c r="B702" s="136">
        <v>693</v>
      </c>
      <c r="C702" s="138">
        <v>1</v>
      </c>
      <c r="D702" s="474">
        <v>3844.3281088750637</v>
      </c>
      <c r="E702" s="127">
        <v>260.32613448350901</v>
      </c>
      <c r="F702" s="447">
        <v>0.45532312614370724</v>
      </c>
      <c r="G702" s="127">
        <v>122.05929553512318</v>
      </c>
      <c r="H702" s="132">
        <v>62.364709176618824</v>
      </c>
      <c r="I702" s="456"/>
      <c r="J702" s="45"/>
      <c r="K702" s="45">
        <v>530</v>
      </c>
      <c r="L702" s="463"/>
      <c r="M702" s="456">
        <v>39.568115234375</v>
      </c>
      <c r="N702" s="457"/>
      <c r="O702" s="456"/>
      <c r="P702" s="46"/>
      <c r="Q702" s="463">
        <v>76.117698669433594</v>
      </c>
      <c r="R702" s="449"/>
      <c r="S702" s="463"/>
      <c r="T702" s="480"/>
      <c r="U702" s="468"/>
      <c r="V702" s="449"/>
      <c r="W702" s="45">
        <v>1862.77197265625</v>
      </c>
      <c r="X702" s="463">
        <v>152.76943969726562</v>
      </c>
      <c r="Y702" s="449"/>
      <c r="Z702" s="45"/>
      <c r="AA702" s="468">
        <v>0.44645123447448798</v>
      </c>
      <c r="AB702" s="456"/>
      <c r="AC702" s="46"/>
      <c r="AD702" s="46"/>
      <c r="AE702" s="46"/>
      <c r="AF702" s="46"/>
      <c r="AG702" s="46"/>
      <c r="AH702" s="46"/>
      <c r="AI702" s="457"/>
      <c r="AJ702" s="138"/>
      <c r="AK702" s="745"/>
      <c r="AL702" s="54"/>
      <c r="AM702" s="468"/>
      <c r="AN702" s="449"/>
      <c r="AO702" s="45"/>
      <c r="AP702" s="45"/>
      <c r="AQ702" s="45"/>
      <c r="AR702" s="45"/>
      <c r="AS702" s="45"/>
      <c r="AT702" s="45"/>
      <c r="AU702" s="463"/>
      <c r="AV702" s="449"/>
      <c r="AW702" s="45"/>
      <c r="AX702" s="45"/>
      <c r="AY702" s="45"/>
      <c r="AZ702" s="45"/>
      <c r="BA702" s="45"/>
      <c r="BB702" s="45"/>
      <c r="BC702" s="463"/>
      <c r="BD702" s="456"/>
      <c r="BE702" s="46"/>
      <c r="BF702" s="46"/>
      <c r="BG702" s="46"/>
      <c r="BH702" s="46"/>
      <c r="BI702" s="46"/>
      <c r="BJ702" s="457"/>
      <c r="BK702" s="449">
        <v>0</v>
      </c>
      <c r="BL702" s="45"/>
      <c r="BM702" s="45"/>
      <c r="BN702" s="45"/>
      <c r="BO702" s="45"/>
      <c r="BP702" s="45"/>
      <c r="BQ702" s="45"/>
      <c r="BR702" s="45"/>
      <c r="BS702" s="45"/>
      <c r="BT702" s="45"/>
      <c r="BU702" s="45"/>
      <c r="BV702" s="45"/>
      <c r="BW702" s="45"/>
      <c r="BX702" s="45"/>
      <c r="BY702" s="45"/>
      <c r="BZ702" s="45"/>
      <c r="CA702" s="45"/>
      <c r="CB702" s="45"/>
      <c r="CC702" s="45"/>
      <c r="CD702" s="463"/>
      <c r="CE702">
        <v>0</v>
      </c>
      <c r="CF702">
        <v>0</v>
      </c>
      <c r="CG702">
        <v>0</v>
      </c>
      <c r="CH702">
        <v>0</v>
      </c>
      <c r="CI702">
        <v>0</v>
      </c>
      <c r="CJ702">
        <v>0</v>
      </c>
      <c r="CK702">
        <v>0</v>
      </c>
      <c r="CL702">
        <v>0</v>
      </c>
      <c r="CM702">
        <v>0</v>
      </c>
      <c r="CN702">
        <v>0</v>
      </c>
      <c r="CO702">
        <v>0</v>
      </c>
      <c r="CP702">
        <v>0</v>
      </c>
      <c r="CQ702">
        <v>0</v>
      </c>
      <c r="CR702">
        <v>0</v>
      </c>
      <c r="CS702">
        <v>0</v>
      </c>
      <c r="CT702">
        <v>0</v>
      </c>
      <c r="CU702">
        <v>0</v>
      </c>
      <c r="CV702">
        <v>0</v>
      </c>
      <c r="CW702">
        <v>0</v>
      </c>
      <c r="CX702">
        <v>0</v>
      </c>
      <c r="CY702">
        <v>0</v>
      </c>
      <c r="CZ702">
        <v>0</v>
      </c>
      <c r="DA702">
        <v>0</v>
      </c>
      <c r="DB702">
        <v>0</v>
      </c>
      <c r="DC702">
        <v>0</v>
      </c>
      <c r="DD702">
        <v>0</v>
      </c>
      <c r="DE702">
        <v>0</v>
      </c>
      <c r="DF702">
        <v>0</v>
      </c>
      <c r="DG702">
        <v>0</v>
      </c>
      <c r="DH702">
        <v>0</v>
      </c>
      <c r="DI702">
        <v>0</v>
      </c>
      <c r="DJ702">
        <v>0</v>
      </c>
      <c r="DK702">
        <v>0</v>
      </c>
      <c r="DL702">
        <v>0</v>
      </c>
      <c r="DM702">
        <v>0</v>
      </c>
      <c r="DN702">
        <v>0</v>
      </c>
      <c r="DO702">
        <v>0</v>
      </c>
      <c r="DP702">
        <v>0</v>
      </c>
      <c r="DQ702">
        <v>0</v>
      </c>
      <c r="DR702">
        <v>0</v>
      </c>
      <c r="DS702">
        <v>0</v>
      </c>
      <c r="DT702">
        <v>0</v>
      </c>
      <c r="DU702">
        <v>0</v>
      </c>
    </row>
    <row r="703" spans="2:125">
      <c r="B703" s="136">
        <v>694</v>
      </c>
      <c r="C703" s="138">
        <v>1</v>
      </c>
      <c r="D703" s="474">
        <v>3163.9152452781545</v>
      </c>
      <c r="E703" s="127">
        <v>277.16997737238734</v>
      </c>
      <c r="F703" s="447">
        <v>0.41171441604063425</v>
      </c>
      <c r="G703" s="127">
        <v>107.11387376428351</v>
      </c>
      <c r="H703" s="132">
        <v>54.923024719852293</v>
      </c>
      <c r="I703" s="456"/>
      <c r="J703" s="45"/>
      <c r="K703" s="45">
        <v>440</v>
      </c>
      <c r="L703" s="463"/>
      <c r="M703" s="456">
        <v>32.152328491210937</v>
      </c>
      <c r="N703" s="457"/>
      <c r="O703" s="456"/>
      <c r="P703" s="46"/>
      <c r="Q703" s="463">
        <v>62.645523071289063</v>
      </c>
      <c r="R703" s="449"/>
      <c r="S703" s="463"/>
      <c r="T703" s="480"/>
      <c r="U703" s="468"/>
      <c r="V703" s="449"/>
      <c r="W703" s="45">
        <v>1366.0260009765625</v>
      </c>
      <c r="X703" s="463">
        <v>116.28960418701172</v>
      </c>
      <c r="Y703" s="449"/>
      <c r="Z703" s="45"/>
      <c r="AA703" s="468">
        <v>0.40121025087046674</v>
      </c>
      <c r="AB703" s="456"/>
      <c r="AC703" s="46"/>
      <c r="AD703" s="46"/>
      <c r="AE703" s="46"/>
      <c r="AF703" s="46"/>
      <c r="AG703" s="46"/>
      <c r="AH703" s="46"/>
      <c r="AI703" s="457"/>
      <c r="AJ703" s="138"/>
      <c r="AK703" s="745"/>
      <c r="AL703" s="54"/>
      <c r="AM703" s="468"/>
      <c r="AN703" s="449"/>
      <c r="AO703" s="45"/>
      <c r="AP703" s="45"/>
      <c r="AQ703" s="45"/>
      <c r="AR703" s="45"/>
      <c r="AS703" s="45"/>
      <c r="AT703" s="45"/>
      <c r="AU703" s="463"/>
      <c r="AV703" s="449"/>
      <c r="AW703" s="45"/>
      <c r="AX703" s="45"/>
      <c r="AY703" s="45"/>
      <c r="AZ703" s="45"/>
      <c r="BA703" s="45"/>
      <c r="BB703" s="45"/>
      <c r="BC703" s="463"/>
      <c r="BD703" s="456"/>
      <c r="BE703" s="46"/>
      <c r="BF703" s="46"/>
      <c r="BG703" s="46"/>
      <c r="BH703" s="46"/>
      <c r="BI703" s="46"/>
      <c r="BJ703" s="457"/>
      <c r="BK703" s="449">
        <v>0</v>
      </c>
      <c r="BL703" s="45"/>
      <c r="BM703" s="45"/>
      <c r="BN703" s="45"/>
      <c r="BO703" s="45"/>
      <c r="BP703" s="45"/>
      <c r="BQ703" s="45"/>
      <c r="BR703" s="45"/>
      <c r="BS703" s="45"/>
      <c r="BT703" s="45"/>
      <c r="BU703" s="45"/>
      <c r="BV703" s="45"/>
      <c r="BW703" s="45"/>
      <c r="BX703" s="45"/>
      <c r="BY703" s="45"/>
      <c r="BZ703" s="45"/>
      <c r="CA703" s="45"/>
      <c r="CB703" s="45"/>
      <c r="CC703" s="45"/>
      <c r="CD703" s="463"/>
      <c r="CE703">
        <v>0</v>
      </c>
      <c r="CF703">
        <v>0</v>
      </c>
      <c r="CG703">
        <v>0</v>
      </c>
      <c r="CH703">
        <v>0</v>
      </c>
      <c r="CI703">
        <v>0</v>
      </c>
      <c r="CJ703">
        <v>0</v>
      </c>
      <c r="CK703">
        <v>0</v>
      </c>
      <c r="CL703">
        <v>0</v>
      </c>
      <c r="CM703">
        <v>0</v>
      </c>
      <c r="CN703">
        <v>0</v>
      </c>
      <c r="CO703">
        <v>0</v>
      </c>
      <c r="CP703">
        <v>0</v>
      </c>
      <c r="CQ703">
        <v>0</v>
      </c>
      <c r="CR703">
        <v>0</v>
      </c>
      <c r="CS703">
        <v>0</v>
      </c>
      <c r="CT703">
        <v>0</v>
      </c>
      <c r="CU703">
        <v>0</v>
      </c>
      <c r="CV703">
        <v>0</v>
      </c>
      <c r="CW703">
        <v>0</v>
      </c>
      <c r="CX703">
        <v>0</v>
      </c>
      <c r="CY703">
        <v>0</v>
      </c>
      <c r="CZ703">
        <v>0</v>
      </c>
      <c r="DA703">
        <v>0</v>
      </c>
      <c r="DB703">
        <v>0</v>
      </c>
      <c r="DC703">
        <v>0</v>
      </c>
      <c r="DD703">
        <v>0</v>
      </c>
      <c r="DE703">
        <v>0</v>
      </c>
      <c r="DF703">
        <v>0</v>
      </c>
      <c r="DG703">
        <v>0</v>
      </c>
      <c r="DH703">
        <v>0</v>
      </c>
      <c r="DI703">
        <v>0</v>
      </c>
      <c r="DJ703">
        <v>0</v>
      </c>
      <c r="DK703">
        <v>0</v>
      </c>
      <c r="DL703">
        <v>0</v>
      </c>
      <c r="DM703">
        <v>0</v>
      </c>
      <c r="DN703">
        <v>0</v>
      </c>
      <c r="DO703">
        <v>0</v>
      </c>
      <c r="DP703">
        <v>0</v>
      </c>
      <c r="DQ703">
        <v>0</v>
      </c>
      <c r="DR703">
        <v>0</v>
      </c>
      <c r="DS703">
        <v>0</v>
      </c>
      <c r="DT703">
        <v>0</v>
      </c>
      <c r="DU703">
        <v>0</v>
      </c>
    </row>
    <row r="704" spans="2:125">
      <c r="B704" s="136">
        <v>695</v>
      </c>
      <c r="C704" s="138">
        <v>1</v>
      </c>
      <c r="D704" s="474">
        <v>2741.7135139442253</v>
      </c>
      <c r="E704" s="127">
        <v>275.45627097271597</v>
      </c>
      <c r="F704" s="447">
        <v>0.47222414718390032</v>
      </c>
      <c r="G704" s="127">
        <v>95.587466374855168</v>
      </c>
      <c r="H704" s="132">
        <v>49.791469162020995</v>
      </c>
      <c r="I704" s="456"/>
      <c r="J704" s="45"/>
      <c r="K704" s="45">
        <v>400</v>
      </c>
      <c r="L704" s="463"/>
      <c r="M704" s="456">
        <v>41.482929229736328</v>
      </c>
      <c r="N704" s="457"/>
      <c r="O704" s="456"/>
      <c r="P704" s="46"/>
      <c r="Q704" s="463">
        <v>54.285930633544922</v>
      </c>
      <c r="R704" s="449"/>
      <c r="S704" s="463"/>
      <c r="T704" s="480"/>
      <c r="U704" s="468"/>
      <c r="V704" s="449"/>
      <c r="W704" s="45">
        <v>1571.94287109375</v>
      </c>
      <c r="X704" s="463">
        <v>131.08433532714844</v>
      </c>
      <c r="Y704" s="449"/>
      <c r="Z704" s="45"/>
      <c r="AA704" s="468">
        <v>0.45966102460800207</v>
      </c>
      <c r="AB704" s="456"/>
      <c r="AC704" s="46"/>
      <c r="AD704" s="46"/>
      <c r="AE704" s="46"/>
      <c r="AF704" s="46"/>
      <c r="AG704" s="46"/>
      <c r="AH704" s="46"/>
      <c r="AI704" s="457"/>
      <c r="AJ704" s="138"/>
      <c r="AK704" s="745"/>
      <c r="AL704" s="54"/>
      <c r="AM704" s="468"/>
      <c r="AN704" s="449"/>
      <c r="AO704" s="45"/>
      <c r="AP704" s="45"/>
      <c r="AQ704" s="45"/>
      <c r="AR704" s="45"/>
      <c r="AS704" s="45"/>
      <c r="AT704" s="45"/>
      <c r="AU704" s="463"/>
      <c r="AV704" s="449"/>
      <c r="AW704" s="45"/>
      <c r="AX704" s="45"/>
      <c r="AY704" s="45"/>
      <c r="AZ704" s="45"/>
      <c r="BA704" s="45"/>
      <c r="BB704" s="45"/>
      <c r="BC704" s="463"/>
      <c r="BD704" s="456"/>
      <c r="BE704" s="46"/>
      <c r="BF704" s="46"/>
      <c r="BG704" s="46"/>
      <c r="BH704" s="46"/>
      <c r="BI704" s="46"/>
      <c r="BJ704" s="457"/>
      <c r="BK704" s="449">
        <v>0</v>
      </c>
      <c r="BL704" s="45"/>
      <c r="BM704" s="45"/>
      <c r="BN704" s="45"/>
      <c r="BO704" s="45"/>
      <c r="BP704" s="45"/>
      <c r="BQ704" s="45"/>
      <c r="BR704" s="45"/>
      <c r="BS704" s="45"/>
      <c r="BT704" s="45"/>
      <c r="BU704" s="45"/>
      <c r="BV704" s="45"/>
      <c r="BW704" s="45"/>
      <c r="BX704" s="45"/>
      <c r="BY704" s="45"/>
      <c r="BZ704" s="45"/>
      <c r="CA704" s="45"/>
      <c r="CB704" s="45"/>
      <c r="CC704" s="45"/>
      <c r="CD704" s="463"/>
      <c r="CE704">
        <v>0</v>
      </c>
      <c r="CF704">
        <v>0</v>
      </c>
      <c r="CG704">
        <v>0</v>
      </c>
      <c r="CH704">
        <v>0</v>
      </c>
      <c r="CI704">
        <v>0</v>
      </c>
      <c r="CJ704">
        <v>0</v>
      </c>
      <c r="CK704">
        <v>0</v>
      </c>
      <c r="CL704">
        <v>0</v>
      </c>
      <c r="CM704">
        <v>0</v>
      </c>
      <c r="CN704">
        <v>0</v>
      </c>
      <c r="CO704">
        <v>0</v>
      </c>
      <c r="CP704">
        <v>0</v>
      </c>
      <c r="CQ704">
        <v>0</v>
      </c>
      <c r="CR704">
        <v>0</v>
      </c>
      <c r="CS704">
        <v>0</v>
      </c>
      <c r="CT704">
        <v>0</v>
      </c>
      <c r="CU704">
        <v>0</v>
      </c>
      <c r="CV704">
        <v>0</v>
      </c>
      <c r="CW704">
        <v>0</v>
      </c>
      <c r="CX704">
        <v>0</v>
      </c>
      <c r="CY704">
        <v>0</v>
      </c>
      <c r="CZ704">
        <v>0</v>
      </c>
      <c r="DA704">
        <v>0</v>
      </c>
      <c r="DB704">
        <v>0</v>
      </c>
      <c r="DC704">
        <v>0</v>
      </c>
      <c r="DD704">
        <v>0</v>
      </c>
      <c r="DE704">
        <v>0</v>
      </c>
      <c r="DF704">
        <v>0</v>
      </c>
      <c r="DG704">
        <v>0</v>
      </c>
      <c r="DH704">
        <v>0</v>
      </c>
      <c r="DI704">
        <v>0</v>
      </c>
      <c r="DJ704">
        <v>0</v>
      </c>
      <c r="DK704">
        <v>0</v>
      </c>
      <c r="DL704">
        <v>0</v>
      </c>
      <c r="DM704">
        <v>0</v>
      </c>
      <c r="DN704">
        <v>0</v>
      </c>
      <c r="DO704">
        <v>0</v>
      </c>
      <c r="DP704">
        <v>0</v>
      </c>
      <c r="DQ704">
        <v>0</v>
      </c>
      <c r="DR704">
        <v>0</v>
      </c>
      <c r="DS704">
        <v>0</v>
      </c>
      <c r="DT704">
        <v>0</v>
      </c>
      <c r="DU704">
        <v>0</v>
      </c>
    </row>
    <row r="705" spans="2:125">
      <c r="B705" s="136">
        <v>696</v>
      </c>
      <c r="C705" s="138">
        <v>1</v>
      </c>
      <c r="D705" s="474">
        <v>3106.6323876946494</v>
      </c>
      <c r="E705" s="127">
        <v>246.6655901568891</v>
      </c>
      <c r="F705" s="447">
        <v>0.43017328044698222</v>
      </c>
      <c r="G705" s="127">
        <v>96.454672684989944</v>
      </c>
      <c r="H705" s="132">
        <v>56.674139197186193</v>
      </c>
      <c r="I705" s="456"/>
      <c r="J705" s="45"/>
      <c r="K705" s="45">
        <v>420</v>
      </c>
      <c r="L705" s="463"/>
      <c r="M705" s="456">
        <v>33.195384979248047</v>
      </c>
      <c r="N705" s="457"/>
      <c r="O705" s="456"/>
      <c r="P705" s="46"/>
      <c r="Q705" s="463">
        <v>61.511325836181641</v>
      </c>
      <c r="R705" s="449"/>
      <c r="S705" s="463"/>
      <c r="T705" s="480"/>
      <c r="U705" s="468"/>
      <c r="V705" s="449"/>
      <c r="W705" s="45">
        <v>1382.59423828125</v>
      </c>
      <c r="X705" s="463">
        <v>117.39423370361328</v>
      </c>
      <c r="Y705" s="449"/>
      <c r="Z705" s="45"/>
      <c r="AA705" s="468">
        <v>0.41935659491249716</v>
      </c>
      <c r="AB705" s="456"/>
      <c r="AC705" s="46"/>
      <c r="AD705" s="46"/>
      <c r="AE705" s="46"/>
      <c r="AF705" s="46"/>
      <c r="AG705" s="46"/>
      <c r="AH705" s="46"/>
      <c r="AI705" s="457"/>
      <c r="AJ705" s="138"/>
      <c r="AK705" s="745"/>
      <c r="AL705" s="54"/>
      <c r="AM705" s="468"/>
      <c r="AN705" s="449"/>
      <c r="AO705" s="45"/>
      <c r="AP705" s="45"/>
      <c r="AQ705" s="45"/>
      <c r="AR705" s="45"/>
      <c r="AS705" s="45"/>
      <c r="AT705" s="45"/>
      <c r="AU705" s="463"/>
      <c r="AV705" s="449"/>
      <c r="AW705" s="45"/>
      <c r="AX705" s="45"/>
      <c r="AY705" s="45"/>
      <c r="AZ705" s="45"/>
      <c r="BA705" s="45"/>
      <c r="BB705" s="45"/>
      <c r="BC705" s="463"/>
      <c r="BD705" s="456"/>
      <c r="BE705" s="46"/>
      <c r="BF705" s="46"/>
      <c r="BG705" s="46"/>
      <c r="BH705" s="46"/>
      <c r="BI705" s="46"/>
      <c r="BJ705" s="457"/>
      <c r="BK705" s="449">
        <v>0</v>
      </c>
      <c r="BL705" s="45"/>
      <c r="BM705" s="45"/>
      <c r="BN705" s="45"/>
      <c r="BO705" s="45"/>
      <c r="BP705" s="45"/>
      <c r="BQ705" s="45"/>
      <c r="BR705" s="45"/>
      <c r="BS705" s="45"/>
      <c r="BT705" s="45"/>
      <c r="BU705" s="45"/>
      <c r="BV705" s="45"/>
      <c r="BW705" s="45"/>
      <c r="BX705" s="45"/>
      <c r="BY705" s="45"/>
      <c r="BZ705" s="45"/>
      <c r="CA705" s="45"/>
      <c r="CB705" s="45"/>
      <c r="CC705" s="45"/>
      <c r="CD705" s="463"/>
      <c r="CE705">
        <v>0</v>
      </c>
      <c r="CF705">
        <v>0</v>
      </c>
      <c r="CG705">
        <v>0</v>
      </c>
      <c r="CH705">
        <v>0</v>
      </c>
      <c r="CI705">
        <v>0</v>
      </c>
      <c r="CJ705">
        <v>0</v>
      </c>
      <c r="CK705">
        <v>0</v>
      </c>
      <c r="CL705">
        <v>0</v>
      </c>
      <c r="CM705">
        <v>0</v>
      </c>
      <c r="CN705">
        <v>0</v>
      </c>
      <c r="CO705">
        <v>0</v>
      </c>
      <c r="CP705">
        <v>0</v>
      </c>
      <c r="CQ705">
        <v>0</v>
      </c>
      <c r="CR705">
        <v>0</v>
      </c>
      <c r="CS705">
        <v>0</v>
      </c>
      <c r="CT705">
        <v>0</v>
      </c>
      <c r="CU705">
        <v>0</v>
      </c>
      <c r="CV705">
        <v>0</v>
      </c>
      <c r="CW705">
        <v>0</v>
      </c>
      <c r="CX705">
        <v>0</v>
      </c>
      <c r="CY705">
        <v>0</v>
      </c>
      <c r="CZ705">
        <v>0</v>
      </c>
      <c r="DA705">
        <v>0</v>
      </c>
      <c r="DB705">
        <v>0</v>
      </c>
      <c r="DC705">
        <v>0</v>
      </c>
      <c r="DD705">
        <v>0</v>
      </c>
      <c r="DE705">
        <v>0</v>
      </c>
      <c r="DF705">
        <v>0</v>
      </c>
      <c r="DG705">
        <v>0</v>
      </c>
      <c r="DH705">
        <v>0</v>
      </c>
      <c r="DI705">
        <v>0</v>
      </c>
      <c r="DJ705">
        <v>0</v>
      </c>
      <c r="DK705">
        <v>0</v>
      </c>
      <c r="DL705">
        <v>0</v>
      </c>
      <c r="DM705">
        <v>0</v>
      </c>
      <c r="DN705">
        <v>0</v>
      </c>
      <c r="DO705">
        <v>0</v>
      </c>
      <c r="DP705">
        <v>0</v>
      </c>
      <c r="DQ705">
        <v>0</v>
      </c>
      <c r="DR705">
        <v>0</v>
      </c>
      <c r="DS705">
        <v>0</v>
      </c>
      <c r="DT705">
        <v>0</v>
      </c>
      <c r="DU705">
        <v>0</v>
      </c>
    </row>
    <row r="706" spans="2:125">
      <c r="B706" s="136">
        <v>697</v>
      </c>
      <c r="C706" s="138">
        <v>1</v>
      </c>
      <c r="D706" s="474">
        <v>2715.5080693492191</v>
      </c>
      <c r="E706" s="127">
        <v>218.20868460406828</v>
      </c>
      <c r="F706" s="447">
        <v>0.37496233151999392</v>
      </c>
      <c r="G706" s="127">
        <v>111.66517007622123</v>
      </c>
      <c r="H706" s="132">
        <v>43.09575781208143</v>
      </c>
      <c r="I706" s="456"/>
      <c r="J706" s="45"/>
      <c r="K706" s="45">
        <v>420</v>
      </c>
      <c r="L706" s="463"/>
      <c r="M706" s="456">
        <v>31.148555755615234</v>
      </c>
      <c r="N706" s="457"/>
      <c r="O706" s="456"/>
      <c r="P706" s="46"/>
      <c r="Q706" s="463">
        <v>53.767059326171875</v>
      </c>
      <c r="R706" s="449"/>
      <c r="S706" s="463"/>
      <c r="T706" s="480"/>
      <c r="U706" s="468"/>
      <c r="V706" s="449"/>
      <c r="W706" s="45">
        <v>1177.354736328125</v>
      </c>
      <c r="X706" s="463">
        <v>102.4759521484375</v>
      </c>
      <c r="Y706" s="449"/>
      <c r="Z706" s="45"/>
      <c r="AA706" s="468">
        <v>0.36299431455947412</v>
      </c>
      <c r="AB706" s="456"/>
      <c r="AC706" s="46"/>
      <c r="AD706" s="46"/>
      <c r="AE706" s="46"/>
      <c r="AF706" s="46"/>
      <c r="AG706" s="46"/>
      <c r="AH706" s="46"/>
      <c r="AI706" s="457"/>
      <c r="AJ706" s="138"/>
      <c r="AK706" s="745"/>
      <c r="AL706" s="54"/>
      <c r="AM706" s="468"/>
      <c r="AN706" s="449"/>
      <c r="AO706" s="45"/>
      <c r="AP706" s="45"/>
      <c r="AQ706" s="45"/>
      <c r="AR706" s="45"/>
      <c r="AS706" s="45"/>
      <c r="AT706" s="45"/>
      <c r="AU706" s="463"/>
      <c r="AV706" s="449"/>
      <c r="AW706" s="45"/>
      <c r="AX706" s="45"/>
      <c r="AY706" s="45"/>
      <c r="AZ706" s="45"/>
      <c r="BA706" s="45"/>
      <c r="BB706" s="45"/>
      <c r="BC706" s="463"/>
      <c r="BD706" s="456"/>
      <c r="BE706" s="46"/>
      <c r="BF706" s="46"/>
      <c r="BG706" s="46"/>
      <c r="BH706" s="46"/>
      <c r="BI706" s="46"/>
      <c r="BJ706" s="457"/>
      <c r="BK706" s="449">
        <v>0</v>
      </c>
      <c r="BL706" s="45"/>
      <c r="BM706" s="45"/>
      <c r="BN706" s="45"/>
      <c r="BO706" s="45"/>
      <c r="BP706" s="45"/>
      <c r="BQ706" s="45"/>
      <c r="BR706" s="45"/>
      <c r="BS706" s="45"/>
      <c r="BT706" s="45"/>
      <c r="BU706" s="45"/>
      <c r="BV706" s="45"/>
      <c r="BW706" s="45"/>
      <c r="BX706" s="45"/>
      <c r="BY706" s="45"/>
      <c r="BZ706" s="45"/>
      <c r="CA706" s="45"/>
      <c r="CB706" s="45"/>
      <c r="CC706" s="45"/>
      <c r="CD706" s="463"/>
      <c r="CE706">
        <v>0</v>
      </c>
      <c r="CF706">
        <v>0</v>
      </c>
      <c r="CG706">
        <v>0</v>
      </c>
      <c r="CH706">
        <v>0</v>
      </c>
      <c r="CI706">
        <v>0</v>
      </c>
      <c r="CJ706">
        <v>0</v>
      </c>
      <c r="CK706">
        <v>0</v>
      </c>
      <c r="CL706">
        <v>0</v>
      </c>
      <c r="CM706">
        <v>0</v>
      </c>
      <c r="CN706">
        <v>0</v>
      </c>
      <c r="CO706">
        <v>0</v>
      </c>
      <c r="CP706">
        <v>0</v>
      </c>
      <c r="CQ706">
        <v>0</v>
      </c>
      <c r="CR706">
        <v>0</v>
      </c>
      <c r="CS706">
        <v>0</v>
      </c>
      <c r="CT706">
        <v>0</v>
      </c>
      <c r="CU706">
        <v>0</v>
      </c>
      <c r="CV706">
        <v>0</v>
      </c>
      <c r="CW706">
        <v>0</v>
      </c>
      <c r="CX706">
        <v>0</v>
      </c>
      <c r="CY706">
        <v>0</v>
      </c>
      <c r="CZ706">
        <v>0</v>
      </c>
      <c r="DA706">
        <v>0</v>
      </c>
      <c r="DB706">
        <v>0</v>
      </c>
      <c r="DC706">
        <v>0</v>
      </c>
      <c r="DD706">
        <v>0</v>
      </c>
      <c r="DE706">
        <v>0</v>
      </c>
      <c r="DF706">
        <v>0</v>
      </c>
      <c r="DG706">
        <v>0</v>
      </c>
      <c r="DH706">
        <v>0</v>
      </c>
      <c r="DI706">
        <v>0</v>
      </c>
      <c r="DJ706">
        <v>0</v>
      </c>
      <c r="DK706">
        <v>0</v>
      </c>
      <c r="DL706">
        <v>0</v>
      </c>
      <c r="DM706">
        <v>0</v>
      </c>
      <c r="DN706">
        <v>0</v>
      </c>
      <c r="DO706">
        <v>0</v>
      </c>
      <c r="DP706">
        <v>0</v>
      </c>
      <c r="DQ706">
        <v>0</v>
      </c>
      <c r="DR706">
        <v>0</v>
      </c>
      <c r="DS706">
        <v>0</v>
      </c>
      <c r="DT706">
        <v>0</v>
      </c>
      <c r="DU706">
        <v>0</v>
      </c>
    </row>
    <row r="707" spans="2:125">
      <c r="B707" s="136">
        <v>698</v>
      </c>
      <c r="C707" s="138">
        <v>1</v>
      </c>
      <c r="D707" s="474">
        <v>3147.0396185816771</v>
      </c>
      <c r="E707" s="127">
        <v>219.79940530937557</v>
      </c>
      <c r="F707" s="447">
        <v>0.37535860008493721</v>
      </c>
      <c r="G707" s="127">
        <v>105.45608817334708</v>
      </c>
      <c r="H707" s="132">
        <v>55.057386847539142</v>
      </c>
      <c r="I707" s="456"/>
      <c r="J707" s="45"/>
      <c r="K707" s="45">
        <v>440</v>
      </c>
      <c r="L707" s="463"/>
      <c r="M707" s="456">
        <v>28.431545257568359</v>
      </c>
      <c r="N707" s="457"/>
      <c r="O707" s="456"/>
      <c r="P707" s="46"/>
      <c r="Q707" s="463">
        <v>62.311389923095703</v>
      </c>
      <c r="R707" s="449"/>
      <c r="S707" s="463"/>
      <c r="T707" s="480"/>
      <c r="U707" s="468"/>
      <c r="V707" s="449"/>
      <c r="W707" s="45">
        <v>1211.407958984375</v>
      </c>
      <c r="X707" s="463">
        <v>105.02368927001953</v>
      </c>
      <c r="Y707" s="449"/>
      <c r="Z707" s="45"/>
      <c r="AA707" s="468">
        <v>0.36502915529188146</v>
      </c>
      <c r="AB707" s="456"/>
      <c r="AC707" s="46"/>
      <c r="AD707" s="46"/>
      <c r="AE707" s="46"/>
      <c r="AF707" s="46"/>
      <c r="AG707" s="46"/>
      <c r="AH707" s="46"/>
      <c r="AI707" s="457"/>
      <c r="AJ707" s="138"/>
      <c r="AK707" s="745"/>
      <c r="AL707" s="54"/>
      <c r="AM707" s="468"/>
      <c r="AN707" s="449"/>
      <c r="AO707" s="45"/>
      <c r="AP707" s="45"/>
      <c r="AQ707" s="45"/>
      <c r="AR707" s="45"/>
      <c r="AS707" s="45"/>
      <c r="AT707" s="45"/>
      <c r="AU707" s="463"/>
      <c r="AV707" s="449"/>
      <c r="AW707" s="45"/>
      <c r="AX707" s="45"/>
      <c r="AY707" s="45"/>
      <c r="AZ707" s="45"/>
      <c r="BA707" s="45"/>
      <c r="BB707" s="45"/>
      <c r="BC707" s="463"/>
      <c r="BD707" s="456"/>
      <c r="BE707" s="46"/>
      <c r="BF707" s="46"/>
      <c r="BG707" s="46"/>
      <c r="BH707" s="46"/>
      <c r="BI707" s="46"/>
      <c r="BJ707" s="457"/>
      <c r="BK707" s="449">
        <v>0</v>
      </c>
      <c r="BL707" s="45"/>
      <c r="BM707" s="45"/>
      <c r="BN707" s="45"/>
      <c r="BO707" s="45"/>
      <c r="BP707" s="45"/>
      <c r="BQ707" s="45"/>
      <c r="BR707" s="45"/>
      <c r="BS707" s="45"/>
      <c r="BT707" s="45"/>
      <c r="BU707" s="45"/>
      <c r="BV707" s="45"/>
      <c r="BW707" s="45"/>
      <c r="BX707" s="45"/>
      <c r="BY707" s="45"/>
      <c r="BZ707" s="45"/>
      <c r="CA707" s="45"/>
      <c r="CB707" s="45"/>
      <c r="CC707" s="45"/>
      <c r="CD707" s="463"/>
      <c r="CE707">
        <v>0</v>
      </c>
      <c r="CF707">
        <v>0</v>
      </c>
      <c r="CG707">
        <v>0</v>
      </c>
      <c r="CH707">
        <v>0</v>
      </c>
      <c r="CI707">
        <v>0</v>
      </c>
      <c r="CJ707">
        <v>0</v>
      </c>
      <c r="CK707">
        <v>0</v>
      </c>
      <c r="CL707">
        <v>0</v>
      </c>
      <c r="CM707">
        <v>0</v>
      </c>
      <c r="CN707">
        <v>0</v>
      </c>
      <c r="CO707">
        <v>0</v>
      </c>
      <c r="CP707">
        <v>0</v>
      </c>
      <c r="CQ707">
        <v>0</v>
      </c>
      <c r="CR707">
        <v>0</v>
      </c>
      <c r="CS707">
        <v>0</v>
      </c>
      <c r="CT707">
        <v>0</v>
      </c>
      <c r="CU707">
        <v>0</v>
      </c>
      <c r="CV707">
        <v>0</v>
      </c>
      <c r="CW707">
        <v>0</v>
      </c>
      <c r="CX707">
        <v>0</v>
      </c>
      <c r="CY707">
        <v>0</v>
      </c>
      <c r="CZ707">
        <v>0</v>
      </c>
      <c r="DA707">
        <v>0</v>
      </c>
      <c r="DB707">
        <v>0</v>
      </c>
      <c r="DC707">
        <v>0</v>
      </c>
      <c r="DD707">
        <v>0</v>
      </c>
      <c r="DE707">
        <v>0</v>
      </c>
      <c r="DF707">
        <v>0</v>
      </c>
      <c r="DG707">
        <v>0</v>
      </c>
      <c r="DH707">
        <v>0</v>
      </c>
      <c r="DI707">
        <v>0</v>
      </c>
      <c r="DJ707">
        <v>0</v>
      </c>
      <c r="DK707">
        <v>0</v>
      </c>
      <c r="DL707">
        <v>0</v>
      </c>
      <c r="DM707">
        <v>0</v>
      </c>
      <c r="DN707">
        <v>0</v>
      </c>
      <c r="DO707">
        <v>0</v>
      </c>
      <c r="DP707">
        <v>0</v>
      </c>
      <c r="DQ707">
        <v>0</v>
      </c>
      <c r="DR707">
        <v>0</v>
      </c>
      <c r="DS707">
        <v>0</v>
      </c>
      <c r="DT707">
        <v>0</v>
      </c>
      <c r="DU707">
        <v>0</v>
      </c>
    </row>
    <row r="708" spans="2:125">
      <c r="B708" s="136">
        <v>699</v>
      </c>
      <c r="C708" s="138">
        <v>1</v>
      </c>
      <c r="D708" s="474">
        <v>2706.2739860978522</v>
      </c>
      <c r="E708" s="127">
        <v>241.86080192174879</v>
      </c>
      <c r="F708" s="447">
        <v>0.4343149552423658</v>
      </c>
      <c r="G708" s="127">
        <v>88.757373854447778</v>
      </c>
      <c r="H708" s="132">
        <v>51.189408769004316</v>
      </c>
      <c r="I708" s="456"/>
      <c r="J708" s="45"/>
      <c r="K708" s="45">
        <v>380</v>
      </c>
      <c r="L708" s="463"/>
      <c r="M708" s="456">
        <v>34.00567626953125</v>
      </c>
      <c r="N708" s="457"/>
      <c r="O708" s="456"/>
      <c r="P708" s="46"/>
      <c r="Q708" s="463">
        <v>53.584224700927734</v>
      </c>
      <c r="R708" s="449"/>
      <c r="S708" s="463"/>
      <c r="T708" s="480"/>
      <c r="U708" s="468"/>
      <c r="V708" s="449"/>
      <c r="W708" s="45">
        <v>1284.9112548828125</v>
      </c>
      <c r="X708" s="463">
        <v>110.11452484130859</v>
      </c>
      <c r="Y708" s="449"/>
      <c r="Z708" s="45"/>
      <c r="AA708" s="468">
        <v>0.42186747236447014</v>
      </c>
      <c r="AB708" s="456"/>
      <c r="AC708" s="46"/>
      <c r="AD708" s="46"/>
      <c r="AE708" s="46"/>
      <c r="AF708" s="46"/>
      <c r="AG708" s="46"/>
      <c r="AH708" s="46"/>
      <c r="AI708" s="457"/>
      <c r="AJ708" s="138"/>
      <c r="AK708" s="745"/>
      <c r="AL708" s="54"/>
      <c r="AM708" s="468"/>
      <c r="AN708" s="449"/>
      <c r="AO708" s="45"/>
      <c r="AP708" s="45"/>
      <c r="AQ708" s="45"/>
      <c r="AR708" s="45"/>
      <c r="AS708" s="45"/>
      <c r="AT708" s="45"/>
      <c r="AU708" s="463"/>
      <c r="AV708" s="449"/>
      <c r="AW708" s="45"/>
      <c r="AX708" s="45"/>
      <c r="AY708" s="45"/>
      <c r="AZ708" s="45"/>
      <c r="BA708" s="45"/>
      <c r="BB708" s="45"/>
      <c r="BC708" s="463"/>
      <c r="BD708" s="456"/>
      <c r="BE708" s="46"/>
      <c r="BF708" s="46"/>
      <c r="BG708" s="46"/>
      <c r="BH708" s="46"/>
      <c r="BI708" s="46"/>
      <c r="BJ708" s="457"/>
      <c r="BK708" s="449">
        <v>0</v>
      </c>
      <c r="BL708" s="45"/>
      <c r="BM708" s="45"/>
      <c r="BN708" s="45"/>
      <c r="BO708" s="45"/>
      <c r="BP708" s="45"/>
      <c r="BQ708" s="45"/>
      <c r="BR708" s="45"/>
      <c r="BS708" s="45"/>
      <c r="BT708" s="45"/>
      <c r="BU708" s="45"/>
      <c r="BV708" s="45"/>
      <c r="BW708" s="45"/>
      <c r="BX708" s="45"/>
      <c r="BY708" s="45"/>
      <c r="BZ708" s="45"/>
      <c r="CA708" s="45"/>
      <c r="CB708" s="45"/>
      <c r="CC708" s="45"/>
      <c r="CD708" s="463"/>
      <c r="CE708">
        <v>0</v>
      </c>
      <c r="CF708">
        <v>0</v>
      </c>
      <c r="CG708">
        <v>0</v>
      </c>
      <c r="CH708">
        <v>0</v>
      </c>
      <c r="CI708">
        <v>0</v>
      </c>
      <c r="CJ708">
        <v>0</v>
      </c>
      <c r="CK708">
        <v>0</v>
      </c>
      <c r="CL708">
        <v>0</v>
      </c>
      <c r="CM708">
        <v>0</v>
      </c>
      <c r="CN708">
        <v>0</v>
      </c>
      <c r="CO708">
        <v>0</v>
      </c>
      <c r="CP708">
        <v>0</v>
      </c>
      <c r="CQ708">
        <v>0</v>
      </c>
      <c r="CR708">
        <v>0</v>
      </c>
      <c r="CS708">
        <v>0</v>
      </c>
      <c r="CT708">
        <v>0</v>
      </c>
      <c r="CU708">
        <v>0</v>
      </c>
      <c r="CV708">
        <v>0</v>
      </c>
      <c r="CW708">
        <v>0</v>
      </c>
      <c r="CX708">
        <v>0</v>
      </c>
      <c r="CY708">
        <v>0</v>
      </c>
      <c r="CZ708">
        <v>0</v>
      </c>
      <c r="DA708">
        <v>0</v>
      </c>
      <c r="DB708">
        <v>0</v>
      </c>
      <c r="DC708">
        <v>0</v>
      </c>
      <c r="DD708">
        <v>0</v>
      </c>
      <c r="DE708">
        <v>0</v>
      </c>
      <c r="DF708">
        <v>0</v>
      </c>
      <c r="DG708">
        <v>0</v>
      </c>
      <c r="DH708">
        <v>0</v>
      </c>
      <c r="DI708">
        <v>0</v>
      </c>
      <c r="DJ708">
        <v>0</v>
      </c>
      <c r="DK708">
        <v>0</v>
      </c>
      <c r="DL708">
        <v>0</v>
      </c>
      <c r="DM708">
        <v>0</v>
      </c>
      <c r="DN708">
        <v>0</v>
      </c>
      <c r="DO708">
        <v>0</v>
      </c>
      <c r="DP708">
        <v>0</v>
      </c>
      <c r="DQ708">
        <v>0</v>
      </c>
      <c r="DR708">
        <v>0</v>
      </c>
      <c r="DS708">
        <v>0</v>
      </c>
      <c r="DT708">
        <v>0</v>
      </c>
      <c r="DU708">
        <v>0</v>
      </c>
    </row>
    <row r="709" spans="2:125">
      <c r="B709" s="136">
        <v>700</v>
      </c>
      <c r="C709" s="138">
        <v>1</v>
      </c>
      <c r="D709" s="474">
        <v>3738.6249564387704</v>
      </c>
      <c r="E709" s="127">
        <v>228.71946416270887</v>
      </c>
      <c r="F709" s="447">
        <v>0.43563258019737072</v>
      </c>
      <c r="G709" s="127">
        <v>131.14461022225589</v>
      </c>
      <c r="H709" s="132">
        <v>58.762920589676291</v>
      </c>
      <c r="I709" s="456"/>
      <c r="J709" s="45"/>
      <c r="K709" s="45">
        <v>540</v>
      </c>
      <c r="L709" s="463"/>
      <c r="M709" s="456">
        <v>37.736248016357422</v>
      </c>
      <c r="N709" s="457"/>
      <c r="O709" s="456"/>
      <c r="P709" s="46"/>
      <c r="Q709" s="463">
        <v>74.024772644042969</v>
      </c>
      <c r="R709" s="449"/>
      <c r="S709" s="463"/>
      <c r="T709" s="480"/>
      <c r="U709" s="468"/>
      <c r="V709" s="449"/>
      <c r="W709" s="45">
        <v>1764.346435546875</v>
      </c>
      <c r="X709" s="463">
        <v>145.65618896484375</v>
      </c>
      <c r="Y709" s="449"/>
      <c r="Z709" s="45"/>
      <c r="AA709" s="468">
        <v>0.42661518690524958</v>
      </c>
      <c r="AB709" s="456"/>
      <c r="AC709" s="46"/>
      <c r="AD709" s="46"/>
      <c r="AE709" s="46"/>
      <c r="AF709" s="46"/>
      <c r="AG709" s="46"/>
      <c r="AH709" s="46"/>
      <c r="AI709" s="457"/>
      <c r="AJ709" s="138"/>
      <c r="AK709" s="745"/>
      <c r="AL709" s="54"/>
      <c r="AM709" s="468"/>
      <c r="AN709" s="449"/>
      <c r="AO709" s="45"/>
      <c r="AP709" s="45"/>
      <c r="AQ709" s="45"/>
      <c r="AR709" s="45"/>
      <c r="AS709" s="45"/>
      <c r="AT709" s="45"/>
      <c r="AU709" s="463"/>
      <c r="AV709" s="449"/>
      <c r="AW709" s="45"/>
      <c r="AX709" s="45"/>
      <c r="AY709" s="45"/>
      <c r="AZ709" s="45"/>
      <c r="BA709" s="45"/>
      <c r="BB709" s="45"/>
      <c r="BC709" s="463"/>
      <c r="BD709" s="456"/>
      <c r="BE709" s="46"/>
      <c r="BF709" s="46"/>
      <c r="BG709" s="46"/>
      <c r="BH709" s="46"/>
      <c r="BI709" s="46"/>
      <c r="BJ709" s="457"/>
      <c r="BK709" s="449">
        <v>0</v>
      </c>
      <c r="BL709" s="45"/>
      <c r="BM709" s="45"/>
      <c r="BN709" s="45"/>
      <c r="BO709" s="45"/>
      <c r="BP709" s="45"/>
      <c r="BQ709" s="45"/>
      <c r="BR709" s="45"/>
      <c r="BS709" s="45"/>
      <c r="BT709" s="45"/>
      <c r="BU709" s="45"/>
      <c r="BV709" s="45"/>
      <c r="BW709" s="45"/>
      <c r="BX709" s="45"/>
      <c r="BY709" s="45"/>
      <c r="BZ709" s="45"/>
      <c r="CA709" s="45"/>
      <c r="CB709" s="45"/>
      <c r="CC709" s="45"/>
      <c r="CD709" s="463"/>
      <c r="CE709">
        <v>0</v>
      </c>
      <c r="CF709">
        <v>0</v>
      </c>
      <c r="CG709">
        <v>0</v>
      </c>
      <c r="CH709">
        <v>0</v>
      </c>
      <c r="CI709">
        <v>0</v>
      </c>
      <c r="CJ709">
        <v>0</v>
      </c>
      <c r="CK709">
        <v>0</v>
      </c>
      <c r="CL709">
        <v>0</v>
      </c>
      <c r="CM709">
        <v>0</v>
      </c>
      <c r="CN709">
        <v>0</v>
      </c>
      <c r="CO709">
        <v>0</v>
      </c>
      <c r="CP709">
        <v>0</v>
      </c>
      <c r="CQ709">
        <v>0</v>
      </c>
      <c r="CR709">
        <v>0</v>
      </c>
      <c r="CS709">
        <v>0</v>
      </c>
      <c r="CT709">
        <v>0</v>
      </c>
      <c r="CU709">
        <v>0</v>
      </c>
      <c r="CV709">
        <v>0</v>
      </c>
      <c r="CW709">
        <v>0</v>
      </c>
      <c r="CX709">
        <v>0</v>
      </c>
      <c r="CY709">
        <v>0</v>
      </c>
      <c r="CZ709">
        <v>0</v>
      </c>
      <c r="DA709">
        <v>0</v>
      </c>
      <c r="DB709">
        <v>0</v>
      </c>
      <c r="DC709">
        <v>0</v>
      </c>
      <c r="DD709">
        <v>0</v>
      </c>
      <c r="DE709">
        <v>0</v>
      </c>
      <c r="DF709">
        <v>0</v>
      </c>
      <c r="DG709">
        <v>0</v>
      </c>
      <c r="DH709">
        <v>0</v>
      </c>
      <c r="DI709">
        <v>0</v>
      </c>
      <c r="DJ709">
        <v>0</v>
      </c>
      <c r="DK709">
        <v>0</v>
      </c>
      <c r="DL709">
        <v>0</v>
      </c>
      <c r="DM709">
        <v>0</v>
      </c>
      <c r="DN709">
        <v>0</v>
      </c>
      <c r="DO709">
        <v>0</v>
      </c>
      <c r="DP709">
        <v>0</v>
      </c>
      <c r="DQ709">
        <v>0</v>
      </c>
      <c r="DR709">
        <v>0</v>
      </c>
      <c r="DS709">
        <v>0</v>
      </c>
      <c r="DT709">
        <v>0</v>
      </c>
      <c r="DU709">
        <v>0</v>
      </c>
    </row>
    <row r="710" spans="2:125">
      <c r="B710" s="136">
        <v>701</v>
      </c>
      <c r="C710" s="138">
        <v>1</v>
      </c>
      <c r="D710" s="474">
        <v>2533.1090991290353</v>
      </c>
      <c r="E710" s="127">
        <v>226.33971161069303</v>
      </c>
      <c r="F710" s="447">
        <v>0.35267748305978502</v>
      </c>
      <c r="G710" s="127">
        <v>86.785452918875563</v>
      </c>
      <c r="H710" s="132">
        <v>47.931616706158181</v>
      </c>
      <c r="I710" s="456"/>
      <c r="J710" s="45"/>
      <c r="K710" s="45">
        <v>360</v>
      </c>
      <c r="L710" s="463"/>
      <c r="M710" s="456">
        <v>27.2203369140625</v>
      </c>
      <c r="N710" s="457"/>
      <c r="O710" s="456"/>
      <c r="P710" s="46"/>
      <c r="Q710" s="463">
        <v>50.155563354492187</v>
      </c>
      <c r="R710" s="449"/>
      <c r="S710" s="463"/>
      <c r="T710" s="480"/>
      <c r="U710" s="468"/>
      <c r="V710" s="449"/>
      <c r="W710" s="45">
        <v>966.43621826171875</v>
      </c>
      <c r="X710" s="463">
        <v>86.867897033691406</v>
      </c>
      <c r="Y710" s="449"/>
      <c r="Z710" s="45"/>
      <c r="AA710" s="468">
        <v>0.34002364605283703</v>
      </c>
      <c r="AB710" s="456"/>
      <c r="AC710" s="46"/>
      <c r="AD710" s="46"/>
      <c r="AE710" s="46"/>
      <c r="AF710" s="46"/>
      <c r="AG710" s="46"/>
      <c r="AH710" s="46"/>
      <c r="AI710" s="457"/>
      <c r="AJ710" s="138"/>
      <c r="AK710" s="745"/>
      <c r="AL710" s="54"/>
      <c r="AM710" s="468"/>
      <c r="AN710" s="449"/>
      <c r="AO710" s="45"/>
      <c r="AP710" s="45"/>
      <c r="AQ710" s="45"/>
      <c r="AR710" s="45"/>
      <c r="AS710" s="45"/>
      <c r="AT710" s="45"/>
      <c r="AU710" s="463"/>
      <c r="AV710" s="449"/>
      <c r="AW710" s="45"/>
      <c r="AX710" s="45"/>
      <c r="AY710" s="45"/>
      <c r="AZ710" s="45"/>
      <c r="BA710" s="45"/>
      <c r="BB710" s="45"/>
      <c r="BC710" s="463"/>
      <c r="BD710" s="456"/>
      <c r="BE710" s="46"/>
      <c r="BF710" s="46"/>
      <c r="BG710" s="46"/>
      <c r="BH710" s="46"/>
      <c r="BI710" s="46"/>
      <c r="BJ710" s="457"/>
      <c r="BK710" s="449">
        <v>0</v>
      </c>
      <c r="BL710" s="45"/>
      <c r="BM710" s="45"/>
      <c r="BN710" s="45"/>
      <c r="BO710" s="45"/>
      <c r="BP710" s="45"/>
      <c r="BQ710" s="45"/>
      <c r="BR710" s="45"/>
      <c r="BS710" s="45"/>
      <c r="BT710" s="45"/>
      <c r="BU710" s="45"/>
      <c r="BV710" s="45"/>
      <c r="BW710" s="45"/>
      <c r="BX710" s="45"/>
      <c r="BY710" s="45"/>
      <c r="BZ710" s="45"/>
      <c r="CA710" s="45"/>
      <c r="CB710" s="45"/>
      <c r="CC710" s="45"/>
      <c r="CD710" s="463"/>
      <c r="CE710">
        <v>0</v>
      </c>
      <c r="CF710">
        <v>0</v>
      </c>
      <c r="CG710">
        <v>0</v>
      </c>
      <c r="CH710">
        <v>0</v>
      </c>
      <c r="CI710">
        <v>0</v>
      </c>
      <c r="CJ710">
        <v>0</v>
      </c>
      <c r="CK710">
        <v>0</v>
      </c>
      <c r="CL710">
        <v>0</v>
      </c>
      <c r="CM710">
        <v>0</v>
      </c>
      <c r="CN710">
        <v>0</v>
      </c>
      <c r="CO710">
        <v>0</v>
      </c>
      <c r="CP710">
        <v>0</v>
      </c>
      <c r="CQ710">
        <v>0</v>
      </c>
      <c r="CR710">
        <v>0</v>
      </c>
      <c r="CS710">
        <v>0</v>
      </c>
      <c r="CT710">
        <v>0</v>
      </c>
      <c r="CU710">
        <v>0</v>
      </c>
      <c r="CV710">
        <v>0</v>
      </c>
      <c r="CW710">
        <v>0</v>
      </c>
      <c r="CX710">
        <v>0</v>
      </c>
      <c r="CY710">
        <v>0</v>
      </c>
      <c r="CZ710">
        <v>0</v>
      </c>
      <c r="DA710">
        <v>0</v>
      </c>
      <c r="DB710">
        <v>0</v>
      </c>
      <c r="DC710">
        <v>0</v>
      </c>
      <c r="DD710">
        <v>0</v>
      </c>
      <c r="DE710">
        <v>0</v>
      </c>
      <c r="DF710">
        <v>0</v>
      </c>
      <c r="DG710">
        <v>0</v>
      </c>
      <c r="DH710">
        <v>0</v>
      </c>
      <c r="DI710">
        <v>0</v>
      </c>
      <c r="DJ710">
        <v>0</v>
      </c>
      <c r="DK710">
        <v>0</v>
      </c>
      <c r="DL710">
        <v>0</v>
      </c>
      <c r="DM710">
        <v>0</v>
      </c>
      <c r="DN710">
        <v>0</v>
      </c>
      <c r="DO710">
        <v>0</v>
      </c>
      <c r="DP710">
        <v>0</v>
      </c>
      <c r="DQ710">
        <v>0</v>
      </c>
      <c r="DR710">
        <v>0</v>
      </c>
      <c r="DS710">
        <v>0</v>
      </c>
      <c r="DT710">
        <v>0</v>
      </c>
      <c r="DU710">
        <v>0</v>
      </c>
    </row>
    <row r="711" spans="2:125">
      <c r="B711" s="136">
        <v>702</v>
      </c>
      <c r="C711" s="138">
        <v>1</v>
      </c>
      <c r="D711" s="474">
        <v>3690.9078831368015</v>
      </c>
      <c r="E711" s="127">
        <v>210.37754199648563</v>
      </c>
      <c r="F711" s="447">
        <v>0.4119321402760211</v>
      </c>
      <c r="G711" s="127">
        <v>154.27973603789076</v>
      </c>
      <c r="H711" s="132">
        <v>51.775292296506642</v>
      </c>
      <c r="I711" s="456"/>
      <c r="J711" s="45"/>
      <c r="K711" s="45">
        <v>580</v>
      </c>
      <c r="L711" s="463"/>
      <c r="M711" s="456">
        <v>37.320205688476562</v>
      </c>
      <c r="N711" s="457"/>
      <c r="O711" s="456"/>
      <c r="P711" s="46"/>
      <c r="Q711" s="463">
        <v>73.079978942871094</v>
      </c>
      <c r="R711" s="449"/>
      <c r="S711" s="463"/>
      <c r="T711" s="480"/>
      <c r="U711" s="468"/>
      <c r="V711" s="449"/>
      <c r="W711" s="45">
        <v>1754.8759765625</v>
      </c>
      <c r="X711" s="463">
        <v>145.15640258789062</v>
      </c>
      <c r="Y711" s="449"/>
      <c r="Z711" s="45"/>
      <c r="AA711" s="468">
        <v>0.40292659371188638</v>
      </c>
      <c r="AB711" s="456"/>
      <c r="AC711" s="46"/>
      <c r="AD711" s="46"/>
      <c r="AE711" s="46"/>
      <c r="AF711" s="46"/>
      <c r="AG711" s="46"/>
      <c r="AH711" s="46"/>
      <c r="AI711" s="457"/>
      <c r="AJ711" s="138"/>
      <c r="AK711" s="745"/>
      <c r="AL711" s="54"/>
      <c r="AM711" s="468"/>
      <c r="AN711" s="449"/>
      <c r="AO711" s="45"/>
      <c r="AP711" s="45"/>
      <c r="AQ711" s="45"/>
      <c r="AR711" s="45"/>
      <c r="AS711" s="45"/>
      <c r="AT711" s="45"/>
      <c r="AU711" s="463"/>
      <c r="AV711" s="449"/>
      <c r="AW711" s="45"/>
      <c r="AX711" s="45"/>
      <c r="AY711" s="45"/>
      <c r="AZ711" s="45"/>
      <c r="BA711" s="45"/>
      <c r="BB711" s="45"/>
      <c r="BC711" s="463"/>
      <c r="BD711" s="456"/>
      <c r="BE711" s="46"/>
      <c r="BF711" s="46"/>
      <c r="BG711" s="46"/>
      <c r="BH711" s="46"/>
      <c r="BI711" s="46"/>
      <c r="BJ711" s="457"/>
      <c r="BK711" s="449">
        <v>0</v>
      </c>
      <c r="BL711" s="45"/>
      <c r="BM711" s="45"/>
      <c r="BN711" s="45"/>
      <c r="BO711" s="45"/>
      <c r="BP711" s="45"/>
      <c r="BQ711" s="45"/>
      <c r="BR711" s="45"/>
      <c r="BS711" s="45"/>
      <c r="BT711" s="45"/>
      <c r="BU711" s="45"/>
      <c r="BV711" s="45"/>
      <c r="BW711" s="45"/>
      <c r="BX711" s="45"/>
      <c r="BY711" s="45"/>
      <c r="BZ711" s="45"/>
      <c r="CA711" s="45"/>
      <c r="CB711" s="45"/>
      <c r="CC711" s="45"/>
      <c r="CD711" s="463"/>
      <c r="CE711">
        <v>0</v>
      </c>
      <c r="CF711">
        <v>0</v>
      </c>
      <c r="CG711">
        <v>0</v>
      </c>
      <c r="CH711">
        <v>0</v>
      </c>
      <c r="CI711">
        <v>0</v>
      </c>
      <c r="CJ711">
        <v>0</v>
      </c>
      <c r="CK711">
        <v>0</v>
      </c>
      <c r="CL711">
        <v>0</v>
      </c>
      <c r="CM711">
        <v>0</v>
      </c>
      <c r="CN711">
        <v>0</v>
      </c>
      <c r="CO711">
        <v>0</v>
      </c>
      <c r="CP711">
        <v>0</v>
      </c>
      <c r="CQ711">
        <v>0</v>
      </c>
      <c r="CR711">
        <v>0</v>
      </c>
      <c r="CS711">
        <v>0</v>
      </c>
      <c r="CT711">
        <v>0</v>
      </c>
      <c r="CU711">
        <v>0</v>
      </c>
      <c r="CV711">
        <v>0</v>
      </c>
      <c r="CW711">
        <v>0</v>
      </c>
      <c r="CX711">
        <v>0</v>
      </c>
      <c r="CY711">
        <v>0</v>
      </c>
      <c r="CZ711">
        <v>0</v>
      </c>
      <c r="DA711">
        <v>0</v>
      </c>
      <c r="DB711">
        <v>0</v>
      </c>
      <c r="DC711">
        <v>0</v>
      </c>
      <c r="DD711">
        <v>0</v>
      </c>
      <c r="DE711">
        <v>0</v>
      </c>
      <c r="DF711">
        <v>0</v>
      </c>
      <c r="DG711">
        <v>0</v>
      </c>
      <c r="DH711">
        <v>0</v>
      </c>
      <c r="DI711">
        <v>0</v>
      </c>
      <c r="DJ711">
        <v>0</v>
      </c>
      <c r="DK711">
        <v>0</v>
      </c>
      <c r="DL711">
        <v>0</v>
      </c>
      <c r="DM711">
        <v>0</v>
      </c>
      <c r="DN711">
        <v>0</v>
      </c>
      <c r="DO711">
        <v>0</v>
      </c>
      <c r="DP711">
        <v>0</v>
      </c>
      <c r="DQ711">
        <v>0</v>
      </c>
      <c r="DR711">
        <v>0</v>
      </c>
      <c r="DS711">
        <v>0</v>
      </c>
      <c r="DT711">
        <v>0</v>
      </c>
      <c r="DU711">
        <v>0</v>
      </c>
    </row>
    <row r="712" spans="2:125">
      <c r="B712" s="136">
        <v>703</v>
      </c>
      <c r="C712" s="138">
        <v>1</v>
      </c>
      <c r="D712" s="474">
        <v>3908.2942684491818</v>
      </c>
      <c r="E712" s="127">
        <v>242.86771728792527</v>
      </c>
      <c r="F712" s="447">
        <v>0.38517420717950435</v>
      </c>
      <c r="G712" s="127">
        <v>157.11723039531597</v>
      </c>
      <c r="H712" s="132">
        <v>55.185160570265133</v>
      </c>
      <c r="I712" s="456"/>
      <c r="J712" s="45"/>
      <c r="K712" s="45">
        <v>600</v>
      </c>
      <c r="L712" s="463"/>
      <c r="M712" s="456">
        <v>33.159671783447266</v>
      </c>
      <c r="N712" s="457"/>
      <c r="O712" s="456"/>
      <c r="P712" s="46"/>
      <c r="Q712" s="463">
        <v>77.384231567382813</v>
      </c>
      <c r="R712" s="449"/>
      <c r="S712" s="463"/>
      <c r="T712" s="480"/>
      <c r="U712" s="468"/>
      <c r="V712" s="449"/>
      <c r="W712" s="45">
        <v>1634.0919189453125</v>
      </c>
      <c r="X712" s="463">
        <v>136.42709350585937</v>
      </c>
      <c r="Y712" s="449"/>
      <c r="Z712" s="45"/>
      <c r="AA712" s="468">
        <v>0.37680649433669255</v>
      </c>
      <c r="AB712" s="456"/>
      <c r="AC712" s="46"/>
      <c r="AD712" s="46"/>
      <c r="AE712" s="46"/>
      <c r="AF712" s="46"/>
      <c r="AG712" s="46"/>
      <c r="AH712" s="46"/>
      <c r="AI712" s="457"/>
      <c r="AJ712" s="138"/>
      <c r="AK712" s="745"/>
      <c r="AL712" s="54"/>
      <c r="AM712" s="468"/>
      <c r="AN712" s="449"/>
      <c r="AO712" s="45"/>
      <c r="AP712" s="45"/>
      <c r="AQ712" s="45"/>
      <c r="AR712" s="45"/>
      <c r="AS712" s="45"/>
      <c r="AT712" s="45"/>
      <c r="AU712" s="463"/>
      <c r="AV712" s="449"/>
      <c r="AW712" s="45"/>
      <c r="AX712" s="45"/>
      <c r="AY712" s="45"/>
      <c r="AZ712" s="45"/>
      <c r="BA712" s="45"/>
      <c r="BB712" s="45"/>
      <c r="BC712" s="463"/>
      <c r="BD712" s="456"/>
      <c r="BE712" s="46"/>
      <c r="BF712" s="46"/>
      <c r="BG712" s="46"/>
      <c r="BH712" s="46"/>
      <c r="BI712" s="46"/>
      <c r="BJ712" s="457"/>
      <c r="BK712" s="449">
        <v>0</v>
      </c>
      <c r="BL712" s="45"/>
      <c r="BM712" s="45"/>
      <c r="BN712" s="45"/>
      <c r="BO712" s="45"/>
      <c r="BP712" s="45"/>
      <c r="BQ712" s="45"/>
      <c r="BR712" s="45"/>
      <c r="BS712" s="45"/>
      <c r="BT712" s="45"/>
      <c r="BU712" s="45"/>
      <c r="BV712" s="45"/>
      <c r="BW712" s="45"/>
      <c r="BX712" s="45"/>
      <c r="BY712" s="45"/>
      <c r="BZ712" s="45"/>
      <c r="CA712" s="45"/>
      <c r="CB712" s="45"/>
      <c r="CC712" s="45"/>
      <c r="CD712" s="463"/>
      <c r="CE712">
        <v>0</v>
      </c>
      <c r="CF712">
        <v>0</v>
      </c>
      <c r="CG712">
        <v>0</v>
      </c>
      <c r="CH712">
        <v>0</v>
      </c>
      <c r="CI712">
        <v>0</v>
      </c>
      <c r="CJ712">
        <v>0</v>
      </c>
      <c r="CK712">
        <v>0</v>
      </c>
      <c r="CL712">
        <v>0</v>
      </c>
      <c r="CM712">
        <v>0</v>
      </c>
      <c r="CN712">
        <v>0</v>
      </c>
      <c r="CO712">
        <v>0</v>
      </c>
      <c r="CP712">
        <v>0</v>
      </c>
      <c r="CQ712">
        <v>0</v>
      </c>
      <c r="CR712">
        <v>0</v>
      </c>
      <c r="CS712">
        <v>0</v>
      </c>
      <c r="CT712">
        <v>0</v>
      </c>
      <c r="CU712">
        <v>0</v>
      </c>
      <c r="CV712">
        <v>0</v>
      </c>
      <c r="CW712">
        <v>0</v>
      </c>
      <c r="CX712">
        <v>0</v>
      </c>
      <c r="CY712">
        <v>0</v>
      </c>
      <c r="CZ712">
        <v>0</v>
      </c>
      <c r="DA712">
        <v>0</v>
      </c>
      <c r="DB712">
        <v>0</v>
      </c>
      <c r="DC712">
        <v>0</v>
      </c>
      <c r="DD712">
        <v>0</v>
      </c>
      <c r="DE712">
        <v>0</v>
      </c>
      <c r="DF712">
        <v>0</v>
      </c>
      <c r="DG712">
        <v>0</v>
      </c>
      <c r="DH712">
        <v>0</v>
      </c>
      <c r="DI712">
        <v>0</v>
      </c>
      <c r="DJ712">
        <v>0</v>
      </c>
      <c r="DK712">
        <v>0</v>
      </c>
      <c r="DL712">
        <v>0</v>
      </c>
      <c r="DM712">
        <v>0</v>
      </c>
      <c r="DN712">
        <v>0</v>
      </c>
      <c r="DO712">
        <v>0</v>
      </c>
      <c r="DP712">
        <v>0</v>
      </c>
      <c r="DQ712">
        <v>0</v>
      </c>
      <c r="DR712">
        <v>0</v>
      </c>
      <c r="DS712">
        <v>0</v>
      </c>
      <c r="DT712">
        <v>0</v>
      </c>
      <c r="DU712">
        <v>0</v>
      </c>
    </row>
    <row r="713" spans="2:125">
      <c r="B713" s="136">
        <v>704</v>
      </c>
      <c r="C713" s="138">
        <v>1</v>
      </c>
      <c r="D713" s="474">
        <v>3568.0110102798967</v>
      </c>
      <c r="E713" s="127">
        <v>276.6469622174738</v>
      </c>
      <c r="F713" s="447">
        <v>0.40827716420072169</v>
      </c>
      <c r="G713" s="127">
        <v>128.45792424882697</v>
      </c>
      <c r="H713" s="132">
        <v>56.572649750911182</v>
      </c>
      <c r="I713" s="456"/>
      <c r="J713" s="45"/>
      <c r="K713" s="45">
        <v>520</v>
      </c>
      <c r="L713" s="463"/>
      <c r="M713" s="456">
        <v>33.591884613037109</v>
      </c>
      <c r="N713" s="457"/>
      <c r="O713" s="456"/>
      <c r="P713" s="46"/>
      <c r="Q713" s="463">
        <v>70.646621704101563</v>
      </c>
      <c r="R713" s="449"/>
      <c r="S713" s="463"/>
      <c r="T713" s="480"/>
      <c r="U713" s="468"/>
      <c r="V713" s="449"/>
      <c r="W713" s="45">
        <v>1543.9080810546875</v>
      </c>
      <c r="X713" s="463">
        <v>129.531005859375</v>
      </c>
      <c r="Y713" s="449"/>
      <c r="Z713" s="45"/>
      <c r="AA713" s="468">
        <v>0.39898191730028887</v>
      </c>
      <c r="AB713" s="456"/>
      <c r="AC713" s="46"/>
      <c r="AD713" s="46"/>
      <c r="AE713" s="46"/>
      <c r="AF713" s="46"/>
      <c r="AG713" s="46"/>
      <c r="AH713" s="46"/>
      <c r="AI713" s="457"/>
      <c r="AJ713" s="138"/>
      <c r="AK713" s="745"/>
      <c r="AL713" s="54"/>
      <c r="AM713" s="468"/>
      <c r="AN713" s="449"/>
      <c r="AO713" s="45"/>
      <c r="AP713" s="45"/>
      <c r="AQ713" s="45"/>
      <c r="AR713" s="45"/>
      <c r="AS713" s="45"/>
      <c r="AT713" s="45"/>
      <c r="AU713" s="463"/>
      <c r="AV713" s="449"/>
      <c r="AW713" s="45"/>
      <c r="AX713" s="45"/>
      <c r="AY713" s="45"/>
      <c r="AZ713" s="45"/>
      <c r="BA713" s="45"/>
      <c r="BB713" s="45"/>
      <c r="BC713" s="463"/>
      <c r="BD713" s="456"/>
      <c r="BE713" s="46"/>
      <c r="BF713" s="46"/>
      <c r="BG713" s="46"/>
      <c r="BH713" s="46"/>
      <c r="BI713" s="46"/>
      <c r="BJ713" s="457"/>
      <c r="BK713" s="449">
        <v>0</v>
      </c>
      <c r="BL713" s="45"/>
      <c r="BM713" s="45"/>
      <c r="BN713" s="45"/>
      <c r="BO713" s="45"/>
      <c r="BP713" s="45"/>
      <c r="BQ713" s="45"/>
      <c r="BR713" s="45"/>
      <c r="BS713" s="45"/>
      <c r="BT713" s="45"/>
      <c r="BU713" s="45"/>
      <c r="BV713" s="45"/>
      <c r="BW713" s="45"/>
      <c r="BX713" s="45"/>
      <c r="BY713" s="45"/>
      <c r="BZ713" s="45"/>
      <c r="CA713" s="45"/>
      <c r="CB713" s="45"/>
      <c r="CC713" s="45"/>
      <c r="CD713" s="463"/>
      <c r="CE713">
        <v>0</v>
      </c>
      <c r="CF713">
        <v>0</v>
      </c>
      <c r="CG713">
        <v>0</v>
      </c>
      <c r="CH713">
        <v>0</v>
      </c>
      <c r="CI713">
        <v>0</v>
      </c>
      <c r="CJ713">
        <v>0</v>
      </c>
      <c r="CK713">
        <v>0</v>
      </c>
      <c r="CL713">
        <v>0</v>
      </c>
      <c r="CM713">
        <v>0</v>
      </c>
      <c r="CN713">
        <v>0</v>
      </c>
      <c r="CO713">
        <v>0</v>
      </c>
      <c r="CP713">
        <v>0</v>
      </c>
      <c r="CQ713">
        <v>0</v>
      </c>
      <c r="CR713">
        <v>0</v>
      </c>
      <c r="CS713">
        <v>0</v>
      </c>
      <c r="CT713">
        <v>0</v>
      </c>
      <c r="CU713">
        <v>0</v>
      </c>
      <c r="CV713">
        <v>0</v>
      </c>
      <c r="CW713">
        <v>0</v>
      </c>
      <c r="CX713">
        <v>0</v>
      </c>
      <c r="CY713">
        <v>0</v>
      </c>
      <c r="CZ713">
        <v>0</v>
      </c>
      <c r="DA713">
        <v>0</v>
      </c>
      <c r="DB713">
        <v>0</v>
      </c>
      <c r="DC713">
        <v>0</v>
      </c>
      <c r="DD713">
        <v>0</v>
      </c>
      <c r="DE713">
        <v>0</v>
      </c>
      <c r="DF713">
        <v>0</v>
      </c>
      <c r="DG713">
        <v>0</v>
      </c>
      <c r="DH713">
        <v>0</v>
      </c>
      <c r="DI713">
        <v>0</v>
      </c>
      <c r="DJ713">
        <v>0</v>
      </c>
      <c r="DK713">
        <v>0</v>
      </c>
      <c r="DL713">
        <v>0</v>
      </c>
      <c r="DM713">
        <v>0</v>
      </c>
      <c r="DN713">
        <v>0</v>
      </c>
      <c r="DO713">
        <v>0</v>
      </c>
      <c r="DP713">
        <v>0</v>
      </c>
      <c r="DQ713">
        <v>0</v>
      </c>
      <c r="DR713">
        <v>0</v>
      </c>
      <c r="DS713">
        <v>0</v>
      </c>
      <c r="DT713">
        <v>0</v>
      </c>
      <c r="DU713">
        <v>0</v>
      </c>
    </row>
    <row r="714" spans="2:125">
      <c r="B714" s="136">
        <v>705</v>
      </c>
      <c r="C714" s="138">
        <v>1</v>
      </c>
      <c r="D714" s="474">
        <v>3410.3886128816966</v>
      </c>
      <c r="E714" s="127">
        <v>195.68591914236103</v>
      </c>
      <c r="F714" s="447">
        <v>0.44753024161695742</v>
      </c>
      <c r="G714" s="127">
        <v>119.13385938269728</v>
      </c>
      <c r="H714" s="132">
        <v>56.19786259389155</v>
      </c>
      <c r="I714" s="456"/>
      <c r="J714" s="45"/>
      <c r="K714" s="45">
        <v>490</v>
      </c>
      <c r="L714" s="463"/>
      <c r="M714" s="456">
        <v>38.876113891601563</v>
      </c>
      <c r="N714" s="457"/>
      <c r="O714" s="456"/>
      <c r="P714" s="46"/>
      <c r="Q714" s="463">
        <v>67.52569580078125</v>
      </c>
      <c r="R714" s="449"/>
      <c r="S714" s="463"/>
      <c r="T714" s="480"/>
      <c r="U714" s="468"/>
      <c r="V714" s="449"/>
      <c r="W714" s="45">
        <v>1708.4498291015625</v>
      </c>
      <c r="X714" s="463">
        <v>141.40164184570312</v>
      </c>
      <c r="Y714" s="449"/>
      <c r="Z714" s="45"/>
      <c r="AA714" s="468">
        <v>0.43757518702168308</v>
      </c>
      <c r="AB714" s="456"/>
      <c r="AC714" s="46"/>
      <c r="AD714" s="46"/>
      <c r="AE714" s="46"/>
      <c r="AF714" s="46"/>
      <c r="AG714" s="46"/>
      <c r="AH714" s="46"/>
      <c r="AI714" s="457"/>
      <c r="AJ714" s="138"/>
      <c r="AK714" s="745"/>
      <c r="AL714" s="54"/>
      <c r="AM714" s="468"/>
      <c r="AN714" s="449"/>
      <c r="AO714" s="45"/>
      <c r="AP714" s="45"/>
      <c r="AQ714" s="45"/>
      <c r="AR714" s="45"/>
      <c r="AS714" s="45"/>
      <c r="AT714" s="45"/>
      <c r="AU714" s="463"/>
      <c r="AV714" s="449"/>
      <c r="AW714" s="45"/>
      <c r="AX714" s="45"/>
      <c r="AY714" s="45"/>
      <c r="AZ714" s="45"/>
      <c r="BA714" s="45"/>
      <c r="BB714" s="45"/>
      <c r="BC714" s="463"/>
      <c r="BD714" s="456"/>
      <c r="BE714" s="46"/>
      <c r="BF714" s="46"/>
      <c r="BG714" s="46"/>
      <c r="BH714" s="46"/>
      <c r="BI714" s="46"/>
      <c r="BJ714" s="457"/>
      <c r="BK714" s="449">
        <v>0</v>
      </c>
      <c r="BL714" s="45"/>
      <c r="BM714" s="45"/>
      <c r="BN714" s="45"/>
      <c r="BO714" s="45"/>
      <c r="BP714" s="45"/>
      <c r="BQ714" s="45"/>
      <c r="BR714" s="45"/>
      <c r="BS714" s="45"/>
      <c r="BT714" s="45"/>
      <c r="BU714" s="45"/>
      <c r="BV714" s="45"/>
      <c r="BW714" s="45"/>
      <c r="BX714" s="45"/>
      <c r="BY714" s="45"/>
      <c r="BZ714" s="45"/>
      <c r="CA714" s="45"/>
      <c r="CB714" s="45"/>
      <c r="CC714" s="45"/>
      <c r="CD714" s="463"/>
      <c r="CE714">
        <v>0</v>
      </c>
      <c r="CF714">
        <v>0</v>
      </c>
      <c r="CG714">
        <v>0</v>
      </c>
      <c r="CH714">
        <v>0</v>
      </c>
      <c r="CI714">
        <v>0</v>
      </c>
      <c r="CJ714">
        <v>0</v>
      </c>
      <c r="CK714">
        <v>0</v>
      </c>
      <c r="CL714">
        <v>0</v>
      </c>
      <c r="CM714">
        <v>0</v>
      </c>
      <c r="CN714">
        <v>0</v>
      </c>
      <c r="CO714">
        <v>0</v>
      </c>
      <c r="CP714">
        <v>0</v>
      </c>
      <c r="CQ714">
        <v>0</v>
      </c>
      <c r="CR714">
        <v>0</v>
      </c>
      <c r="CS714">
        <v>0</v>
      </c>
      <c r="CT714">
        <v>0</v>
      </c>
      <c r="CU714">
        <v>0</v>
      </c>
      <c r="CV714">
        <v>0</v>
      </c>
      <c r="CW714">
        <v>0</v>
      </c>
      <c r="CX714">
        <v>0</v>
      </c>
      <c r="CY714">
        <v>0</v>
      </c>
      <c r="CZ714">
        <v>0</v>
      </c>
      <c r="DA714">
        <v>0</v>
      </c>
      <c r="DB714">
        <v>0</v>
      </c>
      <c r="DC714">
        <v>0</v>
      </c>
      <c r="DD714">
        <v>0</v>
      </c>
      <c r="DE714">
        <v>0</v>
      </c>
      <c r="DF714">
        <v>0</v>
      </c>
      <c r="DG714">
        <v>0</v>
      </c>
      <c r="DH714">
        <v>0</v>
      </c>
      <c r="DI714">
        <v>0</v>
      </c>
      <c r="DJ714">
        <v>0</v>
      </c>
      <c r="DK714">
        <v>0</v>
      </c>
      <c r="DL714">
        <v>0</v>
      </c>
      <c r="DM714">
        <v>0</v>
      </c>
      <c r="DN714">
        <v>0</v>
      </c>
      <c r="DO714">
        <v>0</v>
      </c>
      <c r="DP714">
        <v>0</v>
      </c>
      <c r="DQ714">
        <v>0</v>
      </c>
      <c r="DR714">
        <v>0</v>
      </c>
      <c r="DS714">
        <v>0</v>
      </c>
      <c r="DT714">
        <v>0</v>
      </c>
      <c r="DU714">
        <v>0</v>
      </c>
    </row>
    <row r="715" spans="2:125">
      <c r="B715" s="136">
        <v>706</v>
      </c>
      <c r="C715" s="138">
        <v>1</v>
      </c>
      <c r="D715" s="474">
        <v>2924.1177951855325</v>
      </c>
      <c r="E715" s="127">
        <v>270.0286275519702</v>
      </c>
      <c r="F715" s="447">
        <v>0.38447258378432769</v>
      </c>
      <c r="G715" s="127">
        <v>103.72869817277086</v>
      </c>
      <c r="H715" s="132">
        <v>51.173798538976435</v>
      </c>
      <c r="I715" s="456"/>
      <c r="J715" s="45"/>
      <c r="K715" s="45">
        <v>420</v>
      </c>
      <c r="L715" s="463"/>
      <c r="M715" s="456">
        <v>29.942655563354492</v>
      </c>
      <c r="N715" s="457"/>
      <c r="O715" s="456"/>
      <c r="P715" s="46"/>
      <c r="Q715" s="463">
        <v>57.897529602050781</v>
      </c>
      <c r="R715" s="449"/>
      <c r="S715" s="463"/>
      <c r="T715" s="480"/>
      <c r="U715" s="468"/>
      <c r="V715" s="449"/>
      <c r="W715" s="45">
        <v>1203.12060546875</v>
      </c>
      <c r="X715" s="463">
        <v>104.34661102294922</v>
      </c>
      <c r="Y715" s="449"/>
      <c r="Z715" s="45"/>
      <c r="AA715" s="468">
        <v>0.3732933311121171</v>
      </c>
      <c r="AB715" s="456"/>
      <c r="AC715" s="46"/>
      <c r="AD715" s="46"/>
      <c r="AE715" s="46"/>
      <c r="AF715" s="46"/>
      <c r="AG715" s="46"/>
      <c r="AH715" s="46"/>
      <c r="AI715" s="457"/>
      <c r="AJ715" s="138"/>
      <c r="AK715" s="745"/>
      <c r="AL715" s="54"/>
      <c r="AM715" s="468"/>
      <c r="AN715" s="449"/>
      <c r="AO715" s="45"/>
      <c r="AP715" s="45"/>
      <c r="AQ715" s="45"/>
      <c r="AR715" s="45"/>
      <c r="AS715" s="45"/>
      <c r="AT715" s="45"/>
      <c r="AU715" s="463"/>
      <c r="AV715" s="449"/>
      <c r="AW715" s="45"/>
      <c r="AX715" s="45"/>
      <c r="AY715" s="45"/>
      <c r="AZ715" s="45"/>
      <c r="BA715" s="45"/>
      <c r="BB715" s="45"/>
      <c r="BC715" s="463"/>
      <c r="BD715" s="456"/>
      <c r="BE715" s="46"/>
      <c r="BF715" s="46"/>
      <c r="BG715" s="46"/>
      <c r="BH715" s="46"/>
      <c r="BI715" s="46"/>
      <c r="BJ715" s="457"/>
      <c r="BK715" s="449">
        <v>0</v>
      </c>
      <c r="BL715" s="45"/>
      <c r="BM715" s="45"/>
      <c r="BN715" s="45"/>
      <c r="BO715" s="45"/>
      <c r="BP715" s="45"/>
      <c r="BQ715" s="45"/>
      <c r="BR715" s="45"/>
      <c r="BS715" s="45"/>
      <c r="BT715" s="45"/>
      <c r="BU715" s="45"/>
      <c r="BV715" s="45"/>
      <c r="BW715" s="45"/>
      <c r="BX715" s="45"/>
      <c r="BY715" s="45"/>
      <c r="BZ715" s="45"/>
      <c r="CA715" s="45"/>
      <c r="CB715" s="45"/>
      <c r="CC715" s="45"/>
      <c r="CD715" s="463"/>
      <c r="CE715">
        <v>0</v>
      </c>
      <c r="CF715">
        <v>0</v>
      </c>
      <c r="CG715">
        <v>0</v>
      </c>
      <c r="CH715">
        <v>0</v>
      </c>
      <c r="CI715">
        <v>0</v>
      </c>
      <c r="CJ715">
        <v>0</v>
      </c>
      <c r="CK715">
        <v>0</v>
      </c>
      <c r="CL715">
        <v>0</v>
      </c>
      <c r="CM715">
        <v>0</v>
      </c>
      <c r="CN715">
        <v>0</v>
      </c>
      <c r="CO715">
        <v>0</v>
      </c>
      <c r="CP715">
        <v>0</v>
      </c>
      <c r="CQ715">
        <v>0</v>
      </c>
      <c r="CR715">
        <v>0</v>
      </c>
      <c r="CS715">
        <v>0</v>
      </c>
      <c r="CT715">
        <v>0</v>
      </c>
      <c r="CU715">
        <v>0</v>
      </c>
      <c r="CV715">
        <v>0</v>
      </c>
      <c r="CW715">
        <v>0</v>
      </c>
      <c r="CX715">
        <v>0</v>
      </c>
      <c r="CY715">
        <v>0</v>
      </c>
      <c r="CZ715">
        <v>0</v>
      </c>
      <c r="DA715">
        <v>0</v>
      </c>
      <c r="DB715">
        <v>0</v>
      </c>
      <c r="DC715">
        <v>0</v>
      </c>
      <c r="DD715">
        <v>0</v>
      </c>
      <c r="DE715">
        <v>0</v>
      </c>
      <c r="DF715">
        <v>0</v>
      </c>
      <c r="DG715">
        <v>0</v>
      </c>
      <c r="DH715">
        <v>0</v>
      </c>
      <c r="DI715">
        <v>0</v>
      </c>
      <c r="DJ715">
        <v>0</v>
      </c>
      <c r="DK715">
        <v>0</v>
      </c>
      <c r="DL715">
        <v>0</v>
      </c>
      <c r="DM715">
        <v>0</v>
      </c>
      <c r="DN715">
        <v>0</v>
      </c>
      <c r="DO715">
        <v>0</v>
      </c>
      <c r="DP715">
        <v>0</v>
      </c>
      <c r="DQ715">
        <v>0</v>
      </c>
      <c r="DR715">
        <v>0</v>
      </c>
      <c r="DS715">
        <v>0</v>
      </c>
      <c r="DT715">
        <v>0</v>
      </c>
      <c r="DU715">
        <v>0</v>
      </c>
    </row>
    <row r="716" spans="2:125">
      <c r="B716" s="136">
        <v>707</v>
      </c>
      <c r="C716" s="138">
        <v>1</v>
      </c>
      <c r="D716" s="474">
        <v>3751.4103941670783</v>
      </c>
      <c r="E716" s="127">
        <v>274.68516371796153</v>
      </c>
      <c r="F716" s="447">
        <v>0.41437268431632801</v>
      </c>
      <c r="G716" s="127">
        <v>139.34745032041806</v>
      </c>
      <c r="H716" s="132">
        <v>63.274780305998355</v>
      </c>
      <c r="I716" s="456"/>
      <c r="J716" s="45"/>
      <c r="K716" s="45">
        <v>580</v>
      </c>
      <c r="L716" s="463"/>
      <c r="M716" s="456">
        <v>34.647037506103516</v>
      </c>
      <c r="N716" s="457"/>
      <c r="O716" s="456"/>
      <c r="P716" s="46"/>
      <c r="Q716" s="463">
        <v>82.397933959960938</v>
      </c>
      <c r="R716" s="449"/>
      <c r="S716" s="463"/>
      <c r="T716" s="480"/>
      <c r="U716" s="468"/>
      <c r="V716" s="449"/>
      <c r="W716" s="45">
        <v>1744.174072265625</v>
      </c>
      <c r="X716" s="463">
        <v>144.36679077148437</v>
      </c>
      <c r="Y716" s="449"/>
      <c r="Z716" s="45"/>
      <c r="AA716" s="468">
        <v>0.40549936729985758</v>
      </c>
      <c r="AB716" s="456"/>
      <c r="AC716" s="46"/>
      <c r="AD716" s="46"/>
      <c r="AE716" s="46"/>
      <c r="AF716" s="46"/>
      <c r="AG716" s="46"/>
      <c r="AH716" s="46"/>
      <c r="AI716" s="457"/>
      <c r="AJ716" s="138"/>
      <c r="AK716" s="745"/>
      <c r="AL716" s="54"/>
      <c r="AM716" s="468"/>
      <c r="AN716" s="449"/>
      <c r="AO716" s="45"/>
      <c r="AP716" s="45"/>
      <c r="AQ716" s="45"/>
      <c r="AR716" s="45"/>
      <c r="AS716" s="45"/>
      <c r="AT716" s="45"/>
      <c r="AU716" s="463"/>
      <c r="AV716" s="449"/>
      <c r="AW716" s="45"/>
      <c r="AX716" s="45"/>
      <c r="AY716" s="45"/>
      <c r="AZ716" s="45"/>
      <c r="BA716" s="45"/>
      <c r="BB716" s="45"/>
      <c r="BC716" s="463"/>
      <c r="BD716" s="456"/>
      <c r="BE716" s="46"/>
      <c r="BF716" s="46"/>
      <c r="BG716" s="46"/>
      <c r="BH716" s="46"/>
      <c r="BI716" s="46"/>
      <c r="BJ716" s="457"/>
      <c r="BK716" s="449">
        <v>0</v>
      </c>
      <c r="BL716" s="45"/>
      <c r="BM716" s="45"/>
      <c r="BN716" s="45"/>
      <c r="BO716" s="45"/>
      <c r="BP716" s="45"/>
      <c r="BQ716" s="45"/>
      <c r="BR716" s="45"/>
      <c r="BS716" s="45"/>
      <c r="BT716" s="45"/>
      <c r="BU716" s="45"/>
      <c r="BV716" s="45"/>
      <c r="BW716" s="45"/>
      <c r="BX716" s="45"/>
      <c r="BY716" s="45"/>
      <c r="BZ716" s="45"/>
      <c r="CA716" s="45"/>
      <c r="CB716" s="45"/>
      <c r="CC716" s="45"/>
      <c r="CD716" s="463"/>
      <c r="CE716">
        <v>0</v>
      </c>
      <c r="CF716">
        <v>0</v>
      </c>
      <c r="CG716">
        <v>0</v>
      </c>
      <c r="CH716">
        <v>0</v>
      </c>
      <c r="CI716">
        <v>0</v>
      </c>
      <c r="CJ716">
        <v>0</v>
      </c>
      <c r="CK716">
        <v>0</v>
      </c>
      <c r="CL716">
        <v>0</v>
      </c>
      <c r="CM716">
        <v>0</v>
      </c>
      <c r="CN716">
        <v>0</v>
      </c>
      <c r="CO716">
        <v>0</v>
      </c>
      <c r="CP716">
        <v>0</v>
      </c>
      <c r="CQ716">
        <v>0</v>
      </c>
      <c r="CR716">
        <v>0</v>
      </c>
      <c r="CS716">
        <v>0</v>
      </c>
      <c r="CT716">
        <v>0</v>
      </c>
      <c r="CU716">
        <v>0</v>
      </c>
      <c r="CV716">
        <v>0</v>
      </c>
      <c r="CW716">
        <v>0</v>
      </c>
      <c r="CX716">
        <v>0</v>
      </c>
      <c r="CY716">
        <v>0</v>
      </c>
      <c r="CZ716">
        <v>0</v>
      </c>
      <c r="DA716">
        <v>0</v>
      </c>
      <c r="DB716">
        <v>0</v>
      </c>
      <c r="DC716">
        <v>0</v>
      </c>
      <c r="DD716">
        <v>0</v>
      </c>
      <c r="DE716">
        <v>0</v>
      </c>
      <c r="DF716">
        <v>0</v>
      </c>
      <c r="DG716">
        <v>0</v>
      </c>
      <c r="DH716">
        <v>0</v>
      </c>
      <c r="DI716">
        <v>0</v>
      </c>
      <c r="DJ716">
        <v>0</v>
      </c>
      <c r="DK716">
        <v>0</v>
      </c>
      <c r="DL716">
        <v>0</v>
      </c>
      <c r="DM716">
        <v>0</v>
      </c>
      <c r="DN716">
        <v>0</v>
      </c>
      <c r="DO716">
        <v>0</v>
      </c>
      <c r="DP716">
        <v>0</v>
      </c>
      <c r="DQ716">
        <v>0</v>
      </c>
      <c r="DR716">
        <v>0</v>
      </c>
      <c r="DS716">
        <v>0</v>
      </c>
      <c r="DT716">
        <v>0</v>
      </c>
      <c r="DU716">
        <v>0</v>
      </c>
    </row>
    <row r="717" spans="2:125">
      <c r="B717" s="136">
        <v>708</v>
      </c>
      <c r="C717" s="138">
        <v>1</v>
      </c>
      <c r="D717" s="474">
        <v>3199.7291566378353</v>
      </c>
      <c r="E717" s="127">
        <v>225.84701790798906</v>
      </c>
      <c r="F717" s="447">
        <v>0.35572068195460099</v>
      </c>
      <c r="G717" s="127">
        <v>99.785650381077147</v>
      </c>
      <c r="H717" s="132">
        <v>57.431516705073427</v>
      </c>
      <c r="I717" s="456"/>
      <c r="J717" s="45"/>
      <c r="K717" s="45">
        <v>430</v>
      </c>
      <c r="L717" s="463"/>
      <c r="M717" s="456">
        <v>25.979207992553711</v>
      </c>
      <c r="N717" s="457"/>
      <c r="O717" s="456"/>
      <c r="P717" s="46"/>
      <c r="Q717" s="463">
        <v>63.354644775390625</v>
      </c>
      <c r="R717" s="449"/>
      <c r="S717" s="463"/>
      <c r="T717" s="480"/>
      <c r="U717" s="468"/>
      <c r="V717" s="449"/>
      <c r="W717" s="45">
        <v>1116.3909912109375</v>
      </c>
      <c r="X717" s="463">
        <v>98.054283142089844</v>
      </c>
      <c r="Y717" s="449"/>
      <c r="Z717" s="45"/>
      <c r="AA717" s="468">
        <v>0.34568407820878999</v>
      </c>
      <c r="AB717" s="456"/>
      <c r="AC717" s="46"/>
      <c r="AD717" s="46"/>
      <c r="AE717" s="46"/>
      <c r="AF717" s="46"/>
      <c r="AG717" s="46"/>
      <c r="AH717" s="46"/>
      <c r="AI717" s="457"/>
      <c r="AJ717" s="138"/>
      <c r="AK717" s="745"/>
      <c r="AL717" s="54"/>
      <c r="AM717" s="468"/>
      <c r="AN717" s="449"/>
      <c r="AO717" s="45"/>
      <c r="AP717" s="45"/>
      <c r="AQ717" s="45"/>
      <c r="AR717" s="45"/>
      <c r="AS717" s="45"/>
      <c r="AT717" s="45"/>
      <c r="AU717" s="463"/>
      <c r="AV717" s="449"/>
      <c r="AW717" s="45"/>
      <c r="AX717" s="45"/>
      <c r="AY717" s="45"/>
      <c r="AZ717" s="45"/>
      <c r="BA717" s="45"/>
      <c r="BB717" s="45"/>
      <c r="BC717" s="463"/>
      <c r="BD717" s="456"/>
      <c r="BE717" s="46"/>
      <c r="BF717" s="46"/>
      <c r="BG717" s="46"/>
      <c r="BH717" s="46"/>
      <c r="BI717" s="46"/>
      <c r="BJ717" s="457"/>
      <c r="BK717" s="449">
        <v>0</v>
      </c>
      <c r="BL717" s="45"/>
      <c r="BM717" s="45"/>
      <c r="BN717" s="45"/>
      <c r="BO717" s="45"/>
      <c r="BP717" s="45"/>
      <c r="BQ717" s="45"/>
      <c r="BR717" s="45"/>
      <c r="BS717" s="45"/>
      <c r="BT717" s="45"/>
      <c r="BU717" s="45"/>
      <c r="BV717" s="45"/>
      <c r="BW717" s="45"/>
      <c r="BX717" s="45"/>
      <c r="BY717" s="45"/>
      <c r="BZ717" s="45"/>
      <c r="CA717" s="45"/>
      <c r="CB717" s="45"/>
      <c r="CC717" s="45"/>
      <c r="CD717" s="463"/>
      <c r="CE717">
        <v>0</v>
      </c>
      <c r="CF717">
        <v>0</v>
      </c>
      <c r="CG717">
        <v>0</v>
      </c>
      <c r="CH717">
        <v>0</v>
      </c>
      <c r="CI717">
        <v>0</v>
      </c>
      <c r="CJ717">
        <v>0</v>
      </c>
      <c r="CK717">
        <v>0</v>
      </c>
      <c r="CL717">
        <v>0</v>
      </c>
      <c r="CM717">
        <v>0</v>
      </c>
      <c r="CN717">
        <v>0</v>
      </c>
      <c r="CO717">
        <v>0</v>
      </c>
      <c r="CP717">
        <v>0</v>
      </c>
      <c r="CQ717">
        <v>0</v>
      </c>
      <c r="CR717">
        <v>0</v>
      </c>
      <c r="CS717">
        <v>0</v>
      </c>
      <c r="CT717">
        <v>0</v>
      </c>
      <c r="CU717">
        <v>0</v>
      </c>
      <c r="CV717">
        <v>0</v>
      </c>
      <c r="CW717">
        <v>0</v>
      </c>
      <c r="CX717">
        <v>0</v>
      </c>
      <c r="CY717">
        <v>0</v>
      </c>
      <c r="CZ717">
        <v>0</v>
      </c>
      <c r="DA717">
        <v>0</v>
      </c>
      <c r="DB717">
        <v>0</v>
      </c>
      <c r="DC717">
        <v>0</v>
      </c>
      <c r="DD717">
        <v>0</v>
      </c>
      <c r="DE717">
        <v>0</v>
      </c>
      <c r="DF717">
        <v>0</v>
      </c>
      <c r="DG717">
        <v>0</v>
      </c>
      <c r="DH717">
        <v>0</v>
      </c>
      <c r="DI717">
        <v>0</v>
      </c>
      <c r="DJ717">
        <v>0</v>
      </c>
      <c r="DK717">
        <v>0</v>
      </c>
      <c r="DL717">
        <v>0</v>
      </c>
      <c r="DM717">
        <v>0</v>
      </c>
      <c r="DN717">
        <v>0</v>
      </c>
      <c r="DO717">
        <v>0</v>
      </c>
      <c r="DP717">
        <v>0</v>
      </c>
      <c r="DQ717">
        <v>0</v>
      </c>
      <c r="DR717">
        <v>0</v>
      </c>
      <c r="DS717">
        <v>0</v>
      </c>
      <c r="DT717">
        <v>0</v>
      </c>
      <c r="DU717">
        <v>0</v>
      </c>
    </row>
    <row r="718" spans="2:125">
      <c r="B718" s="136">
        <v>709</v>
      </c>
      <c r="C718" s="138">
        <v>1</v>
      </c>
      <c r="D718" s="474">
        <v>3193.8195032477338</v>
      </c>
      <c r="E718" s="127">
        <v>212.85308440338528</v>
      </c>
      <c r="F718" s="447">
        <v>0.42279936981921806</v>
      </c>
      <c r="G718" s="127">
        <v>123.04083339988796</v>
      </c>
      <c r="H718" s="132">
        <v>50.912997383232153</v>
      </c>
      <c r="I718" s="456"/>
      <c r="J718" s="45"/>
      <c r="K718" s="45">
        <v>490</v>
      </c>
      <c r="L718" s="463"/>
      <c r="M718" s="456">
        <v>36.136585235595703</v>
      </c>
      <c r="N718" s="457"/>
      <c r="O718" s="456"/>
      <c r="P718" s="46"/>
      <c r="Q718" s="463">
        <v>63.237628936767578</v>
      </c>
      <c r="R718" s="449"/>
      <c r="S718" s="463"/>
      <c r="T718" s="480"/>
      <c r="U718" s="468"/>
      <c r="V718" s="449"/>
      <c r="W718" s="45">
        <v>1541.298828125</v>
      </c>
      <c r="X718" s="463">
        <v>129.20936584472656</v>
      </c>
      <c r="Y718" s="449"/>
      <c r="Z718" s="45"/>
      <c r="AA718" s="468">
        <v>0.41232414184770505</v>
      </c>
      <c r="AB718" s="456"/>
      <c r="AC718" s="46"/>
      <c r="AD718" s="46"/>
      <c r="AE718" s="46"/>
      <c r="AF718" s="46"/>
      <c r="AG718" s="46"/>
      <c r="AH718" s="46"/>
      <c r="AI718" s="457"/>
      <c r="AJ718" s="138"/>
      <c r="AK718" s="745"/>
      <c r="AL718" s="54"/>
      <c r="AM718" s="468"/>
      <c r="AN718" s="449"/>
      <c r="AO718" s="45"/>
      <c r="AP718" s="45"/>
      <c r="AQ718" s="45"/>
      <c r="AR718" s="45"/>
      <c r="AS718" s="45"/>
      <c r="AT718" s="45"/>
      <c r="AU718" s="463"/>
      <c r="AV718" s="449"/>
      <c r="AW718" s="45"/>
      <c r="AX718" s="45"/>
      <c r="AY718" s="45"/>
      <c r="AZ718" s="45"/>
      <c r="BA718" s="45"/>
      <c r="BB718" s="45"/>
      <c r="BC718" s="463"/>
      <c r="BD718" s="456"/>
      <c r="BE718" s="46"/>
      <c r="BF718" s="46"/>
      <c r="BG718" s="46"/>
      <c r="BH718" s="46"/>
      <c r="BI718" s="46"/>
      <c r="BJ718" s="457"/>
      <c r="BK718" s="449">
        <v>0</v>
      </c>
      <c r="BL718" s="45"/>
      <c r="BM718" s="45"/>
      <c r="BN718" s="45"/>
      <c r="BO718" s="45"/>
      <c r="BP718" s="45"/>
      <c r="BQ718" s="45"/>
      <c r="BR718" s="45"/>
      <c r="BS718" s="45"/>
      <c r="BT718" s="45"/>
      <c r="BU718" s="45"/>
      <c r="BV718" s="45"/>
      <c r="BW718" s="45"/>
      <c r="BX718" s="45"/>
      <c r="BY718" s="45"/>
      <c r="BZ718" s="45"/>
      <c r="CA718" s="45"/>
      <c r="CB718" s="45"/>
      <c r="CC718" s="45"/>
      <c r="CD718" s="463"/>
      <c r="CE718">
        <v>0</v>
      </c>
      <c r="CF718">
        <v>0</v>
      </c>
      <c r="CG718">
        <v>0</v>
      </c>
      <c r="CH718">
        <v>0</v>
      </c>
      <c r="CI718">
        <v>0</v>
      </c>
      <c r="CJ718">
        <v>0</v>
      </c>
      <c r="CK718">
        <v>0</v>
      </c>
      <c r="CL718">
        <v>0</v>
      </c>
      <c r="CM718">
        <v>0</v>
      </c>
      <c r="CN718">
        <v>0</v>
      </c>
      <c r="CO718">
        <v>0</v>
      </c>
      <c r="CP718">
        <v>0</v>
      </c>
      <c r="CQ718">
        <v>0</v>
      </c>
      <c r="CR718">
        <v>0</v>
      </c>
      <c r="CS718">
        <v>0</v>
      </c>
      <c r="CT718">
        <v>0</v>
      </c>
      <c r="CU718">
        <v>0</v>
      </c>
      <c r="CV718">
        <v>0</v>
      </c>
      <c r="CW718">
        <v>0</v>
      </c>
      <c r="CX718">
        <v>0</v>
      </c>
      <c r="CY718">
        <v>0</v>
      </c>
      <c r="CZ718">
        <v>0</v>
      </c>
      <c r="DA718">
        <v>0</v>
      </c>
      <c r="DB718">
        <v>0</v>
      </c>
      <c r="DC718">
        <v>0</v>
      </c>
      <c r="DD718">
        <v>0</v>
      </c>
      <c r="DE718">
        <v>0</v>
      </c>
      <c r="DF718">
        <v>0</v>
      </c>
      <c r="DG718">
        <v>0</v>
      </c>
      <c r="DH718">
        <v>0</v>
      </c>
      <c r="DI718">
        <v>0</v>
      </c>
      <c r="DJ718">
        <v>0</v>
      </c>
      <c r="DK718">
        <v>0</v>
      </c>
      <c r="DL718">
        <v>0</v>
      </c>
      <c r="DM718">
        <v>0</v>
      </c>
      <c r="DN718">
        <v>0</v>
      </c>
      <c r="DO718">
        <v>0</v>
      </c>
      <c r="DP718">
        <v>0</v>
      </c>
      <c r="DQ718">
        <v>0</v>
      </c>
      <c r="DR718">
        <v>0</v>
      </c>
      <c r="DS718">
        <v>0</v>
      </c>
      <c r="DT718">
        <v>0</v>
      </c>
      <c r="DU718">
        <v>0</v>
      </c>
    </row>
    <row r="719" spans="2:125">
      <c r="B719" s="136">
        <v>710</v>
      </c>
      <c r="C719" s="138">
        <v>1</v>
      </c>
      <c r="D719" s="474">
        <v>4467.9444269776186</v>
      </c>
      <c r="E719" s="127">
        <v>245.08288701849796</v>
      </c>
      <c r="F719" s="447">
        <v>0.39360865579071763</v>
      </c>
      <c r="G719" s="127">
        <v>161.89775478690871</v>
      </c>
      <c r="H719" s="132">
        <v>62.957429341345509</v>
      </c>
      <c r="I719" s="456"/>
      <c r="J719" s="45"/>
      <c r="K719" s="45">
        <v>640</v>
      </c>
      <c r="L719" s="463"/>
      <c r="M719" s="456">
        <v>33.626365661621094</v>
      </c>
      <c r="N719" s="457"/>
      <c r="O719" s="456"/>
      <c r="P719" s="46"/>
      <c r="Q719" s="463">
        <v>88.465301513671875</v>
      </c>
      <c r="R719" s="449"/>
      <c r="S719" s="463"/>
      <c r="T719" s="480"/>
      <c r="U719" s="468"/>
      <c r="V719" s="449"/>
      <c r="W719" s="45">
        <v>1787.787841796875</v>
      </c>
      <c r="X719" s="463">
        <v>147.80223083496094</v>
      </c>
      <c r="Y719" s="449"/>
      <c r="Z719" s="45"/>
      <c r="AA719" s="468">
        <v>0.38625131873045099</v>
      </c>
      <c r="AB719" s="456"/>
      <c r="AC719" s="46"/>
      <c r="AD719" s="46"/>
      <c r="AE719" s="46"/>
      <c r="AF719" s="46"/>
      <c r="AG719" s="46"/>
      <c r="AH719" s="46"/>
      <c r="AI719" s="457"/>
      <c r="AJ719" s="138"/>
      <c r="AK719" s="745"/>
      <c r="AL719" s="54"/>
      <c r="AM719" s="468"/>
      <c r="AN719" s="449"/>
      <c r="AO719" s="45"/>
      <c r="AP719" s="45"/>
      <c r="AQ719" s="45"/>
      <c r="AR719" s="45"/>
      <c r="AS719" s="45"/>
      <c r="AT719" s="45"/>
      <c r="AU719" s="463"/>
      <c r="AV719" s="449"/>
      <c r="AW719" s="45"/>
      <c r="AX719" s="45"/>
      <c r="AY719" s="45"/>
      <c r="AZ719" s="45"/>
      <c r="BA719" s="45"/>
      <c r="BB719" s="45"/>
      <c r="BC719" s="463"/>
      <c r="BD719" s="456"/>
      <c r="BE719" s="46"/>
      <c r="BF719" s="46"/>
      <c r="BG719" s="46"/>
      <c r="BH719" s="46"/>
      <c r="BI719" s="46"/>
      <c r="BJ719" s="457"/>
      <c r="BK719" s="449">
        <v>0</v>
      </c>
      <c r="BL719" s="45"/>
      <c r="BM719" s="45"/>
      <c r="BN719" s="45"/>
      <c r="BO719" s="45"/>
      <c r="BP719" s="45"/>
      <c r="BQ719" s="45"/>
      <c r="BR719" s="45"/>
      <c r="BS719" s="45"/>
      <c r="BT719" s="45"/>
      <c r="BU719" s="45"/>
      <c r="BV719" s="45"/>
      <c r="BW719" s="45"/>
      <c r="BX719" s="45"/>
      <c r="BY719" s="45"/>
      <c r="BZ719" s="45"/>
      <c r="CA719" s="45"/>
      <c r="CB719" s="45"/>
      <c r="CC719" s="45"/>
      <c r="CD719" s="463"/>
      <c r="CE719">
        <v>0</v>
      </c>
      <c r="CF719">
        <v>0</v>
      </c>
      <c r="CG719">
        <v>0</v>
      </c>
      <c r="CH719">
        <v>0</v>
      </c>
      <c r="CI719">
        <v>0</v>
      </c>
      <c r="CJ719">
        <v>0</v>
      </c>
      <c r="CK719">
        <v>0</v>
      </c>
      <c r="CL719">
        <v>0</v>
      </c>
      <c r="CM719">
        <v>0</v>
      </c>
      <c r="CN719">
        <v>0</v>
      </c>
      <c r="CO719">
        <v>0</v>
      </c>
      <c r="CP719">
        <v>0</v>
      </c>
      <c r="CQ719">
        <v>0</v>
      </c>
      <c r="CR719">
        <v>0</v>
      </c>
      <c r="CS719">
        <v>0</v>
      </c>
      <c r="CT719">
        <v>0</v>
      </c>
      <c r="CU719">
        <v>0</v>
      </c>
      <c r="CV719">
        <v>0</v>
      </c>
      <c r="CW719">
        <v>0</v>
      </c>
      <c r="CX719">
        <v>0</v>
      </c>
      <c r="CY719">
        <v>0</v>
      </c>
      <c r="CZ719">
        <v>0</v>
      </c>
      <c r="DA719">
        <v>0</v>
      </c>
      <c r="DB719">
        <v>0</v>
      </c>
      <c r="DC719">
        <v>0</v>
      </c>
      <c r="DD719">
        <v>0</v>
      </c>
      <c r="DE719">
        <v>0</v>
      </c>
      <c r="DF719">
        <v>0</v>
      </c>
      <c r="DG719">
        <v>0</v>
      </c>
      <c r="DH719">
        <v>0</v>
      </c>
      <c r="DI719">
        <v>0</v>
      </c>
      <c r="DJ719">
        <v>0</v>
      </c>
      <c r="DK719">
        <v>0</v>
      </c>
      <c r="DL719">
        <v>0</v>
      </c>
      <c r="DM719">
        <v>0</v>
      </c>
      <c r="DN719">
        <v>0</v>
      </c>
      <c r="DO719">
        <v>0</v>
      </c>
      <c r="DP719">
        <v>0</v>
      </c>
      <c r="DQ719">
        <v>0</v>
      </c>
      <c r="DR719">
        <v>0</v>
      </c>
      <c r="DS719">
        <v>0</v>
      </c>
      <c r="DT719">
        <v>0</v>
      </c>
      <c r="DU719">
        <v>0</v>
      </c>
    </row>
    <row r="720" spans="2:125">
      <c r="B720" s="136">
        <v>711</v>
      </c>
      <c r="C720" s="138">
        <v>1</v>
      </c>
      <c r="D720" s="474">
        <v>3793.1252547909125</v>
      </c>
      <c r="E720" s="127">
        <v>241.42216585616191</v>
      </c>
      <c r="F720" s="447">
        <v>0.45189488422308133</v>
      </c>
      <c r="G720" s="127">
        <v>121.66831295374156</v>
      </c>
      <c r="H720" s="132">
        <v>61.709299157342187</v>
      </c>
      <c r="I720" s="456"/>
      <c r="J720" s="45"/>
      <c r="K720" s="45">
        <v>520</v>
      </c>
      <c r="L720" s="463"/>
      <c r="M720" s="456">
        <v>38.90301513671875</v>
      </c>
      <c r="N720" s="457"/>
      <c r="O720" s="456"/>
      <c r="P720" s="46"/>
      <c r="Q720" s="463">
        <v>75.103889465332031</v>
      </c>
      <c r="R720" s="449"/>
      <c r="S720" s="463"/>
      <c r="T720" s="480"/>
      <c r="U720" s="468"/>
      <c r="V720" s="449"/>
      <c r="W720" s="45">
        <v>1819.4464111328125</v>
      </c>
      <c r="X720" s="463">
        <v>149.59407043457031</v>
      </c>
      <c r="Y720" s="449"/>
      <c r="Z720" s="45"/>
      <c r="AA720" s="468">
        <v>0.4429213082407249</v>
      </c>
      <c r="AB720" s="456"/>
      <c r="AC720" s="46"/>
      <c r="AD720" s="46"/>
      <c r="AE720" s="46"/>
      <c r="AF720" s="46"/>
      <c r="AG720" s="46"/>
      <c r="AH720" s="46"/>
      <c r="AI720" s="457"/>
      <c r="AJ720" s="138"/>
      <c r="AK720" s="745"/>
      <c r="AL720" s="54"/>
      <c r="AM720" s="468"/>
      <c r="AN720" s="449"/>
      <c r="AO720" s="45"/>
      <c r="AP720" s="45"/>
      <c r="AQ720" s="45"/>
      <c r="AR720" s="45"/>
      <c r="AS720" s="45"/>
      <c r="AT720" s="45"/>
      <c r="AU720" s="463"/>
      <c r="AV720" s="449"/>
      <c r="AW720" s="45"/>
      <c r="AX720" s="45"/>
      <c r="AY720" s="45"/>
      <c r="AZ720" s="45"/>
      <c r="BA720" s="45"/>
      <c r="BB720" s="45"/>
      <c r="BC720" s="463"/>
      <c r="BD720" s="456"/>
      <c r="BE720" s="46"/>
      <c r="BF720" s="46"/>
      <c r="BG720" s="46"/>
      <c r="BH720" s="46"/>
      <c r="BI720" s="46"/>
      <c r="BJ720" s="457"/>
      <c r="BK720" s="449">
        <v>0</v>
      </c>
      <c r="BL720" s="45"/>
      <c r="BM720" s="45"/>
      <c r="BN720" s="45"/>
      <c r="BO720" s="45"/>
      <c r="BP720" s="45"/>
      <c r="BQ720" s="45"/>
      <c r="BR720" s="45"/>
      <c r="BS720" s="45"/>
      <c r="BT720" s="45"/>
      <c r="BU720" s="45"/>
      <c r="BV720" s="45"/>
      <c r="BW720" s="45"/>
      <c r="BX720" s="45"/>
      <c r="BY720" s="45"/>
      <c r="BZ720" s="45"/>
      <c r="CA720" s="45"/>
      <c r="CB720" s="45"/>
      <c r="CC720" s="45"/>
      <c r="CD720" s="463"/>
      <c r="CE720">
        <v>0</v>
      </c>
      <c r="CF720">
        <v>0</v>
      </c>
      <c r="CG720">
        <v>0</v>
      </c>
      <c r="CH720">
        <v>0</v>
      </c>
      <c r="CI720">
        <v>0</v>
      </c>
      <c r="CJ720">
        <v>0</v>
      </c>
      <c r="CK720">
        <v>0</v>
      </c>
      <c r="CL720">
        <v>0</v>
      </c>
      <c r="CM720">
        <v>0</v>
      </c>
      <c r="CN720">
        <v>0</v>
      </c>
      <c r="CO720">
        <v>0</v>
      </c>
      <c r="CP720">
        <v>0</v>
      </c>
      <c r="CQ720">
        <v>0</v>
      </c>
      <c r="CR720">
        <v>0</v>
      </c>
      <c r="CS720">
        <v>0</v>
      </c>
      <c r="CT720">
        <v>0</v>
      </c>
      <c r="CU720">
        <v>0</v>
      </c>
      <c r="CV720">
        <v>0</v>
      </c>
      <c r="CW720">
        <v>0</v>
      </c>
      <c r="CX720">
        <v>0</v>
      </c>
      <c r="CY720">
        <v>0</v>
      </c>
      <c r="CZ720">
        <v>0</v>
      </c>
      <c r="DA720">
        <v>0</v>
      </c>
      <c r="DB720">
        <v>0</v>
      </c>
      <c r="DC720">
        <v>0</v>
      </c>
      <c r="DD720">
        <v>0</v>
      </c>
      <c r="DE720">
        <v>0</v>
      </c>
      <c r="DF720">
        <v>0</v>
      </c>
      <c r="DG720">
        <v>0</v>
      </c>
      <c r="DH720">
        <v>0</v>
      </c>
      <c r="DI720">
        <v>0</v>
      </c>
      <c r="DJ720">
        <v>0</v>
      </c>
      <c r="DK720">
        <v>0</v>
      </c>
      <c r="DL720">
        <v>0</v>
      </c>
      <c r="DM720">
        <v>0</v>
      </c>
      <c r="DN720">
        <v>0</v>
      </c>
      <c r="DO720">
        <v>0</v>
      </c>
      <c r="DP720">
        <v>0</v>
      </c>
      <c r="DQ720">
        <v>0</v>
      </c>
      <c r="DR720">
        <v>0</v>
      </c>
      <c r="DS720">
        <v>0</v>
      </c>
      <c r="DT720">
        <v>0</v>
      </c>
      <c r="DU720">
        <v>0</v>
      </c>
    </row>
    <row r="721" spans="2:125">
      <c r="B721" s="136">
        <v>712</v>
      </c>
      <c r="C721" s="138">
        <v>1</v>
      </c>
      <c r="D721" s="474">
        <v>4807.9609044276949</v>
      </c>
      <c r="E721" s="127">
        <v>297.2167946313964</v>
      </c>
      <c r="F721" s="447">
        <v>0.42192773163236647</v>
      </c>
      <c r="G721" s="127">
        <v>194.49964685730112</v>
      </c>
      <c r="H721" s="132">
        <v>60.994878102637159</v>
      </c>
      <c r="I721" s="456"/>
      <c r="J721" s="45"/>
      <c r="K721" s="45">
        <v>740</v>
      </c>
      <c r="L721" s="463"/>
      <c r="M721" s="456">
        <v>42.433582305908203</v>
      </c>
      <c r="N721" s="457"/>
      <c r="O721" s="456"/>
      <c r="P721" s="46"/>
      <c r="Q721" s="463">
        <v>90</v>
      </c>
      <c r="R721" s="449"/>
      <c r="S721" s="463"/>
      <c r="T721" s="480"/>
      <c r="U721" s="468"/>
      <c r="V721" s="449"/>
      <c r="W721" s="45">
        <v>2260.309326171875</v>
      </c>
      <c r="X721" s="463">
        <v>182.58564758300781</v>
      </c>
      <c r="Y721" s="449"/>
      <c r="Z721" s="45"/>
      <c r="AA721" s="468">
        <v>0.41497290082210481</v>
      </c>
      <c r="AB721" s="456"/>
      <c r="AC721" s="46"/>
      <c r="AD721" s="46"/>
      <c r="AE721" s="46"/>
      <c r="AF721" s="46"/>
      <c r="AG721" s="46"/>
      <c r="AH721" s="46"/>
      <c r="AI721" s="457"/>
      <c r="AJ721" s="138"/>
      <c r="AK721" s="745"/>
      <c r="AL721" s="54"/>
      <c r="AM721" s="468"/>
      <c r="AN721" s="449"/>
      <c r="AO721" s="45"/>
      <c r="AP721" s="45"/>
      <c r="AQ721" s="45"/>
      <c r="AR721" s="45"/>
      <c r="AS721" s="45"/>
      <c r="AT721" s="45"/>
      <c r="AU721" s="463"/>
      <c r="AV721" s="449"/>
      <c r="AW721" s="45"/>
      <c r="AX721" s="45"/>
      <c r="AY721" s="45"/>
      <c r="AZ721" s="45"/>
      <c r="BA721" s="45"/>
      <c r="BB721" s="45"/>
      <c r="BC721" s="463"/>
      <c r="BD721" s="456"/>
      <c r="BE721" s="46"/>
      <c r="BF721" s="46"/>
      <c r="BG721" s="46"/>
      <c r="BH721" s="46"/>
      <c r="BI721" s="46"/>
      <c r="BJ721" s="457"/>
      <c r="BK721" s="449">
        <v>0</v>
      </c>
      <c r="BL721" s="45"/>
      <c r="BM721" s="45"/>
      <c r="BN721" s="45"/>
      <c r="BO721" s="45"/>
      <c r="BP721" s="45"/>
      <c r="BQ721" s="45"/>
      <c r="BR721" s="45"/>
      <c r="BS721" s="45"/>
      <c r="BT721" s="45"/>
      <c r="BU721" s="45"/>
      <c r="BV721" s="45"/>
      <c r="BW721" s="45"/>
      <c r="BX721" s="45"/>
      <c r="BY721" s="45"/>
      <c r="BZ721" s="45"/>
      <c r="CA721" s="45"/>
      <c r="CB721" s="45"/>
      <c r="CC721" s="45"/>
      <c r="CD721" s="463"/>
      <c r="CE721">
        <v>0</v>
      </c>
      <c r="CF721">
        <v>0</v>
      </c>
      <c r="CG721">
        <v>0</v>
      </c>
      <c r="CH721">
        <v>0</v>
      </c>
      <c r="CI721">
        <v>0</v>
      </c>
      <c r="CJ721">
        <v>0</v>
      </c>
      <c r="CK721">
        <v>0</v>
      </c>
      <c r="CL721">
        <v>0</v>
      </c>
      <c r="CM721">
        <v>0</v>
      </c>
      <c r="CN721">
        <v>0</v>
      </c>
      <c r="CO721">
        <v>0</v>
      </c>
      <c r="CP721">
        <v>0</v>
      </c>
      <c r="CQ721">
        <v>0</v>
      </c>
      <c r="CR721">
        <v>0</v>
      </c>
      <c r="CS721">
        <v>0</v>
      </c>
      <c r="CT721">
        <v>0</v>
      </c>
      <c r="CU721">
        <v>0</v>
      </c>
      <c r="CV721">
        <v>0</v>
      </c>
      <c r="CW721">
        <v>0</v>
      </c>
      <c r="CX721">
        <v>0</v>
      </c>
      <c r="CY721">
        <v>0</v>
      </c>
      <c r="CZ721">
        <v>0</v>
      </c>
      <c r="DA721">
        <v>0</v>
      </c>
      <c r="DB721">
        <v>0</v>
      </c>
      <c r="DC721">
        <v>0</v>
      </c>
      <c r="DD721">
        <v>0</v>
      </c>
      <c r="DE721">
        <v>0</v>
      </c>
      <c r="DF721">
        <v>0</v>
      </c>
      <c r="DG721">
        <v>0</v>
      </c>
      <c r="DH721">
        <v>0</v>
      </c>
      <c r="DI721">
        <v>0</v>
      </c>
      <c r="DJ721">
        <v>0</v>
      </c>
      <c r="DK721">
        <v>0</v>
      </c>
      <c r="DL721">
        <v>0</v>
      </c>
      <c r="DM721">
        <v>0</v>
      </c>
      <c r="DN721">
        <v>0</v>
      </c>
      <c r="DO721">
        <v>0</v>
      </c>
      <c r="DP721">
        <v>0</v>
      </c>
      <c r="DQ721">
        <v>0</v>
      </c>
      <c r="DR721">
        <v>0</v>
      </c>
      <c r="DS721">
        <v>0</v>
      </c>
      <c r="DT721">
        <v>0</v>
      </c>
      <c r="DU721">
        <v>0</v>
      </c>
    </row>
    <row r="722" spans="2:125">
      <c r="B722" s="136">
        <v>713</v>
      </c>
      <c r="C722" s="138">
        <v>1</v>
      </c>
      <c r="D722" s="474">
        <v>3977.44454105155</v>
      </c>
      <c r="E722" s="127">
        <v>212.40654685514974</v>
      </c>
      <c r="F722" s="447">
        <v>0.39494422324151079</v>
      </c>
      <c r="G722" s="127">
        <v>145.19371831612895</v>
      </c>
      <c r="H722" s="132">
        <v>59.299160824085959</v>
      </c>
      <c r="I722" s="456"/>
      <c r="J722" s="45"/>
      <c r="K722" s="45">
        <v>580</v>
      </c>
      <c r="L722" s="463"/>
      <c r="M722" s="456">
        <v>33.064506530761719</v>
      </c>
      <c r="N722" s="457"/>
      <c r="O722" s="456"/>
      <c r="P722" s="46"/>
      <c r="Q722" s="463">
        <v>78.753410339355469</v>
      </c>
      <c r="R722" s="449"/>
      <c r="S722" s="463"/>
      <c r="T722" s="480"/>
      <c r="U722" s="468"/>
      <c r="V722" s="449"/>
      <c r="W722" s="45">
        <v>1636.4483642578125</v>
      </c>
      <c r="X722" s="463">
        <v>136.5255126953125</v>
      </c>
      <c r="Y722" s="449"/>
      <c r="Z722" s="45"/>
      <c r="AA722" s="468">
        <v>0.38667286103261561</v>
      </c>
      <c r="AB722" s="456"/>
      <c r="AC722" s="46"/>
      <c r="AD722" s="46"/>
      <c r="AE722" s="46"/>
      <c r="AF722" s="46"/>
      <c r="AG722" s="46"/>
      <c r="AH722" s="46"/>
      <c r="AI722" s="457"/>
      <c r="AJ722" s="138"/>
      <c r="AK722" s="745"/>
      <c r="AL722" s="54"/>
      <c r="AM722" s="468"/>
      <c r="AN722" s="449"/>
      <c r="AO722" s="45"/>
      <c r="AP722" s="45"/>
      <c r="AQ722" s="45"/>
      <c r="AR722" s="45"/>
      <c r="AS722" s="45"/>
      <c r="AT722" s="45"/>
      <c r="AU722" s="463"/>
      <c r="AV722" s="449"/>
      <c r="AW722" s="45"/>
      <c r="AX722" s="45"/>
      <c r="AY722" s="45"/>
      <c r="AZ722" s="45"/>
      <c r="BA722" s="45"/>
      <c r="BB722" s="45"/>
      <c r="BC722" s="463"/>
      <c r="BD722" s="456"/>
      <c r="BE722" s="46"/>
      <c r="BF722" s="46"/>
      <c r="BG722" s="46"/>
      <c r="BH722" s="46"/>
      <c r="BI722" s="46"/>
      <c r="BJ722" s="457"/>
      <c r="BK722" s="449">
        <v>0</v>
      </c>
      <c r="BL722" s="45"/>
      <c r="BM722" s="45"/>
      <c r="BN722" s="45"/>
      <c r="BO722" s="45"/>
      <c r="BP722" s="45"/>
      <c r="BQ722" s="45"/>
      <c r="BR722" s="45"/>
      <c r="BS722" s="45"/>
      <c r="BT722" s="45"/>
      <c r="BU722" s="45"/>
      <c r="BV722" s="45"/>
      <c r="BW722" s="45"/>
      <c r="BX722" s="45"/>
      <c r="BY722" s="45"/>
      <c r="BZ722" s="45"/>
      <c r="CA722" s="45"/>
      <c r="CB722" s="45"/>
      <c r="CC722" s="45"/>
      <c r="CD722" s="463"/>
      <c r="CE722">
        <v>0</v>
      </c>
      <c r="CF722">
        <v>0</v>
      </c>
      <c r="CG722">
        <v>0</v>
      </c>
      <c r="CH722">
        <v>0</v>
      </c>
      <c r="CI722">
        <v>0</v>
      </c>
      <c r="CJ722">
        <v>0</v>
      </c>
      <c r="CK722">
        <v>0</v>
      </c>
      <c r="CL722">
        <v>0</v>
      </c>
      <c r="CM722">
        <v>0</v>
      </c>
      <c r="CN722">
        <v>0</v>
      </c>
      <c r="CO722">
        <v>0</v>
      </c>
      <c r="CP722">
        <v>0</v>
      </c>
      <c r="CQ722">
        <v>0</v>
      </c>
      <c r="CR722">
        <v>0</v>
      </c>
      <c r="CS722">
        <v>0</v>
      </c>
      <c r="CT722">
        <v>0</v>
      </c>
      <c r="CU722">
        <v>0</v>
      </c>
      <c r="CV722">
        <v>0</v>
      </c>
      <c r="CW722">
        <v>0</v>
      </c>
      <c r="CX722">
        <v>0</v>
      </c>
      <c r="CY722">
        <v>0</v>
      </c>
      <c r="CZ722">
        <v>0</v>
      </c>
      <c r="DA722">
        <v>0</v>
      </c>
      <c r="DB722">
        <v>0</v>
      </c>
      <c r="DC722">
        <v>0</v>
      </c>
      <c r="DD722">
        <v>0</v>
      </c>
      <c r="DE722">
        <v>0</v>
      </c>
      <c r="DF722">
        <v>0</v>
      </c>
      <c r="DG722">
        <v>0</v>
      </c>
      <c r="DH722">
        <v>0</v>
      </c>
      <c r="DI722">
        <v>0</v>
      </c>
      <c r="DJ722">
        <v>0</v>
      </c>
      <c r="DK722">
        <v>0</v>
      </c>
      <c r="DL722">
        <v>0</v>
      </c>
      <c r="DM722">
        <v>0</v>
      </c>
      <c r="DN722">
        <v>0</v>
      </c>
      <c r="DO722">
        <v>0</v>
      </c>
      <c r="DP722">
        <v>0</v>
      </c>
      <c r="DQ722">
        <v>0</v>
      </c>
      <c r="DR722">
        <v>0</v>
      </c>
      <c r="DS722">
        <v>0</v>
      </c>
      <c r="DT722">
        <v>0</v>
      </c>
      <c r="DU722">
        <v>0</v>
      </c>
    </row>
    <row r="723" spans="2:125">
      <c r="B723" s="136">
        <v>714</v>
      </c>
      <c r="C723" s="138">
        <v>1</v>
      </c>
      <c r="D723" s="474">
        <v>2761.4885588754023</v>
      </c>
      <c r="E723" s="127">
        <v>276.36623728506265</v>
      </c>
      <c r="F723" s="447">
        <v>0.41794875043194329</v>
      </c>
      <c r="G723" s="127">
        <v>109.9933782698657</v>
      </c>
      <c r="H723" s="132">
        <v>45.102216683386999</v>
      </c>
      <c r="I723" s="456"/>
      <c r="J723" s="45"/>
      <c r="K723" s="45">
        <v>430</v>
      </c>
      <c r="L723" s="463"/>
      <c r="M723" s="456">
        <v>35.439502716064453</v>
      </c>
      <c r="N723" s="457"/>
      <c r="O723" s="456"/>
      <c r="P723" s="46"/>
      <c r="Q723" s="463">
        <v>54.677474975585938</v>
      </c>
      <c r="R723" s="449"/>
      <c r="S723" s="463"/>
      <c r="T723" s="480"/>
      <c r="U723" s="468"/>
      <c r="V723" s="449"/>
      <c r="W723" s="45">
        <v>1364.9285888671875</v>
      </c>
      <c r="X723" s="463">
        <v>116.14834594726562</v>
      </c>
      <c r="Y723" s="449"/>
      <c r="Z723" s="45"/>
      <c r="AA723" s="468">
        <v>0.4058686804633666</v>
      </c>
      <c r="AB723" s="456"/>
      <c r="AC723" s="46"/>
      <c r="AD723" s="46"/>
      <c r="AE723" s="46"/>
      <c r="AF723" s="46"/>
      <c r="AG723" s="46"/>
      <c r="AH723" s="46"/>
      <c r="AI723" s="457"/>
      <c r="AJ723" s="138"/>
      <c r="AK723" s="745"/>
      <c r="AL723" s="54"/>
      <c r="AM723" s="468"/>
      <c r="AN723" s="449"/>
      <c r="AO723" s="45"/>
      <c r="AP723" s="45"/>
      <c r="AQ723" s="45"/>
      <c r="AR723" s="45"/>
      <c r="AS723" s="45"/>
      <c r="AT723" s="45"/>
      <c r="AU723" s="463"/>
      <c r="AV723" s="449"/>
      <c r="AW723" s="45"/>
      <c r="AX723" s="45"/>
      <c r="AY723" s="45"/>
      <c r="AZ723" s="45"/>
      <c r="BA723" s="45"/>
      <c r="BB723" s="45"/>
      <c r="BC723" s="463"/>
      <c r="BD723" s="456"/>
      <c r="BE723" s="46"/>
      <c r="BF723" s="46"/>
      <c r="BG723" s="46"/>
      <c r="BH723" s="46"/>
      <c r="BI723" s="46"/>
      <c r="BJ723" s="457"/>
      <c r="BK723" s="449">
        <v>0</v>
      </c>
      <c r="BL723" s="45"/>
      <c r="BM723" s="45"/>
      <c r="BN723" s="45"/>
      <c r="BO723" s="45"/>
      <c r="BP723" s="45"/>
      <c r="BQ723" s="45"/>
      <c r="BR723" s="45"/>
      <c r="BS723" s="45"/>
      <c r="BT723" s="45"/>
      <c r="BU723" s="45"/>
      <c r="BV723" s="45"/>
      <c r="BW723" s="45"/>
      <c r="BX723" s="45"/>
      <c r="BY723" s="45"/>
      <c r="BZ723" s="45"/>
      <c r="CA723" s="45"/>
      <c r="CB723" s="45"/>
      <c r="CC723" s="45"/>
      <c r="CD723" s="463"/>
      <c r="CE723">
        <v>0</v>
      </c>
      <c r="CF723">
        <v>0</v>
      </c>
      <c r="CG723">
        <v>0</v>
      </c>
      <c r="CH723">
        <v>0</v>
      </c>
      <c r="CI723">
        <v>0</v>
      </c>
      <c r="CJ723">
        <v>0</v>
      </c>
      <c r="CK723">
        <v>0</v>
      </c>
      <c r="CL723">
        <v>0</v>
      </c>
      <c r="CM723">
        <v>0</v>
      </c>
      <c r="CN723">
        <v>0</v>
      </c>
      <c r="CO723">
        <v>0</v>
      </c>
      <c r="CP723">
        <v>0</v>
      </c>
      <c r="CQ723">
        <v>0</v>
      </c>
      <c r="CR723">
        <v>0</v>
      </c>
      <c r="CS723">
        <v>0</v>
      </c>
      <c r="CT723">
        <v>0</v>
      </c>
      <c r="CU723">
        <v>0</v>
      </c>
      <c r="CV723">
        <v>0</v>
      </c>
      <c r="CW723">
        <v>0</v>
      </c>
      <c r="CX723">
        <v>0</v>
      </c>
      <c r="CY723">
        <v>0</v>
      </c>
      <c r="CZ723">
        <v>0</v>
      </c>
      <c r="DA723">
        <v>0</v>
      </c>
      <c r="DB723">
        <v>0</v>
      </c>
      <c r="DC723">
        <v>0</v>
      </c>
      <c r="DD723">
        <v>0</v>
      </c>
      <c r="DE723">
        <v>0</v>
      </c>
      <c r="DF723">
        <v>0</v>
      </c>
      <c r="DG723">
        <v>0</v>
      </c>
      <c r="DH723">
        <v>0</v>
      </c>
      <c r="DI723">
        <v>0</v>
      </c>
      <c r="DJ723">
        <v>0</v>
      </c>
      <c r="DK723">
        <v>0</v>
      </c>
      <c r="DL723">
        <v>0</v>
      </c>
      <c r="DM723">
        <v>0</v>
      </c>
      <c r="DN723">
        <v>0</v>
      </c>
      <c r="DO723">
        <v>0</v>
      </c>
      <c r="DP723">
        <v>0</v>
      </c>
      <c r="DQ723">
        <v>0</v>
      </c>
      <c r="DR723">
        <v>0</v>
      </c>
      <c r="DS723">
        <v>0</v>
      </c>
      <c r="DT723">
        <v>0</v>
      </c>
      <c r="DU723">
        <v>0</v>
      </c>
    </row>
    <row r="724" spans="2:125">
      <c r="B724" s="136">
        <v>715</v>
      </c>
      <c r="C724" s="138">
        <v>1</v>
      </c>
      <c r="D724" s="474">
        <v>3448.4393746236715</v>
      </c>
      <c r="E724" s="127">
        <v>215.85107860549459</v>
      </c>
      <c r="F724" s="447">
        <v>0.42186858001153332</v>
      </c>
      <c r="G724" s="127">
        <v>124.86536218354384</v>
      </c>
      <c r="H724" s="132">
        <v>55.385109008018588</v>
      </c>
      <c r="I724" s="456"/>
      <c r="J724" s="45"/>
      <c r="K724" s="45">
        <v>500</v>
      </c>
      <c r="L724" s="463"/>
      <c r="M724" s="456">
        <v>35.349113464355469</v>
      </c>
      <c r="N724" s="457"/>
      <c r="O724" s="456"/>
      <c r="P724" s="46"/>
      <c r="Q724" s="463">
        <v>68.279106140136719</v>
      </c>
      <c r="R724" s="449"/>
      <c r="S724" s="463"/>
      <c r="T724" s="480"/>
      <c r="U724" s="468"/>
      <c r="V724" s="449"/>
      <c r="W724" s="45">
        <v>1581.580810546875</v>
      </c>
      <c r="X724" s="463">
        <v>132.21522521972656</v>
      </c>
      <c r="Y724" s="449"/>
      <c r="Z724" s="45"/>
      <c r="AA724" s="468">
        <v>0.41217220203653138</v>
      </c>
      <c r="AB724" s="456"/>
      <c r="AC724" s="46"/>
      <c r="AD724" s="46"/>
      <c r="AE724" s="46"/>
      <c r="AF724" s="46"/>
      <c r="AG724" s="46"/>
      <c r="AH724" s="46"/>
      <c r="AI724" s="457"/>
      <c r="AJ724" s="138"/>
      <c r="AK724" s="745"/>
      <c r="AL724" s="54"/>
      <c r="AM724" s="468"/>
      <c r="AN724" s="449"/>
      <c r="AO724" s="45"/>
      <c r="AP724" s="45"/>
      <c r="AQ724" s="45"/>
      <c r="AR724" s="45"/>
      <c r="AS724" s="45"/>
      <c r="AT724" s="45"/>
      <c r="AU724" s="463"/>
      <c r="AV724" s="449"/>
      <c r="AW724" s="45"/>
      <c r="AX724" s="45"/>
      <c r="AY724" s="45"/>
      <c r="AZ724" s="45"/>
      <c r="BA724" s="45"/>
      <c r="BB724" s="45"/>
      <c r="BC724" s="463"/>
      <c r="BD724" s="456"/>
      <c r="BE724" s="46"/>
      <c r="BF724" s="46"/>
      <c r="BG724" s="46"/>
      <c r="BH724" s="46"/>
      <c r="BI724" s="46"/>
      <c r="BJ724" s="457"/>
      <c r="BK724" s="449">
        <v>0</v>
      </c>
      <c r="BL724" s="45"/>
      <c r="BM724" s="45"/>
      <c r="BN724" s="45"/>
      <c r="BO724" s="45"/>
      <c r="BP724" s="45"/>
      <c r="BQ724" s="45"/>
      <c r="BR724" s="45"/>
      <c r="BS724" s="45"/>
      <c r="BT724" s="45"/>
      <c r="BU724" s="45"/>
      <c r="BV724" s="45"/>
      <c r="BW724" s="45"/>
      <c r="BX724" s="45"/>
      <c r="BY724" s="45"/>
      <c r="BZ724" s="45"/>
      <c r="CA724" s="45"/>
      <c r="CB724" s="45"/>
      <c r="CC724" s="45"/>
      <c r="CD724" s="463"/>
      <c r="CE724">
        <v>0</v>
      </c>
      <c r="CF724">
        <v>0</v>
      </c>
      <c r="CG724">
        <v>0</v>
      </c>
      <c r="CH724">
        <v>0</v>
      </c>
      <c r="CI724">
        <v>0</v>
      </c>
      <c r="CJ724">
        <v>0</v>
      </c>
      <c r="CK724">
        <v>0</v>
      </c>
      <c r="CL724">
        <v>0</v>
      </c>
      <c r="CM724">
        <v>0</v>
      </c>
      <c r="CN724">
        <v>0</v>
      </c>
      <c r="CO724">
        <v>0</v>
      </c>
      <c r="CP724">
        <v>0</v>
      </c>
      <c r="CQ724">
        <v>0</v>
      </c>
      <c r="CR724">
        <v>0</v>
      </c>
      <c r="CS724">
        <v>0</v>
      </c>
      <c r="CT724">
        <v>0</v>
      </c>
      <c r="CU724">
        <v>0</v>
      </c>
      <c r="CV724">
        <v>0</v>
      </c>
      <c r="CW724">
        <v>0</v>
      </c>
      <c r="CX724">
        <v>0</v>
      </c>
      <c r="CY724">
        <v>0</v>
      </c>
      <c r="CZ724">
        <v>0</v>
      </c>
      <c r="DA724">
        <v>0</v>
      </c>
      <c r="DB724">
        <v>0</v>
      </c>
      <c r="DC724">
        <v>0</v>
      </c>
      <c r="DD724">
        <v>0</v>
      </c>
      <c r="DE724">
        <v>0</v>
      </c>
      <c r="DF724">
        <v>0</v>
      </c>
      <c r="DG724">
        <v>0</v>
      </c>
      <c r="DH724">
        <v>0</v>
      </c>
      <c r="DI724">
        <v>0</v>
      </c>
      <c r="DJ724">
        <v>0</v>
      </c>
      <c r="DK724">
        <v>0</v>
      </c>
      <c r="DL724">
        <v>0</v>
      </c>
      <c r="DM724">
        <v>0</v>
      </c>
      <c r="DN724">
        <v>0</v>
      </c>
      <c r="DO724">
        <v>0</v>
      </c>
      <c r="DP724">
        <v>0</v>
      </c>
      <c r="DQ724">
        <v>0</v>
      </c>
      <c r="DR724">
        <v>0</v>
      </c>
      <c r="DS724">
        <v>0</v>
      </c>
      <c r="DT724">
        <v>0</v>
      </c>
      <c r="DU724">
        <v>0</v>
      </c>
    </row>
    <row r="725" spans="2:125">
      <c r="B725" s="136">
        <v>716</v>
      </c>
      <c r="C725" s="138">
        <v>1</v>
      </c>
      <c r="D725" s="474">
        <v>3832.33860135132</v>
      </c>
      <c r="E725" s="127">
        <v>226.7709039543499</v>
      </c>
      <c r="F725" s="447">
        <v>0.42085082013712638</v>
      </c>
      <c r="G725" s="127">
        <v>128.73799582668613</v>
      </c>
      <c r="H725" s="132">
        <v>60.762968569183897</v>
      </c>
      <c r="I725" s="456"/>
      <c r="J725" s="45"/>
      <c r="K725" s="45">
        <v>540</v>
      </c>
      <c r="L725" s="463"/>
      <c r="M725" s="456">
        <v>34.8175048828125</v>
      </c>
      <c r="N725" s="457"/>
      <c r="O725" s="456"/>
      <c r="P725" s="46"/>
      <c r="Q725" s="463">
        <v>75.880302429199219</v>
      </c>
      <c r="R725" s="449"/>
      <c r="S725" s="463"/>
      <c r="T725" s="480"/>
      <c r="U725" s="468"/>
      <c r="V725" s="449"/>
      <c r="W725" s="45">
        <v>1661.8486328125</v>
      </c>
      <c r="X725" s="463">
        <v>138.1920166015625</v>
      </c>
      <c r="Y725" s="449"/>
      <c r="Z725" s="45"/>
      <c r="AA725" s="468">
        <v>0.41213107486436801</v>
      </c>
      <c r="AB725" s="456"/>
      <c r="AC725" s="46"/>
      <c r="AD725" s="46"/>
      <c r="AE725" s="46"/>
      <c r="AF725" s="46"/>
      <c r="AG725" s="46"/>
      <c r="AH725" s="46"/>
      <c r="AI725" s="457"/>
      <c r="AJ725" s="138"/>
      <c r="AK725" s="745"/>
      <c r="AL725" s="54"/>
      <c r="AM725" s="468"/>
      <c r="AN725" s="449"/>
      <c r="AO725" s="45"/>
      <c r="AP725" s="45"/>
      <c r="AQ725" s="45"/>
      <c r="AR725" s="45"/>
      <c r="AS725" s="45"/>
      <c r="AT725" s="45"/>
      <c r="AU725" s="463"/>
      <c r="AV725" s="449"/>
      <c r="AW725" s="45"/>
      <c r="AX725" s="45"/>
      <c r="AY725" s="45"/>
      <c r="AZ725" s="45"/>
      <c r="BA725" s="45"/>
      <c r="BB725" s="45"/>
      <c r="BC725" s="463"/>
      <c r="BD725" s="456"/>
      <c r="BE725" s="46"/>
      <c r="BF725" s="46"/>
      <c r="BG725" s="46"/>
      <c r="BH725" s="46"/>
      <c r="BI725" s="46"/>
      <c r="BJ725" s="457"/>
      <c r="BK725" s="449">
        <v>0</v>
      </c>
      <c r="BL725" s="45"/>
      <c r="BM725" s="45"/>
      <c r="BN725" s="45"/>
      <c r="BO725" s="45"/>
      <c r="BP725" s="45"/>
      <c r="BQ725" s="45"/>
      <c r="BR725" s="45"/>
      <c r="BS725" s="45"/>
      <c r="BT725" s="45"/>
      <c r="BU725" s="45"/>
      <c r="BV725" s="45"/>
      <c r="BW725" s="45"/>
      <c r="BX725" s="45"/>
      <c r="BY725" s="45"/>
      <c r="BZ725" s="45"/>
      <c r="CA725" s="45"/>
      <c r="CB725" s="45"/>
      <c r="CC725" s="45"/>
      <c r="CD725" s="463"/>
      <c r="CE725">
        <v>0</v>
      </c>
      <c r="CF725">
        <v>0</v>
      </c>
      <c r="CG725">
        <v>0</v>
      </c>
      <c r="CH725">
        <v>0</v>
      </c>
      <c r="CI725">
        <v>0</v>
      </c>
      <c r="CJ725">
        <v>0</v>
      </c>
      <c r="CK725">
        <v>0</v>
      </c>
      <c r="CL725">
        <v>0</v>
      </c>
      <c r="CM725">
        <v>0</v>
      </c>
      <c r="CN725">
        <v>0</v>
      </c>
      <c r="CO725">
        <v>0</v>
      </c>
      <c r="CP725">
        <v>0</v>
      </c>
      <c r="CQ725">
        <v>0</v>
      </c>
      <c r="CR725">
        <v>0</v>
      </c>
      <c r="CS725">
        <v>0</v>
      </c>
      <c r="CT725">
        <v>0</v>
      </c>
      <c r="CU725">
        <v>0</v>
      </c>
      <c r="CV725">
        <v>0</v>
      </c>
      <c r="CW725">
        <v>0</v>
      </c>
      <c r="CX725">
        <v>0</v>
      </c>
      <c r="CY725">
        <v>0</v>
      </c>
      <c r="CZ725">
        <v>0</v>
      </c>
      <c r="DA725">
        <v>0</v>
      </c>
      <c r="DB725">
        <v>0</v>
      </c>
      <c r="DC725">
        <v>0</v>
      </c>
      <c r="DD725">
        <v>0</v>
      </c>
      <c r="DE725">
        <v>0</v>
      </c>
      <c r="DF725">
        <v>0</v>
      </c>
      <c r="DG725">
        <v>0</v>
      </c>
      <c r="DH725">
        <v>0</v>
      </c>
      <c r="DI725">
        <v>0</v>
      </c>
      <c r="DJ725">
        <v>0</v>
      </c>
      <c r="DK725">
        <v>0</v>
      </c>
      <c r="DL725">
        <v>0</v>
      </c>
      <c r="DM725">
        <v>0</v>
      </c>
      <c r="DN725">
        <v>0</v>
      </c>
      <c r="DO725">
        <v>0</v>
      </c>
      <c r="DP725">
        <v>0</v>
      </c>
      <c r="DQ725">
        <v>0</v>
      </c>
      <c r="DR725">
        <v>0</v>
      </c>
      <c r="DS725">
        <v>0</v>
      </c>
      <c r="DT725">
        <v>0</v>
      </c>
      <c r="DU725">
        <v>0</v>
      </c>
    </row>
    <row r="726" spans="2:125">
      <c r="B726" s="136">
        <v>717</v>
      </c>
      <c r="C726" s="138">
        <v>1</v>
      </c>
      <c r="D726" s="474">
        <v>3141.6657535811796</v>
      </c>
      <c r="E726" s="127">
        <v>264.16334735375921</v>
      </c>
      <c r="F726" s="447">
        <v>0.45837420503650828</v>
      </c>
      <c r="G726" s="127">
        <v>117.51210456597734</v>
      </c>
      <c r="H726" s="132">
        <v>51.516816289832626</v>
      </c>
      <c r="I726" s="456"/>
      <c r="J726" s="45"/>
      <c r="K726" s="45">
        <v>470</v>
      </c>
      <c r="L726" s="463"/>
      <c r="M726" s="456">
        <v>41.409858703613281</v>
      </c>
      <c r="N726" s="457"/>
      <c r="O726" s="456"/>
      <c r="P726" s="46"/>
      <c r="Q726" s="463">
        <v>62.204982757568359</v>
      </c>
      <c r="R726" s="449"/>
      <c r="S726" s="463"/>
      <c r="T726" s="480"/>
      <c r="U726" s="468"/>
      <c r="V726" s="449"/>
      <c r="W726" s="45">
        <v>1721.9193115234375</v>
      </c>
      <c r="X726" s="463">
        <v>142.2913818359375</v>
      </c>
      <c r="Y726" s="449"/>
      <c r="Z726" s="45"/>
      <c r="AA726" s="468">
        <v>0.44749861011945424</v>
      </c>
      <c r="AB726" s="456"/>
      <c r="AC726" s="46"/>
      <c r="AD726" s="46"/>
      <c r="AE726" s="46"/>
      <c r="AF726" s="46"/>
      <c r="AG726" s="46"/>
      <c r="AH726" s="46"/>
      <c r="AI726" s="457"/>
      <c r="AJ726" s="138"/>
      <c r="AK726" s="745"/>
      <c r="AL726" s="54"/>
      <c r="AM726" s="468"/>
      <c r="AN726" s="449"/>
      <c r="AO726" s="45"/>
      <c r="AP726" s="45"/>
      <c r="AQ726" s="45"/>
      <c r="AR726" s="45"/>
      <c r="AS726" s="45"/>
      <c r="AT726" s="45"/>
      <c r="AU726" s="463"/>
      <c r="AV726" s="449"/>
      <c r="AW726" s="45"/>
      <c r="AX726" s="45"/>
      <c r="AY726" s="45"/>
      <c r="AZ726" s="45"/>
      <c r="BA726" s="45"/>
      <c r="BB726" s="45"/>
      <c r="BC726" s="463"/>
      <c r="BD726" s="456"/>
      <c r="BE726" s="46"/>
      <c r="BF726" s="46"/>
      <c r="BG726" s="46"/>
      <c r="BH726" s="46"/>
      <c r="BI726" s="46"/>
      <c r="BJ726" s="457"/>
      <c r="BK726" s="449">
        <v>0</v>
      </c>
      <c r="BL726" s="45"/>
      <c r="BM726" s="45"/>
      <c r="BN726" s="45"/>
      <c r="BO726" s="45"/>
      <c r="BP726" s="45"/>
      <c r="BQ726" s="45"/>
      <c r="BR726" s="45"/>
      <c r="BS726" s="45"/>
      <c r="BT726" s="45"/>
      <c r="BU726" s="45"/>
      <c r="BV726" s="45"/>
      <c r="BW726" s="45"/>
      <c r="BX726" s="45"/>
      <c r="BY726" s="45"/>
      <c r="BZ726" s="45"/>
      <c r="CA726" s="45"/>
      <c r="CB726" s="45"/>
      <c r="CC726" s="45"/>
      <c r="CD726" s="463"/>
      <c r="CE726">
        <v>0</v>
      </c>
      <c r="CF726">
        <v>0</v>
      </c>
      <c r="CG726">
        <v>0</v>
      </c>
      <c r="CH726">
        <v>0</v>
      </c>
      <c r="CI726">
        <v>0</v>
      </c>
      <c r="CJ726">
        <v>0</v>
      </c>
      <c r="CK726">
        <v>0</v>
      </c>
      <c r="CL726">
        <v>0</v>
      </c>
      <c r="CM726">
        <v>0</v>
      </c>
      <c r="CN726">
        <v>0</v>
      </c>
      <c r="CO726">
        <v>0</v>
      </c>
      <c r="CP726">
        <v>0</v>
      </c>
      <c r="CQ726">
        <v>0</v>
      </c>
      <c r="CR726">
        <v>0</v>
      </c>
      <c r="CS726">
        <v>0</v>
      </c>
      <c r="CT726">
        <v>0</v>
      </c>
      <c r="CU726">
        <v>0</v>
      </c>
      <c r="CV726">
        <v>0</v>
      </c>
      <c r="CW726">
        <v>0</v>
      </c>
      <c r="CX726">
        <v>0</v>
      </c>
      <c r="CY726">
        <v>0</v>
      </c>
      <c r="CZ726">
        <v>0</v>
      </c>
      <c r="DA726">
        <v>0</v>
      </c>
      <c r="DB726">
        <v>0</v>
      </c>
      <c r="DC726">
        <v>0</v>
      </c>
      <c r="DD726">
        <v>0</v>
      </c>
      <c r="DE726">
        <v>0</v>
      </c>
      <c r="DF726">
        <v>0</v>
      </c>
      <c r="DG726">
        <v>0</v>
      </c>
      <c r="DH726">
        <v>0</v>
      </c>
      <c r="DI726">
        <v>0</v>
      </c>
      <c r="DJ726">
        <v>0</v>
      </c>
      <c r="DK726">
        <v>0</v>
      </c>
      <c r="DL726">
        <v>0</v>
      </c>
      <c r="DM726">
        <v>0</v>
      </c>
      <c r="DN726">
        <v>0</v>
      </c>
      <c r="DO726">
        <v>0</v>
      </c>
      <c r="DP726">
        <v>0</v>
      </c>
      <c r="DQ726">
        <v>0</v>
      </c>
      <c r="DR726">
        <v>0</v>
      </c>
      <c r="DS726">
        <v>0</v>
      </c>
      <c r="DT726">
        <v>0</v>
      </c>
      <c r="DU726">
        <v>0</v>
      </c>
    </row>
    <row r="727" spans="2:125">
      <c r="B727" s="136">
        <v>718</v>
      </c>
      <c r="C727" s="138">
        <v>1</v>
      </c>
      <c r="D727" s="474">
        <v>2956.1635092084407</v>
      </c>
      <c r="E727" s="127">
        <v>219.32517186411351</v>
      </c>
      <c r="F727" s="447">
        <v>0.35074993882167244</v>
      </c>
      <c r="G727" s="127">
        <v>121.62369828850805</v>
      </c>
      <c r="H727" s="132">
        <v>54.581545801662593</v>
      </c>
      <c r="I727" s="456"/>
      <c r="J727" s="45"/>
      <c r="K727" s="45">
        <v>480</v>
      </c>
      <c r="L727" s="463"/>
      <c r="M727" s="456">
        <v>27.341514587402344</v>
      </c>
      <c r="N727" s="457"/>
      <c r="O727" s="456"/>
      <c r="P727" s="46"/>
      <c r="Q727" s="463">
        <v>66.474449157714844</v>
      </c>
      <c r="R727" s="449"/>
      <c r="S727" s="463"/>
      <c r="T727" s="480"/>
      <c r="U727" s="468"/>
      <c r="V727" s="449"/>
      <c r="W727" s="45">
        <v>1227.4825439453125</v>
      </c>
      <c r="X727" s="463">
        <v>106.37330627441406</v>
      </c>
      <c r="Y727" s="449"/>
      <c r="Z727" s="45"/>
      <c r="AA727" s="468">
        <v>0.33992002407686661</v>
      </c>
      <c r="AB727" s="456"/>
      <c r="AC727" s="46"/>
      <c r="AD727" s="46"/>
      <c r="AE727" s="46"/>
      <c r="AF727" s="46"/>
      <c r="AG727" s="46"/>
      <c r="AH727" s="46"/>
      <c r="AI727" s="457"/>
      <c r="AJ727" s="138"/>
      <c r="AK727" s="745"/>
      <c r="AL727" s="54"/>
      <c r="AM727" s="468"/>
      <c r="AN727" s="449"/>
      <c r="AO727" s="45"/>
      <c r="AP727" s="45"/>
      <c r="AQ727" s="45"/>
      <c r="AR727" s="45"/>
      <c r="AS727" s="45"/>
      <c r="AT727" s="45"/>
      <c r="AU727" s="463"/>
      <c r="AV727" s="449"/>
      <c r="AW727" s="45"/>
      <c r="AX727" s="45"/>
      <c r="AY727" s="45"/>
      <c r="AZ727" s="45"/>
      <c r="BA727" s="45"/>
      <c r="BB727" s="45"/>
      <c r="BC727" s="463"/>
      <c r="BD727" s="456"/>
      <c r="BE727" s="46"/>
      <c r="BF727" s="46"/>
      <c r="BG727" s="46"/>
      <c r="BH727" s="46"/>
      <c r="BI727" s="46"/>
      <c r="BJ727" s="457"/>
      <c r="BK727" s="449">
        <v>0</v>
      </c>
      <c r="BL727" s="45"/>
      <c r="BM727" s="45"/>
      <c r="BN727" s="45"/>
      <c r="BO727" s="45"/>
      <c r="BP727" s="45"/>
      <c r="BQ727" s="45"/>
      <c r="BR727" s="45"/>
      <c r="BS727" s="45"/>
      <c r="BT727" s="45"/>
      <c r="BU727" s="45"/>
      <c r="BV727" s="45"/>
      <c r="BW727" s="45"/>
      <c r="BX727" s="45"/>
      <c r="BY727" s="45"/>
      <c r="BZ727" s="45"/>
      <c r="CA727" s="45"/>
      <c r="CB727" s="45"/>
      <c r="CC727" s="45"/>
      <c r="CD727" s="463"/>
      <c r="CE727">
        <v>0</v>
      </c>
      <c r="CF727">
        <v>0</v>
      </c>
      <c r="CG727">
        <v>0</v>
      </c>
      <c r="CH727">
        <v>0</v>
      </c>
      <c r="CI727">
        <v>0</v>
      </c>
      <c r="CJ727">
        <v>0</v>
      </c>
      <c r="CK727">
        <v>0</v>
      </c>
      <c r="CL727">
        <v>0</v>
      </c>
      <c r="CM727">
        <v>0</v>
      </c>
      <c r="CN727">
        <v>0</v>
      </c>
      <c r="CO727">
        <v>0</v>
      </c>
      <c r="CP727">
        <v>0</v>
      </c>
      <c r="CQ727">
        <v>0</v>
      </c>
      <c r="CR727">
        <v>0</v>
      </c>
      <c r="CS727">
        <v>0</v>
      </c>
      <c r="CT727">
        <v>0</v>
      </c>
      <c r="CU727">
        <v>0</v>
      </c>
      <c r="CV727">
        <v>0</v>
      </c>
      <c r="CW727">
        <v>0</v>
      </c>
      <c r="CX727">
        <v>0</v>
      </c>
      <c r="CY727">
        <v>0</v>
      </c>
      <c r="CZ727">
        <v>0</v>
      </c>
      <c r="DA727">
        <v>0</v>
      </c>
      <c r="DB727">
        <v>0</v>
      </c>
      <c r="DC727">
        <v>0</v>
      </c>
      <c r="DD727">
        <v>0</v>
      </c>
      <c r="DE727">
        <v>0</v>
      </c>
      <c r="DF727">
        <v>0</v>
      </c>
      <c r="DG727">
        <v>0</v>
      </c>
      <c r="DH727">
        <v>0</v>
      </c>
      <c r="DI727">
        <v>0</v>
      </c>
      <c r="DJ727">
        <v>0</v>
      </c>
      <c r="DK727">
        <v>0</v>
      </c>
      <c r="DL727">
        <v>0</v>
      </c>
      <c r="DM727">
        <v>0</v>
      </c>
      <c r="DN727">
        <v>0</v>
      </c>
      <c r="DO727">
        <v>0</v>
      </c>
      <c r="DP727">
        <v>0</v>
      </c>
      <c r="DQ727">
        <v>0</v>
      </c>
      <c r="DR727">
        <v>0</v>
      </c>
      <c r="DS727">
        <v>0</v>
      </c>
      <c r="DT727">
        <v>0</v>
      </c>
      <c r="DU727">
        <v>0</v>
      </c>
    </row>
    <row r="728" spans="2:125">
      <c r="B728" s="136">
        <v>719</v>
      </c>
      <c r="C728" s="138">
        <v>1</v>
      </c>
      <c r="D728" s="474">
        <v>3120.5863156240448</v>
      </c>
      <c r="E728" s="127">
        <v>234.46138433022514</v>
      </c>
      <c r="F728" s="447">
        <v>0.45834154364938295</v>
      </c>
      <c r="G728" s="127">
        <v>128.64000610882812</v>
      </c>
      <c r="H728" s="132">
        <v>47.355185682013968</v>
      </c>
      <c r="I728" s="456"/>
      <c r="J728" s="45"/>
      <c r="K728" s="45">
        <v>500</v>
      </c>
      <c r="L728" s="463"/>
      <c r="M728" s="456">
        <v>43.9129638671875</v>
      </c>
      <c r="N728" s="457"/>
      <c r="O728" s="456"/>
      <c r="P728" s="46"/>
      <c r="Q728" s="463">
        <v>61.787612915039062</v>
      </c>
      <c r="R728" s="449"/>
      <c r="S728" s="463"/>
      <c r="T728" s="480"/>
      <c r="U728" s="468"/>
      <c r="V728" s="449"/>
      <c r="W728" s="45">
        <v>1820.00390625</v>
      </c>
      <c r="X728" s="463">
        <v>149.53453063964844</v>
      </c>
      <c r="Y728" s="449"/>
      <c r="Z728" s="45"/>
      <c r="AA728" s="468">
        <v>0.44739269384448493</v>
      </c>
      <c r="AB728" s="456"/>
      <c r="AC728" s="46"/>
      <c r="AD728" s="46"/>
      <c r="AE728" s="46"/>
      <c r="AF728" s="46"/>
      <c r="AG728" s="46"/>
      <c r="AH728" s="46"/>
      <c r="AI728" s="457"/>
      <c r="AJ728" s="138"/>
      <c r="AK728" s="745"/>
      <c r="AL728" s="54"/>
      <c r="AM728" s="468"/>
      <c r="AN728" s="449"/>
      <c r="AO728" s="45"/>
      <c r="AP728" s="45"/>
      <c r="AQ728" s="45"/>
      <c r="AR728" s="45"/>
      <c r="AS728" s="45"/>
      <c r="AT728" s="45"/>
      <c r="AU728" s="463"/>
      <c r="AV728" s="449"/>
      <c r="AW728" s="45"/>
      <c r="AX728" s="45"/>
      <c r="AY728" s="45"/>
      <c r="AZ728" s="45"/>
      <c r="BA728" s="45"/>
      <c r="BB728" s="45"/>
      <c r="BC728" s="463"/>
      <c r="BD728" s="456"/>
      <c r="BE728" s="46"/>
      <c r="BF728" s="46"/>
      <c r="BG728" s="46"/>
      <c r="BH728" s="46"/>
      <c r="BI728" s="46"/>
      <c r="BJ728" s="457"/>
      <c r="BK728" s="449">
        <v>0</v>
      </c>
      <c r="BL728" s="45"/>
      <c r="BM728" s="45"/>
      <c r="BN728" s="45"/>
      <c r="BO728" s="45"/>
      <c r="BP728" s="45"/>
      <c r="BQ728" s="45"/>
      <c r="BR728" s="45"/>
      <c r="BS728" s="45"/>
      <c r="BT728" s="45"/>
      <c r="BU728" s="45"/>
      <c r="BV728" s="45"/>
      <c r="BW728" s="45"/>
      <c r="BX728" s="45"/>
      <c r="BY728" s="45"/>
      <c r="BZ728" s="45"/>
      <c r="CA728" s="45"/>
      <c r="CB728" s="45"/>
      <c r="CC728" s="45"/>
      <c r="CD728" s="463"/>
      <c r="CE728">
        <v>0</v>
      </c>
      <c r="CF728">
        <v>0</v>
      </c>
      <c r="CG728">
        <v>0</v>
      </c>
      <c r="CH728">
        <v>0</v>
      </c>
      <c r="CI728">
        <v>0</v>
      </c>
      <c r="CJ728">
        <v>0</v>
      </c>
      <c r="CK728">
        <v>0</v>
      </c>
      <c r="CL728">
        <v>0</v>
      </c>
      <c r="CM728">
        <v>0</v>
      </c>
      <c r="CN728">
        <v>0</v>
      </c>
      <c r="CO728">
        <v>0</v>
      </c>
      <c r="CP728">
        <v>0</v>
      </c>
      <c r="CQ728">
        <v>0</v>
      </c>
      <c r="CR728">
        <v>0</v>
      </c>
      <c r="CS728">
        <v>0</v>
      </c>
      <c r="CT728">
        <v>0</v>
      </c>
      <c r="CU728">
        <v>0</v>
      </c>
      <c r="CV728">
        <v>0</v>
      </c>
      <c r="CW728">
        <v>0</v>
      </c>
      <c r="CX728">
        <v>0</v>
      </c>
      <c r="CY728">
        <v>0</v>
      </c>
      <c r="CZ728">
        <v>0</v>
      </c>
      <c r="DA728">
        <v>0</v>
      </c>
      <c r="DB728">
        <v>0</v>
      </c>
      <c r="DC728">
        <v>0</v>
      </c>
      <c r="DD728">
        <v>0</v>
      </c>
      <c r="DE728">
        <v>0</v>
      </c>
      <c r="DF728">
        <v>0</v>
      </c>
      <c r="DG728">
        <v>0</v>
      </c>
      <c r="DH728">
        <v>0</v>
      </c>
      <c r="DI728">
        <v>0</v>
      </c>
      <c r="DJ728">
        <v>0</v>
      </c>
      <c r="DK728">
        <v>0</v>
      </c>
      <c r="DL728">
        <v>0</v>
      </c>
      <c r="DM728">
        <v>0</v>
      </c>
      <c r="DN728">
        <v>0</v>
      </c>
      <c r="DO728">
        <v>0</v>
      </c>
      <c r="DP728">
        <v>0</v>
      </c>
      <c r="DQ728">
        <v>0</v>
      </c>
      <c r="DR728">
        <v>0</v>
      </c>
      <c r="DS728">
        <v>0</v>
      </c>
      <c r="DT728">
        <v>0</v>
      </c>
      <c r="DU728">
        <v>0</v>
      </c>
    </row>
    <row r="729" spans="2:125">
      <c r="B729" s="136">
        <v>720</v>
      </c>
      <c r="C729" s="138">
        <v>1</v>
      </c>
      <c r="D729" s="474">
        <v>3833.4177311041058</v>
      </c>
      <c r="E729" s="127">
        <v>264.732014665549</v>
      </c>
      <c r="F729" s="447">
        <v>0.47055637364983588</v>
      </c>
      <c r="G729" s="127">
        <v>118.3000452138799</v>
      </c>
      <c r="H729" s="132">
        <v>62.985391671751714</v>
      </c>
      <c r="I729" s="456"/>
      <c r="J729" s="45"/>
      <c r="K729" s="45">
        <v>520</v>
      </c>
      <c r="L729" s="463"/>
      <c r="M729" s="456">
        <v>42.030609130859375</v>
      </c>
      <c r="N729" s="457"/>
      <c r="O729" s="456"/>
      <c r="P729" s="46"/>
      <c r="Q729" s="463">
        <v>75.901679992675781</v>
      </c>
      <c r="R729" s="449"/>
      <c r="S729" s="463"/>
      <c r="T729" s="480"/>
      <c r="U729" s="468"/>
      <c r="V729" s="449"/>
      <c r="W729" s="45">
        <v>1961.7305908203125</v>
      </c>
      <c r="X729" s="463">
        <v>159.93888854980469</v>
      </c>
      <c r="Y729" s="449"/>
      <c r="Z729" s="45"/>
      <c r="AA729" s="468">
        <v>0.46157975542381086</v>
      </c>
      <c r="AB729" s="456"/>
      <c r="AC729" s="46"/>
      <c r="AD729" s="46"/>
      <c r="AE729" s="46"/>
      <c r="AF729" s="46"/>
      <c r="AG729" s="46"/>
      <c r="AH729" s="46"/>
      <c r="AI729" s="457"/>
      <c r="AJ729" s="138"/>
      <c r="AK729" s="745"/>
      <c r="AL729" s="54"/>
      <c r="AM729" s="468"/>
      <c r="AN729" s="449"/>
      <c r="AO729" s="45"/>
      <c r="AP729" s="45"/>
      <c r="AQ729" s="45"/>
      <c r="AR729" s="45"/>
      <c r="AS729" s="45"/>
      <c r="AT729" s="45"/>
      <c r="AU729" s="463"/>
      <c r="AV729" s="449"/>
      <c r="AW729" s="45"/>
      <c r="AX729" s="45"/>
      <c r="AY729" s="45"/>
      <c r="AZ729" s="45"/>
      <c r="BA729" s="45"/>
      <c r="BB729" s="45"/>
      <c r="BC729" s="463"/>
      <c r="BD729" s="456"/>
      <c r="BE729" s="46"/>
      <c r="BF729" s="46"/>
      <c r="BG729" s="46"/>
      <c r="BH729" s="46"/>
      <c r="BI729" s="46"/>
      <c r="BJ729" s="457"/>
      <c r="BK729" s="449">
        <v>0</v>
      </c>
      <c r="BL729" s="45"/>
      <c r="BM729" s="45"/>
      <c r="BN729" s="45"/>
      <c r="BO729" s="45"/>
      <c r="BP729" s="45"/>
      <c r="BQ729" s="45"/>
      <c r="BR729" s="45"/>
      <c r="BS729" s="45"/>
      <c r="BT729" s="45"/>
      <c r="BU729" s="45"/>
      <c r="BV729" s="45"/>
      <c r="BW729" s="45"/>
      <c r="BX729" s="45"/>
      <c r="BY729" s="45"/>
      <c r="BZ729" s="45"/>
      <c r="CA729" s="45"/>
      <c r="CB729" s="45"/>
      <c r="CC729" s="45"/>
      <c r="CD729" s="463"/>
      <c r="CE729">
        <v>0</v>
      </c>
      <c r="CF729">
        <v>0</v>
      </c>
      <c r="CG729">
        <v>0</v>
      </c>
      <c r="CH729">
        <v>0</v>
      </c>
      <c r="CI729">
        <v>0</v>
      </c>
      <c r="CJ729">
        <v>0</v>
      </c>
      <c r="CK729">
        <v>0</v>
      </c>
      <c r="CL729">
        <v>0</v>
      </c>
      <c r="CM729">
        <v>0</v>
      </c>
      <c r="CN729">
        <v>0</v>
      </c>
      <c r="CO729">
        <v>0</v>
      </c>
      <c r="CP729">
        <v>0</v>
      </c>
      <c r="CQ729">
        <v>0</v>
      </c>
      <c r="CR729">
        <v>0</v>
      </c>
      <c r="CS729">
        <v>0</v>
      </c>
      <c r="CT729">
        <v>0</v>
      </c>
      <c r="CU729">
        <v>0</v>
      </c>
      <c r="CV729">
        <v>0</v>
      </c>
      <c r="CW729">
        <v>0</v>
      </c>
      <c r="CX729">
        <v>0</v>
      </c>
      <c r="CY729">
        <v>0</v>
      </c>
      <c r="CZ729">
        <v>0</v>
      </c>
      <c r="DA729">
        <v>0</v>
      </c>
      <c r="DB729">
        <v>0</v>
      </c>
      <c r="DC729">
        <v>0</v>
      </c>
      <c r="DD729">
        <v>0</v>
      </c>
      <c r="DE729">
        <v>0</v>
      </c>
      <c r="DF729">
        <v>0</v>
      </c>
      <c r="DG729">
        <v>0</v>
      </c>
      <c r="DH729">
        <v>0</v>
      </c>
      <c r="DI729">
        <v>0</v>
      </c>
      <c r="DJ729">
        <v>0</v>
      </c>
      <c r="DK729">
        <v>0</v>
      </c>
      <c r="DL729">
        <v>0</v>
      </c>
      <c r="DM729">
        <v>0</v>
      </c>
      <c r="DN729">
        <v>0</v>
      </c>
      <c r="DO729">
        <v>0</v>
      </c>
      <c r="DP729">
        <v>0</v>
      </c>
      <c r="DQ729">
        <v>0</v>
      </c>
      <c r="DR729">
        <v>0</v>
      </c>
      <c r="DS729">
        <v>0</v>
      </c>
      <c r="DT729">
        <v>0</v>
      </c>
      <c r="DU729">
        <v>0</v>
      </c>
    </row>
    <row r="730" spans="2:125">
      <c r="B730" s="136">
        <v>721</v>
      </c>
      <c r="C730" s="138">
        <v>1</v>
      </c>
      <c r="D730" s="474">
        <v>3193.4454168270559</v>
      </c>
      <c r="E730" s="127">
        <v>236.82409531397863</v>
      </c>
      <c r="F730" s="447">
        <v>0.38176859319792067</v>
      </c>
      <c r="G730" s="127">
        <v>101.24063053835104</v>
      </c>
      <c r="H730" s="132">
        <v>56.965027330972276</v>
      </c>
      <c r="I730" s="456"/>
      <c r="J730" s="45"/>
      <c r="K730" s="45">
        <v>430</v>
      </c>
      <c r="L730" s="463"/>
      <c r="M730" s="456">
        <v>28.259735107421875</v>
      </c>
      <c r="N730" s="457"/>
      <c r="O730" s="456"/>
      <c r="P730" s="46"/>
      <c r="Q730" s="463">
        <v>63.230224609375</v>
      </c>
      <c r="R730" s="449"/>
      <c r="S730" s="463"/>
      <c r="T730" s="480"/>
      <c r="U730" s="468"/>
      <c r="V730" s="449"/>
      <c r="W730" s="45">
        <v>1215.794677734375</v>
      </c>
      <c r="X730" s="463">
        <v>105.31395721435547</v>
      </c>
      <c r="Y730" s="449"/>
      <c r="Z730" s="45"/>
      <c r="AA730" s="468">
        <v>0.37154910684252701</v>
      </c>
      <c r="AB730" s="456"/>
      <c r="AC730" s="46"/>
      <c r="AD730" s="46"/>
      <c r="AE730" s="46"/>
      <c r="AF730" s="46"/>
      <c r="AG730" s="46"/>
      <c r="AH730" s="46"/>
      <c r="AI730" s="457"/>
      <c r="AJ730" s="138"/>
      <c r="AK730" s="745"/>
      <c r="AL730" s="54"/>
      <c r="AM730" s="468"/>
      <c r="AN730" s="449"/>
      <c r="AO730" s="45"/>
      <c r="AP730" s="45"/>
      <c r="AQ730" s="45"/>
      <c r="AR730" s="45"/>
      <c r="AS730" s="45"/>
      <c r="AT730" s="45"/>
      <c r="AU730" s="463"/>
      <c r="AV730" s="449"/>
      <c r="AW730" s="45"/>
      <c r="AX730" s="45"/>
      <c r="AY730" s="45"/>
      <c r="AZ730" s="45"/>
      <c r="BA730" s="45"/>
      <c r="BB730" s="45"/>
      <c r="BC730" s="463"/>
      <c r="BD730" s="456"/>
      <c r="BE730" s="46"/>
      <c r="BF730" s="46"/>
      <c r="BG730" s="46"/>
      <c r="BH730" s="46"/>
      <c r="BI730" s="46"/>
      <c r="BJ730" s="457"/>
      <c r="BK730" s="449">
        <v>0</v>
      </c>
      <c r="BL730" s="45"/>
      <c r="BM730" s="45"/>
      <c r="BN730" s="45"/>
      <c r="BO730" s="45"/>
      <c r="BP730" s="45"/>
      <c r="BQ730" s="45"/>
      <c r="BR730" s="45"/>
      <c r="BS730" s="45"/>
      <c r="BT730" s="45"/>
      <c r="BU730" s="45"/>
      <c r="BV730" s="45"/>
      <c r="BW730" s="45"/>
      <c r="BX730" s="45"/>
      <c r="BY730" s="45"/>
      <c r="BZ730" s="45"/>
      <c r="CA730" s="45"/>
      <c r="CB730" s="45"/>
      <c r="CC730" s="45"/>
      <c r="CD730" s="463"/>
      <c r="CE730">
        <v>0</v>
      </c>
      <c r="CF730">
        <v>0</v>
      </c>
      <c r="CG730">
        <v>0</v>
      </c>
      <c r="CH730">
        <v>0</v>
      </c>
      <c r="CI730">
        <v>0</v>
      </c>
      <c r="CJ730">
        <v>0</v>
      </c>
      <c r="CK730">
        <v>0</v>
      </c>
      <c r="CL730">
        <v>0</v>
      </c>
      <c r="CM730">
        <v>0</v>
      </c>
      <c r="CN730">
        <v>0</v>
      </c>
      <c r="CO730">
        <v>0</v>
      </c>
      <c r="CP730">
        <v>0</v>
      </c>
      <c r="CQ730">
        <v>0</v>
      </c>
      <c r="CR730">
        <v>0</v>
      </c>
      <c r="CS730">
        <v>0</v>
      </c>
      <c r="CT730">
        <v>0</v>
      </c>
      <c r="CU730">
        <v>0</v>
      </c>
      <c r="CV730">
        <v>0</v>
      </c>
      <c r="CW730">
        <v>0</v>
      </c>
      <c r="CX730">
        <v>0</v>
      </c>
      <c r="CY730">
        <v>0</v>
      </c>
      <c r="CZ730">
        <v>0</v>
      </c>
      <c r="DA730">
        <v>0</v>
      </c>
      <c r="DB730">
        <v>0</v>
      </c>
      <c r="DC730">
        <v>0</v>
      </c>
      <c r="DD730">
        <v>0</v>
      </c>
      <c r="DE730">
        <v>0</v>
      </c>
      <c r="DF730">
        <v>0</v>
      </c>
      <c r="DG730">
        <v>0</v>
      </c>
      <c r="DH730">
        <v>0</v>
      </c>
      <c r="DI730">
        <v>0</v>
      </c>
      <c r="DJ730">
        <v>0</v>
      </c>
      <c r="DK730">
        <v>0</v>
      </c>
      <c r="DL730">
        <v>0</v>
      </c>
      <c r="DM730">
        <v>0</v>
      </c>
      <c r="DN730">
        <v>0</v>
      </c>
      <c r="DO730">
        <v>0</v>
      </c>
      <c r="DP730">
        <v>0</v>
      </c>
      <c r="DQ730">
        <v>0</v>
      </c>
      <c r="DR730">
        <v>0</v>
      </c>
      <c r="DS730">
        <v>0</v>
      </c>
      <c r="DT730">
        <v>0</v>
      </c>
      <c r="DU730">
        <v>0</v>
      </c>
    </row>
    <row r="731" spans="2:125">
      <c r="B731" s="136">
        <v>722</v>
      </c>
      <c r="C731" s="138">
        <v>1</v>
      </c>
      <c r="D731" s="474">
        <v>3490.4124098104403</v>
      </c>
      <c r="E731" s="127">
        <v>246.65934686968433</v>
      </c>
      <c r="F731" s="447">
        <v>0.41776627684206352</v>
      </c>
      <c r="G731" s="127">
        <v>144.20747724979995</v>
      </c>
      <c r="H731" s="132">
        <v>50.645505982059454</v>
      </c>
      <c r="I731" s="456"/>
      <c r="J731" s="45"/>
      <c r="K731" s="45">
        <v>550</v>
      </c>
      <c r="L731" s="463"/>
      <c r="M731" s="456">
        <v>37.345829010009766</v>
      </c>
      <c r="N731" s="457"/>
      <c r="O731" s="456"/>
      <c r="P731" s="46"/>
      <c r="Q731" s="463">
        <v>69.11016845703125</v>
      </c>
      <c r="R731" s="449"/>
      <c r="S731" s="463"/>
      <c r="T731" s="480"/>
      <c r="U731" s="468"/>
      <c r="V731" s="449"/>
      <c r="W731" s="45">
        <v>1690.4986572265625</v>
      </c>
      <c r="X731" s="463">
        <v>140.32255554199219</v>
      </c>
      <c r="Y731" s="449"/>
      <c r="Z731" s="45"/>
      <c r="AA731" s="468">
        <v>0.40821000622971698</v>
      </c>
      <c r="AB731" s="456"/>
      <c r="AC731" s="46"/>
      <c r="AD731" s="46"/>
      <c r="AE731" s="46"/>
      <c r="AF731" s="46"/>
      <c r="AG731" s="46"/>
      <c r="AH731" s="46"/>
      <c r="AI731" s="457"/>
      <c r="AJ731" s="138"/>
      <c r="AK731" s="745"/>
      <c r="AL731" s="54"/>
      <c r="AM731" s="468"/>
      <c r="AN731" s="449"/>
      <c r="AO731" s="45"/>
      <c r="AP731" s="45"/>
      <c r="AQ731" s="45"/>
      <c r="AR731" s="45"/>
      <c r="AS731" s="45"/>
      <c r="AT731" s="45"/>
      <c r="AU731" s="463"/>
      <c r="AV731" s="449"/>
      <c r="AW731" s="45"/>
      <c r="AX731" s="45"/>
      <c r="AY731" s="45"/>
      <c r="AZ731" s="45"/>
      <c r="BA731" s="45"/>
      <c r="BB731" s="45"/>
      <c r="BC731" s="463"/>
      <c r="BD731" s="456"/>
      <c r="BE731" s="46"/>
      <c r="BF731" s="46"/>
      <c r="BG731" s="46"/>
      <c r="BH731" s="46"/>
      <c r="BI731" s="46"/>
      <c r="BJ731" s="457"/>
      <c r="BK731" s="449">
        <v>0</v>
      </c>
      <c r="BL731" s="45"/>
      <c r="BM731" s="45"/>
      <c r="BN731" s="45"/>
      <c r="BO731" s="45"/>
      <c r="BP731" s="45"/>
      <c r="BQ731" s="45"/>
      <c r="BR731" s="45"/>
      <c r="BS731" s="45"/>
      <c r="BT731" s="45"/>
      <c r="BU731" s="45"/>
      <c r="BV731" s="45"/>
      <c r="BW731" s="45"/>
      <c r="BX731" s="45"/>
      <c r="BY731" s="45"/>
      <c r="BZ731" s="45"/>
      <c r="CA731" s="45"/>
      <c r="CB731" s="45"/>
      <c r="CC731" s="45"/>
      <c r="CD731" s="463"/>
      <c r="CE731">
        <v>0</v>
      </c>
      <c r="CF731">
        <v>0</v>
      </c>
      <c r="CG731">
        <v>0</v>
      </c>
      <c r="CH731">
        <v>0</v>
      </c>
      <c r="CI731">
        <v>0</v>
      </c>
      <c r="CJ731">
        <v>0</v>
      </c>
      <c r="CK731">
        <v>0</v>
      </c>
      <c r="CL731">
        <v>0</v>
      </c>
      <c r="CM731">
        <v>0</v>
      </c>
      <c r="CN731">
        <v>0</v>
      </c>
      <c r="CO731">
        <v>0</v>
      </c>
      <c r="CP731">
        <v>0</v>
      </c>
      <c r="CQ731">
        <v>0</v>
      </c>
      <c r="CR731">
        <v>0</v>
      </c>
      <c r="CS731">
        <v>0</v>
      </c>
      <c r="CT731">
        <v>0</v>
      </c>
      <c r="CU731">
        <v>0</v>
      </c>
      <c r="CV731">
        <v>0</v>
      </c>
      <c r="CW731">
        <v>0</v>
      </c>
      <c r="CX731">
        <v>0</v>
      </c>
      <c r="CY731">
        <v>0</v>
      </c>
      <c r="CZ731">
        <v>0</v>
      </c>
      <c r="DA731">
        <v>0</v>
      </c>
      <c r="DB731">
        <v>0</v>
      </c>
      <c r="DC731">
        <v>0</v>
      </c>
      <c r="DD731">
        <v>0</v>
      </c>
      <c r="DE731">
        <v>0</v>
      </c>
      <c r="DF731">
        <v>0</v>
      </c>
      <c r="DG731">
        <v>0</v>
      </c>
      <c r="DH731">
        <v>0</v>
      </c>
      <c r="DI731">
        <v>0</v>
      </c>
      <c r="DJ731">
        <v>0</v>
      </c>
      <c r="DK731">
        <v>0</v>
      </c>
      <c r="DL731">
        <v>0</v>
      </c>
      <c r="DM731">
        <v>0</v>
      </c>
      <c r="DN731">
        <v>0</v>
      </c>
      <c r="DO731">
        <v>0</v>
      </c>
      <c r="DP731">
        <v>0</v>
      </c>
      <c r="DQ731">
        <v>0</v>
      </c>
      <c r="DR731">
        <v>0</v>
      </c>
      <c r="DS731">
        <v>0</v>
      </c>
      <c r="DT731">
        <v>0</v>
      </c>
      <c r="DU731">
        <v>0</v>
      </c>
    </row>
    <row r="732" spans="2:125">
      <c r="B732" s="136">
        <v>723</v>
      </c>
      <c r="C732" s="138">
        <v>1</v>
      </c>
      <c r="D732" s="474">
        <v>2824.6765614302249</v>
      </c>
      <c r="E732" s="127">
        <v>180.68000067300619</v>
      </c>
      <c r="F732" s="447">
        <v>0.41065528593385986</v>
      </c>
      <c r="G732" s="127">
        <v>107.25431576559785</v>
      </c>
      <c r="H732" s="132">
        <v>47.755328979591418</v>
      </c>
      <c r="I732" s="456"/>
      <c r="J732" s="45"/>
      <c r="K732" s="45">
        <v>430</v>
      </c>
      <c r="L732" s="463"/>
      <c r="M732" s="456">
        <v>33.639171600341797</v>
      </c>
      <c r="N732" s="457"/>
      <c r="O732" s="456"/>
      <c r="P732" s="46"/>
      <c r="Q732" s="463">
        <v>55.928600311279297</v>
      </c>
      <c r="R732" s="449"/>
      <c r="S732" s="463"/>
      <c r="T732" s="480"/>
      <c r="U732" s="468"/>
      <c r="V732" s="449"/>
      <c r="W732" s="45">
        <v>1318.527587890625</v>
      </c>
      <c r="X732" s="463">
        <v>112.75714111328125</v>
      </c>
      <c r="Y732" s="449"/>
      <c r="Z732" s="45"/>
      <c r="AA732" s="468">
        <v>0.39889708813798175</v>
      </c>
      <c r="AB732" s="456"/>
      <c r="AC732" s="46"/>
      <c r="AD732" s="46"/>
      <c r="AE732" s="46"/>
      <c r="AF732" s="46"/>
      <c r="AG732" s="46"/>
      <c r="AH732" s="46"/>
      <c r="AI732" s="457"/>
      <c r="AJ732" s="138"/>
      <c r="AK732" s="745"/>
      <c r="AL732" s="54"/>
      <c r="AM732" s="468"/>
      <c r="AN732" s="449"/>
      <c r="AO732" s="45"/>
      <c r="AP732" s="45"/>
      <c r="AQ732" s="45"/>
      <c r="AR732" s="45"/>
      <c r="AS732" s="45"/>
      <c r="AT732" s="45"/>
      <c r="AU732" s="463"/>
      <c r="AV732" s="449"/>
      <c r="AW732" s="45"/>
      <c r="AX732" s="45"/>
      <c r="AY732" s="45"/>
      <c r="AZ732" s="45"/>
      <c r="BA732" s="45"/>
      <c r="BB732" s="45"/>
      <c r="BC732" s="463"/>
      <c r="BD732" s="456"/>
      <c r="BE732" s="46"/>
      <c r="BF732" s="46"/>
      <c r="BG732" s="46"/>
      <c r="BH732" s="46"/>
      <c r="BI732" s="46"/>
      <c r="BJ732" s="457"/>
      <c r="BK732" s="449">
        <v>0</v>
      </c>
      <c r="BL732" s="45"/>
      <c r="BM732" s="45"/>
      <c r="BN732" s="45"/>
      <c r="BO732" s="45"/>
      <c r="BP732" s="45"/>
      <c r="BQ732" s="45"/>
      <c r="BR732" s="45"/>
      <c r="BS732" s="45"/>
      <c r="BT732" s="45"/>
      <c r="BU732" s="45"/>
      <c r="BV732" s="45"/>
      <c r="BW732" s="45"/>
      <c r="BX732" s="45"/>
      <c r="BY732" s="45"/>
      <c r="BZ732" s="45"/>
      <c r="CA732" s="45"/>
      <c r="CB732" s="45"/>
      <c r="CC732" s="45"/>
      <c r="CD732" s="463"/>
      <c r="CE732">
        <v>0</v>
      </c>
      <c r="CF732">
        <v>0</v>
      </c>
      <c r="CG732">
        <v>0</v>
      </c>
      <c r="CH732">
        <v>0</v>
      </c>
      <c r="CI732">
        <v>0</v>
      </c>
      <c r="CJ732">
        <v>0</v>
      </c>
      <c r="CK732">
        <v>0</v>
      </c>
      <c r="CL732">
        <v>0</v>
      </c>
      <c r="CM732">
        <v>0</v>
      </c>
      <c r="CN732">
        <v>0</v>
      </c>
      <c r="CO732">
        <v>0</v>
      </c>
      <c r="CP732">
        <v>0</v>
      </c>
      <c r="CQ732">
        <v>0</v>
      </c>
      <c r="CR732">
        <v>0</v>
      </c>
      <c r="CS732">
        <v>0</v>
      </c>
      <c r="CT732">
        <v>0</v>
      </c>
      <c r="CU732">
        <v>0</v>
      </c>
      <c r="CV732">
        <v>0</v>
      </c>
      <c r="CW732">
        <v>0</v>
      </c>
      <c r="CX732">
        <v>0</v>
      </c>
      <c r="CY732">
        <v>0</v>
      </c>
      <c r="CZ732">
        <v>0</v>
      </c>
      <c r="DA732">
        <v>0</v>
      </c>
      <c r="DB732">
        <v>0</v>
      </c>
      <c r="DC732">
        <v>0</v>
      </c>
      <c r="DD732">
        <v>0</v>
      </c>
      <c r="DE732">
        <v>0</v>
      </c>
      <c r="DF732">
        <v>0</v>
      </c>
      <c r="DG732">
        <v>0</v>
      </c>
      <c r="DH732">
        <v>0</v>
      </c>
      <c r="DI732">
        <v>0</v>
      </c>
      <c r="DJ732">
        <v>0</v>
      </c>
      <c r="DK732">
        <v>0</v>
      </c>
      <c r="DL732">
        <v>0</v>
      </c>
      <c r="DM732">
        <v>0</v>
      </c>
      <c r="DN732">
        <v>0</v>
      </c>
      <c r="DO732">
        <v>0</v>
      </c>
      <c r="DP732">
        <v>0</v>
      </c>
      <c r="DQ732">
        <v>0</v>
      </c>
      <c r="DR732">
        <v>0</v>
      </c>
      <c r="DS732">
        <v>0</v>
      </c>
      <c r="DT732">
        <v>0</v>
      </c>
      <c r="DU732">
        <v>0</v>
      </c>
    </row>
    <row r="733" spans="2:125">
      <c r="B733" s="136">
        <v>724</v>
      </c>
      <c r="C733" s="138">
        <v>1</v>
      </c>
      <c r="D733" s="474">
        <v>4076.9454029867552</v>
      </c>
      <c r="E733" s="127">
        <v>256.7679056369202</v>
      </c>
      <c r="F733" s="447">
        <v>0.42809086468584245</v>
      </c>
      <c r="G733" s="127">
        <v>170.83220118930404</v>
      </c>
      <c r="H733" s="132">
        <v>54.603979638285963</v>
      </c>
      <c r="I733" s="456"/>
      <c r="J733" s="45"/>
      <c r="K733" s="45">
        <v>650</v>
      </c>
      <c r="L733" s="463"/>
      <c r="M733" s="456">
        <v>41.154079437255859</v>
      </c>
      <c r="N733" s="457"/>
      <c r="O733" s="456"/>
      <c r="P733" s="46"/>
      <c r="Q733" s="463">
        <v>80.723526000976563</v>
      </c>
      <c r="R733" s="449"/>
      <c r="S733" s="463"/>
      <c r="T733" s="480"/>
      <c r="U733" s="468"/>
      <c r="V733" s="449"/>
      <c r="W733" s="45">
        <v>2042.5804443359375</v>
      </c>
      <c r="X733" s="463">
        <v>166.34568786621094</v>
      </c>
      <c r="Y733" s="449"/>
      <c r="Z733" s="45"/>
      <c r="AA733" s="468">
        <v>0.41985876590200061</v>
      </c>
      <c r="AB733" s="456"/>
      <c r="AC733" s="46"/>
      <c r="AD733" s="46"/>
      <c r="AE733" s="46"/>
      <c r="AF733" s="46"/>
      <c r="AG733" s="46"/>
      <c r="AH733" s="46"/>
      <c r="AI733" s="457"/>
      <c r="AJ733" s="138"/>
      <c r="AK733" s="745"/>
      <c r="AL733" s="54"/>
      <c r="AM733" s="468"/>
      <c r="AN733" s="449"/>
      <c r="AO733" s="45"/>
      <c r="AP733" s="45"/>
      <c r="AQ733" s="45"/>
      <c r="AR733" s="45"/>
      <c r="AS733" s="45"/>
      <c r="AT733" s="45"/>
      <c r="AU733" s="463"/>
      <c r="AV733" s="449"/>
      <c r="AW733" s="45"/>
      <c r="AX733" s="45"/>
      <c r="AY733" s="45"/>
      <c r="AZ733" s="45"/>
      <c r="BA733" s="45"/>
      <c r="BB733" s="45"/>
      <c r="BC733" s="463"/>
      <c r="BD733" s="456"/>
      <c r="BE733" s="46"/>
      <c r="BF733" s="46"/>
      <c r="BG733" s="46"/>
      <c r="BH733" s="46"/>
      <c r="BI733" s="46"/>
      <c r="BJ733" s="457"/>
      <c r="BK733" s="449">
        <v>0</v>
      </c>
      <c r="BL733" s="45"/>
      <c r="BM733" s="45"/>
      <c r="BN733" s="45"/>
      <c r="BO733" s="45"/>
      <c r="BP733" s="45"/>
      <c r="BQ733" s="45"/>
      <c r="BR733" s="45"/>
      <c r="BS733" s="45"/>
      <c r="BT733" s="45"/>
      <c r="BU733" s="45"/>
      <c r="BV733" s="45"/>
      <c r="BW733" s="45"/>
      <c r="BX733" s="45"/>
      <c r="BY733" s="45"/>
      <c r="BZ733" s="45"/>
      <c r="CA733" s="45"/>
      <c r="CB733" s="45"/>
      <c r="CC733" s="45"/>
      <c r="CD733" s="463"/>
      <c r="CE733">
        <v>0</v>
      </c>
      <c r="CF733">
        <v>0</v>
      </c>
      <c r="CG733">
        <v>0</v>
      </c>
      <c r="CH733">
        <v>0</v>
      </c>
      <c r="CI733">
        <v>0</v>
      </c>
      <c r="CJ733">
        <v>0</v>
      </c>
      <c r="CK733">
        <v>0</v>
      </c>
      <c r="CL733">
        <v>0</v>
      </c>
      <c r="CM733">
        <v>0</v>
      </c>
      <c r="CN733">
        <v>0</v>
      </c>
      <c r="CO733">
        <v>0</v>
      </c>
      <c r="CP733">
        <v>0</v>
      </c>
      <c r="CQ733">
        <v>0</v>
      </c>
      <c r="CR733">
        <v>0</v>
      </c>
      <c r="CS733">
        <v>0</v>
      </c>
      <c r="CT733">
        <v>0</v>
      </c>
      <c r="CU733">
        <v>0</v>
      </c>
      <c r="CV733">
        <v>0</v>
      </c>
      <c r="CW733">
        <v>0</v>
      </c>
      <c r="CX733">
        <v>0</v>
      </c>
      <c r="CY733">
        <v>0</v>
      </c>
      <c r="CZ733">
        <v>0</v>
      </c>
      <c r="DA733">
        <v>0</v>
      </c>
      <c r="DB733">
        <v>0</v>
      </c>
      <c r="DC733">
        <v>0</v>
      </c>
      <c r="DD733">
        <v>0</v>
      </c>
      <c r="DE733">
        <v>0</v>
      </c>
      <c r="DF733">
        <v>0</v>
      </c>
      <c r="DG733">
        <v>0</v>
      </c>
      <c r="DH733">
        <v>0</v>
      </c>
      <c r="DI733">
        <v>0</v>
      </c>
      <c r="DJ733">
        <v>0</v>
      </c>
      <c r="DK733">
        <v>0</v>
      </c>
      <c r="DL733">
        <v>0</v>
      </c>
      <c r="DM733">
        <v>0</v>
      </c>
      <c r="DN733">
        <v>0</v>
      </c>
      <c r="DO733">
        <v>0</v>
      </c>
      <c r="DP733">
        <v>0</v>
      </c>
      <c r="DQ733">
        <v>0</v>
      </c>
      <c r="DR733">
        <v>0</v>
      </c>
      <c r="DS733">
        <v>0</v>
      </c>
      <c r="DT733">
        <v>0</v>
      </c>
      <c r="DU733">
        <v>0</v>
      </c>
    </row>
    <row r="734" spans="2:125">
      <c r="B734" s="136">
        <v>725</v>
      </c>
      <c r="C734" s="138">
        <v>1</v>
      </c>
      <c r="D734" s="474">
        <v>2776.3525423664441</v>
      </c>
      <c r="E734" s="127">
        <v>199.29538058102088</v>
      </c>
      <c r="F734" s="447">
        <v>0.37011874143707474</v>
      </c>
      <c r="G734" s="127">
        <v>96.3608629098443</v>
      </c>
      <c r="H734" s="132">
        <v>50.308230021023697</v>
      </c>
      <c r="I734" s="456"/>
      <c r="J734" s="45"/>
      <c r="K734" s="45">
        <v>390</v>
      </c>
      <c r="L734" s="463"/>
      <c r="M734" s="456">
        <v>28.364414215087891</v>
      </c>
      <c r="N734" s="457"/>
      <c r="O734" s="456"/>
      <c r="P734" s="46"/>
      <c r="Q734" s="463">
        <v>54.971782684326172</v>
      </c>
      <c r="R734" s="449"/>
      <c r="S734" s="463"/>
      <c r="T734" s="480"/>
      <c r="U734" s="468"/>
      <c r="V734" s="449"/>
      <c r="W734" s="45">
        <v>1088.00927734375</v>
      </c>
      <c r="X734" s="463">
        <v>95.852439880371094</v>
      </c>
      <c r="Y734" s="449"/>
      <c r="Z734" s="45"/>
      <c r="AA734" s="468">
        <v>0.35844789836715141</v>
      </c>
      <c r="AB734" s="456"/>
      <c r="AC734" s="46"/>
      <c r="AD734" s="46"/>
      <c r="AE734" s="46"/>
      <c r="AF734" s="46"/>
      <c r="AG734" s="46"/>
      <c r="AH734" s="46"/>
      <c r="AI734" s="457"/>
      <c r="AJ734" s="138"/>
      <c r="AK734" s="745"/>
      <c r="AL734" s="54"/>
      <c r="AM734" s="468"/>
      <c r="AN734" s="449"/>
      <c r="AO734" s="45"/>
      <c r="AP734" s="45"/>
      <c r="AQ734" s="45"/>
      <c r="AR734" s="45"/>
      <c r="AS734" s="45"/>
      <c r="AT734" s="45"/>
      <c r="AU734" s="463"/>
      <c r="AV734" s="449"/>
      <c r="AW734" s="45"/>
      <c r="AX734" s="45"/>
      <c r="AY734" s="45"/>
      <c r="AZ734" s="45"/>
      <c r="BA734" s="45"/>
      <c r="BB734" s="45"/>
      <c r="BC734" s="463"/>
      <c r="BD734" s="456"/>
      <c r="BE734" s="46"/>
      <c r="BF734" s="46"/>
      <c r="BG734" s="46"/>
      <c r="BH734" s="46"/>
      <c r="BI734" s="46"/>
      <c r="BJ734" s="457"/>
      <c r="BK734" s="449">
        <v>0</v>
      </c>
      <c r="BL734" s="45"/>
      <c r="BM734" s="45"/>
      <c r="BN734" s="45"/>
      <c r="BO734" s="45"/>
      <c r="BP734" s="45"/>
      <c r="BQ734" s="45"/>
      <c r="BR734" s="45"/>
      <c r="BS734" s="45"/>
      <c r="BT734" s="45"/>
      <c r="BU734" s="45"/>
      <c r="BV734" s="45"/>
      <c r="BW734" s="45"/>
      <c r="BX734" s="45"/>
      <c r="BY734" s="45"/>
      <c r="BZ734" s="45"/>
      <c r="CA734" s="45"/>
      <c r="CB734" s="45"/>
      <c r="CC734" s="45"/>
      <c r="CD734" s="463"/>
      <c r="CE734">
        <v>0</v>
      </c>
      <c r="CF734">
        <v>0</v>
      </c>
      <c r="CG734">
        <v>0</v>
      </c>
      <c r="CH734">
        <v>0</v>
      </c>
      <c r="CI734">
        <v>0</v>
      </c>
      <c r="CJ734">
        <v>0</v>
      </c>
      <c r="CK734">
        <v>0</v>
      </c>
      <c r="CL734">
        <v>0</v>
      </c>
      <c r="CM734">
        <v>0</v>
      </c>
      <c r="CN734">
        <v>0</v>
      </c>
      <c r="CO734">
        <v>0</v>
      </c>
      <c r="CP734">
        <v>0</v>
      </c>
      <c r="CQ734">
        <v>0</v>
      </c>
      <c r="CR734">
        <v>0</v>
      </c>
      <c r="CS734">
        <v>0</v>
      </c>
      <c r="CT734">
        <v>0</v>
      </c>
      <c r="CU734">
        <v>0</v>
      </c>
      <c r="CV734">
        <v>0</v>
      </c>
      <c r="CW734">
        <v>0</v>
      </c>
      <c r="CX734">
        <v>0</v>
      </c>
      <c r="CY734">
        <v>0</v>
      </c>
      <c r="CZ734">
        <v>0</v>
      </c>
      <c r="DA734">
        <v>0</v>
      </c>
      <c r="DB734">
        <v>0</v>
      </c>
      <c r="DC734">
        <v>0</v>
      </c>
      <c r="DD734">
        <v>0</v>
      </c>
      <c r="DE734">
        <v>0</v>
      </c>
      <c r="DF734">
        <v>0</v>
      </c>
      <c r="DG734">
        <v>0</v>
      </c>
      <c r="DH734">
        <v>0</v>
      </c>
      <c r="DI734">
        <v>0</v>
      </c>
      <c r="DJ734">
        <v>0</v>
      </c>
      <c r="DK734">
        <v>0</v>
      </c>
      <c r="DL734">
        <v>0</v>
      </c>
      <c r="DM734">
        <v>0</v>
      </c>
      <c r="DN734">
        <v>0</v>
      </c>
      <c r="DO734">
        <v>0</v>
      </c>
      <c r="DP734">
        <v>0</v>
      </c>
      <c r="DQ734">
        <v>0</v>
      </c>
      <c r="DR734">
        <v>0</v>
      </c>
      <c r="DS734">
        <v>0</v>
      </c>
      <c r="DT734">
        <v>0</v>
      </c>
      <c r="DU734">
        <v>0</v>
      </c>
    </row>
    <row r="735" spans="2:125">
      <c r="B735" s="136">
        <v>726</v>
      </c>
      <c r="C735" s="138">
        <v>1</v>
      </c>
      <c r="D735" s="474">
        <v>3489.149103743363</v>
      </c>
      <c r="E735" s="127">
        <v>264.37617222224605</v>
      </c>
      <c r="F735" s="447">
        <v>0.43495732836694778</v>
      </c>
      <c r="G735" s="127">
        <v>122.81518090982966</v>
      </c>
      <c r="H735" s="132">
        <v>63.070406781933066</v>
      </c>
      <c r="I735" s="456"/>
      <c r="J735" s="45"/>
      <c r="K735" s="45">
        <v>530</v>
      </c>
      <c r="L735" s="463"/>
      <c r="M735" s="456">
        <v>35.925716400146484</v>
      </c>
      <c r="N735" s="457"/>
      <c r="O735" s="456"/>
      <c r="P735" s="46"/>
      <c r="Q735" s="463">
        <v>77.327522277832031</v>
      </c>
      <c r="R735" s="449"/>
      <c r="S735" s="463"/>
      <c r="T735" s="480"/>
      <c r="U735" s="468"/>
      <c r="V735" s="449"/>
      <c r="W735" s="45">
        <v>1721.87255859375</v>
      </c>
      <c r="X735" s="463">
        <v>142.52578735351562</v>
      </c>
      <c r="Y735" s="449"/>
      <c r="Z735" s="45"/>
      <c r="AA735" s="468">
        <v>0.42529905766387455</v>
      </c>
      <c r="AB735" s="456"/>
      <c r="AC735" s="46"/>
      <c r="AD735" s="46"/>
      <c r="AE735" s="46"/>
      <c r="AF735" s="46"/>
      <c r="AG735" s="46"/>
      <c r="AH735" s="46"/>
      <c r="AI735" s="457"/>
      <c r="AJ735" s="138"/>
      <c r="AK735" s="745"/>
      <c r="AL735" s="54"/>
      <c r="AM735" s="468"/>
      <c r="AN735" s="449"/>
      <c r="AO735" s="45"/>
      <c r="AP735" s="45"/>
      <c r="AQ735" s="45"/>
      <c r="AR735" s="45"/>
      <c r="AS735" s="45"/>
      <c r="AT735" s="45"/>
      <c r="AU735" s="463"/>
      <c r="AV735" s="449"/>
      <c r="AW735" s="45"/>
      <c r="AX735" s="45"/>
      <c r="AY735" s="45"/>
      <c r="AZ735" s="45"/>
      <c r="BA735" s="45"/>
      <c r="BB735" s="45"/>
      <c r="BC735" s="463"/>
      <c r="BD735" s="456"/>
      <c r="BE735" s="46"/>
      <c r="BF735" s="46"/>
      <c r="BG735" s="46"/>
      <c r="BH735" s="46"/>
      <c r="BI735" s="46"/>
      <c r="BJ735" s="457"/>
      <c r="BK735" s="449">
        <v>0</v>
      </c>
      <c r="BL735" s="45"/>
      <c r="BM735" s="45"/>
      <c r="BN735" s="45"/>
      <c r="BO735" s="45"/>
      <c r="BP735" s="45"/>
      <c r="BQ735" s="45"/>
      <c r="BR735" s="45"/>
      <c r="BS735" s="45"/>
      <c r="BT735" s="45"/>
      <c r="BU735" s="45"/>
      <c r="BV735" s="45"/>
      <c r="BW735" s="45"/>
      <c r="BX735" s="45"/>
      <c r="BY735" s="45"/>
      <c r="BZ735" s="45"/>
      <c r="CA735" s="45"/>
      <c r="CB735" s="45"/>
      <c r="CC735" s="45"/>
      <c r="CD735" s="463"/>
      <c r="CE735">
        <v>0</v>
      </c>
      <c r="CF735">
        <v>0</v>
      </c>
      <c r="CG735">
        <v>0</v>
      </c>
      <c r="CH735">
        <v>0</v>
      </c>
      <c r="CI735">
        <v>0</v>
      </c>
      <c r="CJ735">
        <v>0</v>
      </c>
      <c r="CK735">
        <v>0</v>
      </c>
      <c r="CL735">
        <v>0</v>
      </c>
      <c r="CM735">
        <v>0</v>
      </c>
      <c r="CN735">
        <v>0</v>
      </c>
      <c r="CO735">
        <v>0</v>
      </c>
      <c r="CP735">
        <v>0</v>
      </c>
      <c r="CQ735">
        <v>0</v>
      </c>
      <c r="CR735">
        <v>0</v>
      </c>
      <c r="CS735">
        <v>0</v>
      </c>
      <c r="CT735">
        <v>0</v>
      </c>
      <c r="CU735">
        <v>0</v>
      </c>
      <c r="CV735">
        <v>0</v>
      </c>
      <c r="CW735">
        <v>0</v>
      </c>
      <c r="CX735">
        <v>0</v>
      </c>
      <c r="CY735">
        <v>0</v>
      </c>
      <c r="CZ735">
        <v>0</v>
      </c>
      <c r="DA735">
        <v>0</v>
      </c>
      <c r="DB735">
        <v>0</v>
      </c>
      <c r="DC735">
        <v>0</v>
      </c>
      <c r="DD735">
        <v>0</v>
      </c>
      <c r="DE735">
        <v>0</v>
      </c>
      <c r="DF735">
        <v>0</v>
      </c>
      <c r="DG735">
        <v>0</v>
      </c>
      <c r="DH735">
        <v>0</v>
      </c>
      <c r="DI735">
        <v>0</v>
      </c>
      <c r="DJ735">
        <v>0</v>
      </c>
      <c r="DK735">
        <v>0</v>
      </c>
      <c r="DL735">
        <v>0</v>
      </c>
      <c r="DM735">
        <v>0</v>
      </c>
      <c r="DN735">
        <v>0</v>
      </c>
      <c r="DO735">
        <v>0</v>
      </c>
      <c r="DP735">
        <v>0</v>
      </c>
      <c r="DQ735">
        <v>0</v>
      </c>
      <c r="DR735">
        <v>0</v>
      </c>
      <c r="DS735">
        <v>0</v>
      </c>
      <c r="DT735">
        <v>0</v>
      </c>
      <c r="DU735">
        <v>0</v>
      </c>
    </row>
    <row r="736" spans="2:125">
      <c r="B736" s="136">
        <v>727</v>
      </c>
      <c r="C736" s="138">
        <v>1</v>
      </c>
      <c r="D736" s="474">
        <v>4038.8459687763216</v>
      </c>
      <c r="E736" s="127">
        <v>204.51554482214439</v>
      </c>
      <c r="F736" s="447">
        <v>0.39267831063437547</v>
      </c>
      <c r="G736" s="127">
        <v>132.17439781834094</v>
      </c>
      <c r="H736" s="132">
        <v>63.025374978595167</v>
      </c>
      <c r="I736" s="456"/>
      <c r="J736" s="45"/>
      <c r="K736" s="45">
        <v>550</v>
      </c>
      <c r="L736" s="463"/>
      <c r="M736" s="456">
        <v>31.209283828735352</v>
      </c>
      <c r="N736" s="457"/>
      <c r="O736" s="456"/>
      <c r="P736" s="46"/>
      <c r="Q736" s="463">
        <v>79.969154357910156</v>
      </c>
      <c r="R736" s="449"/>
      <c r="S736" s="463"/>
      <c r="T736" s="480"/>
      <c r="U736" s="468"/>
      <c r="V736" s="449"/>
      <c r="W736" s="45">
        <v>1556.3587646484375</v>
      </c>
      <c r="X736" s="463">
        <v>130.59503173828125</v>
      </c>
      <c r="Y736" s="449"/>
      <c r="Z736" s="45"/>
      <c r="AA736" s="468">
        <v>0.3845439161893599</v>
      </c>
      <c r="AB736" s="456"/>
      <c r="AC736" s="46"/>
      <c r="AD736" s="46"/>
      <c r="AE736" s="46"/>
      <c r="AF736" s="46"/>
      <c r="AG736" s="46"/>
      <c r="AH736" s="46"/>
      <c r="AI736" s="457"/>
      <c r="AJ736" s="138"/>
      <c r="AK736" s="745"/>
      <c r="AL736" s="54"/>
      <c r="AM736" s="468"/>
      <c r="AN736" s="449"/>
      <c r="AO736" s="45"/>
      <c r="AP736" s="45"/>
      <c r="AQ736" s="45"/>
      <c r="AR736" s="45"/>
      <c r="AS736" s="45"/>
      <c r="AT736" s="45"/>
      <c r="AU736" s="463"/>
      <c r="AV736" s="449"/>
      <c r="AW736" s="45"/>
      <c r="AX736" s="45"/>
      <c r="AY736" s="45"/>
      <c r="AZ736" s="45"/>
      <c r="BA736" s="45"/>
      <c r="BB736" s="45"/>
      <c r="BC736" s="463"/>
      <c r="BD736" s="456"/>
      <c r="BE736" s="46"/>
      <c r="BF736" s="46"/>
      <c r="BG736" s="46"/>
      <c r="BH736" s="46"/>
      <c r="BI736" s="46"/>
      <c r="BJ736" s="457"/>
      <c r="BK736" s="449">
        <v>0</v>
      </c>
      <c r="BL736" s="45"/>
      <c r="BM736" s="45"/>
      <c r="BN736" s="45"/>
      <c r="BO736" s="45"/>
      <c r="BP736" s="45"/>
      <c r="BQ736" s="45"/>
      <c r="BR736" s="45"/>
      <c r="BS736" s="45"/>
      <c r="BT736" s="45"/>
      <c r="BU736" s="45"/>
      <c r="BV736" s="45"/>
      <c r="BW736" s="45"/>
      <c r="BX736" s="45"/>
      <c r="BY736" s="45"/>
      <c r="BZ736" s="45"/>
      <c r="CA736" s="45"/>
      <c r="CB736" s="45"/>
      <c r="CC736" s="45"/>
      <c r="CD736" s="463"/>
      <c r="CE736">
        <v>0</v>
      </c>
      <c r="CF736">
        <v>0</v>
      </c>
      <c r="CG736">
        <v>0</v>
      </c>
      <c r="CH736">
        <v>0</v>
      </c>
      <c r="CI736">
        <v>0</v>
      </c>
      <c r="CJ736">
        <v>0</v>
      </c>
      <c r="CK736">
        <v>0</v>
      </c>
      <c r="CL736">
        <v>0</v>
      </c>
      <c r="CM736">
        <v>0</v>
      </c>
      <c r="CN736">
        <v>0</v>
      </c>
      <c r="CO736">
        <v>0</v>
      </c>
      <c r="CP736">
        <v>0</v>
      </c>
      <c r="CQ736">
        <v>0</v>
      </c>
      <c r="CR736">
        <v>0</v>
      </c>
      <c r="CS736">
        <v>0</v>
      </c>
      <c r="CT736">
        <v>0</v>
      </c>
      <c r="CU736">
        <v>0</v>
      </c>
      <c r="CV736">
        <v>0</v>
      </c>
      <c r="CW736">
        <v>0</v>
      </c>
      <c r="CX736">
        <v>0</v>
      </c>
      <c r="CY736">
        <v>0</v>
      </c>
      <c r="CZ736">
        <v>0</v>
      </c>
      <c r="DA736">
        <v>0</v>
      </c>
      <c r="DB736">
        <v>0</v>
      </c>
      <c r="DC736">
        <v>0</v>
      </c>
      <c r="DD736">
        <v>0</v>
      </c>
      <c r="DE736">
        <v>0</v>
      </c>
      <c r="DF736">
        <v>0</v>
      </c>
      <c r="DG736">
        <v>0</v>
      </c>
      <c r="DH736">
        <v>0</v>
      </c>
      <c r="DI736">
        <v>0</v>
      </c>
      <c r="DJ736">
        <v>0</v>
      </c>
      <c r="DK736">
        <v>0</v>
      </c>
      <c r="DL736">
        <v>0</v>
      </c>
      <c r="DM736">
        <v>0</v>
      </c>
      <c r="DN736">
        <v>0</v>
      </c>
      <c r="DO736">
        <v>0</v>
      </c>
      <c r="DP736">
        <v>0</v>
      </c>
      <c r="DQ736">
        <v>0</v>
      </c>
      <c r="DR736">
        <v>0</v>
      </c>
      <c r="DS736">
        <v>0</v>
      </c>
      <c r="DT736">
        <v>0</v>
      </c>
      <c r="DU736">
        <v>0</v>
      </c>
    </row>
    <row r="737" spans="2:125">
      <c r="B737" s="136">
        <v>728</v>
      </c>
      <c r="C737" s="138">
        <v>1</v>
      </c>
      <c r="D737" s="474">
        <v>2728.2616465326701</v>
      </c>
      <c r="E737" s="127">
        <v>240.64031764035713</v>
      </c>
      <c r="F737" s="447">
        <v>0.48604818324081195</v>
      </c>
      <c r="G737" s="127">
        <v>87.636238193515382</v>
      </c>
      <c r="H737" s="132">
        <v>51.988458897351656</v>
      </c>
      <c r="I737" s="456"/>
      <c r="J737" s="45"/>
      <c r="K737" s="45">
        <v>380</v>
      </c>
      <c r="L737" s="463"/>
      <c r="M737" s="456">
        <v>42.652854919433594</v>
      </c>
      <c r="N737" s="457"/>
      <c r="O737" s="456"/>
      <c r="P737" s="46"/>
      <c r="Q737" s="463">
        <v>54.019584655761719</v>
      </c>
      <c r="R737" s="449"/>
      <c r="S737" s="463"/>
      <c r="T737" s="480"/>
      <c r="U737" s="468"/>
      <c r="V737" s="449"/>
      <c r="W737" s="45">
        <v>1602.0108642578125</v>
      </c>
      <c r="X737" s="463">
        <v>133.20098876953125</v>
      </c>
      <c r="Y737" s="449"/>
      <c r="Z737" s="45"/>
      <c r="AA737" s="468">
        <v>0.47332177787241814</v>
      </c>
      <c r="AB737" s="456"/>
      <c r="AC737" s="46"/>
      <c r="AD737" s="46"/>
      <c r="AE737" s="46"/>
      <c r="AF737" s="46"/>
      <c r="AG737" s="46"/>
      <c r="AH737" s="46"/>
      <c r="AI737" s="457"/>
      <c r="AJ737" s="138"/>
      <c r="AK737" s="745"/>
      <c r="AL737" s="54"/>
      <c r="AM737" s="468"/>
      <c r="AN737" s="449"/>
      <c r="AO737" s="45"/>
      <c r="AP737" s="45"/>
      <c r="AQ737" s="45"/>
      <c r="AR737" s="45"/>
      <c r="AS737" s="45"/>
      <c r="AT737" s="45"/>
      <c r="AU737" s="463"/>
      <c r="AV737" s="449"/>
      <c r="AW737" s="45"/>
      <c r="AX737" s="45"/>
      <c r="AY737" s="45"/>
      <c r="AZ737" s="45"/>
      <c r="BA737" s="45"/>
      <c r="BB737" s="45"/>
      <c r="BC737" s="463"/>
      <c r="BD737" s="456"/>
      <c r="BE737" s="46"/>
      <c r="BF737" s="46"/>
      <c r="BG737" s="46"/>
      <c r="BH737" s="46"/>
      <c r="BI737" s="46"/>
      <c r="BJ737" s="457"/>
      <c r="BK737" s="449">
        <v>0</v>
      </c>
      <c r="BL737" s="45"/>
      <c r="BM737" s="45"/>
      <c r="BN737" s="45"/>
      <c r="BO737" s="45"/>
      <c r="BP737" s="45"/>
      <c r="BQ737" s="45"/>
      <c r="BR737" s="45"/>
      <c r="BS737" s="45"/>
      <c r="BT737" s="45"/>
      <c r="BU737" s="45"/>
      <c r="BV737" s="45"/>
      <c r="BW737" s="45"/>
      <c r="BX737" s="45"/>
      <c r="BY737" s="45"/>
      <c r="BZ737" s="45"/>
      <c r="CA737" s="45"/>
      <c r="CB737" s="45"/>
      <c r="CC737" s="45"/>
      <c r="CD737" s="463"/>
      <c r="CE737">
        <v>0</v>
      </c>
      <c r="CF737">
        <v>0</v>
      </c>
      <c r="CG737">
        <v>0</v>
      </c>
      <c r="CH737">
        <v>0</v>
      </c>
      <c r="CI737">
        <v>0</v>
      </c>
      <c r="CJ737">
        <v>0</v>
      </c>
      <c r="CK737">
        <v>0</v>
      </c>
      <c r="CL737">
        <v>0</v>
      </c>
      <c r="CM737">
        <v>0</v>
      </c>
      <c r="CN737">
        <v>0</v>
      </c>
      <c r="CO737">
        <v>0</v>
      </c>
      <c r="CP737">
        <v>0</v>
      </c>
      <c r="CQ737">
        <v>0</v>
      </c>
      <c r="CR737">
        <v>0</v>
      </c>
      <c r="CS737">
        <v>0</v>
      </c>
      <c r="CT737">
        <v>0</v>
      </c>
      <c r="CU737">
        <v>0</v>
      </c>
      <c r="CV737">
        <v>0</v>
      </c>
      <c r="CW737">
        <v>0</v>
      </c>
      <c r="CX737">
        <v>0</v>
      </c>
      <c r="CY737">
        <v>0</v>
      </c>
      <c r="CZ737">
        <v>0</v>
      </c>
      <c r="DA737">
        <v>0</v>
      </c>
      <c r="DB737">
        <v>0</v>
      </c>
      <c r="DC737">
        <v>0</v>
      </c>
      <c r="DD737">
        <v>0</v>
      </c>
      <c r="DE737">
        <v>0</v>
      </c>
      <c r="DF737">
        <v>0</v>
      </c>
      <c r="DG737">
        <v>0</v>
      </c>
      <c r="DH737">
        <v>0</v>
      </c>
      <c r="DI737">
        <v>0</v>
      </c>
      <c r="DJ737">
        <v>0</v>
      </c>
      <c r="DK737">
        <v>0</v>
      </c>
      <c r="DL737">
        <v>0</v>
      </c>
      <c r="DM737">
        <v>0</v>
      </c>
      <c r="DN737">
        <v>0</v>
      </c>
      <c r="DO737">
        <v>0</v>
      </c>
      <c r="DP737">
        <v>0</v>
      </c>
      <c r="DQ737">
        <v>0</v>
      </c>
      <c r="DR737">
        <v>0</v>
      </c>
      <c r="DS737">
        <v>0</v>
      </c>
      <c r="DT737">
        <v>0</v>
      </c>
      <c r="DU737">
        <v>0</v>
      </c>
    </row>
    <row r="738" spans="2:125">
      <c r="B738" s="136">
        <v>729</v>
      </c>
      <c r="C738" s="138">
        <v>1</v>
      </c>
      <c r="D738" s="474">
        <v>3533.985405343099</v>
      </c>
      <c r="E738" s="127">
        <v>175.90587147423921</v>
      </c>
      <c r="F738" s="447">
        <v>0.41844681807804129</v>
      </c>
      <c r="G738" s="127">
        <v>123.59572668091636</v>
      </c>
      <c r="H738" s="132">
        <v>57.205871478357047</v>
      </c>
      <c r="I738" s="456"/>
      <c r="J738" s="45"/>
      <c r="K738" s="45">
        <v>510</v>
      </c>
      <c r="L738" s="463"/>
      <c r="M738" s="456">
        <v>34.517871856689453</v>
      </c>
      <c r="N738" s="457"/>
      <c r="O738" s="456"/>
      <c r="P738" s="46"/>
      <c r="Q738" s="463">
        <v>69.972915649414063</v>
      </c>
      <c r="R738" s="449"/>
      <c r="S738" s="463"/>
      <c r="T738" s="480"/>
      <c r="U738" s="468"/>
      <c r="V738" s="449"/>
      <c r="W738" s="45">
        <v>1569.6298828125</v>
      </c>
      <c r="X738" s="463">
        <v>131.35986328125</v>
      </c>
      <c r="Y738" s="449"/>
      <c r="Z738" s="45"/>
      <c r="AA738" s="468">
        <v>0.40900452204843413</v>
      </c>
      <c r="AB738" s="456"/>
      <c r="AC738" s="46"/>
      <c r="AD738" s="46"/>
      <c r="AE738" s="46"/>
      <c r="AF738" s="46"/>
      <c r="AG738" s="46"/>
      <c r="AH738" s="46"/>
      <c r="AI738" s="457"/>
      <c r="AJ738" s="138"/>
      <c r="AK738" s="745"/>
      <c r="AL738" s="54"/>
      <c r="AM738" s="468"/>
      <c r="AN738" s="449"/>
      <c r="AO738" s="45"/>
      <c r="AP738" s="45"/>
      <c r="AQ738" s="45"/>
      <c r="AR738" s="45"/>
      <c r="AS738" s="45"/>
      <c r="AT738" s="45"/>
      <c r="AU738" s="463"/>
      <c r="AV738" s="449"/>
      <c r="AW738" s="45"/>
      <c r="AX738" s="45"/>
      <c r="AY738" s="45"/>
      <c r="AZ738" s="45"/>
      <c r="BA738" s="45"/>
      <c r="BB738" s="45"/>
      <c r="BC738" s="463"/>
      <c r="BD738" s="456"/>
      <c r="BE738" s="46"/>
      <c r="BF738" s="46"/>
      <c r="BG738" s="46"/>
      <c r="BH738" s="46"/>
      <c r="BI738" s="46"/>
      <c r="BJ738" s="457"/>
      <c r="BK738" s="449">
        <v>0</v>
      </c>
      <c r="BL738" s="45"/>
      <c r="BM738" s="45"/>
      <c r="BN738" s="45"/>
      <c r="BO738" s="45"/>
      <c r="BP738" s="45"/>
      <c r="BQ738" s="45"/>
      <c r="BR738" s="45"/>
      <c r="BS738" s="45"/>
      <c r="BT738" s="45"/>
      <c r="BU738" s="45"/>
      <c r="BV738" s="45"/>
      <c r="BW738" s="45"/>
      <c r="BX738" s="45"/>
      <c r="BY738" s="45"/>
      <c r="BZ738" s="45"/>
      <c r="CA738" s="45"/>
      <c r="CB738" s="45"/>
      <c r="CC738" s="45"/>
      <c r="CD738" s="463"/>
      <c r="CE738">
        <v>0</v>
      </c>
      <c r="CF738">
        <v>0</v>
      </c>
      <c r="CG738">
        <v>0</v>
      </c>
      <c r="CH738">
        <v>0</v>
      </c>
      <c r="CI738">
        <v>0</v>
      </c>
      <c r="CJ738">
        <v>0</v>
      </c>
      <c r="CK738">
        <v>0</v>
      </c>
      <c r="CL738">
        <v>0</v>
      </c>
      <c r="CM738">
        <v>0</v>
      </c>
      <c r="CN738">
        <v>0</v>
      </c>
      <c r="CO738">
        <v>0</v>
      </c>
      <c r="CP738">
        <v>0</v>
      </c>
      <c r="CQ738">
        <v>0</v>
      </c>
      <c r="CR738">
        <v>0</v>
      </c>
      <c r="CS738">
        <v>0</v>
      </c>
      <c r="CT738">
        <v>0</v>
      </c>
      <c r="CU738">
        <v>0</v>
      </c>
      <c r="CV738">
        <v>0</v>
      </c>
      <c r="CW738">
        <v>0</v>
      </c>
      <c r="CX738">
        <v>0</v>
      </c>
      <c r="CY738">
        <v>0</v>
      </c>
      <c r="CZ738">
        <v>0</v>
      </c>
      <c r="DA738">
        <v>0</v>
      </c>
      <c r="DB738">
        <v>0</v>
      </c>
      <c r="DC738">
        <v>0</v>
      </c>
      <c r="DD738">
        <v>0</v>
      </c>
      <c r="DE738">
        <v>0</v>
      </c>
      <c r="DF738">
        <v>0</v>
      </c>
      <c r="DG738">
        <v>0</v>
      </c>
      <c r="DH738">
        <v>0</v>
      </c>
      <c r="DI738">
        <v>0</v>
      </c>
      <c r="DJ738">
        <v>0</v>
      </c>
      <c r="DK738">
        <v>0</v>
      </c>
      <c r="DL738">
        <v>0</v>
      </c>
      <c r="DM738">
        <v>0</v>
      </c>
      <c r="DN738">
        <v>0</v>
      </c>
      <c r="DO738">
        <v>0</v>
      </c>
      <c r="DP738">
        <v>0</v>
      </c>
      <c r="DQ738">
        <v>0</v>
      </c>
      <c r="DR738">
        <v>0</v>
      </c>
      <c r="DS738">
        <v>0</v>
      </c>
      <c r="DT738">
        <v>0</v>
      </c>
      <c r="DU738">
        <v>0</v>
      </c>
    </row>
    <row r="739" spans="2:125">
      <c r="B739" s="136">
        <v>730</v>
      </c>
      <c r="C739" s="138">
        <v>1</v>
      </c>
      <c r="D739" s="474">
        <v>3440.0915191155336</v>
      </c>
      <c r="E739" s="127">
        <v>209.30133799266957</v>
      </c>
      <c r="F739" s="447">
        <v>0.44088146398263189</v>
      </c>
      <c r="G739" s="127">
        <v>126.49367963224165</v>
      </c>
      <c r="H739" s="132">
        <v>54.798328052965346</v>
      </c>
      <c r="I739" s="456"/>
      <c r="J739" s="45"/>
      <c r="K739" s="45">
        <v>510</v>
      </c>
      <c r="L739" s="463"/>
      <c r="M739" s="456">
        <v>38.849735260009766</v>
      </c>
      <c r="N739" s="457"/>
      <c r="O739" s="456"/>
      <c r="P739" s="46"/>
      <c r="Q739" s="463">
        <v>68.113815307617187</v>
      </c>
      <c r="R739" s="449"/>
      <c r="S739" s="463"/>
      <c r="T739" s="480"/>
      <c r="U739" s="468"/>
      <c r="V739" s="449"/>
      <c r="W739" s="45">
        <v>1722.601806640625</v>
      </c>
      <c r="X739" s="463">
        <v>142.50515747070312</v>
      </c>
      <c r="Y739" s="449"/>
      <c r="Z739" s="45"/>
      <c r="AA739" s="468">
        <v>0.43105101932970957</v>
      </c>
      <c r="AB739" s="456"/>
      <c r="AC739" s="46"/>
      <c r="AD739" s="46"/>
      <c r="AE739" s="46"/>
      <c r="AF739" s="46"/>
      <c r="AG739" s="46"/>
      <c r="AH739" s="46"/>
      <c r="AI739" s="457"/>
      <c r="AJ739" s="138"/>
      <c r="AK739" s="745"/>
      <c r="AL739" s="54"/>
      <c r="AM739" s="468"/>
      <c r="AN739" s="449"/>
      <c r="AO739" s="45"/>
      <c r="AP739" s="45"/>
      <c r="AQ739" s="45"/>
      <c r="AR739" s="45"/>
      <c r="AS739" s="45"/>
      <c r="AT739" s="45"/>
      <c r="AU739" s="463"/>
      <c r="AV739" s="449"/>
      <c r="AW739" s="45"/>
      <c r="AX739" s="45"/>
      <c r="AY739" s="45"/>
      <c r="AZ739" s="45"/>
      <c r="BA739" s="45"/>
      <c r="BB739" s="45"/>
      <c r="BC739" s="463"/>
      <c r="BD739" s="456"/>
      <c r="BE739" s="46"/>
      <c r="BF739" s="46"/>
      <c r="BG739" s="46"/>
      <c r="BH739" s="46"/>
      <c r="BI739" s="46"/>
      <c r="BJ739" s="457"/>
      <c r="BK739" s="449">
        <v>0</v>
      </c>
      <c r="BL739" s="45"/>
      <c r="BM739" s="45"/>
      <c r="BN739" s="45"/>
      <c r="BO739" s="45"/>
      <c r="BP739" s="45"/>
      <c r="BQ739" s="45"/>
      <c r="BR739" s="45"/>
      <c r="BS739" s="45"/>
      <c r="BT739" s="45"/>
      <c r="BU739" s="45"/>
      <c r="BV739" s="45"/>
      <c r="BW739" s="45"/>
      <c r="BX739" s="45"/>
      <c r="BY739" s="45"/>
      <c r="BZ739" s="45"/>
      <c r="CA739" s="45"/>
      <c r="CB739" s="45"/>
      <c r="CC739" s="45"/>
      <c r="CD739" s="463"/>
      <c r="CE739">
        <v>0</v>
      </c>
      <c r="CF739">
        <v>0</v>
      </c>
      <c r="CG739">
        <v>0</v>
      </c>
      <c r="CH739">
        <v>0</v>
      </c>
      <c r="CI739">
        <v>0</v>
      </c>
      <c r="CJ739">
        <v>0</v>
      </c>
      <c r="CK739">
        <v>0</v>
      </c>
      <c r="CL739">
        <v>0</v>
      </c>
      <c r="CM739">
        <v>0</v>
      </c>
      <c r="CN739">
        <v>0</v>
      </c>
      <c r="CO739">
        <v>0</v>
      </c>
      <c r="CP739">
        <v>0</v>
      </c>
      <c r="CQ739">
        <v>0</v>
      </c>
      <c r="CR739">
        <v>0</v>
      </c>
      <c r="CS739">
        <v>0</v>
      </c>
      <c r="CT739">
        <v>0</v>
      </c>
      <c r="CU739">
        <v>0</v>
      </c>
      <c r="CV739">
        <v>0</v>
      </c>
      <c r="CW739">
        <v>0</v>
      </c>
      <c r="CX739">
        <v>0</v>
      </c>
      <c r="CY739">
        <v>0</v>
      </c>
      <c r="CZ739">
        <v>0</v>
      </c>
      <c r="DA739">
        <v>0</v>
      </c>
      <c r="DB739">
        <v>0</v>
      </c>
      <c r="DC739">
        <v>0</v>
      </c>
      <c r="DD739">
        <v>0</v>
      </c>
      <c r="DE739">
        <v>0</v>
      </c>
      <c r="DF739">
        <v>0</v>
      </c>
      <c r="DG739">
        <v>0</v>
      </c>
      <c r="DH739">
        <v>0</v>
      </c>
      <c r="DI739">
        <v>0</v>
      </c>
      <c r="DJ739">
        <v>0</v>
      </c>
      <c r="DK739">
        <v>0</v>
      </c>
      <c r="DL739">
        <v>0</v>
      </c>
      <c r="DM739">
        <v>0</v>
      </c>
      <c r="DN739">
        <v>0</v>
      </c>
      <c r="DO739">
        <v>0</v>
      </c>
      <c r="DP739">
        <v>0</v>
      </c>
      <c r="DQ739">
        <v>0</v>
      </c>
      <c r="DR739">
        <v>0</v>
      </c>
      <c r="DS739">
        <v>0</v>
      </c>
      <c r="DT739">
        <v>0</v>
      </c>
      <c r="DU739">
        <v>0</v>
      </c>
    </row>
    <row r="740" spans="2:125">
      <c r="B740" s="136">
        <v>731</v>
      </c>
      <c r="C740" s="138">
        <v>1</v>
      </c>
      <c r="D740" s="474">
        <v>3761.3870058923671</v>
      </c>
      <c r="E740" s="127">
        <v>244.3615909514823</v>
      </c>
      <c r="F740" s="447">
        <v>0.44937310434259942</v>
      </c>
      <c r="G740" s="127">
        <v>122.9286147882346</v>
      </c>
      <c r="H740" s="132">
        <v>60.970474695299309</v>
      </c>
      <c r="I740" s="456"/>
      <c r="J740" s="45"/>
      <c r="K740" s="45">
        <v>520</v>
      </c>
      <c r="L740" s="463"/>
      <c r="M740" s="456">
        <v>38.7882080078125</v>
      </c>
      <c r="N740" s="457"/>
      <c r="O740" s="456"/>
      <c r="P740" s="46"/>
      <c r="Q740" s="463">
        <v>74.4754638671875</v>
      </c>
      <c r="R740" s="449"/>
      <c r="S740" s="463"/>
      <c r="T740" s="480"/>
      <c r="U740" s="468"/>
      <c r="V740" s="449"/>
      <c r="W740" s="45">
        <v>1807.411865234375</v>
      </c>
      <c r="X740" s="463">
        <v>148.72457885742187</v>
      </c>
      <c r="Y740" s="449"/>
      <c r="Z740" s="45"/>
      <c r="AA740" s="468">
        <v>0.4403372189009766</v>
      </c>
      <c r="AB740" s="456"/>
      <c r="AC740" s="46"/>
      <c r="AD740" s="46"/>
      <c r="AE740" s="46"/>
      <c r="AF740" s="46"/>
      <c r="AG740" s="46"/>
      <c r="AH740" s="46"/>
      <c r="AI740" s="457"/>
      <c r="AJ740" s="138"/>
      <c r="AK740" s="745"/>
      <c r="AL740" s="54"/>
      <c r="AM740" s="468"/>
      <c r="AN740" s="449"/>
      <c r="AO740" s="45"/>
      <c r="AP740" s="45"/>
      <c r="AQ740" s="45"/>
      <c r="AR740" s="45"/>
      <c r="AS740" s="45"/>
      <c r="AT740" s="45"/>
      <c r="AU740" s="463"/>
      <c r="AV740" s="449"/>
      <c r="AW740" s="45"/>
      <c r="AX740" s="45"/>
      <c r="AY740" s="45"/>
      <c r="AZ740" s="45"/>
      <c r="BA740" s="45"/>
      <c r="BB740" s="45"/>
      <c r="BC740" s="463"/>
      <c r="BD740" s="456"/>
      <c r="BE740" s="46"/>
      <c r="BF740" s="46"/>
      <c r="BG740" s="46"/>
      <c r="BH740" s="46"/>
      <c r="BI740" s="46"/>
      <c r="BJ740" s="457"/>
      <c r="BK740" s="449">
        <v>0</v>
      </c>
      <c r="BL740" s="45"/>
      <c r="BM740" s="45"/>
      <c r="BN740" s="45"/>
      <c r="BO740" s="45"/>
      <c r="BP740" s="45"/>
      <c r="BQ740" s="45"/>
      <c r="BR740" s="45"/>
      <c r="BS740" s="45"/>
      <c r="BT740" s="45"/>
      <c r="BU740" s="45"/>
      <c r="BV740" s="45"/>
      <c r="BW740" s="45"/>
      <c r="BX740" s="45"/>
      <c r="BY740" s="45"/>
      <c r="BZ740" s="45"/>
      <c r="CA740" s="45"/>
      <c r="CB740" s="45"/>
      <c r="CC740" s="45"/>
      <c r="CD740" s="463"/>
      <c r="CE740">
        <v>0</v>
      </c>
      <c r="CF740">
        <v>0</v>
      </c>
      <c r="CG740">
        <v>0</v>
      </c>
      <c r="CH740">
        <v>0</v>
      </c>
      <c r="CI740">
        <v>0</v>
      </c>
      <c r="CJ740">
        <v>0</v>
      </c>
      <c r="CK740">
        <v>0</v>
      </c>
      <c r="CL740">
        <v>0</v>
      </c>
      <c r="CM740">
        <v>0</v>
      </c>
      <c r="CN740">
        <v>0</v>
      </c>
      <c r="CO740">
        <v>0</v>
      </c>
      <c r="CP740">
        <v>0</v>
      </c>
      <c r="CQ740">
        <v>0</v>
      </c>
      <c r="CR740">
        <v>0</v>
      </c>
      <c r="CS740">
        <v>0</v>
      </c>
      <c r="CT740">
        <v>0</v>
      </c>
      <c r="CU740">
        <v>0</v>
      </c>
      <c r="CV740">
        <v>0</v>
      </c>
      <c r="CW740">
        <v>0</v>
      </c>
      <c r="CX740">
        <v>0</v>
      </c>
      <c r="CY740">
        <v>0</v>
      </c>
      <c r="CZ740">
        <v>0</v>
      </c>
      <c r="DA740">
        <v>0</v>
      </c>
      <c r="DB740">
        <v>0</v>
      </c>
      <c r="DC740">
        <v>0</v>
      </c>
      <c r="DD740">
        <v>0</v>
      </c>
      <c r="DE740">
        <v>0</v>
      </c>
      <c r="DF740">
        <v>0</v>
      </c>
      <c r="DG740">
        <v>0</v>
      </c>
      <c r="DH740">
        <v>0</v>
      </c>
      <c r="DI740">
        <v>0</v>
      </c>
      <c r="DJ740">
        <v>0</v>
      </c>
      <c r="DK740">
        <v>0</v>
      </c>
      <c r="DL740">
        <v>0</v>
      </c>
      <c r="DM740">
        <v>0</v>
      </c>
      <c r="DN740">
        <v>0</v>
      </c>
      <c r="DO740">
        <v>0</v>
      </c>
      <c r="DP740">
        <v>0</v>
      </c>
      <c r="DQ740">
        <v>0</v>
      </c>
      <c r="DR740">
        <v>0</v>
      </c>
      <c r="DS740">
        <v>0</v>
      </c>
      <c r="DT740">
        <v>0</v>
      </c>
      <c r="DU740">
        <v>0</v>
      </c>
    </row>
    <row r="741" spans="2:125">
      <c r="B741" s="136">
        <v>732</v>
      </c>
      <c r="C741" s="138">
        <v>1</v>
      </c>
      <c r="D741" s="474">
        <v>2854.2337568874764</v>
      </c>
      <c r="E741" s="127">
        <v>239.37868074943887</v>
      </c>
      <c r="F741" s="447">
        <v>0.4699466676562149</v>
      </c>
      <c r="G741" s="127">
        <v>107.59170337081194</v>
      </c>
      <c r="H741" s="132">
        <v>48.346803724626398</v>
      </c>
      <c r="I741" s="456"/>
      <c r="J741" s="45"/>
      <c r="K741" s="45">
        <v>430</v>
      </c>
      <c r="L741" s="463"/>
      <c r="M741" s="456">
        <v>43.08221435546875</v>
      </c>
      <c r="N741" s="457"/>
      <c r="O741" s="456"/>
      <c r="P741" s="46"/>
      <c r="Q741" s="463">
        <v>56.513832092285156</v>
      </c>
      <c r="R741" s="449"/>
      <c r="S741" s="463"/>
      <c r="T741" s="480"/>
      <c r="U741" s="468"/>
      <c r="V741" s="449"/>
      <c r="W741" s="45">
        <v>1677.4622802734375</v>
      </c>
      <c r="X741" s="463">
        <v>138.89646911621094</v>
      </c>
      <c r="Y741" s="449"/>
      <c r="Z741" s="45"/>
      <c r="AA741" s="468">
        <v>0.45789476992004768</v>
      </c>
      <c r="AB741" s="456"/>
      <c r="AC741" s="46"/>
      <c r="AD741" s="46"/>
      <c r="AE741" s="46"/>
      <c r="AF741" s="46"/>
      <c r="AG741" s="46"/>
      <c r="AH741" s="46"/>
      <c r="AI741" s="457"/>
      <c r="AJ741" s="138"/>
      <c r="AK741" s="745"/>
      <c r="AL741" s="54"/>
      <c r="AM741" s="468"/>
      <c r="AN741" s="449"/>
      <c r="AO741" s="45"/>
      <c r="AP741" s="45"/>
      <c r="AQ741" s="45"/>
      <c r="AR741" s="45"/>
      <c r="AS741" s="45"/>
      <c r="AT741" s="45"/>
      <c r="AU741" s="463"/>
      <c r="AV741" s="449"/>
      <c r="AW741" s="45"/>
      <c r="AX741" s="45"/>
      <c r="AY741" s="45"/>
      <c r="AZ741" s="45"/>
      <c r="BA741" s="45"/>
      <c r="BB741" s="45"/>
      <c r="BC741" s="463"/>
      <c r="BD741" s="456"/>
      <c r="BE741" s="46"/>
      <c r="BF741" s="46"/>
      <c r="BG741" s="46"/>
      <c r="BH741" s="46"/>
      <c r="BI741" s="46"/>
      <c r="BJ741" s="457"/>
      <c r="BK741" s="449">
        <v>0</v>
      </c>
      <c r="BL741" s="45"/>
      <c r="BM741" s="45"/>
      <c r="BN741" s="45"/>
      <c r="BO741" s="45"/>
      <c r="BP741" s="45"/>
      <c r="BQ741" s="45"/>
      <c r="BR741" s="45"/>
      <c r="BS741" s="45"/>
      <c r="BT741" s="45"/>
      <c r="BU741" s="45"/>
      <c r="BV741" s="45"/>
      <c r="BW741" s="45"/>
      <c r="BX741" s="45"/>
      <c r="BY741" s="45"/>
      <c r="BZ741" s="45"/>
      <c r="CA741" s="45"/>
      <c r="CB741" s="45"/>
      <c r="CC741" s="45"/>
      <c r="CD741" s="463"/>
      <c r="CE741">
        <v>0</v>
      </c>
      <c r="CF741">
        <v>0</v>
      </c>
      <c r="CG741">
        <v>0</v>
      </c>
      <c r="CH741">
        <v>0</v>
      </c>
      <c r="CI741">
        <v>0</v>
      </c>
      <c r="CJ741">
        <v>0</v>
      </c>
      <c r="CK741">
        <v>0</v>
      </c>
      <c r="CL741">
        <v>0</v>
      </c>
      <c r="CM741">
        <v>0</v>
      </c>
      <c r="CN741">
        <v>0</v>
      </c>
      <c r="CO741">
        <v>0</v>
      </c>
      <c r="CP741">
        <v>0</v>
      </c>
      <c r="CQ741">
        <v>0</v>
      </c>
      <c r="CR741">
        <v>0</v>
      </c>
      <c r="CS741">
        <v>0</v>
      </c>
      <c r="CT741">
        <v>0</v>
      </c>
      <c r="CU741">
        <v>0</v>
      </c>
      <c r="CV741">
        <v>0</v>
      </c>
      <c r="CW741">
        <v>0</v>
      </c>
      <c r="CX741">
        <v>0</v>
      </c>
      <c r="CY741">
        <v>0</v>
      </c>
      <c r="CZ741">
        <v>0</v>
      </c>
      <c r="DA741">
        <v>0</v>
      </c>
      <c r="DB741">
        <v>0</v>
      </c>
      <c r="DC741">
        <v>0</v>
      </c>
      <c r="DD741">
        <v>0</v>
      </c>
      <c r="DE741">
        <v>0</v>
      </c>
      <c r="DF741">
        <v>0</v>
      </c>
      <c r="DG741">
        <v>0</v>
      </c>
      <c r="DH741">
        <v>0</v>
      </c>
      <c r="DI741">
        <v>0</v>
      </c>
      <c r="DJ741">
        <v>0</v>
      </c>
      <c r="DK741">
        <v>0</v>
      </c>
      <c r="DL741">
        <v>0</v>
      </c>
      <c r="DM741">
        <v>0</v>
      </c>
      <c r="DN741">
        <v>0</v>
      </c>
      <c r="DO741">
        <v>0</v>
      </c>
      <c r="DP741">
        <v>0</v>
      </c>
      <c r="DQ741">
        <v>0</v>
      </c>
      <c r="DR741">
        <v>0</v>
      </c>
      <c r="DS741">
        <v>0</v>
      </c>
      <c r="DT741">
        <v>0</v>
      </c>
      <c r="DU741">
        <v>0</v>
      </c>
    </row>
    <row r="742" spans="2:125">
      <c r="B742" s="136">
        <v>733</v>
      </c>
      <c r="C742" s="138">
        <v>1</v>
      </c>
      <c r="D742" s="474">
        <v>4156.195029028986</v>
      </c>
      <c r="E742" s="127">
        <v>226.40559245380797</v>
      </c>
      <c r="F742" s="447">
        <v>0.38257762119499211</v>
      </c>
      <c r="G742" s="127">
        <v>137.97962637126349</v>
      </c>
      <c r="H742" s="132">
        <v>68.839449461715219</v>
      </c>
      <c r="I742" s="456"/>
      <c r="J742" s="45"/>
      <c r="K742" s="45">
        <v>600</v>
      </c>
      <c r="L742" s="463"/>
      <c r="M742" s="456">
        <v>29.95367431640625</v>
      </c>
      <c r="N742" s="457"/>
      <c r="O742" s="456"/>
      <c r="P742" s="46"/>
      <c r="Q742" s="463">
        <v>90</v>
      </c>
      <c r="R742" s="449"/>
      <c r="S742" s="463"/>
      <c r="T742" s="480"/>
      <c r="U742" s="468"/>
      <c r="V742" s="449"/>
      <c r="W742" s="45">
        <v>1609.5809326171875</v>
      </c>
      <c r="X742" s="463">
        <v>134.65180969238281</v>
      </c>
      <c r="Y742" s="449"/>
      <c r="Z742" s="45"/>
      <c r="AA742" s="468">
        <v>0.37472150467595372</v>
      </c>
      <c r="AB742" s="456"/>
      <c r="AC742" s="46"/>
      <c r="AD742" s="46"/>
      <c r="AE742" s="46"/>
      <c r="AF742" s="46"/>
      <c r="AG742" s="46"/>
      <c r="AH742" s="46"/>
      <c r="AI742" s="457"/>
      <c r="AJ742" s="138"/>
      <c r="AK742" s="745"/>
      <c r="AL742" s="54"/>
      <c r="AM742" s="468"/>
      <c r="AN742" s="449"/>
      <c r="AO742" s="45"/>
      <c r="AP742" s="45"/>
      <c r="AQ742" s="45"/>
      <c r="AR742" s="45"/>
      <c r="AS742" s="45"/>
      <c r="AT742" s="45"/>
      <c r="AU742" s="463"/>
      <c r="AV742" s="449"/>
      <c r="AW742" s="45"/>
      <c r="AX742" s="45"/>
      <c r="AY742" s="45"/>
      <c r="AZ742" s="45"/>
      <c r="BA742" s="45"/>
      <c r="BB742" s="45"/>
      <c r="BC742" s="463"/>
      <c r="BD742" s="456"/>
      <c r="BE742" s="46"/>
      <c r="BF742" s="46"/>
      <c r="BG742" s="46"/>
      <c r="BH742" s="46"/>
      <c r="BI742" s="46"/>
      <c r="BJ742" s="457"/>
      <c r="BK742" s="449">
        <v>0</v>
      </c>
      <c r="BL742" s="45"/>
      <c r="BM742" s="45"/>
      <c r="BN742" s="45"/>
      <c r="BO742" s="45"/>
      <c r="BP742" s="45"/>
      <c r="BQ742" s="45"/>
      <c r="BR742" s="45"/>
      <c r="BS742" s="45"/>
      <c r="BT742" s="45"/>
      <c r="BU742" s="45"/>
      <c r="BV742" s="45"/>
      <c r="BW742" s="45"/>
      <c r="BX742" s="45"/>
      <c r="BY742" s="45"/>
      <c r="BZ742" s="45"/>
      <c r="CA742" s="45"/>
      <c r="CB742" s="45"/>
      <c r="CC742" s="45"/>
      <c r="CD742" s="463"/>
      <c r="CE742">
        <v>0</v>
      </c>
      <c r="CF742">
        <v>0</v>
      </c>
      <c r="CG742">
        <v>0</v>
      </c>
      <c r="CH742">
        <v>0</v>
      </c>
      <c r="CI742">
        <v>0</v>
      </c>
      <c r="CJ742">
        <v>0</v>
      </c>
      <c r="CK742">
        <v>0</v>
      </c>
      <c r="CL742">
        <v>0</v>
      </c>
      <c r="CM742">
        <v>0</v>
      </c>
      <c r="CN742">
        <v>0</v>
      </c>
      <c r="CO742">
        <v>0</v>
      </c>
      <c r="CP742">
        <v>0</v>
      </c>
      <c r="CQ742">
        <v>0</v>
      </c>
      <c r="CR742">
        <v>0</v>
      </c>
      <c r="CS742">
        <v>0</v>
      </c>
      <c r="CT742">
        <v>0</v>
      </c>
      <c r="CU742">
        <v>0</v>
      </c>
      <c r="CV742">
        <v>0</v>
      </c>
      <c r="CW742">
        <v>0</v>
      </c>
      <c r="CX742">
        <v>0</v>
      </c>
      <c r="CY742">
        <v>0</v>
      </c>
      <c r="CZ742">
        <v>0</v>
      </c>
      <c r="DA742">
        <v>0</v>
      </c>
      <c r="DB742">
        <v>0</v>
      </c>
      <c r="DC742">
        <v>0</v>
      </c>
      <c r="DD742">
        <v>0</v>
      </c>
      <c r="DE742">
        <v>0</v>
      </c>
      <c r="DF742">
        <v>0</v>
      </c>
      <c r="DG742">
        <v>0</v>
      </c>
      <c r="DH742">
        <v>0</v>
      </c>
      <c r="DI742">
        <v>0</v>
      </c>
      <c r="DJ742">
        <v>0</v>
      </c>
      <c r="DK742">
        <v>0</v>
      </c>
      <c r="DL742">
        <v>0</v>
      </c>
      <c r="DM742">
        <v>0</v>
      </c>
      <c r="DN742">
        <v>0</v>
      </c>
      <c r="DO742">
        <v>0</v>
      </c>
      <c r="DP742">
        <v>0</v>
      </c>
      <c r="DQ742">
        <v>0</v>
      </c>
      <c r="DR742">
        <v>0</v>
      </c>
      <c r="DS742">
        <v>0</v>
      </c>
      <c r="DT742">
        <v>0</v>
      </c>
      <c r="DU742">
        <v>0</v>
      </c>
    </row>
    <row r="743" spans="2:125">
      <c r="B743" s="136">
        <v>734</v>
      </c>
      <c r="C743" s="138">
        <v>1</v>
      </c>
      <c r="D743" s="474">
        <v>3899.7283652034721</v>
      </c>
      <c r="E743" s="127">
        <v>255.06956620803086</v>
      </c>
      <c r="F743" s="447">
        <v>0.39760108290903162</v>
      </c>
      <c r="G743" s="127">
        <v>126.36394145477377</v>
      </c>
      <c r="H743" s="132">
        <v>62.258359147625825</v>
      </c>
      <c r="I743" s="456"/>
      <c r="J743" s="45"/>
      <c r="K743" s="45">
        <v>530</v>
      </c>
      <c r="L743" s="463"/>
      <c r="M743" s="456">
        <v>31.416620254516602</v>
      </c>
      <c r="N743" s="457"/>
      <c r="O743" s="456"/>
      <c r="P743" s="46"/>
      <c r="Q743" s="463">
        <v>77.214622497558594</v>
      </c>
      <c r="R743" s="449"/>
      <c r="S743" s="463"/>
      <c r="T743" s="480"/>
      <c r="U743" s="468"/>
      <c r="V743" s="449"/>
      <c r="W743" s="45">
        <v>1529.6053466796875</v>
      </c>
      <c r="X743" s="463">
        <v>128.56411743164062</v>
      </c>
      <c r="Y743" s="449"/>
      <c r="Z743" s="45"/>
      <c r="AA743" s="468">
        <v>0.38915125805656109</v>
      </c>
      <c r="AB743" s="456"/>
      <c r="AC743" s="46"/>
      <c r="AD743" s="46"/>
      <c r="AE743" s="46"/>
      <c r="AF743" s="46"/>
      <c r="AG743" s="46"/>
      <c r="AH743" s="46"/>
      <c r="AI743" s="457"/>
      <c r="AJ743" s="138"/>
      <c r="AK743" s="745"/>
      <c r="AL743" s="54"/>
      <c r="AM743" s="468"/>
      <c r="AN743" s="449"/>
      <c r="AO743" s="45"/>
      <c r="AP743" s="45"/>
      <c r="AQ743" s="45"/>
      <c r="AR743" s="45"/>
      <c r="AS743" s="45"/>
      <c r="AT743" s="45"/>
      <c r="AU743" s="463"/>
      <c r="AV743" s="449"/>
      <c r="AW743" s="45"/>
      <c r="AX743" s="45"/>
      <c r="AY743" s="45"/>
      <c r="AZ743" s="45"/>
      <c r="BA743" s="45"/>
      <c r="BB743" s="45"/>
      <c r="BC743" s="463"/>
      <c r="BD743" s="456"/>
      <c r="BE743" s="46"/>
      <c r="BF743" s="46"/>
      <c r="BG743" s="46"/>
      <c r="BH743" s="46"/>
      <c r="BI743" s="46"/>
      <c r="BJ743" s="457"/>
      <c r="BK743" s="449">
        <v>0</v>
      </c>
      <c r="BL743" s="45"/>
      <c r="BM743" s="45"/>
      <c r="BN743" s="45"/>
      <c r="BO743" s="45"/>
      <c r="BP743" s="45"/>
      <c r="BQ743" s="45"/>
      <c r="BR743" s="45"/>
      <c r="BS743" s="45"/>
      <c r="BT743" s="45"/>
      <c r="BU743" s="45"/>
      <c r="BV743" s="45"/>
      <c r="BW743" s="45"/>
      <c r="BX743" s="45"/>
      <c r="BY743" s="45"/>
      <c r="BZ743" s="45"/>
      <c r="CA743" s="45"/>
      <c r="CB743" s="45"/>
      <c r="CC743" s="45"/>
      <c r="CD743" s="463"/>
      <c r="CE743">
        <v>0</v>
      </c>
      <c r="CF743">
        <v>0</v>
      </c>
      <c r="CG743">
        <v>0</v>
      </c>
      <c r="CH743">
        <v>0</v>
      </c>
      <c r="CI743">
        <v>0</v>
      </c>
      <c r="CJ743">
        <v>0</v>
      </c>
      <c r="CK743">
        <v>0</v>
      </c>
      <c r="CL743">
        <v>0</v>
      </c>
      <c r="CM743">
        <v>0</v>
      </c>
      <c r="CN743">
        <v>0</v>
      </c>
      <c r="CO743">
        <v>0</v>
      </c>
      <c r="CP743">
        <v>0</v>
      </c>
      <c r="CQ743">
        <v>0</v>
      </c>
      <c r="CR743">
        <v>0</v>
      </c>
      <c r="CS743">
        <v>0</v>
      </c>
      <c r="CT743">
        <v>0</v>
      </c>
      <c r="CU743">
        <v>0</v>
      </c>
      <c r="CV743">
        <v>0</v>
      </c>
      <c r="CW743">
        <v>0</v>
      </c>
      <c r="CX743">
        <v>0</v>
      </c>
      <c r="CY743">
        <v>0</v>
      </c>
      <c r="CZ743">
        <v>0</v>
      </c>
      <c r="DA743">
        <v>0</v>
      </c>
      <c r="DB743">
        <v>0</v>
      </c>
      <c r="DC743">
        <v>0</v>
      </c>
      <c r="DD743">
        <v>0</v>
      </c>
      <c r="DE743">
        <v>0</v>
      </c>
      <c r="DF743">
        <v>0</v>
      </c>
      <c r="DG743">
        <v>0</v>
      </c>
      <c r="DH743">
        <v>0</v>
      </c>
      <c r="DI743">
        <v>0</v>
      </c>
      <c r="DJ743">
        <v>0</v>
      </c>
      <c r="DK743">
        <v>0</v>
      </c>
      <c r="DL743">
        <v>0</v>
      </c>
      <c r="DM743">
        <v>0</v>
      </c>
      <c r="DN743">
        <v>0</v>
      </c>
      <c r="DO743">
        <v>0</v>
      </c>
      <c r="DP743">
        <v>0</v>
      </c>
      <c r="DQ743">
        <v>0</v>
      </c>
      <c r="DR743">
        <v>0</v>
      </c>
      <c r="DS743">
        <v>0</v>
      </c>
      <c r="DT743">
        <v>0</v>
      </c>
      <c r="DU743">
        <v>0</v>
      </c>
    </row>
    <row r="744" spans="2:125">
      <c r="B744" s="136">
        <v>735</v>
      </c>
      <c r="C744" s="138">
        <v>1</v>
      </c>
      <c r="D744" s="474">
        <v>4191.834258396002</v>
      </c>
      <c r="E744" s="127">
        <v>242.76975177203278</v>
      </c>
      <c r="F744" s="447">
        <v>0.41852791796167665</v>
      </c>
      <c r="G744" s="127">
        <v>161.71115164889005</v>
      </c>
      <c r="H744" s="132">
        <v>58.874107367384298</v>
      </c>
      <c r="I744" s="456"/>
      <c r="J744" s="45"/>
      <c r="K744" s="45">
        <v>630</v>
      </c>
      <c r="L744" s="463"/>
      <c r="M744" s="456">
        <v>37.938926696777344</v>
      </c>
      <c r="N744" s="457"/>
      <c r="O744" s="456"/>
      <c r="P744" s="46"/>
      <c r="Q744" s="463">
        <v>82.998321533203125</v>
      </c>
      <c r="R744" s="449"/>
      <c r="S744" s="463"/>
      <c r="T744" s="480"/>
      <c r="U744" s="468"/>
      <c r="V744" s="449"/>
      <c r="W744" s="45">
        <v>1920.7159423828125</v>
      </c>
      <c r="X744" s="463">
        <v>157.41999816894531</v>
      </c>
      <c r="Y744" s="449"/>
      <c r="Z744" s="45"/>
      <c r="AA744" s="468">
        <v>0.41056706924911268</v>
      </c>
      <c r="AB744" s="456"/>
      <c r="AC744" s="46"/>
      <c r="AD744" s="46"/>
      <c r="AE744" s="46"/>
      <c r="AF744" s="46"/>
      <c r="AG744" s="46"/>
      <c r="AH744" s="46"/>
      <c r="AI744" s="457"/>
      <c r="AJ744" s="138"/>
      <c r="AK744" s="745"/>
      <c r="AL744" s="54"/>
      <c r="AM744" s="468"/>
      <c r="AN744" s="449"/>
      <c r="AO744" s="45"/>
      <c r="AP744" s="45"/>
      <c r="AQ744" s="45"/>
      <c r="AR744" s="45"/>
      <c r="AS744" s="45"/>
      <c r="AT744" s="45"/>
      <c r="AU744" s="463"/>
      <c r="AV744" s="449"/>
      <c r="AW744" s="45"/>
      <c r="AX744" s="45"/>
      <c r="AY744" s="45"/>
      <c r="AZ744" s="45"/>
      <c r="BA744" s="45"/>
      <c r="BB744" s="45"/>
      <c r="BC744" s="463"/>
      <c r="BD744" s="456"/>
      <c r="BE744" s="46"/>
      <c r="BF744" s="46"/>
      <c r="BG744" s="46"/>
      <c r="BH744" s="46"/>
      <c r="BI744" s="46"/>
      <c r="BJ744" s="457"/>
      <c r="BK744" s="449">
        <v>0</v>
      </c>
      <c r="BL744" s="45"/>
      <c r="BM744" s="45"/>
      <c r="BN744" s="45"/>
      <c r="BO744" s="45"/>
      <c r="BP744" s="45"/>
      <c r="BQ744" s="45"/>
      <c r="BR744" s="45"/>
      <c r="BS744" s="45"/>
      <c r="BT744" s="45"/>
      <c r="BU744" s="45"/>
      <c r="BV744" s="45"/>
      <c r="BW744" s="45"/>
      <c r="BX744" s="45"/>
      <c r="BY744" s="45"/>
      <c r="BZ744" s="45"/>
      <c r="CA744" s="45"/>
      <c r="CB744" s="45"/>
      <c r="CC744" s="45"/>
      <c r="CD744" s="463"/>
      <c r="CE744">
        <v>0</v>
      </c>
      <c r="CF744">
        <v>0</v>
      </c>
      <c r="CG744">
        <v>0</v>
      </c>
      <c r="CH744">
        <v>0</v>
      </c>
      <c r="CI744">
        <v>0</v>
      </c>
      <c r="CJ744">
        <v>0</v>
      </c>
      <c r="CK744">
        <v>0</v>
      </c>
      <c r="CL744">
        <v>0</v>
      </c>
      <c r="CM744">
        <v>0</v>
      </c>
      <c r="CN744">
        <v>0</v>
      </c>
      <c r="CO744">
        <v>0</v>
      </c>
      <c r="CP744">
        <v>0</v>
      </c>
      <c r="CQ744">
        <v>0</v>
      </c>
      <c r="CR744">
        <v>0</v>
      </c>
      <c r="CS744">
        <v>0</v>
      </c>
      <c r="CT744">
        <v>0</v>
      </c>
      <c r="CU744">
        <v>0</v>
      </c>
      <c r="CV744">
        <v>0</v>
      </c>
      <c r="CW744">
        <v>0</v>
      </c>
      <c r="CX744">
        <v>0</v>
      </c>
      <c r="CY744">
        <v>0</v>
      </c>
      <c r="CZ744">
        <v>0</v>
      </c>
      <c r="DA744">
        <v>0</v>
      </c>
      <c r="DB744">
        <v>0</v>
      </c>
      <c r="DC744">
        <v>0</v>
      </c>
      <c r="DD744">
        <v>0</v>
      </c>
      <c r="DE744">
        <v>0</v>
      </c>
      <c r="DF744">
        <v>0</v>
      </c>
      <c r="DG744">
        <v>0</v>
      </c>
      <c r="DH744">
        <v>0</v>
      </c>
      <c r="DI744">
        <v>0</v>
      </c>
      <c r="DJ744">
        <v>0</v>
      </c>
      <c r="DK744">
        <v>0</v>
      </c>
      <c r="DL744">
        <v>0</v>
      </c>
      <c r="DM744">
        <v>0</v>
      </c>
      <c r="DN744">
        <v>0</v>
      </c>
      <c r="DO744">
        <v>0</v>
      </c>
      <c r="DP744">
        <v>0</v>
      </c>
      <c r="DQ744">
        <v>0</v>
      </c>
      <c r="DR744">
        <v>0</v>
      </c>
      <c r="DS744">
        <v>0</v>
      </c>
      <c r="DT744">
        <v>0</v>
      </c>
      <c r="DU744">
        <v>0</v>
      </c>
    </row>
    <row r="745" spans="2:125">
      <c r="B745" s="136">
        <v>736</v>
      </c>
      <c r="C745" s="138">
        <v>1</v>
      </c>
      <c r="D745" s="474">
        <v>3500.5559277034808</v>
      </c>
      <c r="E745" s="127">
        <v>210.8351778801769</v>
      </c>
      <c r="F745" s="447">
        <v>0.43089636073771975</v>
      </c>
      <c r="G745" s="127">
        <v>109.64206875305307</v>
      </c>
      <c r="H745" s="132">
        <v>59.956686845961485</v>
      </c>
      <c r="I745" s="456"/>
      <c r="J745" s="45"/>
      <c r="K745" s="45">
        <v>480</v>
      </c>
      <c r="L745" s="463"/>
      <c r="M745" s="456">
        <v>34.358127593994141</v>
      </c>
      <c r="N745" s="457"/>
      <c r="O745" s="456"/>
      <c r="P745" s="46"/>
      <c r="Q745" s="463">
        <v>69.311004638671875</v>
      </c>
      <c r="R745" s="449"/>
      <c r="S745" s="463"/>
      <c r="T745" s="480"/>
      <c r="U745" s="468"/>
      <c r="V745" s="449"/>
      <c r="W745" s="45">
        <v>1542.122314453125</v>
      </c>
      <c r="X745" s="463">
        <v>129.22552490234375</v>
      </c>
      <c r="Y745" s="449"/>
      <c r="Z745" s="45"/>
      <c r="AA745" s="468">
        <v>0.42129276407791455</v>
      </c>
      <c r="AB745" s="456"/>
      <c r="AC745" s="46"/>
      <c r="AD745" s="46"/>
      <c r="AE745" s="46"/>
      <c r="AF745" s="46"/>
      <c r="AG745" s="46"/>
      <c r="AH745" s="46"/>
      <c r="AI745" s="457"/>
      <c r="AJ745" s="138"/>
      <c r="AK745" s="745"/>
      <c r="AL745" s="54"/>
      <c r="AM745" s="468"/>
      <c r="AN745" s="449"/>
      <c r="AO745" s="45"/>
      <c r="AP745" s="45"/>
      <c r="AQ745" s="45"/>
      <c r="AR745" s="45"/>
      <c r="AS745" s="45"/>
      <c r="AT745" s="45"/>
      <c r="AU745" s="463"/>
      <c r="AV745" s="449"/>
      <c r="AW745" s="45"/>
      <c r="AX745" s="45"/>
      <c r="AY745" s="45"/>
      <c r="AZ745" s="45"/>
      <c r="BA745" s="45"/>
      <c r="BB745" s="45"/>
      <c r="BC745" s="463"/>
      <c r="BD745" s="456"/>
      <c r="BE745" s="46"/>
      <c r="BF745" s="46"/>
      <c r="BG745" s="46"/>
      <c r="BH745" s="46"/>
      <c r="BI745" s="46"/>
      <c r="BJ745" s="457"/>
      <c r="BK745" s="449">
        <v>0</v>
      </c>
      <c r="BL745" s="45"/>
      <c r="BM745" s="45"/>
      <c r="BN745" s="45"/>
      <c r="BO745" s="45"/>
      <c r="BP745" s="45"/>
      <c r="BQ745" s="45"/>
      <c r="BR745" s="45"/>
      <c r="BS745" s="45"/>
      <c r="BT745" s="45"/>
      <c r="BU745" s="45"/>
      <c r="BV745" s="45"/>
      <c r="BW745" s="45"/>
      <c r="BX745" s="45"/>
      <c r="BY745" s="45"/>
      <c r="BZ745" s="45"/>
      <c r="CA745" s="45"/>
      <c r="CB745" s="45"/>
      <c r="CC745" s="45"/>
      <c r="CD745" s="463"/>
      <c r="CE745">
        <v>0</v>
      </c>
      <c r="CF745">
        <v>0</v>
      </c>
      <c r="CG745">
        <v>0</v>
      </c>
      <c r="CH745">
        <v>0</v>
      </c>
      <c r="CI745">
        <v>0</v>
      </c>
      <c r="CJ745">
        <v>0</v>
      </c>
      <c r="CK745">
        <v>0</v>
      </c>
      <c r="CL745">
        <v>0</v>
      </c>
      <c r="CM745">
        <v>0</v>
      </c>
      <c r="CN745">
        <v>0</v>
      </c>
      <c r="CO745">
        <v>0</v>
      </c>
      <c r="CP745">
        <v>0</v>
      </c>
      <c r="CQ745">
        <v>0</v>
      </c>
      <c r="CR745">
        <v>0</v>
      </c>
      <c r="CS745">
        <v>0</v>
      </c>
      <c r="CT745">
        <v>0</v>
      </c>
      <c r="CU745">
        <v>0</v>
      </c>
      <c r="CV745">
        <v>0</v>
      </c>
      <c r="CW745">
        <v>0</v>
      </c>
      <c r="CX745">
        <v>0</v>
      </c>
      <c r="CY745">
        <v>0</v>
      </c>
      <c r="CZ745">
        <v>0</v>
      </c>
      <c r="DA745">
        <v>0</v>
      </c>
      <c r="DB745">
        <v>0</v>
      </c>
      <c r="DC745">
        <v>0</v>
      </c>
      <c r="DD745">
        <v>0</v>
      </c>
      <c r="DE745">
        <v>0</v>
      </c>
      <c r="DF745">
        <v>0</v>
      </c>
      <c r="DG745">
        <v>0</v>
      </c>
      <c r="DH745">
        <v>0</v>
      </c>
      <c r="DI745">
        <v>0</v>
      </c>
      <c r="DJ745">
        <v>0</v>
      </c>
      <c r="DK745">
        <v>0</v>
      </c>
      <c r="DL745">
        <v>0</v>
      </c>
      <c r="DM745">
        <v>0</v>
      </c>
      <c r="DN745">
        <v>0</v>
      </c>
      <c r="DO745">
        <v>0</v>
      </c>
      <c r="DP745">
        <v>0</v>
      </c>
      <c r="DQ745">
        <v>0</v>
      </c>
      <c r="DR745">
        <v>0</v>
      </c>
      <c r="DS745">
        <v>0</v>
      </c>
      <c r="DT745">
        <v>0</v>
      </c>
      <c r="DU745">
        <v>0</v>
      </c>
    </row>
    <row r="746" spans="2:125">
      <c r="B746" s="136">
        <v>737</v>
      </c>
      <c r="C746" s="138">
        <v>1</v>
      </c>
      <c r="D746" s="474">
        <v>2748.2772267670798</v>
      </c>
      <c r="E746" s="127">
        <v>260.72636093993566</v>
      </c>
      <c r="F746" s="447">
        <v>0.38701617646417225</v>
      </c>
      <c r="G746" s="127">
        <v>110.87085011954521</v>
      </c>
      <c r="H746" s="132">
        <v>44.381490772465675</v>
      </c>
      <c r="I746" s="456"/>
      <c r="J746" s="45"/>
      <c r="K746" s="45">
        <v>430</v>
      </c>
      <c r="L746" s="463"/>
      <c r="M746" s="456">
        <v>32.045761108398437</v>
      </c>
      <c r="N746" s="457"/>
      <c r="O746" s="456"/>
      <c r="P746" s="46"/>
      <c r="Q746" s="463">
        <v>54.4158935546875</v>
      </c>
      <c r="R746" s="449"/>
      <c r="S746" s="463"/>
      <c r="T746" s="480"/>
      <c r="U746" s="468"/>
      <c r="V746" s="449"/>
      <c r="W746" s="45">
        <v>1225.0487060546875</v>
      </c>
      <c r="X746" s="463">
        <v>105.95527648925781</v>
      </c>
      <c r="Y746" s="449"/>
      <c r="Z746" s="45"/>
      <c r="AA746" s="468">
        <v>0.37510314119596627</v>
      </c>
      <c r="AB746" s="456"/>
      <c r="AC746" s="46"/>
      <c r="AD746" s="46"/>
      <c r="AE746" s="46"/>
      <c r="AF746" s="46"/>
      <c r="AG746" s="46"/>
      <c r="AH746" s="46"/>
      <c r="AI746" s="457"/>
      <c r="AJ746" s="138"/>
      <c r="AK746" s="745"/>
      <c r="AL746" s="54"/>
      <c r="AM746" s="468"/>
      <c r="AN746" s="449"/>
      <c r="AO746" s="45"/>
      <c r="AP746" s="45"/>
      <c r="AQ746" s="45"/>
      <c r="AR746" s="45"/>
      <c r="AS746" s="45"/>
      <c r="AT746" s="45"/>
      <c r="AU746" s="463"/>
      <c r="AV746" s="449"/>
      <c r="AW746" s="45"/>
      <c r="AX746" s="45"/>
      <c r="AY746" s="45"/>
      <c r="AZ746" s="45"/>
      <c r="BA746" s="45"/>
      <c r="BB746" s="45"/>
      <c r="BC746" s="463"/>
      <c r="BD746" s="456"/>
      <c r="BE746" s="46"/>
      <c r="BF746" s="46"/>
      <c r="BG746" s="46"/>
      <c r="BH746" s="46"/>
      <c r="BI746" s="46"/>
      <c r="BJ746" s="457"/>
      <c r="BK746" s="449">
        <v>0</v>
      </c>
      <c r="BL746" s="45"/>
      <c r="BM746" s="45"/>
      <c r="BN746" s="45"/>
      <c r="BO746" s="45"/>
      <c r="BP746" s="45"/>
      <c r="BQ746" s="45"/>
      <c r="BR746" s="45"/>
      <c r="BS746" s="45"/>
      <c r="BT746" s="45"/>
      <c r="BU746" s="45"/>
      <c r="BV746" s="45"/>
      <c r="BW746" s="45"/>
      <c r="BX746" s="45"/>
      <c r="BY746" s="45"/>
      <c r="BZ746" s="45"/>
      <c r="CA746" s="45"/>
      <c r="CB746" s="45"/>
      <c r="CC746" s="45"/>
      <c r="CD746" s="463"/>
      <c r="CE746">
        <v>0</v>
      </c>
      <c r="CF746">
        <v>0</v>
      </c>
      <c r="CG746">
        <v>0</v>
      </c>
      <c r="CH746">
        <v>0</v>
      </c>
      <c r="CI746">
        <v>0</v>
      </c>
      <c r="CJ746">
        <v>0</v>
      </c>
      <c r="CK746">
        <v>0</v>
      </c>
      <c r="CL746">
        <v>0</v>
      </c>
      <c r="CM746">
        <v>0</v>
      </c>
      <c r="CN746">
        <v>0</v>
      </c>
      <c r="CO746">
        <v>0</v>
      </c>
      <c r="CP746">
        <v>0</v>
      </c>
      <c r="CQ746">
        <v>0</v>
      </c>
      <c r="CR746">
        <v>0</v>
      </c>
      <c r="CS746">
        <v>0</v>
      </c>
      <c r="CT746">
        <v>0</v>
      </c>
      <c r="CU746">
        <v>0</v>
      </c>
      <c r="CV746">
        <v>0</v>
      </c>
      <c r="CW746">
        <v>0</v>
      </c>
      <c r="CX746">
        <v>0</v>
      </c>
      <c r="CY746">
        <v>0</v>
      </c>
      <c r="CZ746">
        <v>0</v>
      </c>
      <c r="DA746">
        <v>0</v>
      </c>
      <c r="DB746">
        <v>0</v>
      </c>
      <c r="DC746">
        <v>0</v>
      </c>
      <c r="DD746">
        <v>0</v>
      </c>
      <c r="DE746">
        <v>0</v>
      </c>
      <c r="DF746">
        <v>0</v>
      </c>
      <c r="DG746">
        <v>0</v>
      </c>
      <c r="DH746">
        <v>0</v>
      </c>
      <c r="DI746">
        <v>0</v>
      </c>
      <c r="DJ746">
        <v>0</v>
      </c>
      <c r="DK746">
        <v>0</v>
      </c>
      <c r="DL746">
        <v>0</v>
      </c>
      <c r="DM746">
        <v>0</v>
      </c>
      <c r="DN746">
        <v>0</v>
      </c>
      <c r="DO746">
        <v>0</v>
      </c>
      <c r="DP746">
        <v>0</v>
      </c>
      <c r="DQ746">
        <v>0</v>
      </c>
      <c r="DR746">
        <v>0</v>
      </c>
      <c r="DS746">
        <v>0</v>
      </c>
      <c r="DT746">
        <v>0</v>
      </c>
      <c r="DU746">
        <v>0</v>
      </c>
    </row>
    <row r="747" spans="2:125">
      <c r="B747" s="136">
        <v>738</v>
      </c>
      <c r="C747" s="138">
        <v>1</v>
      </c>
      <c r="D747" s="474">
        <v>3209.7149888607823</v>
      </c>
      <c r="E747" s="127">
        <v>270.02809851292642</v>
      </c>
      <c r="F747" s="447">
        <v>0.38896693062914139</v>
      </c>
      <c r="G747" s="127">
        <v>109.29470141654946</v>
      </c>
      <c r="H747" s="132">
        <v>55.178417026306626</v>
      </c>
      <c r="I747" s="456"/>
      <c r="J747" s="45"/>
      <c r="K747" s="45">
        <v>450</v>
      </c>
      <c r="L747" s="463"/>
      <c r="M747" s="456">
        <v>29.879844665527344</v>
      </c>
      <c r="N747" s="457"/>
      <c r="O747" s="456"/>
      <c r="P747" s="46"/>
      <c r="Q747" s="463">
        <v>63.552360534667969</v>
      </c>
      <c r="R747" s="449"/>
      <c r="S747" s="463"/>
      <c r="T747" s="480"/>
      <c r="U747" s="468"/>
      <c r="V747" s="449"/>
      <c r="W747" s="45">
        <v>1291.06591796875</v>
      </c>
      <c r="X747" s="463">
        <v>110.86959838867187</v>
      </c>
      <c r="Y747" s="449"/>
      <c r="Z747" s="45"/>
      <c r="AA747" s="468">
        <v>0.37875439190643778</v>
      </c>
      <c r="AB747" s="456"/>
      <c r="AC747" s="46"/>
      <c r="AD747" s="46"/>
      <c r="AE747" s="46"/>
      <c r="AF747" s="46"/>
      <c r="AG747" s="46"/>
      <c r="AH747" s="46"/>
      <c r="AI747" s="457"/>
      <c r="AJ747" s="138"/>
      <c r="AK747" s="745"/>
      <c r="AL747" s="54"/>
      <c r="AM747" s="468"/>
      <c r="AN747" s="449"/>
      <c r="AO747" s="45"/>
      <c r="AP747" s="45"/>
      <c r="AQ747" s="45"/>
      <c r="AR747" s="45"/>
      <c r="AS747" s="45"/>
      <c r="AT747" s="45"/>
      <c r="AU747" s="463"/>
      <c r="AV747" s="449"/>
      <c r="AW747" s="45"/>
      <c r="AX747" s="45"/>
      <c r="AY747" s="45"/>
      <c r="AZ747" s="45"/>
      <c r="BA747" s="45"/>
      <c r="BB747" s="45"/>
      <c r="BC747" s="463"/>
      <c r="BD747" s="456"/>
      <c r="BE747" s="46"/>
      <c r="BF747" s="46"/>
      <c r="BG747" s="46"/>
      <c r="BH747" s="46"/>
      <c r="BI747" s="46"/>
      <c r="BJ747" s="457"/>
      <c r="BK747" s="449">
        <v>0</v>
      </c>
      <c r="BL747" s="45"/>
      <c r="BM747" s="45"/>
      <c r="BN747" s="45"/>
      <c r="BO747" s="45"/>
      <c r="BP747" s="45"/>
      <c r="BQ747" s="45"/>
      <c r="BR747" s="45"/>
      <c r="BS747" s="45"/>
      <c r="BT747" s="45"/>
      <c r="BU747" s="45"/>
      <c r="BV747" s="45"/>
      <c r="BW747" s="45"/>
      <c r="BX747" s="45"/>
      <c r="BY747" s="45"/>
      <c r="BZ747" s="45"/>
      <c r="CA747" s="45"/>
      <c r="CB747" s="45"/>
      <c r="CC747" s="45"/>
      <c r="CD747" s="463"/>
      <c r="CE747">
        <v>0</v>
      </c>
      <c r="CF747">
        <v>0</v>
      </c>
      <c r="CG747">
        <v>0</v>
      </c>
      <c r="CH747">
        <v>0</v>
      </c>
      <c r="CI747">
        <v>0</v>
      </c>
      <c r="CJ747">
        <v>0</v>
      </c>
      <c r="CK747">
        <v>0</v>
      </c>
      <c r="CL747">
        <v>0</v>
      </c>
      <c r="CM747">
        <v>0</v>
      </c>
      <c r="CN747">
        <v>0</v>
      </c>
      <c r="CO747">
        <v>0</v>
      </c>
      <c r="CP747">
        <v>0</v>
      </c>
      <c r="CQ747">
        <v>0</v>
      </c>
      <c r="CR747">
        <v>0</v>
      </c>
      <c r="CS747">
        <v>0</v>
      </c>
      <c r="CT747">
        <v>0</v>
      </c>
      <c r="CU747">
        <v>0</v>
      </c>
      <c r="CV747">
        <v>0</v>
      </c>
      <c r="CW747">
        <v>0</v>
      </c>
      <c r="CX747">
        <v>0</v>
      </c>
      <c r="CY747">
        <v>0</v>
      </c>
      <c r="CZ747">
        <v>0</v>
      </c>
      <c r="DA747">
        <v>0</v>
      </c>
      <c r="DB747">
        <v>0</v>
      </c>
      <c r="DC747">
        <v>0</v>
      </c>
      <c r="DD747">
        <v>0</v>
      </c>
      <c r="DE747">
        <v>0</v>
      </c>
      <c r="DF747">
        <v>0</v>
      </c>
      <c r="DG747">
        <v>0</v>
      </c>
      <c r="DH747">
        <v>0</v>
      </c>
      <c r="DI747">
        <v>0</v>
      </c>
      <c r="DJ747">
        <v>0</v>
      </c>
      <c r="DK747">
        <v>0</v>
      </c>
      <c r="DL747">
        <v>0</v>
      </c>
      <c r="DM747">
        <v>0</v>
      </c>
      <c r="DN747">
        <v>0</v>
      </c>
      <c r="DO747">
        <v>0</v>
      </c>
      <c r="DP747">
        <v>0</v>
      </c>
      <c r="DQ747">
        <v>0</v>
      </c>
      <c r="DR747">
        <v>0</v>
      </c>
      <c r="DS747">
        <v>0</v>
      </c>
      <c r="DT747">
        <v>0</v>
      </c>
      <c r="DU747">
        <v>0</v>
      </c>
    </row>
    <row r="748" spans="2:125">
      <c r="B748" s="136">
        <v>739</v>
      </c>
      <c r="C748" s="138">
        <v>1</v>
      </c>
      <c r="D748" s="474">
        <v>3863.2576923014349</v>
      </c>
      <c r="E748" s="127">
        <v>245.26390687630433</v>
      </c>
      <c r="F748" s="447">
        <v>0.38358219932154702</v>
      </c>
      <c r="G748" s="127">
        <v>121.74299147826937</v>
      </c>
      <c r="H748" s="132">
        <v>62.698601136099541</v>
      </c>
      <c r="I748" s="456"/>
      <c r="J748" s="45"/>
      <c r="K748" s="45">
        <v>520</v>
      </c>
      <c r="L748" s="463"/>
      <c r="M748" s="456">
        <v>29.298639297485352</v>
      </c>
      <c r="N748" s="457"/>
      <c r="O748" s="456"/>
      <c r="P748" s="46"/>
      <c r="Q748" s="463">
        <v>76.492500305175781</v>
      </c>
      <c r="R748" s="449"/>
      <c r="S748" s="463"/>
      <c r="T748" s="480"/>
      <c r="U748" s="468"/>
      <c r="V748" s="449"/>
      <c r="W748" s="45">
        <v>1425.02099609375</v>
      </c>
      <c r="X748" s="463">
        <v>120.89008331298828</v>
      </c>
      <c r="Y748" s="449"/>
      <c r="Z748" s="45"/>
      <c r="AA748" s="468">
        <v>0.37512518024887737</v>
      </c>
      <c r="AB748" s="456"/>
      <c r="AC748" s="46"/>
      <c r="AD748" s="46"/>
      <c r="AE748" s="46"/>
      <c r="AF748" s="46"/>
      <c r="AG748" s="46"/>
      <c r="AH748" s="46"/>
      <c r="AI748" s="457"/>
      <c r="AJ748" s="138"/>
      <c r="AK748" s="745"/>
      <c r="AL748" s="54"/>
      <c r="AM748" s="468"/>
      <c r="AN748" s="449"/>
      <c r="AO748" s="45"/>
      <c r="AP748" s="45"/>
      <c r="AQ748" s="45"/>
      <c r="AR748" s="45"/>
      <c r="AS748" s="45"/>
      <c r="AT748" s="45"/>
      <c r="AU748" s="463"/>
      <c r="AV748" s="449"/>
      <c r="AW748" s="45"/>
      <c r="AX748" s="45"/>
      <c r="AY748" s="45"/>
      <c r="AZ748" s="45"/>
      <c r="BA748" s="45"/>
      <c r="BB748" s="45"/>
      <c r="BC748" s="463"/>
      <c r="BD748" s="456"/>
      <c r="BE748" s="46"/>
      <c r="BF748" s="46"/>
      <c r="BG748" s="46"/>
      <c r="BH748" s="46"/>
      <c r="BI748" s="46"/>
      <c r="BJ748" s="457"/>
      <c r="BK748" s="449">
        <v>0</v>
      </c>
      <c r="BL748" s="45"/>
      <c r="BM748" s="45"/>
      <c r="BN748" s="45"/>
      <c r="BO748" s="45"/>
      <c r="BP748" s="45"/>
      <c r="BQ748" s="45"/>
      <c r="BR748" s="45"/>
      <c r="BS748" s="45"/>
      <c r="BT748" s="45"/>
      <c r="BU748" s="45"/>
      <c r="BV748" s="45"/>
      <c r="BW748" s="45"/>
      <c r="BX748" s="45"/>
      <c r="BY748" s="45"/>
      <c r="BZ748" s="45"/>
      <c r="CA748" s="45"/>
      <c r="CB748" s="45"/>
      <c r="CC748" s="45"/>
      <c r="CD748" s="463"/>
      <c r="CE748">
        <v>0</v>
      </c>
      <c r="CF748">
        <v>0</v>
      </c>
      <c r="CG748">
        <v>0</v>
      </c>
      <c r="CH748">
        <v>0</v>
      </c>
      <c r="CI748">
        <v>0</v>
      </c>
      <c r="CJ748">
        <v>0</v>
      </c>
      <c r="CK748">
        <v>0</v>
      </c>
      <c r="CL748">
        <v>0</v>
      </c>
      <c r="CM748">
        <v>0</v>
      </c>
      <c r="CN748">
        <v>0</v>
      </c>
      <c r="CO748">
        <v>0</v>
      </c>
      <c r="CP748">
        <v>0</v>
      </c>
      <c r="CQ748">
        <v>0</v>
      </c>
      <c r="CR748">
        <v>0</v>
      </c>
      <c r="CS748">
        <v>0</v>
      </c>
      <c r="CT748">
        <v>0</v>
      </c>
      <c r="CU748">
        <v>0</v>
      </c>
      <c r="CV748">
        <v>0</v>
      </c>
      <c r="CW748">
        <v>0</v>
      </c>
      <c r="CX748">
        <v>0</v>
      </c>
      <c r="CY748">
        <v>0</v>
      </c>
      <c r="CZ748">
        <v>0</v>
      </c>
      <c r="DA748">
        <v>0</v>
      </c>
      <c r="DB748">
        <v>0</v>
      </c>
      <c r="DC748">
        <v>0</v>
      </c>
      <c r="DD748">
        <v>0</v>
      </c>
      <c r="DE748">
        <v>0</v>
      </c>
      <c r="DF748">
        <v>0</v>
      </c>
      <c r="DG748">
        <v>0</v>
      </c>
      <c r="DH748">
        <v>0</v>
      </c>
      <c r="DI748">
        <v>0</v>
      </c>
      <c r="DJ748">
        <v>0</v>
      </c>
      <c r="DK748">
        <v>0</v>
      </c>
      <c r="DL748">
        <v>0</v>
      </c>
      <c r="DM748">
        <v>0</v>
      </c>
      <c r="DN748">
        <v>0</v>
      </c>
      <c r="DO748">
        <v>0</v>
      </c>
      <c r="DP748">
        <v>0</v>
      </c>
      <c r="DQ748">
        <v>0</v>
      </c>
      <c r="DR748">
        <v>0</v>
      </c>
      <c r="DS748">
        <v>0</v>
      </c>
      <c r="DT748">
        <v>0</v>
      </c>
      <c r="DU748">
        <v>0</v>
      </c>
    </row>
    <row r="749" spans="2:125">
      <c r="B749" s="136">
        <v>740</v>
      </c>
      <c r="C749" s="138">
        <v>1</v>
      </c>
      <c r="D749" s="474">
        <v>2710.6404788589061</v>
      </c>
      <c r="E749" s="127">
        <v>233.92875298926057</v>
      </c>
      <c r="F749" s="447">
        <v>0.39490071768021889</v>
      </c>
      <c r="G749" s="127">
        <v>88.712820696902469</v>
      </c>
      <c r="H749" s="132">
        <v>51.295344506817266</v>
      </c>
      <c r="I749" s="456"/>
      <c r="J749" s="45"/>
      <c r="K749" s="45">
        <v>370</v>
      </c>
      <c r="L749" s="463"/>
      <c r="M749" s="456">
        <v>29.749870300292969</v>
      </c>
      <c r="N749" s="457"/>
      <c r="O749" s="456"/>
      <c r="P749" s="46"/>
      <c r="Q749" s="463">
        <v>53.670684814453125</v>
      </c>
      <c r="R749" s="449"/>
      <c r="S749" s="463"/>
      <c r="T749" s="480"/>
      <c r="U749" s="468"/>
      <c r="V749" s="449"/>
      <c r="W749" s="45">
        <v>1120.764404296875</v>
      </c>
      <c r="X749" s="463">
        <v>98.158683776855469</v>
      </c>
      <c r="Y749" s="449"/>
      <c r="Z749" s="45"/>
      <c r="AA749" s="468">
        <v>0.38276409734632155</v>
      </c>
      <c r="AB749" s="456"/>
      <c r="AC749" s="46"/>
      <c r="AD749" s="46"/>
      <c r="AE749" s="46"/>
      <c r="AF749" s="46"/>
      <c r="AG749" s="46"/>
      <c r="AH749" s="46"/>
      <c r="AI749" s="457"/>
      <c r="AJ749" s="138"/>
      <c r="AK749" s="745"/>
      <c r="AL749" s="54"/>
      <c r="AM749" s="468"/>
      <c r="AN749" s="449"/>
      <c r="AO749" s="45"/>
      <c r="AP749" s="45"/>
      <c r="AQ749" s="45"/>
      <c r="AR749" s="45"/>
      <c r="AS749" s="45"/>
      <c r="AT749" s="45"/>
      <c r="AU749" s="463"/>
      <c r="AV749" s="449"/>
      <c r="AW749" s="45"/>
      <c r="AX749" s="45"/>
      <c r="AY749" s="45"/>
      <c r="AZ749" s="45"/>
      <c r="BA749" s="45"/>
      <c r="BB749" s="45"/>
      <c r="BC749" s="463"/>
      <c r="BD749" s="456"/>
      <c r="BE749" s="46"/>
      <c r="BF749" s="46"/>
      <c r="BG749" s="46"/>
      <c r="BH749" s="46"/>
      <c r="BI749" s="46"/>
      <c r="BJ749" s="457"/>
      <c r="BK749" s="449">
        <v>0</v>
      </c>
      <c r="BL749" s="45"/>
      <c r="BM749" s="45"/>
      <c r="BN749" s="45"/>
      <c r="BO749" s="45"/>
      <c r="BP749" s="45"/>
      <c r="BQ749" s="45"/>
      <c r="BR749" s="45"/>
      <c r="BS749" s="45"/>
      <c r="BT749" s="45"/>
      <c r="BU749" s="45"/>
      <c r="BV749" s="45"/>
      <c r="BW749" s="45"/>
      <c r="BX749" s="45"/>
      <c r="BY749" s="45"/>
      <c r="BZ749" s="45"/>
      <c r="CA749" s="45"/>
      <c r="CB749" s="45"/>
      <c r="CC749" s="45"/>
      <c r="CD749" s="463"/>
      <c r="CE749">
        <v>0</v>
      </c>
      <c r="CF749">
        <v>0</v>
      </c>
      <c r="CG749">
        <v>0</v>
      </c>
      <c r="CH749">
        <v>0</v>
      </c>
      <c r="CI749">
        <v>0</v>
      </c>
      <c r="CJ749">
        <v>0</v>
      </c>
      <c r="CK749">
        <v>0</v>
      </c>
      <c r="CL749">
        <v>0</v>
      </c>
      <c r="CM749">
        <v>0</v>
      </c>
      <c r="CN749">
        <v>0</v>
      </c>
      <c r="CO749">
        <v>0</v>
      </c>
      <c r="CP749">
        <v>0</v>
      </c>
      <c r="CQ749">
        <v>0</v>
      </c>
      <c r="CR749">
        <v>0</v>
      </c>
      <c r="CS749">
        <v>0</v>
      </c>
      <c r="CT749">
        <v>0</v>
      </c>
      <c r="CU749">
        <v>0</v>
      </c>
      <c r="CV749">
        <v>0</v>
      </c>
      <c r="CW749">
        <v>0</v>
      </c>
      <c r="CX749">
        <v>0</v>
      </c>
      <c r="CY749">
        <v>0</v>
      </c>
      <c r="CZ749">
        <v>0</v>
      </c>
      <c r="DA749">
        <v>0</v>
      </c>
      <c r="DB749">
        <v>0</v>
      </c>
      <c r="DC749">
        <v>0</v>
      </c>
      <c r="DD749">
        <v>0</v>
      </c>
      <c r="DE749">
        <v>0</v>
      </c>
      <c r="DF749">
        <v>0</v>
      </c>
      <c r="DG749">
        <v>0</v>
      </c>
      <c r="DH749">
        <v>0</v>
      </c>
      <c r="DI749">
        <v>0</v>
      </c>
      <c r="DJ749">
        <v>0</v>
      </c>
      <c r="DK749">
        <v>0</v>
      </c>
      <c r="DL749">
        <v>0</v>
      </c>
      <c r="DM749">
        <v>0</v>
      </c>
      <c r="DN749">
        <v>0</v>
      </c>
      <c r="DO749">
        <v>0</v>
      </c>
      <c r="DP749">
        <v>0</v>
      </c>
      <c r="DQ749">
        <v>0</v>
      </c>
      <c r="DR749">
        <v>0</v>
      </c>
      <c r="DS749">
        <v>0</v>
      </c>
      <c r="DT749">
        <v>0</v>
      </c>
      <c r="DU749">
        <v>0</v>
      </c>
    </row>
    <row r="750" spans="2:125">
      <c r="B750" s="136">
        <v>741</v>
      </c>
      <c r="C750" s="138">
        <v>1</v>
      </c>
      <c r="D750" s="474">
        <v>2532.3886434679853</v>
      </c>
      <c r="E750" s="127">
        <v>311.85251726776278</v>
      </c>
      <c r="F750" s="447">
        <v>0.37699150958623612</v>
      </c>
      <c r="G750" s="127">
        <v>91.838137078816104</v>
      </c>
      <c r="H750" s="132">
        <v>46.061959248919379</v>
      </c>
      <c r="I750" s="456"/>
      <c r="J750" s="45"/>
      <c r="K750" s="45">
        <v>370</v>
      </c>
      <c r="L750" s="463"/>
      <c r="M750" s="456">
        <v>29.652618408203125</v>
      </c>
      <c r="N750" s="457"/>
      <c r="O750" s="456"/>
      <c r="P750" s="46"/>
      <c r="Q750" s="463">
        <v>50.14129638671875</v>
      </c>
      <c r="R750" s="449"/>
      <c r="S750" s="463"/>
      <c r="T750" s="480"/>
      <c r="U750" s="468"/>
      <c r="V750" s="449"/>
      <c r="W750" s="45">
        <v>1055.2412109375</v>
      </c>
      <c r="X750" s="463">
        <v>93.370712280273438</v>
      </c>
      <c r="Y750" s="449"/>
      <c r="Z750" s="45"/>
      <c r="AA750" s="468">
        <v>0.36414204815950857</v>
      </c>
      <c r="AB750" s="456"/>
      <c r="AC750" s="46"/>
      <c r="AD750" s="46"/>
      <c r="AE750" s="46"/>
      <c r="AF750" s="46"/>
      <c r="AG750" s="46"/>
      <c r="AH750" s="46"/>
      <c r="AI750" s="457"/>
      <c r="AJ750" s="138"/>
      <c r="AK750" s="745"/>
      <c r="AL750" s="54"/>
      <c r="AM750" s="468"/>
      <c r="AN750" s="449"/>
      <c r="AO750" s="45"/>
      <c r="AP750" s="45"/>
      <c r="AQ750" s="45"/>
      <c r="AR750" s="45"/>
      <c r="AS750" s="45"/>
      <c r="AT750" s="45"/>
      <c r="AU750" s="463"/>
      <c r="AV750" s="449"/>
      <c r="AW750" s="45"/>
      <c r="AX750" s="45"/>
      <c r="AY750" s="45"/>
      <c r="AZ750" s="45"/>
      <c r="BA750" s="45"/>
      <c r="BB750" s="45"/>
      <c r="BC750" s="463"/>
      <c r="BD750" s="456"/>
      <c r="BE750" s="46"/>
      <c r="BF750" s="46"/>
      <c r="BG750" s="46"/>
      <c r="BH750" s="46"/>
      <c r="BI750" s="46"/>
      <c r="BJ750" s="457"/>
      <c r="BK750" s="449">
        <v>0</v>
      </c>
      <c r="BL750" s="45"/>
      <c r="BM750" s="45"/>
      <c r="BN750" s="45"/>
      <c r="BO750" s="45"/>
      <c r="BP750" s="45"/>
      <c r="BQ750" s="45"/>
      <c r="BR750" s="45"/>
      <c r="BS750" s="45"/>
      <c r="BT750" s="45"/>
      <c r="BU750" s="45"/>
      <c r="BV750" s="45"/>
      <c r="BW750" s="45"/>
      <c r="BX750" s="45"/>
      <c r="BY750" s="45"/>
      <c r="BZ750" s="45"/>
      <c r="CA750" s="45"/>
      <c r="CB750" s="45"/>
      <c r="CC750" s="45"/>
      <c r="CD750" s="463"/>
      <c r="CE750">
        <v>0</v>
      </c>
      <c r="CF750">
        <v>0</v>
      </c>
      <c r="CG750">
        <v>0</v>
      </c>
      <c r="CH750">
        <v>0</v>
      </c>
      <c r="CI750">
        <v>0</v>
      </c>
      <c r="CJ750">
        <v>0</v>
      </c>
      <c r="CK750">
        <v>0</v>
      </c>
      <c r="CL750">
        <v>0</v>
      </c>
      <c r="CM750">
        <v>0</v>
      </c>
      <c r="CN750">
        <v>0</v>
      </c>
      <c r="CO750">
        <v>0</v>
      </c>
      <c r="CP750">
        <v>0</v>
      </c>
      <c r="CQ750">
        <v>0</v>
      </c>
      <c r="CR750">
        <v>0</v>
      </c>
      <c r="CS750">
        <v>0</v>
      </c>
      <c r="CT750">
        <v>0</v>
      </c>
      <c r="CU750">
        <v>0</v>
      </c>
      <c r="CV750">
        <v>0</v>
      </c>
      <c r="CW750">
        <v>0</v>
      </c>
      <c r="CX750">
        <v>0</v>
      </c>
      <c r="CY750">
        <v>0</v>
      </c>
      <c r="CZ750">
        <v>0</v>
      </c>
      <c r="DA750">
        <v>0</v>
      </c>
      <c r="DB750">
        <v>0</v>
      </c>
      <c r="DC750">
        <v>0</v>
      </c>
      <c r="DD750">
        <v>0</v>
      </c>
      <c r="DE750">
        <v>0</v>
      </c>
      <c r="DF750">
        <v>0</v>
      </c>
      <c r="DG750">
        <v>0</v>
      </c>
      <c r="DH750">
        <v>0</v>
      </c>
      <c r="DI750">
        <v>0</v>
      </c>
      <c r="DJ750">
        <v>0</v>
      </c>
      <c r="DK750">
        <v>0</v>
      </c>
      <c r="DL750">
        <v>0</v>
      </c>
      <c r="DM750">
        <v>0</v>
      </c>
      <c r="DN750">
        <v>0</v>
      </c>
      <c r="DO750">
        <v>0</v>
      </c>
      <c r="DP750">
        <v>0</v>
      </c>
      <c r="DQ750">
        <v>0</v>
      </c>
      <c r="DR750">
        <v>0</v>
      </c>
      <c r="DS750">
        <v>0</v>
      </c>
      <c r="DT750">
        <v>0</v>
      </c>
      <c r="DU750">
        <v>0</v>
      </c>
    </row>
    <row r="751" spans="2:125">
      <c r="B751" s="136">
        <v>742</v>
      </c>
      <c r="C751" s="138">
        <v>1</v>
      </c>
      <c r="D751" s="474">
        <v>3579.7273716493319</v>
      </c>
      <c r="E751" s="127">
        <v>284.32750885221191</v>
      </c>
      <c r="F751" s="447">
        <v>0.41882991162300037</v>
      </c>
      <c r="G751" s="127">
        <v>118.60768157682149</v>
      </c>
      <c r="H751" s="132">
        <v>65.204541654895493</v>
      </c>
      <c r="I751" s="456"/>
      <c r="J751" s="45"/>
      <c r="K751" s="45">
        <v>520</v>
      </c>
      <c r="L751" s="463"/>
      <c r="M751" s="456">
        <v>32.841526031494141</v>
      </c>
      <c r="N751" s="457"/>
      <c r="O751" s="456"/>
      <c r="P751" s="46"/>
      <c r="Q751" s="463">
        <v>79.246597290039063</v>
      </c>
      <c r="R751" s="449"/>
      <c r="S751" s="463"/>
      <c r="T751" s="480"/>
      <c r="U751" s="468"/>
      <c r="V751" s="449"/>
      <c r="W751" s="45">
        <v>1606.4227294921875</v>
      </c>
      <c r="X751" s="463">
        <v>134.1058349609375</v>
      </c>
      <c r="Y751" s="449"/>
      <c r="Z751" s="45"/>
      <c r="AA751" s="468">
        <v>0.40950612945545445</v>
      </c>
      <c r="AB751" s="456"/>
      <c r="AC751" s="46"/>
      <c r="AD751" s="46"/>
      <c r="AE751" s="46"/>
      <c r="AF751" s="46"/>
      <c r="AG751" s="46"/>
      <c r="AH751" s="46"/>
      <c r="AI751" s="457"/>
      <c r="AJ751" s="138"/>
      <c r="AK751" s="745"/>
      <c r="AL751" s="54"/>
      <c r="AM751" s="468"/>
      <c r="AN751" s="449"/>
      <c r="AO751" s="45"/>
      <c r="AP751" s="45"/>
      <c r="AQ751" s="45"/>
      <c r="AR751" s="45"/>
      <c r="AS751" s="45"/>
      <c r="AT751" s="45"/>
      <c r="AU751" s="463"/>
      <c r="AV751" s="449"/>
      <c r="AW751" s="45"/>
      <c r="AX751" s="45"/>
      <c r="AY751" s="45"/>
      <c r="AZ751" s="45"/>
      <c r="BA751" s="45"/>
      <c r="BB751" s="45"/>
      <c r="BC751" s="463"/>
      <c r="BD751" s="456"/>
      <c r="BE751" s="46"/>
      <c r="BF751" s="46"/>
      <c r="BG751" s="46"/>
      <c r="BH751" s="46"/>
      <c r="BI751" s="46"/>
      <c r="BJ751" s="457"/>
      <c r="BK751" s="449">
        <v>0</v>
      </c>
      <c r="BL751" s="45"/>
      <c r="BM751" s="45"/>
      <c r="BN751" s="45"/>
      <c r="BO751" s="45"/>
      <c r="BP751" s="45"/>
      <c r="BQ751" s="45"/>
      <c r="BR751" s="45"/>
      <c r="BS751" s="45"/>
      <c r="BT751" s="45"/>
      <c r="BU751" s="45"/>
      <c r="BV751" s="45"/>
      <c r="BW751" s="45"/>
      <c r="BX751" s="45"/>
      <c r="BY751" s="45"/>
      <c r="BZ751" s="45"/>
      <c r="CA751" s="45"/>
      <c r="CB751" s="45"/>
      <c r="CC751" s="45"/>
      <c r="CD751" s="463"/>
      <c r="CE751">
        <v>0</v>
      </c>
      <c r="CF751">
        <v>0</v>
      </c>
      <c r="CG751">
        <v>0</v>
      </c>
      <c r="CH751">
        <v>0</v>
      </c>
      <c r="CI751">
        <v>0</v>
      </c>
      <c r="CJ751">
        <v>0</v>
      </c>
      <c r="CK751">
        <v>0</v>
      </c>
      <c r="CL751">
        <v>0</v>
      </c>
      <c r="CM751">
        <v>0</v>
      </c>
      <c r="CN751">
        <v>0</v>
      </c>
      <c r="CO751">
        <v>0</v>
      </c>
      <c r="CP751">
        <v>0</v>
      </c>
      <c r="CQ751">
        <v>0</v>
      </c>
      <c r="CR751">
        <v>0</v>
      </c>
      <c r="CS751">
        <v>0</v>
      </c>
      <c r="CT751">
        <v>0</v>
      </c>
      <c r="CU751">
        <v>0</v>
      </c>
      <c r="CV751">
        <v>0</v>
      </c>
      <c r="CW751">
        <v>0</v>
      </c>
      <c r="CX751">
        <v>0</v>
      </c>
      <c r="CY751">
        <v>0</v>
      </c>
      <c r="CZ751">
        <v>0</v>
      </c>
      <c r="DA751">
        <v>0</v>
      </c>
      <c r="DB751">
        <v>0</v>
      </c>
      <c r="DC751">
        <v>0</v>
      </c>
      <c r="DD751">
        <v>0</v>
      </c>
      <c r="DE751">
        <v>0</v>
      </c>
      <c r="DF751">
        <v>0</v>
      </c>
      <c r="DG751">
        <v>0</v>
      </c>
      <c r="DH751">
        <v>0</v>
      </c>
      <c r="DI751">
        <v>0</v>
      </c>
      <c r="DJ751">
        <v>0</v>
      </c>
      <c r="DK751">
        <v>0</v>
      </c>
      <c r="DL751">
        <v>0</v>
      </c>
      <c r="DM751">
        <v>0</v>
      </c>
      <c r="DN751">
        <v>0</v>
      </c>
      <c r="DO751">
        <v>0</v>
      </c>
      <c r="DP751">
        <v>0</v>
      </c>
      <c r="DQ751">
        <v>0</v>
      </c>
      <c r="DR751">
        <v>0</v>
      </c>
      <c r="DS751">
        <v>0</v>
      </c>
      <c r="DT751">
        <v>0</v>
      </c>
      <c r="DU751">
        <v>0</v>
      </c>
    </row>
    <row r="752" spans="2:125">
      <c r="B752" s="136">
        <v>743</v>
      </c>
      <c r="C752" s="138">
        <v>1</v>
      </c>
      <c r="D752" s="474">
        <v>2680.5648046470187</v>
      </c>
      <c r="E752" s="127">
        <v>190.81522824660902</v>
      </c>
      <c r="F752" s="447">
        <v>0.38250278664816151</v>
      </c>
      <c r="G752" s="127">
        <v>104.43103153087925</v>
      </c>
      <c r="H752" s="132">
        <v>45.110024431902161</v>
      </c>
      <c r="I752" s="456"/>
      <c r="J752" s="45"/>
      <c r="K752" s="45">
        <v>410</v>
      </c>
      <c r="L752" s="463"/>
      <c r="M752" s="456">
        <v>31.028377532958984</v>
      </c>
      <c r="N752" s="457"/>
      <c r="O752" s="456"/>
      <c r="P752" s="46"/>
      <c r="Q752" s="463">
        <v>53.075180053710938</v>
      </c>
      <c r="R752" s="449"/>
      <c r="S752" s="463"/>
      <c r="T752" s="480"/>
      <c r="U752" s="468"/>
      <c r="V752" s="449"/>
      <c r="W752" s="45">
        <v>1159.8450927734375</v>
      </c>
      <c r="X752" s="463">
        <v>101.13001251220703</v>
      </c>
      <c r="Y752" s="449"/>
      <c r="Z752" s="45"/>
      <c r="AA752" s="468">
        <v>0.37032249700309816</v>
      </c>
      <c r="AB752" s="456"/>
      <c r="AC752" s="46"/>
      <c r="AD752" s="46"/>
      <c r="AE752" s="46"/>
      <c r="AF752" s="46"/>
      <c r="AG752" s="46"/>
      <c r="AH752" s="46"/>
      <c r="AI752" s="457"/>
      <c r="AJ752" s="138"/>
      <c r="AK752" s="745"/>
      <c r="AL752" s="54"/>
      <c r="AM752" s="468"/>
      <c r="AN752" s="449"/>
      <c r="AO752" s="45"/>
      <c r="AP752" s="45"/>
      <c r="AQ752" s="45"/>
      <c r="AR752" s="45"/>
      <c r="AS752" s="45"/>
      <c r="AT752" s="45"/>
      <c r="AU752" s="463"/>
      <c r="AV752" s="449"/>
      <c r="AW752" s="45"/>
      <c r="AX752" s="45"/>
      <c r="AY752" s="45"/>
      <c r="AZ752" s="45"/>
      <c r="BA752" s="45"/>
      <c r="BB752" s="45"/>
      <c r="BC752" s="463"/>
      <c r="BD752" s="456"/>
      <c r="BE752" s="46"/>
      <c r="BF752" s="46"/>
      <c r="BG752" s="46"/>
      <c r="BH752" s="46"/>
      <c r="BI752" s="46"/>
      <c r="BJ752" s="457"/>
      <c r="BK752" s="449">
        <v>0</v>
      </c>
      <c r="BL752" s="45"/>
      <c r="BM752" s="45"/>
      <c r="BN752" s="45"/>
      <c r="BO752" s="45"/>
      <c r="BP752" s="45"/>
      <c r="BQ752" s="45"/>
      <c r="BR752" s="45"/>
      <c r="BS752" s="45"/>
      <c r="BT752" s="45"/>
      <c r="BU752" s="45"/>
      <c r="BV752" s="45"/>
      <c r="BW752" s="45"/>
      <c r="BX752" s="45"/>
      <c r="BY752" s="45"/>
      <c r="BZ752" s="45"/>
      <c r="CA752" s="45"/>
      <c r="CB752" s="45"/>
      <c r="CC752" s="45"/>
      <c r="CD752" s="463"/>
      <c r="CE752">
        <v>0</v>
      </c>
      <c r="CF752">
        <v>0</v>
      </c>
      <c r="CG752">
        <v>0</v>
      </c>
      <c r="CH752">
        <v>0</v>
      </c>
      <c r="CI752">
        <v>0</v>
      </c>
      <c r="CJ752">
        <v>0</v>
      </c>
      <c r="CK752">
        <v>0</v>
      </c>
      <c r="CL752">
        <v>0</v>
      </c>
      <c r="CM752">
        <v>0</v>
      </c>
      <c r="CN752">
        <v>0</v>
      </c>
      <c r="CO752">
        <v>0</v>
      </c>
      <c r="CP752">
        <v>0</v>
      </c>
      <c r="CQ752">
        <v>0</v>
      </c>
      <c r="CR752">
        <v>0</v>
      </c>
      <c r="CS752">
        <v>0</v>
      </c>
      <c r="CT752">
        <v>0</v>
      </c>
      <c r="CU752">
        <v>0</v>
      </c>
      <c r="CV752">
        <v>0</v>
      </c>
      <c r="CW752">
        <v>0</v>
      </c>
      <c r="CX752">
        <v>0</v>
      </c>
      <c r="CY752">
        <v>0</v>
      </c>
      <c r="CZ752">
        <v>0</v>
      </c>
      <c r="DA752">
        <v>0</v>
      </c>
      <c r="DB752">
        <v>0</v>
      </c>
      <c r="DC752">
        <v>0</v>
      </c>
      <c r="DD752">
        <v>0</v>
      </c>
      <c r="DE752">
        <v>0</v>
      </c>
      <c r="DF752">
        <v>0</v>
      </c>
      <c r="DG752">
        <v>0</v>
      </c>
      <c r="DH752">
        <v>0</v>
      </c>
      <c r="DI752">
        <v>0</v>
      </c>
      <c r="DJ752">
        <v>0</v>
      </c>
      <c r="DK752">
        <v>0</v>
      </c>
      <c r="DL752">
        <v>0</v>
      </c>
      <c r="DM752">
        <v>0</v>
      </c>
      <c r="DN752">
        <v>0</v>
      </c>
      <c r="DO752">
        <v>0</v>
      </c>
      <c r="DP752">
        <v>0</v>
      </c>
      <c r="DQ752">
        <v>0</v>
      </c>
      <c r="DR752">
        <v>0</v>
      </c>
      <c r="DS752">
        <v>0</v>
      </c>
      <c r="DT752">
        <v>0</v>
      </c>
      <c r="DU752">
        <v>0</v>
      </c>
    </row>
    <row r="753" spans="2:125">
      <c r="B753" s="136">
        <v>744</v>
      </c>
      <c r="C753" s="138">
        <v>1</v>
      </c>
      <c r="D753" s="474">
        <v>2823.1720857796081</v>
      </c>
      <c r="E753" s="127">
        <v>255.15151395451423</v>
      </c>
      <c r="F753" s="447">
        <v>0.48809228735213428</v>
      </c>
      <c r="G753" s="127">
        <v>93.757757112305157</v>
      </c>
      <c r="H753" s="132">
        <v>52.101781433705469</v>
      </c>
      <c r="I753" s="456"/>
      <c r="J753" s="45"/>
      <c r="K753" s="45">
        <v>400</v>
      </c>
      <c r="L753" s="463"/>
      <c r="M753" s="456">
        <v>44.118400573730469</v>
      </c>
      <c r="N753" s="457"/>
      <c r="O753" s="456"/>
      <c r="P753" s="46"/>
      <c r="Q753" s="463">
        <v>55.898807525634766</v>
      </c>
      <c r="R753" s="449"/>
      <c r="S753" s="463"/>
      <c r="T753" s="480"/>
      <c r="U753" s="468"/>
      <c r="V753" s="449"/>
      <c r="W753" s="45">
        <v>1692.566650390625</v>
      </c>
      <c r="X753" s="463">
        <v>139.86773681640625</v>
      </c>
      <c r="Y753" s="449"/>
      <c r="Z753" s="45"/>
      <c r="AA753" s="468">
        <v>0.47577924206448102</v>
      </c>
      <c r="AB753" s="456"/>
      <c r="AC753" s="46"/>
      <c r="AD753" s="46"/>
      <c r="AE753" s="46"/>
      <c r="AF753" s="46"/>
      <c r="AG753" s="46"/>
      <c r="AH753" s="46"/>
      <c r="AI753" s="457"/>
      <c r="AJ753" s="138"/>
      <c r="AK753" s="745"/>
      <c r="AL753" s="54"/>
      <c r="AM753" s="468"/>
      <c r="AN753" s="449"/>
      <c r="AO753" s="45"/>
      <c r="AP753" s="45"/>
      <c r="AQ753" s="45"/>
      <c r="AR753" s="45"/>
      <c r="AS753" s="45"/>
      <c r="AT753" s="45"/>
      <c r="AU753" s="463"/>
      <c r="AV753" s="449"/>
      <c r="AW753" s="45"/>
      <c r="AX753" s="45"/>
      <c r="AY753" s="45"/>
      <c r="AZ753" s="45"/>
      <c r="BA753" s="45"/>
      <c r="BB753" s="45"/>
      <c r="BC753" s="463"/>
      <c r="BD753" s="456"/>
      <c r="BE753" s="46"/>
      <c r="BF753" s="46"/>
      <c r="BG753" s="46"/>
      <c r="BH753" s="46"/>
      <c r="BI753" s="46"/>
      <c r="BJ753" s="457"/>
      <c r="BK753" s="449">
        <v>0</v>
      </c>
      <c r="BL753" s="45"/>
      <c r="BM753" s="45"/>
      <c r="BN753" s="45"/>
      <c r="BO753" s="45"/>
      <c r="BP753" s="45"/>
      <c r="BQ753" s="45"/>
      <c r="BR753" s="45"/>
      <c r="BS753" s="45"/>
      <c r="BT753" s="45"/>
      <c r="BU753" s="45"/>
      <c r="BV753" s="45"/>
      <c r="BW753" s="45"/>
      <c r="BX753" s="45"/>
      <c r="BY753" s="45"/>
      <c r="BZ753" s="45"/>
      <c r="CA753" s="45"/>
      <c r="CB753" s="45"/>
      <c r="CC753" s="45"/>
      <c r="CD753" s="463"/>
      <c r="CE753">
        <v>0</v>
      </c>
      <c r="CF753">
        <v>0</v>
      </c>
      <c r="CG753">
        <v>0</v>
      </c>
      <c r="CH753">
        <v>0</v>
      </c>
      <c r="CI753">
        <v>0</v>
      </c>
      <c r="CJ753">
        <v>0</v>
      </c>
      <c r="CK753">
        <v>0</v>
      </c>
      <c r="CL753">
        <v>0</v>
      </c>
      <c r="CM753">
        <v>0</v>
      </c>
      <c r="CN753">
        <v>0</v>
      </c>
      <c r="CO753">
        <v>0</v>
      </c>
      <c r="CP753">
        <v>0</v>
      </c>
      <c r="CQ753">
        <v>0</v>
      </c>
      <c r="CR753">
        <v>0</v>
      </c>
      <c r="CS753">
        <v>0</v>
      </c>
      <c r="CT753">
        <v>0</v>
      </c>
      <c r="CU753">
        <v>0</v>
      </c>
      <c r="CV753">
        <v>0</v>
      </c>
      <c r="CW753">
        <v>0</v>
      </c>
      <c r="CX753">
        <v>0</v>
      </c>
      <c r="CY753">
        <v>0</v>
      </c>
      <c r="CZ753">
        <v>0</v>
      </c>
      <c r="DA753">
        <v>0</v>
      </c>
      <c r="DB753">
        <v>0</v>
      </c>
      <c r="DC753">
        <v>0</v>
      </c>
      <c r="DD753">
        <v>0</v>
      </c>
      <c r="DE753">
        <v>0</v>
      </c>
      <c r="DF753">
        <v>0</v>
      </c>
      <c r="DG753">
        <v>0</v>
      </c>
      <c r="DH753">
        <v>0</v>
      </c>
      <c r="DI753">
        <v>0</v>
      </c>
      <c r="DJ753">
        <v>0</v>
      </c>
      <c r="DK753">
        <v>0</v>
      </c>
      <c r="DL753">
        <v>0</v>
      </c>
      <c r="DM753">
        <v>0</v>
      </c>
      <c r="DN753">
        <v>0</v>
      </c>
      <c r="DO753">
        <v>0</v>
      </c>
      <c r="DP753">
        <v>0</v>
      </c>
      <c r="DQ753">
        <v>0</v>
      </c>
      <c r="DR753">
        <v>0</v>
      </c>
      <c r="DS753">
        <v>0</v>
      </c>
      <c r="DT753">
        <v>0</v>
      </c>
      <c r="DU753">
        <v>0</v>
      </c>
    </row>
    <row r="754" spans="2:125">
      <c r="B754" s="136">
        <v>745</v>
      </c>
      <c r="C754" s="138">
        <v>1</v>
      </c>
      <c r="D754" s="474">
        <v>3240.4127109400315</v>
      </c>
      <c r="E754" s="127">
        <v>266.60433659448961</v>
      </c>
      <c r="F754" s="447">
        <v>0.4106962023128321</v>
      </c>
      <c r="G754" s="127">
        <v>109.87739992816782</v>
      </c>
      <c r="H754" s="132">
        <v>55.579589607953878</v>
      </c>
      <c r="I754" s="456"/>
      <c r="J754" s="45"/>
      <c r="K754" s="45">
        <v>460</v>
      </c>
      <c r="L754" s="463"/>
      <c r="M754" s="456">
        <v>32.401565551757812</v>
      </c>
      <c r="N754" s="457"/>
      <c r="O754" s="456"/>
      <c r="P754" s="46"/>
      <c r="Q754" s="463">
        <v>64.160179138183594</v>
      </c>
      <c r="R754" s="449"/>
      <c r="S754" s="463"/>
      <c r="T754" s="480"/>
      <c r="U754" s="468"/>
      <c r="V754" s="449"/>
      <c r="W754" s="45">
        <v>1398.5926513671875</v>
      </c>
      <c r="X754" s="463">
        <v>118.71620941162109</v>
      </c>
      <c r="Y754" s="449"/>
      <c r="Z754" s="45"/>
      <c r="AA754" s="468">
        <v>0.40044629681958355</v>
      </c>
      <c r="AB754" s="456"/>
      <c r="AC754" s="46"/>
      <c r="AD754" s="46"/>
      <c r="AE754" s="46"/>
      <c r="AF754" s="46"/>
      <c r="AG754" s="46"/>
      <c r="AH754" s="46"/>
      <c r="AI754" s="457"/>
      <c r="AJ754" s="138"/>
      <c r="AK754" s="745"/>
      <c r="AL754" s="54"/>
      <c r="AM754" s="468"/>
      <c r="AN754" s="449"/>
      <c r="AO754" s="45"/>
      <c r="AP754" s="45"/>
      <c r="AQ754" s="45"/>
      <c r="AR754" s="45"/>
      <c r="AS754" s="45"/>
      <c r="AT754" s="45"/>
      <c r="AU754" s="463"/>
      <c r="AV754" s="449"/>
      <c r="AW754" s="45"/>
      <c r="AX754" s="45"/>
      <c r="AY754" s="45"/>
      <c r="AZ754" s="45"/>
      <c r="BA754" s="45"/>
      <c r="BB754" s="45"/>
      <c r="BC754" s="463"/>
      <c r="BD754" s="456"/>
      <c r="BE754" s="46"/>
      <c r="BF754" s="46"/>
      <c r="BG754" s="46"/>
      <c r="BH754" s="46"/>
      <c r="BI754" s="46"/>
      <c r="BJ754" s="457"/>
      <c r="BK754" s="449">
        <v>0</v>
      </c>
      <c r="BL754" s="45"/>
      <c r="BM754" s="45"/>
      <c r="BN754" s="45"/>
      <c r="BO754" s="45"/>
      <c r="BP754" s="45"/>
      <c r="BQ754" s="45"/>
      <c r="BR754" s="45"/>
      <c r="BS754" s="45"/>
      <c r="BT754" s="45"/>
      <c r="BU754" s="45"/>
      <c r="BV754" s="45"/>
      <c r="BW754" s="45"/>
      <c r="BX754" s="45"/>
      <c r="BY754" s="45"/>
      <c r="BZ754" s="45"/>
      <c r="CA754" s="45"/>
      <c r="CB754" s="45"/>
      <c r="CC754" s="45"/>
      <c r="CD754" s="463"/>
      <c r="CE754">
        <v>0</v>
      </c>
      <c r="CF754">
        <v>0</v>
      </c>
      <c r="CG754">
        <v>0</v>
      </c>
      <c r="CH754">
        <v>0</v>
      </c>
      <c r="CI754">
        <v>0</v>
      </c>
      <c r="CJ754">
        <v>0</v>
      </c>
      <c r="CK754">
        <v>0</v>
      </c>
      <c r="CL754">
        <v>0</v>
      </c>
      <c r="CM754">
        <v>0</v>
      </c>
      <c r="CN754">
        <v>0</v>
      </c>
      <c r="CO754">
        <v>0</v>
      </c>
      <c r="CP754">
        <v>0</v>
      </c>
      <c r="CQ754">
        <v>0</v>
      </c>
      <c r="CR754">
        <v>0</v>
      </c>
      <c r="CS754">
        <v>0</v>
      </c>
      <c r="CT754">
        <v>0</v>
      </c>
      <c r="CU754">
        <v>0</v>
      </c>
      <c r="CV754">
        <v>0</v>
      </c>
      <c r="CW754">
        <v>0</v>
      </c>
      <c r="CX754">
        <v>0</v>
      </c>
      <c r="CY754">
        <v>0</v>
      </c>
      <c r="CZ754">
        <v>0</v>
      </c>
      <c r="DA754">
        <v>0</v>
      </c>
      <c r="DB754">
        <v>0</v>
      </c>
      <c r="DC754">
        <v>0</v>
      </c>
      <c r="DD754">
        <v>0</v>
      </c>
      <c r="DE754">
        <v>0</v>
      </c>
      <c r="DF754">
        <v>0</v>
      </c>
      <c r="DG754">
        <v>0</v>
      </c>
      <c r="DH754">
        <v>0</v>
      </c>
      <c r="DI754">
        <v>0</v>
      </c>
      <c r="DJ754">
        <v>0</v>
      </c>
      <c r="DK754">
        <v>0</v>
      </c>
      <c r="DL754">
        <v>0</v>
      </c>
      <c r="DM754">
        <v>0</v>
      </c>
      <c r="DN754">
        <v>0</v>
      </c>
      <c r="DO754">
        <v>0</v>
      </c>
      <c r="DP754">
        <v>0</v>
      </c>
      <c r="DQ754">
        <v>0</v>
      </c>
      <c r="DR754">
        <v>0</v>
      </c>
      <c r="DS754">
        <v>0</v>
      </c>
      <c r="DT754">
        <v>0</v>
      </c>
      <c r="DU754">
        <v>0</v>
      </c>
    </row>
    <row r="755" spans="2:125">
      <c r="B755" s="136">
        <v>746</v>
      </c>
      <c r="C755" s="138">
        <v>1</v>
      </c>
      <c r="D755" s="474">
        <v>2997.4511483876881</v>
      </c>
      <c r="E755" s="127">
        <v>274.69554391968069</v>
      </c>
      <c r="F755" s="447">
        <v>0.4380023737488638</v>
      </c>
      <c r="G755" s="127">
        <v>94.337788025045853</v>
      </c>
      <c r="H755" s="132">
        <v>55.289406732209159</v>
      </c>
      <c r="I755" s="456"/>
      <c r="J755" s="45"/>
      <c r="K755" s="45">
        <v>410</v>
      </c>
      <c r="L755" s="463"/>
      <c r="M755" s="456">
        <v>34.164310455322266</v>
      </c>
      <c r="N755" s="457"/>
      <c r="O755" s="456"/>
      <c r="P755" s="46"/>
      <c r="Q755" s="463">
        <v>59.349533081054688</v>
      </c>
      <c r="R755" s="449"/>
      <c r="S755" s="463"/>
      <c r="T755" s="480"/>
      <c r="U755" s="468"/>
      <c r="V755" s="449"/>
      <c r="W755" s="45">
        <v>1387.1517333984375</v>
      </c>
      <c r="X755" s="463">
        <v>117.67563629150391</v>
      </c>
      <c r="Y755" s="449"/>
      <c r="Z755" s="45"/>
      <c r="AA755" s="468">
        <v>0.4267394554213586</v>
      </c>
      <c r="AB755" s="456"/>
      <c r="AC755" s="46"/>
      <c r="AD755" s="46"/>
      <c r="AE755" s="46"/>
      <c r="AF755" s="46"/>
      <c r="AG755" s="46"/>
      <c r="AH755" s="46"/>
      <c r="AI755" s="457"/>
      <c r="AJ755" s="138"/>
      <c r="AK755" s="745"/>
      <c r="AL755" s="54"/>
      <c r="AM755" s="468"/>
      <c r="AN755" s="449"/>
      <c r="AO755" s="45"/>
      <c r="AP755" s="45"/>
      <c r="AQ755" s="45"/>
      <c r="AR755" s="45"/>
      <c r="AS755" s="45"/>
      <c r="AT755" s="45"/>
      <c r="AU755" s="463"/>
      <c r="AV755" s="449"/>
      <c r="AW755" s="45"/>
      <c r="AX755" s="45"/>
      <c r="AY755" s="45"/>
      <c r="AZ755" s="45"/>
      <c r="BA755" s="45"/>
      <c r="BB755" s="45"/>
      <c r="BC755" s="463"/>
      <c r="BD755" s="456"/>
      <c r="BE755" s="46"/>
      <c r="BF755" s="46"/>
      <c r="BG755" s="46"/>
      <c r="BH755" s="46"/>
      <c r="BI755" s="46"/>
      <c r="BJ755" s="457"/>
      <c r="BK755" s="449">
        <v>0</v>
      </c>
      <c r="BL755" s="45"/>
      <c r="BM755" s="45"/>
      <c r="BN755" s="45"/>
      <c r="BO755" s="45"/>
      <c r="BP755" s="45"/>
      <c r="BQ755" s="45"/>
      <c r="BR755" s="45"/>
      <c r="BS755" s="45"/>
      <c r="BT755" s="45"/>
      <c r="BU755" s="45"/>
      <c r="BV755" s="45"/>
      <c r="BW755" s="45"/>
      <c r="BX755" s="45"/>
      <c r="BY755" s="45"/>
      <c r="BZ755" s="45"/>
      <c r="CA755" s="45"/>
      <c r="CB755" s="45"/>
      <c r="CC755" s="45"/>
      <c r="CD755" s="463"/>
      <c r="CE755">
        <v>0</v>
      </c>
      <c r="CF755">
        <v>0</v>
      </c>
      <c r="CG755">
        <v>0</v>
      </c>
      <c r="CH755">
        <v>0</v>
      </c>
      <c r="CI755">
        <v>0</v>
      </c>
      <c r="CJ755">
        <v>0</v>
      </c>
      <c r="CK755">
        <v>0</v>
      </c>
      <c r="CL755">
        <v>0</v>
      </c>
      <c r="CM755">
        <v>0</v>
      </c>
      <c r="CN755">
        <v>0</v>
      </c>
      <c r="CO755">
        <v>0</v>
      </c>
      <c r="CP755">
        <v>0</v>
      </c>
      <c r="CQ755">
        <v>0</v>
      </c>
      <c r="CR755">
        <v>0</v>
      </c>
      <c r="CS755">
        <v>0</v>
      </c>
      <c r="CT755">
        <v>0</v>
      </c>
      <c r="CU755">
        <v>0</v>
      </c>
      <c r="CV755">
        <v>0</v>
      </c>
      <c r="CW755">
        <v>0</v>
      </c>
      <c r="CX755">
        <v>0</v>
      </c>
      <c r="CY755">
        <v>0</v>
      </c>
      <c r="CZ755">
        <v>0</v>
      </c>
      <c r="DA755">
        <v>0</v>
      </c>
      <c r="DB755">
        <v>0</v>
      </c>
      <c r="DC755">
        <v>0</v>
      </c>
      <c r="DD755">
        <v>0</v>
      </c>
      <c r="DE755">
        <v>0</v>
      </c>
      <c r="DF755">
        <v>0</v>
      </c>
      <c r="DG755">
        <v>0</v>
      </c>
      <c r="DH755">
        <v>0</v>
      </c>
      <c r="DI755">
        <v>0</v>
      </c>
      <c r="DJ755">
        <v>0</v>
      </c>
      <c r="DK755">
        <v>0</v>
      </c>
      <c r="DL755">
        <v>0</v>
      </c>
      <c r="DM755">
        <v>0</v>
      </c>
      <c r="DN755">
        <v>0</v>
      </c>
      <c r="DO755">
        <v>0</v>
      </c>
      <c r="DP755">
        <v>0</v>
      </c>
      <c r="DQ755">
        <v>0</v>
      </c>
      <c r="DR755">
        <v>0</v>
      </c>
      <c r="DS755">
        <v>0</v>
      </c>
      <c r="DT755">
        <v>0</v>
      </c>
      <c r="DU755">
        <v>0</v>
      </c>
    </row>
    <row r="756" spans="2:125">
      <c r="B756" s="136">
        <v>747</v>
      </c>
      <c r="C756" s="138">
        <v>1</v>
      </c>
      <c r="D756" s="474">
        <v>3245.3838583045817</v>
      </c>
      <c r="E756" s="127">
        <v>300.87240123984361</v>
      </c>
      <c r="F756" s="447">
        <v>0.38132557210002527</v>
      </c>
      <c r="G756" s="127">
        <v>109.07709220941558</v>
      </c>
      <c r="H756" s="132">
        <v>55.87694034928694</v>
      </c>
      <c r="I756" s="456"/>
      <c r="J756" s="45"/>
      <c r="K756" s="45">
        <v>450</v>
      </c>
      <c r="L756" s="463"/>
      <c r="M756" s="456">
        <v>28.868982315063477</v>
      </c>
      <c r="N756" s="457"/>
      <c r="O756" s="456"/>
      <c r="P756" s="46"/>
      <c r="Q756" s="463">
        <v>64.25860595703125</v>
      </c>
      <c r="R756" s="449"/>
      <c r="S756" s="463"/>
      <c r="T756" s="480"/>
      <c r="U756" s="468"/>
      <c r="V756" s="449"/>
      <c r="W756" s="45">
        <v>1258.3170166015625</v>
      </c>
      <c r="X756" s="463">
        <v>108.48217010498047</v>
      </c>
      <c r="Y756" s="449"/>
      <c r="Z756" s="45"/>
      <c r="AA756" s="468">
        <v>0.37127236641881972</v>
      </c>
      <c r="AB756" s="456"/>
      <c r="AC756" s="46"/>
      <c r="AD756" s="46"/>
      <c r="AE756" s="46"/>
      <c r="AF756" s="46"/>
      <c r="AG756" s="46"/>
      <c r="AH756" s="46"/>
      <c r="AI756" s="457"/>
      <c r="AJ756" s="138"/>
      <c r="AK756" s="745"/>
      <c r="AL756" s="54"/>
      <c r="AM756" s="468"/>
      <c r="AN756" s="449"/>
      <c r="AO756" s="45"/>
      <c r="AP756" s="45"/>
      <c r="AQ756" s="45"/>
      <c r="AR756" s="45"/>
      <c r="AS756" s="45"/>
      <c r="AT756" s="45"/>
      <c r="AU756" s="463"/>
      <c r="AV756" s="449"/>
      <c r="AW756" s="45"/>
      <c r="AX756" s="45"/>
      <c r="AY756" s="45"/>
      <c r="AZ756" s="45"/>
      <c r="BA756" s="45"/>
      <c r="BB756" s="45"/>
      <c r="BC756" s="463"/>
      <c r="BD756" s="456"/>
      <c r="BE756" s="46"/>
      <c r="BF756" s="46"/>
      <c r="BG756" s="46"/>
      <c r="BH756" s="46"/>
      <c r="BI756" s="46"/>
      <c r="BJ756" s="457"/>
      <c r="BK756" s="449">
        <v>0</v>
      </c>
      <c r="BL756" s="45"/>
      <c r="BM756" s="45"/>
      <c r="BN756" s="45"/>
      <c r="BO756" s="45"/>
      <c r="BP756" s="45"/>
      <c r="BQ756" s="45"/>
      <c r="BR756" s="45"/>
      <c r="BS756" s="45"/>
      <c r="BT756" s="45"/>
      <c r="BU756" s="45"/>
      <c r="BV756" s="45"/>
      <c r="BW756" s="45"/>
      <c r="BX756" s="45"/>
      <c r="BY756" s="45"/>
      <c r="BZ756" s="45"/>
      <c r="CA756" s="45"/>
      <c r="CB756" s="45"/>
      <c r="CC756" s="45"/>
      <c r="CD756" s="463"/>
      <c r="CE756">
        <v>0</v>
      </c>
      <c r="CF756">
        <v>0</v>
      </c>
      <c r="CG756">
        <v>0</v>
      </c>
      <c r="CH756">
        <v>0</v>
      </c>
      <c r="CI756">
        <v>0</v>
      </c>
      <c r="CJ756">
        <v>0</v>
      </c>
      <c r="CK756">
        <v>0</v>
      </c>
      <c r="CL756">
        <v>0</v>
      </c>
      <c r="CM756">
        <v>0</v>
      </c>
      <c r="CN756">
        <v>0</v>
      </c>
      <c r="CO756">
        <v>0</v>
      </c>
      <c r="CP756">
        <v>0</v>
      </c>
      <c r="CQ756">
        <v>0</v>
      </c>
      <c r="CR756">
        <v>0</v>
      </c>
      <c r="CS756">
        <v>0</v>
      </c>
      <c r="CT756">
        <v>0</v>
      </c>
      <c r="CU756">
        <v>0</v>
      </c>
      <c r="CV756">
        <v>0</v>
      </c>
      <c r="CW756">
        <v>0</v>
      </c>
      <c r="CX756">
        <v>0</v>
      </c>
      <c r="CY756">
        <v>0</v>
      </c>
      <c r="CZ756">
        <v>0</v>
      </c>
      <c r="DA756">
        <v>0</v>
      </c>
      <c r="DB756">
        <v>0</v>
      </c>
      <c r="DC756">
        <v>0</v>
      </c>
      <c r="DD756">
        <v>0</v>
      </c>
      <c r="DE756">
        <v>0</v>
      </c>
      <c r="DF756">
        <v>0</v>
      </c>
      <c r="DG756">
        <v>0</v>
      </c>
      <c r="DH756">
        <v>0</v>
      </c>
      <c r="DI756">
        <v>0</v>
      </c>
      <c r="DJ756">
        <v>0</v>
      </c>
      <c r="DK756">
        <v>0</v>
      </c>
      <c r="DL756">
        <v>0</v>
      </c>
      <c r="DM756">
        <v>0</v>
      </c>
      <c r="DN756">
        <v>0</v>
      </c>
      <c r="DO756">
        <v>0</v>
      </c>
      <c r="DP756">
        <v>0</v>
      </c>
      <c r="DQ756">
        <v>0</v>
      </c>
      <c r="DR756">
        <v>0</v>
      </c>
      <c r="DS756">
        <v>0</v>
      </c>
      <c r="DT756">
        <v>0</v>
      </c>
      <c r="DU756">
        <v>0</v>
      </c>
    </row>
    <row r="757" spans="2:125">
      <c r="B757" s="136">
        <v>748</v>
      </c>
      <c r="C757" s="138">
        <v>1</v>
      </c>
      <c r="D757" s="474">
        <v>3548.9306726972409</v>
      </c>
      <c r="E757" s="127">
        <v>247.31615319550838</v>
      </c>
      <c r="F757" s="447">
        <v>0.41098262336572106</v>
      </c>
      <c r="G757" s="127">
        <v>118.58269828273019</v>
      </c>
      <c r="H757" s="132">
        <v>58.661744673149194</v>
      </c>
      <c r="I757" s="456"/>
      <c r="J757" s="45"/>
      <c r="K757" s="45">
        <v>500</v>
      </c>
      <c r="L757" s="463"/>
      <c r="M757" s="456">
        <v>32.811725616455078</v>
      </c>
      <c r="N757" s="457"/>
      <c r="O757" s="456"/>
      <c r="P757" s="46"/>
      <c r="Q757" s="463">
        <v>70.268829345703125</v>
      </c>
      <c r="R757" s="449"/>
      <c r="S757" s="463"/>
      <c r="T757" s="480"/>
      <c r="U757" s="468"/>
      <c r="V757" s="449"/>
      <c r="W757" s="45">
        <v>1499.206298828125</v>
      </c>
      <c r="X757" s="463">
        <v>126.19306182861328</v>
      </c>
      <c r="Y757" s="449"/>
      <c r="Z757" s="45"/>
      <c r="AA757" s="468">
        <v>0.40162215523291667</v>
      </c>
      <c r="AB757" s="456"/>
      <c r="AC757" s="46"/>
      <c r="AD757" s="46"/>
      <c r="AE757" s="46"/>
      <c r="AF757" s="46"/>
      <c r="AG757" s="46"/>
      <c r="AH757" s="46"/>
      <c r="AI757" s="457"/>
      <c r="AJ757" s="138"/>
      <c r="AK757" s="745"/>
      <c r="AL757" s="54"/>
      <c r="AM757" s="468"/>
      <c r="AN757" s="449"/>
      <c r="AO757" s="45"/>
      <c r="AP757" s="45"/>
      <c r="AQ757" s="45"/>
      <c r="AR757" s="45"/>
      <c r="AS757" s="45"/>
      <c r="AT757" s="45"/>
      <c r="AU757" s="463"/>
      <c r="AV757" s="449"/>
      <c r="AW757" s="45"/>
      <c r="AX757" s="45"/>
      <c r="AY757" s="45"/>
      <c r="AZ757" s="45"/>
      <c r="BA757" s="45"/>
      <c r="BB757" s="45"/>
      <c r="BC757" s="463"/>
      <c r="BD757" s="456"/>
      <c r="BE757" s="46"/>
      <c r="BF757" s="46"/>
      <c r="BG757" s="46"/>
      <c r="BH757" s="46"/>
      <c r="BI757" s="46"/>
      <c r="BJ757" s="457"/>
      <c r="BK757" s="449">
        <v>0</v>
      </c>
      <c r="BL757" s="45"/>
      <c r="BM757" s="45"/>
      <c r="BN757" s="45"/>
      <c r="BO757" s="45"/>
      <c r="BP757" s="45"/>
      <c r="BQ757" s="45"/>
      <c r="BR757" s="45"/>
      <c r="BS757" s="45"/>
      <c r="BT757" s="45"/>
      <c r="BU757" s="45"/>
      <c r="BV757" s="45"/>
      <c r="BW757" s="45"/>
      <c r="BX757" s="45"/>
      <c r="BY757" s="45"/>
      <c r="BZ757" s="45"/>
      <c r="CA757" s="45"/>
      <c r="CB757" s="45"/>
      <c r="CC757" s="45"/>
      <c r="CD757" s="463"/>
      <c r="CE757">
        <v>0</v>
      </c>
      <c r="CF757">
        <v>0</v>
      </c>
      <c r="CG757">
        <v>0</v>
      </c>
      <c r="CH757">
        <v>0</v>
      </c>
      <c r="CI757">
        <v>0</v>
      </c>
      <c r="CJ757">
        <v>0</v>
      </c>
      <c r="CK757">
        <v>0</v>
      </c>
      <c r="CL757">
        <v>0</v>
      </c>
      <c r="CM757">
        <v>0</v>
      </c>
      <c r="CN757">
        <v>0</v>
      </c>
      <c r="CO757">
        <v>0</v>
      </c>
      <c r="CP757">
        <v>0</v>
      </c>
      <c r="CQ757">
        <v>0</v>
      </c>
      <c r="CR757">
        <v>0</v>
      </c>
      <c r="CS757">
        <v>0</v>
      </c>
      <c r="CT757">
        <v>0</v>
      </c>
      <c r="CU757">
        <v>0</v>
      </c>
      <c r="CV757">
        <v>0</v>
      </c>
      <c r="CW757">
        <v>0</v>
      </c>
      <c r="CX757">
        <v>0</v>
      </c>
      <c r="CY757">
        <v>0</v>
      </c>
      <c r="CZ757">
        <v>0</v>
      </c>
      <c r="DA757">
        <v>0</v>
      </c>
      <c r="DB757">
        <v>0</v>
      </c>
      <c r="DC757">
        <v>0</v>
      </c>
      <c r="DD757">
        <v>0</v>
      </c>
      <c r="DE757">
        <v>0</v>
      </c>
      <c r="DF757">
        <v>0</v>
      </c>
      <c r="DG757">
        <v>0</v>
      </c>
      <c r="DH757">
        <v>0</v>
      </c>
      <c r="DI757">
        <v>0</v>
      </c>
      <c r="DJ757">
        <v>0</v>
      </c>
      <c r="DK757">
        <v>0</v>
      </c>
      <c r="DL757">
        <v>0</v>
      </c>
      <c r="DM757">
        <v>0</v>
      </c>
      <c r="DN757">
        <v>0</v>
      </c>
      <c r="DO757">
        <v>0</v>
      </c>
      <c r="DP757">
        <v>0</v>
      </c>
      <c r="DQ757">
        <v>0</v>
      </c>
      <c r="DR757">
        <v>0</v>
      </c>
      <c r="DS757">
        <v>0</v>
      </c>
      <c r="DT757">
        <v>0</v>
      </c>
      <c r="DU757">
        <v>0</v>
      </c>
    </row>
    <row r="758" spans="2:125">
      <c r="B758" s="136">
        <v>749</v>
      </c>
      <c r="C758" s="138">
        <v>1</v>
      </c>
      <c r="D758" s="474">
        <v>3604.9696922753883</v>
      </c>
      <c r="E758" s="127">
        <v>266.97626791870317</v>
      </c>
      <c r="F758" s="447">
        <v>0.35284225734771751</v>
      </c>
      <c r="G758" s="127">
        <v>125.50170550313732</v>
      </c>
      <c r="H758" s="132">
        <v>57.927908971675627</v>
      </c>
      <c r="I758" s="456"/>
      <c r="J758" s="45"/>
      <c r="K758" s="45">
        <v>510</v>
      </c>
      <c r="L758" s="463"/>
      <c r="M758" s="456">
        <v>27.278127670288086</v>
      </c>
      <c r="N758" s="457"/>
      <c r="O758" s="456"/>
      <c r="P758" s="46"/>
      <c r="Q758" s="463">
        <v>71.378410339355469</v>
      </c>
      <c r="R758" s="449"/>
      <c r="S758" s="463"/>
      <c r="T758" s="480"/>
      <c r="U758" s="468"/>
      <c r="V758" s="449"/>
      <c r="W758" s="45">
        <v>1289.3966064453125</v>
      </c>
      <c r="X758" s="463">
        <v>110.98590087890625</v>
      </c>
      <c r="Y758" s="449"/>
      <c r="Z758" s="45"/>
      <c r="AA758" s="468">
        <v>0.34394985383718463</v>
      </c>
      <c r="AB758" s="456"/>
      <c r="AC758" s="46"/>
      <c r="AD758" s="46"/>
      <c r="AE758" s="46"/>
      <c r="AF758" s="46"/>
      <c r="AG758" s="46"/>
      <c r="AH758" s="46"/>
      <c r="AI758" s="457"/>
      <c r="AJ758" s="138"/>
      <c r="AK758" s="745"/>
      <c r="AL758" s="54"/>
      <c r="AM758" s="468"/>
      <c r="AN758" s="449"/>
      <c r="AO758" s="45"/>
      <c r="AP758" s="45"/>
      <c r="AQ758" s="45"/>
      <c r="AR758" s="45"/>
      <c r="AS758" s="45"/>
      <c r="AT758" s="45"/>
      <c r="AU758" s="463"/>
      <c r="AV758" s="449"/>
      <c r="AW758" s="45"/>
      <c r="AX758" s="45"/>
      <c r="AY758" s="45"/>
      <c r="AZ758" s="45"/>
      <c r="BA758" s="45"/>
      <c r="BB758" s="45"/>
      <c r="BC758" s="463"/>
      <c r="BD758" s="456"/>
      <c r="BE758" s="46"/>
      <c r="BF758" s="46"/>
      <c r="BG758" s="46"/>
      <c r="BH758" s="46"/>
      <c r="BI758" s="46"/>
      <c r="BJ758" s="457"/>
      <c r="BK758" s="449">
        <v>0</v>
      </c>
      <c r="BL758" s="45"/>
      <c r="BM758" s="45"/>
      <c r="BN758" s="45"/>
      <c r="BO758" s="45"/>
      <c r="BP758" s="45"/>
      <c r="BQ758" s="45"/>
      <c r="BR758" s="45"/>
      <c r="BS758" s="45"/>
      <c r="BT758" s="45"/>
      <c r="BU758" s="45"/>
      <c r="BV758" s="45"/>
      <c r="BW758" s="45"/>
      <c r="BX758" s="45"/>
      <c r="BY758" s="45"/>
      <c r="BZ758" s="45"/>
      <c r="CA758" s="45"/>
      <c r="CB758" s="45"/>
      <c r="CC758" s="45"/>
      <c r="CD758" s="463"/>
      <c r="CE758">
        <v>0</v>
      </c>
      <c r="CF758">
        <v>0</v>
      </c>
      <c r="CG758">
        <v>0</v>
      </c>
      <c r="CH758">
        <v>0</v>
      </c>
      <c r="CI758">
        <v>0</v>
      </c>
      <c r="CJ758">
        <v>0</v>
      </c>
      <c r="CK758">
        <v>0</v>
      </c>
      <c r="CL758">
        <v>0</v>
      </c>
      <c r="CM758">
        <v>0</v>
      </c>
      <c r="CN758">
        <v>0</v>
      </c>
      <c r="CO758">
        <v>0</v>
      </c>
      <c r="CP758">
        <v>0</v>
      </c>
      <c r="CQ758">
        <v>0</v>
      </c>
      <c r="CR758">
        <v>0</v>
      </c>
      <c r="CS758">
        <v>0</v>
      </c>
      <c r="CT758">
        <v>0</v>
      </c>
      <c r="CU758">
        <v>0</v>
      </c>
      <c r="CV758">
        <v>0</v>
      </c>
      <c r="CW758">
        <v>0</v>
      </c>
      <c r="CX758">
        <v>0</v>
      </c>
      <c r="CY758">
        <v>0</v>
      </c>
      <c r="CZ758">
        <v>0</v>
      </c>
      <c r="DA758">
        <v>0</v>
      </c>
      <c r="DB758">
        <v>0</v>
      </c>
      <c r="DC758">
        <v>0</v>
      </c>
      <c r="DD758">
        <v>0</v>
      </c>
      <c r="DE758">
        <v>0</v>
      </c>
      <c r="DF758">
        <v>0</v>
      </c>
      <c r="DG758">
        <v>0</v>
      </c>
      <c r="DH758">
        <v>0</v>
      </c>
      <c r="DI758">
        <v>0</v>
      </c>
      <c r="DJ758">
        <v>0</v>
      </c>
      <c r="DK758">
        <v>0</v>
      </c>
      <c r="DL758">
        <v>0</v>
      </c>
      <c r="DM758">
        <v>0</v>
      </c>
      <c r="DN758">
        <v>0</v>
      </c>
      <c r="DO758">
        <v>0</v>
      </c>
      <c r="DP758">
        <v>0</v>
      </c>
      <c r="DQ758">
        <v>0</v>
      </c>
      <c r="DR758">
        <v>0</v>
      </c>
      <c r="DS758">
        <v>0</v>
      </c>
      <c r="DT758">
        <v>0</v>
      </c>
      <c r="DU758">
        <v>0</v>
      </c>
    </row>
    <row r="759" spans="2:125">
      <c r="B759" s="136">
        <v>750</v>
      </c>
      <c r="C759" s="138">
        <v>1</v>
      </c>
      <c r="D759" s="474">
        <v>3051.9741098818549</v>
      </c>
      <c r="E759" s="127">
        <v>228.62860194907904</v>
      </c>
      <c r="F759" s="447">
        <v>0.43223293154291836</v>
      </c>
      <c r="G759" s="127">
        <v>116.247758982731</v>
      </c>
      <c r="H759" s="132">
        <v>49.983512610801142</v>
      </c>
      <c r="I759" s="456"/>
      <c r="J759" s="45"/>
      <c r="K759" s="45">
        <v>460</v>
      </c>
      <c r="L759" s="463"/>
      <c r="M759" s="456">
        <v>36.973915100097656</v>
      </c>
      <c r="N759" s="457"/>
      <c r="O759" s="456"/>
      <c r="P759" s="46"/>
      <c r="Q759" s="463">
        <v>60.429088592529297</v>
      </c>
      <c r="R759" s="449"/>
      <c r="S759" s="463"/>
      <c r="T759" s="480"/>
      <c r="U759" s="468"/>
      <c r="V759" s="449"/>
      <c r="W759" s="45">
        <v>1525.7857666015625</v>
      </c>
      <c r="X759" s="463">
        <v>127.98268127441406</v>
      </c>
      <c r="Y759" s="449"/>
      <c r="Z759" s="45"/>
      <c r="AA759" s="468">
        <v>0.42120903113631863</v>
      </c>
      <c r="AB759" s="456"/>
      <c r="AC759" s="46"/>
      <c r="AD759" s="46"/>
      <c r="AE759" s="46"/>
      <c r="AF759" s="46"/>
      <c r="AG759" s="46"/>
      <c r="AH759" s="46"/>
      <c r="AI759" s="457"/>
      <c r="AJ759" s="138"/>
      <c r="AK759" s="745"/>
      <c r="AL759" s="54"/>
      <c r="AM759" s="468"/>
      <c r="AN759" s="449"/>
      <c r="AO759" s="45"/>
      <c r="AP759" s="45"/>
      <c r="AQ759" s="45"/>
      <c r="AR759" s="45"/>
      <c r="AS759" s="45"/>
      <c r="AT759" s="45"/>
      <c r="AU759" s="463"/>
      <c r="AV759" s="449"/>
      <c r="AW759" s="45"/>
      <c r="AX759" s="45"/>
      <c r="AY759" s="45"/>
      <c r="AZ759" s="45"/>
      <c r="BA759" s="45"/>
      <c r="BB759" s="45"/>
      <c r="BC759" s="463"/>
      <c r="BD759" s="456"/>
      <c r="BE759" s="46"/>
      <c r="BF759" s="46"/>
      <c r="BG759" s="46"/>
      <c r="BH759" s="46"/>
      <c r="BI759" s="46"/>
      <c r="BJ759" s="457"/>
      <c r="BK759" s="449">
        <v>0</v>
      </c>
      <c r="BL759" s="45"/>
      <c r="BM759" s="45"/>
      <c r="BN759" s="45"/>
      <c r="BO759" s="45"/>
      <c r="BP759" s="45"/>
      <c r="BQ759" s="45"/>
      <c r="BR759" s="45"/>
      <c r="BS759" s="45"/>
      <c r="BT759" s="45"/>
      <c r="BU759" s="45"/>
      <c r="BV759" s="45"/>
      <c r="BW759" s="45"/>
      <c r="BX759" s="45"/>
      <c r="BY759" s="45"/>
      <c r="BZ759" s="45"/>
      <c r="CA759" s="45"/>
      <c r="CB759" s="45"/>
      <c r="CC759" s="45"/>
      <c r="CD759" s="463"/>
      <c r="CE759">
        <v>0</v>
      </c>
      <c r="CF759">
        <v>0</v>
      </c>
      <c r="CG759">
        <v>0</v>
      </c>
      <c r="CH759">
        <v>0</v>
      </c>
      <c r="CI759">
        <v>0</v>
      </c>
      <c r="CJ759">
        <v>0</v>
      </c>
      <c r="CK759">
        <v>0</v>
      </c>
      <c r="CL759">
        <v>0</v>
      </c>
      <c r="CM759">
        <v>0</v>
      </c>
      <c r="CN759">
        <v>0</v>
      </c>
      <c r="CO759">
        <v>0</v>
      </c>
      <c r="CP759">
        <v>0</v>
      </c>
      <c r="CQ759">
        <v>0</v>
      </c>
      <c r="CR759">
        <v>0</v>
      </c>
      <c r="CS759">
        <v>0</v>
      </c>
      <c r="CT759">
        <v>0</v>
      </c>
      <c r="CU759">
        <v>0</v>
      </c>
      <c r="CV759">
        <v>0</v>
      </c>
      <c r="CW759">
        <v>0</v>
      </c>
      <c r="CX759">
        <v>0</v>
      </c>
      <c r="CY759">
        <v>0</v>
      </c>
      <c r="CZ759">
        <v>0</v>
      </c>
      <c r="DA759">
        <v>0</v>
      </c>
      <c r="DB759">
        <v>0</v>
      </c>
      <c r="DC759">
        <v>0</v>
      </c>
      <c r="DD759">
        <v>0</v>
      </c>
      <c r="DE759">
        <v>0</v>
      </c>
      <c r="DF759">
        <v>0</v>
      </c>
      <c r="DG759">
        <v>0</v>
      </c>
      <c r="DH759">
        <v>0</v>
      </c>
      <c r="DI759">
        <v>0</v>
      </c>
      <c r="DJ759">
        <v>0</v>
      </c>
      <c r="DK759">
        <v>0</v>
      </c>
      <c r="DL759">
        <v>0</v>
      </c>
      <c r="DM759">
        <v>0</v>
      </c>
      <c r="DN759">
        <v>0</v>
      </c>
      <c r="DO759">
        <v>0</v>
      </c>
      <c r="DP759">
        <v>0</v>
      </c>
      <c r="DQ759">
        <v>0</v>
      </c>
      <c r="DR759">
        <v>0</v>
      </c>
      <c r="DS759">
        <v>0</v>
      </c>
      <c r="DT759">
        <v>0</v>
      </c>
      <c r="DU759">
        <v>0</v>
      </c>
    </row>
    <row r="760" spans="2:125">
      <c r="B760" s="136">
        <v>751</v>
      </c>
      <c r="C760" s="138">
        <v>1</v>
      </c>
      <c r="D760" s="474">
        <v>3174.7649959001274</v>
      </c>
      <c r="E760" s="127">
        <v>218.94164519998583</v>
      </c>
      <c r="F760" s="447">
        <v>0.36791480830671225</v>
      </c>
      <c r="G760" s="127">
        <v>120.10912291988049</v>
      </c>
      <c r="H760" s="132">
        <v>51.415981810909891</v>
      </c>
      <c r="I760" s="456"/>
      <c r="J760" s="45"/>
      <c r="K760" s="45">
        <v>470</v>
      </c>
      <c r="L760" s="463"/>
      <c r="M760" s="456">
        <v>29.314552307128906</v>
      </c>
      <c r="N760" s="457"/>
      <c r="O760" s="456"/>
      <c r="P760" s="46"/>
      <c r="Q760" s="463">
        <v>62.860347747802734</v>
      </c>
      <c r="R760" s="449"/>
      <c r="S760" s="463"/>
      <c r="T760" s="480"/>
      <c r="U760" s="468"/>
      <c r="V760" s="449"/>
      <c r="W760" s="45">
        <v>1261.161865234375</v>
      </c>
      <c r="X760" s="463">
        <v>108.77346801757812</v>
      </c>
      <c r="Y760" s="449"/>
      <c r="Z760" s="45"/>
      <c r="AA760" s="468">
        <v>0.35772246455593959</v>
      </c>
      <c r="AB760" s="456"/>
      <c r="AC760" s="46"/>
      <c r="AD760" s="46"/>
      <c r="AE760" s="46"/>
      <c r="AF760" s="46"/>
      <c r="AG760" s="46"/>
      <c r="AH760" s="46"/>
      <c r="AI760" s="457"/>
      <c r="AJ760" s="138"/>
      <c r="AK760" s="745"/>
      <c r="AL760" s="54"/>
      <c r="AM760" s="468"/>
      <c r="AN760" s="449"/>
      <c r="AO760" s="45"/>
      <c r="AP760" s="45"/>
      <c r="AQ760" s="45"/>
      <c r="AR760" s="45"/>
      <c r="AS760" s="45"/>
      <c r="AT760" s="45"/>
      <c r="AU760" s="463"/>
      <c r="AV760" s="449"/>
      <c r="AW760" s="45"/>
      <c r="AX760" s="45"/>
      <c r="AY760" s="45"/>
      <c r="AZ760" s="45"/>
      <c r="BA760" s="45"/>
      <c r="BB760" s="45"/>
      <c r="BC760" s="463"/>
      <c r="BD760" s="456"/>
      <c r="BE760" s="46"/>
      <c r="BF760" s="46"/>
      <c r="BG760" s="46"/>
      <c r="BH760" s="46"/>
      <c r="BI760" s="46"/>
      <c r="BJ760" s="457"/>
      <c r="BK760" s="449">
        <v>0</v>
      </c>
      <c r="BL760" s="45"/>
      <c r="BM760" s="45"/>
      <c r="BN760" s="45"/>
      <c r="BO760" s="45"/>
      <c r="BP760" s="45"/>
      <c r="BQ760" s="45"/>
      <c r="BR760" s="45"/>
      <c r="BS760" s="45"/>
      <c r="BT760" s="45"/>
      <c r="BU760" s="45"/>
      <c r="BV760" s="45"/>
      <c r="BW760" s="45"/>
      <c r="BX760" s="45"/>
      <c r="BY760" s="45"/>
      <c r="BZ760" s="45"/>
      <c r="CA760" s="45"/>
      <c r="CB760" s="45"/>
      <c r="CC760" s="45"/>
      <c r="CD760" s="463"/>
      <c r="CE760">
        <v>0</v>
      </c>
      <c r="CF760">
        <v>0</v>
      </c>
      <c r="CG760">
        <v>0</v>
      </c>
      <c r="CH760">
        <v>0</v>
      </c>
      <c r="CI760">
        <v>0</v>
      </c>
      <c r="CJ760">
        <v>0</v>
      </c>
      <c r="CK760">
        <v>0</v>
      </c>
      <c r="CL760">
        <v>0</v>
      </c>
      <c r="CM760">
        <v>0</v>
      </c>
      <c r="CN760">
        <v>0</v>
      </c>
      <c r="CO760">
        <v>0</v>
      </c>
      <c r="CP760">
        <v>0</v>
      </c>
      <c r="CQ760">
        <v>0</v>
      </c>
      <c r="CR760">
        <v>0</v>
      </c>
      <c r="CS760">
        <v>0</v>
      </c>
      <c r="CT760">
        <v>0</v>
      </c>
      <c r="CU760">
        <v>0</v>
      </c>
      <c r="CV760">
        <v>0</v>
      </c>
      <c r="CW760">
        <v>0</v>
      </c>
      <c r="CX760">
        <v>0</v>
      </c>
      <c r="CY760">
        <v>0</v>
      </c>
      <c r="CZ760">
        <v>0</v>
      </c>
      <c r="DA760">
        <v>0</v>
      </c>
      <c r="DB760">
        <v>0</v>
      </c>
      <c r="DC760">
        <v>0</v>
      </c>
      <c r="DD760">
        <v>0</v>
      </c>
      <c r="DE760">
        <v>0</v>
      </c>
      <c r="DF760">
        <v>0</v>
      </c>
      <c r="DG760">
        <v>0</v>
      </c>
      <c r="DH760">
        <v>0</v>
      </c>
      <c r="DI760">
        <v>0</v>
      </c>
      <c r="DJ760">
        <v>0</v>
      </c>
      <c r="DK760">
        <v>0</v>
      </c>
      <c r="DL760">
        <v>0</v>
      </c>
      <c r="DM760">
        <v>0</v>
      </c>
      <c r="DN760">
        <v>0</v>
      </c>
      <c r="DO760">
        <v>0</v>
      </c>
      <c r="DP760">
        <v>0</v>
      </c>
      <c r="DQ760">
        <v>0</v>
      </c>
      <c r="DR760">
        <v>0</v>
      </c>
      <c r="DS760">
        <v>0</v>
      </c>
      <c r="DT760">
        <v>0</v>
      </c>
      <c r="DU760">
        <v>0</v>
      </c>
    </row>
    <row r="761" spans="2:125">
      <c r="B761" s="136">
        <v>752</v>
      </c>
      <c r="C761" s="138">
        <v>1</v>
      </c>
      <c r="D761" s="474">
        <v>3038.7189289170356</v>
      </c>
      <c r="E761" s="127">
        <v>279.53100577766213</v>
      </c>
      <c r="F761" s="447">
        <v>0.43912148086405095</v>
      </c>
      <c r="G761" s="127">
        <v>105.05688808883193</v>
      </c>
      <c r="H761" s="132">
        <v>53.115018248313397</v>
      </c>
      <c r="I761" s="456"/>
      <c r="J761" s="45"/>
      <c r="K761" s="45">
        <v>440</v>
      </c>
      <c r="L761" s="463"/>
      <c r="M761" s="456">
        <v>36.273147583007812</v>
      </c>
      <c r="N761" s="457"/>
      <c r="O761" s="456"/>
      <c r="P761" s="46"/>
      <c r="Q761" s="463">
        <v>60.166637420654297</v>
      </c>
      <c r="R761" s="449"/>
      <c r="S761" s="463"/>
      <c r="T761" s="480"/>
      <c r="U761" s="468"/>
      <c r="V761" s="449"/>
      <c r="W761" s="45">
        <v>1486.9991455078125</v>
      </c>
      <c r="X761" s="463">
        <v>125.06148529052734</v>
      </c>
      <c r="Y761" s="449"/>
      <c r="Z761" s="45"/>
      <c r="AA761" s="468">
        <v>0.4280041546461501</v>
      </c>
      <c r="AB761" s="456"/>
      <c r="AC761" s="46"/>
      <c r="AD761" s="46"/>
      <c r="AE761" s="46"/>
      <c r="AF761" s="46"/>
      <c r="AG761" s="46"/>
      <c r="AH761" s="46"/>
      <c r="AI761" s="457"/>
      <c r="AJ761" s="138"/>
      <c r="AK761" s="745"/>
      <c r="AL761" s="54"/>
      <c r="AM761" s="468"/>
      <c r="AN761" s="449"/>
      <c r="AO761" s="45"/>
      <c r="AP761" s="45"/>
      <c r="AQ761" s="45"/>
      <c r="AR761" s="45"/>
      <c r="AS761" s="45"/>
      <c r="AT761" s="45"/>
      <c r="AU761" s="463"/>
      <c r="AV761" s="449"/>
      <c r="AW761" s="45"/>
      <c r="AX761" s="45"/>
      <c r="AY761" s="45"/>
      <c r="AZ761" s="45"/>
      <c r="BA761" s="45"/>
      <c r="BB761" s="45"/>
      <c r="BC761" s="463"/>
      <c r="BD761" s="456"/>
      <c r="BE761" s="46"/>
      <c r="BF761" s="46"/>
      <c r="BG761" s="46"/>
      <c r="BH761" s="46"/>
      <c r="BI761" s="46"/>
      <c r="BJ761" s="457"/>
      <c r="BK761" s="449">
        <v>0</v>
      </c>
      <c r="BL761" s="45"/>
      <c r="BM761" s="45"/>
      <c r="BN761" s="45"/>
      <c r="BO761" s="45"/>
      <c r="BP761" s="45"/>
      <c r="BQ761" s="45"/>
      <c r="BR761" s="45"/>
      <c r="BS761" s="45"/>
      <c r="BT761" s="45"/>
      <c r="BU761" s="45"/>
      <c r="BV761" s="45"/>
      <c r="BW761" s="45"/>
      <c r="BX761" s="45"/>
      <c r="BY761" s="45"/>
      <c r="BZ761" s="45"/>
      <c r="CA761" s="45"/>
      <c r="CB761" s="45"/>
      <c r="CC761" s="45"/>
      <c r="CD761" s="463"/>
      <c r="CE761">
        <v>0</v>
      </c>
      <c r="CF761">
        <v>0</v>
      </c>
      <c r="CG761">
        <v>0</v>
      </c>
      <c r="CH761">
        <v>0</v>
      </c>
      <c r="CI761">
        <v>0</v>
      </c>
      <c r="CJ761">
        <v>0</v>
      </c>
      <c r="CK761">
        <v>0</v>
      </c>
      <c r="CL761">
        <v>0</v>
      </c>
      <c r="CM761">
        <v>0</v>
      </c>
      <c r="CN761">
        <v>0</v>
      </c>
      <c r="CO761">
        <v>0</v>
      </c>
      <c r="CP761">
        <v>0</v>
      </c>
      <c r="CQ761">
        <v>0</v>
      </c>
      <c r="CR761">
        <v>0</v>
      </c>
      <c r="CS761">
        <v>0</v>
      </c>
      <c r="CT761">
        <v>0</v>
      </c>
      <c r="CU761">
        <v>0</v>
      </c>
      <c r="CV761">
        <v>0</v>
      </c>
      <c r="CW761">
        <v>0</v>
      </c>
      <c r="CX761">
        <v>0</v>
      </c>
      <c r="CY761">
        <v>0</v>
      </c>
      <c r="CZ761">
        <v>0</v>
      </c>
      <c r="DA761">
        <v>0</v>
      </c>
      <c r="DB761">
        <v>0</v>
      </c>
      <c r="DC761">
        <v>0</v>
      </c>
      <c r="DD761">
        <v>0</v>
      </c>
      <c r="DE761">
        <v>0</v>
      </c>
      <c r="DF761">
        <v>0</v>
      </c>
      <c r="DG761">
        <v>0</v>
      </c>
      <c r="DH761">
        <v>0</v>
      </c>
      <c r="DI761">
        <v>0</v>
      </c>
      <c r="DJ761">
        <v>0</v>
      </c>
      <c r="DK761">
        <v>0</v>
      </c>
      <c r="DL761">
        <v>0</v>
      </c>
      <c r="DM761">
        <v>0</v>
      </c>
      <c r="DN761">
        <v>0</v>
      </c>
      <c r="DO761">
        <v>0</v>
      </c>
      <c r="DP761">
        <v>0</v>
      </c>
      <c r="DQ761">
        <v>0</v>
      </c>
      <c r="DR761">
        <v>0</v>
      </c>
      <c r="DS761">
        <v>0</v>
      </c>
      <c r="DT761">
        <v>0</v>
      </c>
      <c r="DU761">
        <v>0</v>
      </c>
    </row>
    <row r="762" spans="2:125">
      <c r="B762" s="136">
        <v>753</v>
      </c>
      <c r="C762" s="138">
        <v>1</v>
      </c>
      <c r="D762" s="474">
        <v>3472.9650863221914</v>
      </c>
      <c r="E762" s="127">
        <v>254.85714398736837</v>
      </c>
      <c r="F762" s="447">
        <v>0.39798262043883931</v>
      </c>
      <c r="G762" s="127">
        <v>138.87423442595534</v>
      </c>
      <c r="H762" s="132">
        <v>51.919208450408668</v>
      </c>
      <c r="I762" s="456"/>
      <c r="J762" s="45"/>
      <c r="K762" s="45">
        <v>530</v>
      </c>
      <c r="L762" s="463"/>
      <c r="M762" s="456">
        <v>33.932865142822266</v>
      </c>
      <c r="N762" s="457"/>
      <c r="O762" s="456"/>
      <c r="P762" s="46"/>
      <c r="Q762" s="463">
        <v>68.764717102050781</v>
      </c>
      <c r="R762" s="449"/>
      <c r="S762" s="463"/>
      <c r="T762" s="480"/>
      <c r="U762" s="468"/>
      <c r="V762" s="449"/>
      <c r="W762" s="45">
        <v>1543.361572265625</v>
      </c>
      <c r="X762" s="463">
        <v>129.56385803222656</v>
      </c>
      <c r="Y762" s="449"/>
      <c r="Z762" s="45"/>
      <c r="AA762" s="468">
        <v>0.38849227095661043</v>
      </c>
      <c r="AB762" s="456"/>
      <c r="AC762" s="46"/>
      <c r="AD762" s="46"/>
      <c r="AE762" s="46"/>
      <c r="AF762" s="46"/>
      <c r="AG762" s="46"/>
      <c r="AH762" s="46"/>
      <c r="AI762" s="457"/>
      <c r="AJ762" s="138"/>
      <c r="AK762" s="745"/>
      <c r="AL762" s="54"/>
      <c r="AM762" s="468"/>
      <c r="AN762" s="449"/>
      <c r="AO762" s="45"/>
      <c r="AP762" s="45"/>
      <c r="AQ762" s="45"/>
      <c r="AR762" s="45"/>
      <c r="AS762" s="45"/>
      <c r="AT762" s="45"/>
      <c r="AU762" s="463"/>
      <c r="AV762" s="449"/>
      <c r="AW762" s="45"/>
      <c r="AX762" s="45"/>
      <c r="AY762" s="45"/>
      <c r="AZ762" s="45"/>
      <c r="BA762" s="45"/>
      <c r="BB762" s="45"/>
      <c r="BC762" s="463"/>
      <c r="BD762" s="456"/>
      <c r="BE762" s="46"/>
      <c r="BF762" s="46"/>
      <c r="BG762" s="46"/>
      <c r="BH762" s="46"/>
      <c r="BI762" s="46"/>
      <c r="BJ762" s="457"/>
      <c r="BK762" s="449">
        <v>0</v>
      </c>
      <c r="BL762" s="45"/>
      <c r="BM762" s="45"/>
      <c r="BN762" s="45"/>
      <c r="BO762" s="45"/>
      <c r="BP762" s="45"/>
      <c r="BQ762" s="45"/>
      <c r="BR762" s="45"/>
      <c r="BS762" s="45"/>
      <c r="BT762" s="45"/>
      <c r="BU762" s="45"/>
      <c r="BV762" s="45"/>
      <c r="BW762" s="45"/>
      <c r="BX762" s="45"/>
      <c r="BY762" s="45"/>
      <c r="BZ762" s="45"/>
      <c r="CA762" s="45"/>
      <c r="CB762" s="45"/>
      <c r="CC762" s="45"/>
      <c r="CD762" s="463"/>
      <c r="CE762">
        <v>0</v>
      </c>
      <c r="CF762">
        <v>0</v>
      </c>
      <c r="CG762">
        <v>0</v>
      </c>
      <c r="CH762">
        <v>0</v>
      </c>
      <c r="CI762">
        <v>0</v>
      </c>
      <c r="CJ762">
        <v>0</v>
      </c>
      <c r="CK762">
        <v>0</v>
      </c>
      <c r="CL762">
        <v>0</v>
      </c>
      <c r="CM762">
        <v>0</v>
      </c>
      <c r="CN762">
        <v>0</v>
      </c>
      <c r="CO762">
        <v>0</v>
      </c>
      <c r="CP762">
        <v>0</v>
      </c>
      <c r="CQ762">
        <v>0</v>
      </c>
      <c r="CR762">
        <v>0</v>
      </c>
      <c r="CS762">
        <v>0</v>
      </c>
      <c r="CT762">
        <v>0</v>
      </c>
      <c r="CU762">
        <v>0</v>
      </c>
      <c r="CV762">
        <v>0</v>
      </c>
      <c r="CW762">
        <v>0</v>
      </c>
      <c r="CX762">
        <v>0</v>
      </c>
      <c r="CY762">
        <v>0</v>
      </c>
      <c r="CZ762">
        <v>0</v>
      </c>
      <c r="DA762">
        <v>0</v>
      </c>
      <c r="DB762">
        <v>0</v>
      </c>
      <c r="DC762">
        <v>0</v>
      </c>
      <c r="DD762">
        <v>0</v>
      </c>
      <c r="DE762">
        <v>0</v>
      </c>
      <c r="DF762">
        <v>0</v>
      </c>
      <c r="DG762">
        <v>0</v>
      </c>
      <c r="DH762">
        <v>0</v>
      </c>
      <c r="DI762">
        <v>0</v>
      </c>
      <c r="DJ762">
        <v>0</v>
      </c>
      <c r="DK762">
        <v>0</v>
      </c>
      <c r="DL762">
        <v>0</v>
      </c>
      <c r="DM762">
        <v>0</v>
      </c>
      <c r="DN762">
        <v>0</v>
      </c>
      <c r="DO762">
        <v>0</v>
      </c>
      <c r="DP762">
        <v>0</v>
      </c>
      <c r="DQ762">
        <v>0</v>
      </c>
      <c r="DR762">
        <v>0</v>
      </c>
      <c r="DS762">
        <v>0</v>
      </c>
      <c r="DT762">
        <v>0</v>
      </c>
      <c r="DU762">
        <v>0</v>
      </c>
    </row>
    <row r="763" spans="2:125">
      <c r="B763" s="136">
        <v>754</v>
      </c>
      <c r="C763" s="138">
        <v>1</v>
      </c>
      <c r="D763" s="474">
        <v>2570.8222005119978</v>
      </c>
      <c r="E763" s="127">
        <v>271.5738881716868</v>
      </c>
      <c r="F763" s="447">
        <v>0.42875955940528049</v>
      </c>
      <c r="G763" s="127">
        <v>105.79801720392611</v>
      </c>
      <c r="H763" s="132">
        <v>51.582666771865924</v>
      </c>
      <c r="I763" s="456"/>
      <c r="J763" s="45"/>
      <c r="K763" s="45">
        <v>440</v>
      </c>
      <c r="L763" s="463"/>
      <c r="M763" s="456">
        <v>35.102096557617187</v>
      </c>
      <c r="N763" s="457"/>
      <c r="O763" s="456"/>
      <c r="P763" s="46"/>
      <c r="Q763" s="463">
        <v>58.881168365478516</v>
      </c>
      <c r="R763" s="449"/>
      <c r="S763" s="463"/>
      <c r="T763" s="480"/>
      <c r="U763" s="468"/>
      <c r="V763" s="449"/>
      <c r="W763" s="45">
        <v>1425.281005859375</v>
      </c>
      <c r="X763" s="463">
        <v>120.56007385253906</v>
      </c>
      <c r="Y763" s="449"/>
      <c r="Z763" s="45"/>
      <c r="AA763" s="468">
        <v>0.41569946089616583</v>
      </c>
      <c r="AB763" s="456"/>
      <c r="AC763" s="46"/>
      <c r="AD763" s="46"/>
      <c r="AE763" s="46"/>
      <c r="AF763" s="46"/>
      <c r="AG763" s="46"/>
      <c r="AH763" s="46"/>
      <c r="AI763" s="457"/>
      <c r="AJ763" s="138"/>
      <c r="AK763" s="745"/>
      <c r="AL763" s="54"/>
      <c r="AM763" s="468"/>
      <c r="AN763" s="449"/>
      <c r="AO763" s="45"/>
      <c r="AP763" s="45"/>
      <c r="AQ763" s="45"/>
      <c r="AR763" s="45"/>
      <c r="AS763" s="45"/>
      <c r="AT763" s="45"/>
      <c r="AU763" s="463"/>
      <c r="AV763" s="449"/>
      <c r="AW763" s="45"/>
      <c r="AX763" s="45"/>
      <c r="AY763" s="45"/>
      <c r="AZ763" s="45"/>
      <c r="BA763" s="45"/>
      <c r="BB763" s="45"/>
      <c r="BC763" s="463"/>
      <c r="BD763" s="456"/>
      <c r="BE763" s="46"/>
      <c r="BF763" s="46"/>
      <c r="BG763" s="46"/>
      <c r="BH763" s="46"/>
      <c r="BI763" s="46"/>
      <c r="BJ763" s="457"/>
      <c r="BK763" s="449">
        <v>0</v>
      </c>
      <c r="BL763" s="45"/>
      <c r="BM763" s="45"/>
      <c r="BN763" s="45"/>
      <c r="BO763" s="45"/>
      <c r="BP763" s="45"/>
      <c r="BQ763" s="45"/>
      <c r="BR763" s="45"/>
      <c r="BS763" s="45"/>
      <c r="BT763" s="45"/>
      <c r="BU763" s="45"/>
      <c r="BV763" s="45"/>
      <c r="BW763" s="45"/>
      <c r="BX763" s="45"/>
      <c r="BY763" s="45"/>
      <c r="BZ763" s="45"/>
      <c r="CA763" s="45"/>
      <c r="CB763" s="45"/>
      <c r="CC763" s="45"/>
      <c r="CD763" s="463"/>
      <c r="CE763">
        <v>0</v>
      </c>
      <c r="CF763">
        <v>0</v>
      </c>
      <c r="CG763">
        <v>0</v>
      </c>
      <c r="CH763">
        <v>0</v>
      </c>
      <c r="CI763">
        <v>0</v>
      </c>
      <c r="CJ763">
        <v>0</v>
      </c>
      <c r="CK763">
        <v>0</v>
      </c>
      <c r="CL763">
        <v>0</v>
      </c>
      <c r="CM763">
        <v>0</v>
      </c>
      <c r="CN763">
        <v>0</v>
      </c>
      <c r="CO763">
        <v>0</v>
      </c>
      <c r="CP763">
        <v>0</v>
      </c>
      <c r="CQ763">
        <v>0</v>
      </c>
      <c r="CR763">
        <v>0</v>
      </c>
      <c r="CS763">
        <v>0</v>
      </c>
      <c r="CT763">
        <v>0</v>
      </c>
      <c r="CU763">
        <v>0</v>
      </c>
      <c r="CV763">
        <v>0</v>
      </c>
      <c r="CW763">
        <v>0</v>
      </c>
      <c r="CX763">
        <v>0</v>
      </c>
      <c r="CY763">
        <v>0</v>
      </c>
      <c r="CZ763">
        <v>0</v>
      </c>
      <c r="DA763">
        <v>0</v>
      </c>
      <c r="DB763">
        <v>0</v>
      </c>
      <c r="DC763">
        <v>0</v>
      </c>
      <c r="DD763">
        <v>0</v>
      </c>
      <c r="DE763">
        <v>0</v>
      </c>
      <c r="DF763">
        <v>0</v>
      </c>
      <c r="DG763">
        <v>0</v>
      </c>
      <c r="DH763">
        <v>0</v>
      </c>
      <c r="DI763">
        <v>0</v>
      </c>
      <c r="DJ763">
        <v>0</v>
      </c>
      <c r="DK763">
        <v>0</v>
      </c>
      <c r="DL763">
        <v>0</v>
      </c>
      <c r="DM763">
        <v>0</v>
      </c>
      <c r="DN763">
        <v>0</v>
      </c>
      <c r="DO763">
        <v>0</v>
      </c>
      <c r="DP763">
        <v>0</v>
      </c>
      <c r="DQ763">
        <v>0</v>
      </c>
      <c r="DR763">
        <v>0</v>
      </c>
      <c r="DS763">
        <v>0</v>
      </c>
      <c r="DT763">
        <v>0</v>
      </c>
      <c r="DU763">
        <v>0</v>
      </c>
    </row>
    <row r="764" spans="2:125">
      <c r="B764" s="136">
        <v>755</v>
      </c>
      <c r="C764" s="138">
        <v>1</v>
      </c>
      <c r="D764" s="474">
        <v>3635.7167042515375</v>
      </c>
      <c r="E764" s="127">
        <v>227.65753189190693</v>
      </c>
      <c r="F764" s="447">
        <v>0.45804626704382634</v>
      </c>
      <c r="G764" s="127">
        <v>122.20721029402354</v>
      </c>
      <c r="H764" s="132">
        <v>65.231355035708845</v>
      </c>
      <c r="I764" s="456"/>
      <c r="J764" s="45"/>
      <c r="K764" s="45">
        <v>540</v>
      </c>
      <c r="L764" s="463"/>
      <c r="M764" s="456">
        <v>39.684432983398438</v>
      </c>
      <c r="N764" s="457"/>
      <c r="O764" s="456"/>
      <c r="P764" s="46"/>
      <c r="Q764" s="463">
        <v>80.327873229980469</v>
      </c>
      <c r="R764" s="449"/>
      <c r="S764" s="463"/>
      <c r="T764" s="480"/>
      <c r="U764" s="468"/>
      <c r="V764" s="449"/>
      <c r="W764" s="45">
        <v>1925.7357177734375</v>
      </c>
      <c r="X764" s="463">
        <v>157.41004943847656</v>
      </c>
      <c r="Y764" s="449"/>
      <c r="Z764" s="45"/>
      <c r="AA764" s="468">
        <v>0.44865034098035461</v>
      </c>
      <c r="AB764" s="456"/>
      <c r="AC764" s="46"/>
      <c r="AD764" s="46"/>
      <c r="AE764" s="46"/>
      <c r="AF764" s="46"/>
      <c r="AG764" s="46"/>
      <c r="AH764" s="46"/>
      <c r="AI764" s="457"/>
      <c r="AJ764" s="138"/>
      <c r="AK764" s="745"/>
      <c r="AL764" s="54"/>
      <c r="AM764" s="468"/>
      <c r="AN764" s="449"/>
      <c r="AO764" s="45"/>
      <c r="AP764" s="45"/>
      <c r="AQ764" s="45"/>
      <c r="AR764" s="45"/>
      <c r="AS764" s="45"/>
      <c r="AT764" s="45"/>
      <c r="AU764" s="463"/>
      <c r="AV764" s="449"/>
      <c r="AW764" s="45"/>
      <c r="AX764" s="45"/>
      <c r="AY764" s="45"/>
      <c r="AZ764" s="45"/>
      <c r="BA764" s="45"/>
      <c r="BB764" s="45"/>
      <c r="BC764" s="463"/>
      <c r="BD764" s="456"/>
      <c r="BE764" s="46"/>
      <c r="BF764" s="46"/>
      <c r="BG764" s="46"/>
      <c r="BH764" s="46"/>
      <c r="BI764" s="46"/>
      <c r="BJ764" s="457"/>
      <c r="BK764" s="449">
        <v>0</v>
      </c>
      <c r="BL764" s="45"/>
      <c r="BM764" s="45"/>
      <c r="BN764" s="45"/>
      <c r="BO764" s="45"/>
      <c r="BP764" s="45"/>
      <c r="BQ764" s="45"/>
      <c r="BR764" s="45"/>
      <c r="BS764" s="45"/>
      <c r="BT764" s="45"/>
      <c r="BU764" s="45"/>
      <c r="BV764" s="45"/>
      <c r="BW764" s="45"/>
      <c r="BX764" s="45"/>
      <c r="BY764" s="45"/>
      <c r="BZ764" s="45"/>
      <c r="CA764" s="45"/>
      <c r="CB764" s="45"/>
      <c r="CC764" s="45"/>
      <c r="CD764" s="463"/>
      <c r="CE764">
        <v>0</v>
      </c>
      <c r="CF764">
        <v>0</v>
      </c>
      <c r="CG764">
        <v>0</v>
      </c>
      <c r="CH764">
        <v>0</v>
      </c>
      <c r="CI764">
        <v>0</v>
      </c>
      <c r="CJ764">
        <v>0</v>
      </c>
      <c r="CK764">
        <v>0</v>
      </c>
      <c r="CL764">
        <v>0</v>
      </c>
      <c r="CM764">
        <v>0</v>
      </c>
      <c r="CN764">
        <v>0</v>
      </c>
      <c r="CO764">
        <v>0</v>
      </c>
      <c r="CP764">
        <v>0</v>
      </c>
      <c r="CQ764">
        <v>0</v>
      </c>
      <c r="CR764">
        <v>0</v>
      </c>
      <c r="CS764">
        <v>0</v>
      </c>
      <c r="CT764">
        <v>0</v>
      </c>
      <c r="CU764">
        <v>0</v>
      </c>
      <c r="CV764">
        <v>0</v>
      </c>
      <c r="CW764">
        <v>0</v>
      </c>
      <c r="CX764">
        <v>0</v>
      </c>
      <c r="CY764">
        <v>0</v>
      </c>
      <c r="CZ764">
        <v>0</v>
      </c>
      <c r="DA764">
        <v>0</v>
      </c>
      <c r="DB764">
        <v>0</v>
      </c>
      <c r="DC764">
        <v>0</v>
      </c>
      <c r="DD764">
        <v>0</v>
      </c>
      <c r="DE764">
        <v>0</v>
      </c>
      <c r="DF764">
        <v>0</v>
      </c>
      <c r="DG764">
        <v>0</v>
      </c>
      <c r="DH764">
        <v>0</v>
      </c>
      <c r="DI764">
        <v>0</v>
      </c>
      <c r="DJ764">
        <v>0</v>
      </c>
      <c r="DK764">
        <v>0</v>
      </c>
      <c r="DL764">
        <v>0</v>
      </c>
      <c r="DM764">
        <v>0</v>
      </c>
      <c r="DN764">
        <v>0</v>
      </c>
      <c r="DO764">
        <v>0</v>
      </c>
      <c r="DP764">
        <v>0</v>
      </c>
      <c r="DQ764">
        <v>0</v>
      </c>
      <c r="DR764">
        <v>0</v>
      </c>
      <c r="DS764">
        <v>0</v>
      </c>
      <c r="DT764">
        <v>0</v>
      </c>
      <c r="DU764">
        <v>0</v>
      </c>
    </row>
    <row r="765" spans="2:125">
      <c r="B765" s="136">
        <v>756</v>
      </c>
      <c r="C765" s="138">
        <v>1</v>
      </c>
      <c r="D765" s="474">
        <v>3510.932530066073</v>
      </c>
      <c r="E765" s="127">
        <v>238.00370760608661</v>
      </c>
      <c r="F765" s="447">
        <v>0.46531859185040686</v>
      </c>
      <c r="G765" s="127">
        <v>132.9951904556948</v>
      </c>
      <c r="H765" s="132">
        <v>54.350038926911004</v>
      </c>
      <c r="I765" s="456"/>
      <c r="J765" s="45"/>
      <c r="K765" s="45">
        <v>530</v>
      </c>
      <c r="L765" s="463"/>
      <c r="M765" s="456">
        <v>44.547943115234375</v>
      </c>
      <c r="N765" s="457"/>
      <c r="O765" s="456"/>
      <c r="P765" s="46"/>
      <c r="Q765" s="463">
        <v>69.516464233398438</v>
      </c>
      <c r="R765" s="449"/>
      <c r="S765" s="463"/>
      <c r="T765" s="480"/>
      <c r="U765" s="468"/>
      <c r="V765" s="449"/>
      <c r="W765" s="45">
        <v>1980.37255859375</v>
      </c>
      <c r="X765" s="463">
        <v>161.34262084960937</v>
      </c>
      <c r="Y765" s="449"/>
      <c r="Z765" s="45"/>
      <c r="AA765" s="468">
        <v>0.45554729276014422</v>
      </c>
      <c r="AB765" s="456"/>
      <c r="AC765" s="46"/>
      <c r="AD765" s="46"/>
      <c r="AE765" s="46"/>
      <c r="AF765" s="46"/>
      <c r="AG765" s="46"/>
      <c r="AH765" s="46"/>
      <c r="AI765" s="457"/>
      <c r="AJ765" s="138"/>
      <c r="AK765" s="745"/>
      <c r="AL765" s="54"/>
      <c r="AM765" s="468"/>
      <c r="AN765" s="449"/>
      <c r="AO765" s="45"/>
      <c r="AP765" s="45"/>
      <c r="AQ765" s="45"/>
      <c r="AR765" s="45"/>
      <c r="AS765" s="45"/>
      <c r="AT765" s="45"/>
      <c r="AU765" s="463"/>
      <c r="AV765" s="449"/>
      <c r="AW765" s="45"/>
      <c r="AX765" s="45"/>
      <c r="AY765" s="45"/>
      <c r="AZ765" s="45"/>
      <c r="BA765" s="45"/>
      <c r="BB765" s="45"/>
      <c r="BC765" s="463"/>
      <c r="BD765" s="456"/>
      <c r="BE765" s="46"/>
      <c r="BF765" s="46"/>
      <c r="BG765" s="46"/>
      <c r="BH765" s="46"/>
      <c r="BI765" s="46"/>
      <c r="BJ765" s="457"/>
      <c r="BK765" s="449">
        <v>0</v>
      </c>
      <c r="BL765" s="45"/>
      <c r="BM765" s="45"/>
      <c r="BN765" s="45"/>
      <c r="BO765" s="45"/>
      <c r="BP765" s="45"/>
      <c r="BQ765" s="45"/>
      <c r="BR765" s="45"/>
      <c r="BS765" s="45"/>
      <c r="BT765" s="45"/>
      <c r="BU765" s="45"/>
      <c r="BV765" s="45"/>
      <c r="BW765" s="45"/>
      <c r="BX765" s="45"/>
      <c r="BY765" s="45"/>
      <c r="BZ765" s="45"/>
      <c r="CA765" s="45"/>
      <c r="CB765" s="45"/>
      <c r="CC765" s="45"/>
      <c r="CD765" s="463"/>
      <c r="CE765">
        <v>0</v>
      </c>
      <c r="CF765">
        <v>0</v>
      </c>
      <c r="CG765">
        <v>0</v>
      </c>
      <c r="CH765">
        <v>0</v>
      </c>
      <c r="CI765">
        <v>0</v>
      </c>
      <c r="CJ765">
        <v>0</v>
      </c>
      <c r="CK765">
        <v>0</v>
      </c>
      <c r="CL765">
        <v>0</v>
      </c>
      <c r="CM765">
        <v>0</v>
      </c>
      <c r="CN765">
        <v>0</v>
      </c>
      <c r="CO765">
        <v>0</v>
      </c>
      <c r="CP765">
        <v>0</v>
      </c>
      <c r="CQ765">
        <v>0</v>
      </c>
      <c r="CR765">
        <v>0</v>
      </c>
      <c r="CS765">
        <v>0</v>
      </c>
      <c r="CT765">
        <v>0</v>
      </c>
      <c r="CU765">
        <v>0</v>
      </c>
      <c r="CV765">
        <v>0</v>
      </c>
      <c r="CW765">
        <v>0</v>
      </c>
      <c r="CX765">
        <v>0</v>
      </c>
      <c r="CY765">
        <v>0</v>
      </c>
      <c r="CZ765">
        <v>0</v>
      </c>
      <c r="DA765">
        <v>0</v>
      </c>
      <c r="DB765">
        <v>0</v>
      </c>
      <c r="DC765">
        <v>0</v>
      </c>
      <c r="DD765">
        <v>0</v>
      </c>
      <c r="DE765">
        <v>0</v>
      </c>
      <c r="DF765">
        <v>0</v>
      </c>
      <c r="DG765">
        <v>0</v>
      </c>
      <c r="DH765">
        <v>0</v>
      </c>
      <c r="DI765">
        <v>0</v>
      </c>
      <c r="DJ765">
        <v>0</v>
      </c>
      <c r="DK765">
        <v>0</v>
      </c>
      <c r="DL765">
        <v>0</v>
      </c>
      <c r="DM765">
        <v>0</v>
      </c>
      <c r="DN765">
        <v>0</v>
      </c>
      <c r="DO765">
        <v>0</v>
      </c>
      <c r="DP765">
        <v>0</v>
      </c>
      <c r="DQ765">
        <v>0</v>
      </c>
      <c r="DR765">
        <v>0</v>
      </c>
      <c r="DS765">
        <v>0</v>
      </c>
      <c r="DT765">
        <v>0</v>
      </c>
      <c r="DU765">
        <v>0</v>
      </c>
    </row>
    <row r="766" spans="2:125">
      <c r="B766" s="136">
        <v>757</v>
      </c>
      <c r="C766" s="138">
        <v>1</v>
      </c>
      <c r="D766" s="474">
        <v>3986.4793509774768</v>
      </c>
      <c r="E766" s="127">
        <v>255.61922052944956</v>
      </c>
      <c r="F766" s="447">
        <v>0.46874764277741354</v>
      </c>
      <c r="G766" s="127">
        <v>131.0337197982179</v>
      </c>
      <c r="H766" s="132">
        <v>62.522894846413315</v>
      </c>
      <c r="I766" s="456"/>
      <c r="J766" s="45"/>
      <c r="K766" s="45">
        <v>560</v>
      </c>
      <c r="L766" s="463"/>
      <c r="M766" s="456">
        <v>43.400009155273437</v>
      </c>
      <c r="N766" s="457"/>
      <c r="O766" s="456"/>
      <c r="P766" s="46"/>
      <c r="Q766" s="463">
        <v>78.932296752929687</v>
      </c>
      <c r="R766" s="449"/>
      <c r="S766" s="463"/>
      <c r="T766" s="480"/>
      <c r="U766" s="468"/>
      <c r="V766" s="449"/>
      <c r="W766" s="45">
        <v>2077.087646484375</v>
      </c>
      <c r="X766" s="463">
        <v>168.4822998046875</v>
      </c>
      <c r="Y766" s="449"/>
      <c r="Z766" s="45"/>
      <c r="AA766" s="468">
        <v>0.46012475781323586</v>
      </c>
      <c r="AB766" s="456"/>
      <c r="AC766" s="46"/>
      <c r="AD766" s="46"/>
      <c r="AE766" s="46"/>
      <c r="AF766" s="46"/>
      <c r="AG766" s="46"/>
      <c r="AH766" s="46"/>
      <c r="AI766" s="457"/>
      <c r="AJ766" s="138"/>
      <c r="AK766" s="745"/>
      <c r="AL766" s="54"/>
      <c r="AM766" s="468"/>
      <c r="AN766" s="449"/>
      <c r="AO766" s="45"/>
      <c r="AP766" s="45"/>
      <c r="AQ766" s="45"/>
      <c r="AR766" s="45"/>
      <c r="AS766" s="45"/>
      <c r="AT766" s="45"/>
      <c r="AU766" s="463"/>
      <c r="AV766" s="449"/>
      <c r="AW766" s="45"/>
      <c r="AX766" s="45"/>
      <c r="AY766" s="45"/>
      <c r="AZ766" s="45"/>
      <c r="BA766" s="45"/>
      <c r="BB766" s="45"/>
      <c r="BC766" s="463"/>
      <c r="BD766" s="456"/>
      <c r="BE766" s="46"/>
      <c r="BF766" s="46"/>
      <c r="BG766" s="46"/>
      <c r="BH766" s="46"/>
      <c r="BI766" s="46"/>
      <c r="BJ766" s="457"/>
      <c r="BK766" s="449">
        <v>0</v>
      </c>
      <c r="BL766" s="45"/>
      <c r="BM766" s="45"/>
      <c r="BN766" s="45"/>
      <c r="BO766" s="45"/>
      <c r="BP766" s="45"/>
      <c r="BQ766" s="45"/>
      <c r="BR766" s="45"/>
      <c r="BS766" s="45"/>
      <c r="BT766" s="45"/>
      <c r="BU766" s="45"/>
      <c r="BV766" s="45"/>
      <c r="BW766" s="45"/>
      <c r="BX766" s="45"/>
      <c r="BY766" s="45"/>
      <c r="BZ766" s="45"/>
      <c r="CA766" s="45"/>
      <c r="CB766" s="45"/>
      <c r="CC766" s="45"/>
      <c r="CD766" s="463"/>
      <c r="CE766">
        <v>0</v>
      </c>
      <c r="CF766">
        <v>0</v>
      </c>
      <c r="CG766">
        <v>0</v>
      </c>
      <c r="CH766">
        <v>0</v>
      </c>
      <c r="CI766">
        <v>0</v>
      </c>
      <c r="CJ766">
        <v>0</v>
      </c>
      <c r="CK766">
        <v>0</v>
      </c>
      <c r="CL766">
        <v>0</v>
      </c>
      <c r="CM766">
        <v>0</v>
      </c>
      <c r="CN766">
        <v>0</v>
      </c>
      <c r="CO766">
        <v>0</v>
      </c>
      <c r="CP766">
        <v>0</v>
      </c>
      <c r="CQ766">
        <v>0</v>
      </c>
      <c r="CR766">
        <v>0</v>
      </c>
      <c r="CS766">
        <v>0</v>
      </c>
      <c r="CT766">
        <v>0</v>
      </c>
      <c r="CU766">
        <v>0</v>
      </c>
      <c r="CV766">
        <v>0</v>
      </c>
      <c r="CW766">
        <v>0</v>
      </c>
      <c r="CX766">
        <v>0</v>
      </c>
      <c r="CY766">
        <v>0</v>
      </c>
      <c r="CZ766">
        <v>0</v>
      </c>
      <c r="DA766">
        <v>0</v>
      </c>
      <c r="DB766">
        <v>0</v>
      </c>
      <c r="DC766">
        <v>0</v>
      </c>
      <c r="DD766">
        <v>0</v>
      </c>
      <c r="DE766">
        <v>0</v>
      </c>
      <c r="DF766">
        <v>0</v>
      </c>
      <c r="DG766">
        <v>0</v>
      </c>
      <c r="DH766">
        <v>0</v>
      </c>
      <c r="DI766">
        <v>0</v>
      </c>
      <c r="DJ766">
        <v>0</v>
      </c>
      <c r="DK766">
        <v>0</v>
      </c>
      <c r="DL766">
        <v>0</v>
      </c>
      <c r="DM766">
        <v>0</v>
      </c>
      <c r="DN766">
        <v>0</v>
      </c>
      <c r="DO766">
        <v>0</v>
      </c>
      <c r="DP766">
        <v>0</v>
      </c>
      <c r="DQ766">
        <v>0</v>
      </c>
      <c r="DR766">
        <v>0</v>
      </c>
      <c r="DS766">
        <v>0</v>
      </c>
      <c r="DT766">
        <v>0</v>
      </c>
      <c r="DU766">
        <v>0</v>
      </c>
    </row>
    <row r="767" spans="2:125">
      <c r="B767" s="136">
        <v>758</v>
      </c>
      <c r="C767" s="138">
        <v>1</v>
      </c>
      <c r="D767" s="474">
        <v>4066.4805239336538</v>
      </c>
      <c r="E767" s="127">
        <v>242.25221885501787</v>
      </c>
      <c r="F767" s="447">
        <v>0.44996637726295041</v>
      </c>
      <c r="G767" s="127">
        <v>162.42976199366376</v>
      </c>
      <c r="H767" s="132">
        <v>56.615592348427718</v>
      </c>
      <c r="I767" s="456"/>
      <c r="J767" s="45"/>
      <c r="K767" s="45">
        <v>630</v>
      </c>
      <c r="L767" s="463"/>
      <c r="M767" s="456">
        <v>44.418697357177734</v>
      </c>
      <c r="N767" s="457"/>
      <c r="O767" s="456"/>
      <c r="P767" s="46"/>
      <c r="Q767" s="463">
        <v>80.516319274902344</v>
      </c>
      <c r="R767" s="449"/>
      <c r="S767" s="463"/>
      <c r="T767" s="480"/>
      <c r="U767" s="468"/>
      <c r="V767" s="449"/>
      <c r="W767" s="45">
        <v>2176.5302734375</v>
      </c>
      <c r="X767" s="463">
        <v>176.02656555175781</v>
      </c>
      <c r="Y767" s="449"/>
      <c r="Z767" s="45"/>
      <c r="AA767" s="468">
        <v>0.4416055041823706</v>
      </c>
      <c r="AB767" s="456"/>
      <c r="AC767" s="46"/>
      <c r="AD767" s="46"/>
      <c r="AE767" s="46"/>
      <c r="AF767" s="46"/>
      <c r="AG767" s="46"/>
      <c r="AH767" s="46"/>
      <c r="AI767" s="457"/>
      <c r="AJ767" s="138"/>
      <c r="AK767" s="745"/>
      <c r="AL767" s="54"/>
      <c r="AM767" s="468"/>
      <c r="AN767" s="449"/>
      <c r="AO767" s="45"/>
      <c r="AP767" s="45"/>
      <c r="AQ767" s="45"/>
      <c r="AR767" s="45"/>
      <c r="AS767" s="45"/>
      <c r="AT767" s="45"/>
      <c r="AU767" s="463"/>
      <c r="AV767" s="449"/>
      <c r="AW767" s="45"/>
      <c r="AX767" s="45"/>
      <c r="AY767" s="45"/>
      <c r="AZ767" s="45"/>
      <c r="BA767" s="45"/>
      <c r="BB767" s="45"/>
      <c r="BC767" s="463"/>
      <c r="BD767" s="456"/>
      <c r="BE767" s="46"/>
      <c r="BF767" s="46"/>
      <c r="BG767" s="46"/>
      <c r="BH767" s="46"/>
      <c r="BI767" s="46"/>
      <c r="BJ767" s="457"/>
      <c r="BK767" s="449">
        <v>0</v>
      </c>
      <c r="BL767" s="45"/>
      <c r="BM767" s="45"/>
      <c r="BN767" s="45"/>
      <c r="BO767" s="45"/>
      <c r="BP767" s="45"/>
      <c r="BQ767" s="45"/>
      <c r="BR767" s="45"/>
      <c r="BS767" s="45"/>
      <c r="BT767" s="45"/>
      <c r="BU767" s="45"/>
      <c r="BV767" s="45"/>
      <c r="BW767" s="45"/>
      <c r="BX767" s="45"/>
      <c r="BY767" s="45"/>
      <c r="BZ767" s="45"/>
      <c r="CA767" s="45"/>
      <c r="CB767" s="45"/>
      <c r="CC767" s="45"/>
      <c r="CD767" s="463"/>
      <c r="CE767">
        <v>0</v>
      </c>
      <c r="CF767">
        <v>0</v>
      </c>
      <c r="CG767">
        <v>0</v>
      </c>
      <c r="CH767">
        <v>0</v>
      </c>
      <c r="CI767">
        <v>0</v>
      </c>
      <c r="CJ767">
        <v>0</v>
      </c>
      <c r="CK767">
        <v>0</v>
      </c>
      <c r="CL767">
        <v>0</v>
      </c>
      <c r="CM767">
        <v>0</v>
      </c>
      <c r="CN767">
        <v>0</v>
      </c>
      <c r="CO767">
        <v>0</v>
      </c>
      <c r="CP767">
        <v>0</v>
      </c>
      <c r="CQ767">
        <v>0</v>
      </c>
      <c r="CR767">
        <v>0</v>
      </c>
      <c r="CS767">
        <v>0</v>
      </c>
      <c r="CT767">
        <v>0</v>
      </c>
      <c r="CU767">
        <v>0</v>
      </c>
      <c r="CV767">
        <v>0</v>
      </c>
      <c r="CW767">
        <v>0</v>
      </c>
      <c r="CX767">
        <v>0</v>
      </c>
      <c r="CY767">
        <v>0</v>
      </c>
      <c r="CZ767">
        <v>0</v>
      </c>
      <c r="DA767">
        <v>0</v>
      </c>
      <c r="DB767">
        <v>0</v>
      </c>
      <c r="DC767">
        <v>0</v>
      </c>
      <c r="DD767">
        <v>0</v>
      </c>
      <c r="DE767">
        <v>0</v>
      </c>
      <c r="DF767">
        <v>0</v>
      </c>
      <c r="DG767">
        <v>0</v>
      </c>
      <c r="DH767">
        <v>0</v>
      </c>
      <c r="DI767">
        <v>0</v>
      </c>
      <c r="DJ767">
        <v>0</v>
      </c>
      <c r="DK767">
        <v>0</v>
      </c>
      <c r="DL767">
        <v>0</v>
      </c>
      <c r="DM767">
        <v>0</v>
      </c>
      <c r="DN767">
        <v>0</v>
      </c>
      <c r="DO767">
        <v>0</v>
      </c>
      <c r="DP767">
        <v>0</v>
      </c>
      <c r="DQ767">
        <v>0</v>
      </c>
      <c r="DR767">
        <v>0</v>
      </c>
      <c r="DS767">
        <v>0</v>
      </c>
      <c r="DT767">
        <v>0</v>
      </c>
      <c r="DU767">
        <v>0</v>
      </c>
    </row>
    <row r="768" spans="2:125">
      <c r="B768" s="136">
        <v>759</v>
      </c>
      <c r="C768" s="138">
        <v>1</v>
      </c>
      <c r="D768" s="474">
        <v>2787.440192209765</v>
      </c>
      <c r="E768" s="127">
        <v>258.21978707442969</v>
      </c>
      <c r="F768" s="447">
        <v>0.41196784105853618</v>
      </c>
      <c r="G768" s="127">
        <v>91.816752537673878</v>
      </c>
      <c r="H768" s="132">
        <v>51.950337588520846</v>
      </c>
      <c r="I768" s="456"/>
      <c r="J768" s="45"/>
      <c r="K768" s="45">
        <v>390</v>
      </c>
      <c r="L768" s="463"/>
      <c r="M768" s="456">
        <v>31.603378295898438</v>
      </c>
      <c r="N768" s="457"/>
      <c r="O768" s="456"/>
      <c r="P768" s="46"/>
      <c r="Q768" s="463">
        <v>55.191318511962891</v>
      </c>
      <c r="R768" s="449"/>
      <c r="S768" s="463"/>
      <c r="T768" s="480"/>
      <c r="U768" s="468"/>
      <c r="V768" s="449"/>
      <c r="W768" s="45">
        <v>1222.11767578125</v>
      </c>
      <c r="X768" s="463">
        <v>105.59455108642578</v>
      </c>
      <c r="Y768" s="449"/>
      <c r="Z768" s="45"/>
      <c r="AA768" s="468">
        <v>0.40004315226554721</v>
      </c>
      <c r="AB768" s="456"/>
      <c r="AC768" s="46"/>
      <c r="AD768" s="46"/>
      <c r="AE768" s="46"/>
      <c r="AF768" s="46"/>
      <c r="AG768" s="46"/>
      <c r="AH768" s="46"/>
      <c r="AI768" s="457"/>
      <c r="AJ768" s="138"/>
      <c r="AK768" s="745"/>
      <c r="AL768" s="54"/>
      <c r="AM768" s="468"/>
      <c r="AN768" s="449"/>
      <c r="AO768" s="45"/>
      <c r="AP768" s="45"/>
      <c r="AQ768" s="45"/>
      <c r="AR768" s="45"/>
      <c r="AS768" s="45"/>
      <c r="AT768" s="45"/>
      <c r="AU768" s="463"/>
      <c r="AV768" s="449"/>
      <c r="AW768" s="45"/>
      <c r="AX768" s="45"/>
      <c r="AY768" s="45"/>
      <c r="AZ768" s="45"/>
      <c r="BA768" s="45"/>
      <c r="BB768" s="45"/>
      <c r="BC768" s="463"/>
      <c r="BD768" s="456"/>
      <c r="BE768" s="46"/>
      <c r="BF768" s="46"/>
      <c r="BG768" s="46"/>
      <c r="BH768" s="46"/>
      <c r="BI768" s="46"/>
      <c r="BJ768" s="457"/>
      <c r="BK768" s="449">
        <v>0</v>
      </c>
      <c r="BL768" s="45"/>
      <c r="BM768" s="45"/>
      <c r="BN768" s="45"/>
      <c r="BO768" s="45"/>
      <c r="BP768" s="45"/>
      <c r="BQ768" s="45"/>
      <c r="BR768" s="45"/>
      <c r="BS768" s="45"/>
      <c r="BT768" s="45"/>
      <c r="BU768" s="45"/>
      <c r="BV768" s="45"/>
      <c r="BW768" s="45"/>
      <c r="BX768" s="45"/>
      <c r="BY768" s="45"/>
      <c r="BZ768" s="45"/>
      <c r="CA768" s="45"/>
      <c r="CB768" s="45"/>
      <c r="CC768" s="45"/>
      <c r="CD768" s="463"/>
      <c r="CE768">
        <v>0</v>
      </c>
      <c r="CF768">
        <v>0</v>
      </c>
      <c r="CG768">
        <v>0</v>
      </c>
      <c r="CH768">
        <v>0</v>
      </c>
      <c r="CI768">
        <v>0</v>
      </c>
      <c r="CJ768">
        <v>0</v>
      </c>
      <c r="CK768">
        <v>0</v>
      </c>
      <c r="CL768">
        <v>0</v>
      </c>
      <c r="CM768">
        <v>0</v>
      </c>
      <c r="CN768">
        <v>0</v>
      </c>
      <c r="CO768">
        <v>0</v>
      </c>
      <c r="CP768">
        <v>0</v>
      </c>
      <c r="CQ768">
        <v>0</v>
      </c>
      <c r="CR768">
        <v>0</v>
      </c>
      <c r="CS768">
        <v>0</v>
      </c>
      <c r="CT768">
        <v>0</v>
      </c>
      <c r="CU768">
        <v>0</v>
      </c>
      <c r="CV768">
        <v>0</v>
      </c>
      <c r="CW768">
        <v>0</v>
      </c>
      <c r="CX768">
        <v>0</v>
      </c>
      <c r="CY768">
        <v>0</v>
      </c>
      <c r="CZ768">
        <v>0</v>
      </c>
      <c r="DA768">
        <v>0</v>
      </c>
      <c r="DB768">
        <v>0</v>
      </c>
      <c r="DC768">
        <v>0</v>
      </c>
      <c r="DD768">
        <v>0</v>
      </c>
      <c r="DE768">
        <v>0</v>
      </c>
      <c r="DF768">
        <v>0</v>
      </c>
      <c r="DG768">
        <v>0</v>
      </c>
      <c r="DH768">
        <v>0</v>
      </c>
      <c r="DI768">
        <v>0</v>
      </c>
      <c r="DJ768">
        <v>0</v>
      </c>
      <c r="DK768">
        <v>0</v>
      </c>
      <c r="DL768">
        <v>0</v>
      </c>
      <c r="DM768">
        <v>0</v>
      </c>
      <c r="DN768">
        <v>0</v>
      </c>
      <c r="DO768">
        <v>0</v>
      </c>
      <c r="DP768">
        <v>0</v>
      </c>
      <c r="DQ768">
        <v>0</v>
      </c>
      <c r="DR768">
        <v>0</v>
      </c>
      <c r="DS768">
        <v>0</v>
      </c>
      <c r="DT768">
        <v>0</v>
      </c>
      <c r="DU768">
        <v>0</v>
      </c>
    </row>
    <row r="769" spans="2:125">
      <c r="B769" s="136">
        <v>760</v>
      </c>
      <c r="C769" s="138">
        <v>1</v>
      </c>
      <c r="D769" s="474">
        <v>4140.6772805011606</v>
      </c>
      <c r="E769" s="127">
        <v>250.67722256911941</v>
      </c>
      <c r="F769" s="447">
        <v>0.40179299326587126</v>
      </c>
      <c r="G769" s="127">
        <v>151.80079108711462</v>
      </c>
      <c r="H769" s="132">
        <v>60.333791312621869</v>
      </c>
      <c r="I769" s="456"/>
      <c r="J769" s="45"/>
      <c r="K769" s="45">
        <v>600</v>
      </c>
      <c r="L769" s="463"/>
      <c r="M769" s="456">
        <v>34.300735473632812</v>
      </c>
      <c r="N769" s="457"/>
      <c r="O769" s="456"/>
      <c r="P769" s="46"/>
      <c r="Q769" s="463">
        <v>81.98541259765625</v>
      </c>
      <c r="R769" s="449"/>
      <c r="S769" s="463"/>
      <c r="T769" s="480"/>
      <c r="U769" s="468"/>
      <c r="V769" s="449"/>
      <c r="W769" s="45">
        <v>1734.901611328125</v>
      </c>
      <c r="X769" s="463">
        <v>143.78675842285156</v>
      </c>
      <c r="Y769" s="449"/>
      <c r="Z769" s="45"/>
      <c r="AA769" s="468">
        <v>0.39381462218612384</v>
      </c>
      <c r="AB769" s="456"/>
      <c r="AC769" s="46"/>
      <c r="AD769" s="46"/>
      <c r="AE769" s="46"/>
      <c r="AF769" s="46"/>
      <c r="AG769" s="46"/>
      <c r="AH769" s="46"/>
      <c r="AI769" s="457"/>
      <c r="AJ769" s="138"/>
      <c r="AK769" s="745"/>
      <c r="AL769" s="54"/>
      <c r="AM769" s="468"/>
      <c r="AN769" s="449"/>
      <c r="AO769" s="45"/>
      <c r="AP769" s="45"/>
      <c r="AQ769" s="45"/>
      <c r="AR769" s="45"/>
      <c r="AS769" s="45"/>
      <c r="AT769" s="45"/>
      <c r="AU769" s="463"/>
      <c r="AV769" s="449"/>
      <c r="AW769" s="45"/>
      <c r="AX769" s="45"/>
      <c r="AY769" s="45"/>
      <c r="AZ769" s="45"/>
      <c r="BA769" s="45"/>
      <c r="BB769" s="45"/>
      <c r="BC769" s="463"/>
      <c r="BD769" s="456"/>
      <c r="BE769" s="46"/>
      <c r="BF769" s="46"/>
      <c r="BG769" s="46"/>
      <c r="BH769" s="46"/>
      <c r="BI769" s="46"/>
      <c r="BJ769" s="457"/>
      <c r="BK769" s="449">
        <v>0</v>
      </c>
      <c r="BL769" s="45"/>
      <c r="BM769" s="45"/>
      <c r="BN769" s="45"/>
      <c r="BO769" s="45"/>
      <c r="BP769" s="45"/>
      <c r="BQ769" s="45"/>
      <c r="BR769" s="45"/>
      <c r="BS769" s="45"/>
      <c r="BT769" s="45"/>
      <c r="BU769" s="45"/>
      <c r="BV769" s="45"/>
      <c r="BW769" s="45"/>
      <c r="BX769" s="45"/>
      <c r="BY769" s="45"/>
      <c r="BZ769" s="45"/>
      <c r="CA769" s="45"/>
      <c r="CB769" s="45"/>
      <c r="CC769" s="45"/>
      <c r="CD769" s="463"/>
      <c r="CE769">
        <v>0</v>
      </c>
      <c r="CF769">
        <v>0</v>
      </c>
      <c r="CG769">
        <v>0</v>
      </c>
      <c r="CH769">
        <v>0</v>
      </c>
      <c r="CI769">
        <v>0</v>
      </c>
      <c r="CJ769">
        <v>0</v>
      </c>
      <c r="CK769">
        <v>0</v>
      </c>
      <c r="CL769">
        <v>0</v>
      </c>
      <c r="CM769">
        <v>0</v>
      </c>
      <c r="CN769">
        <v>0</v>
      </c>
      <c r="CO769">
        <v>0</v>
      </c>
      <c r="CP769">
        <v>0</v>
      </c>
      <c r="CQ769">
        <v>0</v>
      </c>
      <c r="CR769">
        <v>0</v>
      </c>
      <c r="CS769">
        <v>0</v>
      </c>
      <c r="CT769">
        <v>0</v>
      </c>
      <c r="CU769">
        <v>0</v>
      </c>
      <c r="CV769">
        <v>0</v>
      </c>
      <c r="CW769">
        <v>0</v>
      </c>
      <c r="CX769">
        <v>0</v>
      </c>
      <c r="CY769">
        <v>0</v>
      </c>
      <c r="CZ769">
        <v>0</v>
      </c>
      <c r="DA769">
        <v>0</v>
      </c>
      <c r="DB769">
        <v>0</v>
      </c>
      <c r="DC769">
        <v>0</v>
      </c>
      <c r="DD769">
        <v>0</v>
      </c>
      <c r="DE769">
        <v>0</v>
      </c>
      <c r="DF769">
        <v>0</v>
      </c>
      <c r="DG769">
        <v>0</v>
      </c>
      <c r="DH769">
        <v>0</v>
      </c>
      <c r="DI769">
        <v>0</v>
      </c>
      <c r="DJ769">
        <v>0</v>
      </c>
      <c r="DK769">
        <v>0</v>
      </c>
      <c r="DL769">
        <v>0</v>
      </c>
      <c r="DM769">
        <v>0</v>
      </c>
      <c r="DN769">
        <v>0</v>
      </c>
      <c r="DO769">
        <v>0</v>
      </c>
      <c r="DP769">
        <v>0</v>
      </c>
      <c r="DQ769">
        <v>0</v>
      </c>
      <c r="DR769">
        <v>0</v>
      </c>
      <c r="DS769">
        <v>0</v>
      </c>
      <c r="DT769">
        <v>0</v>
      </c>
      <c r="DU769">
        <v>0</v>
      </c>
    </row>
    <row r="770" spans="2:125">
      <c r="B770" s="136">
        <v>761</v>
      </c>
      <c r="C770" s="138">
        <v>1</v>
      </c>
      <c r="D770" s="474">
        <v>2613.3913386434419</v>
      </c>
      <c r="E770" s="127">
        <v>311.12401086919203</v>
      </c>
      <c r="F770" s="447">
        <v>0.42990961178805143</v>
      </c>
      <c r="G770" s="127">
        <v>87.371358798520973</v>
      </c>
      <c r="H770" s="132">
        <v>49.603641645800707</v>
      </c>
      <c r="I770" s="456"/>
      <c r="J770" s="45"/>
      <c r="K770" s="45">
        <v>370</v>
      </c>
      <c r="L770" s="463"/>
      <c r="M770" s="456">
        <v>33.682086944580078</v>
      </c>
      <c r="N770" s="457"/>
      <c r="O770" s="456"/>
      <c r="P770" s="46"/>
      <c r="Q770" s="463">
        <v>51.745151519775391</v>
      </c>
      <c r="R770" s="449"/>
      <c r="S770" s="463"/>
      <c r="T770" s="480"/>
      <c r="U770" s="468"/>
      <c r="V770" s="449"/>
      <c r="W770" s="45">
        <v>1235.4942626953125</v>
      </c>
      <c r="X770" s="463">
        <v>106.47582244873047</v>
      </c>
      <c r="Y770" s="449"/>
      <c r="Z770" s="45"/>
      <c r="AA770" s="468">
        <v>0.41705344603172001</v>
      </c>
      <c r="AB770" s="456"/>
      <c r="AC770" s="46"/>
      <c r="AD770" s="46"/>
      <c r="AE770" s="46"/>
      <c r="AF770" s="46"/>
      <c r="AG770" s="46"/>
      <c r="AH770" s="46"/>
      <c r="AI770" s="457"/>
      <c r="AJ770" s="138"/>
      <c r="AK770" s="745"/>
      <c r="AL770" s="54"/>
      <c r="AM770" s="468"/>
      <c r="AN770" s="449"/>
      <c r="AO770" s="45"/>
      <c r="AP770" s="45"/>
      <c r="AQ770" s="45"/>
      <c r="AR770" s="45"/>
      <c r="AS770" s="45"/>
      <c r="AT770" s="45"/>
      <c r="AU770" s="463"/>
      <c r="AV770" s="449"/>
      <c r="AW770" s="45"/>
      <c r="AX770" s="45"/>
      <c r="AY770" s="45"/>
      <c r="AZ770" s="45"/>
      <c r="BA770" s="45"/>
      <c r="BB770" s="45"/>
      <c r="BC770" s="463"/>
      <c r="BD770" s="456"/>
      <c r="BE770" s="46"/>
      <c r="BF770" s="46"/>
      <c r="BG770" s="46"/>
      <c r="BH770" s="46"/>
      <c r="BI770" s="46"/>
      <c r="BJ770" s="457"/>
      <c r="BK770" s="449">
        <v>0</v>
      </c>
      <c r="BL770" s="45"/>
      <c r="BM770" s="45"/>
      <c r="BN770" s="45"/>
      <c r="BO770" s="45"/>
      <c r="BP770" s="45"/>
      <c r="BQ770" s="45"/>
      <c r="BR770" s="45"/>
      <c r="BS770" s="45"/>
      <c r="BT770" s="45"/>
      <c r="BU770" s="45"/>
      <c r="BV770" s="45"/>
      <c r="BW770" s="45"/>
      <c r="BX770" s="45"/>
      <c r="BY770" s="45"/>
      <c r="BZ770" s="45"/>
      <c r="CA770" s="45"/>
      <c r="CB770" s="45"/>
      <c r="CC770" s="45"/>
      <c r="CD770" s="463"/>
      <c r="CE770">
        <v>0</v>
      </c>
      <c r="CF770">
        <v>0</v>
      </c>
      <c r="CG770">
        <v>0</v>
      </c>
      <c r="CH770">
        <v>0</v>
      </c>
      <c r="CI770">
        <v>0</v>
      </c>
      <c r="CJ770">
        <v>0</v>
      </c>
      <c r="CK770">
        <v>0</v>
      </c>
      <c r="CL770">
        <v>0</v>
      </c>
      <c r="CM770">
        <v>0</v>
      </c>
      <c r="CN770">
        <v>0</v>
      </c>
      <c r="CO770">
        <v>0</v>
      </c>
      <c r="CP770">
        <v>0</v>
      </c>
      <c r="CQ770">
        <v>0</v>
      </c>
      <c r="CR770">
        <v>0</v>
      </c>
      <c r="CS770">
        <v>0</v>
      </c>
      <c r="CT770">
        <v>0</v>
      </c>
      <c r="CU770">
        <v>0</v>
      </c>
      <c r="CV770">
        <v>0</v>
      </c>
      <c r="CW770">
        <v>0</v>
      </c>
      <c r="CX770">
        <v>0</v>
      </c>
      <c r="CY770">
        <v>0</v>
      </c>
      <c r="CZ770">
        <v>0</v>
      </c>
      <c r="DA770">
        <v>0</v>
      </c>
      <c r="DB770">
        <v>0</v>
      </c>
      <c r="DC770">
        <v>0</v>
      </c>
      <c r="DD770">
        <v>0</v>
      </c>
      <c r="DE770">
        <v>0</v>
      </c>
      <c r="DF770">
        <v>0</v>
      </c>
      <c r="DG770">
        <v>0</v>
      </c>
      <c r="DH770">
        <v>0</v>
      </c>
      <c r="DI770">
        <v>0</v>
      </c>
      <c r="DJ770">
        <v>0</v>
      </c>
      <c r="DK770">
        <v>0</v>
      </c>
      <c r="DL770">
        <v>0</v>
      </c>
      <c r="DM770">
        <v>0</v>
      </c>
      <c r="DN770">
        <v>0</v>
      </c>
      <c r="DO770">
        <v>0</v>
      </c>
      <c r="DP770">
        <v>0</v>
      </c>
      <c r="DQ770">
        <v>0</v>
      </c>
      <c r="DR770">
        <v>0</v>
      </c>
      <c r="DS770">
        <v>0</v>
      </c>
      <c r="DT770">
        <v>0</v>
      </c>
      <c r="DU770">
        <v>0</v>
      </c>
    </row>
    <row r="771" spans="2:125">
      <c r="B771" s="136">
        <v>762</v>
      </c>
      <c r="C771" s="138">
        <v>1</v>
      </c>
      <c r="D771" s="474">
        <v>3653.0890208670326</v>
      </c>
      <c r="E771" s="127">
        <v>260.48987161774437</v>
      </c>
      <c r="F771" s="447">
        <v>0.45952775795556783</v>
      </c>
      <c r="G771" s="127">
        <v>126.80257272814612</v>
      </c>
      <c r="H771" s="132">
        <v>58.405219817248188</v>
      </c>
      <c r="I771" s="456"/>
      <c r="J771" s="45"/>
      <c r="K771" s="45">
        <v>530</v>
      </c>
      <c r="L771" s="463"/>
      <c r="M771" s="456">
        <v>41.762401580810547</v>
      </c>
      <c r="N771" s="457"/>
      <c r="O771" s="456"/>
      <c r="P771" s="46"/>
      <c r="Q771" s="463">
        <v>72.331169128417969</v>
      </c>
      <c r="R771" s="449"/>
      <c r="S771" s="463"/>
      <c r="T771" s="480"/>
      <c r="U771" s="468"/>
      <c r="V771" s="449"/>
      <c r="W771" s="45">
        <v>1905.1856689453125</v>
      </c>
      <c r="X771" s="463">
        <v>155.85404968261719</v>
      </c>
      <c r="Y771" s="449"/>
      <c r="Z771" s="45"/>
      <c r="AA771" s="468">
        <v>0.45016840345754999</v>
      </c>
      <c r="AB771" s="456"/>
      <c r="AC771" s="46"/>
      <c r="AD771" s="46"/>
      <c r="AE771" s="46"/>
      <c r="AF771" s="46"/>
      <c r="AG771" s="46"/>
      <c r="AH771" s="46"/>
      <c r="AI771" s="457"/>
      <c r="AJ771" s="138"/>
      <c r="AK771" s="745"/>
      <c r="AL771" s="54"/>
      <c r="AM771" s="468"/>
      <c r="AN771" s="449"/>
      <c r="AO771" s="45"/>
      <c r="AP771" s="45"/>
      <c r="AQ771" s="45"/>
      <c r="AR771" s="45"/>
      <c r="AS771" s="45"/>
      <c r="AT771" s="45"/>
      <c r="AU771" s="463"/>
      <c r="AV771" s="449"/>
      <c r="AW771" s="45"/>
      <c r="AX771" s="45"/>
      <c r="AY771" s="45"/>
      <c r="AZ771" s="45"/>
      <c r="BA771" s="45"/>
      <c r="BB771" s="45"/>
      <c r="BC771" s="463"/>
      <c r="BD771" s="456"/>
      <c r="BE771" s="46"/>
      <c r="BF771" s="46"/>
      <c r="BG771" s="46"/>
      <c r="BH771" s="46"/>
      <c r="BI771" s="46"/>
      <c r="BJ771" s="457"/>
      <c r="BK771" s="449">
        <v>0</v>
      </c>
      <c r="BL771" s="45"/>
      <c r="BM771" s="45"/>
      <c r="BN771" s="45"/>
      <c r="BO771" s="45"/>
      <c r="BP771" s="45"/>
      <c r="BQ771" s="45"/>
      <c r="BR771" s="45"/>
      <c r="BS771" s="45"/>
      <c r="BT771" s="45"/>
      <c r="BU771" s="45"/>
      <c r="BV771" s="45"/>
      <c r="BW771" s="45"/>
      <c r="BX771" s="45"/>
      <c r="BY771" s="45"/>
      <c r="BZ771" s="45"/>
      <c r="CA771" s="45"/>
      <c r="CB771" s="45"/>
      <c r="CC771" s="45"/>
      <c r="CD771" s="463"/>
      <c r="CE771">
        <v>0</v>
      </c>
      <c r="CF771">
        <v>0</v>
      </c>
      <c r="CG771">
        <v>0</v>
      </c>
      <c r="CH771">
        <v>0</v>
      </c>
      <c r="CI771">
        <v>0</v>
      </c>
      <c r="CJ771">
        <v>0</v>
      </c>
      <c r="CK771">
        <v>0</v>
      </c>
      <c r="CL771">
        <v>0</v>
      </c>
      <c r="CM771">
        <v>0</v>
      </c>
      <c r="CN771">
        <v>0</v>
      </c>
      <c r="CO771">
        <v>0</v>
      </c>
      <c r="CP771">
        <v>0</v>
      </c>
      <c r="CQ771">
        <v>0</v>
      </c>
      <c r="CR771">
        <v>0</v>
      </c>
      <c r="CS771">
        <v>0</v>
      </c>
      <c r="CT771">
        <v>0</v>
      </c>
      <c r="CU771">
        <v>0</v>
      </c>
      <c r="CV771">
        <v>0</v>
      </c>
      <c r="CW771">
        <v>0</v>
      </c>
      <c r="CX771">
        <v>0</v>
      </c>
      <c r="CY771">
        <v>0</v>
      </c>
      <c r="CZ771">
        <v>0</v>
      </c>
      <c r="DA771">
        <v>0</v>
      </c>
      <c r="DB771">
        <v>0</v>
      </c>
      <c r="DC771">
        <v>0</v>
      </c>
      <c r="DD771">
        <v>0</v>
      </c>
      <c r="DE771">
        <v>0</v>
      </c>
      <c r="DF771">
        <v>0</v>
      </c>
      <c r="DG771">
        <v>0</v>
      </c>
      <c r="DH771">
        <v>0</v>
      </c>
      <c r="DI771">
        <v>0</v>
      </c>
      <c r="DJ771">
        <v>0</v>
      </c>
      <c r="DK771">
        <v>0</v>
      </c>
      <c r="DL771">
        <v>0</v>
      </c>
      <c r="DM771">
        <v>0</v>
      </c>
      <c r="DN771">
        <v>0</v>
      </c>
      <c r="DO771">
        <v>0</v>
      </c>
      <c r="DP771">
        <v>0</v>
      </c>
      <c r="DQ771">
        <v>0</v>
      </c>
      <c r="DR771">
        <v>0</v>
      </c>
      <c r="DS771">
        <v>0</v>
      </c>
      <c r="DT771">
        <v>0</v>
      </c>
      <c r="DU771">
        <v>0</v>
      </c>
    </row>
    <row r="772" spans="2:125">
      <c r="B772" s="136">
        <v>763</v>
      </c>
      <c r="C772" s="138">
        <v>1</v>
      </c>
      <c r="D772" s="474">
        <v>2734.8975285755073</v>
      </c>
      <c r="E772" s="127">
        <v>240.70042809697009</v>
      </c>
      <c r="F772" s="447">
        <v>0.39361755619842631</v>
      </c>
      <c r="G772" s="127">
        <v>91.642889355817644</v>
      </c>
      <c r="H772" s="132">
        <v>50.902043736224634</v>
      </c>
      <c r="I772" s="456"/>
      <c r="J772" s="45"/>
      <c r="K772" s="45">
        <v>380</v>
      </c>
      <c r="L772" s="463"/>
      <c r="M772" s="456">
        <v>29.89409065246582</v>
      </c>
      <c r="N772" s="457"/>
      <c r="O772" s="456"/>
      <c r="P772" s="46"/>
      <c r="Q772" s="463">
        <v>54.150970458984375</v>
      </c>
      <c r="R772" s="449"/>
      <c r="S772" s="463"/>
      <c r="T772" s="480"/>
      <c r="U772" s="468"/>
      <c r="V772" s="449"/>
      <c r="W772" s="45">
        <v>1134.8974609375</v>
      </c>
      <c r="X772" s="463">
        <v>99.216804504394531</v>
      </c>
      <c r="Y772" s="449"/>
      <c r="Z772" s="45"/>
      <c r="AA772" s="468">
        <v>0.38159796468521512</v>
      </c>
      <c r="AB772" s="456"/>
      <c r="AC772" s="46"/>
      <c r="AD772" s="46"/>
      <c r="AE772" s="46"/>
      <c r="AF772" s="46"/>
      <c r="AG772" s="46"/>
      <c r="AH772" s="46"/>
      <c r="AI772" s="457"/>
      <c r="AJ772" s="138"/>
      <c r="AK772" s="745"/>
      <c r="AL772" s="54"/>
      <c r="AM772" s="468"/>
      <c r="AN772" s="449"/>
      <c r="AO772" s="45"/>
      <c r="AP772" s="45"/>
      <c r="AQ772" s="45"/>
      <c r="AR772" s="45"/>
      <c r="AS772" s="45"/>
      <c r="AT772" s="45"/>
      <c r="AU772" s="463"/>
      <c r="AV772" s="449"/>
      <c r="AW772" s="45"/>
      <c r="AX772" s="45"/>
      <c r="AY772" s="45"/>
      <c r="AZ772" s="45"/>
      <c r="BA772" s="45"/>
      <c r="BB772" s="45"/>
      <c r="BC772" s="463"/>
      <c r="BD772" s="456"/>
      <c r="BE772" s="46"/>
      <c r="BF772" s="46"/>
      <c r="BG772" s="46"/>
      <c r="BH772" s="46"/>
      <c r="BI772" s="46"/>
      <c r="BJ772" s="457"/>
      <c r="BK772" s="449">
        <v>0</v>
      </c>
      <c r="BL772" s="45"/>
      <c r="BM772" s="45"/>
      <c r="BN772" s="45"/>
      <c r="BO772" s="45"/>
      <c r="BP772" s="45"/>
      <c r="BQ772" s="45"/>
      <c r="BR772" s="45"/>
      <c r="BS772" s="45"/>
      <c r="BT772" s="45"/>
      <c r="BU772" s="45"/>
      <c r="BV772" s="45"/>
      <c r="BW772" s="45"/>
      <c r="BX772" s="45"/>
      <c r="BY772" s="45"/>
      <c r="BZ772" s="45"/>
      <c r="CA772" s="45"/>
      <c r="CB772" s="45"/>
      <c r="CC772" s="45"/>
      <c r="CD772" s="463"/>
      <c r="CE772">
        <v>0</v>
      </c>
      <c r="CF772">
        <v>0</v>
      </c>
      <c r="CG772">
        <v>0</v>
      </c>
      <c r="CH772">
        <v>0</v>
      </c>
      <c r="CI772">
        <v>0</v>
      </c>
      <c r="CJ772">
        <v>0</v>
      </c>
      <c r="CK772">
        <v>0</v>
      </c>
      <c r="CL772">
        <v>0</v>
      </c>
      <c r="CM772">
        <v>0</v>
      </c>
      <c r="CN772">
        <v>0</v>
      </c>
      <c r="CO772">
        <v>0</v>
      </c>
      <c r="CP772">
        <v>0</v>
      </c>
      <c r="CQ772">
        <v>0</v>
      </c>
      <c r="CR772">
        <v>0</v>
      </c>
      <c r="CS772">
        <v>0</v>
      </c>
      <c r="CT772">
        <v>0</v>
      </c>
      <c r="CU772">
        <v>0</v>
      </c>
      <c r="CV772">
        <v>0</v>
      </c>
      <c r="CW772">
        <v>0</v>
      </c>
      <c r="CX772">
        <v>0</v>
      </c>
      <c r="CY772">
        <v>0</v>
      </c>
      <c r="CZ772">
        <v>0</v>
      </c>
      <c r="DA772">
        <v>0</v>
      </c>
      <c r="DB772">
        <v>0</v>
      </c>
      <c r="DC772">
        <v>0</v>
      </c>
      <c r="DD772">
        <v>0</v>
      </c>
      <c r="DE772">
        <v>0</v>
      </c>
      <c r="DF772">
        <v>0</v>
      </c>
      <c r="DG772">
        <v>0</v>
      </c>
      <c r="DH772">
        <v>0</v>
      </c>
      <c r="DI772">
        <v>0</v>
      </c>
      <c r="DJ772">
        <v>0</v>
      </c>
      <c r="DK772">
        <v>0</v>
      </c>
      <c r="DL772">
        <v>0</v>
      </c>
      <c r="DM772">
        <v>0</v>
      </c>
      <c r="DN772">
        <v>0</v>
      </c>
      <c r="DO772">
        <v>0</v>
      </c>
      <c r="DP772">
        <v>0</v>
      </c>
      <c r="DQ772">
        <v>0</v>
      </c>
      <c r="DR772">
        <v>0</v>
      </c>
      <c r="DS772">
        <v>0</v>
      </c>
      <c r="DT772">
        <v>0</v>
      </c>
      <c r="DU772">
        <v>0</v>
      </c>
    </row>
    <row r="773" spans="2:125">
      <c r="B773" s="136">
        <v>764</v>
      </c>
      <c r="C773" s="138">
        <v>1</v>
      </c>
      <c r="D773" s="474">
        <v>3433.1504637551652</v>
      </c>
      <c r="E773" s="127">
        <v>243.22944317814014</v>
      </c>
      <c r="F773" s="447">
        <v>0.48595429252542616</v>
      </c>
      <c r="G773" s="127">
        <v>129.16254135408957</v>
      </c>
      <c r="H773" s="132">
        <v>53.937253197006314</v>
      </c>
      <c r="I773" s="456"/>
      <c r="J773" s="45"/>
      <c r="K773" s="45">
        <v>520</v>
      </c>
      <c r="L773" s="463"/>
      <c r="M773" s="456">
        <v>49.200767517089844</v>
      </c>
      <c r="N773" s="457"/>
      <c r="O773" s="456"/>
      <c r="P773" s="46"/>
      <c r="Q773" s="463">
        <v>67.97637939453125</v>
      </c>
      <c r="R773" s="449"/>
      <c r="S773" s="463"/>
      <c r="T773" s="480"/>
      <c r="U773" s="468"/>
      <c r="V773" s="449"/>
      <c r="W773" s="45">
        <v>2137.915771484375</v>
      </c>
      <c r="X773" s="463">
        <v>172.7564697265625</v>
      </c>
      <c r="Y773" s="449"/>
      <c r="Z773" s="45"/>
      <c r="AA773" s="468">
        <v>0.47584139878043924</v>
      </c>
      <c r="AB773" s="456"/>
      <c r="AC773" s="46"/>
      <c r="AD773" s="46"/>
      <c r="AE773" s="46"/>
      <c r="AF773" s="46"/>
      <c r="AG773" s="46"/>
      <c r="AH773" s="46"/>
      <c r="AI773" s="457"/>
      <c r="AJ773" s="138"/>
      <c r="AK773" s="745"/>
      <c r="AL773" s="54"/>
      <c r="AM773" s="468"/>
      <c r="AN773" s="449"/>
      <c r="AO773" s="45"/>
      <c r="AP773" s="45"/>
      <c r="AQ773" s="45"/>
      <c r="AR773" s="45"/>
      <c r="AS773" s="45"/>
      <c r="AT773" s="45"/>
      <c r="AU773" s="463"/>
      <c r="AV773" s="449"/>
      <c r="AW773" s="45"/>
      <c r="AX773" s="45"/>
      <c r="AY773" s="45"/>
      <c r="AZ773" s="45"/>
      <c r="BA773" s="45"/>
      <c r="BB773" s="45"/>
      <c r="BC773" s="463"/>
      <c r="BD773" s="456"/>
      <c r="BE773" s="46"/>
      <c r="BF773" s="46"/>
      <c r="BG773" s="46"/>
      <c r="BH773" s="46"/>
      <c r="BI773" s="46"/>
      <c r="BJ773" s="457"/>
      <c r="BK773" s="449">
        <v>0</v>
      </c>
      <c r="BL773" s="45"/>
      <c r="BM773" s="45"/>
      <c r="BN773" s="45"/>
      <c r="BO773" s="45"/>
      <c r="BP773" s="45"/>
      <c r="BQ773" s="45"/>
      <c r="BR773" s="45"/>
      <c r="BS773" s="45"/>
      <c r="BT773" s="45"/>
      <c r="BU773" s="45"/>
      <c r="BV773" s="45"/>
      <c r="BW773" s="45"/>
      <c r="BX773" s="45"/>
      <c r="BY773" s="45"/>
      <c r="BZ773" s="45"/>
      <c r="CA773" s="45"/>
      <c r="CB773" s="45"/>
      <c r="CC773" s="45"/>
      <c r="CD773" s="463"/>
      <c r="CE773">
        <v>0</v>
      </c>
      <c r="CF773">
        <v>0</v>
      </c>
      <c r="CG773">
        <v>0</v>
      </c>
      <c r="CH773">
        <v>0</v>
      </c>
      <c r="CI773">
        <v>0</v>
      </c>
      <c r="CJ773">
        <v>0</v>
      </c>
      <c r="CK773">
        <v>0</v>
      </c>
      <c r="CL773">
        <v>0</v>
      </c>
      <c r="CM773">
        <v>0</v>
      </c>
      <c r="CN773">
        <v>0</v>
      </c>
      <c r="CO773">
        <v>0</v>
      </c>
      <c r="CP773">
        <v>0</v>
      </c>
      <c r="CQ773">
        <v>0</v>
      </c>
      <c r="CR773">
        <v>0</v>
      </c>
      <c r="CS773">
        <v>0</v>
      </c>
      <c r="CT773">
        <v>0</v>
      </c>
      <c r="CU773">
        <v>0</v>
      </c>
      <c r="CV773">
        <v>0</v>
      </c>
      <c r="CW773">
        <v>0</v>
      </c>
      <c r="CX773">
        <v>0</v>
      </c>
      <c r="CY773">
        <v>0</v>
      </c>
      <c r="CZ773">
        <v>0</v>
      </c>
      <c r="DA773">
        <v>0</v>
      </c>
      <c r="DB773">
        <v>0</v>
      </c>
      <c r="DC773">
        <v>0</v>
      </c>
      <c r="DD773">
        <v>0</v>
      </c>
      <c r="DE773">
        <v>0</v>
      </c>
      <c r="DF773">
        <v>0</v>
      </c>
      <c r="DG773">
        <v>0</v>
      </c>
      <c r="DH773">
        <v>0</v>
      </c>
      <c r="DI773">
        <v>0</v>
      </c>
      <c r="DJ773">
        <v>0</v>
      </c>
      <c r="DK773">
        <v>0</v>
      </c>
      <c r="DL773">
        <v>0</v>
      </c>
      <c r="DM773">
        <v>0</v>
      </c>
      <c r="DN773">
        <v>0</v>
      </c>
      <c r="DO773">
        <v>0</v>
      </c>
      <c r="DP773">
        <v>0</v>
      </c>
      <c r="DQ773">
        <v>0</v>
      </c>
      <c r="DR773">
        <v>0</v>
      </c>
      <c r="DS773">
        <v>0</v>
      </c>
      <c r="DT773">
        <v>0</v>
      </c>
      <c r="DU773">
        <v>0</v>
      </c>
    </row>
    <row r="774" spans="2:125">
      <c r="B774" s="136">
        <v>765</v>
      </c>
      <c r="C774" s="138">
        <v>1</v>
      </c>
      <c r="D774" s="474">
        <v>3055.7996532660545</v>
      </c>
      <c r="E774" s="127">
        <v>219.31881078147427</v>
      </c>
      <c r="F774" s="447">
        <v>0.52168107147644693</v>
      </c>
      <c r="G774" s="127">
        <v>106.33626878271983</v>
      </c>
      <c r="H774" s="132">
        <v>53.08358983840364</v>
      </c>
      <c r="I774" s="456"/>
      <c r="J774" s="45"/>
      <c r="K774" s="45">
        <v>450</v>
      </c>
      <c r="L774" s="463"/>
      <c r="M774" s="456">
        <v>56.308822631835938</v>
      </c>
      <c r="N774" s="457"/>
      <c r="O774" s="456"/>
      <c r="P774" s="46"/>
      <c r="Q774" s="463">
        <v>60.504837036132812</v>
      </c>
      <c r="R774" s="449"/>
      <c r="S774" s="463"/>
      <c r="T774" s="480"/>
      <c r="U774" s="468"/>
      <c r="V774" s="449"/>
      <c r="W774" s="45">
        <v>2241.540283203125</v>
      </c>
      <c r="X774" s="463">
        <v>179.99534606933594</v>
      </c>
      <c r="Y774" s="449"/>
      <c r="Z774" s="45"/>
      <c r="AA774" s="468">
        <v>0.51008553988076222</v>
      </c>
      <c r="AB774" s="456"/>
      <c r="AC774" s="46"/>
      <c r="AD774" s="46"/>
      <c r="AE774" s="46"/>
      <c r="AF774" s="46"/>
      <c r="AG774" s="46"/>
      <c r="AH774" s="46"/>
      <c r="AI774" s="457"/>
      <c r="AJ774" s="138"/>
      <c r="AK774" s="745"/>
      <c r="AL774" s="54"/>
      <c r="AM774" s="468"/>
      <c r="AN774" s="449"/>
      <c r="AO774" s="45"/>
      <c r="AP774" s="45"/>
      <c r="AQ774" s="45"/>
      <c r="AR774" s="45"/>
      <c r="AS774" s="45"/>
      <c r="AT774" s="45"/>
      <c r="AU774" s="463"/>
      <c r="AV774" s="449"/>
      <c r="AW774" s="45"/>
      <c r="AX774" s="45"/>
      <c r="AY774" s="45"/>
      <c r="AZ774" s="45"/>
      <c r="BA774" s="45"/>
      <c r="BB774" s="45"/>
      <c r="BC774" s="463"/>
      <c r="BD774" s="456"/>
      <c r="BE774" s="46"/>
      <c r="BF774" s="46"/>
      <c r="BG774" s="46"/>
      <c r="BH774" s="46"/>
      <c r="BI774" s="46"/>
      <c r="BJ774" s="457"/>
      <c r="BK774" s="449">
        <v>0</v>
      </c>
      <c r="BL774" s="45"/>
      <c r="BM774" s="45"/>
      <c r="BN774" s="45"/>
      <c r="BO774" s="45"/>
      <c r="BP774" s="45"/>
      <c r="BQ774" s="45"/>
      <c r="BR774" s="45"/>
      <c r="BS774" s="45"/>
      <c r="BT774" s="45"/>
      <c r="BU774" s="45"/>
      <c r="BV774" s="45"/>
      <c r="BW774" s="45"/>
      <c r="BX774" s="45"/>
      <c r="BY774" s="45"/>
      <c r="BZ774" s="45"/>
      <c r="CA774" s="45"/>
      <c r="CB774" s="45"/>
      <c r="CC774" s="45"/>
      <c r="CD774" s="463"/>
      <c r="CE774">
        <v>0</v>
      </c>
      <c r="CF774">
        <v>0</v>
      </c>
      <c r="CG774">
        <v>0</v>
      </c>
      <c r="CH774">
        <v>0</v>
      </c>
      <c r="CI774">
        <v>0</v>
      </c>
      <c r="CJ774">
        <v>0</v>
      </c>
      <c r="CK774">
        <v>0</v>
      </c>
      <c r="CL774">
        <v>0</v>
      </c>
      <c r="CM774">
        <v>0</v>
      </c>
      <c r="CN774">
        <v>0</v>
      </c>
      <c r="CO774">
        <v>0</v>
      </c>
      <c r="CP774">
        <v>0</v>
      </c>
      <c r="CQ774">
        <v>0</v>
      </c>
      <c r="CR774">
        <v>0</v>
      </c>
      <c r="CS774">
        <v>0</v>
      </c>
      <c r="CT774">
        <v>0</v>
      </c>
      <c r="CU774">
        <v>0</v>
      </c>
      <c r="CV774">
        <v>0</v>
      </c>
      <c r="CW774">
        <v>0</v>
      </c>
      <c r="CX774">
        <v>0</v>
      </c>
      <c r="CY774">
        <v>0</v>
      </c>
      <c r="CZ774">
        <v>0</v>
      </c>
      <c r="DA774">
        <v>0</v>
      </c>
      <c r="DB774">
        <v>0</v>
      </c>
      <c r="DC774">
        <v>0</v>
      </c>
      <c r="DD774">
        <v>0</v>
      </c>
      <c r="DE774">
        <v>0</v>
      </c>
      <c r="DF774">
        <v>0</v>
      </c>
      <c r="DG774">
        <v>0</v>
      </c>
      <c r="DH774">
        <v>0</v>
      </c>
      <c r="DI774">
        <v>0</v>
      </c>
      <c r="DJ774">
        <v>0</v>
      </c>
      <c r="DK774">
        <v>0</v>
      </c>
      <c r="DL774">
        <v>0</v>
      </c>
      <c r="DM774">
        <v>0</v>
      </c>
      <c r="DN774">
        <v>0</v>
      </c>
      <c r="DO774">
        <v>0</v>
      </c>
      <c r="DP774">
        <v>0</v>
      </c>
      <c r="DQ774">
        <v>0</v>
      </c>
      <c r="DR774">
        <v>0</v>
      </c>
      <c r="DS774">
        <v>0</v>
      </c>
      <c r="DT774">
        <v>0</v>
      </c>
      <c r="DU774">
        <v>0</v>
      </c>
    </row>
    <row r="775" spans="2:125">
      <c r="B775" s="136">
        <v>766</v>
      </c>
      <c r="C775" s="138">
        <v>1</v>
      </c>
      <c r="D775" s="474">
        <v>3575.6824926585159</v>
      </c>
      <c r="E775" s="127">
        <v>197.56330065854061</v>
      </c>
      <c r="F775" s="447">
        <v>0.49414693895066109</v>
      </c>
      <c r="G775" s="127">
        <v>121.84083973204469</v>
      </c>
      <c r="H775" s="132">
        <v>64.490779443052531</v>
      </c>
      <c r="I775" s="456"/>
      <c r="J775" s="45"/>
      <c r="K775" s="45">
        <v>540</v>
      </c>
      <c r="L775" s="463"/>
      <c r="M775" s="456">
        <v>47.956981658935547</v>
      </c>
      <c r="N775" s="457"/>
      <c r="O775" s="456"/>
      <c r="P775" s="46"/>
      <c r="Q775" s="463">
        <v>79.109336853027344</v>
      </c>
      <c r="R775" s="449"/>
      <c r="S775" s="463"/>
      <c r="T775" s="480"/>
      <c r="U775" s="468"/>
      <c r="V775" s="449"/>
      <c r="W775" s="45">
        <v>2270.552734375</v>
      </c>
      <c r="X775" s="463">
        <v>182.48878479003906</v>
      </c>
      <c r="Y775" s="449"/>
      <c r="Z775" s="45"/>
      <c r="AA775" s="468">
        <v>0.48439133597119244</v>
      </c>
      <c r="AB775" s="456"/>
      <c r="AC775" s="46"/>
      <c r="AD775" s="46"/>
      <c r="AE775" s="46"/>
      <c r="AF775" s="46"/>
      <c r="AG775" s="46"/>
      <c r="AH775" s="46"/>
      <c r="AI775" s="457"/>
      <c r="AJ775" s="138"/>
      <c r="AK775" s="745"/>
      <c r="AL775" s="54"/>
      <c r="AM775" s="468"/>
      <c r="AN775" s="449"/>
      <c r="AO775" s="45"/>
      <c r="AP775" s="45"/>
      <c r="AQ775" s="45"/>
      <c r="AR775" s="45"/>
      <c r="AS775" s="45"/>
      <c r="AT775" s="45"/>
      <c r="AU775" s="463"/>
      <c r="AV775" s="449"/>
      <c r="AW775" s="45"/>
      <c r="AX775" s="45"/>
      <c r="AY775" s="45"/>
      <c r="AZ775" s="45"/>
      <c r="BA775" s="45"/>
      <c r="BB775" s="45"/>
      <c r="BC775" s="463"/>
      <c r="BD775" s="456"/>
      <c r="BE775" s="46"/>
      <c r="BF775" s="46"/>
      <c r="BG775" s="46"/>
      <c r="BH775" s="46"/>
      <c r="BI775" s="46"/>
      <c r="BJ775" s="457"/>
      <c r="BK775" s="449">
        <v>0</v>
      </c>
      <c r="BL775" s="45"/>
      <c r="BM775" s="45"/>
      <c r="BN775" s="45"/>
      <c r="BO775" s="45"/>
      <c r="BP775" s="45"/>
      <c r="BQ775" s="45"/>
      <c r="BR775" s="45"/>
      <c r="BS775" s="45"/>
      <c r="BT775" s="45"/>
      <c r="BU775" s="45"/>
      <c r="BV775" s="45"/>
      <c r="BW775" s="45"/>
      <c r="BX775" s="45"/>
      <c r="BY775" s="45"/>
      <c r="BZ775" s="45"/>
      <c r="CA775" s="45"/>
      <c r="CB775" s="45"/>
      <c r="CC775" s="45"/>
      <c r="CD775" s="463"/>
      <c r="CE775">
        <v>0</v>
      </c>
      <c r="CF775">
        <v>0</v>
      </c>
      <c r="CG775">
        <v>0</v>
      </c>
      <c r="CH775">
        <v>0</v>
      </c>
      <c r="CI775">
        <v>0</v>
      </c>
      <c r="CJ775">
        <v>0</v>
      </c>
      <c r="CK775">
        <v>0</v>
      </c>
      <c r="CL775">
        <v>0</v>
      </c>
      <c r="CM775">
        <v>0</v>
      </c>
      <c r="CN775">
        <v>0</v>
      </c>
      <c r="CO775">
        <v>0</v>
      </c>
      <c r="CP775">
        <v>0</v>
      </c>
      <c r="CQ775">
        <v>0</v>
      </c>
      <c r="CR775">
        <v>0</v>
      </c>
      <c r="CS775">
        <v>0</v>
      </c>
      <c r="CT775">
        <v>0</v>
      </c>
      <c r="CU775">
        <v>0</v>
      </c>
      <c r="CV775">
        <v>0</v>
      </c>
      <c r="CW775">
        <v>0</v>
      </c>
      <c r="CX775">
        <v>0</v>
      </c>
      <c r="CY775">
        <v>0</v>
      </c>
      <c r="CZ775">
        <v>0</v>
      </c>
      <c r="DA775">
        <v>0</v>
      </c>
      <c r="DB775">
        <v>0</v>
      </c>
      <c r="DC775">
        <v>0</v>
      </c>
      <c r="DD775">
        <v>0</v>
      </c>
      <c r="DE775">
        <v>0</v>
      </c>
      <c r="DF775">
        <v>0</v>
      </c>
      <c r="DG775">
        <v>0</v>
      </c>
      <c r="DH775">
        <v>0</v>
      </c>
      <c r="DI775">
        <v>0</v>
      </c>
      <c r="DJ775">
        <v>0</v>
      </c>
      <c r="DK775">
        <v>0</v>
      </c>
      <c r="DL775">
        <v>0</v>
      </c>
      <c r="DM775">
        <v>0</v>
      </c>
      <c r="DN775">
        <v>0</v>
      </c>
      <c r="DO775">
        <v>0</v>
      </c>
      <c r="DP775">
        <v>0</v>
      </c>
      <c r="DQ775">
        <v>0</v>
      </c>
      <c r="DR775">
        <v>0</v>
      </c>
      <c r="DS775">
        <v>0</v>
      </c>
      <c r="DT775">
        <v>0</v>
      </c>
      <c r="DU775">
        <v>0</v>
      </c>
    </row>
    <row r="776" spans="2:125">
      <c r="B776" s="136">
        <v>767</v>
      </c>
      <c r="C776" s="138">
        <v>1</v>
      </c>
      <c r="D776" s="474">
        <v>3758.4053638481628</v>
      </c>
      <c r="E776" s="127">
        <v>174.19368485094375</v>
      </c>
      <c r="F776" s="447">
        <v>0.44846507792789242</v>
      </c>
      <c r="G776" s="127">
        <v>151.14567629711755</v>
      </c>
      <c r="H776" s="132">
        <v>60.750053619519463</v>
      </c>
      <c r="I776" s="456"/>
      <c r="J776" s="45"/>
      <c r="K776" s="45">
        <v>610</v>
      </c>
      <c r="L776" s="463"/>
      <c r="M776" s="456">
        <v>41.920501708984375</v>
      </c>
      <c r="N776" s="457"/>
      <c r="O776" s="456"/>
      <c r="P776" s="46"/>
      <c r="Q776" s="463">
        <v>82.340888977050781</v>
      </c>
      <c r="R776" s="449"/>
      <c r="S776" s="463"/>
      <c r="T776" s="480"/>
      <c r="U776" s="468"/>
      <c r="V776" s="449"/>
      <c r="W776" s="45">
        <v>2079.97705078125</v>
      </c>
      <c r="X776" s="463">
        <v>168.91143798828125</v>
      </c>
      <c r="Y776" s="449"/>
      <c r="Z776" s="45"/>
      <c r="AA776" s="468">
        <v>0.43942685605717402</v>
      </c>
      <c r="AB776" s="456"/>
      <c r="AC776" s="46"/>
      <c r="AD776" s="46"/>
      <c r="AE776" s="46"/>
      <c r="AF776" s="46"/>
      <c r="AG776" s="46"/>
      <c r="AH776" s="46"/>
      <c r="AI776" s="457"/>
      <c r="AJ776" s="138"/>
      <c r="AK776" s="745"/>
      <c r="AL776" s="54"/>
      <c r="AM776" s="468"/>
      <c r="AN776" s="449"/>
      <c r="AO776" s="45"/>
      <c r="AP776" s="45"/>
      <c r="AQ776" s="45"/>
      <c r="AR776" s="45"/>
      <c r="AS776" s="45"/>
      <c r="AT776" s="45"/>
      <c r="AU776" s="463"/>
      <c r="AV776" s="449"/>
      <c r="AW776" s="45"/>
      <c r="AX776" s="45"/>
      <c r="AY776" s="45"/>
      <c r="AZ776" s="45"/>
      <c r="BA776" s="45"/>
      <c r="BB776" s="45"/>
      <c r="BC776" s="463"/>
      <c r="BD776" s="456"/>
      <c r="BE776" s="46"/>
      <c r="BF776" s="46"/>
      <c r="BG776" s="46"/>
      <c r="BH776" s="46"/>
      <c r="BI776" s="46"/>
      <c r="BJ776" s="457"/>
      <c r="BK776" s="449">
        <v>0</v>
      </c>
      <c r="BL776" s="45"/>
      <c r="BM776" s="45"/>
      <c r="BN776" s="45"/>
      <c r="BO776" s="45"/>
      <c r="BP776" s="45"/>
      <c r="BQ776" s="45"/>
      <c r="BR776" s="45"/>
      <c r="BS776" s="45"/>
      <c r="BT776" s="45"/>
      <c r="BU776" s="45"/>
      <c r="BV776" s="45"/>
      <c r="BW776" s="45"/>
      <c r="BX776" s="45"/>
      <c r="BY776" s="45"/>
      <c r="BZ776" s="45"/>
      <c r="CA776" s="45"/>
      <c r="CB776" s="45"/>
      <c r="CC776" s="45"/>
      <c r="CD776" s="463"/>
      <c r="CE776">
        <v>0</v>
      </c>
      <c r="CF776">
        <v>0</v>
      </c>
      <c r="CG776">
        <v>0</v>
      </c>
      <c r="CH776">
        <v>0</v>
      </c>
      <c r="CI776">
        <v>0</v>
      </c>
      <c r="CJ776">
        <v>0</v>
      </c>
      <c r="CK776">
        <v>0</v>
      </c>
      <c r="CL776">
        <v>0</v>
      </c>
      <c r="CM776">
        <v>0</v>
      </c>
      <c r="CN776">
        <v>0</v>
      </c>
      <c r="CO776">
        <v>0</v>
      </c>
      <c r="CP776">
        <v>0</v>
      </c>
      <c r="CQ776">
        <v>0</v>
      </c>
      <c r="CR776">
        <v>0</v>
      </c>
      <c r="CS776">
        <v>0</v>
      </c>
      <c r="CT776">
        <v>0</v>
      </c>
      <c r="CU776">
        <v>0</v>
      </c>
      <c r="CV776">
        <v>0</v>
      </c>
      <c r="CW776">
        <v>0</v>
      </c>
      <c r="CX776">
        <v>0</v>
      </c>
      <c r="CY776">
        <v>0</v>
      </c>
      <c r="CZ776">
        <v>0</v>
      </c>
      <c r="DA776">
        <v>0</v>
      </c>
      <c r="DB776">
        <v>0</v>
      </c>
      <c r="DC776">
        <v>0</v>
      </c>
      <c r="DD776">
        <v>0</v>
      </c>
      <c r="DE776">
        <v>0</v>
      </c>
      <c r="DF776">
        <v>0</v>
      </c>
      <c r="DG776">
        <v>0</v>
      </c>
      <c r="DH776">
        <v>0</v>
      </c>
      <c r="DI776">
        <v>0</v>
      </c>
      <c r="DJ776">
        <v>0</v>
      </c>
      <c r="DK776">
        <v>0</v>
      </c>
      <c r="DL776">
        <v>0</v>
      </c>
      <c r="DM776">
        <v>0</v>
      </c>
      <c r="DN776">
        <v>0</v>
      </c>
      <c r="DO776">
        <v>0</v>
      </c>
      <c r="DP776">
        <v>0</v>
      </c>
      <c r="DQ776">
        <v>0</v>
      </c>
      <c r="DR776">
        <v>0</v>
      </c>
      <c r="DS776">
        <v>0</v>
      </c>
      <c r="DT776">
        <v>0</v>
      </c>
      <c r="DU776">
        <v>0</v>
      </c>
    </row>
    <row r="777" spans="2:125">
      <c r="B777" s="136">
        <v>768</v>
      </c>
      <c r="C777" s="138">
        <v>1</v>
      </c>
      <c r="D777" s="474">
        <v>2657.9161200085023</v>
      </c>
      <c r="E777" s="127">
        <v>294.60101668100219</v>
      </c>
      <c r="F777" s="447">
        <v>0.4498246643082931</v>
      </c>
      <c r="G777" s="127">
        <v>102.59945853989092</v>
      </c>
      <c r="H777" s="132">
        <v>45.221251044406664</v>
      </c>
      <c r="I777" s="456"/>
      <c r="J777" s="45"/>
      <c r="K777" s="45">
        <v>410</v>
      </c>
      <c r="L777" s="463"/>
      <c r="M777" s="456">
        <v>39.354545593261719</v>
      </c>
      <c r="N777" s="457"/>
      <c r="O777" s="456"/>
      <c r="P777" s="46"/>
      <c r="Q777" s="463">
        <v>52.626743316650391</v>
      </c>
      <c r="R777" s="449"/>
      <c r="S777" s="463"/>
      <c r="T777" s="480"/>
      <c r="U777" s="468"/>
      <c r="V777" s="449"/>
      <c r="W777" s="45">
        <v>1467.4346923828125</v>
      </c>
      <c r="X777" s="463">
        <v>123.51730346679687</v>
      </c>
      <c r="Y777" s="449"/>
      <c r="Z777" s="45"/>
      <c r="AA777" s="468">
        <v>0.43703400736082815</v>
      </c>
      <c r="AB777" s="456"/>
      <c r="AC777" s="46"/>
      <c r="AD777" s="46"/>
      <c r="AE777" s="46"/>
      <c r="AF777" s="46"/>
      <c r="AG777" s="46"/>
      <c r="AH777" s="46"/>
      <c r="AI777" s="457"/>
      <c r="AJ777" s="138"/>
      <c r="AK777" s="745"/>
      <c r="AL777" s="54"/>
      <c r="AM777" s="468"/>
      <c r="AN777" s="449"/>
      <c r="AO777" s="45"/>
      <c r="AP777" s="45"/>
      <c r="AQ777" s="45"/>
      <c r="AR777" s="45"/>
      <c r="AS777" s="45"/>
      <c r="AT777" s="45"/>
      <c r="AU777" s="463"/>
      <c r="AV777" s="449"/>
      <c r="AW777" s="45"/>
      <c r="AX777" s="45"/>
      <c r="AY777" s="45"/>
      <c r="AZ777" s="45"/>
      <c r="BA777" s="45"/>
      <c r="BB777" s="45"/>
      <c r="BC777" s="463"/>
      <c r="BD777" s="456"/>
      <c r="BE777" s="46"/>
      <c r="BF777" s="46"/>
      <c r="BG777" s="46"/>
      <c r="BH777" s="46"/>
      <c r="BI777" s="46"/>
      <c r="BJ777" s="457"/>
      <c r="BK777" s="449">
        <v>0</v>
      </c>
      <c r="BL777" s="45"/>
      <c r="BM777" s="45"/>
      <c r="BN777" s="45"/>
      <c r="BO777" s="45"/>
      <c r="BP777" s="45"/>
      <c r="BQ777" s="45"/>
      <c r="BR777" s="45"/>
      <c r="BS777" s="45"/>
      <c r="BT777" s="45"/>
      <c r="BU777" s="45"/>
      <c r="BV777" s="45"/>
      <c r="BW777" s="45"/>
      <c r="BX777" s="45"/>
      <c r="BY777" s="45"/>
      <c r="BZ777" s="45"/>
      <c r="CA777" s="45"/>
      <c r="CB777" s="45"/>
      <c r="CC777" s="45"/>
      <c r="CD777" s="463"/>
      <c r="CE777">
        <v>0</v>
      </c>
      <c r="CF777">
        <v>0</v>
      </c>
      <c r="CG777">
        <v>0</v>
      </c>
      <c r="CH777">
        <v>0</v>
      </c>
      <c r="CI777">
        <v>0</v>
      </c>
      <c r="CJ777">
        <v>0</v>
      </c>
      <c r="CK777">
        <v>0</v>
      </c>
      <c r="CL777">
        <v>0</v>
      </c>
      <c r="CM777">
        <v>0</v>
      </c>
      <c r="CN777">
        <v>0</v>
      </c>
      <c r="CO777">
        <v>0</v>
      </c>
      <c r="CP777">
        <v>0</v>
      </c>
      <c r="CQ777">
        <v>0</v>
      </c>
      <c r="CR777">
        <v>0</v>
      </c>
      <c r="CS777">
        <v>0</v>
      </c>
      <c r="CT777">
        <v>0</v>
      </c>
      <c r="CU777">
        <v>0</v>
      </c>
      <c r="CV777">
        <v>0</v>
      </c>
      <c r="CW777">
        <v>0</v>
      </c>
      <c r="CX777">
        <v>0</v>
      </c>
      <c r="CY777">
        <v>0</v>
      </c>
      <c r="CZ777">
        <v>0</v>
      </c>
      <c r="DA777">
        <v>0</v>
      </c>
      <c r="DB777">
        <v>0</v>
      </c>
      <c r="DC777">
        <v>0</v>
      </c>
      <c r="DD777">
        <v>0</v>
      </c>
      <c r="DE777">
        <v>0</v>
      </c>
      <c r="DF777">
        <v>0</v>
      </c>
      <c r="DG777">
        <v>0</v>
      </c>
      <c r="DH777">
        <v>0</v>
      </c>
      <c r="DI777">
        <v>0</v>
      </c>
      <c r="DJ777">
        <v>0</v>
      </c>
      <c r="DK777">
        <v>0</v>
      </c>
      <c r="DL777">
        <v>0</v>
      </c>
      <c r="DM777">
        <v>0</v>
      </c>
      <c r="DN777">
        <v>0</v>
      </c>
      <c r="DO777">
        <v>0</v>
      </c>
      <c r="DP777">
        <v>0</v>
      </c>
      <c r="DQ777">
        <v>0</v>
      </c>
      <c r="DR777">
        <v>0</v>
      </c>
      <c r="DS777">
        <v>0</v>
      </c>
      <c r="DT777">
        <v>0</v>
      </c>
      <c r="DU777">
        <v>0</v>
      </c>
    </row>
    <row r="778" spans="2:125">
      <c r="B778" s="136">
        <v>769</v>
      </c>
      <c r="C778" s="138">
        <v>1</v>
      </c>
      <c r="D778" s="474">
        <v>2509.3879347957168</v>
      </c>
      <c r="E778" s="127">
        <v>243.29188705404766</v>
      </c>
      <c r="F778" s="447">
        <v>0.45149984506605834</v>
      </c>
      <c r="G778" s="127">
        <v>97.164400784198094</v>
      </c>
      <c r="H778" s="132">
        <v>43.262027572328407</v>
      </c>
      <c r="I778" s="456"/>
      <c r="J778" s="45"/>
      <c r="K778" s="45">
        <v>390</v>
      </c>
      <c r="L778" s="463"/>
      <c r="M778" s="456">
        <v>39.560897827148437</v>
      </c>
      <c r="N778" s="457"/>
      <c r="O778" s="456"/>
      <c r="P778" s="46"/>
      <c r="Q778" s="463">
        <v>49.685882568359375</v>
      </c>
      <c r="R778" s="449"/>
      <c r="S778" s="463"/>
      <c r="T778" s="480"/>
      <c r="U778" s="468"/>
      <c r="V778" s="449"/>
      <c r="W778" s="45">
        <v>1405.9261474609375</v>
      </c>
      <c r="X778" s="463">
        <v>118.94976043701172</v>
      </c>
      <c r="Y778" s="449"/>
      <c r="Z778" s="45"/>
      <c r="AA778" s="468">
        <v>0.43793877049904789</v>
      </c>
      <c r="AB778" s="456"/>
      <c r="AC778" s="46"/>
      <c r="AD778" s="46"/>
      <c r="AE778" s="46"/>
      <c r="AF778" s="46"/>
      <c r="AG778" s="46"/>
      <c r="AH778" s="46"/>
      <c r="AI778" s="457"/>
      <c r="AJ778" s="138"/>
      <c r="AK778" s="745"/>
      <c r="AL778" s="54"/>
      <c r="AM778" s="468"/>
      <c r="AN778" s="449"/>
      <c r="AO778" s="45"/>
      <c r="AP778" s="45"/>
      <c r="AQ778" s="45"/>
      <c r="AR778" s="45"/>
      <c r="AS778" s="45"/>
      <c r="AT778" s="45"/>
      <c r="AU778" s="463"/>
      <c r="AV778" s="449"/>
      <c r="AW778" s="45"/>
      <c r="AX778" s="45"/>
      <c r="AY778" s="45"/>
      <c r="AZ778" s="45"/>
      <c r="BA778" s="45"/>
      <c r="BB778" s="45"/>
      <c r="BC778" s="463"/>
      <c r="BD778" s="456"/>
      <c r="BE778" s="46"/>
      <c r="BF778" s="46"/>
      <c r="BG778" s="46"/>
      <c r="BH778" s="46"/>
      <c r="BI778" s="46"/>
      <c r="BJ778" s="457"/>
      <c r="BK778" s="449">
        <v>0</v>
      </c>
      <c r="BL778" s="45"/>
      <c r="BM778" s="45"/>
      <c r="BN778" s="45"/>
      <c r="BO778" s="45"/>
      <c r="BP778" s="45"/>
      <c r="BQ778" s="45"/>
      <c r="BR778" s="45"/>
      <c r="BS778" s="45"/>
      <c r="BT778" s="45"/>
      <c r="BU778" s="45"/>
      <c r="BV778" s="45"/>
      <c r="BW778" s="45"/>
      <c r="BX778" s="45"/>
      <c r="BY778" s="45"/>
      <c r="BZ778" s="45"/>
      <c r="CA778" s="45"/>
      <c r="CB778" s="45"/>
      <c r="CC778" s="45"/>
      <c r="CD778" s="463"/>
      <c r="CE778">
        <v>0</v>
      </c>
      <c r="CF778">
        <v>0</v>
      </c>
      <c r="CG778">
        <v>0</v>
      </c>
      <c r="CH778">
        <v>0</v>
      </c>
      <c r="CI778">
        <v>0</v>
      </c>
      <c r="CJ778">
        <v>0</v>
      </c>
      <c r="CK778">
        <v>0</v>
      </c>
      <c r="CL778">
        <v>0</v>
      </c>
      <c r="CM778">
        <v>0</v>
      </c>
      <c r="CN778">
        <v>0</v>
      </c>
      <c r="CO778">
        <v>0</v>
      </c>
      <c r="CP778">
        <v>0</v>
      </c>
      <c r="CQ778">
        <v>0</v>
      </c>
      <c r="CR778">
        <v>0</v>
      </c>
      <c r="CS778">
        <v>0</v>
      </c>
      <c r="CT778">
        <v>0</v>
      </c>
      <c r="CU778">
        <v>0</v>
      </c>
      <c r="CV778">
        <v>0</v>
      </c>
      <c r="CW778">
        <v>0</v>
      </c>
      <c r="CX778">
        <v>0</v>
      </c>
      <c r="CY778">
        <v>0</v>
      </c>
      <c r="CZ778">
        <v>0</v>
      </c>
      <c r="DA778">
        <v>0</v>
      </c>
      <c r="DB778">
        <v>0</v>
      </c>
      <c r="DC778">
        <v>0</v>
      </c>
      <c r="DD778">
        <v>0</v>
      </c>
      <c r="DE778">
        <v>0</v>
      </c>
      <c r="DF778">
        <v>0</v>
      </c>
      <c r="DG778">
        <v>0</v>
      </c>
      <c r="DH778">
        <v>0</v>
      </c>
      <c r="DI778">
        <v>0</v>
      </c>
      <c r="DJ778">
        <v>0</v>
      </c>
      <c r="DK778">
        <v>0</v>
      </c>
      <c r="DL778">
        <v>0</v>
      </c>
      <c r="DM778">
        <v>0</v>
      </c>
      <c r="DN778">
        <v>0</v>
      </c>
      <c r="DO778">
        <v>0</v>
      </c>
      <c r="DP778">
        <v>0</v>
      </c>
      <c r="DQ778">
        <v>0</v>
      </c>
      <c r="DR778">
        <v>0</v>
      </c>
      <c r="DS778">
        <v>0</v>
      </c>
      <c r="DT778">
        <v>0</v>
      </c>
      <c r="DU778">
        <v>0</v>
      </c>
    </row>
    <row r="779" spans="2:125">
      <c r="B779" s="136">
        <v>770</v>
      </c>
      <c r="C779" s="138">
        <v>1</v>
      </c>
      <c r="D779" s="474">
        <v>3356.2730355044182</v>
      </c>
      <c r="E779" s="127">
        <v>217.72299295394313</v>
      </c>
      <c r="F779" s="447">
        <v>0.41613850386104007</v>
      </c>
      <c r="G779" s="127">
        <v>108.99160720008521</v>
      </c>
      <c r="H779" s="132">
        <v>57.801245534077623</v>
      </c>
      <c r="I779" s="456"/>
      <c r="J779" s="45"/>
      <c r="K779" s="45">
        <v>460</v>
      </c>
      <c r="L779" s="463"/>
      <c r="M779" s="456">
        <v>32.523830413818359</v>
      </c>
      <c r="N779" s="457"/>
      <c r="O779" s="456"/>
      <c r="P779" s="46"/>
      <c r="Q779" s="463">
        <v>66.454208374023438</v>
      </c>
      <c r="R779" s="449"/>
      <c r="S779" s="463"/>
      <c r="T779" s="480"/>
      <c r="U779" s="468"/>
      <c r="V779" s="449"/>
      <c r="W779" s="45">
        <v>1430.9476318359375</v>
      </c>
      <c r="X779" s="463">
        <v>121.08413696289062</v>
      </c>
      <c r="Y779" s="449"/>
      <c r="Z779" s="45"/>
      <c r="AA779" s="468">
        <v>0.40620999991493228</v>
      </c>
      <c r="AB779" s="456"/>
      <c r="AC779" s="46"/>
      <c r="AD779" s="46"/>
      <c r="AE779" s="46"/>
      <c r="AF779" s="46"/>
      <c r="AG779" s="46"/>
      <c r="AH779" s="46"/>
      <c r="AI779" s="457"/>
      <c r="AJ779" s="138"/>
      <c r="AK779" s="745"/>
      <c r="AL779" s="54"/>
      <c r="AM779" s="468"/>
      <c r="AN779" s="449"/>
      <c r="AO779" s="45"/>
      <c r="AP779" s="45"/>
      <c r="AQ779" s="45"/>
      <c r="AR779" s="45"/>
      <c r="AS779" s="45"/>
      <c r="AT779" s="45"/>
      <c r="AU779" s="463"/>
      <c r="AV779" s="449"/>
      <c r="AW779" s="45"/>
      <c r="AX779" s="45"/>
      <c r="AY779" s="45"/>
      <c r="AZ779" s="45"/>
      <c r="BA779" s="45"/>
      <c r="BB779" s="45"/>
      <c r="BC779" s="463"/>
      <c r="BD779" s="456"/>
      <c r="BE779" s="46"/>
      <c r="BF779" s="46"/>
      <c r="BG779" s="46"/>
      <c r="BH779" s="46"/>
      <c r="BI779" s="46"/>
      <c r="BJ779" s="457"/>
      <c r="BK779" s="449">
        <v>0</v>
      </c>
      <c r="BL779" s="45"/>
      <c r="BM779" s="45"/>
      <c r="BN779" s="45"/>
      <c r="BO779" s="45"/>
      <c r="BP779" s="45"/>
      <c r="BQ779" s="45"/>
      <c r="BR779" s="45"/>
      <c r="BS779" s="45"/>
      <c r="BT779" s="45"/>
      <c r="BU779" s="45"/>
      <c r="BV779" s="45"/>
      <c r="BW779" s="45"/>
      <c r="BX779" s="45"/>
      <c r="BY779" s="45"/>
      <c r="BZ779" s="45"/>
      <c r="CA779" s="45"/>
      <c r="CB779" s="45"/>
      <c r="CC779" s="45"/>
      <c r="CD779" s="463"/>
      <c r="CE779">
        <v>0</v>
      </c>
      <c r="CF779">
        <v>0</v>
      </c>
      <c r="CG779">
        <v>0</v>
      </c>
      <c r="CH779">
        <v>0</v>
      </c>
      <c r="CI779">
        <v>0</v>
      </c>
      <c r="CJ779">
        <v>0</v>
      </c>
      <c r="CK779">
        <v>0</v>
      </c>
      <c r="CL779">
        <v>0</v>
      </c>
      <c r="CM779">
        <v>0</v>
      </c>
      <c r="CN779">
        <v>0</v>
      </c>
      <c r="CO779">
        <v>0</v>
      </c>
      <c r="CP779">
        <v>0</v>
      </c>
      <c r="CQ779">
        <v>0</v>
      </c>
      <c r="CR779">
        <v>0</v>
      </c>
      <c r="CS779">
        <v>0</v>
      </c>
      <c r="CT779">
        <v>0</v>
      </c>
      <c r="CU779">
        <v>0</v>
      </c>
      <c r="CV779">
        <v>0</v>
      </c>
      <c r="CW779">
        <v>0</v>
      </c>
      <c r="CX779">
        <v>0</v>
      </c>
      <c r="CY779">
        <v>0</v>
      </c>
      <c r="CZ779">
        <v>0</v>
      </c>
      <c r="DA779">
        <v>0</v>
      </c>
      <c r="DB779">
        <v>0</v>
      </c>
      <c r="DC779">
        <v>0</v>
      </c>
      <c r="DD779">
        <v>0</v>
      </c>
      <c r="DE779">
        <v>0</v>
      </c>
      <c r="DF779">
        <v>0</v>
      </c>
      <c r="DG779">
        <v>0</v>
      </c>
      <c r="DH779">
        <v>0</v>
      </c>
      <c r="DI779">
        <v>0</v>
      </c>
      <c r="DJ779">
        <v>0</v>
      </c>
      <c r="DK779">
        <v>0</v>
      </c>
      <c r="DL779">
        <v>0</v>
      </c>
      <c r="DM779">
        <v>0</v>
      </c>
      <c r="DN779">
        <v>0</v>
      </c>
      <c r="DO779">
        <v>0</v>
      </c>
      <c r="DP779">
        <v>0</v>
      </c>
      <c r="DQ779">
        <v>0</v>
      </c>
      <c r="DR779">
        <v>0</v>
      </c>
      <c r="DS779">
        <v>0</v>
      </c>
      <c r="DT779">
        <v>0</v>
      </c>
      <c r="DU779">
        <v>0</v>
      </c>
    </row>
    <row r="780" spans="2:125">
      <c r="B780" s="136">
        <v>771</v>
      </c>
      <c r="C780" s="138">
        <v>1</v>
      </c>
      <c r="D780" s="474">
        <v>3428.6539285284607</v>
      </c>
      <c r="E780" s="127">
        <v>223.31388981446398</v>
      </c>
      <c r="F780" s="447">
        <v>0.38361408546222497</v>
      </c>
      <c r="G780" s="127">
        <v>137.95508654932451</v>
      </c>
      <c r="H780" s="132">
        <v>51.27587443328148</v>
      </c>
      <c r="I780" s="456"/>
      <c r="J780" s="45"/>
      <c r="K780" s="45">
        <v>530</v>
      </c>
      <c r="L780" s="463"/>
      <c r="M780" s="456">
        <v>32.271701812744141</v>
      </c>
      <c r="N780" s="457"/>
      <c r="O780" s="456"/>
      <c r="P780" s="46"/>
      <c r="Q780" s="463">
        <v>67.887351989746094</v>
      </c>
      <c r="R780" s="449"/>
      <c r="S780" s="463"/>
      <c r="T780" s="480"/>
      <c r="U780" s="468"/>
      <c r="V780" s="449"/>
      <c r="W780" s="45">
        <v>1465.0802001953125</v>
      </c>
      <c r="X780" s="463">
        <v>123.85231781005859</v>
      </c>
      <c r="Y780" s="449"/>
      <c r="Z780" s="45"/>
      <c r="AA780" s="468">
        <v>0.37408489925961891</v>
      </c>
      <c r="AB780" s="456"/>
      <c r="AC780" s="46"/>
      <c r="AD780" s="46"/>
      <c r="AE780" s="46"/>
      <c r="AF780" s="46"/>
      <c r="AG780" s="46"/>
      <c r="AH780" s="46"/>
      <c r="AI780" s="457"/>
      <c r="AJ780" s="138"/>
      <c r="AK780" s="745"/>
      <c r="AL780" s="54"/>
      <c r="AM780" s="468"/>
      <c r="AN780" s="449"/>
      <c r="AO780" s="45"/>
      <c r="AP780" s="45"/>
      <c r="AQ780" s="45"/>
      <c r="AR780" s="45"/>
      <c r="AS780" s="45"/>
      <c r="AT780" s="45"/>
      <c r="AU780" s="463"/>
      <c r="AV780" s="449"/>
      <c r="AW780" s="45"/>
      <c r="AX780" s="45"/>
      <c r="AY780" s="45"/>
      <c r="AZ780" s="45"/>
      <c r="BA780" s="45"/>
      <c r="BB780" s="45"/>
      <c r="BC780" s="463"/>
      <c r="BD780" s="456"/>
      <c r="BE780" s="46"/>
      <c r="BF780" s="46"/>
      <c r="BG780" s="46"/>
      <c r="BH780" s="46"/>
      <c r="BI780" s="46"/>
      <c r="BJ780" s="457"/>
      <c r="BK780" s="449">
        <v>0</v>
      </c>
      <c r="BL780" s="45"/>
      <c r="BM780" s="45"/>
      <c r="BN780" s="45"/>
      <c r="BO780" s="45"/>
      <c r="BP780" s="45"/>
      <c r="BQ780" s="45"/>
      <c r="BR780" s="45"/>
      <c r="BS780" s="45"/>
      <c r="BT780" s="45"/>
      <c r="BU780" s="45"/>
      <c r="BV780" s="45"/>
      <c r="BW780" s="45"/>
      <c r="BX780" s="45"/>
      <c r="BY780" s="45"/>
      <c r="BZ780" s="45"/>
      <c r="CA780" s="45"/>
      <c r="CB780" s="45"/>
      <c r="CC780" s="45"/>
      <c r="CD780" s="463"/>
      <c r="CE780">
        <v>0</v>
      </c>
      <c r="CF780">
        <v>0</v>
      </c>
      <c r="CG780">
        <v>0</v>
      </c>
      <c r="CH780">
        <v>0</v>
      </c>
      <c r="CI780">
        <v>0</v>
      </c>
      <c r="CJ780">
        <v>0</v>
      </c>
      <c r="CK780">
        <v>0</v>
      </c>
      <c r="CL780">
        <v>0</v>
      </c>
      <c r="CM780">
        <v>0</v>
      </c>
      <c r="CN780">
        <v>0</v>
      </c>
      <c r="CO780">
        <v>0</v>
      </c>
      <c r="CP780">
        <v>0</v>
      </c>
      <c r="CQ780">
        <v>0</v>
      </c>
      <c r="CR780">
        <v>0</v>
      </c>
      <c r="CS780">
        <v>0</v>
      </c>
      <c r="CT780">
        <v>0</v>
      </c>
      <c r="CU780">
        <v>0</v>
      </c>
      <c r="CV780">
        <v>0</v>
      </c>
      <c r="CW780">
        <v>0</v>
      </c>
      <c r="CX780">
        <v>0</v>
      </c>
      <c r="CY780">
        <v>0</v>
      </c>
      <c r="CZ780">
        <v>0</v>
      </c>
      <c r="DA780">
        <v>0</v>
      </c>
      <c r="DB780">
        <v>0</v>
      </c>
      <c r="DC780">
        <v>0</v>
      </c>
      <c r="DD780">
        <v>0</v>
      </c>
      <c r="DE780">
        <v>0</v>
      </c>
      <c r="DF780">
        <v>0</v>
      </c>
      <c r="DG780">
        <v>0</v>
      </c>
      <c r="DH780">
        <v>0</v>
      </c>
      <c r="DI780">
        <v>0</v>
      </c>
      <c r="DJ780">
        <v>0</v>
      </c>
      <c r="DK780">
        <v>0</v>
      </c>
      <c r="DL780">
        <v>0</v>
      </c>
      <c r="DM780">
        <v>0</v>
      </c>
      <c r="DN780">
        <v>0</v>
      </c>
      <c r="DO780">
        <v>0</v>
      </c>
      <c r="DP780">
        <v>0</v>
      </c>
      <c r="DQ780">
        <v>0</v>
      </c>
      <c r="DR780">
        <v>0</v>
      </c>
      <c r="DS780">
        <v>0</v>
      </c>
      <c r="DT780">
        <v>0</v>
      </c>
      <c r="DU780">
        <v>0</v>
      </c>
    </row>
    <row r="781" spans="2:125">
      <c r="B781" s="136">
        <v>772</v>
      </c>
      <c r="C781" s="138">
        <v>1</v>
      </c>
      <c r="D781" s="474">
        <v>4050.343447311986</v>
      </c>
      <c r="E781" s="127">
        <v>283.52729276408581</v>
      </c>
      <c r="F781" s="447">
        <v>0.44130127223990945</v>
      </c>
      <c r="G781" s="127">
        <v>157.41935694040154</v>
      </c>
      <c r="H781" s="132">
        <v>57.585118668484249</v>
      </c>
      <c r="I781" s="456"/>
      <c r="J781" s="45"/>
      <c r="K781" s="45">
        <v>620</v>
      </c>
      <c r="L781" s="463"/>
      <c r="M781" s="456">
        <v>41.885543823242188</v>
      </c>
      <c r="N781" s="457"/>
      <c r="O781" s="456"/>
      <c r="P781" s="46"/>
      <c r="Q781" s="463">
        <v>80.196800231933594</v>
      </c>
      <c r="R781" s="449"/>
      <c r="S781" s="463"/>
      <c r="T781" s="480"/>
      <c r="U781" s="468"/>
      <c r="V781" s="449"/>
      <c r="W781" s="45">
        <v>2055.00537109375</v>
      </c>
      <c r="X781" s="463">
        <v>167.13015747070312</v>
      </c>
      <c r="Y781" s="449"/>
      <c r="Z781" s="45"/>
      <c r="AA781" s="468">
        <v>0.43294987540534058</v>
      </c>
      <c r="AB781" s="456"/>
      <c r="AC781" s="46"/>
      <c r="AD781" s="46"/>
      <c r="AE781" s="46"/>
      <c r="AF781" s="46"/>
      <c r="AG781" s="46"/>
      <c r="AH781" s="46"/>
      <c r="AI781" s="457"/>
      <c r="AJ781" s="138"/>
      <c r="AK781" s="745"/>
      <c r="AL781" s="54"/>
      <c r="AM781" s="468"/>
      <c r="AN781" s="449"/>
      <c r="AO781" s="45"/>
      <c r="AP781" s="45"/>
      <c r="AQ781" s="45"/>
      <c r="AR781" s="45"/>
      <c r="AS781" s="45"/>
      <c r="AT781" s="45"/>
      <c r="AU781" s="463"/>
      <c r="AV781" s="449"/>
      <c r="AW781" s="45"/>
      <c r="AX781" s="45"/>
      <c r="AY781" s="45"/>
      <c r="AZ781" s="45"/>
      <c r="BA781" s="45"/>
      <c r="BB781" s="45"/>
      <c r="BC781" s="463"/>
      <c r="BD781" s="456"/>
      <c r="BE781" s="46"/>
      <c r="BF781" s="46"/>
      <c r="BG781" s="46"/>
      <c r="BH781" s="46"/>
      <c r="BI781" s="46"/>
      <c r="BJ781" s="457"/>
      <c r="BK781" s="449">
        <v>0</v>
      </c>
      <c r="BL781" s="45"/>
      <c r="BM781" s="45"/>
      <c r="BN781" s="45"/>
      <c r="BO781" s="45"/>
      <c r="BP781" s="45"/>
      <c r="BQ781" s="45"/>
      <c r="BR781" s="45"/>
      <c r="BS781" s="45"/>
      <c r="BT781" s="45"/>
      <c r="BU781" s="45"/>
      <c r="BV781" s="45"/>
      <c r="BW781" s="45"/>
      <c r="BX781" s="45"/>
      <c r="BY781" s="45"/>
      <c r="BZ781" s="45"/>
      <c r="CA781" s="45"/>
      <c r="CB781" s="45"/>
      <c r="CC781" s="45"/>
      <c r="CD781" s="463"/>
      <c r="CE781">
        <v>0</v>
      </c>
      <c r="CF781">
        <v>0</v>
      </c>
      <c r="CG781">
        <v>0</v>
      </c>
      <c r="CH781">
        <v>0</v>
      </c>
      <c r="CI781">
        <v>0</v>
      </c>
      <c r="CJ781">
        <v>0</v>
      </c>
      <c r="CK781">
        <v>0</v>
      </c>
      <c r="CL781">
        <v>0</v>
      </c>
      <c r="CM781">
        <v>0</v>
      </c>
      <c r="CN781">
        <v>0</v>
      </c>
      <c r="CO781">
        <v>0</v>
      </c>
      <c r="CP781">
        <v>0</v>
      </c>
      <c r="CQ781">
        <v>0</v>
      </c>
      <c r="CR781">
        <v>0</v>
      </c>
      <c r="CS781">
        <v>0</v>
      </c>
      <c r="CT781">
        <v>0</v>
      </c>
      <c r="CU781">
        <v>0</v>
      </c>
      <c r="CV781">
        <v>0</v>
      </c>
      <c r="CW781">
        <v>0</v>
      </c>
      <c r="CX781">
        <v>0</v>
      </c>
      <c r="CY781">
        <v>0</v>
      </c>
      <c r="CZ781">
        <v>0</v>
      </c>
      <c r="DA781">
        <v>0</v>
      </c>
      <c r="DB781">
        <v>0</v>
      </c>
      <c r="DC781">
        <v>0</v>
      </c>
      <c r="DD781">
        <v>0</v>
      </c>
      <c r="DE781">
        <v>0</v>
      </c>
      <c r="DF781">
        <v>0</v>
      </c>
      <c r="DG781">
        <v>0</v>
      </c>
      <c r="DH781">
        <v>0</v>
      </c>
      <c r="DI781">
        <v>0</v>
      </c>
      <c r="DJ781">
        <v>0</v>
      </c>
      <c r="DK781">
        <v>0</v>
      </c>
      <c r="DL781">
        <v>0</v>
      </c>
      <c r="DM781">
        <v>0</v>
      </c>
      <c r="DN781">
        <v>0</v>
      </c>
      <c r="DO781">
        <v>0</v>
      </c>
      <c r="DP781">
        <v>0</v>
      </c>
      <c r="DQ781">
        <v>0</v>
      </c>
      <c r="DR781">
        <v>0</v>
      </c>
      <c r="DS781">
        <v>0</v>
      </c>
      <c r="DT781">
        <v>0</v>
      </c>
      <c r="DU781">
        <v>0</v>
      </c>
    </row>
    <row r="782" spans="2:125">
      <c r="B782" s="136">
        <v>773</v>
      </c>
      <c r="C782" s="138">
        <v>1</v>
      </c>
      <c r="D782" s="474">
        <v>3271.6959751728136</v>
      </c>
      <c r="E782" s="127">
        <v>221.58885046580747</v>
      </c>
      <c r="F782" s="447">
        <v>0.48812977305407301</v>
      </c>
      <c r="G782" s="127">
        <v>115.01658646181826</v>
      </c>
      <c r="H782" s="132">
        <v>54.782998969439312</v>
      </c>
      <c r="I782" s="456"/>
      <c r="J782" s="45"/>
      <c r="K782" s="45">
        <v>480</v>
      </c>
      <c r="L782" s="463"/>
      <c r="M782" s="456">
        <v>47.241542816162109</v>
      </c>
      <c r="N782" s="457"/>
      <c r="O782" s="456"/>
      <c r="P782" s="46"/>
      <c r="Q782" s="463">
        <v>64.779579162597656</v>
      </c>
      <c r="R782" s="449"/>
      <c r="S782" s="463"/>
      <c r="T782" s="480"/>
      <c r="U782" s="468"/>
      <c r="V782" s="449"/>
      <c r="W782" s="45">
        <v>1989.5516357421875</v>
      </c>
      <c r="X782" s="463">
        <v>161.78903198242187</v>
      </c>
      <c r="Y782" s="449"/>
      <c r="Z782" s="45"/>
      <c r="AA782" s="468">
        <v>0.47750452066972049</v>
      </c>
      <c r="AB782" s="456"/>
      <c r="AC782" s="46"/>
      <c r="AD782" s="46"/>
      <c r="AE782" s="46"/>
      <c r="AF782" s="46"/>
      <c r="AG782" s="46"/>
      <c r="AH782" s="46"/>
      <c r="AI782" s="457"/>
      <c r="AJ782" s="138"/>
      <c r="AK782" s="745"/>
      <c r="AL782" s="54"/>
      <c r="AM782" s="468"/>
      <c r="AN782" s="449"/>
      <c r="AO782" s="45"/>
      <c r="AP782" s="45"/>
      <c r="AQ782" s="45"/>
      <c r="AR782" s="45"/>
      <c r="AS782" s="45"/>
      <c r="AT782" s="45"/>
      <c r="AU782" s="463"/>
      <c r="AV782" s="449"/>
      <c r="AW782" s="45"/>
      <c r="AX782" s="45"/>
      <c r="AY782" s="45"/>
      <c r="AZ782" s="45"/>
      <c r="BA782" s="45"/>
      <c r="BB782" s="45"/>
      <c r="BC782" s="463"/>
      <c r="BD782" s="456"/>
      <c r="BE782" s="46"/>
      <c r="BF782" s="46"/>
      <c r="BG782" s="46"/>
      <c r="BH782" s="46"/>
      <c r="BI782" s="46"/>
      <c r="BJ782" s="457"/>
      <c r="BK782" s="449">
        <v>0</v>
      </c>
      <c r="BL782" s="45"/>
      <c r="BM782" s="45"/>
      <c r="BN782" s="45"/>
      <c r="BO782" s="45"/>
      <c r="BP782" s="45"/>
      <c r="BQ782" s="45"/>
      <c r="BR782" s="45"/>
      <c r="BS782" s="45"/>
      <c r="BT782" s="45"/>
      <c r="BU782" s="45"/>
      <c r="BV782" s="45"/>
      <c r="BW782" s="45"/>
      <c r="BX782" s="45"/>
      <c r="BY782" s="45"/>
      <c r="BZ782" s="45"/>
      <c r="CA782" s="45"/>
      <c r="CB782" s="45"/>
      <c r="CC782" s="45"/>
      <c r="CD782" s="463"/>
      <c r="CE782">
        <v>0</v>
      </c>
      <c r="CF782">
        <v>0</v>
      </c>
      <c r="CG782">
        <v>0</v>
      </c>
      <c r="CH782">
        <v>0</v>
      </c>
      <c r="CI782">
        <v>0</v>
      </c>
      <c r="CJ782">
        <v>0</v>
      </c>
      <c r="CK782">
        <v>0</v>
      </c>
      <c r="CL782">
        <v>0</v>
      </c>
      <c r="CM782">
        <v>0</v>
      </c>
      <c r="CN782">
        <v>0</v>
      </c>
      <c r="CO782">
        <v>0</v>
      </c>
      <c r="CP782">
        <v>0</v>
      </c>
      <c r="CQ782">
        <v>0</v>
      </c>
      <c r="CR782">
        <v>0</v>
      </c>
      <c r="CS782">
        <v>0</v>
      </c>
      <c r="CT782">
        <v>0</v>
      </c>
      <c r="CU782">
        <v>0</v>
      </c>
      <c r="CV782">
        <v>0</v>
      </c>
      <c r="CW782">
        <v>0</v>
      </c>
      <c r="CX782">
        <v>0</v>
      </c>
      <c r="CY782">
        <v>0</v>
      </c>
      <c r="CZ782">
        <v>0</v>
      </c>
      <c r="DA782">
        <v>0</v>
      </c>
      <c r="DB782">
        <v>0</v>
      </c>
      <c r="DC782">
        <v>0</v>
      </c>
      <c r="DD782">
        <v>0</v>
      </c>
      <c r="DE782">
        <v>0</v>
      </c>
      <c r="DF782">
        <v>0</v>
      </c>
      <c r="DG782">
        <v>0</v>
      </c>
      <c r="DH782">
        <v>0</v>
      </c>
      <c r="DI782">
        <v>0</v>
      </c>
      <c r="DJ782">
        <v>0</v>
      </c>
      <c r="DK782">
        <v>0</v>
      </c>
      <c r="DL782">
        <v>0</v>
      </c>
      <c r="DM782">
        <v>0</v>
      </c>
      <c r="DN782">
        <v>0</v>
      </c>
      <c r="DO782">
        <v>0</v>
      </c>
      <c r="DP782">
        <v>0</v>
      </c>
      <c r="DQ782">
        <v>0</v>
      </c>
      <c r="DR782">
        <v>0</v>
      </c>
      <c r="DS782">
        <v>0</v>
      </c>
      <c r="DT782">
        <v>0</v>
      </c>
      <c r="DU782">
        <v>0</v>
      </c>
    </row>
    <row r="783" spans="2:125">
      <c r="B783" s="136">
        <v>774</v>
      </c>
      <c r="C783" s="138">
        <v>1</v>
      </c>
      <c r="D783" s="474">
        <v>3054.8349520790034</v>
      </c>
      <c r="E783" s="127">
        <v>242.7044034067174</v>
      </c>
      <c r="F783" s="447">
        <v>0.36255819835503161</v>
      </c>
      <c r="G783" s="127">
        <v>100.67622902568858</v>
      </c>
      <c r="H783" s="132">
        <v>61.566711524272712</v>
      </c>
      <c r="I783" s="456"/>
      <c r="J783" s="45"/>
      <c r="K783" s="45">
        <v>450</v>
      </c>
      <c r="L783" s="463"/>
      <c r="M783" s="456">
        <v>25.822957992553711</v>
      </c>
      <c r="N783" s="457"/>
      <c r="O783" s="456"/>
      <c r="P783" s="46"/>
      <c r="Q783" s="463">
        <v>68.842033386230469</v>
      </c>
      <c r="R783" s="449"/>
      <c r="S783" s="463"/>
      <c r="T783" s="480"/>
      <c r="U783" s="468"/>
      <c r="V783" s="449"/>
      <c r="W783" s="45">
        <v>1181.2740478515625</v>
      </c>
      <c r="X783" s="463">
        <v>102.86135864257812</v>
      </c>
      <c r="Y783" s="449"/>
      <c r="Z783" s="45"/>
      <c r="AA783" s="468">
        <v>0.35200078216953468</v>
      </c>
      <c r="AB783" s="456"/>
      <c r="AC783" s="46"/>
      <c r="AD783" s="46"/>
      <c r="AE783" s="46"/>
      <c r="AF783" s="46"/>
      <c r="AG783" s="46"/>
      <c r="AH783" s="46"/>
      <c r="AI783" s="457"/>
      <c r="AJ783" s="138"/>
      <c r="AK783" s="745"/>
      <c r="AL783" s="54"/>
      <c r="AM783" s="468"/>
      <c r="AN783" s="449"/>
      <c r="AO783" s="45"/>
      <c r="AP783" s="45"/>
      <c r="AQ783" s="45"/>
      <c r="AR783" s="45"/>
      <c r="AS783" s="45"/>
      <c r="AT783" s="45"/>
      <c r="AU783" s="463"/>
      <c r="AV783" s="449"/>
      <c r="AW783" s="45"/>
      <c r="AX783" s="45"/>
      <c r="AY783" s="45"/>
      <c r="AZ783" s="45"/>
      <c r="BA783" s="45"/>
      <c r="BB783" s="45"/>
      <c r="BC783" s="463"/>
      <c r="BD783" s="456"/>
      <c r="BE783" s="46"/>
      <c r="BF783" s="46"/>
      <c r="BG783" s="46"/>
      <c r="BH783" s="46"/>
      <c r="BI783" s="46"/>
      <c r="BJ783" s="457"/>
      <c r="BK783" s="449">
        <v>0</v>
      </c>
      <c r="BL783" s="45"/>
      <c r="BM783" s="45"/>
      <c r="BN783" s="45"/>
      <c r="BO783" s="45"/>
      <c r="BP783" s="45"/>
      <c r="BQ783" s="45"/>
      <c r="BR783" s="45"/>
      <c r="BS783" s="45"/>
      <c r="BT783" s="45"/>
      <c r="BU783" s="45"/>
      <c r="BV783" s="45"/>
      <c r="BW783" s="45"/>
      <c r="BX783" s="45"/>
      <c r="BY783" s="45"/>
      <c r="BZ783" s="45"/>
      <c r="CA783" s="45"/>
      <c r="CB783" s="45"/>
      <c r="CC783" s="45"/>
      <c r="CD783" s="463"/>
      <c r="CE783">
        <v>0</v>
      </c>
      <c r="CF783">
        <v>0</v>
      </c>
      <c r="CG783">
        <v>0</v>
      </c>
      <c r="CH783">
        <v>0</v>
      </c>
      <c r="CI783">
        <v>0</v>
      </c>
      <c r="CJ783">
        <v>0</v>
      </c>
      <c r="CK783">
        <v>0</v>
      </c>
      <c r="CL783">
        <v>0</v>
      </c>
      <c r="CM783">
        <v>0</v>
      </c>
      <c r="CN783">
        <v>0</v>
      </c>
      <c r="CO783">
        <v>0</v>
      </c>
      <c r="CP783">
        <v>0</v>
      </c>
      <c r="CQ783">
        <v>0</v>
      </c>
      <c r="CR783">
        <v>0</v>
      </c>
      <c r="CS783">
        <v>0</v>
      </c>
      <c r="CT783">
        <v>0</v>
      </c>
      <c r="CU783">
        <v>0</v>
      </c>
      <c r="CV783">
        <v>0</v>
      </c>
      <c r="CW783">
        <v>0</v>
      </c>
      <c r="CX783">
        <v>0</v>
      </c>
      <c r="CY783">
        <v>0</v>
      </c>
      <c r="CZ783">
        <v>0</v>
      </c>
      <c r="DA783">
        <v>0</v>
      </c>
      <c r="DB783">
        <v>0</v>
      </c>
      <c r="DC783">
        <v>0</v>
      </c>
      <c r="DD783">
        <v>0</v>
      </c>
      <c r="DE783">
        <v>0</v>
      </c>
      <c r="DF783">
        <v>0</v>
      </c>
      <c r="DG783">
        <v>0</v>
      </c>
      <c r="DH783">
        <v>0</v>
      </c>
      <c r="DI783">
        <v>0</v>
      </c>
      <c r="DJ783">
        <v>0</v>
      </c>
      <c r="DK783">
        <v>0</v>
      </c>
      <c r="DL783">
        <v>0</v>
      </c>
      <c r="DM783">
        <v>0</v>
      </c>
      <c r="DN783">
        <v>0</v>
      </c>
      <c r="DO783">
        <v>0</v>
      </c>
      <c r="DP783">
        <v>0</v>
      </c>
      <c r="DQ783">
        <v>0</v>
      </c>
      <c r="DR783">
        <v>0</v>
      </c>
      <c r="DS783">
        <v>0</v>
      </c>
      <c r="DT783">
        <v>0</v>
      </c>
      <c r="DU783">
        <v>0</v>
      </c>
    </row>
    <row r="784" spans="2:125">
      <c r="B784" s="136">
        <v>775</v>
      </c>
      <c r="C784" s="138">
        <v>1</v>
      </c>
      <c r="D784" s="474">
        <v>2819.0941961676172</v>
      </c>
      <c r="E784" s="127">
        <v>217.7966779722131</v>
      </c>
      <c r="F784" s="447">
        <v>0.453169222591849</v>
      </c>
      <c r="G784" s="127">
        <v>89.95401662720586</v>
      </c>
      <c r="H784" s="132">
        <v>53.132251933853532</v>
      </c>
      <c r="I784" s="456"/>
      <c r="J784" s="45"/>
      <c r="K784" s="45">
        <v>390</v>
      </c>
      <c r="L784" s="463"/>
      <c r="M784" s="456">
        <v>36.361568450927734</v>
      </c>
      <c r="N784" s="457"/>
      <c r="O784" s="456"/>
      <c r="P784" s="46"/>
      <c r="Q784" s="463">
        <v>55.818065643310547</v>
      </c>
      <c r="R784" s="449"/>
      <c r="S784" s="463"/>
      <c r="T784" s="480"/>
      <c r="U784" s="468"/>
      <c r="V784" s="449"/>
      <c r="W784" s="45">
        <v>1411.8460693359375</v>
      </c>
      <c r="X784" s="463">
        <v>119.3944091796875</v>
      </c>
      <c r="Y784" s="449"/>
      <c r="Z784" s="45"/>
      <c r="AA784" s="468">
        <v>0.44108612707196748</v>
      </c>
      <c r="AB784" s="456"/>
      <c r="AC784" s="46"/>
      <c r="AD784" s="46"/>
      <c r="AE784" s="46"/>
      <c r="AF784" s="46"/>
      <c r="AG784" s="46"/>
      <c r="AH784" s="46"/>
      <c r="AI784" s="457"/>
      <c r="AJ784" s="138"/>
      <c r="AK784" s="745"/>
      <c r="AL784" s="54"/>
      <c r="AM784" s="468"/>
      <c r="AN784" s="449"/>
      <c r="AO784" s="45"/>
      <c r="AP784" s="45"/>
      <c r="AQ784" s="45"/>
      <c r="AR784" s="45"/>
      <c r="AS784" s="45"/>
      <c r="AT784" s="45"/>
      <c r="AU784" s="463"/>
      <c r="AV784" s="449"/>
      <c r="AW784" s="45"/>
      <c r="AX784" s="45"/>
      <c r="AY784" s="45"/>
      <c r="AZ784" s="45"/>
      <c r="BA784" s="45"/>
      <c r="BB784" s="45"/>
      <c r="BC784" s="463"/>
      <c r="BD784" s="456"/>
      <c r="BE784" s="46"/>
      <c r="BF784" s="46"/>
      <c r="BG784" s="46"/>
      <c r="BH784" s="46"/>
      <c r="BI784" s="46"/>
      <c r="BJ784" s="457"/>
      <c r="BK784" s="449">
        <v>0</v>
      </c>
      <c r="BL784" s="45"/>
      <c r="BM784" s="45"/>
      <c r="BN784" s="45"/>
      <c r="BO784" s="45"/>
      <c r="BP784" s="45"/>
      <c r="BQ784" s="45"/>
      <c r="BR784" s="45"/>
      <c r="BS784" s="45"/>
      <c r="BT784" s="45"/>
      <c r="BU784" s="45"/>
      <c r="BV784" s="45"/>
      <c r="BW784" s="45"/>
      <c r="BX784" s="45"/>
      <c r="BY784" s="45"/>
      <c r="BZ784" s="45"/>
      <c r="CA784" s="45"/>
      <c r="CB784" s="45"/>
      <c r="CC784" s="45"/>
      <c r="CD784" s="463"/>
      <c r="CE784">
        <v>0</v>
      </c>
      <c r="CF784">
        <v>0</v>
      </c>
      <c r="CG784">
        <v>0</v>
      </c>
      <c r="CH784">
        <v>0</v>
      </c>
      <c r="CI784">
        <v>0</v>
      </c>
      <c r="CJ784">
        <v>0</v>
      </c>
      <c r="CK784">
        <v>0</v>
      </c>
      <c r="CL784">
        <v>0</v>
      </c>
      <c r="CM784">
        <v>0</v>
      </c>
      <c r="CN784">
        <v>0</v>
      </c>
      <c r="CO784">
        <v>0</v>
      </c>
      <c r="CP784">
        <v>0</v>
      </c>
      <c r="CQ784">
        <v>0</v>
      </c>
      <c r="CR784">
        <v>0</v>
      </c>
      <c r="CS784">
        <v>0</v>
      </c>
      <c r="CT784">
        <v>0</v>
      </c>
      <c r="CU784">
        <v>0</v>
      </c>
      <c r="CV784">
        <v>0</v>
      </c>
      <c r="CW784">
        <v>0</v>
      </c>
      <c r="CX784">
        <v>0</v>
      </c>
      <c r="CY784">
        <v>0</v>
      </c>
      <c r="CZ784">
        <v>0</v>
      </c>
      <c r="DA784">
        <v>0</v>
      </c>
      <c r="DB784">
        <v>0</v>
      </c>
      <c r="DC784">
        <v>0</v>
      </c>
      <c r="DD784">
        <v>0</v>
      </c>
      <c r="DE784">
        <v>0</v>
      </c>
      <c r="DF784">
        <v>0</v>
      </c>
      <c r="DG784">
        <v>0</v>
      </c>
      <c r="DH784">
        <v>0</v>
      </c>
      <c r="DI784">
        <v>0</v>
      </c>
      <c r="DJ784">
        <v>0</v>
      </c>
      <c r="DK784">
        <v>0</v>
      </c>
      <c r="DL784">
        <v>0</v>
      </c>
      <c r="DM784">
        <v>0</v>
      </c>
      <c r="DN784">
        <v>0</v>
      </c>
      <c r="DO784">
        <v>0</v>
      </c>
      <c r="DP784">
        <v>0</v>
      </c>
      <c r="DQ784">
        <v>0</v>
      </c>
      <c r="DR784">
        <v>0</v>
      </c>
      <c r="DS784">
        <v>0</v>
      </c>
      <c r="DT784">
        <v>0</v>
      </c>
      <c r="DU784">
        <v>0</v>
      </c>
    </row>
    <row r="785" spans="2:125">
      <c r="B785" s="136">
        <v>776</v>
      </c>
      <c r="C785" s="138">
        <v>1</v>
      </c>
      <c r="D785" s="474">
        <v>3281.4166297990041</v>
      </c>
      <c r="E785" s="127">
        <v>204.92606625111358</v>
      </c>
      <c r="F785" s="447">
        <v>0.38725675754107414</v>
      </c>
      <c r="G785" s="127">
        <v>135.94487734101864</v>
      </c>
      <c r="H785" s="132">
        <v>48.658529749812402</v>
      </c>
      <c r="I785" s="456"/>
      <c r="J785" s="45"/>
      <c r="K785" s="45">
        <v>510</v>
      </c>
      <c r="L785" s="463"/>
      <c r="M785" s="456">
        <v>32.649177551269531</v>
      </c>
      <c r="N785" s="457"/>
      <c r="O785" s="456"/>
      <c r="P785" s="46"/>
      <c r="Q785" s="463">
        <v>64.972053527832031</v>
      </c>
      <c r="R785" s="449"/>
      <c r="S785" s="463"/>
      <c r="T785" s="480"/>
      <c r="U785" s="468"/>
      <c r="V785" s="449"/>
      <c r="W785" s="45">
        <v>1438.8106689453125</v>
      </c>
      <c r="X785" s="463">
        <v>121.86649322509766</v>
      </c>
      <c r="Y785" s="449"/>
      <c r="Z785" s="45"/>
      <c r="AA785" s="468">
        <v>0.37727779453666371</v>
      </c>
      <c r="AB785" s="456"/>
      <c r="AC785" s="46"/>
      <c r="AD785" s="46"/>
      <c r="AE785" s="46"/>
      <c r="AF785" s="46"/>
      <c r="AG785" s="46"/>
      <c r="AH785" s="46"/>
      <c r="AI785" s="457"/>
      <c r="AJ785" s="138"/>
      <c r="AK785" s="745"/>
      <c r="AL785" s="54"/>
      <c r="AM785" s="468"/>
      <c r="AN785" s="449"/>
      <c r="AO785" s="45"/>
      <c r="AP785" s="45"/>
      <c r="AQ785" s="45"/>
      <c r="AR785" s="45"/>
      <c r="AS785" s="45"/>
      <c r="AT785" s="45"/>
      <c r="AU785" s="463"/>
      <c r="AV785" s="449"/>
      <c r="AW785" s="45"/>
      <c r="AX785" s="45"/>
      <c r="AY785" s="45"/>
      <c r="AZ785" s="45"/>
      <c r="BA785" s="45"/>
      <c r="BB785" s="45"/>
      <c r="BC785" s="463"/>
      <c r="BD785" s="456"/>
      <c r="BE785" s="46"/>
      <c r="BF785" s="46"/>
      <c r="BG785" s="46"/>
      <c r="BH785" s="46"/>
      <c r="BI785" s="46"/>
      <c r="BJ785" s="457"/>
      <c r="BK785" s="449">
        <v>0</v>
      </c>
      <c r="BL785" s="45"/>
      <c r="BM785" s="45"/>
      <c r="BN785" s="45"/>
      <c r="BO785" s="45"/>
      <c r="BP785" s="45"/>
      <c r="BQ785" s="45"/>
      <c r="BR785" s="45"/>
      <c r="BS785" s="45"/>
      <c r="BT785" s="45"/>
      <c r="BU785" s="45"/>
      <c r="BV785" s="45"/>
      <c r="BW785" s="45"/>
      <c r="BX785" s="45"/>
      <c r="BY785" s="45"/>
      <c r="BZ785" s="45"/>
      <c r="CA785" s="45"/>
      <c r="CB785" s="45"/>
      <c r="CC785" s="45"/>
      <c r="CD785" s="463"/>
      <c r="CE785">
        <v>0</v>
      </c>
      <c r="CF785">
        <v>0</v>
      </c>
      <c r="CG785">
        <v>0</v>
      </c>
      <c r="CH785">
        <v>0</v>
      </c>
      <c r="CI785">
        <v>0</v>
      </c>
      <c r="CJ785">
        <v>0</v>
      </c>
      <c r="CK785">
        <v>0</v>
      </c>
      <c r="CL785">
        <v>0</v>
      </c>
      <c r="CM785">
        <v>0</v>
      </c>
      <c r="CN785">
        <v>0</v>
      </c>
      <c r="CO785">
        <v>0</v>
      </c>
      <c r="CP785">
        <v>0</v>
      </c>
      <c r="CQ785">
        <v>0</v>
      </c>
      <c r="CR785">
        <v>0</v>
      </c>
      <c r="CS785">
        <v>0</v>
      </c>
      <c r="CT785">
        <v>0</v>
      </c>
      <c r="CU785">
        <v>0</v>
      </c>
      <c r="CV785">
        <v>0</v>
      </c>
      <c r="CW785">
        <v>0</v>
      </c>
      <c r="CX785">
        <v>0</v>
      </c>
      <c r="CY785">
        <v>0</v>
      </c>
      <c r="CZ785">
        <v>0</v>
      </c>
      <c r="DA785">
        <v>0</v>
      </c>
      <c r="DB785">
        <v>0</v>
      </c>
      <c r="DC785">
        <v>0</v>
      </c>
      <c r="DD785">
        <v>0</v>
      </c>
      <c r="DE785">
        <v>0</v>
      </c>
      <c r="DF785">
        <v>0</v>
      </c>
      <c r="DG785">
        <v>0</v>
      </c>
      <c r="DH785">
        <v>0</v>
      </c>
      <c r="DI785">
        <v>0</v>
      </c>
      <c r="DJ785">
        <v>0</v>
      </c>
      <c r="DK785">
        <v>0</v>
      </c>
      <c r="DL785">
        <v>0</v>
      </c>
      <c r="DM785">
        <v>0</v>
      </c>
      <c r="DN785">
        <v>0</v>
      </c>
      <c r="DO785">
        <v>0</v>
      </c>
      <c r="DP785">
        <v>0</v>
      </c>
      <c r="DQ785">
        <v>0</v>
      </c>
      <c r="DR785">
        <v>0</v>
      </c>
      <c r="DS785">
        <v>0</v>
      </c>
      <c r="DT785">
        <v>0</v>
      </c>
      <c r="DU785">
        <v>0</v>
      </c>
    </row>
    <row r="786" spans="2:125">
      <c r="B786" s="136">
        <v>777</v>
      </c>
      <c r="C786" s="138">
        <v>1</v>
      </c>
      <c r="D786" s="474">
        <v>2558.0089054262348</v>
      </c>
      <c r="E786" s="127">
        <v>307.17876806542449</v>
      </c>
      <c r="F786" s="447">
        <v>0.4018196475731669</v>
      </c>
      <c r="G786" s="127">
        <v>92.900010319662314</v>
      </c>
      <c r="H786" s="132">
        <v>46.324832755455098</v>
      </c>
      <c r="I786" s="456"/>
      <c r="J786" s="45"/>
      <c r="K786" s="45">
        <v>380</v>
      </c>
      <c r="L786" s="463"/>
      <c r="M786" s="456">
        <v>32.096385955810547</v>
      </c>
      <c r="N786" s="457"/>
      <c r="O786" s="456"/>
      <c r="P786" s="46"/>
      <c r="Q786" s="463">
        <v>50.648578643798828</v>
      </c>
      <c r="R786" s="449"/>
      <c r="S786" s="463"/>
      <c r="T786" s="480"/>
      <c r="U786" s="468"/>
      <c r="V786" s="449"/>
      <c r="W786" s="45">
        <v>1154.4658203125</v>
      </c>
      <c r="X786" s="463">
        <v>100.62021636962891</v>
      </c>
      <c r="Y786" s="449"/>
      <c r="Z786" s="45"/>
      <c r="AA786" s="468">
        <v>0.38890476174873367</v>
      </c>
      <c r="AB786" s="456"/>
      <c r="AC786" s="46"/>
      <c r="AD786" s="46"/>
      <c r="AE786" s="46"/>
      <c r="AF786" s="46"/>
      <c r="AG786" s="46"/>
      <c r="AH786" s="46"/>
      <c r="AI786" s="457"/>
      <c r="AJ786" s="138"/>
      <c r="AK786" s="745"/>
      <c r="AL786" s="54"/>
      <c r="AM786" s="468"/>
      <c r="AN786" s="449"/>
      <c r="AO786" s="45"/>
      <c r="AP786" s="45"/>
      <c r="AQ786" s="45"/>
      <c r="AR786" s="45"/>
      <c r="AS786" s="45"/>
      <c r="AT786" s="45"/>
      <c r="AU786" s="463"/>
      <c r="AV786" s="449"/>
      <c r="AW786" s="45"/>
      <c r="AX786" s="45"/>
      <c r="AY786" s="45"/>
      <c r="AZ786" s="45"/>
      <c r="BA786" s="45"/>
      <c r="BB786" s="45"/>
      <c r="BC786" s="463"/>
      <c r="BD786" s="456"/>
      <c r="BE786" s="46"/>
      <c r="BF786" s="46"/>
      <c r="BG786" s="46"/>
      <c r="BH786" s="46"/>
      <c r="BI786" s="46"/>
      <c r="BJ786" s="457"/>
      <c r="BK786" s="449">
        <v>0</v>
      </c>
      <c r="BL786" s="45"/>
      <c r="BM786" s="45"/>
      <c r="BN786" s="45"/>
      <c r="BO786" s="45"/>
      <c r="BP786" s="45"/>
      <c r="BQ786" s="45"/>
      <c r="BR786" s="45"/>
      <c r="BS786" s="45"/>
      <c r="BT786" s="45"/>
      <c r="BU786" s="45"/>
      <c r="BV786" s="45"/>
      <c r="BW786" s="45"/>
      <c r="BX786" s="45"/>
      <c r="BY786" s="45"/>
      <c r="BZ786" s="45"/>
      <c r="CA786" s="45"/>
      <c r="CB786" s="45"/>
      <c r="CC786" s="45"/>
      <c r="CD786" s="463"/>
      <c r="CE786">
        <v>0</v>
      </c>
      <c r="CF786">
        <v>0</v>
      </c>
      <c r="CG786">
        <v>0</v>
      </c>
      <c r="CH786">
        <v>0</v>
      </c>
      <c r="CI786">
        <v>0</v>
      </c>
      <c r="CJ786">
        <v>0</v>
      </c>
      <c r="CK786">
        <v>0</v>
      </c>
      <c r="CL786">
        <v>0</v>
      </c>
      <c r="CM786">
        <v>0</v>
      </c>
      <c r="CN786">
        <v>0</v>
      </c>
      <c r="CO786">
        <v>0</v>
      </c>
      <c r="CP786">
        <v>0</v>
      </c>
      <c r="CQ786">
        <v>0</v>
      </c>
      <c r="CR786">
        <v>0</v>
      </c>
      <c r="CS786">
        <v>0</v>
      </c>
      <c r="CT786">
        <v>0</v>
      </c>
      <c r="CU786">
        <v>0</v>
      </c>
      <c r="CV786">
        <v>0</v>
      </c>
      <c r="CW786">
        <v>0</v>
      </c>
      <c r="CX786">
        <v>0</v>
      </c>
      <c r="CY786">
        <v>0</v>
      </c>
      <c r="CZ786">
        <v>0</v>
      </c>
      <c r="DA786">
        <v>0</v>
      </c>
      <c r="DB786">
        <v>0</v>
      </c>
      <c r="DC786">
        <v>0</v>
      </c>
      <c r="DD786">
        <v>0</v>
      </c>
      <c r="DE786">
        <v>0</v>
      </c>
      <c r="DF786">
        <v>0</v>
      </c>
      <c r="DG786">
        <v>0</v>
      </c>
      <c r="DH786">
        <v>0</v>
      </c>
      <c r="DI786">
        <v>0</v>
      </c>
      <c r="DJ786">
        <v>0</v>
      </c>
      <c r="DK786">
        <v>0</v>
      </c>
      <c r="DL786">
        <v>0</v>
      </c>
      <c r="DM786">
        <v>0</v>
      </c>
      <c r="DN786">
        <v>0</v>
      </c>
      <c r="DO786">
        <v>0</v>
      </c>
      <c r="DP786">
        <v>0</v>
      </c>
      <c r="DQ786">
        <v>0</v>
      </c>
      <c r="DR786">
        <v>0</v>
      </c>
      <c r="DS786">
        <v>0</v>
      </c>
      <c r="DT786">
        <v>0</v>
      </c>
      <c r="DU786">
        <v>0</v>
      </c>
    </row>
    <row r="787" spans="2:125">
      <c r="B787" s="136">
        <v>778</v>
      </c>
      <c r="C787" s="138">
        <v>1</v>
      </c>
      <c r="D787" s="474">
        <v>3660.4587863532461</v>
      </c>
      <c r="E787" s="127">
        <v>230.58512790592056</v>
      </c>
      <c r="F787" s="447">
        <v>0.47965052310887285</v>
      </c>
      <c r="G787" s="127">
        <v>129.07856950931657</v>
      </c>
      <c r="H787" s="132">
        <v>64.162348292605103</v>
      </c>
      <c r="I787" s="456"/>
      <c r="J787" s="45"/>
      <c r="K787" s="45">
        <v>560</v>
      </c>
      <c r="L787" s="463"/>
      <c r="M787" s="456">
        <v>45.376251220703125</v>
      </c>
      <c r="N787" s="457"/>
      <c r="O787" s="456"/>
      <c r="P787" s="46"/>
      <c r="Q787" s="463">
        <v>80.716300964355469</v>
      </c>
      <c r="R787" s="449"/>
      <c r="S787" s="463"/>
      <c r="T787" s="480"/>
      <c r="U787" s="468"/>
      <c r="V787" s="449"/>
      <c r="W787" s="45">
        <v>2188.90185546875</v>
      </c>
      <c r="X787" s="463">
        <v>176.62803649902344</v>
      </c>
      <c r="Y787" s="449"/>
      <c r="Z787" s="45"/>
      <c r="AA787" s="468">
        <v>0.47020006553477162</v>
      </c>
      <c r="AB787" s="456"/>
      <c r="AC787" s="46"/>
      <c r="AD787" s="46"/>
      <c r="AE787" s="46"/>
      <c r="AF787" s="46"/>
      <c r="AG787" s="46"/>
      <c r="AH787" s="46"/>
      <c r="AI787" s="457"/>
      <c r="AJ787" s="138"/>
      <c r="AK787" s="745"/>
      <c r="AL787" s="54"/>
      <c r="AM787" s="468"/>
      <c r="AN787" s="449"/>
      <c r="AO787" s="45"/>
      <c r="AP787" s="45"/>
      <c r="AQ787" s="45"/>
      <c r="AR787" s="45"/>
      <c r="AS787" s="45"/>
      <c r="AT787" s="45"/>
      <c r="AU787" s="463"/>
      <c r="AV787" s="449"/>
      <c r="AW787" s="45"/>
      <c r="AX787" s="45"/>
      <c r="AY787" s="45"/>
      <c r="AZ787" s="45"/>
      <c r="BA787" s="45"/>
      <c r="BB787" s="45"/>
      <c r="BC787" s="463"/>
      <c r="BD787" s="456"/>
      <c r="BE787" s="46"/>
      <c r="BF787" s="46"/>
      <c r="BG787" s="46"/>
      <c r="BH787" s="46"/>
      <c r="BI787" s="46"/>
      <c r="BJ787" s="457"/>
      <c r="BK787" s="449">
        <v>0</v>
      </c>
      <c r="BL787" s="45"/>
      <c r="BM787" s="45"/>
      <c r="BN787" s="45"/>
      <c r="BO787" s="45"/>
      <c r="BP787" s="45"/>
      <c r="BQ787" s="45"/>
      <c r="BR787" s="45"/>
      <c r="BS787" s="45"/>
      <c r="BT787" s="45"/>
      <c r="BU787" s="45"/>
      <c r="BV787" s="45"/>
      <c r="BW787" s="45"/>
      <c r="BX787" s="45"/>
      <c r="BY787" s="45"/>
      <c r="BZ787" s="45"/>
      <c r="CA787" s="45"/>
      <c r="CB787" s="45"/>
      <c r="CC787" s="45"/>
      <c r="CD787" s="463"/>
      <c r="CE787">
        <v>0</v>
      </c>
      <c r="CF787">
        <v>0</v>
      </c>
      <c r="CG787">
        <v>0</v>
      </c>
      <c r="CH787">
        <v>0</v>
      </c>
      <c r="CI787">
        <v>0</v>
      </c>
      <c r="CJ787">
        <v>0</v>
      </c>
      <c r="CK787">
        <v>0</v>
      </c>
      <c r="CL787">
        <v>0</v>
      </c>
      <c r="CM787">
        <v>0</v>
      </c>
      <c r="CN787">
        <v>0</v>
      </c>
      <c r="CO787">
        <v>0</v>
      </c>
      <c r="CP787">
        <v>0</v>
      </c>
      <c r="CQ787">
        <v>0</v>
      </c>
      <c r="CR787">
        <v>0</v>
      </c>
      <c r="CS787">
        <v>0</v>
      </c>
      <c r="CT787">
        <v>0</v>
      </c>
      <c r="CU787">
        <v>0</v>
      </c>
      <c r="CV787">
        <v>0</v>
      </c>
      <c r="CW787">
        <v>0</v>
      </c>
      <c r="CX787">
        <v>0</v>
      </c>
      <c r="CY787">
        <v>0</v>
      </c>
      <c r="CZ787">
        <v>0</v>
      </c>
      <c r="DA787">
        <v>0</v>
      </c>
      <c r="DB787">
        <v>0</v>
      </c>
      <c r="DC787">
        <v>0</v>
      </c>
      <c r="DD787">
        <v>0</v>
      </c>
      <c r="DE787">
        <v>0</v>
      </c>
      <c r="DF787">
        <v>0</v>
      </c>
      <c r="DG787">
        <v>0</v>
      </c>
      <c r="DH787">
        <v>0</v>
      </c>
      <c r="DI787">
        <v>0</v>
      </c>
      <c r="DJ787">
        <v>0</v>
      </c>
      <c r="DK787">
        <v>0</v>
      </c>
      <c r="DL787">
        <v>0</v>
      </c>
      <c r="DM787">
        <v>0</v>
      </c>
      <c r="DN787">
        <v>0</v>
      </c>
      <c r="DO787">
        <v>0</v>
      </c>
      <c r="DP787">
        <v>0</v>
      </c>
      <c r="DQ787">
        <v>0</v>
      </c>
      <c r="DR787">
        <v>0</v>
      </c>
      <c r="DS787">
        <v>0</v>
      </c>
      <c r="DT787">
        <v>0</v>
      </c>
      <c r="DU787">
        <v>0</v>
      </c>
    </row>
    <row r="788" spans="2:125">
      <c r="B788" s="136">
        <v>779</v>
      </c>
      <c r="C788" s="138">
        <v>1</v>
      </c>
      <c r="D788" s="474">
        <v>3305.62819310537</v>
      </c>
      <c r="E788" s="127">
        <v>215.68229075501068</v>
      </c>
      <c r="F788" s="447">
        <v>0.35891909753545859</v>
      </c>
      <c r="G788" s="127">
        <v>115.40722227527722</v>
      </c>
      <c r="H788" s="132">
        <v>55.299621747595864</v>
      </c>
      <c r="I788" s="456"/>
      <c r="J788" s="45"/>
      <c r="K788" s="45">
        <v>470</v>
      </c>
      <c r="L788" s="463"/>
      <c r="M788" s="456">
        <v>27.467609405517578</v>
      </c>
      <c r="N788" s="457"/>
      <c r="O788" s="456"/>
      <c r="P788" s="46"/>
      <c r="Q788" s="463">
        <v>65.451438903808594</v>
      </c>
      <c r="R788" s="449"/>
      <c r="S788" s="463"/>
      <c r="T788" s="480"/>
      <c r="U788" s="468"/>
      <c r="V788" s="449"/>
      <c r="W788" s="45">
        <v>1216.9862060546875</v>
      </c>
      <c r="X788" s="463">
        <v>105.54039764404297</v>
      </c>
      <c r="Y788" s="449"/>
      <c r="Z788" s="45"/>
      <c r="AA788" s="468">
        <v>0.34918467488689076</v>
      </c>
      <c r="AB788" s="456"/>
      <c r="AC788" s="46"/>
      <c r="AD788" s="46"/>
      <c r="AE788" s="46"/>
      <c r="AF788" s="46"/>
      <c r="AG788" s="46"/>
      <c r="AH788" s="46"/>
      <c r="AI788" s="457"/>
      <c r="AJ788" s="138"/>
      <c r="AK788" s="745"/>
      <c r="AL788" s="54"/>
      <c r="AM788" s="468"/>
      <c r="AN788" s="449"/>
      <c r="AO788" s="45"/>
      <c r="AP788" s="45"/>
      <c r="AQ788" s="45"/>
      <c r="AR788" s="45"/>
      <c r="AS788" s="45"/>
      <c r="AT788" s="45"/>
      <c r="AU788" s="463"/>
      <c r="AV788" s="449"/>
      <c r="AW788" s="45"/>
      <c r="AX788" s="45"/>
      <c r="AY788" s="45"/>
      <c r="AZ788" s="45"/>
      <c r="BA788" s="45"/>
      <c r="BB788" s="45"/>
      <c r="BC788" s="463"/>
      <c r="BD788" s="456"/>
      <c r="BE788" s="46"/>
      <c r="BF788" s="46"/>
      <c r="BG788" s="46"/>
      <c r="BH788" s="46"/>
      <c r="BI788" s="46"/>
      <c r="BJ788" s="457"/>
      <c r="BK788" s="449">
        <v>0</v>
      </c>
      <c r="BL788" s="45"/>
      <c r="BM788" s="45"/>
      <c r="BN788" s="45"/>
      <c r="BO788" s="45"/>
      <c r="BP788" s="45"/>
      <c r="BQ788" s="45"/>
      <c r="BR788" s="45"/>
      <c r="BS788" s="45"/>
      <c r="BT788" s="45"/>
      <c r="BU788" s="45"/>
      <c r="BV788" s="45"/>
      <c r="BW788" s="45"/>
      <c r="BX788" s="45"/>
      <c r="BY788" s="45"/>
      <c r="BZ788" s="45"/>
      <c r="CA788" s="45"/>
      <c r="CB788" s="45"/>
      <c r="CC788" s="45"/>
      <c r="CD788" s="463"/>
      <c r="CE788">
        <v>0</v>
      </c>
      <c r="CF788">
        <v>0</v>
      </c>
      <c r="CG788">
        <v>0</v>
      </c>
      <c r="CH788">
        <v>0</v>
      </c>
      <c r="CI788">
        <v>0</v>
      </c>
      <c r="CJ788">
        <v>0</v>
      </c>
      <c r="CK788">
        <v>0</v>
      </c>
      <c r="CL788">
        <v>0</v>
      </c>
      <c r="CM788">
        <v>0</v>
      </c>
      <c r="CN788">
        <v>0</v>
      </c>
      <c r="CO788">
        <v>0</v>
      </c>
      <c r="CP788">
        <v>0</v>
      </c>
      <c r="CQ788">
        <v>0</v>
      </c>
      <c r="CR788">
        <v>0</v>
      </c>
      <c r="CS788">
        <v>0</v>
      </c>
      <c r="CT788">
        <v>0</v>
      </c>
      <c r="CU788">
        <v>0</v>
      </c>
      <c r="CV788">
        <v>0</v>
      </c>
      <c r="CW788">
        <v>0</v>
      </c>
      <c r="CX788">
        <v>0</v>
      </c>
      <c r="CY788">
        <v>0</v>
      </c>
      <c r="CZ788">
        <v>0</v>
      </c>
      <c r="DA788">
        <v>0</v>
      </c>
      <c r="DB788">
        <v>0</v>
      </c>
      <c r="DC788">
        <v>0</v>
      </c>
      <c r="DD788">
        <v>0</v>
      </c>
      <c r="DE788">
        <v>0</v>
      </c>
      <c r="DF788">
        <v>0</v>
      </c>
      <c r="DG788">
        <v>0</v>
      </c>
      <c r="DH788">
        <v>0</v>
      </c>
      <c r="DI788">
        <v>0</v>
      </c>
      <c r="DJ788">
        <v>0</v>
      </c>
      <c r="DK788">
        <v>0</v>
      </c>
      <c r="DL788">
        <v>0</v>
      </c>
      <c r="DM788">
        <v>0</v>
      </c>
      <c r="DN788">
        <v>0</v>
      </c>
      <c r="DO788">
        <v>0</v>
      </c>
      <c r="DP788">
        <v>0</v>
      </c>
      <c r="DQ788">
        <v>0</v>
      </c>
      <c r="DR788">
        <v>0</v>
      </c>
      <c r="DS788">
        <v>0</v>
      </c>
      <c r="DT788">
        <v>0</v>
      </c>
      <c r="DU788">
        <v>0</v>
      </c>
    </row>
    <row r="789" spans="2:125">
      <c r="B789" s="136">
        <v>780</v>
      </c>
      <c r="C789" s="138">
        <v>1</v>
      </c>
      <c r="D789" s="474">
        <v>3031.7903254641051</v>
      </c>
      <c r="E789" s="127">
        <v>243.27796245207293</v>
      </c>
      <c r="F789" s="447">
        <v>0.38321644564399393</v>
      </c>
      <c r="G789" s="127">
        <v>98.336481762954563</v>
      </c>
      <c r="H789" s="132">
        <v>54.849865972670969</v>
      </c>
      <c r="I789" s="456"/>
      <c r="J789" s="45"/>
      <c r="K789" s="45">
        <v>410</v>
      </c>
      <c r="L789" s="463"/>
      <c r="M789" s="456">
        <v>28.43548583984375</v>
      </c>
      <c r="N789" s="457"/>
      <c r="O789" s="456"/>
      <c r="P789" s="46"/>
      <c r="Q789" s="463">
        <v>60.029449462890625</v>
      </c>
      <c r="R789" s="449"/>
      <c r="S789" s="463"/>
      <c r="T789" s="480"/>
      <c r="U789" s="468"/>
      <c r="V789" s="449"/>
      <c r="W789" s="45">
        <v>1174.63232421875</v>
      </c>
      <c r="X789" s="463">
        <v>102.23811340332031</v>
      </c>
      <c r="Y789" s="449"/>
      <c r="Z789" s="45"/>
      <c r="AA789" s="468">
        <v>0.37244250503255683</v>
      </c>
      <c r="AB789" s="456"/>
      <c r="AC789" s="46"/>
      <c r="AD789" s="46"/>
      <c r="AE789" s="46"/>
      <c r="AF789" s="46"/>
      <c r="AG789" s="46"/>
      <c r="AH789" s="46"/>
      <c r="AI789" s="457"/>
      <c r="AJ789" s="138"/>
      <c r="AK789" s="745"/>
      <c r="AL789" s="54"/>
      <c r="AM789" s="468"/>
      <c r="AN789" s="449"/>
      <c r="AO789" s="45"/>
      <c r="AP789" s="45"/>
      <c r="AQ789" s="45"/>
      <c r="AR789" s="45"/>
      <c r="AS789" s="45"/>
      <c r="AT789" s="45"/>
      <c r="AU789" s="463"/>
      <c r="AV789" s="449"/>
      <c r="AW789" s="45"/>
      <c r="AX789" s="45"/>
      <c r="AY789" s="45"/>
      <c r="AZ789" s="45"/>
      <c r="BA789" s="45"/>
      <c r="BB789" s="45"/>
      <c r="BC789" s="463"/>
      <c r="BD789" s="456"/>
      <c r="BE789" s="46"/>
      <c r="BF789" s="46"/>
      <c r="BG789" s="46"/>
      <c r="BH789" s="46"/>
      <c r="BI789" s="46"/>
      <c r="BJ789" s="457"/>
      <c r="BK789" s="449">
        <v>0</v>
      </c>
      <c r="BL789" s="45"/>
      <c r="BM789" s="45"/>
      <c r="BN789" s="45"/>
      <c r="BO789" s="45"/>
      <c r="BP789" s="45"/>
      <c r="BQ789" s="45"/>
      <c r="BR789" s="45"/>
      <c r="BS789" s="45"/>
      <c r="BT789" s="45"/>
      <c r="BU789" s="45"/>
      <c r="BV789" s="45"/>
      <c r="BW789" s="45"/>
      <c r="BX789" s="45"/>
      <c r="BY789" s="45"/>
      <c r="BZ789" s="45"/>
      <c r="CA789" s="45"/>
      <c r="CB789" s="45"/>
      <c r="CC789" s="45"/>
      <c r="CD789" s="463"/>
      <c r="CE789">
        <v>0</v>
      </c>
      <c r="CF789">
        <v>0</v>
      </c>
      <c r="CG789">
        <v>0</v>
      </c>
      <c r="CH789">
        <v>0</v>
      </c>
      <c r="CI789">
        <v>0</v>
      </c>
      <c r="CJ789">
        <v>0</v>
      </c>
      <c r="CK789">
        <v>0</v>
      </c>
      <c r="CL789">
        <v>0</v>
      </c>
      <c r="CM789">
        <v>0</v>
      </c>
      <c r="CN789">
        <v>0</v>
      </c>
      <c r="CO789">
        <v>0</v>
      </c>
      <c r="CP789">
        <v>0</v>
      </c>
      <c r="CQ789">
        <v>0</v>
      </c>
      <c r="CR789">
        <v>0</v>
      </c>
      <c r="CS789">
        <v>0</v>
      </c>
      <c r="CT789">
        <v>0</v>
      </c>
      <c r="CU789">
        <v>0</v>
      </c>
      <c r="CV789">
        <v>0</v>
      </c>
      <c r="CW789">
        <v>0</v>
      </c>
      <c r="CX789">
        <v>0</v>
      </c>
      <c r="CY789">
        <v>0</v>
      </c>
      <c r="CZ789">
        <v>0</v>
      </c>
      <c r="DA789">
        <v>0</v>
      </c>
      <c r="DB789">
        <v>0</v>
      </c>
      <c r="DC789">
        <v>0</v>
      </c>
      <c r="DD789">
        <v>0</v>
      </c>
      <c r="DE789">
        <v>0</v>
      </c>
      <c r="DF789">
        <v>0</v>
      </c>
      <c r="DG789">
        <v>0</v>
      </c>
      <c r="DH789">
        <v>0</v>
      </c>
      <c r="DI789">
        <v>0</v>
      </c>
      <c r="DJ789">
        <v>0</v>
      </c>
      <c r="DK789">
        <v>0</v>
      </c>
      <c r="DL789">
        <v>0</v>
      </c>
      <c r="DM789">
        <v>0</v>
      </c>
      <c r="DN789">
        <v>0</v>
      </c>
      <c r="DO789">
        <v>0</v>
      </c>
      <c r="DP789">
        <v>0</v>
      </c>
      <c r="DQ789">
        <v>0</v>
      </c>
      <c r="DR789">
        <v>0</v>
      </c>
      <c r="DS789">
        <v>0</v>
      </c>
      <c r="DT789">
        <v>0</v>
      </c>
      <c r="DU789">
        <v>0</v>
      </c>
    </row>
    <row r="790" spans="2:125">
      <c r="B790" s="136">
        <v>781</v>
      </c>
      <c r="C790" s="138">
        <v>1</v>
      </c>
      <c r="D790" s="474">
        <v>3171.5636414320343</v>
      </c>
      <c r="E790" s="127">
        <v>219.08164941407608</v>
      </c>
      <c r="F790" s="447">
        <v>0.43300390849857806</v>
      </c>
      <c r="G790" s="127">
        <v>110.45346508113109</v>
      </c>
      <c r="H790" s="132">
        <v>54.156779882594115</v>
      </c>
      <c r="I790" s="456"/>
      <c r="J790" s="45"/>
      <c r="K790" s="45">
        <v>460</v>
      </c>
      <c r="L790" s="463"/>
      <c r="M790" s="456">
        <v>35.769969940185547</v>
      </c>
      <c r="N790" s="457"/>
      <c r="O790" s="456"/>
      <c r="P790" s="46"/>
      <c r="Q790" s="463">
        <v>62.796962738037109</v>
      </c>
      <c r="R790" s="449"/>
      <c r="S790" s="463"/>
      <c r="T790" s="480"/>
      <c r="U790" s="468"/>
      <c r="V790" s="449"/>
      <c r="W790" s="45">
        <v>1510.5106201171875</v>
      </c>
      <c r="X790" s="463">
        <v>126.85277557373047</v>
      </c>
      <c r="Y790" s="449"/>
      <c r="Z790" s="45"/>
      <c r="AA790" s="468">
        <v>0.42239082234440173</v>
      </c>
      <c r="AB790" s="456"/>
      <c r="AC790" s="46"/>
      <c r="AD790" s="46"/>
      <c r="AE790" s="46"/>
      <c r="AF790" s="46"/>
      <c r="AG790" s="46"/>
      <c r="AH790" s="46"/>
      <c r="AI790" s="457"/>
      <c r="AJ790" s="138"/>
      <c r="AK790" s="745"/>
      <c r="AL790" s="54"/>
      <c r="AM790" s="468"/>
      <c r="AN790" s="449"/>
      <c r="AO790" s="45"/>
      <c r="AP790" s="45"/>
      <c r="AQ790" s="45"/>
      <c r="AR790" s="45"/>
      <c r="AS790" s="45"/>
      <c r="AT790" s="45"/>
      <c r="AU790" s="463"/>
      <c r="AV790" s="449"/>
      <c r="AW790" s="45"/>
      <c r="AX790" s="45"/>
      <c r="AY790" s="45"/>
      <c r="AZ790" s="45"/>
      <c r="BA790" s="45"/>
      <c r="BB790" s="45"/>
      <c r="BC790" s="463"/>
      <c r="BD790" s="456"/>
      <c r="BE790" s="46"/>
      <c r="BF790" s="46"/>
      <c r="BG790" s="46"/>
      <c r="BH790" s="46"/>
      <c r="BI790" s="46"/>
      <c r="BJ790" s="457"/>
      <c r="BK790" s="449">
        <v>0</v>
      </c>
      <c r="BL790" s="45"/>
      <c r="BM790" s="45"/>
      <c r="BN790" s="45"/>
      <c r="BO790" s="45"/>
      <c r="BP790" s="45"/>
      <c r="BQ790" s="45"/>
      <c r="BR790" s="45"/>
      <c r="BS790" s="45"/>
      <c r="BT790" s="45"/>
      <c r="BU790" s="45"/>
      <c r="BV790" s="45"/>
      <c r="BW790" s="45"/>
      <c r="BX790" s="45"/>
      <c r="BY790" s="45"/>
      <c r="BZ790" s="45"/>
      <c r="CA790" s="45"/>
      <c r="CB790" s="45"/>
      <c r="CC790" s="45"/>
      <c r="CD790" s="463"/>
      <c r="CE790">
        <v>0</v>
      </c>
      <c r="CF790">
        <v>0</v>
      </c>
      <c r="CG790">
        <v>0</v>
      </c>
      <c r="CH790">
        <v>0</v>
      </c>
      <c r="CI790">
        <v>0</v>
      </c>
      <c r="CJ790">
        <v>0</v>
      </c>
      <c r="CK790">
        <v>0</v>
      </c>
      <c r="CL790">
        <v>0</v>
      </c>
      <c r="CM790">
        <v>0</v>
      </c>
      <c r="CN790">
        <v>0</v>
      </c>
      <c r="CO790">
        <v>0</v>
      </c>
      <c r="CP790">
        <v>0</v>
      </c>
      <c r="CQ790">
        <v>0</v>
      </c>
      <c r="CR790">
        <v>0</v>
      </c>
      <c r="CS790">
        <v>0</v>
      </c>
      <c r="CT790">
        <v>0</v>
      </c>
      <c r="CU790">
        <v>0</v>
      </c>
      <c r="CV790">
        <v>0</v>
      </c>
      <c r="CW790">
        <v>0</v>
      </c>
      <c r="CX790">
        <v>0</v>
      </c>
      <c r="CY790">
        <v>0</v>
      </c>
      <c r="CZ790">
        <v>0</v>
      </c>
      <c r="DA790">
        <v>0</v>
      </c>
      <c r="DB790">
        <v>0</v>
      </c>
      <c r="DC790">
        <v>0</v>
      </c>
      <c r="DD790">
        <v>0</v>
      </c>
      <c r="DE790">
        <v>0</v>
      </c>
      <c r="DF790">
        <v>0</v>
      </c>
      <c r="DG790">
        <v>0</v>
      </c>
      <c r="DH790">
        <v>0</v>
      </c>
      <c r="DI790">
        <v>0</v>
      </c>
      <c r="DJ790">
        <v>0</v>
      </c>
      <c r="DK790">
        <v>0</v>
      </c>
      <c r="DL790">
        <v>0</v>
      </c>
      <c r="DM790">
        <v>0</v>
      </c>
      <c r="DN790">
        <v>0</v>
      </c>
      <c r="DO790">
        <v>0</v>
      </c>
      <c r="DP790">
        <v>0</v>
      </c>
      <c r="DQ790">
        <v>0</v>
      </c>
      <c r="DR790">
        <v>0</v>
      </c>
      <c r="DS790">
        <v>0</v>
      </c>
      <c r="DT790">
        <v>0</v>
      </c>
      <c r="DU790">
        <v>0</v>
      </c>
    </row>
    <row r="791" spans="2:125">
      <c r="B791" s="136">
        <v>782</v>
      </c>
      <c r="C791" s="138">
        <v>1</v>
      </c>
      <c r="D791" s="474">
        <v>3344.5288847990314</v>
      </c>
      <c r="E791" s="127">
        <v>242.21121126740218</v>
      </c>
      <c r="F791" s="447">
        <v>0.37407942190248733</v>
      </c>
      <c r="G791" s="127">
        <v>119.45927647393563</v>
      </c>
      <c r="H791" s="132">
        <v>54.929838526861595</v>
      </c>
      <c r="I791" s="456"/>
      <c r="J791" s="45"/>
      <c r="K791" s="45">
        <v>480</v>
      </c>
      <c r="L791" s="463"/>
      <c r="M791" s="456">
        <v>29.284345626831055</v>
      </c>
      <c r="N791" s="457"/>
      <c r="O791" s="456"/>
      <c r="P791" s="46"/>
      <c r="Q791" s="463">
        <v>66.2216796875</v>
      </c>
      <c r="R791" s="449"/>
      <c r="S791" s="463"/>
      <c r="T791" s="480"/>
      <c r="U791" s="468"/>
      <c r="V791" s="449"/>
      <c r="W791" s="45">
        <v>1308.32666015625</v>
      </c>
      <c r="X791" s="463">
        <v>112.25276184082031</v>
      </c>
      <c r="Y791" s="449"/>
      <c r="Z791" s="45"/>
      <c r="AA791" s="468">
        <v>0.3643675642517194</v>
      </c>
      <c r="AB791" s="456"/>
      <c r="AC791" s="46"/>
      <c r="AD791" s="46"/>
      <c r="AE791" s="46"/>
      <c r="AF791" s="46"/>
      <c r="AG791" s="46"/>
      <c r="AH791" s="46"/>
      <c r="AI791" s="457"/>
      <c r="AJ791" s="138"/>
      <c r="AK791" s="745"/>
      <c r="AL791" s="54"/>
      <c r="AM791" s="468"/>
      <c r="AN791" s="449"/>
      <c r="AO791" s="45"/>
      <c r="AP791" s="45"/>
      <c r="AQ791" s="45"/>
      <c r="AR791" s="45"/>
      <c r="AS791" s="45"/>
      <c r="AT791" s="45"/>
      <c r="AU791" s="463"/>
      <c r="AV791" s="449"/>
      <c r="AW791" s="45"/>
      <c r="AX791" s="45"/>
      <c r="AY791" s="45"/>
      <c r="AZ791" s="45"/>
      <c r="BA791" s="45"/>
      <c r="BB791" s="45"/>
      <c r="BC791" s="463"/>
      <c r="BD791" s="456"/>
      <c r="BE791" s="46"/>
      <c r="BF791" s="46"/>
      <c r="BG791" s="46"/>
      <c r="BH791" s="46"/>
      <c r="BI791" s="46"/>
      <c r="BJ791" s="457"/>
      <c r="BK791" s="449">
        <v>0</v>
      </c>
      <c r="BL791" s="45"/>
      <c r="BM791" s="45"/>
      <c r="BN791" s="45"/>
      <c r="BO791" s="45"/>
      <c r="BP791" s="45"/>
      <c r="BQ791" s="45"/>
      <c r="BR791" s="45"/>
      <c r="BS791" s="45"/>
      <c r="BT791" s="45"/>
      <c r="BU791" s="45"/>
      <c r="BV791" s="45"/>
      <c r="BW791" s="45"/>
      <c r="BX791" s="45"/>
      <c r="BY791" s="45"/>
      <c r="BZ791" s="45"/>
      <c r="CA791" s="45"/>
      <c r="CB791" s="45"/>
      <c r="CC791" s="45"/>
      <c r="CD791" s="463"/>
      <c r="CE791">
        <v>0</v>
      </c>
      <c r="CF791">
        <v>0</v>
      </c>
      <c r="CG791">
        <v>0</v>
      </c>
      <c r="CH791">
        <v>0</v>
      </c>
      <c r="CI791">
        <v>0</v>
      </c>
      <c r="CJ791">
        <v>0</v>
      </c>
      <c r="CK791">
        <v>0</v>
      </c>
      <c r="CL791">
        <v>0</v>
      </c>
      <c r="CM791">
        <v>0</v>
      </c>
      <c r="CN791">
        <v>0</v>
      </c>
      <c r="CO791">
        <v>0</v>
      </c>
      <c r="CP791">
        <v>0</v>
      </c>
      <c r="CQ791">
        <v>0</v>
      </c>
      <c r="CR791">
        <v>0</v>
      </c>
      <c r="CS791">
        <v>0</v>
      </c>
      <c r="CT791">
        <v>0</v>
      </c>
      <c r="CU791">
        <v>0</v>
      </c>
      <c r="CV791">
        <v>0</v>
      </c>
      <c r="CW791">
        <v>0</v>
      </c>
      <c r="CX791">
        <v>0</v>
      </c>
      <c r="CY791">
        <v>0</v>
      </c>
      <c r="CZ791">
        <v>0</v>
      </c>
      <c r="DA791">
        <v>0</v>
      </c>
      <c r="DB791">
        <v>0</v>
      </c>
      <c r="DC791">
        <v>0</v>
      </c>
      <c r="DD791">
        <v>0</v>
      </c>
      <c r="DE791">
        <v>0</v>
      </c>
      <c r="DF791">
        <v>0</v>
      </c>
      <c r="DG791">
        <v>0</v>
      </c>
      <c r="DH791">
        <v>0</v>
      </c>
      <c r="DI791">
        <v>0</v>
      </c>
      <c r="DJ791">
        <v>0</v>
      </c>
      <c r="DK791">
        <v>0</v>
      </c>
      <c r="DL791">
        <v>0</v>
      </c>
      <c r="DM791">
        <v>0</v>
      </c>
      <c r="DN791">
        <v>0</v>
      </c>
      <c r="DO791">
        <v>0</v>
      </c>
      <c r="DP791">
        <v>0</v>
      </c>
      <c r="DQ791">
        <v>0</v>
      </c>
      <c r="DR791">
        <v>0</v>
      </c>
      <c r="DS791">
        <v>0</v>
      </c>
      <c r="DT791">
        <v>0</v>
      </c>
      <c r="DU791">
        <v>0</v>
      </c>
    </row>
    <row r="792" spans="2:125">
      <c r="B792" s="136">
        <v>783</v>
      </c>
      <c r="C792" s="138">
        <v>1</v>
      </c>
      <c r="D792" s="474">
        <v>3524.0195881683203</v>
      </c>
      <c r="E792" s="127">
        <v>183.82887975873814</v>
      </c>
      <c r="F792" s="447">
        <v>0.43417837503939205</v>
      </c>
      <c r="G792" s="127">
        <v>113.85696292966982</v>
      </c>
      <c r="H792" s="132">
        <v>59.363606234021205</v>
      </c>
      <c r="I792" s="456"/>
      <c r="J792" s="45"/>
      <c r="K792" s="45">
        <v>490</v>
      </c>
      <c r="L792" s="463"/>
      <c r="M792" s="456">
        <v>35.477142333984375</v>
      </c>
      <c r="N792" s="457"/>
      <c r="O792" s="456"/>
      <c r="P792" s="46"/>
      <c r="Q792" s="463">
        <v>69.775588989257812</v>
      </c>
      <c r="R792" s="449"/>
      <c r="S792" s="463"/>
      <c r="T792" s="480"/>
      <c r="U792" s="468"/>
      <c r="V792" s="449"/>
      <c r="W792" s="45">
        <v>1597.8641357421875</v>
      </c>
      <c r="X792" s="463">
        <v>133.33045959472656</v>
      </c>
      <c r="Y792" s="449"/>
      <c r="Z792" s="45"/>
      <c r="AA792" s="468">
        <v>0.4246200945991021</v>
      </c>
      <c r="AB792" s="456"/>
      <c r="AC792" s="46"/>
      <c r="AD792" s="46"/>
      <c r="AE792" s="46"/>
      <c r="AF792" s="46"/>
      <c r="AG792" s="46"/>
      <c r="AH792" s="46"/>
      <c r="AI792" s="457"/>
      <c r="AJ792" s="138"/>
      <c r="AK792" s="745"/>
      <c r="AL792" s="54"/>
      <c r="AM792" s="468"/>
      <c r="AN792" s="449"/>
      <c r="AO792" s="45"/>
      <c r="AP792" s="45"/>
      <c r="AQ792" s="45"/>
      <c r="AR792" s="45"/>
      <c r="AS792" s="45"/>
      <c r="AT792" s="45"/>
      <c r="AU792" s="463"/>
      <c r="AV792" s="449"/>
      <c r="AW792" s="45"/>
      <c r="AX792" s="45"/>
      <c r="AY792" s="45"/>
      <c r="AZ792" s="45"/>
      <c r="BA792" s="45"/>
      <c r="BB792" s="45"/>
      <c r="BC792" s="463"/>
      <c r="BD792" s="456"/>
      <c r="BE792" s="46"/>
      <c r="BF792" s="46"/>
      <c r="BG792" s="46"/>
      <c r="BH792" s="46"/>
      <c r="BI792" s="46"/>
      <c r="BJ792" s="457"/>
      <c r="BK792" s="449">
        <v>0</v>
      </c>
      <c r="BL792" s="45"/>
      <c r="BM792" s="45"/>
      <c r="BN792" s="45"/>
      <c r="BO792" s="45"/>
      <c r="BP792" s="45"/>
      <c r="BQ792" s="45"/>
      <c r="BR792" s="45"/>
      <c r="BS792" s="45"/>
      <c r="BT792" s="45"/>
      <c r="BU792" s="45"/>
      <c r="BV792" s="45"/>
      <c r="BW792" s="45"/>
      <c r="BX792" s="45"/>
      <c r="BY792" s="45"/>
      <c r="BZ792" s="45"/>
      <c r="CA792" s="45"/>
      <c r="CB792" s="45"/>
      <c r="CC792" s="45"/>
      <c r="CD792" s="463"/>
      <c r="CE792">
        <v>0</v>
      </c>
      <c r="CF792">
        <v>0</v>
      </c>
      <c r="CG792">
        <v>0</v>
      </c>
      <c r="CH792">
        <v>0</v>
      </c>
      <c r="CI792">
        <v>0</v>
      </c>
      <c r="CJ792">
        <v>0</v>
      </c>
      <c r="CK792">
        <v>0</v>
      </c>
      <c r="CL792">
        <v>0</v>
      </c>
      <c r="CM792">
        <v>0</v>
      </c>
      <c r="CN792">
        <v>0</v>
      </c>
      <c r="CO792">
        <v>0</v>
      </c>
      <c r="CP792">
        <v>0</v>
      </c>
      <c r="CQ792">
        <v>0</v>
      </c>
      <c r="CR792">
        <v>0</v>
      </c>
      <c r="CS792">
        <v>0</v>
      </c>
      <c r="CT792">
        <v>0</v>
      </c>
      <c r="CU792">
        <v>0</v>
      </c>
      <c r="CV792">
        <v>0</v>
      </c>
      <c r="CW792">
        <v>0</v>
      </c>
      <c r="CX792">
        <v>0</v>
      </c>
      <c r="CY792">
        <v>0</v>
      </c>
      <c r="CZ792">
        <v>0</v>
      </c>
      <c r="DA792">
        <v>0</v>
      </c>
      <c r="DB792">
        <v>0</v>
      </c>
      <c r="DC792">
        <v>0</v>
      </c>
      <c r="DD792">
        <v>0</v>
      </c>
      <c r="DE792">
        <v>0</v>
      </c>
      <c r="DF792">
        <v>0</v>
      </c>
      <c r="DG792">
        <v>0</v>
      </c>
      <c r="DH792">
        <v>0</v>
      </c>
      <c r="DI792">
        <v>0</v>
      </c>
      <c r="DJ792">
        <v>0</v>
      </c>
      <c r="DK792">
        <v>0</v>
      </c>
      <c r="DL792">
        <v>0</v>
      </c>
      <c r="DM792">
        <v>0</v>
      </c>
      <c r="DN792">
        <v>0</v>
      </c>
      <c r="DO792">
        <v>0</v>
      </c>
      <c r="DP792">
        <v>0</v>
      </c>
      <c r="DQ792">
        <v>0</v>
      </c>
      <c r="DR792">
        <v>0</v>
      </c>
      <c r="DS792">
        <v>0</v>
      </c>
      <c r="DT792">
        <v>0</v>
      </c>
      <c r="DU792">
        <v>0</v>
      </c>
    </row>
    <row r="793" spans="2:125">
      <c r="B793" s="136">
        <v>784</v>
      </c>
      <c r="C793" s="138">
        <v>1</v>
      </c>
      <c r="D793" s="474">
        <v>3853.3087361039857</v>
      </c>
      <c r="E793" s="127">
        <v>204.90965317127689</v>
      </c>
      <c r="F793" s="447">
        <v>0.3642629742575012</v>
      </c>
      <c r="G793" s="127">
        <v>129.48073026301537</v>
      </c>
      <c r="H793" s="132">
        <v>66.656496648338162</v>
      </c>
      <c r="I793" s="456"/>
      <c r="J793" s="45"/>
      <c r="K793" s="45">
        <v>560</v>
      </c>
      <c r="L793" s="463"/>
      <c r="M793" s="456">
        <v>27.644298553466797</v>
      </c>
      <c r="N793" s="457"/>
      <c r="O793" s="456"/>
      <c r="P793" s="46"/>
      <c r="Q793" s="463">
        <v>84.643753051757812</v>
      </c>
      <c r="R793" s="449"/>
      <c r="S793" s="463"/>
      <c r="T793" s="480"/>
      <c r="U793" s="468"/>
      <c r="V793" s="449"/>
      <c r="W793" s="45">
        <v>1442.0177001953125</v>
      </c>
      <c r="X793" s="463">
        <v>122.30621337890625</v>
      </c>
      <c r="Y793" s="449"/>
      <c r="Z793" s="45"/>
      <c r="AA793" s="468">
        <v>0.35588439322591919</v>
      </c>
      <c r="AB793" s="456"/>
      <c r="AC793" s="46"/>
      <c r="AD793" s="46"/>
      <c r="AE793" s="46"/>
      <c r="AF793" s="46"/>
      <c r="AG793" s="46"/>
      <c r="AH793" s="46"/>
      <c r="AI793" s="457"/>
      <c r="AJ793" s="138"/>
      <c r="AK793" s="745"/>
      <c r="AL793" s="54"/>
      <c r="AM793" s="468"/>
      <c r="AN793" s="449"/>
      <c r="AO793" s="45"/>
      <c r="AP793" s="45"/>
      <c r="AQ793" s="45"/>
      <c r="AR793" s="45"/>
      <c r="AS793" s="45"/>
      <c r="AT793" s="45"/>
      <c r="AU793" s="463"/>
      <c r="AV793" s="449"/>
      <c r="AW793" s="45"/>
      <c r="AX793" s="45"/>
      <c r="AY793" s="45"/>
      <c r="AZ793" s="45"/>
      <c r="BA793" s="45"/>
      <c r="BB793" s="45"/>
      <c r="BC793" s="463"/>
      <c r="BD793" s="456"/>
      <c r="BE793" s="46"/>
      <c r="BF793" s="46"/>
      <c r="BG793" s="46"/>
      <c r="BH793" s="46"/>
      <c r="BI793" s="46"/>
      <c r="BJ793" s="457"/>
      <c r="BK793" s="449">
        <v>0</v>
      </c>
      <c r="BL793" s="45"/>
      <c r="BM793" s="45"/>
      <c r="BN793" s="45"/>
      <c r="BO793" s="45"/>
      <c r="BP793" s="45"/>
      <c r="BQ793" s="45"/>
      <c r="BR793" s="45"/>
      <c r="BS793" s="45"/>
      <c r="BT793" s="45"/>
      <c r="BU793" s="45"/>
      <c r="BV793" s="45"/>
      <c r="BW793" s="45"/>
      <c r="BX793" s="45"/>
      <c r="BY793" s="45"/>
      <c r="BZ793" s="45"/>
      <c r="CA793" s="45"/>
      <c r="CB793" s="45"/>
      <c r="CC793" s="45"/>
      <c r="CD793" s="463"/>
      <c r="CE793">
        <v>0</v>
      </c>
      <c r="CF793">
        <v>0</v>
      </c>
      <c r="CG793">
        <v>0</v>
      </c>
      <c r="CH793">
        <v>0</v>
      </c>
      <c r="CI793">
        <v>0</v>
      </c>
      <c r="CJ793">
        <v>0</v>
      </c>
      <c r="CK793">
        <v>0</v>
      </c>
      <c r="CL793">
        <v>0</v>
      </c>
      <c r="CM793">
        <v>0</v>
      </c>
      <c r="CN793">
        <v>0</v>
      </c>
      <c r="CO793">
        <v>0</v>
      </c>
      <c r="CP793">
        <v>0</v>
      </c>
      <c r="CQ793">
        <v>0</v>
      </c>
      <c r="CR793">
        <v>0</v>
      </c>
      <c r="CS793">
        <v>0</v>
      </c>
      <c r="CT793">
        <v>0</v>
      </c>
      <c r="CU793">
        <v>0</v>
      </c>
      <c r="CV793">
        <v>0</v>
      </c>
      <c r="CW793">
        <v>0</v>
      </c>
      <c r="CX793">
        <v>0</v>
      </c>
      <c r="CY793">
        <v>0</v>
      </c>
      <c r="CZ793">
        <v>0</v>
      </c>
      <c r="DA793">
        <v>0</v>
      </c>
      <c r="DB793">
        <v>0</v>
      </c>
      <c r="DC793">
        <v>0</v>
      </c>
      <c r="DD793">
        <v>0</v>
      </c>
      <c r="DE793">
        <v>0</v>
      </c>
      <c r="DF793">
        <v>0</v>
      </c>
      <c r="DG793">
        <v>0</v>
      </c>
      <c r="DH793">
        <v>0</v>
      </c>
      <c r="DI793">
        <v>0</v>
      </c>
      <c r="DJ793">
        <v>0</v>
      </c>
      <c r="DK793">
        <v>0</v>
      </c>
      <c r="DL793">
        <v>0</v>
      </c>
      <c r="DM793">
        <v>0</v>
      </c>
      <c r="DN793">
        <v>0</v>
      </c>
      <c r="DO793">
        <v>0</v>
      </c>
      <c r="DP793">
        <v>0</v>
      </c>
      <c r="DQ793">
        <v>0</v>
      </c>
      <c r="DR793">
        <v>0</v>
      </c>
      <c r="DS793">
        <v>0</v>
      </c>
      <c r="DT793">
        <v>0</v>
      </c>
      <c r="DU793">
        <v>0</v>
      </c>
    </row>
    <row r="794" spans="2:125">
      <c r="B794" s="136">
        <v>785</v>
      </c>
      <c r="C794" s="138">
        <v>1</v>
      </c>
      <c r="D794" s="474">
        <v>3438.1204317102352</v>
      </c>
      <c r="E794" s="127">
        <v>260.12634590054682</v>
      </c>
      <c r="F794" s="447">
        <v>0.41694021942379966</v>
      </c>
      <c r="G794" s="127">
        <v>107.29959255292823</v>
      </c>
      <c r="H794" s="132">
        <v>59.517995447254151</v>
      </c>
      <c r="I794" s="456"/>
      <c r="J794" s="45"/>
      <c r="K794" s="45">
        <v>460</v>
      </c>
      <c r="L794" s="463"/>
      <c r="M794" s="456">
        <v>32.180606842041016</v>
      </c>
      <c r="N794" s="457"/>
      <c r="O794" s="456"/>
      <c r="P794" s="46"/>
      <c r="Q794" s="463">
        <v>68.074783325195313</v>
      </c>
      <c r="R794" s="449"/>
      <c r="S794" s="463"/>
      <c r="T794" s="480"/>
      <c r="U794" s="468"/>
      <c r="V794" s="449"/>
      <c r="W794" s="45">
        <v>1435.8277587890625</v>
      </c>
      <c r="X794" s="463">
        <v>121.44392395019531</v>
      </c>
      <c r="Y794" s="449"/>
      <c r="Z794" s="45"/>
      <c r="AA794" s="468">
        <v>0.40724340831707173</v>
      </c>
      <c r="AB794" s="456"/>
      <c r="AC794" s="46"/>
      <c r="AD794" s="46"/>
      <c r="AE794" s="46"/>
      <c r="AF794" s="46"/>
      <c r="AG794" s="46"/>
      <c r="AH794" s="46"/>
      <c r="AI794" s="457"/>
      <c r="AJ794" s="138"/>
      <c r="AK794" s="745"/>
      <c r="AL794" s="54"/>
      <c r="AM794" s="468"/>
      <c r="AN794" s="449"/>
      <c r="AO794" s="45"/>
      <c r="AP794" s="45"/>
      <c r="AQ794" s="45"/>
      <c r="AR794" s="45"/>
      <c r="AS794" s="45"/>
      <c r="AT794" s="45"/>
      <c r="AU794" s="463"/>
      <c r="AV794" s="449"/>
      <c r="AW794" s="45"/>
      <c r="AX794" s="45"/>
      <c r="AY794" s="45"/>
      <c r="AZ794" s="45"/>
      <c r="BA794" s="45"/>
      <c r="BB794" s="45"/>
      <c r="BC794" s="463"/>
      <c r="BD794" s="456"/>
      <c r="BE794" s="46"/>
      <c r="BF794" s="46"/>
      <c r="BG794" s="46"/>
      <c r="BH794" s="46"/>
      <c r="BI794" s="46"/>
      <c r="BJ794" s="457"/>
      <c r="BK794" s="449">
        <v>0</v>
      </c>
      <c r="BL794" s="45"/>
      <c r="BM794" s="45"/>
      <c r="BN794" s="45"/>
      <c r="BO794" s="45"/>
      <c r="BP794" s="45"/>
      <c r="BQ794" s="45"/>
      <c r="BR794" s="45"/>
      <c r="BS794" s="45"/>
      <c r="BT794" s="45"/>
      <c r="BU794" s="45"/>
      <c r="BV794" s="45"/>
      <c r="BW794" s="45"/>
      <c r="BX794" s="45"/>
      <c r="BY794" s="45"/>
      <c r="BZ794" s="45"/>
      <c r="CA794" s="45"/>
      <c r="CB794" s="45"/>
      <c r="CC794" s="45"/>
      <c r="CD794" s="463"/>
      <c r="CE794">
        <v>0</v>
      </c>
      <c r="CF794">
        <v>0</v>
      </c>
      <c r="CG794">
        <v>0</v>
      </c>
      <c r="CH794">
        <v>0</v>
      </c>
      <c r="CI794">
        <v>0</v>
      </c>
      <c r="CJ794">
        <v>0</v>
      </c>
      <c r="CK794">
        <v>0</v>
      </c>
      <c r="CL794">
        <v>0</v>
      </c>
      <c r="CM794">
        <v>0</v>
      </c>
      <c r="CN794">
        <v>0</v>
      </c>
      <c r="CO794">
        <v>0</v>
      </c>
      <c r="CP794">
        <v>0</v>
      </c>
      <c r="CQ794">
        <v>0</v>
      </c>
      <c r="CR794">
        <v>0</v>
      </c>
      <c r="CS794">
        <v>0</v>
      </c>
      <c r="CT794">
        <v>0</v>
      </c>
      <c r="CU794">
        <v>0</v>
      </c>
      <c r="CV794">
        <v>0</v>
      </c>
      <c r="CW794">
        <v>0</v>
      </c>
      <c r="CX794">
        <v>0</v>
      </c>
      <c r="CY794">
        <v>0</v>
      </c>
      <c r="CZ794">
        <v>0</v>
      </c>
      <c r="DA794">
        <v>0</v>
      </c>
      <c r="DB794">
        <v>0</v>
      </c>
      <c r="DC794">
        <v>0</v>
      </c>
      <c r="DD794">
        <v>0</v>
      </c>
      <c r="DE794">
        <v>0</v>
      </c>
      <c r="DF794">
        <v>0</v>
      </c>
      <c r="DG794">
        <v>0</v>
      </c>
      <c r="DH794">
        <v>0</v>
      </c>
      <c r="DI794">
        <v>0</v>
      </c>
      <c r="DJ794">
        <v>0</v>
      </c>
      <c r="DK794">
        <v>0</v>
      </c>
      <c r="DL794">
        <v>0</v>
      </c>
      <c r="DM794">
        <v>0</v>
      </c>
      <c r="DN794">
        <v>0</v>
      </c>
      <c r="DO794">
        <v>0</v>
      </c>
      <c r="DP794">
        <v>0</v>
      </c>
      <c r="DQ794">
        <v>0</v>
      </c>
      <c r="DR794">
        <v>0</v>
      </c>
      <c r="DS794">
        <v>0</v>
      </c>
      <c r="DT794">
        <v>0</v>
      </c>
      <c r="DU794">
        <v>0</v>
      </c>
    </row>
    <row r="795" spans="2:125">
      <c r="B795" s="136">
        <v>786</v>
      </c>
      <c r="C795" s="138">
        <v>1</v>
      </c>
      <c r="D795" s="474">
        <v>2688.0729139417917</v>
      </c>
      <c r="E795" s="127">
        <v>207.06907066801202</v>
      </c>
      <c r="F795" s="447">
        <v>0.45963559340508497</v>
      </c>
      <c r="G795" s="127">
        <v>87.559261854523086</v>
      </c>
      <c r="H795" s="132">
        <v>51.174410173261379</v>
      </c>
      <c r="I795" s="456"/>
      <c r="J795" s="45"/>
      <c r="K795" s="45">
        <v>380</v>
      </c>
      <c r="L795" s="463"/>
      <c r="M795" s="456">
        <v>37.487884521484375</v>
      </c>
      <c r="N795" s="457"/>
      <c r="O795" s="456"/>
      <c r="P795" s="46"/>
      <c r="Q795" s="463">
        <v>53.223846435546875</v>
      </c>
      <c r="R795" s="449"/>
      <c r="S795" s="463"/>
      <c r="T795" s="480"/>
      <c r="U795" s="468"/>
      <c r="V795" s="449"/>
      <c r="W795" s="45">
        <v>1405.896240234375</v>
      </c>
      <c r="X795" s="463">
        <v>118.90544128417969</v>
      </c>
      <c r="Y795" s="449"/>
      <c r="Z795" s="45"/>
      <c r="AA795" s="468">
        <v>0.44691543552143531</v>
      </c>
      <c r="AB795" s="456"/>
      <c r="AC795" s="46"/>
      <c r="AD795" s="46"/>
      <c r="AE795" s="46"/>
      <c r="AF795" s="46"/>
      <c r="AG795" s="46"/>
      <c r="AH795" s="46"/>
      <c r="AI795" s="457"/>
      <c r="AJ795" s="138"/>
      <c r="AK795" s="745"/>
      <c r="AL795" s="54"/>
      <c r="AM795" s="468"/>
      <c r="AN795" s="449"/>
      <c r="AO795" s="45"/>
      <c r="AP795" s="45"/>
      <c r="AQ795" s="45"/>
      <c r="AR795" s="45"/>
      <c r="AS795" s="45"/>
      <c r="AT795" s="45"/>
      <c r="AU795" s="463"/>
      <c r="AV795" s="449"/>
      <c r="AW795" s="45"/>
      <c r="AX795" s="45"/>
      <c r="AY795" s="45"/>
      <c r="AZ795" s="45"/>
      <c r="BA795" s="45"/>
      <c r="BB795" s="45"/>
      <c r="BC795" s="463"/>
      <c r="BD795" s="456"/>
      <c r="BE795" s="46"/>
      <c r="BF795" s="46"/>
      <c r="BG795" s="46"/>
      <c r="BH795" s="46"/>
      <c r="BI795" s="46"/>
      <c r="BJ795" s="457"/>
      <c r="BK795" s="449">
        <v>0</v>
      </c>
      <c r="BL795" s="45"/>
      <c r="BM795" s="45"/>
      <c r="BN795" s="45"/>
      <c r="BO795" s="45"/>
      <c r="BP795" s="45"/>
      <c r="BQ795" s="45"/>
      <c r="BR795" s="45"/>
      <c r="BS795" s="45"/>
      <c r="BT795" s="45"/>
      <c r="BU795" s="45"/>
      <c r="BV795" s="45"/>
      <c r="BW795" s="45"/>
      <c r="BX795" s="45"/>
      <c r="BY795" s="45"/>
      <c r="BZ795" s="45"/>
      <c r="CA795" s="45"/>
      <c r="CB795" s="45"/>
      <c r="CC795" s="45"/>
      <c r="CD795" s="463"/>
      <c r="CE795">
        <v>0</v>
      </c>
      <c r="CF795">
        <v>0</v>
      </c>
      <c r="CG795">
        <v>0</v>
      </c>
      <c r="CH795">
        <v>0</v>
      </c>
      <c r="CI795">
        <v>0</v>
      </c>
      <c r="CJ795">
        <v>0</v>
      </c>
      <c r="CK795">
        <v>0</v>
      </c>
      <c r="CL795">
        <v>0</v>
      </c>
      <c r="CM795">
        <v>0</v>
      </c>
      <c r="CN795">
        <v>0</v>
      </c>
      <c r="CO795">
        <v>0</v>
      </c>
      <c r="CP795">
        <v>0</v>
      </c>
      <c r="CQ795">
        <v>0</v>
      </c>
      <c r="CR795">
        <v>0</v>
      </c>
      <c r="CS795">
        <v>0</v>
      </c>
      <c r="CT795">
        <v>0</v>
      </c>
      <c r="CU795">
        <v>0</v>
      </c>
      <c r="CV795">
        <v>0</v>
      </c>
      <c r="CW795">
        <v>0</v>
      </c>
      <c r="CX795">
        <v>0</v>
      </c>
      <c r="CY795">
        <v>0</v>
      </c>
      <c r="CZ795">
        <v>0</v>
      </c>
      <c r="DA795">
        <v>0</v>
      </c>
      <c r="DB795">
        <v>0</v>
      </c>
      <c r="DC795">
        <v>0</v>
      </c>
      <c r="DD795">
        <v>0</v>
      </c>
      <c r="DE795">
        <v>0</v>
      </c>
      <c r="DF795">
        <v>0</v>
      </c>
      <c r="DG795">
        <v>0</v>
      </c>
      <c r="DH795">
        <v>0</v>
      </c>
      <c r="DI795">
        <v>0</v>
      </c>
      <c r="DJ795">
        <v>0</v>
      </c>
      <c r="DK795">
        <v>0</v>
      </c>
      <c r="DL795">
        <v>0</v>
      </c>
      <c r="DM795">
        <v>0</v>
      </c>
      <c r="DN795">
        <v>0</v>
      </c>
      <c r="DO795">
        <v>0</v>
      </c>
      <c r="DP795">
        <v>0</v>
      </c>
      <c r="DQ795">
        <v>0</v>
      </c>
      <c r="DR795">
        <v>0</v>
      </c>
      <c r="DS795">
        <v>0</v>
      </c>
      <c r="DT795">
        <v>0</v>
      </c>
      <c r="DU795">
        <v>0</v>
      </c>
    </row>
    <row r="796" spans="2:125">
      <c r="B796" s="136">
        <v>787</v>
      </c>
      <c r="C796" s="138">
        <v>1</v>
      </c>
      <c r="D796" s="474">
        <v>2974.4609865172611</v>
      </c>
      <c r="E796" s="127">
        <v>216.30342665271925</v>
      </c>
      <c r="F796" s="447">
        <v>0.43562778409760738</v>
      </c>
      <c r="G796" s="127">
        <v>93.166188758028852</v>
      </c>
      <c r="H796" s="132">
        <v>55.182464599004618</v>
      </c>
      <c r="I796" s="456"/>
      <c r="J796" s="45"/>
      <c r="K796" s="45">
        <v>410</v>
      </c>
      <c r="L796" s="463"/>
      <c r="M796" s="456">
        <v>33.79522705078125</v>
      </c>
      <c r="N796" s="457"/>
      <c r="O796" s="456"/>
      <c r="P796" s="46"/>
      <c r="Q796" s="463">
        <v>58.894332885742188</v>
      </c>
      <c r="R796" s="449"/>
      <c r="S796" s="463"/>
      <c r="T796" s="480"/>
      <c r="U796" s="468"/>
      <c r="V796" s="449"/>
      <c r="W796" s="45">
        <v>1366.6966552734375</v>
      </c>
      <c r="X796" s="463">
        <v>116.17528533935547</v>
      </c>
      <c r="Y796" s="449"/>
      <c r="Z796" s="45"/>
      <c r="AA796" s="468">
        <v>0.42429377910148691</v>
      </c>
      <c r="AB796" s="456"/>
      <c r="AC796" s="46"/>
      <c r="AD796" s="46"/>
      <c r="AE796" s="46"/>
      <c r="AF796" s="46"/>
      <c r="AG796" s="46"/>
      <c r="AH796" s="46"/>
      <c r="AI796" s="457"/>
      <c r="AJ796" s="138"/>
      <c r="AK796" s="745"/>
      <c r="AL796" s="54"/>
      <c r="AM796" s="468"/>
      <c r="AN796" s="449"/>
      <c r="AO796" s="45"/>
      <c r="AP796" s="45"/>
      <c r="AQ796" s="45"/>
      <c r="AR796" s="45"/>
      <c r="AS796" s="45"/>
      <c r="AT796" s="45"/>
      <c r="AU796" s="463"/>
      <c r="AV796" s="449"/>
      <c r="AW796" s="45"/>
      <c r="AX796" s="45"/>
      <c r="AY796" s="45"/>
      <c r="AZ796" s="45"/>
      <c r="BA796" s="45"/>
      <c r="BB796" s="45"/>
      <c r="BC796" s="463"/>
      <c r="BD796" s="456"/>
      <c r="BE796" s="46"/>
      <c r="BF796" s="46"/>
      <c r="BG796" s="46"/>
      <c r="BH796" s="46"/>
      <c r="BI796" s="46"/>
      <c r="BJ796" s="457"/>
      <c r="BK796" s="449">
        <v>0</v>
      </c>
      <c r="BL796" s="45"/>
      <c r="BM796" s="45"/>
      <c r="BN796" s="45"/>
      <c r="BO796" s="45"/>
      <c r="BP796" s="45"/>
      <c r="BQ796" s="45"/>
      <c r="BR796" s="45"/>
      <c r="BS796" s="45"/>
      <c r="BT796" s="45"/>
      <c r="BU796" s="45"/>
      <c r="BV796" s="45"/>
      <c r="BW796" s="45"/>
      <c r="BX796" s="45"/>
      <c r="BY796" s="45"/>
      <c r="BZ796" s="45"/>
      <c r="CA796" s="45"/>
      <c r="CB796" s="45"/>
      <c r="CC796" s="45"/>
      <c r="CD796" s="463"/>
      <c r="CE796">
        <v>0</v>
      </c>
      <c r="CF796">
        <v>0</v>
      </c>
      <c r="CG796">
        <v>0</v>
      </c>
      <c r="CH796">
        <v>0</v>
      </c>
      <c r="CI796">
        <v>0</v>
      </c>
      <c r="CJ796">
        <v>0</v>
      </c>
      <c r="CK796">
        <v>0</v>
      </c>
      <c r="CL796">
        <v>0</v>
      </c>
      <c r="CM796">
        <v>0</v>
      </c>
      <c r="CN796">
        <v>0</v>
      </c>
      <c r="CO796">
        <v>0</v>
      </c>
      <c r="CP796">
        <v>0</v>
      </c>
      <c r="CQ796">
        <v>0</v>
      </c>
      <c r="CR796">
        <v>0</v>
      </c>
      <c r="CS796">
        <v>0</v>
      </c>
      <c r="CT796">
        <v>0</v>
      </c>
      <c r="CU796">
        <v>0</v>
      </c>
      <c r="CV796">
        <v>0</v>
      </c>
      <c r="CW796">
        <v>0</v>
      </c>
      <c r="CX796">
        <v>0</v>
      </c>
      <c r="CY796">
        <v>0</v>
      </c>
      <c r="CZ796">
        <v>0</v>
      </c>
      <c r="DA796">
        <v>0</v>
      </c>
      <c r="DB796">
        <v>0</v>
      </c>
      <c r="DC796">
        <v>0</v>
      </c>
      <c r="DD796">
        <v>0</v>
      </c>
      <c r="DE796">
        <v>0</v>
      </c>
      <c r="DF796">
        <v>0</v>
      </c>
      <c r="DG796">
        <v>0</v>
      </c>
      <c r="DH796">
        <v>0</v>
      </c>
      <c r="DI796">
        <v>0</v>
      </c>
      <c r="DJ796">
        <v>0</v>
      </c>
      <c r="DK796">
        <v>0</v>
      </c>
      <c r="DL796">
        <v>0</v>
      </c>
      <c r="DM796">
        <v>0</v>
      </c>
      <c r="DN796">
        <v>0</v>
      </c>
      <c r="DO796">
        <v>0</v>
      </c>
      <c r="DP796">
        <v>0</v>
      </c>
      <c r="DQ796">
        <v>0</v>
      </c>
      <c r="DR796">
        <v>0</v>
      </c>
      <c r="DS796">
        <v>0</v>
      </c>
      <c r="DT796">
        <v>0</v>
      </c>
      <c r="DU796">
        <v>0</v>
      </c>
    </row>
    <row r="797" spans="2:125">
      <c r="B797" s="136">
        <v>788</v>
      </c>
      <c r="C797" s="138">
        <v>1</v>
      </c>
      <c r="D797" s="474">
        <v>3629.7234322462245</v>
      </c>
      <c r="E797" s="127">
        <v>260.5693950167003</v>
      </c>
      <c r="F797" s="447">
        <v>0.4136130092324185</v>
      </c>
      <c r="G797" s="127">
        <v>113.05887859323049</v>
      </c>
      <c r="H797" s="132">
        <v>61.155373959433447</v>
      </c>
      <c r="I797" s="456"/>
      <c r="J797" s="45"/>
      <c r="K797" s="45">
        <v>490</v>
      </c>
      <c r="L797" s="463"/>
      <c r="M797" s="456">
        <v>32.254543304443359</v>
      </c>
      <c r="N797" s="457"/>
      <c r="O797" s="456"/>
      <c r="P797" s="46"/>
      <c r="Q797" s="463">
        <v>71.868522644042969</v>
      </c>
      <c r="R797" s="449"/>
      <c r="S797" s="463"/>
      <c r="T797" s="480"/>
      <c r="U797" s="468"/>
      <c r="V797" s="449"/>
      <c r="W797" s="45">
        <v>1490.7967529296875</v>
      </c>
      <c r="X797" s="463">
        <v>125.55326080322266</v>
      </c>
      <c r="Y797" s="449"/>
      <c r="Z797" s="45"/>
      <c r="AA797" s="468">
        <v>0.40444639893669737</v>
      </c>
      <c r="AB797" s="456"/>
      <c r="AC797" s="46"/>
      <c r="AD797" s="46"/>
      <c r="AE797" s="46"/>
      <c r="AF797" s="46"/>
      <c r="AG797" s="46"/>
      <c r="AH797" s="46"/>
      <c r="AI797" s="457"/>
      <c r="AJ797" s="138"/>
      <c r="AK797" s="745"/>
      <c r="AL797" s="54"/>
      <c r="AM797" s="468"/>
      <c r="AN797" s="449"/>
      <c r="AO797" s="45"/>
      <c r="AP797" s="45"/>
      <c r="AQ797" s="45"/>
      <c r="AR797" s="45"/>
      <c r="AS797" s="45"/>
      <c r="AT797" s="45"/>
      <c r="AU797" s="463"/>
      <c r="AV797" s="449"/>
      <c r="AW797" s="45"/>
      <c r="AX797" s="45"/>
      <c r="AY797" s="45"/>
      <c r="AZ797" s="45"/>
      <c r="BA797" s="45"/>
      <c r="BB797" s="45"/>
      <c r="BC797" s="463"/>
      <c r="BD797" s="456"/>
      <c r="BE797" s="46"/>
      <c r="BF797" s="46"/>
      <c r="BG797" s="46"/>
      <c r="BH797" s="46"/>
      <c r="BI797" s="46"/>
      <c r="BJ797" s="457"/>
      <c r="BK797" s="449">
        <v>0</v>
      </c>
      <c r="BL797" s="45"/>
      <c r="BM797" s="45"/>
      <c r="BN797" s="45"/>
      <c r="BO797" s="45"/>
      <c r="BP797" s="45"/>
      <c r="BQ797" s="45"/>
      <c r="BR797" s="45"/>
      <c r="BS797" s="45"/>
      <c r="BT797" s="45"/>
      <c r="BU797" s="45"/>
      <c r="BV797" s="45"/>
      <c r="BW797" s="45"/>
      <c r="BX797" s="45"/>
      <c r="BY797" s="45"/>
      <c r="BZ797" s="45"/>
      <c r="CA797" s="45"/>
      <c r="CB797" s="45"/>
      <c r="CC797" s="45"/>
      <c r="CD797" s="463"/>
      <c r="CE797">
        <v>0</v>
      </c>
      <c r="CF797">
        <v>0</v>
      </c>
      <c r="CG797">
        <v>0</v>
      </c>
      <c r="CH797">
        <v>0</v>
      </c>
      <c r="CI797">
        <v>0</v>
      </c>
      <c r="CJ797">
        <v>0</v>
      </c>
      <c r="CK797">
        <v>0</v>
      </c>
      <c r="CL797">
        <v>0</v>
      </c>
      <c r="CM797">
        <v>0</v>
      </c>
      <c r="CN797">
        <v>0</v>
      </c>
      <c r="CO797">
        <v>0</v>
      </c>
      <c r="CP797">
        <v>0</v>
      </c>
      <c r="CQ797">
        <v>0</v>
      </c>
      <c r="CR797">
        <v>0</v>
      </c>
      <c r="CS797">
        <v>0</v>
      </c>
      <c r="CT797">
        <v>0</v>
      </c>
      <c r="CU797">
        <v>0</v>
      </c>
      <c r="CV797">
        <v>0</v>
      </c>
      <c r="CW797">
        <v>0</v>
      </c>
      <c r="CX797">
        <v>0</v>
      </c>
      <c r="CY797">
        <v>0</v>
      </c>
      <c r="CZ797">
        <v>0</v>
      </c>
      <c r="DA797">
        <v>0</v>
      </c>
      <c r="DB797">
        <v>0</v>
      </c>
      <c r="DC797">
        <v>0</v>
      </c>
      <c r="DD797">
        <v>0</v>
      </c>
      <c r="DE797">
        <v>0</v>
      </c>
      <c r="DF797">
        <v>0</v>
      </c>
      <c r="DG797">
        <v>0</v>
      </c>
      <c r="DH797">
        <v>0</v>
      </c>
      <c r="DI797">
        <v>0</v>
      </c>
      <c r="DJ797">
        <v>0</v>
      </c>
      <c r="DK797">
        <v>0</v>
      </c>
      <c r="DL797">
        <v>0</v>
      </c>
      <c r="DM797">
        <v>0</v>
      </c>
      <c r="DN797">
        <v>0</v>
      </c>
      <c r="DO797">
        <v>0</v>
      </c>
      <c r="DP797">
        <v>0</v>
      </c>
      <c r="DQ797">
        <v>0</v>
      </c>
      <c r="DR797">
        <v>0</v>
      </c>
      <c r="DS797">
        <v>0</v>
      </c>
      <c r="DT797">
        <v>0</v>
      </c>
      <c r="DU797">
        <v>0</v>
      </c>
    </row>
    <row r="798" spans="2:125">
      <c r="B798" s="136">
        <v>789</v>
      </c>
      <c r="C798" s="138">
        <v>1</v>
      </c>
      <c r="D798" s="474">
        <v>3696.1512098676972</v>
      </c>
      <c r="E798" s="127">
        <v>242.84103010440856</v>
      </c>
      <c r="F798" s="447">
        <v>0.3791637429157248</v>
      </c>
      <c r="G798" s="127">
        <v>149.04652203481572</v>
      </c>
      <c r="H798" s="132">
        <v>53.411758558828716</v>
      </c>
      <c r="I798" s="456"/>
      <c r="J798" s="45"/>
      <c r="K798" s="45">
        <v>570</v>
      </c>
      <c r="L798" s="463"/>
      <c r="M798" s="456">
        <v>32.129367828369141</v>
      </c>
      <c r="N798" s="457"/>
      <c r="O798" s="456"/>
      <c r="P798" s="46"/>
      <c r="Q798" s="463">
        <v>73.183799743652344</v>
      </c>
      <c r="R798" s="449"/>
      <c r="S798" s="463"/>
      <c r="T798" s="480"/>
      <c r="U798" s="468"/>
      <c r="V798" s="449"/>
      <c r="W798" s="45">
        <v>1532.829833984375</v>
      </c>
      <c r="X798" s="463">
        <v>128.93533325195312</v>
      </c>
      <c r="Y798" s="449"/>
      <c r="Z798" s="45"/>
      <c r="AA798" s="468">
        <v>0.37034828245206025</v>
      </c>
      <c r="AB798" s="456"/>
      <c r="AC798" s="46"/>
      <c r="AD798" s="46"/>
      <c r="AE798" s="46"/>
      <c r="AF798" s="46"/>
      <c r="AG798" s="46"/>
      <c r="AH798" s="46"/>
      <c r="AI798" s="457"/>
      <c r="AJ798" s="138"/>
      <c r="AK798" s="745"/>
      <c r="AL798" s="54"/>
      <c r="AM798" s="468"/>
      <c r="AN798" s="449"/>
      <c r="AO798" s="45"/>
      <c r="AP798" s="45"/>
      <c r="AQ798" s="45"/>
      <c r="AR798" s="45"/>
      <c r="AS798" s="45"/>
      <c r="AT798" s="45"/>
      <c r="AU798" s="463"/>
      <c r="AV798" s="449"/>
      <c r="AW798" s="45"/>
      <c r="AX798" s="45"/>
      <c r="AY798" s="45"/>
      <c r="AZ798" s="45"/>
      <c r="BA798" s="45"/>
      <c r="BB798" s="45"/>
      <c r="BC798" s="463"/>
      <c r="BD798" s="456"/>
      <c r="BE798" s="46"/>
      <c r="BF798" s="46"/>
      <c r="BG798" s="46"/>
      <c r="BH798" s="46"/>
      <c r="BI798" s="46"/>
      <c r="BJ798" s="457"/>
      <c r="BK798" s="449">
        <v>0</v>
      </c>
      <c r="BL798" s="45"/>
      <c r="BM798" s="45"/>
      <c r="BN798" s="45"/>
      <c r="BO798" s="45"/>
      <c r="BP798" s="45"/>
      <c r="BQ798" s="45"/>
      <c r="BR798" s="45"/>
      <c r="BS798" s="45"/>
      <c r="BT798" s="45"/>
      <c r="BU798" s="45"/>
      <c r="BV798" s="45"/>
      <c r="BW798" s="45"/>
      <c r="BX798" s="45"/>
      <c r="BY798" s="45"/>
      <c r="BZ798" s="45"/>
      <c r="CA798" s="45"/>
      <c r="CB798" s="45"/>
      <c r="CC798" s="45"/>
      <c r="CD798" s="463"/>
      <c r="CE798">
        <v>0</v>
      </c>
      <c r="CF798">
        <v>0</v>
      </c>
      <c r="CG798">
        <v>0</v>
      </c>
      <c r="CH798">
        <v>0</v>
      </c>
      <c r="CI798">
        <v>0</v>
      </c>
      <c r="CJ798">
        <v>0</v>
      </c>
      <c r="CK798">
        <v>0</v>
      </c>
      <c r="CL798">
        <v>0</v>
      </c>
      <c r="CM798">
        <v>0</v>
      </c>
      <c r="CN798">
        <v>0</v>
      </c>
      <c r="CO798">
        <v>0</v>
      </c>
      <c r="CP798">
        <v>0</v>
      </c>
      <c r="CQ798">
        <v>0</v>
      </c>
      <c r="CR798">
        <v>0</v>
      </c>
      <c r="CS798">
        <v>0</v>
      </c>
      <c r="CT798">
        <v>0</v>
      </c>
      <c r="CU798">
        <v>0</v>
      </c>
      <c r="CV798">
        <v>0</v>
      </c>
      <c r="CW798">
        <v>0</v>
      </c>
      <c r="CX798">
        <v>0</v>
      </c>
      <c r="CY798">
        <v>0</v>
      </c>
      <c r="CZ798">
        <v>0</v>
      </c>
      <c r="DA798">
        <v>0</v>
      </c>
      <c r="DB798">
        <v>0</v>
      </c>
      <c r="DC798">
        <v>0</v>
      </c>
      <c r="DD798">
        <v>0</v>
      </c>
      <c r="DE798">
        <v>0</v>
      </c>
      <c r="DF798">
        <v>0</v>
      </c>
      <c r="DG798">
        <v>0</v>
      </c>
      <c r="DH798">
        <v>0</v>
      </c>
      <c r="DI798">
        <v>0</v>
      </c>
      <c r="DJ798">
        <v>0</v>
      </c>
      <c r="DK798">
        <v>0</v>
      </c>
      <c r="DL798">
        <v>0</v>
      </c>
      <c r="DM798">
        <v>0</v>
      </c>
      <c r="DN798">
        <v>0</v>
      </c>
      <c r="DO798">
        <v>0</v>
      </c>
      <c r="DP798">
        <v>0</v>
      </c>
      <c r="DQ798">
        <v>0</v>
      </c>
      <c r="DR798">
        <v>0</v>
      </c>
      <c r="DS798">
        <v>0</v>
      </c>
      <c r="DT798">
        <v>0</v>
      </c>
      <c r="DU798">
        <v>0</v>
      </c>
    </row>
    <row r="799" spans="2:125">
      <c r="B799" s="136">
        <v>790</v>
      </c>
      <c r="C799" s="138">
        <v>1</v>
      </c>
      <c r="D799" s="474">
        <v>3526.9225680674654</v>
      </c>
      <c r="E799" s="127">
        <v>243.24809896128116</v>
      </c>
      <c r="F799" s="447">
        <v>0.53001669360609938</v>
      </c>
      <c r="G799" s="127">
        <v>129.06385392148982</v>
      </c>
      <c r="H799" s="132">
        <v>55.694002527347152</v>
      </c>
      <c r="I799" s="456"/>
      <c r="J799" s="45"/>
      <c r="K799" s="45">
        <v>540</v>
      </c>
      <c r="L799" s="463"/>
      <c r="M799" s="456">
        <v>64.471466064453125</v>
      </c>
      <c r="N799" s="457"/>
      <c r="O799" s="456"/>
      <c r="P799" s="46"/>
      <c r="Q799" s="463">
        <v>69.833076477050781</v>
      </c>
      <c r="R799" s="449"/>
      <c r="S799" s="463"/>
      <c r="T799" s="480"/>
      <c r="U799" s="468"/>
      <c r="V799" s="449"/>
      <c r="W799" s="45">
        <v>2794.197021484375</v>
      </c>
      <c r="X799" s="463">
        <v>220.55361938476562</v>
      </c>
      <c r="Y799" s="449"/>
      <c r="Z799" s="45"/>
      <c r="AA799" s="468">
        <v>0.51992281340741131</v>
      </c>
      <c r="AB799" s="456"/>
      <c r="AC799" s="46"/>
      <c r="AD799" s="46"/>
      <c r="AE799" s="46"/>
      <c r="AF799" s="46"/>
      <c r="AG799" s="46"/>
      <c r="AH799" s="46"/>
      <c r="AI799" s="457"/>
      <c r="AJ799" s="138"/>
      <c r="AK799" s="745"/>
      <c r="AL799" s="54"/>
      <c r="AM799" s="468"/>
      <c r="AN799" s="449"/>
      <c r="AO799" s="45"/>
      <c r="AP799" s="45"/>
      <c r="AQ799" s="45"/>
      <c r="AR799" s="45"/>
      <c r="AS799" s="45"/>
      <c r="AT799" s="45"/>
      <c r="AU799" s="463"/>
      <c r="AV799" s="449"/>
      <c r="AW799" s="45"/>
      <c r="AX799" s="45"/>
      <c r="AY799" s="45"/>
      <c r="AZ799" s="45"/>
      <c r="BA799" s="45"/>
      <c r="BB799" s="45"/>
      <c r="BC799" s="463"/>
      <c r="BD799" s="456"/>
      <c r="BE799" s="46"/>
      <c r="BF799" s="46"/>
      <c r="BG799" s="46"/>
      <c r="BH799" s="46"/>
      <c r="BI799" s="46"/>
      <c r="BJ799" s="457"/>
      <c r="BK799" s="449">
        <v>0</v>
      </c>
      <c r="BL799" s="45"/>
      <c r="BM799" s="45"/>
      <c r="BN799" s="45"/>
      <c r="BO799" s="45"/>
      <c r="BP799" s="45"/>
      <c r="BQ799" s="45"/>
      <c r="BR799" s="45"/>
      <c r="BS799" s="45"/>
      <c r="BT799" s="45"/>
      <c r="BU799" s="45"/>
      <c r="BV799" s="45"/>
      <c r="BW799" s="45"/>
      <c r="BX799" s="45"/>
      <c r="BY799" s="45"/>
      <c r="BZ799" s="45"/>
      <c r="CA799" s="45"/>
      <c r="CB799" s="45"/>
      <c r="CC799" s="45"/>
      <c r="CD799" s="463"/>
      <c r="CE799">
        <v>0</v>
      </c>
      <c r="CF799">
        <v>0</v>
      </c>
      <c r="CG799">
        <v>0</v>
      </c>
      <c r="CH799">
        <v>0</v>
      </c>
      <c r="CI799">
        <v>0</v>
      </c>
      <c r="CJ799">
        <v>0</v>
      </c>
      <c r="CK799">
        <v>0</v>
      </c>
      <c r="CL799">
        <v>0</v>
      </c>
      <c r="CM799">
        <v>0</v>
      </c>
      <c r="CN799">
        <v>0</v>
      </c>
      <c r="CO799">
        <v>0</v>
      </c>
      <c r="CP799">
        <v>0</v>
      </c>
      <c r="CQ799">
        <v>0</v>
      </c>
      <c r="CR799">
        <v>0</v>
      </c>
      <c r="CS799">
        <v>0</v>
      </c>
      <c r="CT799">
        <v>0</v>
      </c>
      <c r="CU799">
        <v>0</v>
      </c>
      <c r="CV799">
        <v>0</v>
      </c>
      <c r="CW799">
        <v>0</v>
      </c>
      <c r="CX799">
        <v>0</v>
      </c>
      <c r="CY799">
        <v>0</v>
      </c>
      <c r="CZ799">
        <v>0</v>
      </c>
      <c r="DA799">
        <v>0</v>
      </c>
      <c r="DB799">
        <v>0</v>
      </c>
      <c r="DC799">
        <v>0</v>
      </c>
      <c r="DD799">
        <v>0</v>
      </c>
      <c r="DE799">
        <v>0</v>
      </c>
      <c r="DF799">
        <v>0</v>
      </c>
      <c r="DG799">
        <v>0</v>
      </c>
      <c r="DH799">
        <v>0</v>
      </c>
      <c r="DI799">
        <v>0</v>
      </c>
      <c r="DJ799">
        <v>0</v>
      </c>
      <c r="DK799">
        <v>0</v>
      </c>
      <c r="DL799">
        <v>0</v>
      </c>
      <c r="DM799">
        <v>0</v>
      </c>
      <c r="DN799">
        <v>0</v>
      </c>
      <c r="DO799">
        <v>0</v>
      </c>
      <c r="DP799">
        <v>0</v>
      </c>
      <c r="DQ799">
        <v>0</v>
      </c>
      <c r="DR799">
        <v>0</v>
      </c>
      <c r="DS799">
        <v>0</v>
      </c>
      <c r="DT799">
        <v>0</v>
      </c>
      <c r="DU799">
        <v>0</v>
      </c>
    </row>
    <row r="800" spans="2:125">
      <c r="B800" s="136">
        <v>791</v>
      </c>
      <c r="C800" s="138">
        <v>1</v>
      </c>
      <c r="D800" s="474">
        <v>4031.3525998446094</v>
      </c>
      <c r="E800" s="127">
        <v>212.87813407842876</v>
      </c>
      <c r="F800" s="447">
        <v>0.37848962775809958</v>
      </c>
      <c r="G800" s="127">
        <v>154.12433975295588</v>
      </c>
      <c r="H800" s="132">
        <v>58.067889589997314</v>
      </c>
      <c r="I800" s="456"/>
      <c r="J800" s="45"/>
      <c r="K800" s="45">
        <v>600</v>
      </c>
      <c r="L800" s="463"/>
      <c r="M800" s="456">
        <v>31.891078948974609</v>
      </c>
      <c r="N800" s="457"/>
      <c r="O800" s="456"/>
      <c r="P800" s="46"/>
      <c r="Q800" s="463">
        <v>79.820785522460938</v>
      </c>
      <c r="R800" s="449"/>
      <c r="S800" s="463"/>
      <c r="T800" s="480"/>
      <c r="U800" s="468"/>
      <c r="V800" s="449"/>
      <c r="W800" s="45">
        <v>1605.4130859375</v>
      </c>
      <c r="X800" s="463">
        <v>134.35433959960937</v>
      </c>
      <c r="Y800" s="449"/>
      <c r="Z800" s="45"/>
      <c r="AA800" s="468">
        <v>0.37041050499508016</v>
      </c>
      <c r="AB800" s="456"/>
      <c r="AC800" s="46"/>
      <c r="AD800" s="46"/>
      <c r="AE800" s="46"/>
      <c r="AF800" s="46"/>
      <c r="AG800" s="46"/>
      <c r="AH800" s="46"/>
      <c r="AI800" s="457"/>
      <c r="AJ800" s="138"/>
      <c r="AK800" s="745"/>
      <c r="AL800" s="54"/>
      <c r="AM800" s="468"/>
      <c r="AN800" s="449"/>
      <c r="AO800" s="45"/>
      <c r="AP800" s="45"/>
      <c r="AQ800" s="45"/>
      <c r="AR800" s="45"/>
      <c r="AS800" s="45"/>
      <c r="AT800" s="45"/>
      <c r="AU800" s="463"/>
      <c r="AV800" s="449"/>
      <c r="AW800" s="45"/>
      <c r="AX800" s="45"/>
      <c r="AY800" s="45"/>
      <c r="AZ800" s="45"/>
      <c r="BA800" s="45"/>
      <c r="BB800" s="45"/>
      <c r="BC800" s="463"/>
      <c r="BD800" s="456"/>
      <c r="BE800" s="46"/>
      <c r="BF800" s="46"/>
      <c r="BG800" s="46"/>
      <c r="BH800" s="46"/>
      <c r="BI800" s="46"/>
      <c r="BJ800" s="457"/>
      <c r="BK800" s="449">
        <v>0</v>
      </c>
      <c r="BL800" s="45"/>
      <c r="BM800" s="45"/>
      <c r="BN800" s="45"/>
      <c r="BO800" s="45"/>
      <c r="BP800" s="45"/>
      <c r="BQ800" s="45"/>
      <c r="BR800" s="45"/>
      <c r="BS800" s="45"/>
      <c r="BT800" s="45"/>
      <c r="BU800" s="45"/>
      <c r="BV800" s="45"/>
      <c r="BW800" s="45"/>
      <c r="BX800" s="45"/>
      <c r="BY800" s="45"/>
      <c r="BZ800" s="45"/>
      <c r="CA800" s="45"/>
      <c r="CB800" s="45"/>
      <c r="CC800" s="45"/>
      <c r="CD800" s="463"/>
      <c r="CE800">
        <v>0</v>
      </c>
      <c r="CF800">
        <v>0</v>
      </c>
      <c r="CG800">
        <v>0</v>
      </c>
      <c r="CH800">
        <v>0</v>
      </c>
      <c r="CI800">
        <v>0</v>
      </c>
      <c r="CJ800">
        <v>0</v>
      </c>
      <c r="CK800">
        <v>0</v>
      </c>
      <c r="CL800">
        <v>0</v>
      </c>
      <c r="CM800">
        <v>0</v>
      </c>
      <c r="CN800">
        <v>0</v>
      </c>
      <c r="CO800">
        <v>0</v>
      </c>
      <c r="CP800">
        <v>0</v>
      </c>
      <c r="CQ800">
        <v>0</v>
      </c>
      <c r="CR800">
        <v>0</v>
      </c>
      <c r="CS800">
        <v>0</v>
      </c>
      <c r="CT800">
        <v>0</v>
      </c>
      <c r="CU800">
        <v>0</v>
      </c>
      <c r="CV800">
        <v>0</v>
      </c>
      <c r="CW800">
        <v>0</v>
      </c>
      <c r="CX800">
        <v>0</v>
      </c>
      <c r="CY800">
        <v>0</v>
      </c>
      <c r="CZ800">
        <v>0</v>
      </c>
      <c r="DA800">
        <v>0</v>
      </c>
      <c r="DB800">
        <v>0</v>
      </c>
      <c r="DC800">
        <v>0</v>
      </c>
      <c r="DD800">
        <v>0</v>
      </c>
      <c r="DE800">
        <v>0</v>
      </c>
      <c r="DF800">
        <v>0</v>
      </c>
      <c r="DG800">
        <v>0</v>
      </c>
      <c r="DH800">
        <v>0</v>
      </c>
      <c r="DI800">
        <v>0</v>
      </c>
      <c r="DJ800">
        <v>0</v>
      </c>
      <c r="DK800">
        <v>0</v>
      </c>
      <c r="DL800">
        <v>0</v>
      </c>
      <c r="DM800">
        <v>0</v>
      </c>
      <c r="DN800">
        <v>0</v>
      </c>
      <c r="DO800">
        <v>0</v>
      </c>
      <c r="DP800">
        <v>0</v>
      </c>
      <c r="DQ800">
        <v>0</v>
      </c>
      <c r="DR800">
        <v>0</v>
      </c>
      <c r="DS800">
        <v>0</v>
      </c>
      <c r="DT800">
        <v>0</v>
      </c>
      <c r="DU800">
        <v>0</v>
      </c>
    </row>
    <row r="801" spans="2:125">
      <c r="B801" s="136">
        <v>792</v>
      </c>
      <c r="C801" s="138">
        <v>1</v>
      </c>
      <c r="D801" s="474">
        <v>3010.0402945898013</v>
      </c>
      <c r="E801" s="127">
        <v>209.30087740653181</v>
      </c>
      <c r="F801" s="447">
        <v>0.37914395499038234</v>
      </c>
      <c r="G801" s="127">
        <v>120.05706160092718</v>
      </c>
      <c r="H801" s="132">
        <v>47.717461232656049</v>
      </c>
      <c r="I801" s="456"/>
      <c r="J801" s="45"/>
      <c r="K801" s="45">
        <v>460</v>
      </c>
      <c r="L801" s="463"/>
      <c r="M801" s="456">
        <v>30.938026428222656</v>
      </c>
      <c r="N801" s="457"/>
      <c r="O801" s="456"/>
      <c r="P801" s="46"/>
      <c r="Q801" s="463">
        <v>59.598796844482422</v>
      </c>
      <c r="R801" s="449"/>
      <c r="S801" s="463"/>
      <c r="T801" s="480"/>
      <c r="U801" s="468"/>
      <c r="V801" s="449"/>
      <c r="W801" s="45">
        <v>1276.4034423828125</v>
      </c>
      <c r="X801" s="463">
        <v>109.83259582519531</v>
      </c>
      <c r="Y801" s="449"/>
      <c r="Z801" s="45"/>
      <c r="AA801" s="468">
        <v>0.36831922312271548</v>
      </c>
      <c r="AB801" s="456"/>
      <c r="AC801" s="46"/>
      <c r="AD801" s="46"/>
      <c r="AE801" s="46"/>
      <c r="AF801" s="46"/>
      <c r="AG801" s="46"/>
      <c r="AH801" s="46"/>
      <c r="AI801" s="457"/>
      <c r="AJ801" s="138"/>
      <c r="AK801" s="745"/>
      <c r="AL801" s="54"/>
      <c r="AM801" s="468"/>
      <c r="AN801" s="449"/>
      <c r="AO801" s="45"/>
      <c r="AP801" s="45"/>
      <c r="AQ801" s="45"/>
      <c r="AR801" s="45"/>
      <c r="AS801" s="45"/>
      <c r="AT801" s="45"/>
      <c r="AU801" s="463"/>
      <c r="AV801" s="449"/>
      <c r="AW801" s="45"/>
      <c r="AX801" s="45"/>
      <c r="AY801" s="45"/>
      <c r="AZ801" s="45"/>
      <c r="BA801" s="45"/>
      <c r="BB801" s="45"/>
      <c r="BC801" s="463"/>
      <c r="BD801" s="456"/>
      <c r="BE801" s="46"/>
      <c r="BF801" s="46"/>
      <c r="BG801" s="46"/>
      <c r="BH801" s="46"/>
      <c r="BI801" s="46"/>
      <c r="BJ801" s="457"/>
      <c r="BK801" s="449">
        <v>0</v>
      </c>
      <c r="BL801" s="45"/>
      <c r="BM801" s="45"/>
      <c r="BN801" s="45"/>
      <c r="BO801" s="45"/>
      <c r="BP801" s="45"/>
      <c r="BQ801" s="45"/>
      <c r="BR801" s="45"/>
      <c r="BS801" s="45"/>
      <c r="BT801" s="45"/>
      <c r="BU801" s="45"/>
      <c r="BV801" s="45"/>
      <c r="BW801" s="45"/>
      <c r="BX801" s="45"/>
      <c r="BY801" s="45"/>
      <c r="BZ801" s="45"/>
      <c r="CA801" s="45"/>
      <c r="CB801" s="45"/>
      <c r="CC801" s="45"/>
      <c r="CD801" s="463"/>
      <c r="CE801">
        <v>0</v>
      </c>
      <c r="CF801">
        <v>0</v>
      </c>
      <c r="CG801">
        <v>0</v>
      </c>
      <c r="CH801">
        <v>0</v>
      </c>
      <c r="CI801">
        <v>0</v>
      </c>
      <c r="CJ801">
        <v>0</v>
      </c>
      <c r="CK801">
        <v>0</v>
      </c>
      <c r="CL801">
        <v>0</v>
      </c>
      <c r="CM801">
        <v>0</v>
      </c>
      <c r="CN801">
        <v>0</v>
      </c>
      <c r="CO801">
        <v>0</v>
      </c>
      <c r="CP801">
        <v>0</v>
      </c>
      <c r="CQ801">
        <v>0</v>
      </c>
      <c r="CR801">
        <v>0</v>
      </c>
      <c r="CS801">
        <v>0</v>
      </c>
      <c r="CT801">
        <v>0</v>
      </c>
      <c r="CU801">
        <v>0</v>
      </c>
      <c r="CV801">
        <v>0</v>
      </c>
      <c r="CW801">
        <v>0</v>
      </c>
      <c r="CX801">
        <v>0</v>
      </c>
      <c r="CY801">
        <v>0</v>
      </c>
      <c r="CZ801">
        <v>0</v>
      </c>
      <c r="DA801">
        <v>0</v>
      </c>
      <c r="DB801">
        <v>0</v>
      </c>
      <c r="DC801">
        <v>0</v>
      </c>
      <c r="DD801">
        <v>0</v>
      </c>
      <c r="DE801">
        <v>0</v>
      </c>
      <c r="DF801">
        <v>0</v>
      </c>
      <c r="DG801">
        <v>0</v>
      </c>
      <c r="DH801">
        <v>0</v>
      </c>
      <c r="DI801">
        <v>0</v>
      </c>
      <c r="DJ801">
        <v>0</v>
      </c>
      <c r="DK801">
        <v>0</v>
      </c>
      <c r="DL801">
        <v>0</v>
      </c>
      <c r="DM801">
        <v>0</v>
      </c>
      <c r="DN801">
        <v>0</v>
      </c>
      <c r="DO801">
        <v>0</v>
      </c>
      <c r="DP801">
        <v>0</v>
      </c>
      <c r="DQ801">
        <v>0</v>
      </c>
      <c r="DR801">
        <v>0</v>
      </c>
      <c r="DS801">
        <v>0</v>
      </c>
      <c r="DT801">
        <v>0</v>
      </c>
      <c r="DU801">
        <v>0</v>
      </c>
    </row>
    <row r="802" spans="2:125">
      <c r="B802" s="136">
        <v>793</v>
      </c>
      <c r="C802" s="138">
        <v>1</v>
      </c>
      <c r="D802" s="474">
        <v>4324.3599368316463</v>
      </c>
      <c r="E802" s="127">
        <v>257.2384362704355</v>
      </c>
      <c r="F802" s="447">
        <v>0.38963398824562007</v>
      </c>
      <c r="G802" s="127">
        <v>154.22126081510422</v>
      </c>
      <c r="H802" s="132">
        <v>62.513567658076383</v>
      </c>
      <c r="I802" s="456"/>
      <c r="J802" s="45"/>
      <c r="K802" s="45">
        <v>620</v>
      </c>
      <c r="L802" s="463"/>
      <c r="M802" s="456">
        <v>32.587104797363281</v>
      </c>
      <c r="N802" s="457"/>
      <c r="O802" s="456"/>
      <c r="P802" s="46"/>
      <c r="Q802" s="463">
        <v>85.622337341308594</v>
      </c>
      <c r="R802" s="449"/>
      <c r="S802" s="463"/>
      <c r="T802" s="480"/>
      <c r="U802" s="468"/>
      <c r="V802" s="449"/>
      <c r="W802" s="45">
        <v>1700.83837890625</v>
      </c>
      <c r="X802" s="463">
        <v>141.36964416503906</v>
      </c>
      <c r="Y802" s="449"/>
      <c r="Z802" s="45"/>
      <c r="AA802" s="468">
        <v>0.38205074350097962</v>
      </c>
      <c r="AB802" s="456"/>
      <c r="AC802" s="46"/>
      <c r="AD802" s="46"/>
      <c r="AE802" s="46"/>
      <c r="AF802" s="46"/>
      <c r="AG802" s="46"/>
      <c r="AH802" s="46"/>
      <c r="AI802" s="457"/>
      <c r="AJ802" s="138"/>
      <c r="AK802" s="745"/>
      <c r="AL802" s="54"/>
      <c r="AM802" s="468"/>
      <c r="AN802" s="449"/>
      <c r="AO802" s="45"/>
      <c r="AP802" s="45"/>
      <c r="AQ802" s="45"/>
      <c r="AR802" s="45"/>
      <c r="AS802" s="45"/>
      <c r="AT802" s="45"/>
      <c r="AU802" s="463"/>
      <c r="AV802" s="449"/>
      <c r="AW802" s="45"/>
      <c r="AX802" s="45"/>
      <c r="AY802" s="45"/>
      <c r="AZ802" s="45"/>
      <c r="BA802" s="45"/>
      <c r="BB802" s="45"/>
      <c r="BC802" s="463"/>
      <c r="BD802" s="456"/>
      <c r="BE802" s="46"/>
      <c r="BF802" s="46"/>
      <c r="BG802" s="46"/>
      <c r="BH802" s="46"/>
      <c r="BI802" s="46"/>
      <c r="BJ802" s="457"/>
      <c r="BK802" s="449">
        <v>0</v>
      </c>
      <c r="BL802" s="45"/>
      <c r="BM802" s="45"/>
      <c r="BN802" s="45"/>
      <c r="BO802" s="45"/>
      <c r="BP802" s="45"/>
      <c r="BQ802" s="45"/>
      <c r="BR802" s="45"/>
      <c r="BS802" s="45"/>
      <c r="BT802" s="45"/>
      <c r="BU802" s="45"/>
      <c r="BV802" s="45"/>
      <c r="BW802" s="45"/>
      <c r="BX802" s="45"/>
      <c r="BY802" s="45"/>
      <c r="BZ802" s="45"/>
      <c r="CA802" s="45"/>
      <c r="CB802" s="45"/>
      <c r="CC802" s="45"/>
      <c r="CD802" s="463"/>
      <c r="CE802">
        <v>0</v>
      </c>
      <c r="CF802">
        <v>0</v>
      </c>
      <c r="CG802">
        <v>0</v>
      </c>
      <c r="CH802">
        <v>0</v>
      </c>
      <c r="CI802">
        <v>0</v>
      </c>
      <c r="CJ802">
        <v>0</v>
      </c>
      <c r="CK802">
        <v>0</v>
      </c>
      <c r="CL802">
        <v>0</v>
      </c>
      <c r="CM802">
        <v>0</v>
      </c>
      <c r="CN802">
        <v>0</v>
      </c>
      <c r="CO802">
        <v>0</v>
      </c>
      <c r="CP802">
        <v>0</v>
      </c>
      <c r="CQ802">
        <v>0</v>
      </c>
      <c r="CR802">
        <v>0</v>
      </c>
      <c r="CS802">
        <v>0</v>
      </c>
      <c r="CT802">
        <v>0</v>
      </c>
      <c r="CU802">
        <v>0</v>
      </c>
      <c r="CV802">
        <v>0</v>
      </c>
      <c r="CW802">
        <v>0</v>
      </c>
      <c r="CX802">
        <v>0</v>
      </c>
      <c r="CY802">
        <v>0</v>
      </c>
      <c r="CZ802">
        <v>0</v>
      </c>
      <c r="DA802">
        <v>0</v>
      </c>
      <c r="DB802">
        <v>0</v>
      </c>
      <c r="DC802">
        <v>0</v>
      </c>
      <c r="DD802">
        <v>0</v>
      </c>
      <c r="DE802">
        <v>0</v>
      </c>
      <c r="DF802">
        <v>0</v>
      </c>
      <c r="DG802">
        <v>0</v>
      </c>
      <c r="DH802">
        <v>0</v>
      </c>
      <c r="DI802">
        <v>0</v>
      </c>
      <c r="DJ802">
        <v>0</v>
      </c>
      <c r="DK802">
        <v>0</v>
      </c>
      <c r="DL802">
        <v>0</v>
      </c>
      <c r="DM802">
        <v>0</v>
      </c>
      <c r="DN802">
        <v>0</v>
      </c>
      <c r="DO802">
        <v>0</v>
      </c>
      <c r="DP802">
        <v>0</v>
      </c>
      <c r="DQ802">
        <v>0</v>
      </c>
      <c r="DR802">
        <v>0</v>
      </c>
      <c r="DS802">
        <v>0</v>
      </c>
      <c r="DT802">
        <v>0</v>
      </c>
      <c r="DU802">
        <v>0</v>
      </c>
    </row>
    <row r="803" spans="2:125">
      <c r="B803" s="136">
        <v>794</v>
      </c>
      <c r="C803" s="138">
        <v>1</v>
      </c>
      <c r="D803" s="474">
        <v>3793.990837129983</v>
      </c>
      <c r="E803" s="127">
        <v>220.99203997921975</v>
      </c>
      <c r="F803" s="447">
        <v>0.36845758085348274</v>
      </c>
      <c r="G803" s="127">
        <v>132.35217004432232</v>
      </c>
      <c r="H803" s="132">
        <v>65.313143443651171</v>
      </c>
      <c r="I803" s="456"/>
      <c r="J803" s="45"/>
      <c r="K803" s="45">
        <v>560</v>
      </c>
      <c r="L803" s="463"/>
      <c r="M803" s="456">
        <v>28.316665649414063</v>
      </c>
      <c r="N803" s="457"/>
      <c r="O803" s="456"/>
      <c r="P803" s="46"/>
      <c r="Q803" s="463">
        <v>83.385017395019531</v>
      </c>
      <c r="R803" s="449"/>
      <c r="S803" s="463"/>
      <c r="T803" s="480"/>
      <c r="U803" s="468"/>
      <c r="V803" s="449"/>
      <c r="W803" s="45">
        <v>1462.2762451171875</v>
      </c>
      <c r="X803" s="463">
        <v>123.78302001953125</v>
      </c>
      <c r="Y803" s="449"/>
      <c r="Z803" s="45"/>
      <c r="AA803" s="468">
        <v>0.35992589139859837</v>
      </c>
      <c r="AB803" s="456"/>
      <c r="AC803" s="46"/>
      <c r="AD803" s="46"/>
      <c r="AE803" s="46"/>
      <c r="AF803" s="46"/>
      <c r="AG803" s="46"/>
      <c r="AH803" s="46"/>
      <c r="AI803" s="457"/>
      <c r="AJ803" s="138"/>
      <c r="AK803" s="745"/>
      <c r="AL803" s="54"/>
      <c r="AM803" s="468"/>
      <c r="AN803" s="449"/>
      <c r="AO803" s="45"/>
      <c r="AP803" s="45"/>
      <c r="AQ803" s="45"/>
      <c r="AR803" s="45"/>
      <c r="AS803" s="45"/>
      <c r="AT803" s="45"/>
      <c r="AU803" s="463"/>
      <c r="AV803" s="449"/>
      <c r="AW803" s="45"/>
      <c r="AX803" s="45"/>
      <c r="AY803" s="45"/>
      <c r="AZ803" s="45"/>
      <c r="BA803" s="45"/>
      <c r="BB803" s="45"/>
      <c r="BC803" s="463"/>
      <c r="BD803" s="456"/>
      <c r="BE803" s="46"/>
      <c r="BF803" s="46"/>
      <c r="BG803" s="46"/>
      <c r="BH803" s="46"/>
      <c r="BI803" s="46"/>
      <c r="BJ803" s="457"/>
      <c r="BK803" s="449">
        <v>0</v>
      </c>
      <c r="BL803" s="45"/>
      <c r="BM803" s="45"/>
      <c r="BN803" s="45"/>
      <c r="BO803" s="45"/>
      <c r="BP803" s="45"/>
      <c r="BQ803" s="45"/>
      <c r="BR803" s="45"/>
      <c r="BS803" s="45"/>
      <c r="BT803" s="45"/>
      <c r="BU803" s="45"/>
      <c r="BV803" s="45"/>
      <c r="BW803" s="45"/>
      <c r="BX803" s="45"/>
      <c r="BY803" s="45"/>
      <c r="BZ803" s="45"/>
      <c r="CA803" s="45"/>
      <c r="CB803" s="45"/>
      <c r="CC803" s="45"/>
      <c r="CD803" s="463"/>
      <c r="CE803">
        <v>0</v>
      </c>
      <c r="CF803">
        <v>0</v>
      </c>
      <c r="CG803">
        <v>0</v>
      </c>
      <c r="CH803">
        <v>0</v>
      </c>
      <c r="CI803">
        <v>0</v>
      </c>
      <c r="CJ803">
        <v>0</v>
      </c>
      <c r="CK803">
        <v>0</v>
      </c>
      <c r="CL803">
        <v>0</v>
      </c>
      <c r="CM803">
        <v>0</v>
      </c>
      <c r="CN803">
        <v>0</v>
      </c>
      <c r="CO803">
        <v>0</v>
      </c>
      <c r="CP803">
        <v>0</v>
      </c>
      <c r="CQ803">
        <v>0</v>
      </c>
      <c r="CR803">
        <v>0</v>
      </c>
      <c r="CS803">
        <v>0</v>
      </c>
      <c r="CT803">
        <v>0</v>
      </c>
      <c r="CU803">
        <v>0</v>
      </c>
      <c r="CV803">
        <v>0</v>
      </c>
      <c r="CW803">
        <v>0</v>
      </c>
      <c r="CX803">
        <v>0</v>
      </c>
      <c r="CY803">
        <v>0</v>
      </c>
      <c r="CZ803">
        <v>0</v>
      </c>
      <c r="DA803">
        <v>0</v>
      </c>
      <c r="DB803">
        <v>0</v>
      </c>
      <c r="DC803">
        <v>0</v>
      </c>
      <c r="DD803">
        <v>0</v>
      </c>
      <c r="DE803">
        <v>0</v>
      </c>
      <c r="DF803">
        <v>0</v>
      </c>
      <c r="DG803">
        <v>0</v>
      </c>
      <c r="DH803">
        <v>0</v>
      </c>
      <c r="DI803">
        <v>0</v>
      </c>
      <c r="DJ803">
        <v>0</v>
      </c>
      <c r="DK803">
        <v>0</v>
      </c>
      <c r="DL803">
        <v>0</v>
      </c>
      <c r="DM803">
        <v>0</v>
      </c>
      <c r="DN803">
        <v>0</v>
      </c>
      <c r="DO803">
        <v>0</v>
      </c>
      <c r="DP803">
        <v>0</v>
      </c>
      <c r="DQ803">
        <v>0</v>
      </c>
      <c r="DR803">
        <v>0</v>
      </c>
      <c r="DS803">
        <v>0</v>
      </c>
      <c r="DT803">
        <v>0</v>
      </c>
      <c r="DU803">
        <v>0</v>
      </c>
    </row>
    <row r="804" spans="2:125">
      <c r="B804" s="136">
        <v>795</v>
      </c>
      <c r="C804" s="138">
        <v>1</v>
      </c>
      <c r="D804" s="474">
        <v>3341.311049869726</v>
      </c>
      <c r="E804" s="127">
        <v>214.79892304302683</v>
      </c>
      <c r="F804" s="447">
        <v>0.3843589209063718</v>
      </c>
      <c r="G804" s="127">
        <v>136.8371129062426</v>
      </c>
      <c r="H804" s="132">
        <v>49.732194275891928</v>
      </c>
      <c r="I804" s="456"/>
      <c r="J804" s="45"/>
      <c r="K804" s="45">
        <v>520</v>
      </c>
      <c r="L804" s="463"/>
      <c r="M804" s="456">
        <v>32.245002746582031</v>
      </c>
      <c r="N804" s="457"/>
      <c r="O804" s="456"/>
      <c r="P804" s="46"/>
      <c r="Q804" s="463">
        <v>66.157958984375</v>
      </c>
      <c r="R804" s="449"/>
      <c r="S804" s="463"/>
      <c r="T804" s="480"/>
      <c r="U804" s="468"/>
      <c r="V804" s="449"/>
      <c r="W804" s="45">
        <v>1439.4443359375</v>
      </c>
      <c r="X804" s="463">
        <v>121.93685913085937</v>
      </c>
      <c r="Y804" s="449"/>
      <c r="Z804" s="45"/>
      <c r="AA804" s="468">
        <v>0.37457618055976388</v>
      </c>
      <c r="AB804" s="456"/>
      <c r="AC804" s="46"/>
      <c r="AD804" s="46"/>
      <c r="AE804" s="46"/>
      <c r="AF804" s="46"/>
      <c r="AG804" s="46"/>
      <c r="AH804" s="46"/>
      <c r="AI804" s="457"/>
      <c r="AJ804" s="138"/>
      <c r="AK804" s="745"/>
      <c r="AL804" s="54"/>
      <c r="AM804" s="468"/>
      <c r="AN804" s="449"/>
      <c r="AO804" s="45"/>
      <c r="AP804" s="45"/>
      <c r="AQ804" s="45"/>
      <c r="AR804" s="45"/>
      <c r="AS804" s="45"/>
      <c r="AT804" s="45"/>
      <c r="AU804" s="463"/>
      <c r="AV804" s="449"/>
      <c r="AW804" s="45"/>
      <c r="AX804" s="45"/>
      <c r="AY804" s="45"/>
      <c r="AZ804" s="45"/>
      <c r="BA804" s="45"/>
      <c r="BB804" s="45"/>
      <c r="BC804" s="463"/>
      <c r="BD804" s="456"/>
      <c r="BE804" s="46"/>
      <c r="BF804" s="46"/>
      <c r="BG804" s="46"/>
      <c r="BH804" s="46"/>
      <c r="BI804" s="46"/>
      <c r="BJ804" s="457"/>
      <c r="BK804" s="449">
        <v>0</v>
      </c>
      <c r="BL804" s="45"/>
      <c r="BM804" s="45"/>
      <c r="BN804" s="45"/>
      <c r="BO804" s="45"/>
      <c r="BP804" s="45"/>
      <c r="BQ804" s="45"/>
      <c r="BR804" s="45"/>
      <c r="BS804" s="45"/>
      <c r="BT804" s="45"/>
      <c r="BU804" s="45"/>
      <c r="BV804" s="45"/>
      <c r="BW804" s="45"/>
      <c r="BX804" s="45"/>
      <c r="BY804" s="45"/>
      <c r="BZ804" s="45"/>
      <c r="CA804" s="45"/>
      <c r="CB804" s="45"/>
      <c r="CC804" s="45"/>
      <c r="CD804" s="463"/>
      <c r="CE804">
        <v>0</v>
      </c>
      <c r="CF804">
        <v>0</v>
      </c>
      <c r="CG804">
        <v>0</v>
      </c>
      <c r="CH804">
        <v>0</v>
      </c>
      <c r="CI804">
        <v>0</v>
      </c>
      <c r="CJ804">
        <v>0</v>
      </c>
      <c r="CK804">
        <v>0</v>
      </c>
      <c r="CL804">
        <v>0</v>
      </c>
      <c r="CM804">
        <v>0</v>
      </c>
      <c r="CN804">
        <v>0</v>
      </c>
      <c r="CO804">
        <v>0</v>
      </c>
      <c r="CP804">
        <v>0</v>
      </c>
      <c r="CQ804">
        <v>0</v>
      </c>
      <c r="CR804">
        <v>0</v>
      </c>
      <c r="CS804">
        <v>0</v>
      </c>
      <c r="CT804">
        <v>0</v>
      </c>
      <c r="CU804">
        <v>0</v>
      </c>
      <c r="CV804">
        <v>0</v>
      </c>
      <c r="CW804">
        <v>0</v>
      </c>
      <c r="CX804">
        <v>0</v>
      </c>
      <c r="CY804">
        <v>0</v>
      </c>
      <c r="CZ804">
        <v>0</v>
      </c>
      <c r="DA804">
        <v>0</v>
      </c>
      <c r="DB804">
        <v>0</v>
      </c>
      <c r="DC804">
        <v>0</v>
      </c>
      <c r="DD804">
        <v>0</v>
      </c>
      <c r="DE804">
        <v>0</v>
      </c>
      <c r="DF804">
        <v>0</v>
      </c>
      <c r="DG804">
        <v>0</v>
      </c>
      <c r="DH804">
        <v>0</v>
      </c>
      <c r="DI804">
        <v>0</v>
      </c>
      <c r="DJ804">
        <v>0</v>
      </c>
      <c r="DK804">
        <v>0</v>
      </c>
      <c r="DL804">
        <v>0</v>
      </c>
      <c r="DM804">
        <v>0</v>
      </c>
      <c r="DN804">
        <v>0</v>
      </c>
      <c r="DO804">
        <v>0</v>
      </c>
      <c r="DP804">
        <v>0</v>
      </c>
      <c r="DQ804">
        <v>0</v>
      </c>
      <c r="DR804">
        <v>0</v>
      </c>
      <c r="DS804">
        <v>0</v>
      </c>
      <c r="DT804">
        <v>0</v>
      </c>
      <c r="DU804">
        <v>0</v>
      </c>
    </row>
    <row r="805" spans="2:125">
      <c r="B805" s="136">
        <v>796</v>
      </c>
      <c r="C805" s="138">
        <v>1</v>
      </c>
      <c r="D805" s="474">
        <v>3072.5464092764141</v>
      </c>
      <c r="E805" s="127">
        <v>234.49226437279395</v>
      </c>
      <c r="F805" s="447">
        <v>0.47553258822965794</v>
      </c>
      <c r="G805" s="127">
        <v>96.344003601449359</v>
      </c>
      <c r="H805" s="132">
        <v>56.108003514085844</v>
      </c>
      <c r="I805" s="456"/>
      <c r="J805" s="45"/>
      <c r="K805" s="45">
        <v>420</v>
      </c>
      <c r="L805" s="463"/>
      <c r="M805" s="456">
        <v>40.899055480957031</v>
      </c>
      <c r="N805" s="457"/>
      <c r="O805" s="456"/>
      <c r="P805" s="46"/>
      <c r="Q805" s="463">
        <v>60.836418151855469</v>
      </c>
      <c r="R805" s="449"/>
      <c r="S805" s="463"/>
      <c r="T805" s="480"/>
      <c r="U805" s="468"/>
      <c r="V805" s="449"/>
      <c r="W805" s="45">
        <v>1662.866943359375</v>
      </c>
      <c r="X805" s="463">
        <v>137.79060363769531</v>
      </c>
      <c r="Y805" s="449"/>
      <c r="Z805" s="45"/>
      <c r="AA805" s="468">
        <v>0.4643006499063177</v>
      </c>
      <c r="AB805" s="456"/>
      <c r="AC805" s="46"/>
      <c r="AD805" s="46"/>
      <c r="AE805" s="46"/>
      <c r="AF805" s="46"/>
      <c r="AG805" s="46"/>
      <c r="AH805" s="46"/>
      <c r="AI805" s="457"/>
      <c r="AJ805" s="138"/>
      <c r="AK805" s="745"/>
      <c r="AL805" s="54"/>
      <c r="AM805" s="468"/>
      <c r="AN805" s="449"/>
      <c r="AO805" s="45"/>
      <c r="AP805" s="45"/>
      <c r="AQ805" s="45"/>
      <c r="AR805" s="45"/>
      <c r="AS805" s="45"/>
      <c r="AT805" s="45"/>
      <c r="AU805" s="463"/>
      <c r="AV805" s="449"/>
      <c r="AW805" s="45"/>
      <c r="AX805" s="45"/>
      <c r="AY805" s="45"/>
      <c r="AZ805" s="45"/>
      <c r="BA805" s="45"/>
      <c r="BB805" s="45"/>
      <c r="BC805" s="463"/>
      <c r="BD805" s="456"/>
      <c r="BE805" s="46"/>
      <c r="BF805" s="46"/>
      <c r="BG805" s="46"/>
      <c r="BH805" s="46"/>
      <c r="BI805" s="46"/>
      <c r="BJ805" s="457"/>
      <c r="BK805" s="449">
        <v>0</v>
      </c>
      <c r="BL805" s="45"/>
      <c r="BM805" s="45"/>
      <c r="BN805" s="45"/>
      <c r="BO805" s="45"/>
      <c r="BP805" s="45"/>
      <c r="BQ805" s="45"/>
      <c r="BR805" s="45"/>
      <c r="BS805" s="45"/>
      <c r="BT805" s="45"/>
      <c r="BU805" s="45"/>
      <c r="BV805" s="45"/>
      <c r="BW805" s="45"/>
      <c r="BX805" s="45"/>
      <c r="BY805" s="45"/>
      <c r="BZ805" s="45"/>
      <c r="CA805" s="45"/>
      <c r="CB805" s="45"/>
      <c r="CC805" s="45"/>
      <c r="CD805" s="463"/>
      <c r="CE805">
        <v>0</v>
      </c>
      <c r="CF805">
        <v>0</v>
      </c>
      <c r="CG805">
        <v>0</v>
      </c>
      <c r="CH805">
        <v>0</v>
      </c>
      <c r="CI805">
        <v>0</v>
      </c>
      <c r="CJ805">
        <v>0</v>
      </c>
      <c r="CK805">
        <v>0</v>
      </c>
      <c r="CL805">
        <v>0</v>
      </c>
      <c r="CM805">
        <v>0</v>
      </c>
      <c r="CN805">
        <v>0</v>
      </c>
      <c r="CO805">
        <v>0</v>
      </c>
      <c r="CP805">
        <v>0</v>
      </c>
      <c r="CQ805">
        <v>0</v>
      </c>
      <c r="CR805">
        <v>0</v>
      </c>
      <c r="CS805">
        <v>0</v>
      </c>
      <c r="CT805">
        <v>0</v>
      </c>
      <c r="CU805">
        <v>0</v>
      </c>
      <c r="CV805">
        <v>0</v>
      </c>
      <c r="CW805">
        <v>0</v>
      </c>
      <c r="CX805">
        <v>0</v>
      </c>
      <c r="CY805">
        <v>0</v>
      </c>
      <c r="CZ805">
        <v>0</v>
      </c>
      <c r="DA805">
        <v>0</v>
      </c>
      <c r="DB805">
        <v>0</v>
      </c>
      <c r="DC805">
        <v>0</v>
      </c>
      <c r="DD805">
        <v>0</v>
      </c>
      <c r="DE805">
        <v>0</v>
      </c>
      <c r="DF805">
        <v>0</v>
      </c>
      <c r="DG805">
        <v>0</v>
      </c>
      <c r="DH805">
        <v>0</v>
      </c>
      <c r="DI805">
        <v>0</v>
      </c>
      <c r="DJ805">
        <v>0</v>
      </c>
      <c r="DK805">
        <v>0</v>
      </c>
      <c r="DL805">
        <v>0</v>
      </c>
      <c r="DM805">
        <v>0</v>
      </c>
      <c r="DN805">
        <v>0</v>
      </c>
      <c r="DO805">
        <v>0</v>
      </c>
      <c r="DP805">
        <v>0</v>
      </c>
      <c r="DQ805">
        <v>0</v>
      </c>
      <c r="DR805">
        <v>0</v>
      </c>
      <c r="DS805">
        <v>0</v>
      </c>
      <c r="DT805">
        <v>0</v>
      </c>
      <c r="DU805">
        <v>0</v>
      </c>
    </row>
    <row r="806" spans="2:125">
      <c r="B806" s="136">
        <v>797</v>
      </c>
      <c r="C806" s="138">
        <v>1</v>
      </c>
      <c r="D806" s="474">
        <v>3819.1296221828698</v>
      </c>
      <c r="E806" s="127">
        <v>275.44707154723454</v>
      </c>
      <c r="F806" s="447">
        <v>0.43581259824388502</v>
      </c>
      <c r="G806" s="127">
        <v>148.94351031904858</v>
      </c>
      <c r="H806" s="132">
        <v>62.167968057930779</v>
      </c>
      <c r="I806" s="456"/>
      <c r="J806" s="45"/>
      <c r="K806" s="45">
        <v>610</v>
      </c>
      <c r="L806" s="463"/>
      <c r="M806" s="456">
        <v>39.053112030029297</v>
      </c>
      <c r="N806" s="457"/>
      <c r="O806" s="456"/>
      <c r="P806" s="46"/>
      <c r="Q806" s="463">
        <v>83.616989135742188</v>
      </c>
      <c r="R806" s="449"/>
      <c r="S806" s="463"/>
      <c r="T806" s="480"/>
      <c r="U806" s="468"/>
      <c r="V806" s="449"/>
      <c r="W806" s="45">
        <v>1966.0955810546875</v>
      </c>
      <c r="X806" s="463">
        <v>160.61643981933594</v>
      </c>
      <c r="Y806" s="449"/>
      <c r="Z806" s="45"/>
      <c r="AA806" s="468">
        <v>0.42698434277723579</v>
      </c>
      <c r="AB806" s="456"/>
      <c r="AC806" s="46"/>
      <c r="AD806" s="46"/>
      <c r="AE806" s="46"/>
      <c r="AF806" s="46"/>
      <c r="AG806" s="46"/>
      <c r="AH806" s="46"/>
      <c r="AI806" s="457"/>
      <c r="AJ806" s="138"/>
      <c r="AK806" s="745"/>
      <c r="AL806" s="54"/>
      <c r="AM806" s="468"/>
      <c r="AN806" s="449"/>
      <c r="AO806" s="45"/>
      <c r="AP806" s="45"/>
      <c r="AQ806" s="45"/>
      <c r="AR806" s="45"/>
      <c r="AS806" s="45"/>
      <c r="AT806" s="45"/>
      <c r="AU806" s="463"/>
      <c r="AV806" s="449"/>
      <c r="AW806" s="45"/>
      <c r="AX806" s="45"/>
      <c r="AY806" s="45"/>
      <c r="AZ806" s="45"/>
      <c r="BA806" s="45"/>
      <c r="BB806" s="45"/>
      <c r="BC806" s="463"/>
      <c r="BD806" s="456"/>
      <c r="BE806" s="46"/>
      <c r="BF806" s="46"/>
      <c r="BG806" s="46"/>
      <c r="BH806" s="46"/>
      <c r="BI806" s="46"/>
      <c r="BJ806" s="457"/>
      <c r="BK806" s="449">
        <v>0</v>
      </c>
      <c r="BL806" s="45"/>
      <c r="BM806" s="45"/>
      <c r="BN806" s="45"/>
      <c r="BO806" s="45"/>
      <c r="BP806" s="45"/>
      <c r="BQ806" s="45"/>
      <c r="BR806" s="45"/>
      <c r="BS806" s="45"/>
      <c r="BT806" s="45"/>
      <c r="BU806" s="45"/>
      <c r="BV806" s="45"/>
      <c r="BW806" s="45"/>
      <c r="BX806" s="45"/>
      <c r="BY806" s="45"/>
      <c r="BZ806" s="45"/>
      <c r="CA806" s="45"/>
      <c r="CB806" s="45"/>
      <c r="CC806" s="45"/>
      <c r="CD806" s="463"/>
      <c r="CE806">
        <v>0</v>
      </c>
      <c r="CF806">
        <v>0</v>
      </c>
      <c r="CG806">
        <v>0</v>
      </c>
      <c r="CH806">
        <v>0</v>
      </c>
      <c r="CI806">
        <v>0</v>
      </c>
      <c r="CJ806">
        <v>0</v>
      </c>
      <c r="CK806">
        <v>0</v>
      </c>
      <c r="CL806">
        <v>0</v>
      </c>
      <c r="CM806">
        <v>0</v>
      </c>
      <c r="CN806">
        <v>0</v>
      </c>
      <c r="CO806">
        <v>0</v>
      </c>
      <c r="CP806">
        <v>0</v>
      </c>
      <c r="CQ806">
        <v>0</v>
      </c>
      <c r="CR806">
        <v>0</v>
      </c>
      <c r="CS806">
        <v>0</v>
      </c>
      <c r="CT806">
        <v>0</v>
      </c>
      <c r="CU806">
        <v>0</v>
      </c>
      <c r="CV806">
        <v>0</v>
      </c>
      <c r="CW806">
        <v>0</v>
      </c>
      <c r="CX806">
        <v>0</v>
      </c>
      <c r="CY806">
        <v>0</v>
      </c>
      <c r="CZ806">
        <v>0</v>
      </c>
      <c r="DA806">
        <v>0</v>
      </c>
      <c r="DB806">
        <v>0</v>
      </c>
      <c r="DC806">
        <v>0</v>
      </c>
      <c r="DD806">
        <v>0</v>
      </c>
      <c r="DE806">
        <v>0</v>
      </c>
      <c r="DF806">
        <v>0</v>
      </c>
      <c r="DG806">
        <v>0</v>
      </c>
      <c r="DH806">
        <v>0</v>
      </c>
      <c r="DI806">
        <v>0</v>
      </c>
      <c r="DJ806">
        <v>0</v>
      </c>
      <c r="DK806">
        <v>0</v>
      </c>
      <c r="DL806">
        <v>0</v>
      </c>
      <c r="DM806">
        <v>0</v>
      </c>
      <c r="DN806">
        <v>0</v>
      </c>
      <c r="DO806">
        <v>0</v>
      </c>
      <c r="DP806">
        <v>0</v>
      </c>
      <c r="DQ806">
        <v>0</v>
      </c>
      <c r="DR806">
        <v>0</v>
      </c>
      <c r="DS806">
        <v>0</v>
      </c>
      <c r="DT806">
        <v>0</v>
      </c>
      <c r="DU806">
        <v>0</v>
      </c>
    </row>
    <row r="807" spans="2:125">
      <c r="B807" s="136">
        <v>798</v>
      </c>
      <c r="C807" s="138">
        <v>1</v>
      </c>
      <c r="D807" s="474">
        <v>2823.5474622264346</v>
      </c>
      <c r="E807" s="127">
        <v>231.16747267660617</v>
      </c>
      <c r="F807" s="447">
        <v>0.37633242380886278</v>
      </c>
      <c r="G807" s="127">
        <v>104.41917175328116</v>
      </c>
      <c r="H807" s="132">
        <v>48.714810437084076</v>
      </c>
      <c r="I807" s="456"/>
      <c r="J807" s="45"/>
      <c r="K807" s="45">
        <v>410</v>
      </c>
      <c r="L807" s="463"/>
      <c r="M807" s="456">
        <v>29.735177993774414</v>
      </c>
      <c r="N807" s="457"/>
      <c r="O807" s="456"/>
      <c r="P807" s="46"/>
      <c r="Q807" s="463">
        <v>55.906242370605469</v>
      </c>
      <c r="R807" s="449"/>
      <c r="S807" s="463"/>
      <c r="T807" s="480"/>
      <c r="U807" s="468"/>
      <c r="V807" s="449"/>
      <c r="W807" s="45">
        <v>1159.4129638671875</v>
      </c>
      <c r="X807" s="463">
        <v>101.13702392578125</v>
      </c>
      <c r="Y807" s="449"/>
      <c r="Z807" s="45"/>
      <c r="AA807" s="468">
        <v>0.3648126427847006</v>
      </c>
      <c r="AB807" s="456"/>
      <c r="AC807" s="46"/>
      <c r="AD807" s="46"/>
      <c r="AE807" s="46"/>
      <c r="AF807" s="46"/>
      <c r="AG807" s="46"/>
      <c r="AH807" s="46"/>
      <c r="AI807" s="457"/>
      <c r="AJ807" s="138"/>
      <c r="AK807" s="745"/>
      <c r="AL807" s="54"/>
      <c r="AM807" s="468"/>
      <c r="AN807" s="449"/>
      <c r="AO807" s="45"/>
      <c r="AP807" s="45"/>
      <c r="AQ807" s="45"/>
      <c r="AR807" s="45"/>
      <c r="AS807" s="45"/>
      <c r="AT807" s="45"/>
      <c r="AU807" s="463"/>
      <c r="AV807" s="449"/>
      <c r="AW807" s="45"/>
      <c r="AX807" s="45"/>
      <c r="AY807" s="45"/>
      <c r="AZ807" s="45"/>
      <c r="BA807" s="45"/>
      <c r="BB807" s="45"/>
      <c r="BC807" s="463"/>
      <c r="BD807" s="456"/>
      <c r="BE807" s="46"/>
      <c r="BF807" s="46"/>
      <c r="BG807" s="46"/>
      <c r="BH807" s="46"/>
      <c r="BI807" s="46"/>
      <c r="BJ807" s="457"/>
      <c r="BK807" s="449">
        <v>0</v>
      </c>
      <c r="BL807" s="45"/>
      <c r="BM807" s="45"/>
      <c r="BN807" s="45"/>
      <c r="BO807" s="45"/>
      <c r="BP807" s="45"/>
      <c r="BQ807" s="45"/>
      <c r="BR807" s="45"/>
      <c r="BS807" s="45"/>
      <c r="BT807" s="45"/>
      <c r="BU807" s="45"/>
      <c r="BV807" s="45"/>
      <c r="BW807" s="45"/>
      <c r="BX807" s="45"/>
      <c r="BY807" s="45"/>
      <c r="BZ807" s="45"/>
      <c r="CA807" s="45"/>
      <c r="CB807" s="45"/>
      <c r="CC807" s="45"/>
      <c r="CD807" s="463"/>
      <c r="CE807">
        <v>0</v>
      </c>
      <c r="CF807">
        <v>0</v>
      </c>
      <c r="CG807">
        <v>0</v>
      </c>
      <c r="CH807">
        <v>0</v>
      </c>
      <c r="CI807">
        <v>0</v>
      </c>
      <c r="CJ807">
        <v>0</v>
      </c>
      <c r="CK807">
        <v>0</v>
      </c>
      <c r="CL807">
        <v>0</v>
      </c>
      <c r="CM807">
        <v>0</v>
      </c>
      <c r="CN807">
        <v>0</v>
      </c>
      <c r="CO807">
        <v>0</v>
      </c>
      <c r="CP807">
        <v>0</v>
      </c>
      <c r="CQ807">
        <v>0</v>
      </c>
      <c r="CR807">
        <v>0</v>
      </c>
      <c r="CS807">
        <v>0</v>
      </c>
      <c r="CT807">
        <v>0</v>
      </c>
      <c r="CU807">
        <v>0</v>
      </c>
      <c r="CV807">
        <v>0</v>
      </c>
      <c r="CW807">
        <v>0</v>
      </c>
      <c r="CX807">
        <v>0</v>
      </c>
      <c r="CY807">
        <v>0</v>
      </c>
      <c r="CZ807">
        <v>0</v>
      </c>
      <c r="DA807">
        <v>0</v>
      </c>
      <c r="DB807">
        <v>0</v>
      </c>
      <c r="DC807">
        <v>0</v>
      </c>
      <c r="DD807">
        <v>0</v>
      </c>
      <c r="DE807">
        <v>0</v>
      </c>
      <c r="DF807">
        <v>0</v>
      </c>
      <c r="DG807">
        <v>0</v>
      </c>
      <c r="DH807">
        <v>0</v>
      </c>
      <c r="DI807">
        <v>0</v>
      </c>
      <c r="DJ807">
        <v>0</v>
      </c>
      <c r="DK807">
        <v>0</v>
      </c>
      <c r="DL807">
        <v>0</v>
      </c>
      <c r="DM807">
        <v>0</v>
      </c>
      <c r="DN807">
        <v>0</v>
      </c>
      <c r="DO807">
        <v>0</v>
      </c>
      <c r="DP807">
        <v>0</v>
      </c>
      <c r="DQ807">
        <v>0</v>
      </c>
      <c r="DR807">
        <v>0</v>
      </c>
      <c r="DS807">
        <v>0</v>
      </c>
      <c r="DT807">
        <v>0</v>
      </c>
      <c r="DU807">
        <v>0</v>
      </c>
    </row>
    <row r="808" spans="2:125">
      <c r="B808" s="136">
        <v>799</v>
      </c>
      <c r="C808" s="138">
        <v>1</v>
      </c>
      <c r="D808" s="474">
        <v>3467.7893306757442</v>
      </c>
      <c r="E808" s="127">
        <v>188.33389978802674</v>
      </c>
      <c r="F808" s="447">
        <v>0.36650612533559385</v>
      </c>
      <c r="G808" s="127">
        <v>138.56261254877103</v>
      </c>
      <c r="H808" s="132">
        <v>51.90632777551216</v>
      </c>
      <c r="I808" s="456"/>
      <c r="J808" s="45"/>
      <c r="K808" s="45">
        <v>530</v>
      </c>
      <c r="L808" s="463"/>
      <c r="M808" s="456">
        <v>30.141075134277344</v>
      </c>
      <c r="N808" s="457"/>
      <c r="O808" s="456"/>
      <c r="P808" s="46"/>
      <c r="Q808" s="463">
        <v>68.6622314453125</v>
      </c>
      <c r="R808" s="449"/>
      <c r="S808" s="463"/>
      <c r="T808" s="480"/>
      <c r="U808" s="468"/>
      <c r="V808" s="449"/>
      <c r="W808" s="45">
        <v>1387.1263427734375</v>
      </c>
      <c r="X808" s="463">
        <v>118.17408752441406</v>
      </c>
      <c r="Y808" s="449"/>
      <c r="Z808" s="45"/>
      <c r="AA808" s="468">
        <v>0.35718314766197268</v>
      </c>
      <c r="AB808" s="456"/>
      <c r="AC808" s="46"/>
      <c r="AD808" s="46"/>
      <c r="AE808" s="46"/>
      <c r="AF808" s="46"/>
      <c r="AG808" s="46"/>
      <c r="AH808" s="46"/>
      <c r="AI808" s="457"/>
      <c r="AJ808" s="138"/>
      <c r="AK808" s="745"/>
      <c r="AL808" s="54"/>
      <c r="AM808" s="468"/>
      <c r="AN808" s="449"/>
      <c r="AO808" s="45"/>
      <c r="AP808" s="45"/>
      <c r="AQ808" s="45"/>
      <c r="AR808" s="45"/>
      <c r="AS808" s="45"/>
      <c r="AT808" s="45"/>
      <c r="AU808" s="463"/>
      <c r="AV808" s="449"/>
      <c r="AW808" s="45"/>
      <c r="AX808" s="45"/>
      <c r="AY808" s="45"/>
      <c r="AZ808" s="45"/>
      <c r="BA808" s="45"/>
      <c r="BB808" s="45"/>
      <c r="BC808" s="463"/>
      <c r="BD808" s="456"/>
      <c r="BE808" s="46"/>
      <c r="BF808" s="46"/>
      <c r="BG808" s="46"/>
      <c r="BH808" s="46"/>
      <c r="BI808" s="46"/>
      <c r="BJ808" s="457"/>
      <c r="BK808" s="449">
        <v>0</v>
      </c>
      <c r="BL808" s="45"/>
      <c r="BM808" s="45"/>
      <c r="BN808" s="45"/>
      <c r="BO808" s="45"/>
      <c r="BP808" s="45"/>
      <c r="BQ808" s="45"/>
      <c r="BR808" s="45"/>
      <c r="BS808" s="45"/>
      <c r="BT808" s="45"/>
      <c r="BU808" s="45"/>
      <c r="BV808" s="45"/>
      <c r="BW808" s="45"/>
      <c r="BX808" s="45"/>
      <c r="BY808" s="45"/>
      <c r="BZ808" s="45"/>
      <c r="CA808" s="45"/>
      <c r="CB808" s="45"/>
      <c r="CC808" s="45"/>
      <c r="CD808" s="463"/>
      <c r="CE808">
        <v>0</v>
      </c>
      <c r="CF808">
        <v>0</v>
      </c>
      <c r="CG808">
        <v>0</v>
      </c>
      <c r="CH808">
        <v>0</v>
      </c>
      <c r="CI808">
        <v>0</v>
      </c>
      <c r="CJ808">
        <v>0</v>
      </c>
      <c r="CK808">
        <v>0</v>
      </c>
      <c r="CL808">
        <v>0</v>
      </c>
      <c r="CM808">
        <v>0</v>
      </c>
      <c r="CN808">
        <v>0</v>
      </c>
      <c r="CO808">
        <v>0</v>
      </c>
      <c r="CP808">
        <v>0</v>
      </c>
      <c r="CQ808">
        <v>0</v>
      </c>
      <c r="CR808">
        <v>0</v>
      </c>
      <c r="CS808">
        <v>0</v>
      </c>
      <c r="CT808">
        <v>0</v>
      </c>
      <c r="CU808">
        <v>0</v>
      </c>
      <c r="CV808">
        <v>0</v>
      </c>
      <c r="CW808">
        <v>0</v>
      </c>
      <c r="CX808">
        <v>0</v>
      </c>
      <c r="CY808">
        <v>0</v>
      </c>
      <c r="CZ808">
        <v>0</v>
      </c>
      <c r="DA808">
        <v>0</v>
      </c>
      <c r="DB808">
        <v>0</v>
      </c>
      <c r="DC808">
        <v>0</v>
      </c>
      <c r="DD808">
        <v>0</v>
      </c>
      <c r="DE808">
        <v>0</v>
      </c>
      <c r="DF808">
        <v>0</v>
      </c>
      <c r="DG808">
        <v>0</v>
      </c>
      <c r="DH808">
        <v>0</v>
      </c>
      <c r="DI808">
        <v>0</v>
      </c>
      <c r="DJ808">
        <v>0</v>
      </c>
      <c r="DK808">
        <v>0</v>
      </c>
      <c r="DL808">
        <v>0</v>
      </c>
      <c r="DM808">
        <v>0</v>
      </c>
      <c r="DN808">
        <v>0</v>
      </c>
      <c r="DO808">
        <v>0</v>
      </c>
      <c r="DP808">
        <v>0</v>
      </c>
      <c r="DQ808">
        <v>0</v>
      </c>
      <c r="DR808">
        <v>0</v>
      </c>
      <c r="DS808">
        <v>0</v>
      </c>
      <c r="DT808">
        <v>0</v>
      </c>
      <c r="DU808">
        <v>0</v>
      </c>
    </row>
    <row r="809" spans="2:125">
      <c r="B809" s="136">
        <v>800</v>
      </c>
      <c r="C809" s="138">
        <v>1</v>
      </c>
      <c r="D809" s="474">
        <v>3293.5877493387379</v>
      </c>
      <c r="E809" s="127">
        <v>227.40038660816904</v>
      </c>
      <c r="F809" s="447">
        <v>0.47925635759232632</v>
      </c>
      <c r="G809" s="127">
        <v>135.5957123906235</v>
      </c>
      <c r="H809" s="132">
        <v>49.059610953874824</v>
      </c>
      <c r="I809" s="456"/>
      <c r="J809" s="45"/>
      <c r="K809" s="45">
        <v>530</v>
      </c>
      <c r="L809" s="463"/>
      <c r="M809" s="456">
        <v>49.413135528564453</v>
      </c>
      <c r="N809" s="457"/>
      <c r="O809" s="456"/>
      <c r="P809" s="46"/>
      <c r="Q809" s="463">
        <v>65.213043212890625</v>
      </c>
      <c r="R809" s="449"/>
      <c r="S809" s="463"/>
      <c r="T809" s="480"/>
      <c r="U809" s="468"/>
      <c r="V809" s="449"/>
      <c r="W809" s="45">
        <v>2099.922119140625</v>
      </c>
      <c r="X809" s="463">
        <v>170.00967407226562</v>
      </c>
      <c r="Y809" s="449"/>
      <c r="Z809" s="45"/>
      <c r="AA809" s="468">
        <v>0.46875561196659032</v>
      </c>
      <c r="AB809" s="456"/>
      <c r="AC809" s="46"/>
      <c r="AD809" s="46"/>
      <c r="AE809" s="46"/>
      <c r="AF809" s="46"/>
      <c r="AG809" s="46"/>
      <c r="AH809" s="46"/>
      <c r="AI809" s="457"/>
      <c r="AJ809" s="138"/>
      <c r="AK809" s="745"/>
      <c r="AL809" s="54"/>
      <c r="AM809" s="468"/>
      <c r="AN809" s="449"/>
      <c r="AO809" s="45"/>
      <c r="AP809" s="45"/>
      <c r="AQ809" s="45"/>
      <c r="AR809" s="45"/>
      <c r="AS809" s="45"/>
      <c r="AT809" s="45"/>
      <c r="AU809" s="463"/>
      <c r="AV809" s="449"/>
      <c r="AW809" s="45"/>
      <c r="AX809" s="45"/>
      <c r="AY809" s="45"/>
      <c r="AZ809" s="45"/>
      <c r="BA809" s="45"/>
      <c r="BB809" s="45"/>
      <c r="BC809" s="463"/>
      <c r="BD809" s="456"/>
      <c r="BE809" s="46"/>
      <c r="BF809" s="46"/>
      <c r="BG809" s="46"/>
      <c r="BH809" s="46"/>
      <c r="BI809" s="46"/>
      <c r="BJ809" s="457"/>
      <c r="BK809" s="449">
        <v>0</v>
      </c>
      <c r="BL809" s="45"/>
      <c r="BM809" s="45"/>
      <c r="BN809" s="45"/>
      <c r="BO809" s="45"/>
      <c r="BP809" s="45"/>
      <c r="BQ809" s="45"/>
      <c r="BR809" s="45"/>
      <c r="BS809" s="45"/>
      <c r="BT809" s="45"/>
      <c r="BU809" s="45"/>
      <c r="BV809" s="45"/>
      <c r="BW809" s="45"/>
      <c r="BX809" s="45"/>
      <c r="BY809" s="45"/>
      <c r="BZ809" s="45"/>
      <c r="CA809" s="45"/>
      <c r="CB809" s="45"/>
      <c r="CC809" s="45"/>
      <c r="CD809" s="463"/>
      <c r="CE809">
        <v>0</v>
      </c>
      <c r="CF809">
        <v>0</v>
      </c>
      <c r="CG809">
        <v>0</v>
      </c>
      <c r="CH809">
        <v>0</v>
      </c>
      <c r="CI809">
        <v>0</v>
      </c>
      <c r="CJ809">
        <v>0</v>
      </c>
      <c r="CK809">
        <v>0</v>
      </c>
      <c r="CL809">
        <v>0</v>
      </c>
      <c r="CM809">
        <v>0</v>
      </c>
      <c r="CN809">
        <v>0</v>
      </c>
      <c r="CO809">
        <v>0</v>
      </c>
      <c r="CP809">
        <v>0</v>
      </c>
      <c r="CQ809">
        <v>0</v>
      </c>
      <c r="CR809">
        <v>0</v>
      </c>
      <c r="CS809">
        <v>0</v>
      </c>
      <c r="CT809">
        <v>0</v>
      </c>
      <c r="CU809">
        <v>0</v>
      </c>
      <c r="CV809">
        <v>0</v>
      </c>
      <c r="CW809">
        <v>0</v>
      </c>
      <c r="CX809">
        <v>0</v>
      </c>
      <c r="CY809">
        <v>0</v>
      </c>
      <c r="CZ809">
        <v>0</v>
      </c>
      <c r="DA809">
        <v>0</v>
      </c>
      <c r="DB809">
        <v>0</v>
      </c>
      <c r="DC809">
        <v>0</v>
      </c>
      <c r="DD809">
        <v>0</v>
      </c>
      <c r="DE809">
        <v>0</v>
      </c>
      <c r="DF809">
        <v>0</v>
      </c>
      <c r="DG809">
        <v>0</v>
      </c>
      <c r="DH809">
        <v>0</v>
      </c>
      <c r="DI809">
        <v>0</v>
      </c>
      <c r="DJ809">
        <v>0</v>
      </c>
      <c r="DK809">
        <v>0</v>
      </c>
      <c r="DL809">
        <v>0</v>
      </c>
      <c r="DM809">
        <v>0</v>
      </c>
      <c r="DN809">
        <v>0</v>
      </c>
      <c r="DO809">
        <v>0</v>
      </c>
      <c r="DP809">
        <v>0</v>
      </c>
      <c r="DQ809">
        <v>0</v>
      </c>
      <c r="DR809">
        <v>0</v>
      </c>
      <c r="DS809">
        <v>0</v>
      </c>
      <c r="DT809">
        <v>0</v>
      </c>
      <c r="DU809">
        <v>0</v>
      </c>
    </row>
    <row r="810" spans="2:125">
      <c r="B810" s="136">
        <v>801</v>
      </c>
      <c r="C810" s="138">
        <v>1</v>
      </c>
      <c r="D810" s="474">
        <v>2979.2094473042134</v>
      </c>
      <c r="E810" s="127">
        <v>190.7590107538069</v>
      </c>
      <c r="F810" s="447">
        <v>0.46839592254019957</v>
      </c>
      <c r="G810" s="127">
        <v>114.20494972272945</v>
      </c>
      <c r="H810" s="132">
        <v>49.011806415244209</v>
      </c>
      <c r="I810" s="456"/>
      <c r="J810" s="45"/>
      <c r="K810" s="45">
        <v>460</v>
      </c>
      <c r="L810" s="463"/>
      <c r="M810" s="456">
        <v>43.639686584472656</v>
      </c>
      <c r="N810" s="457"/>
      <c r="O810" s="456"/>
      <c r="P810" s="46"/>
      <c r="Q810" s="463">
        <v>58.988349914550781</v>
      </c>
      <c r="R810" s="449"/>
      <c r="S810" s="463"/>
      <c r="T810" s="480"/>
      <c r="U810" s="468"/>
      <c r="V810" s="449"/>
      <c r="W810" s="45">
        <v>1747.7132568359375</v>
      </c>
      <c r="X810" s="463">
        <v>144.10263061523437</v>
      </c>
      <c r="Y810" s="449"/>
      <c r="Z810" s="45"/>
      <c r="AA810" s="468">
        <v>0.45686000368028112</v>
      </c>
      <c r="AB810" s="456"/>
      <c r="AC810" s="46"/>
      <c r="AD810" s="46"/>
      <c r="AE810" s="46"/>
      <c r="AF810" s="46"/>
      <c r="AG810" s="46"/>
      <c r="AH810" s="46"/>
      <c r="AI810" s="457"/>
      <c r="AJ810" s="138"/>
      <c r="AK810" s="745"/>
      <c r="AL810" s="54"/>
      <c r="AM810" s="468"/>
      <c r="AN810" s="449"/>
      <c r="AO810" s="45"/>
      <c r="AP810" s="45"/>
      <c r="AQ810" s="45"/>
      <c r="AR810" s="45"/>
      <c r="AS810" s="45"/>
      <c r="AT810" s="45"/>
      <c r="AU810" s="463"/>
      <c r="AV810" s="449"/>
      <c r="AW810" s="45"/>
      <c r="AX810" s="45"/>
      <c r="AY810" s="45"/>
      <c r="AZ810" s="45"/>
      <c r="BA810" s="45"/>
      <c r="BB810" s="45"/>
      <c r="BC810" s="463"/>
      <c r="BD810" s="456"/>
      <c r="BE810" s="46"/>
      <c r="BF810" s="46"/>
      <c r="BG810" s="46"/>
      <c r="BH810" s="46"/>
      <c r="BI810" s="46"/>
      <c r="BJ810" s="457"/>
      <c r="BK810" s="449">
        <v>0</v>
      </c>
      <c r="BL810" s="45"/>
      <c r="BM810" s="45"/>
      <c r="BN810" s="45"/>
      <c r="BO810" s="45"/>
      <c r="BP810" s="45"/>
      <c r="BQ810" s="45"/>
      <c r="BR810" s="45"/>
      <c r="BS810" s="45"/>
      <c r="BT810" s="45"/>
      <c r="BU810" s="45"/>
      <c r="BV810" s="45"/>
      <c r="BW810" s="45"/>
      <c r="BX810" s="45"/>
      <c r="BY810" s="45"/>
      <c r="BZ810" s="45"/>
      <c r="CA810" s="45"/>
      <c r="CB810" s="45"/>
      <c r="CC810" s="45"/>
      <c r="CD810" s="463"/>
      <c r="CE810">
        <v>0</v>
      </c>
      <c r="CF810">
        <v>0</v>
      </c>
      <c r="CG810">
        <v>0</v>
      </c>
      <c r="CH810">
        <v>0</v>
      </c>
      <c r="CI810">
        <v>0</v>
      </c>
      <c r="CJ810">
        <v>0</v>
      </c>
      <c r="CK810">
        <v>0</v>
      </c>
      <c r="CL810">
        <v>0</v>
      </c>
      <c r="CM810">
        <v>0</v>
      </c>
      <c r="CN810">
        <v>0</v>
      </c>
      <c r="CO810">
        <v>0</v>
      </c>
      <c r="CP810">
        <v>0</v>
      </c>
      <c r="CQ810">
        <v>0</v>
      </c>
      <c r="CR810">
        <v>0</v>
      </c>
      <c r="CS810">
        <v>0</v>
      </c>
      <c r="CT810">
        <v>0</v>
      </c>
      <c r="CU810">
        <v>0</v>
      </c>
      <c r="CV810">
        <v>0</v>
      </c>
      <c r="CW810">
        <v>0</v>
      </c>
      <c r="CX810">
        <v>0</v>
      </c>
      <c r="CY810">
        <v>0</v>
      </c>
      <c r="CZ810">
        <v>0</v>
      </c>
      <c r="DA810">
        <v>0</v>
      </c>
      <c r="DB810">
        <v>0</v>
      </c>
      <c r="DC810">
        <v>0</v>
      </c>
      <c r="DD810">
        <v>0</v>
      </c>
      <c r="DE810">
        <v>0</v>
      </c>
      <c r="DF810">
        <v>0</v>
      </c>
      <c r="DG810">
        <v>0</v>
      </c>
      <c r="DH810">
        <v>0</v>
      </c>
      <c r="DI810">
        <v>0</v>
      </c>
      <c r="DJ810">
        <v>0</v>
      </c>
      <c r="DK810">
        <v>0</v>
      </c>
      <c r="DL810">
        <v>0</v>
      </c>
      <c r="DM810">
        <v>0</v>
      </c>
      <c r="DN810">
        <v>0</v>
      </c>
      <c r="DO810">
        <v>0</v>
      </c>
      <c r="DP810">
        <v>0</v>
      </c>
      <c r="DQ810">
        <v>0</v>
      </c>
      <c r="DR810">
        <v>0</v>
      </c>
      <c r="DS810">
        <v>0</v>
      </c>
      <c r="DT810">
        <v>0</v>
      </c>
      <c r="DU810">
        <v>0</v>
      </c>
    </row>
    <row r="811" spans="2:125">
      <c r="B811" s="136">
        <v>802</v>
      </c>
      <c r="C811" s="138">
        <v>1</v>
      </c>
      <c r="D811" s="474">
        <v>3245.792484022938</v>
      </c>
      <c r="E811" s="127">
        <v>239.14141528333553</v>
      </c>
      <c r="F811" s="447">
        <v>0.41153051512082928</v>
      </c>
      <c r="G811" s="127">
        <v>121.51154474504665</v>
      </c>
      <c r="H811" s="132">
        <v>52.455077659253178</v>
      </c>
      <c r="I811" s="456"/>
      <c r="J811" s="45"/>
      <c r="K811" s="45">
        <v>480</v>
      </c>
      <c r="L811" s="463"/>
      <c r="M811" s="456">
        <v>34.157543182373047</v>
      </c>
      <c r="N811" s="457"/>
      <c r="O811" s="456"/>
      <c r="P811" s="46"/>
      <c r="Q811" s="463">
        <v>64.266693115234375</v>
      </c>
      <c r="R811" s="449"/>
      <c r="S811" s="463"/>
      <c r="T811" s="480"/>
      <c r="U811" s="468"/>
      <c r="V811" s="449"/>
      <c r="W811" s="45">
        <v>1478.069580078125</v>
      </c>
      <c r="X811" s="463">
        <v>124.60700225830078</v>
      </c>
      <c r="Y811" s="449"/>
      <c r="Z811" s="45"/>
      <c r="AA811" s="468">
        <v>0.40129245755368947</v>
      </c>
      <c r="AB811" s="456"/>
      <c r="AC811" s="46"/>
      <c r="AD811" s="46"/>
      <c r="AE811" s="46"/>
      <c r="AF811" s="46"/>
      <c r="AG811" s="46"/>
      <c r="AH811" s="46"/>
      <c r="AI811" s="457"/>
      <c r="AJ811" s="138"/>
      <c r="AK811" s="745"/>
      <c r="AL811" s="54"/>
      <c r="AM811" s="468"/>
      <c r="AN811" s="449"/>
      <c r="AO811" s="45"/>
      <c r="AP811" s="45"/>
      <c r="AQ811" s="45"/>
      <c r="AR811" s="45"/>
      <c r="AS811" s="45"/>
      <c r="AT811" s="45"/>
      <c r="AU811" s="463"/>
      <c r="AV811" s="449"/>
      <c r="AW811" s="45"/>
      <c r="AX811" s="45"/>
      <c r="AY811" s="45"/>
      <c r="AZ811" s="45"/>
      <c r="BA811" s="45"/>
      <c r="BB811" s="45"/>
      <c r="BC811" s="463"/>
      <c r="BD811" s="456"/>
      <c r="BE811" s="46"/>
      <c r="BF811" s="46"/>
      <c r="BG811" s="46"/>
      <c r="BH811" s="46"/>
      <c r="BI811" s="46"/>
      <c r="BJ811" s="457"/>
      <c r="BK811" s="449">
        <v>0</v>
      </c>
      <c r="BL811" s="45"/>
      <c r="BM811" s="45"/>
      <c r="BN811" s="45"/>
      <c r="BO811" s="45"/>
      <c r="BP811" s="45"/>
      <c r="BQ811" s="45"/>
      <c r="BR811" s="45"/>
      <c r="BS811" s="45"/>
      <c r="BT811" s="45"/>
      <c r="BU811" s="45"/>
      <c r="BV811" s="45"/>
      <c r="BW811" s="45"/>
      <c r="BX811" s="45"/>
      <c r="BY811" s="45"/>
      <c r="BZ811" s="45"/>
      <c r="CA811" s="45"/>
      <c r="CB811" s="45"/>
      <c r="CC811" s="45"/>
      <c r="CD811" s="463"/>
      <c r="CE811">
        <v>0</v>
      </c>
      <c r="CF811">
        <v>0</v>
      </c>
      <c r="CG811">
        <v>0</v>
      </c>
      <c r="CH811">
        <v>0</v>
      </c>
      <c r="CI811">
        <v>0</v>
      </c>
      <c r="CJ811">
        <v>0</v>
      </c>
      <c r="CK811">
        <v>0</v>
      </c>
      <c r="CL811">
        <v>0</v>
      </c>
      <c r="CM811">
        <v>0</v>
      </c>
      <c r="CN811">
        <v>0</v>
      </c>
      <c r="CO811">
        <v>0</v>
      </c>
      <c r="CP811">
        <v>0</v>
      </c>
      <c r="CQ811">
        <v>0</v>
      </c>
      <c r="CR811">
        <v>0</v>
      </c>
      <c r="CS811">
        <v>0</v>
      </c>
      <c r="CT811">
        <v>0</v>
      </c>
      <c r="CU811">
        <v>0</v>
      </c>
      <c r="CV811">
        <v>0</v>
      </c>
      <c r="CW811">
        <v>0</v>
      </c>
      <c r="CX811">
        <v>0</v>
      </c>
      <c r="CY811">
        <v>0</v>
      </c>
      <c r="CZ811">
        <v>0</v>
      </c>
      <c r="DA811">
        <v>0</v>
      </c>
      <c r="DB811">
        <v>0</v>
      </c>
      <c r="DC811">
        <v>0</v>
      </c>
      <c r="DD811">
        <v>0</v>
      </c>
      <c r="DE811">
        <v>0</v>
      </c>
      <c r="DF811">
        <v>0</v>
      </c>
      <c r="DG811">
        <v>0</v>
      </c>
      <c r="DH811">
        <v>0</v>
      </c>
      <c r="DI811">
        <v>0</v>
      </c>
      <c r="DJ811">
        <v>0</v>
      </c>
      <c r="DK811">
        <v>0</v>
      </c>
      <c r="DL811">
        <v>0</v>
      </c>
      <c r="DM811">
        <v>0</v>
      </c>
      <c r="DN811">
        <v>0</v>
      </c>
      <c r="DO811">
        <v>0</v>
      </c>
      <c r="DP811">
        <v>0</v>
      </c>
      <c r="DQ811">
        <v>0</v>
      </c>
      <c r="DR811">
        <v>0</v>
      </c>
      <c r="DS811">
        <v>0</v>
      </c>
      <c r="DT811">
        <v>0</v>
      </c>
      <c r="DU811">
        <v>0</v>
      </c>
    </row>
    <row r="812" spans="2:125">
      <c r="B812" s="136">
        <v>803</v>
      </c>
      <c r="C812" s="138">
        <v>1</v>
      </c>
      <c r="D812" s="474">
        <v>3188.3847195267444</v>
      </c>
      <c r="E812" s="127">
        <v>258.90201115230047</v>
      </c>
      <c r="F812" s="447">
        <v>0.41919867623795609</v>
      </c>
      <c r="G812" s="127">
        <v>116.0330563547389</v>
      </c>
      <c r="H812" s="132">
        <v>60.071780450777901</v>
      </c>
      <c r="I812" s="456"/>
      <c r="J812" s="45"/>
      <c r="K812" s="45">
        <v>500</v>
      </c>
      <c r="L812" s="463"/>
      <c r="M812" s="456">
        <v>33.57940673828125</v>
      </c>
      <c r="N812" s="457"/>
      <c r="O812" s="456"/>
      <c r="P812" s="46"/>
      <c r="Q812" s="463">
        <v>71.306556701660156</v>
      </c>
      <c r="R812" s="449"/>
      <c r="S812" s="463"/>
      <c r="T812" s="480"/>
      <c r="U812" s="468"/>
      <c r="V812" s="449"/>
      <c r="W812" s="45">
        <v>1542.3963623046875</v>
      </c>
      <c r="X812" s="463">
        <v>129.33818054199219</v>
      </c>
      <c r="Y812" s="449"/>
      <c r="Z812" s="45"/>
      <c r="AA812" s="468">
        <v>0.40872817896066566</v>
      </c>
      <c r="AB812" s="456"/>
      <c r="AC812" s="46"/>
      <c r="AD812" s="46"/>
      <c r="AE812" s="46"/>
      <c r="AF812" s="46"/>
      <c r="AG812" s="46"/>
      <c r="AH812" s="46"/>
      <c r="AI812" s="457"/>
      <c r="AJ812" s="138"/>
      <c r="AK812" s="745"/>
      <c r="AL812" s="54"/>
      <c r="AM812" s="468"/>
      <c r="AN812" s="449"/>
      <c r="AO812" s="45"/>
      <c r="AP812" s="45"/>
      <c r="AQ812" s="45"/>
      <c r="AR812" s="45"/>
      <c r="AS812" s="45"/>
      <c r="AT812" s="45"/>
      <c r="AU812" s="463"/>
      <c r="AV812" s="449"/>
      <c r="AW812" s="45"/>
      <c r="AX812" s="45"/>
      <c r="AY812" s="45"/>
      <c r="AZ812" s="45"/>
      <c r="BA812" s="45"/>
      <c r="BB812" s="45"/>
      <c r="BC812" s="463"/>
      <c r="BD812" s="456"/>
      <c r="BE812" s="46"/>
      <c r="BF812" s="46"/>
      <c r="BG812" s="46"/>
      <c r="BH812" s="46"/>
      <c r="BI812" s="46"/>
      <c r="BJ812" s="457"/>
      <c r="BK812" s="449">
        <v>0</v>
      </c>
      <c r="BL812" s="45"/>
      <c r="BM812" s="45"/>
      <c r="BN812" s="45"/>
      <c r="BO812" s="45"/>
      <c r="BP812" s="45"/>
      <c r="BQ812" s="45"/>
      <c r="BR812" s="45"/>
      <c r="BS812" s="45"/>
      <c r="BT812" s="45"/>
      <c r="BU812" s="45"/>
      <c r="BV812" s="45"/>
      <c r="BW812" s="45"/>
      <c r="BX812" s="45"/>
      <c r="BY812" s="45"/>
      <c r="BZ812" s="45"/>
      <c r="CA812" s="45"/>
      <c r="CB812" s="45"/>
      <c r="CC812" s="45"/>
      <c r="CD812" s="463"/>
      <c r="CE812">
        <v>0</v>
      </c>
      <c r="CF812">
        <v>0</v>
      </c>
      <c r="CG812">
        <v>0</v>
      </c>
      <c r="CH812">
        <v>0</v>
      </c>
      <c r="CI812">
        <v>0</v>
      </c>
      <c r="CJ812">
        <v>0</v>
      </c>
      <c r="CK812">
        <v>0</v>
      </c>
      <c r="CL812">
        <v>0</v>
      </c>
      <c r="CM812">
        <v>0</v>
      </c>
      <c r="CN812">
        <v>0</v>
      </c>
      <c r="CO812">
        <v>0</v>
      </c>
      <c r="CP812">
        <v>0</v>
      </c>
      <c r="CQ812">
        <v>0</v>
      </c>
      <c r="CR812">
        <v>0</v>
      </c>
      <c r="CS812">
        <v>0</v>
      </c>
      <c r="CT812">
        <v>0</v>
      </c>
      <c r="CU812">
        <v>0</v>
      </c>
      <c r="CV812">
        <v>0</v>
      </c>
      <c r="CW812">
        <v>0</v>
      </c>
      <c r="CX812">
        <v>0</v>
      </c>
      <c r="CY812">
        <v>0</v>
      </c>
      <c r="CZ812">
        <v>0</v>
      </c>
      <c r="DA812">
        <v>0</v>
      </c>
      <c r="DB812">
        <v>0</v>
      </c>
      <c r="DC812">
        <v>0</v>
      </c>
      <c r="DD812">
        <v>0</v>
      </c>
      <c r="DE812">
        <v>0</v>
      </c>
      <c r="DF812">
        <v>0</v>
      </c>
      <c r="DG812">
        <v>0</v>
      </c>
      <c r="DH812">
        <v>0</v>
      </c>
      <c r="DI812">
        <v>0</v>
      </c>
      <c r="DJ812">
        <v>0</v>
      </c>
      <c r="DK812">
        <v>0</v>
      </c>
      <c r="DL812">
        <v>0</v>
      </c>
      <c r="DM812">
        <v>0</v>
      </c>
      <c r="DN812">
        <v>0</v>
      </c>
      <c r="DO812">
        <v>0</v>
      </c>
      <c r="DP812">
        <v>0</v>
      </c>
      <c r="DQ812">
        <v>0</v>
      </c>
      <c r="DR812">
        <v>0</v>
      </c>
      <c r="DS812">
        <v>0</v>
      </c>
      <c r="DT812">
        <v>0</v>
      </c>
      <c r="DU812">
        <v>0</v>
      </c>
    </row>
    <row r="813" spans="2:125">
      <c r="B813" s="136">
        <v>804</v>
      </c>
      <c r="C813" s="138">
        <v>1</v>
      </c>
      <c r="D813" s="474">
        <v>3132.3831421616442</v>
      </c>
      <c r="E813" s="127">
        <v>219.74156849294138</v>
      </c>
      <c r="F813" s="447">
        <v>0.41121549046231309</v>
      </c>
      <c r="G813" s="127">
        <v>129.28472913836566</v>
      </c>
      <c r="H813" s="132">
        <v>55.732636208545138</v>
      </c>
      <c r="I813" s="456"/>
      <c r="J813" s="45"/>
      <c r="K813" s="45">
        <v>520</v>
      </c>
      <c r="L813" s="463"/>
      <c r="M813" s="456">
        <v>34.360015869140625</v>
      </c>
      <c r="N813" s="457"/>
      <c r="O813" s="456"/>
      <c r="P813" s="46"/>
      <c r="Q813" s="463">
        <v>69.939743041992188</v>
      </c>
      <c r="R813" s="449"/>
      <c r="S813" s="463"/>
      <c r="T813" s="480"/>
      <c r="U813" s="468"/>
      <c r="V813" s="449"/>
      <c r="W813" s="45">
        <v>1568.2081298828125</v>
      </c>
      <c r="X813" s="463">
        <v>131.3099365234375</v>
      </c>
      <c r="Y813" s="449"/>
      <c r="Z813" s="45"/>
      <c r="AA813" s="468">
        <v>0.40060877081743645</v>
      </c>
      <c r="AB813" s="456"/>
      <c r="AC813" s="46"/>
      <c r="AD813" s="46"/>
      <c r="AE813" s="46"/>
      <c r="AF813" s="46"/>
      <c r="AG813" s="46"/>
      <c r="AH813" s="46"/>
      <c r="AI813" s="457"/>
      <c r="AJ813" s="138"/>
      <c r="AK813" s="745"/>
      <c r="AL813" s="54"/>
      <c r="AM813" s="468"/>
      <c r="AN813" s="449"/>
      <c r="AO813" s="45"/>
      <c r="AP813" s="45"/>
      <c r="AQ813" s="45"/>
      <c r="AR813" s="45"/>
      <c r="AS813" s="45"/>
      <c r="AT813" s="45"/>
      <c r="AU813" s="463"/>
      <c r="AV813" s="449"/>
      <c r="AW813" s="45"/>
      <c r="AX813" s="45"/>
      <c r="AY813" s="45"/>
      <c r="AZ813" s="45"/>
      <c r="BA813" s="45"/>
      <c r="BB813" s="45"/>
      <c r="BC813" s="463"/>
      <c r="BD813" s="456"/>
      <c r="BE813" s="46"/>
      <c r="BF813" s="46"/>
      <c r="BG813" s="46"/>
      <c r="BH813" s="46"/>
      <c r="BI813" s="46"/>
      <c r="BJ813" s="457"/>
      <c r="BK813" s="449">
        <v>0</v>
      </c>
      <c r="BL813" s="45"/>
      <c r="BM813" s="45"/>
      <c r="BN813" s="45"/>
      <c r="BO813" s="45"/>
      <c r="BP813" s="45"/>
      <c r="BQ813" s="45"/>
      <c r="BR813" s="45"/>
      <c r="BS813" s="45"/>
      <c r="BT813" s="45"/>
      <c r="BU813" s="45"/>
      <c r="BV813" s="45"/>
      <c r="BW813" s="45"/>
      <c r="BX813" s="45"/>
      <c r="BY813" s="45"/>
      <c r="BZ813" s="45"/>
      <c r="CA813" s="45"/>
      <c r="CB813" s="45"/>
      <c r="CC813" s="45"/>
      <c r="CD813" s="463"/>
      <c r="CE813">
        <v>0</v>
      </c>
      <c r="CF813">
        <v>0</v>
      </c>
      <c r="CG813">
        <v>0</v>
      </c>
      <c r="CH813">
        <v>0</v>
      </c>
      <c r="CI813">
        <v>0</v>
      </c>
      <c r="CJ813">
        <v>0</v>
      </c>
      <c r="CK813">
        <v>0</v>
      </c>
      <c r="CL813">
        <v>0</v>
      </c>
      <c r="CM813">
        <v>0</v>
      </c>
      <c r="CN813">
        <v>0</v>
      </c>
      <c r="CO813">
        <v>0</v>
      </c>
      <c r="CP813">
        <v>0</v>
      </c>
      <c r="CQ813">
        <v>0</v>
      </c>
      <c r="CR813">
        <v>0</v>
      </c>
      <c r="CS813">
        <v>0</v>
      </c>
      <c r="CT813">
        <v>0</v>
      </c>
      <c r="CU813">
        <v>0</v>
      </c>
      <c r="CV813">
        <v>0</v>
      </c>
      <c r="CW813">
        <v>0</v>
      </c>
      <c r="CX813">
        <v>0</v>
      </c>
      <c r="CY813">
        <v>0</v>
      </c>
      <c r="CZ813">
        <v>0</v>
      </c>
      <c r="DA813">
        <v>0</v>
      </c>
      <c r="DB813">
        <v>0</v>
      </c>
      <c r="DC813">
        <v>0</v>
      </c>
      <c r="DD813">
        <v>0</v>
      </c>
      <c r="DE813">
        <v>0</v>
      </c>
      <c r="DF813">
        <v>0</v>
      </c>
      <c r="DG813">
        <v>0</v>
      </c>
      <c r="DH813">
        <v>0</v>
      </c>
      <c r="DI813">
        <v>0</v>
      </c>
      <c r="DJ813">
        <v>0</v>
      </c>
      <c r="DK813">
        <v>0</v>
      </c>
      <c r="DL813">
        <v>0</v>
      </c>
      <c r="DM813">
        <v>0</v>
      </c>
      <c r="DN813">
        <v>0</v>
      </c>
      <c r="DO813">
        <v>0</v>
      </c>
      <c r="DP813">
        <v>0</v>
      </c>
      <c r="DQ813">
        <v>0</v>
      </c>
      <c r="DR813">
        <v>0</v>
      </c>
      <c r="DS813">
        <v>0</v>
      </c>
      <c r="DT813">
        <v>0</v>
      </c>
      <c r="DU813">
        <v>0</v>
      </c>
    </row>
    <row r="814" spans="2:125">
      <c r="B814" s="136">
        <v>805</v>
      </c>
      <c r="C814" s="138">
        <v>1</v>
      </c>
      <c r="D814" s="474">
        <v>4074.1083658037237</v>
      </c>
      <c r="E814" s="127">
        <v>326.1406984554132</v>
      </c>
      <c r="F814" s="447">
        <v>0.4172637912617656</v>
      </c>
      <c r="G814" s="127">
        <v>141.2849167248728</v>
      </c>
      <c r="H814" s="132">
        <v>61.630293497756099</v>
      </c>
      <c r="I814" s="456"/>
      <c r="J814" s="45"/>
      <c r="K814" s="45">
        <v>580</v>
      </c>
      <c r="L814" s="463"/>
      <c r="M814" s="456">
        <v>35.407886505126953</v>
      </c>
      <c r="N814" s="457"/>
      <c r="O814" s="456"/>
      <c r="P814" s="46"/>
      <c r="Q814" s="463">
        <v>80.667350769042969</v>
      </c>
      <c r="R814" s="449"/>
      <c r="S814" s="463"/>
      <c r="T814" s="480"/>
      <c r="U814" s="468"/>
      <c r="V814" s="449"/>
      <c r="W814" s="45">
        <v>1758.57470703125</v>
      </c>
      <c r="X814" s="463">
        <v>145.40533447265625</v>
      </c>
      <c r="Y814" s="449"/>
      <c r="Z814" s="45"/>
      <c r="AA814" s="468">
        <v>0.40907911063198144</v>
      </c>
      <c r="AB814" s="456"/>
      <c r="AC814" s="46"/>
      <c r="AD814" s="46"/>
      <c r="AE814" s="46"/>
      <c r="AF814" s="46"/>
      <c r="AG814" s="46"/>
      <c r="AH814" s="46"/>
      <c r="AI814" s="457"/>
      <c r="AJ814" s="138"/>
      <c r="AK814" s="745"/>
      <c r="AL814" s="54"/>
      <c r="AM814" s="468"/>
      <c r="AN814" s="449"/>
      <c r="AO814" s="45"/>
      <c r="AP814" s="45"/>
      <c r="AQ814" s="45"/>
      <c r="AR814" s="45"/>
      <c r="AS814" s="45"/>
      <c r="AT814" s="45"/>
      <c r="AU814" s="463"/>
      <c r="AV814" s="449"/>
      <c r="AW814" s="45"/>
      <c r="AX814" s="45"/>
      <c r="AY814" s="45"/>
      <c r="AZ814" s="45"/>
      <c r="BA814" s="45"/>
      <c r="BB814" s="45"/>
      <c r="BC814" s="463"/>
      <c r="BD814" s="456"/>
      <c r="BE814" s="46"/>
      <c r="BF814" s="46"/>
      <c r="BG814" s="46"/>
      <c r="BH814" s="46"/>
      <c r="BI814" s="46"/>
      <c r="BJ814" s="457"/>
      <c r="BK814" s="449">
        <v>0</v>
      </c>
      <c r="BL814" s="45"/>
      <c r="BM814" s="45"/>
      <c r="BN814" s="45"/>
      <c r="BO814" s="45"/>
      <c r="BP814" s="45"/>
      <c r="BQ814" s="45"/>
      <c r="BR814" s="45"/>
      <c r="BS814" s="45"/>
      <c r="BT814" s="45"/>
      <c r="BU814" s="45"/>
      <c r="BV814" s="45"/>
      <c r="BW814" s="45"/>
      <c r="BX814" s="45"/>
      <c r="BY814" s="45"/>
      <c r="BZ814" s="45"/>
      <c r="CA814" s="45"/>
      <c r="CB814" s="45"/>
      <c r="CC814" s="45"/>
      <c r="CD814" s="463"/>
      <c r="CE814">
        <v>0</v>
      </c>
      <c r="CF814">
        <v>0</v>
      </c>
      <c r="CG814">
        <v>0</v>
      </c>
      <c r="CH814">
        <v>0</v>
      </c>
      <c r="CI814">
        <v>0</v>
      </c>
      <c r="CJ814">
        <v>0</v>
      </c>
      <c r="CK814">
        <v>0</v>
      </c>
      <c r="CL814">
        <v>0</v>
      </c>
      <c r="CM814">
        <v>0</v>
      </c>
      <c r="CN814">
        <v>0</v>
      </c>
      <c r="CO814">
        <v>0</v>
      </c>
      <c r="CP814">
        <v>0</v>
      </c>
      <c r="CQ814">
        <v>0</v>
      </c>
      <c r="CR814">
        <v>0</v>
      </c>
      <c r="CS814">
        <v>0</v>
      </c>
      <c r="CT814">
        <v>0</v>
      </c>
      <c r="CU814">
        <v>0</v>
      </c>
      <c r="CV814">
        <v>0</v>
      </c>
      <c r="CW814">
        <v>0</v>
      </c>
      <c r="CX814">
        <v>0</v>
      </c>
      <c r="CY814">
        <v>0</v>
      </c>
      <c r="CZ814">
        <v>0</v>
      </c>
      <c r="DA814">
        <v>0</v>
      </c>
      <c r="DB814">
        <v>0</v>
      </c>
      <c r="DC814">
        <v>0</v>
      </c>
      <c r="DD814">
        <v>0</v>
      </c>
      <c r="DE814">
        <v>0</v>
      </c>
      <c r="DF814">
        <v>0</v>
      </c>
      <c r="DG814">
        <v>0</v>
      </c>
      <c r="DH814">
        <v>0</v>
      </c>
      <c r="DI814">
        <v>0</v>
      </c>
      <c r="DJ814">
        <v>0</v>
      </c>
      <c r="DK814">
        <v>0</v>
      </c>
      <c r="DL814">
        <v>0</v>
      </c>
      <c r="DM814">
        <v>0</v>
      </c>
      <c r="DN814">
        <v>0</v>
      </c>
      <c r="DO814">
        <v>0</v>
      </c>
      <c r="DP814">
        <v>0</v>
      </c>
      <c r="DQ814">
        <v>0</v>
      </c>
      <c r="DR814">
        <v>0</v>
      </c>
      <c r="DS814">
        <v>0</v>
      </c>
      <c r="DT814">
        <v>0</v>
      </c>
      <c r="DU814">
        <v>0</v>
      </c>
    </row>
    <row r="815" spans="2:125">
      <c r="B815" s="136">
        <v>806</v>
      </c>
      <c r="C815" s="138">
        <v>1</v>
      </c>
      <c r="D815" s="474">
        <v>3589.5751507968698</v>
      </c>
      <c r="E815" s="127">
        <v>236.21945189834364</v>
      </c>
      <c r="F815" s="447">
        <v>0.40601225023541276</v>
      </c>
      <c r="G815" s="127">
        <v>144.35715887585798</v>
      </c>
      <c r="H815" s="132">
        <v>52.660545882487668</v>
      </c>
      <c r="I815" s="456"/>
      <c r="J815" s="45"/>
      <c r="K815" s="45">
        <v>550</v>
      </c>
      <c r="L815" s="463"/>
      <c r="M815" s="456">
        <v>35.316879272460938</v>
      </c>
      <c r="N815" s="457"/>
      <c r="O815" s="456"/>
      <c r="P815" s="46"/>
      <c r="Q815" s="463">
        <v>71.073593139648438</v>
      </c>
      <c r="R815" s="449"/>
      <c r="S815" s="463"/>
      <c r="T815" s="480"/>
      <c r="U815" s="468"/>
      <c r="V815" s="449"/>
      <c r="W815" s="45">
        <v>1634.688720703125</v>
      </c>
      <c r="X815" s="463">
        <v>136.2857666015625</v>
      </c>
      <c r="Y815" s="449"/>
      <c r="Z815" s="45"/>
      <c r="AA815" s="468">
        <v>0.396785463327955</v>
      </c>
      <c r="AB815" s="456"/>
      <c r="AC815" s="46"/>
      <c r="AD815" s="46"/>
      <c r="AE815" s="46"/>
      <c r="AF815" s="46"/>
      <c r="AG815" s="46"/>
      <c r="AH815" s="46"/>
      <c r="AI815" s="457"/>
      <c r="AJ815" s="138"/>
      <c r="AK815" s="745"/>
      <c r="AL815" s="54"/>
      <c r="AM815" s="468"/>
      <c r="AN815" s="449"/>
      <c r="AO815" s="45"/>
      <c r="AP815" s="45"/>
      <c r="AQ815" s="45"/>
      <c r="AR815" s="45"/>
      <c r="AS815" s="45"/>
      <c r="AT815" s="45"/>
      <c r="AU815" s="463"/>
      <c r="AV815" s="449"/>
      <c r="AW815" s="45"/>
      <c r="AX815" s="45"/>
      <c r="AY815" s="45"/>
      <c r="AZ815" s="45"/>
      <c r="BA815" s="45"/>
      <c r="BB815" s="45"/>
      <c r="BC815" s="463"/>
      <c r="BD815" s="456"/>
      <c r="BE815" s="46"/>
      <c r="BF815" s="46"/>
      <c r="BG815" s="46"/>
      <c r="BH815" s="46"/>
      <c r="BI815" s="46"/>
      <c r="BJ815" s="457"/>
      <c r="BK815" s="449">
        <v>0</v>
      </c>
      <c r="BL815" s="45"/>
      <c r="BM815" s="45"/>
      <c r="BN815" s="45"/>
      <c r="BO815" s="45"/>
      <c r="BP815" s="45"/>
      <c r="BQ815" s="45"/>
      <c r="BR815" s="45"/>
      <c r="BS815" s="45"/>
      <c r="BT815" s="45"/>
      <c r="BU815" s="45"/>
      <c r="BV815" s="45"/>
      <c r="BW815" s="45"/>
      <c r="BX815" s="45"/>
      <c r="BY815" s="45"/>
      <c r="BZ815" s="45"/>
      <c r="CA815" s="45"/>
      <c r="CB815" s="45"/>
      <c r="CC815" s="45"/>
      <c r="CD815" s="463"/>
      <c r="CE815">
        <v>0</v>
      </c>
      <c r="CF815">
        <v>0</v>
      </c>
      <c r="CG815">
        <v>0</v>
      </c>
      <c r="CH815">
        <v>0</v>
      </c>
      <c r="CI815">
        <v>0</v>
      </c>
      <c r="CJ815">
        <v>0</v>
      </c>
      <c r="CK815">
        <v>0</v>
      </c>
      <c r="CL815">
        <v>0</v>
      </c>
      <c r="CM815">
        <v>0</v>
      </c>
      <c r="CN815">
        <v>0</v>
      </c>
      <c r="CO815">
        <v>0</v>
      </c>
      <c r="CP815">
        <v>0</v>
      </c>
      <c r="CQ815">
        <v>0</v>
      </c>
      <c r="CR815">
        <v>0</v>
      </c>
      <c r="CS815">
        <v>0</v>
      </c>
      <c r="CT815">
        <v>0</v>
      </c>
      <c r="CU815">
        <v>0</v>
      </c>
      <c r="CV815">
        <v>0</v>
      </c>
      <c r="CW815">
        <v>0</v>
      </c>
      <c r="CX815">
        <v>0</v>
      </c>
      <c r="CY815">
        <v>0</v>
      </c>
      <c r="CZ815">
        <v>0</v>
      </c>
      <c r="DA815">
        <v>0</v>
      </c>
      <c r="DB815">
        <v>0</v>
      </c>
      <c r="DC815">
        <v>0</v>
      </c>
      <c r="DD815">
        <v>0</v>
      </c>
      <c r="DE815">
        <v>0</v>
      </c>
      <c r="DF815">
        <v>0</v>
      </c>
      <c r="DG815">
        <v>0</v>
      </c>
      <c r="DH815">
        <v>0</v>
      </c>
      <c r="DI815">
        <v>0</v>
      </c>
      <c r="DJ815">
        <v>0</v>
      </c>
      <c r="DK815">
        <v>0</v>
      </c>
      <c r="DL815">
        <v>0</v>
      </c>
      <c r="DM815">
        <v>0</v>
      </c>
      <c r="DN815">
        <v>0</v>
      </c>
      <c r="DO815">
        <v>0</v>
      </c>
      <c r="DP815">
        <v>0</v>
      </c>
      <c r="DQ815">
        <v>0</v>
      </c>
      <c r="DR815">
        <v>0</v>
      </c>
      <c r="DS815">
        <v>0</v>
      </c>
      <c r="DT815">
        <v>0</v>
      </c>
      <c r="DU815">
        <v>0</v>
      </c>
    </row>
    <row r="816" spans="2:125">
      <c r="B816" s="136">
        <v>807</v>
      </c>
      <c r="C816" s="138">
        <v>1</v>
      </c>
      <c r="D816" s="474">
        <v>3390.5667081616648</v>
      </c>
      <c r="E816" s="127">
        <v>235.88249417921833</v>
      </c>
      <c r="F816" s="447">
        <v>0.35082208259874065</v>
      </c>
      <c r="G816" s="127">
        <v>113.83868034282844</v>
      </c>
      <c r="H816" s="132">
        <v>57.189503338954687</v>
      </c>
      <c r="I816" s="456"/>
      <c r="J816" s="45"/>
      <c r="K816" s="45">
        <v>470</v>
      </c>
      <c r="L816" s="463"/>
      <c r="M816" s="456">
        <v>26.531091690063477</v>
      </c>
      <c r="N816" s="457"/>
      <c r="O816" s="456"/>
      <c r="P816" s="46"/>
      <c r="Q816" s="463">
        <v>67.133224487304688</v>
      </c>
      <c r="R816" s="449"/>
      <c r="S816" s="463"/>
      <c r="T816" s="480"/>
      <c r="U816" s="468"/>
      <c r="V816" s="449"/>
      <c r="W816" s="45">
        <v>1197.8492431640625</v>
      </c>
      <c r="X816" s="463">
        <v>104.16319274902344</v>
      </c>
      <c r="Y816" s="449"/>
      <c r="Z816" s="45"/>
      <c r="AA816" s="468">
        <v>0.34137928308829124</v>
      </c>
      <c r="AB816" s="456"/>
      <c r="AC816" s="46"/>
      <c r="AD816" s="46"/>
      <c r="AE816" s="46"/>
      <c r="AF816" s="46"/>
      <c r="AG816" s="46"/>
      <c r="AH816" s="46"/>
      <c r="AI816" s="457"/>
      <c r="AJ816" s="138"/>
      <c r="AK816" s="745"/>
      <c r="AL816" s="54"/>
      <c r="AM816" s="468"/>
      <c r="AN816" s="449"/>
      <c r="AO816" s="45"/>
      <c r="AP816" s="45"/>
      <c r="AQ816" s="45"/>
      <c r="AR816" s="45"/>
      <c r="AS816" s="45"/>
      <c r="AT816" s="45"/>
      <c r="AU816" s="463"/>
      <c r="AV816" s="449"/>
      <c r="AW816" s="45"/>
      <c r="AX816" s="45"/>
      <c r="AY816" s="45"/>
      <c r="AZ816" s="45"/>
      <c r="BA816" s="45"/>
      <c r="BB816" s="45"/>
      <c r="BC816" s="463"/>
      <c r="BD816" s="456"/>
      <c r="BE816" s="46"/>
      <c r="BF816" s="46"/>
      <c r="BG816" s="46"/>
      <c r="BH816" s="46"/>
      <c r="BI816" s="46"/>
      <c r="BJ816" s="457"/>
      <c r="BK816" s="449">
        <v>0</v>
      </c>
      <c r="BL816" s="45"/>
      <c r="BM816" s="45"/>
      <c r="BN816" s="45"/>
      <c r="BO816" s="45"/>
      <c r="BP816" s="45"/>
      <c r="BQ816" s="45"/>
      <c r="BR816" s="45"/>
      <c r="BS816" s="45"/>
      <c r="BT816" s="45"/>
      <c r="BU816" s="45"/>
      <c r="BV816" s="45"/>
      <c r="BW816" s="45"/>
      <c r="BX816" s="45"/>
      <c r="BY816" s="45"/>
      <c r="BZ816" s="45"/>
      <c r="CA816" s="45"/>
      <c r="CB816" s="45"/>
      <c r="CC816" s="45"/>
      <c r="CD816" s="463"/>
      <c r="CE816">
        <v>0</v>
      </c>
      <c r="CF816">
        <v>0</v>
      </c>
      <c r="CG816">
        <v>0</v>
      </c>
      <c r="CH816">
        <v>0</v>
      </c>
      <c r="CI816">
        <v>0</v>
      </c>
      <c r="CJ816">
        <v>0</v>
      </c>
      <c r="CK816">
        <v>0</v>
      </c>
      <c r="CL816">
        <v>0</v>
      </c>
      <c r="CM816">
        <v>0</v>
      </c>
      <c r="CN816">
        <v>0</v>
      </c>
      <c r="CO816">
        <v>0</v>
      </c>
      <c r="CP816">
        <v>0</v>
      </c>
      <c r="CQ816">
        <v>0</v>
      </c>
      <c r="CR816">
        <v>0</v>
      </c>
      <c r="CS816">
        <v>0</v>
      </c>
      <c r="CT816">
        <v>0</v>
      </c>
      <c r="CU816">
        <v>0</v>
      </c>
      <c r="CV816">
        <v>0</v>
      </c>
      <c r="CW816">
        <v>0</v>
      </c>
      <c r="CX816">
        <v>0</v>
      </c>
      <c r="CY816">
        <v>0</v>
      </c>
      <c r="CZ816">
        <v>0</v>
      </c>
      <c r="DA816">
        <v>0</v>
      </c>
      <c r="DB816">
        <v>0</v>
      </c>
      <c r="DC816">
        <v>0</v>
      </c>
      <c r="DD816">
        <v>0</v>
      </c>
      <c r="DE816">
        <v>0</v>
      </c>
      <c r="DF816">
        <v>0</v>
      </c>
      <c r="DG816">
        <v>0</v>
      </c>
      <c r="DH816">
        <v>0</v>
      </c>
      <c r="DI816">
        <v>0</v>
      </c>
      <c r="DJ816">
        <v>0</v>
      </c>
      <c r="DK816">
        <v>0</v>
      </c>
      <c r="DL816">
        <v>0</v>
      </c>
      <c r="DM816">
        <v>0</v>
      </c>
      <c r="DN816">
        <v>0</v>
      </c>
      <c r="DO816">
        <v>0</v>
      </c>
      <c r="DP816">
        <v>0</v>
      </c>
      <c r="DQ816">
        <v>0</v>
      </c>
      <c r="DR816">
        <v>0</v>
      </c>
      <c r="DS816">
        <v>0</v>
      </c>
      <c r="DT816">
        <v>0</v>
      </c>
      <c r="DU816">
        <v>0</v>
      </c>
    </row>
    <row r="817" spans="2:125">
      <c r="B817" s="136">
        <v>808</v>
      </c>
      <c r="C817" s="138">
        <v>1</v>
      </c>
      <c r="D817" s="474">
        <v>3287.2690674454579</v>
      </c>
      <c r="E817" s="127">
        <v>241.27003520798661</v>
      </c>
      <c r="F817" s="447">
        <v>0.40664899776641422</v>
      </c>
      <c r="G817" s="127">
        <v>101.34896228303006</v>
      </c>
      <c r="H817" s="132">
        <v>58.499385134315382</v>
      </c>
      <c r="I817" s="456"/>
      <c r="J817" s="45"/>
      <c r="K817" s="45">
        <v>440</v>
      </c>
      <c r="L817" s="463"/>
      <c r="M817" s="456">
        <v>30.597749710083008</v>
      </c>
      <c r="N817" s="457"/>
      <c r="O817" s="456"/>
      <c r="P817" s="46"/>
      <c r="Q817" s="463">
        <v>65.087936401367188</v>
      </c>
      <c r="R817" s="449"/>
      <c r="S817" s="463"/>
      <c r="T817" s="480"/>
      <c r="U817" s="468"/>
      <c r="V817" s="449"/>
      <c r="W817" s="45">
        <v>1332.3717041015625</v>
      </c>
      <c r="X817" s="463">
        <v>113.82941436767578</v>
      </c>
      <c r="Y817" s="449"/>
      <c r="Z817" s="45"/>
      <c r="AA817" s="468">
        <v>0.39656981675763964</v>
      </c>
      <c r="AB817" s="456"/>
      <c r="AC817" s="46"/>
      <c r="AD817" s="46"/>
      <c r="AE817" s="46"/>
      <c r="AF817" s="46"/>
      <c r="AG817" s="46"/>
      <c r="AH817" s="46"/>
      <c r="AI817" s="457"/>
      <c r="AJ817" s="138"/>
      <c r="AK817" s="745"/>
      <c r="AL817" s="54"/>
      <c r="AM817" s="468"/>
      <c r="AN817" s="449"/>
      <c r="AO817" s="45"/>
      <c r="AP817" s="45"/>
      <c r="AQ817" s="45"/>
      <c r="AR817" s="45"/>
      <c r="AS817" s="45"/>
      <c r="AT817" s="45"/>
      <c r="AU817" s="463"/>
      <c r="AV817" s="449"/>
      <c r="AW817" s="45"/>
      <c r="AX817" s="45"/>
      <c r="AY817" s="45"/>
      <c r="AZ817" s="45"/>
      <c r="BA817" s="45"/>
      <c r="BB817" s="45"/>
      <c r="BC817" s="463"/>
      <c r="BD817" s="456"/>
      <c r="BE817" s="46"/>
      <c r="BF817" s="46"/>
      <c r="BG817" s="46"/>
      <c r="BH817" s="46"/>
      <c r="BI817" s="46"/>
      <c r="BJ817" s="457"/>
      <c r="BK817" s="449">
        <v>0</v>
      </c>
      <c r="BL817" s="45"/>
      <c r="BM817" s="45"/>
      <c r="BN817" s="45"/>
      <c r="BO817" s="45"/>
      <c r="BP817" s="45"/>
      <c r="BQ817" s="45"/>
      <c r="BR817" s="45"/>
      <c r="BS817" s="45"/>
      <c r="BT817" s="45"/>
      <c r="BU817" s="45"/>
      <c r="BV817" s="45"/>
      <c r="BW817" s="45"/>
      <c r="BX817" s="45"/>
      <c r="BY817" s="45"/>
      <c r="BZ817" s="45"/>
      <c r="CA817" s="45"/>
      <c r="CB817" s="45"/>
      <c r="CC817" s="45"/>
      <c r="CD817" s="463"/>
      <c r="CE817">
        <v>0</v>
      </c>
      <c r="CF817">
        <v>0</v>
      </c>
      <c r="CG817">
        <v>0</v>
      </c>
      <c r="CH817">
        <v>0</v>
      </c>
      <c r="CI817">
        <v>0</v>
      </c>
      <c r="CJ817">
        <v>0</v>
      </c>
      <c r="CK817">
        <v>0</v>
      </c>
      <c r="CL817">
        <v>0</v>
      </c>
      <c r="CM817">
        <v>0</v>
      </c>
      <c r="CN817">
        <v>0</v>
      </c>
      <c r="CO817">
        <v>0</v>
      </c>
      <c r="CP817">
        <v>0</v>
      </c>
      <c r="CQ817">
        <v>0</v>
      </c>
      <c r="CR817">
        <v>0</v>
      </c>
      <c r="CS817">
        <v>0</v>
      </c>
      <c r="CT817">
        <v>0</v>
      </c>
      <c r="CU817">
        <v>0</v>
      </c>
      <c r="CV817">
        <v>0</v>
      </c>
      <c r="CW817">
        <v>0</v>
      </c>
      <c r="CX817">
        <v>0</v>
      </c>
      <c r="CY817">
        <v>0</v>
      </c>
      <c r="CZ817">
        <v>0</v>
      </c>
      <c r="DA817">
        <v>0</v>
      </c>
      <c r="DB817">
        <v>0</v>
      </c>
      <c r="DC817">
        <v>0</v>
      </c>
      <c r="DD817">
        <v>0</v>
      </c>
      <c r="DE817">
        <v>0</v>
      </c>
      <c r="DF817">
        <v>0</v>
      </c>
      <c r="DG817">
        <v>0</v>
      </c>
      <c r="DH817">
        <v>0</v>
      </c>
      <c r="DI817">
        <v>0</v>
      </c>
      <c r="DJ817">
        <v>0</v>
      </c>
      <c r="DK817">
        <v>0</v>
      </c>
      <c r="DL817">
        <v>0</v>
      </c>
      <c r="DM817">
        <v>0</v>
      </c>
      <c r="DN817">
        <v>0</v>
      </c>
      <c r="DO817">
        <v>0</v>
      </c>
      <c r="DP817">
        <v>0</v>
      </c>
      <c r="DQ817">
        <v>0</v>
      </c>
      <c r="DR817">
        <v>0</v>
      </c>
      <c r="DS817">
        <v>0</v>
      </c>
      <c r="DT817">
        <v>0</v>
      </c>
      <c r="DU817">
        <v>0</v>
      </c>
    </row>
    <row r="818" spans="2:125">
      <c r="B818" s="136">
        <v>809</v>
      </c>
      <c r="C818" s="138">
        <v>1</v>
      </c>
      <c r="D818" s="474">
        <v>2771.5065600921266</v>
      </c>
      <c r="E818" s="127">
        <v>226.3250694516021</v>
      </c>
      <c r="F818" s="447">
        <v>0.45523005182575654</v>
      </c>
      <c r="G818" s="127">
        <v>96.178974325690774</v>
      </c>
      <c r="H818" s="132">
        <v>50.260199023778043</v>
      </c>
      <c r="I818" s="456"/>
      <c r="J818" s="45"/>
      <c r="K818" s="45">
        <v>400</v>
      </c>
      <c r="L818" s="463"/>
      <c r="M818" s="456">
        <v>38.231605529785156</v>
      </c>
      <c r="N818" s="457"/>
      <c r="O818" s="456"/>
      <c r="P818" s="46"/>
      <c r="Q818" s="463">
        <v>54.875831604003906</v>
      </c>
      <c r="R818" s="449"/>
      <c r="S818" s="463"/>
      <c r="T818" s="480"/>
      <c r="U818" s="468"/>
      <c r="V818" s="449"/>
      <c r="W818" s="45">
        <v>1467.5186767578125</v>
      </c>
      <c r="X818" s="463">
        <v>123.49359893798828</v>
      </c>
      <c r="Y818" s="449"/>
      <c r="Z818" s="45"/>
      <c r="AA818" s="468">
        <v>0.44292461422456197</v>
      </c>
      <c r="AB818" s="456"/>
      <c r="AC818" s="46"/>
      <c r="AD818" s="46"/>
      <c r="AE818" s="46"/>
      <c r="AF818" s="46"/>
      <c r="AG818" s="46"/>
      <c r="AH818" s="46"/>
      <c r="AI818" s="457"/>
      <c r="AJ818" s="138"/>
      <c r="AK818" s="745"/>
      <c r="AL818" s="54"/>
      <c r="AM818" s="468"/>
      <c r="AN818" s="449"/>
      <c r="AO818" s="45"/>
      <c r="AP818" s="45"/>
      <c r="AQ818" s="45"/>
      <c r="AR818" s="45"/>
      <c r="AS818" s="45"/>
      <c r="AT818" s="45"/>
      <c r="AU818" s="463"/>
      <c r="AV818" s="449"/>
      <c r="AW818" s="45"/>
      <c r="AX818" s="45"/>
      <c r="AY818" s="45"/>
      <c r="AZ818" s="45"/>
      <c r="BA818" s="45"/>
      <c r="BB818" s="45"/>
      <c r="BC818" s="463"/>
      <c r="BD818" s="456"/>
      <c r="BE818" s="46"/>
      <c r="BF818" s="46"/>
      <c r="BG818" s="46"/>
      <c r="BH818" s="46"/>
      <c r="BI818" s="46"/>
      <c r="BJ818" s="457"/>
      <c r="BK818" s="449">
        <v>0</v>
      </c>
      <c r="BL818" s="45"/>
      <c r="BM818" s="45"/>
      <c r="BN818" s="45"/>
      <c r="BO818" s="45"/>
      <c r="BP818" s="45"/>
      <c r="BQ818" s="45"/>
      <c r="BR818" s="45"/>
      <c r="BS818" s="45"/>
      <c r="BT818" s="45"/>
      <c r="BU818" s="45"/>
      <c r="BV818" s="45"/>
      <c r="BW818" s="45"/>
      <c r="BX818" s="45"/>
      <c r="BY818" s="45"/>
      <c r="BZ818" s="45"/>
      <c r="CA818" s="45"/>
      <c r="CB818" s="45"/>
      <c r="CC818" s="45"/>
      <c r="CD818" s="463"/>
      <c r="CE818">
        <v>0</v>
      </c>
      <c r="CF818">
        <v>0</v>
      </c>
      <c r="CG818">
        <v>0</v>
      </c>
      <c r="CH818">
        <v>0</v>
      </c>
      <c r="CI818">
        <v>0</v>
      </c>
      <c r="CJ818">
        <v>0</v>
      </c>
      <c r="CK818">
        <v>0</v>
      </c>
      <c r="CL818">
        <v>0</v>
      </c>
      <c r="CM818">
        <v>0</v>
      </c>
      <c r="CN818">
        <v>0</v>
      </c>
      <c r="CO818">
        <v>0</v>
      </c>
      <c r="CP818">
        <v>0</v>
      </c>
      <c r="CQ818">
        <v>0</v>
      </c>
      <c r="CR818">
        <v>0</v>
      </c>
      <c r="CS818">
        <v>0</v>
      </c>
      <c r="CT818">
        <v>0</v>
      </c>
      <c r="CU818">
        <v>0</v>
      </c>
      <c r="CV818">
        <v>0</v>
      </c>
      <c r="CW818">
        <v>0</v>
      </c>
      <c r="CX818">
        <v>0</v>
      </c>
      <c r="CY818">
        <v>0</v>
      </c>
      <c r="CZ818">
        <v>0</v>
      </c>
      <c r="DA818">
        <v>0</v>
      </c>
      <c r="DB818">
        <v>0</v>
      </c>
      <c r="DC818">
        <v>0</v>
      </c>
      <c r="DD818">
        <v>0</v>
      </c>
      <c r="DE818">
        <v>0</v>
      </c>
      <c r="DF818">
        <v>0</v>
      </c>
      <c r="DG818">
        <v>0</v>
      </c>
      <c r="DH818">
        <v>0</v>
      </c>
      <c r="DI818">
        <v>0</v>
      </c>
      <c r="DJ818">
        <v>0</v>
      </c>
      <c r="DK818">
        <v>0</v>
      </c>
      <c r="DL818">
        <v>0</v>
      </c>
      <c r="DM818">
        <v>0</v>
      </c>
      <c r="DN818">
        <v>0</v>
      </c>
      <c r="DO818">
        <v>0</v>
      </c>
      <c r="DP818">
        <v>0</v>
      </c>
      <c r="DQ818">
        <v>0</v>
      </c>
      <c r="DR818">
        <v>0</v>
      </c>
      <c r="DS818">
        <v>0</v>
      </c>
      <c r="DT818">
        <v>0</v>
      </c>
      <c r="DU818">
        <v>0</v>
      </c>
    </row>
    <row r="819" spans="2:125">
      <c r="B819" s="136">
        <v>810</v>
      </c>
      <c r="C819" s="138">
        <v>1</v>
      </c>
      <c r="D819" s="474">
        <v>3493.520349738119</v>
      </c>
      <c r="E819" s="127">
        <v>274.4915798134121</v>
      </c>
      <c r="F819" s="447">
        <v>0.45278833675049951</v>
      </c>
      <c r="G819" s="127">
        <v>133.09472024787436</v>
      </c>
      <c r="H819" s="132">
        <v>53.993608011986161</v>
      </c>
      <c r="I819" s="456"/>
      <c r="J819" s="45"/>
      <c r="K819" s="45">
        <v>530</v>
      </c>
      <c r="L819" s="463"/>
      <c r="M819" s="456">
        <v>41.943111419677734</v>
      </c>
      <c r="N819" s="457"/>
      <c r="O819" s="456"/>
      <c r="P819" s="46"/>
      <c r="Q819" s="463">
        <v>69.171707153320313</v>
      </c>
      <c r="R819" s="449"/>
      <c r="S819" s="463"/>
      <c r="T819" s="480"/>
      <c r="U819" s="468"/>
      <c r="V819" s="449"/>
      <c r="W819" s="45">
        <v>1869.032470703125</v>
      </c>
      <c r="X819" s="463">
        <v>153.23292541503906</v>
      </c>
      <c r="Y819" s="449"/>
      <c r="Z819" s="45"/>
      <c r="AA819" s="468">
        <v>0.44304007043867943</v>
      </c>
      <c r="AB819" s="456"/>
      <c r="AC819" s="46"/>
      <c r="AD819" s="46"/>
      <c r="AE819" s="46"/>
      <c r="AF819" s="46"/>
      <c r="AG819" s="46"/>
      <c r="AH819" s="46"/>
      <c r="AI819" s="457"/>
      <c r="AJ819" s="138"/>
      <c r="AK819" s="745"/>
      <c r="AL819" s="54"/>
      <c r="AM819" s="468"/>
      <c r="AN819" s="449"/>
      <c r="AO819" s="45"/>
      <c r="AP819" s="45"/>
      <c r="AQ819" s="45"/>
      <c r="AR819" s="45"/>
      <c r="AS819" s="45"/>
      <c r="AT819" s="45"/>
      <c r="AU819" s="463"/>
      <c r="AV819" s="449"/>
      <c r="AW819" s="45"/>
      <c r="AX819" s="45"/>
      <c r="AY819" s="45"/>
      <c r="AZ819" s="45"/>
      <c r="BA819" s="45"/>
      <c r="BB819" s="45"/>
      <c r="BC819" s="463"/>
      <c r="BD819" s="456"/>
      <c r="BE819" s="46"/>
      <c r="BF819" s="46"/>
      <c r="BG819" s="46"/>
      <c r="BH819" s="46"/>
      <c r="BI819" s="46"/>
      <c r="BJ819" s="457"/>
      <c r="BK819" s="449">
        <v>0</v>
      </c>
      <c r="BL819" s="45"/>
      <c r="BM819" s="45"/>
      <c r="BN819" s="45"/>
      <c r="BO819" s="45"/>
      <c r="BP819" s="45"/>
      <c r="BQ819" s="45"/>
      <c r="BR819" s="45"/>
      <c r="BS819" s="45"/>
      <c r="BT819" s="45"/>
      <c r="BU819" s="45"/>
      <c r="BV819" s="45"/>
      <c r="BW819" s="45"/>
      <c r="BX819" s="45"/>
      <c r="BY819" s="45"/>
      <c r="BZ819" s="45"/>
      <c r="CA819" s="45"/>
      <c r="CB819" s="45"/>
      <c r="CC819" s="45"/>
      <c r="CD819" s="463"/>
      <c r="CE819">
        <v>0</v>
      </c>
      <c r="CF819">
        <v>0</v>
      </c>
      <c r="CG819">
        <v>0</v>
      </c>
      <c r="CH819">
        <v>0</v>
      </c>
      <c r="CI819">
        <v>0</v>
      </c>
      <c r="CJ819">
        <v>0</v>
      </c>
      <c r="CK819">
        <v>0</v>
      </c>
      <c r="CL819">
        <v>0</v>
      </c>
      <c r="CM819">
        <v>0</v>
      </c>
      <c r="CN819">
        <v>0</v>
      </c>
      <c r="CO819">
        <v>0</v>
      </c>
      <c r="CP819">
        <v>0</v>
      </c>
      <c r="CQ819">
        <v>0</v>
      </c>
      <c r="CR819">
        <v>0</v>
      </c>
      <c r="CS819">
        <v>0</v>
      </c>
      <c r="CT819">
        <v>0</v>
      </c>
      <c r="CU819">
        <v>0</v>
      </c>
      <c r="CV819">
        <v>0</v>
      </c>
      <c r="CW819">
        <v>0</v>
      </c>
      <c r="CX819">
        <v>0</v>
      </c>
      <c r="CY819">
        <v>0</v>
      </c>
      <c r="CZ819">
        <v>0</v>
      </c>
      <c r="DA819">
        <v>0</v>
      </c>
      <c r="DB819">
        <v>0</v>
      </c>
      <c r="DC819">
        <v>0</v>
      </c>
      <c r="DD819">
        <v>0</v>
      </c>
      <c r="DE819">
        <v>0</v>
      </c>
      <c r="DF819">
        <v>0</v>
      </c>
      <c r="DG819">
        <v>0</v>
      </c>
      <c r="DH819">
        <v>0</v>
      </c>
      <c r="DI819">
        <v>0</v>
      </c>
      <c r="DJ819">
        <v>0</v>
      </c>
      <c r="DK819">
        <v>0</v>
      </c>
      <c r="DL819">
        <v>0</v>
      </c>
      <c r="DM819">
        <v>0</v>
      </c>
      <c r="DN819">
        <v>0</v>
      </c>
      <c r="DO819">
        <v>0</v>
      </c>
      <c r="DP819">
        <v>0</v>
      </c>
      <c r="DQ819">
        <v>0</v>
      </c>
      <c r="DR819">
        <v>0</v>
      </c>
      <c r="DS819">
        <v>0</v>
      </c>
      <c r="DT819">
        <v>0</v>
      </c>
      <c r="DU819">
        <v>0</v>
      </c>
    </row>
    <row r="820" spans="2:125">
      <c r="B820" s="136">
        <v>811</v>
      </c>
      <c r="C820" s="138">
        <v>1</v>
      </c>
      <c r="D820" s="474">
        <v>3277.4846168135414</v>
      </c>
      <c r="E820" s="127">
        <v>317.58936488975269</v>
      </c>
      <c r="F820" s="447">
        <v>0.40358837036123085</v>
      </c>
      <c r="G820" s="127">
        <v>126.44949670165886</v>
      </c>
      <c r="H820" s="132">
        <v>51.627987268585123</v>
      </c>
      <c r="I820" s="456"/>
      <c r="J820" s="45"/>
      <c r="K820" s="45">
        <v>490</v>
      </c>
      <c r="L820" s="463"/>
      <c r="M820" s="456">
        <v>33.522926330566406</v>
      </c>
      <c r="N820" s="457"/>
      <c r="O820" s="456"/>
      <c r="P820" s="46"/>
      <c r="Q820" s="463">
        <v>64.894195556640625</v>
      </c>
      <c r="R820" s="449"/>
      <c r="S820" s="463"/>
      <c r="T820" s="480"/>
      <c r="U820" s="468"/>
      <c r="V820" s="449"/>
      <c r="W820" s="45">
        <v>1464.8326416015625</v>
      </c>
      <c r="X820" s="463">
        <v>123.68301391601562</v>
      </c>
      <c r="Y820" s="449"/>
      <c r="Z820" s="45"/>
      <c r="AA820" s="468">
        <v>0.39349777611783882</v>
      </c>
      <c r="AB820" s="456"/>
      <c r="AC820" s="46"/>
      <c r="AD820" s="46"/>
      <c r="AE820" s="46"/>
      <c r="AF820" s="46"/>
      <c r="AG820" s="46"/>
      <c r="AH820" s="46"/>
      <c r="AI820" s="457"/>
      <c r="AJ820" s="138"/>
      <c r="AK820" s="745"/>
      <c r="AL820" s="54"/>
      <c r="AM820" s="468"/>
      <c r="AN820" s="449"/>
      <c r="AO820" s="45"/>
      <c r="AP820" s="45"/>
      <c r="AQ820" s="45"/>
      <c r="AR820" s="45"/>
      <c r="AS820" s="45"/>
      <c r="AT820" s="45"/>
      <c r="AU820" s="463"/>
      <c r="AV820" s="449"/>
      <c r="AW820" s="45"/>
      <c r="AX820" s="45"/>
      <c r="AY820" s="45"/>
      <c r="AZ820" s="45"/>
      <c r="BA820" s="45"/>
      <c r="BB820" s="45"/>
      <c r="BC820" s="463"/>
      <c r="BD820" s="456"/>
      <c r="BE820" s="46"/>
      <c r="BF820" s="46"/>
      <c r="BG820" s="46"/>
      <c r="BH820" s="46"/>
      <c r="BI820" s="46"/>
      <c r="BJ820" s="457"/>
      <c r="BK820" s="449">
        <v>0</v>
      </c>
      <c r="BL820" s="45"/>
      <c r="BM820" s="45"/>
      <c r="BN820" s="45"/>
      <c r="BO820" s="45"/>
      <c r="BP820" s="45"/>
      <c r="BQ820" s="45"/>
      <c r="BR820" s="45"/>
      <c r="BS820" s="45"/>
      <c r="BT820" s="45"/>
      <c r="BU820" s="45"/>
      <c r="BV820" s="45"/>
      <c r="BW820" s="45"/>
      <c r="BX820" s="45"/>
      <c r="BY820" s="45"/>
      <c r="BZ820" s="45"/>
      <c r="CA820" s="45"/>
      <c r="CB820" s="45"/>
      <c r="CC820" s="45"/>
      <c r="CD820" s="463"/>
      <c r="CE820">
        <v>0</v>
      </c>
      <c r="CF820">
        <v>0</v>
      </c>
      <c r="CG820">
        <v>0</v>
      </c>
      <c r="CH820">
        <v>0</v>
      </c>
      <c r="CI820">
        <v>0</v>
      </c>
      <c r="CJ820">
        <v>0</v>
      </c>
      <c r="CK820">
        <v>0</v>
      </c>
      <c r="CL820">
        <v>0</v>
      </c>
      <c r="CM820">
        <v>0</v>
      </c>
      <c r="CN820">
        <v>0</v>
      </c>
      <c r="CO820">
        <v>0</v>
      </c>
      <c r="CP820">
        <v>0</v>
      </c>
      <c r="CQ820">
        <v>0</v>
      </c>
      <c r="CR820">
        <v>0</v>
      </c>
      <c r="CS820">
        <v>0</v>
      </c>
      <c r="CT820">
        <v>0</v>
      </c>
      <c r="CU820">
        <v>0</v>
      </c>
      <c r="CV820">
        <v>0</v>
      </c>
      <c r="CW820">
        <v>0</v>
      </c>
      <c r="CX820">
        <v>0</v>
      </c>
      <c r="CY820">
        <v>0</v>
      </c>
      <c r="CZ820">
        <v>0</v>
      </c>
      <c r="DA820">
        <v>0</v>
      </c>
      <c r="DB820">
        <v>0</v>
      </c>
      <c r="DC820">
        <v>0</v>
      </c>
      <c r="DD820">
        <v>0</v>
      </c>
      <c r="DE820">
        <v>0</v>
      </c>
      <c r="DF820">
        <v>0</v>
      </c>
      <c r="DG820">
        <v>0</v>
      </c>
      <c r="DH820">
        <v>0</v>
      </c>
      <c r="DI820">
        <v>0</v>
      </c>
      <c r="DJ820">
        <v>0</v>
      </c>
      <c r="DK820">
        <v>0</v>
      </c>
      <c r="DL820">
        <v>0</v>
      </c>
      <c r="DM820">
        <v>0</v>
      </c>
      <c r="DN820">
        <v>0</v>
      </c>
      <c r="DO820">
        <v>0</v>
      </c>
      <c r="DP820">
        <v>0</v>
      </c>
      <c r="DQ820">
        <v>0</v>
      </c>
      <c r="DR820">
        <v>0</v>
      </c>
      <c r="DS820">
        <v>0</v>
      </c>
      <c r="DT820">
        <v>0</v>
      </c>
      <c r="DU820">
        <v>0</v>
      </c>
    </row>
    <row r="821" spans="2:125">
      <c r="B821" s="136">
        <v>812</v>
      </c>
      <c r="C821" s="138">
        <v>1</v>
      </c>
      <c r="D821" s="474">
        <v>3883.8371014810241</v>
      </c>
      <c r="E821" s="127">
        <v>273.74517869574368</v>
      </c>
      <c r="F821" s="447">
        <v>0.36097377718332396</v>
      </c>
      <c r="G821" s="127">
        <v>122.13468330917011</v>
      </c>
      <c r="H821" s="132">
        <v>62.907500637511603</v>
      </c>
      <c r="I821" s="456"/>
      <c r="J821" s="45"/>
      <c r="K821" s="45">
        <v>520</v>
      </c>
      <c r="L821" s="463"/>
      <c r="M821" s="456">
        <v>27.019001007080078</v>
      </c>
      <c r="N821" s="457"/>
      <c r="O821" s="456"/>
      <c r="P821" s="46"/>
      <c r="Q821" s="463">
        <v>76.899978637695313</v>
      </c>
      <c r="R821" s="449"/>
      <c r="S821" s="463"/>
      <c r="T821" s="480"/>
      <c r="U821" s="468"/>
      <c r="V821" s="449"/>
      <c r="W821" s="45">
        <v>1330.158447265625</v>
      </c>
      <c r="X821" s="463">
        <v>113.98054504394531</v>
      </c>
      <c r="Y821" s="449"/>
      <c r="Z821" s="45"/>
      <c r="AA821" s="468">
        <v>0.35267799270477818</v>
      </c>
      <c r="AB821" s="456"/>
      <c r="AC821" s="46"/>
      <c r="AD821" s="46"/>
      <c r="AE821" s="46"/>
      <c r="AF821" s="46"/>
      <c r="AG821" s="46"/>
      <c r="AH821" s="46"/>
      <c r="AI821" s="457"/>
      <c r="AJ821" s="138"/>
      <c r="AK821" s="745"/>
      <c r="AL821" s="54"/>
      <c r="AM821" s="468"/>
      <c r="AN821" s="449"/>
      <c r="AO821" s="45"/>
      <c r="AP821" s="45"/>
      <c r="AQ821" s="45"/>
      <c r="AR821" s="45"/>
      <c r="AS821" s="45"/>
      <c r="AT821" s="45"/>
      <c r="AU821" s="463"/>
      <c r="AV821" s="449"/>
      <c r="AW821" s="45"/>
      <c r="AX821" s="45"/>
      <c r="AY821" s="45"/>
      <c r="AZ821" s="45"/>
      <c r="BA821" s="45"/>
      <c r="BB821" s="45"/>
      <c r="BC821" s="463"/>
      <c r="BD821" s="456"/>
      <c r="BE821" s="46"/>
      <c r="BF821" s="46"/>
      <c r="BG821" s="46"/>
      <c r="BH821" s="46"/>
      <c r="BI821" s="46"/>
      <c r="BJ821" s="457"/>
      <c r="BK821" s="449">
        <v>0</v>
      </c>
      <c r="BL821" s="45"/>
      <c r="BM821" s="45"/>
      <c r="BN821" s="45"/>
      <c r="BO821" s="45"/>
      <c r="BP821" s="45"/>
      <c r="BQ821" s="45"/>
      <c r="BR821" s="45"/>
      <c r="BS821" s="45"/>
      <c r="BT821" s="45"/>
      <c r="BU821" s="45"/>
      <c r="BV821" s="45"/>
      <c r="BW821" s="45"/>
      <c r="BX821" s="45"/>
      <c r="BY821" s="45"/>
      <c r="BZ821" s="45"/>
      <c r="CA821" s="45"/>
      <c r="CB821" s="45"/>
      <c r="CC821" s="45"/>
      <c r="CD821" s="463"/>
      <c r="CE821">
        <v>0</v>
      </c>
      <c r="CF821">
        <v>0</v>
      </c>
      <c r="CG821">
        <v>0</v>
      </c>
      <c r="CH821">
        <v>0</v>
      </c>
      <c r="CI821">
        <v>0</v>
      </c>
      <c r="CJ821">
        <v>0</v>
      </c>
      <c r="CK821">
        <v>0</v>
      </c>
      <c r="CL821">
        <v>0</v>
      </c>
      <c r="CM821">
        <v>0</v>
      </c>
      <c r="CN821">
        <v>0</v>
      </c>
      <c r="CO821">
        <v>0</v>
      </c>
      <c r="CP821">
        <v>0</v>
      </c>
      <c r="CQ821">
        <v>0</v>
      </c>
      <c r="CR821">
        <v>0</v>
      </c>
      <c r="CS821">
        <v>0</v>
      </c>
      <c r="CT821">
        <v>0</v>
      </c>
      <c r="CU821">
        <v>0</v>
      </c>
      <c r="CV821">
        <v>0</v>
      </c>
      <c r="CW821">
        <v>0</v>
      </c>
      <c r="CX821">
        <v>0</v>
      </c>
      <c r="CY821">
        <v>0</v>
      </c>
      <c r="CZ821">
        <v>0</v>
      </c>
      <c r="DA821">
        <v>0</v>
      </c>
      <c r="DB821">
        <v>0</v>
      </c>
      <c r="DC821">
        <v>0</v>
      </c>
      <c r="DD821">
        <v>0</v>
      </c>
      <c r="DE821">
        <v>0</v>
      </c>
      <c r="DF821">
        <v>0</v>
      </c>
      <c r="DG821">
        <v>0</v>
      </c>
      <c r="DH821">
        <v>0</v>
      </c>
      <c r="DI821">
        <v>0</v>
      </c>
      <c r="DJ821">
        <v>0</v>
      </c>
      <c r="DK821">
        <v>0</v>
      </c>
      <c r="DL821">
        <v>0</v>
      </c>
      <c r="DM821">
        <v>0</v>
      </c>
      <c r="DN821">
        <v>0</v>
      </c>
      <c r="DO821">
        <v>0</v>
      </c>
      <c r="DP821">
        <v>0</v>
      </c>
      <c r="DQ821">
        <v>0</v>
      </c>
      <c r="DR821">
        <v>0</v>
      </c>
      <c r="DS821">
        <v>0</v>
      </c>
      <c r="DT821">
        <v>0</v>
      </c>
      <c r="DU821">
        <v>0</v>
      </c>
    </row>
    <row r="822" spans="2:125">
      <c r="B822" s="136">
        <v>813</v>
      </c>
      <c r="C822" s="138">
        <v>1</v>
      </c>
      <c r="D822" s="474">
        <v>2712.1887008076205</v>
      </c>
      <c r="E822" s="127">
        <v>248.70141465691884</v>
      </c>
      <c r="F822" s="447">
        <v>0.41774922267101955</v>
      </c>
      <c r="G822" s="127">
        <v>113.76780552090652</v>
      </c>
      <c r="H822" s="132">
        <v>42.055299036801671</v>
      </c>
      <c r="I822" s="456"/>
      <c r="J822" s="45"/>
      <c r="K822" s="45">
        <v>430</v>
      </c>
      <c r="L822" s="463"/>
      <c r="M822" s="456">
        <v>36.339630126953125</v>
      </c>
      <c r="N822" s="457"/>
      <c r="O822" s="456"/>
      <c r="P822" s="46"/>
      <c r="Q822" s="463">
        <v>53.701335906982422</v>
      </c>
      <c r="R822" s="449"/>
      <c r="S822" s="463"/>
      <c r="T822" s="480"/>
      <c r="U822" s="468"/>
      <c r="V822" s="449"/>
      <c r="W822" s="45">
        <v>1379.5352783203125</v>
      </c>
      <c r="X822" s="463">
        <v>117.22927093505859</v>
      </c>
      <c r="Y822" s="449"/>
      <c r="Z822" s="45"/>
      <c r="AA822" s="468">
        <v>0.40545104281226257</v>
      </c>
      <c r="AB822" s="456"/>
      <c r="AC822" s="46"/>
      <c r="AD822" s="46"/>
      <c r="AE822" s="46"/>
      <c r="AF822" s="46"/>
      <c r="AG822" s="46"/>
      <c r="AH822" s="46"/>
      <c r="AI822" s="457"/>
      <c r="AJ822" s="138"/>
      <c r="AK822" s="745"/>
      <c r="AL822" s="54"/>
      <c r="AM822" s="468"/>
      <c r="AN822" s="449"/>
      <c r="AO822" s="45"/>
      <c r="AP822" s="45"/>
      <c r="AQ822" s="45"/>
      <c r="AR822" s="45"/>
      <c r="AS822" s="45"/>
      <c r="AT822" s="45"/>
      <c r="AU822" s="463"/>
      <c r="AV822" s="449"/>
      <c r="AW822" s="45"/>
      <c r="AX822" s="45"/>
      <c r="AY822" s="45"/>
      <c r="AZ822" s="45"/>
      <c r="BA822" s="45"/>
      <c r="BB822" s="45"/>
      <c r="BC822" s="463"/>
      <c r="BD822" s="456"/>
      <c r="BE822" s="46"/>
      <c r="BF822" s="46"/>
      <c r="BG822" s="46"/>
      <c r="BH822" s="46"/>
      <c r="BI822" s="46"/>
      <c r="BJ822" s="457"/>
      <c r="BK822" s="449">
        <v>0</v>
      </c>
      <c r="BL822" s="45"/>
      <c r="BM822" s="45"/>
      <c r="BN822" s="45"/>
      <c r="BO822" s="45"/>
      <c r="BP822" s="45"/>
      <c r="BQ822" s="45"/>
      <c r="BR822" s="45"/>
      <c r="BS822" s="45"/>
      <c r="BT822" s="45"/>
      <c r="BU822" s="45"/>
      <c r="BV822" s="45"/>
      <c r="BW822" s="45"/>
      <c r="BX822" s="45"/>
      <c r="BY822" s="45"/>
      <c r="BZ822" s="45"/>
      <c r="CA822" s="45"/>
      <c r="CB822" s="45"/>
      <c r="CC822" s="45"/>
      <c r="CD822" s="463"/>
      <c r="CE822">
        <v>0</v>
      </c>
      <c r="CF822">
        <v>0</v>
      </c>
      <c r="CG822">
        <v>0</v>
      </c>
      <c r="CH822">
        <v>0</v>
      </c>
      <c r="CI822">
        <v>0</v>
      </c>
      <c r="CJ822">
        <v>0</v>
      </c>
      <c r="CK822">
        <v>0</v>
      </c>
      <c r="CL822">
        <v>0</v>
      </c>
      <c r="CM822">
        <v>0</v>
      </c>
      <c r="CN822">
        <v>0</v>
      </c>
      <c r="CO822">
        <v>0</v>
      </c>
      <c r="CP822">
        <v>0</v>
      </c>
      <c r="CQ822">
        <v>0</v>
      </c>
      <c r="CR822">
        <v>0</v>
      </c>
      <c r="CS822">
        <v>0</v>
      </c>
      <c r="CT822">
        <v>0</v>
      </c>
      <c r="CU822">
        <v>0</v>
      </c>
      <c r="CV822">
        <v>0</v>
      </c>
      <c r="CW822">
        <v>0</v>
      </c>
      <c r="CX822">
        <v>0</v>
      </c>
      <c r="CY822">
        <v>0</v>
      </c>
      <c r="CZ822">
        <v>0</v>
      </c>
      <c r="DA822">
        <v>0</v>
      </c>
      <c r="DB822">
        <v>0</v>
      </c>
      <c r="DC822">
        <v>0</v>
      </c>
      <c r="DD822">
        <v>0</v>
      </c>
      <c r="DE822">
        <v>0</v>
      </c>
      <c r="DF822">
        <v>0</v>
      </c>
      <c r="DG822">
        <v>0</v>
      </c>
      <c r="DH822">
        <v>0</v>
      </c>
      <c r="DI822">
        <v>0</v>
      </c>
      <c r="DJ822">
        <v>0</v>
      </c>
      <c r="DK822">
        <v>0</v>
      </c>
      <c r="DL822">
        <v>0</v>
      </c>
      <c r="DM822">
        <v>0</v>
      </c>
      <c r="DN822">
        <v>0</v>
      </c>
      <c r="DO822">
        <v>0</v>
      </c>
      <c r="DP822">
        <v>0</v>
      </c>
      <c r="DQ822">
        <v>0</v>
      </c>
      <c r="DR822">
        <v>0</v>
      </c>
      <c r="DS822">
        <v>0</v>
      </c>
      <c r="DT822">
        <v>0</v>
      </c>
      <c r="DU822">
        <v>0</v>
      </c>
    </row>
    <row r="823" spans="2:125">
      <c r="B823" s="136">
        <v>814</v>
      </c>
      <c r="C823" s="138">
        <v>1</v>
      </c>
      <c r="D823" s="474">
        <v>4047.6113487666871</v>
      </c>
      <c r="E823" s="127">
        <v>204.79990503248519</v>
      </c>
      <c r="F823" s="447">
        <v>0.44319620739799653</v>
      </c>
      <c r="G823" s="127">
        <v>164.7805905176771</v>
      </c>
      <c r="H823" s="132">
        <v>55.680135797047825</v>
      </c>
      <c r="I823" s="456"/>
      <c r="J823" s="45"/>
      <c r="K823" s="45">
        <v>640</v>
      </c>
      <c r="L823" s="463"/>
      <c r="M823" s="456">
        <v>43.390171051025391</v>
      </c>
      <c r="N823" s="457"/>
      <c r="O823" s="456"/>
      <c r="P823" s="46"/>
      <c r="Q823" s="463">
        <v>80.142707824707031</v>
      </c>
      <c r="R823" s="449"/>
      <c r="S823" s="463"/>
      <c r="T823" s="480"/>
      <c r="U823" s="468"/>
      <c r="V823" s="449"/>
      <c r="W823" s="45">
        <v>2127.655517578125</v>
      </c>
      <c r="X823" s="463">
        <v>172.4832763671875</v>
      </c>
      <c r="Y823" s="449"/>
      <c r="Z823" s="45"/>
      <c r="AA823" s="468">
        <v>0.43482981022444422</v>
      </c>
      <c r="AB823" s="456"/>
      <c r="AC823" s="46"/>
      <c r="AD823" s="46"/>
      <c r="AE823" s="46"/>
      <c r="AF823" s="46"/>
      <c r="AG823" s="46"/>
      <c r="AH823" s="46"/>
      <c r="AI823" s="457"/>
      <c r="AJ823" s="138"/>
      <c r="AK823" s="745"/>
      <c r="AL823" s="54"/>
      <c r="AM823" s="468"/>
      <c r="AN823" s="449"/>
      <c r="AO823" s="45"/>
      <c r="AP823" s="45"/>
      <c r="AQ823" s="45"/>
      <c r="AR823" s="45"/>
      <c r="AS823" s="45"/>
      <c r="AT823" s="45"/>
      <c r="AU823" s="463"/>
      <c r="AV823" s="449"/>
      <c r="AW823" s="45"/>
      <c r="AX823" s="45"/>
      <c r="AY823" s="45"/>
      <c r="AZ823" s="45"/>
      <c r="BA823" s="45"/>
      <c r="BB823" s="45"/>
      <c r="BC823" s="463"/>
      <c r="BD823" s="456"/>
      <c r="BE823" s="46"/>
      <c r="BF823" s="46"/>
      <c r="BG823" s="46"/>
      <c r="BH823" s="46"/>
      <c r="BI823" s="46"/>
      <c r="BJ823" s="457"/>
      <c r="BK823" s="449">
        <v>0</v>
      </c>
      <c r="BL823" s="45"/>
      <c r="BM823" s="45"/>
      <c r="BN823" s="45"/>
      <c r="BO823" s="45"/>
      <c r="BP823" s="45"/>
      <c r="BQ823" s="45"/>
      <c r="BR823" s="45"/>
      <c r="BS823" s="45"/>
      <c r="BT823" s="45"/>
      <c r="BU823" s="45"/>
      <c r="BV823" s="45"/>
      <c r="BW823" s="45"/>
      <c r="BX823" s="45"/>
      <c r="BY823" s="45"/>
      <c r="BZ823" s="45"/>
      <c r="CA823" s="45"/>
      <c r="CB823" s="45"/>
      <c r="CC823" s="45"/>
      <c r="CD823" s="463"/>
      <c r="CE823">
        <v>0</v>
      </c>
      <c r="CF823">
        <v>0</v>
      </c>
      <c r="CG823">
        <v>0</v>
      </c>
      <c r="CH823">
        <v>0</v>
      </c>
      <c r="CI823">
        <v>0</v>
      </c>
      <c r="CJ823">
        <v>0</v>
      </c>
      <c r="CK823">
        <v>0</v>
      </c>
      <c r="CL823">
        <v>0</v>
      </c>
      <c r="CM823">
        <v>0</v>
      </c>
      <c r="CN823">
        <v>0</v>
      </c>
      <c r="CO823">
        <v>0</v>
      </c>
      <c r="CP823">
        <v>0</v>
      </c>
      <c r="CQ823">
        <v>0</v>
      </c>
      <c r="CR823">
        <v>0</v>
      </c>
      <c r="CS823">
        <v>0</v>
      </c>
      <c r="CT823">
        <v>0</v>
      </c>
      <c r="CU823">
        <v>0</v>
      </c>
      <c r="CV823">
        <v>0</v>
      </c>
      <c r="CW823">
        <v>0</v>
      </c>
      <c r="CX823">
        <v>0</v>
      </c>
      <c r="CY823">
        <v>0</v>
      </c>
      <c r="CZ823">
        <v>0</v>
      </c>
      <c r="DA823">
        <v>0</v>
      </c>
      <c r="DB823">
        <v>0</v>
      </c>
      <c r="DC823">
        <v>0</v>
      </c>
      <c r="DD823">
        <v>0</v>
      </c>
      <c r="DE823">
        <v>0</v>
      </c>
      <c r="DF823">
        <v>0</v>
      </c>
      <c r="DG823">
        <v>0</v>
      </c>
      <c r="DH823">
        <v>0</v>
      </c>
      <c r="DI823">
        <v>0</v>
      </c>
      <c r="DJ823">
        <v>0</v>
      </c>
      <c r="DK823">
        <v>0</v>
      </c>
      <c r="DL823">
        <v>0</v>
      </c>
      <c r="DM823">
        <v>0</v>
      </c>
      <c r="DN823">
        <v>0</v>
      </c>
      <c r="DO823">
        <v>0</v>
      </c>
      <c r="DP823">
        <v>0</v>
      </c>
      <c r="DQ823">
        <v>0</v>
      </c>
      <c r="DR823">
        <v>0</v>
      </c>
      <c r="DS823">
        <v>0</v>
      </c>
      <c r="DT823">
        <v>0</v>
      </c>
      <c r="DU823">
        <v>0</v>
      </c>
    </row>
    <row r="824" spans="2:125">
      <c r="B824" s="136">
        <v>815</v>
      </c>
      <c r="C824" s="138">
        <v>1</v>
      </c>
      <c r="D824" s="474">
        <v>2918.6932379447608</v>
      </c>
      <c r="E824" s="127">
        <v>237.41822992485967</v>
      </c>
      <c r="F824" s="447">
        <v>0.36891030479496645</v>
      </c>
      <c r="G824" s="127">
        <v>107.2490967756499</v>
      </c>
      <c r="H824" s="132">
        <v>49.941302265529792</v>
      </c>
      <c r="I824" s="456"/>
      <c r="J824" s="45"/>
      <c r="K824" s="45">
        <v>430</v>
      </c>
      <c r="L824" s="463"/>
      <c r="M824" s="456">
        <v>29.046028137207031</v>
      </c>
      <c r="N824" s="457"/>
      <c r="O824" s="456"/>
      <c r="P824" s="46"/>
      <c r="Q824" s="463">
        <v>57.790130615234375</v>
      </c>
      <c r="R824" s="449"/>
      <c r="S824" s="463"/>
      <c r="T824" s="480"/>
      <c r="U824" s="468"/>
      <c r="V824" s="449"/>
      <c r="W824" s="45">
        <v>1163.3941650390625</v>
      </c>
      <c r="X824" s="463">
        <v>101.47780609130859</v>
      </c>
      <c r="Y824" s="449"/>
      <c r="Z824" s="45"/>
      <c r="AA824" s="468">
        <v>0.35781691352144607</v>
      </c>
      <c r="AB824" s="456"/>
      <c r="AC824" s="46"/>
      <c r="AD824" s="46"/>
      <c r="AE824" s="46"/>
      <c r="AF824" s="46"/>
      <c r="AG824" s="46"/>
      <c r="AH824" s="46"/>
      <c r="AI824" s="457"/>
      <c r="AJ824" s="138"/>
      <c r="AK824" s="745"/>
      <c r="AL824" s="54"/>
      <c r="AM824" s="468"/>
      <c r="AN824" s="449"/>
      <c r="AO824" s="45"/>
      <c r="AP824" s="45"/>
      <c r="AQ824" s="45"/>
      <c r="AR824" s="45"/>
      <c r="AS824" s="45"/>
      <c r="AT824" s="45"/>
      <c r="AU824" s="463"/>
      <c r="AV824" s="449"/>
      <c r="AW824" s="45"/>
      <c r="AX824" s="45"/>
      <c r="AY824" s="45"/>
      <c r="AZ824" s="45"/>
      <c r="BA824" s="45"/>
      <c r="BB824" s="45"/>
      <c r="BC824" s="463"/>
      <c r="BD824" s="456"/>
      <c r="BE824" s="46"/>
      <c r="BF824" s="46"/>
      <c r="BG824" s="46"/>
      <c r="BH824" s="46"/>
      <c r="BI824" s="46"/>
      <c r="BJ824" s="457"/>
      <c r="BK824" s="449">
        <v>0</v>
      </c>
      <c r="BL824" s="45"/>
      <c r="BM824" s="45"/>
      <c r="BN824" s="45"/>
      <c r="BO824" s="45"/>
      <c r="BP824" s="45"/>
      <c r="BQ824" s="45"/>
      <c r="BR824" s="45"/>
      <c r="BS824" s="45"/>
      <c r="BT824" s="45"/>
      <c r="BU824" s="45"/>
      <c r="BV824" s="45"/>
      <c r="BW824" s="45"/>
      <c r="BX824" s="45"/>
      <c r="BY824" s="45"/>
      <c r="BZ824" s="45"/>
      <c r="CA824" s="45"/>
      <c r="CB824" s="45"/>
      <c r="CC824" s="45"/>
      <c r="CD824" s="463"/>
      <c r="CE824">
        <v>0</v>
      </c>
      <c r="CF824">
        <v>0</v>
      </c>
      <c r="CG824">
        <v>0</v>
      </c>
      <c r="CH824">
        <v>0</v>
      </c>
      <c r="CI824">
        <v>0</v>
      </c>
      <c r="CJ824">
        <v>0</v>
      </c>
      <c r="CK824">
        <v>0</v>
      </c>
      <c r="CL824">
        <v>0</v>
      </c>
      <c r="CM824">
        <v>0</v>
      </c>
      <c r="CN824">
        <v>0</v>
      </c>
      <c r="CO824">
        <v>0</v>
      </c>
      <c r="CP824">
        <v>0</v>
      </c>
      <c r="CQ824">
        <v>0</v>
      </c>
      <c r="CR824">
        <v>0</v>
      </c>
      <c r="CS824">
        <v>0</v>
      </c>
      <c r="CT824">
        <v>0</v>
      </c>
      <c r="CU824">
        <v>0</v>
      </c>
      <c r="CV824">
        <v>0</v>
      </c>
      <c r="CW824">
        <v>0</v>
      </c>
      <c r="CX824">
        <v>0</v>
      </c>
      <c r="CY824">
        <v>0</v>
      </c>
      <c r="CZ824">
        <v>0</v>
      </c>
      <c r="DA824">
        <v>0</v>
      </c>
      <c r="DB824">
        <v>0</v>
      </c>
      <c r="DC824">
        <v>0</v>
      </c>
      <c r="DD824">
        <v>0</v>
      </c>
      <c r="DE824">
        <v>0</v>
      </c>
      <c r="DF824">
        <v>0</v>
      </c>
      <c r="DG824">
        <v>0</v>
      </c>
      <c r="DH824">
        <v>0</v>
      </c>
      <c r="DI824">
        <v>0</v>
      </c>
      <c r="DJ824">
        <v>0</v>
      </c>
      <c r="DK824">
        <v>0</v>
      </c>
      <c r="DL824">
        <v>0</v>
      </c>
      <c r="DM824">
        <v>0</v>
      </c>
      <c r="DN824">
        <v>0</v>
      </c>
      <c r="DO824">
        <v>0</v>
      </c>
      <c r="DP824">
        <v>0</v>
      </c>
      <c r="DQ824">
        <v>0</v>
      </c>
      <c r="DR824">
        <v>0</v>
      </c>
      <c r="DS824">
        <v>0</v>
      </c>
      <c r="DT824">
        <v>0</v>
      </c>
      <c r="DU824">
        <v>0</v>
      </c>
    </row>
    <row r="825" spans="2:125">
      <c r="B825" s="136">
        <v>816</v>
      </c>
      <c r="C825" s="138">
        <v>1</v>
      </c>
      <c r="D825" s="474">
        <v>3028.424595629855</v>
      </c>
      <c r="E825" s="127">
        <v>300.23845373425161</v>
      </c>
      <c r="F825" s="447">
        <v>0.39889059858764492</v>
      </c>
      <c r="G825" s="127">
        <v>102.91302520512571</v>
      </c>
      <c r="H825" s="132">
        <v>53.524679154538781</v>
      </c>
      <c r="I825" s="456"/>
      <c r="J825" s="45"/>
      <c r="K825" s="45">
        <v>430</v>
      </c>
      <c r="L825" s="463"/>
      <c r="M825" s="456">
        <v>30.691715240478516</v>
      </c>
      <c r="N825" s="457"/>
      <c r="O825" s="456"/>
      <c r="P825" s="46"/>
      <c r="Q825" s="463">
        <v>59.962806701660156</v>
      </c>
      <c r="R825" s="449"/>
      <c r="S825" s="463"/>
      <c r="T825" s="480"/>
      <c r="U825" s="468"/>
      <c r="V825" s="449"/>
      <c r="W825" s="45">
        <v>1268.875732421875</v>
      </c>
      <c r="X825" s="463">
        <v>109.15265655517578</v>
      </c>
      <c r="Y825" s="449"/>
      <c r="Z825" s="45"/>
      <c r="AA825" s="468">
        <v>0.38800117046077609</v>
      </c>
      <c r="AB825" s="456"/>
      <c r="AC825" s="46"/>
      <c r="AD825" s="46"/>
      <c r="AE825" s="46"/>
      <c r="AF825" s="46"/>
      <c r="AG825" s="46"/>
      <c r="AH825" s="46"/>
      <c r="AI825" s="457"/>
      <c r="AJ825" s="138"/>
      <c r="AK825" s="745"/>
      <c r="AL825" s="54"/>
      <c r="AM825" s="468"/>
      <c r="AN825" s="449"/>
      <c r="AO825" s="45"/>
      <c r="AP825" s="45"/>
      <c r="AQ825" s="45"/>
      <c r="AR825" s="45"/>
      <c r="AS825" s="45"/>
      <c r="AT825" s="45"/>
      <c r="AU825" s="463"/>
      <c r="AV825" s="449"/>
      <c r="AW825" s="45"/>
      <c r="AX825" s="45"/>
      <c r="AY825" s="45"/>
      <c r="AZ825" s="45"/>
      <c r="BA825" s="45"/>
      <c r="BB825" s="45"/>
      <c r="BC825" s="463"/>
      <c r="BD825" s="456"/>
      <c r="BE825" s="46"/>
      <c r="BF825" s="46"/>
      <c r="BG825" s="46"/>
      <c r="BH825" s="46"/>
      <c r="BI825" s="46"/>
      <c r="BJ825" s="457"/>
      <c r="BK825" s="449">
        <v>0</v>
      </c>
      <c r="BL825" s="45"/>
      <c r="BM825" s="45"/>
      <c r="BN825" s="45"/>
      <c r="BO825" s="45"/>
      <c r="BP825" s="45"/>
      <c r="BQ825" s="45"/>
      <c r="BR825" s="45"/>
      <c r="BS825" s="45"/>
      <c r="BT825" s="45"/>
      <c r="BU825" s="45"/>
      <c r="BV825" s="45"/>
      <c r="BW825" s="45"/>
      <c r="BX825" s="45"/>
      <c r="BY825" s="45"/>
      <c r="BZ825" s="45"/>
      <c r="CA825" s="45"/>
      <c r="CB825" s="45"/>
      <c r="CC825" s="45"/>
      <c r="CD825" s="463"/>
      <c r="CE825">
        <v>0</v>
      </c>
      <c r="CF825">
        <v>0</v>
      </c>
      <c r="CG825">
        <v>0</v>
      </c>
      <c r="CH825">
        <v>0</v>
      </c>
      <c r="CI825">
        <v>0</v>
      </c>
      <c r="CJ825">
        <v>0</v>
      </c>
      <c r="CK825">
        <v>0</v>
      </c>
      <c r="CL825">
        <v>0</v>
      </c>
      <c r="CM825">
        <v>0</v>
      </c>
      <c r="CN825">
        <v>0</v>
      </c>
      <c r="CO825">
        <v>0</v>
      </c>
      <c r="CP825">
        <v>0</v>
      </c>
      <c r="CQ825">
        <v>0</v>
      </c>
      <c r="CR825">
        <v>0</v>
      </c>
      <c r="CS825">
        <v>0</v>
      </c>
      <c r="CT825">
        <v>0</v>
      </c>
      <c r="CU825">
        <v>0</v>
      </c>
      <c r="CV825">
        <v>0</v>
      </c>
      <c r="CW825">
        <v>0</v>
      </c>
      <c r="CX825">
        <v>0</v>
      </c>
      <c r="CY825">
        <v>0</v>
      </c>
      <c r="CZ825">
        <v>0</v>
      </c>
      <c r="DA825">
        <v>0</v>
      </c>
      <c r="DB825">
        <v>0</v>
      </c>
      <c r="DC825">
        <v>0</v>
      </c>
      <c r="DD825">
        <v>0</v>
      </c>
      <c r="DE825">
        <v>0</v>
      </c>
      <c r="DF825">
        <v>0</v>
      </c>
      <c r="DG825">
        <v>0</v>
      </c>
      <c r="DH825">
        <v>0</v>
      </c>
      <c r="DI825">
        <v>0</v>
      </c>
      <c r="DJ825">
        <v>0</v>
      </c>
      <c r="DK825">
        <v>0</v>
      </c>
      <c r="DL825">
        <v>0</v>
      </c>
      <c r="DM825">
        <v>0</v>
      </c>
      <c r="DN825">
        <v>0</v>
      </c>
      <c r="DO825">
        <v>0</v>
      </c>
      <c r="DP825">
        <v>0</v>
      </c>
      <c r="DQ825">
        <v>0</v>
      </c>
      <c r="DR825">
        <v>0</v>
      </c>
      <c r="DS825">
        <v>0</v>
      </c>
      <c r="DT825">
        <v>0</v>
      </c>
      <c r="DU825">
        <v>0</v>
      </c>
    </row>
    <row r="826" spans="2:125">
      <c r="B826" s="136">
        <v>817</v>
      </c>
      <c r="C826" s="138">
        <v>1</v>
      </c>
      <c r="D826" s="474">
        <v>3795.9393897063555</v>
      </c>
      <c r="E826" s="127">
        <v>210.23603609740729</v>
      </c>
      <c r="F826" s="447">
        <v>0.41105746636525725</v>
      </c>
      <c r="G826" s="127">
        <v>131.37389568956115</v>
      </c>
      <c r="H826" s="132">
        <v>59.616971081605001</v>
      </c>
      <c r="I826" s="456"/>
      <c r="J826" s="45"/>
      <c r="K826" s="45">
        <v>540</v>
      </c>
      <c r="L826" s="463"/>
      <c r="M826" s="456">
        <v>33.838844299316406</v>
      </c>
      <c r="N826" s="457"/>
      <c r="O826" s="456"/>
      <c r="P826" s="46"/>
      <c r="Q826" s="463">
        <v>75.159599304199219</v>
      </c>
      <c r="R826" s="449"/>
      <c r="S826" s="463"/>
      <c r="T826" s="480"/>
      <c r="U826" s="468"/>
      <c r="V826" s="449"/>
      <c r="W826" s="45">
        <v>1613.337158203125</v>
      </c>
      <c r="X826" s="463">
        <v>134.67152404785156</v>
      </c>
      <c r="Y826" s="449"/>
      <c r="Z826" s="45"/>
      <c r="AA826" s="468">
        <v>0.40230570667768356</v>
      </c>
      <c r="AB826" s="456"/>
      <c r="AC826" s="46"/>
      <c r="AD826" s="46"/>
      <c r="AE826" s="46"/>
      <c r="AF826" s="46"/>
      <c r="AG826" s="46"/>
      <c r="AH826" s="46"/>
      <c r="AI826" s="457"/>
      <c r="AJ826" s="138"/>
      <c r="AK826" s="745"/>
      <c r="AL826" s="54"/>
      <c r="AM826" s="468"/>
      <c r="AN826" s="449"/>
      <c r="AO826" s="45"/>
      <c r="AP826" s="45"/>
      <c r="AQ826" s="45"/>
      <c r="AR826" s="45"/>
      <c r="AS826" s="45"/>
      <c r="AT826" s="45"/>
      <c r="AU826" s="463"/>
      <c r="AV826" s="449"/>
      <c r="AW826" s="45"/>
      <c r="AX826" s="45"/>
      <c r="AY826" s="45"/>
      <c r="AZ826" s="45"/>
      <c r="BA826" s="45"/>
      <c r="BB826" s="45"/>
      <c r="BC826" s="463"/>
      <c r="BD826" s="456"/>
      <c r="BE826" s="46"/>
      <c r="BF826" s="46"/>
      <c r="BG826" s="46"/>
      <c r="BH826" s="46"/>
      <c r="BI826" s="46"/>
      <c r="BJ826" s="457"/>
      <c r="BK826" s="449">
        <v>0</v>
      </c>
      <c r="BL826" s="45"/>
      <c r="BM826" s="45"/>
      <c r="BN826" s="45"/>
      <c r="BO826" s="45"/>
      <c r="BP826" s="45"/>
      <c r="BQ826" s="45"/>
      <c r="BR826" s="45"/>
      <c r="BS826" s="45"/>
      <c r="BT826" s="45"/>
      <c r="BU826" s="45"/>
      <c r="BV826" s="45"/>
      <c r="BW826" s="45"/>
      <c r="BX826" s="45"/>
      <c r="BY826" s="45"/>
      <c r="BZ826" s="45"/>
      <c r="CA826" s="45"/>
      <c r="CB826" s="45"/>
      <c r="CC826" s="45"/>
      <c r="CD826" s="463"/>
      <c r="CE826">
        <v>0</v>
      </c>
      <c r="CF826">
        <v>0</v>
      </c>
      <c r="CG826">
        <v>0</v>
      </c>
      <c r="CH826">
        <v>0</v>
      </c>
      <c r="CI826">
        <v>0</v>
      </c>
      <c r="CJ826">
        <v>0</v>
      </c>
      <c r="CK826">
        <v>0</v>
      </c>
      <c r="CL826">
        <v>0</v>
      </c>
      <c r="CM826">
        <v>0</v>
      </c>
      <c r="CN826">
        <v>0</v>
      </c>
      <c r="CO826">
        <v>0</v>
      </c>
      <c r="CP826">
        <v>0</v>
      </c>
      <c r="CQ826">
        <v>0</v>
      </c>
      <c r="CR826">
        <v>0</v>
      </c>
      <c r="CS826">
        <v>0</v>
      </c>
      <c r="CT826">
        <v>0</v>
      </c>
      <c r="CU826">
        <v>0</v>
      </c>
      <c r="CV826">
        <v>0</v>
      </c>
      <c r="CW826">
        <v>0</v>
      </c>
      <c r="CX826">
        <v>0</v>
      </c>
      <c r="CY826">
        <v>0</v>
      </c>
      <c r="CZ826">
        <v>0</v>
      </c>
      <c r="DA826">
        <v>0</v>
      </c>
      <c r="DB826">
        <v>0</v>
      </c>
      <c r="DC826">
        <v>0</v>
      </c>
      <c r="DD826">
        <v>0</v>
      </c>
      <c r="DE826">
        <v>0</v>
      </c>
      <c r="DF826">
        <v>0</v>
      </c>
      <c r="DG826">
        <v>0</v>
      </c>
      <c r="DH826">
        <v>0</v>
      </c>
      <c r="DI826">
        <v>0</v>
      </c>
      <c r="DJ826">
        <v>0</v>
      </c>
      <c r="DK826">
        <v>0</v>
      </c>
      <c r="DL826">
        <v>0</v>
      </c>
      <c r="DM826">
        <v>0</v>
      </c>
      <c r="DN826">
        <v>0</v>
      </c>
      <c r="DO826">
        <v>0</v>
      </c>
      <c r="DP826">
        <v>0</v>
      </c>
      <c r="DQ826">
        <v>0</v>
      </c>
      <c r="DR826">
        <v>0</v>
      </c>
      <c r="DS826">
        <v>0</v>
      </c>
      <c r="DT826">
        <v>0</v>
      </c>
      <c r="DU826">
        <v>0</v>
      </c>
    </row>
    <row r="827" spans="2:125">
      <c r="B827" s="136">
        <v>818</v>
      </c>
      <c r="C827" s="138">
        <v>1</v>
      </c>
      <c r="D827" s="474">
        <v>3347.7119625207888</v>
      </c>
      <c r="E827" s="127">
        <v>238.33300926834528</v>
      </c>
      <c r="F827" s="447">
        <v>0.37324386461654618</v>
      </c>
      <c r="G827" s="127">
        <v>113.77848475186856</v>
      </c>
      <c r="H827" s="132">
        <v>62.985753952507409</v>
      </c>
      <c r="I827" s="456"/>
      <c r="J827" s="45"/>
      <c r="K827" s="45">
        <v>500</v>
      </c>
      <c r="L827" s="463"/>
      <c r="M827" s="456">
        <v>27.673610687255859</v>
      </c>
      <c r="N827" s="457"/>
      <c r="O827" s="456"/>
      <c r="P827" s="46"/>
      <c r="Q827" s="463">
        <v>74.5950927734375</v>
      </c>
      <c r="R827" s="449"/>
      <c r="S827" s="463"/>
      <c r="T827" s="480"/>
      <c r="U827" s="468"/>
      <c r="V827" s="449"/>
      <c r="W827" s="45">
        <v>1329.1016845703125</v>
      </c>
      <c r="X827" s="463">
        <v>113.81817626953125</v>
      </c>
      <c r="Y827" s="449"/>
      <c r="Z827" s="45"/>
      <c r="AA827" s="468">
        <v>0.36354623302344896</v>
      </c>
      <c r="AB827" s="456"/>
      <c r="AC827" s="46"/>
      <c r="AD827" s="46"/>
      <c r="AE827" s="46"/>
      <c r="AF827" s="46"/>
      <c r="AG827" s="46"/>
      <c r="AH827" s="46"/>
      <c r="AI827" s="457"/>
      <c r="AJ827" s="138"/>
      <c r="AK827" s="745"/>
      <c r="AL827" s="54"/>
      <c r="AM827" s="468"/>
      <c r="AN827" s="449"/>
      <c r="AO827" s="45"/>
      <c r="AP827" s="45"/>
      <c r="AQ827" s="45"/>
      <c r="AR827" s="45"/>
      <c r="AS827" s="45"/>
      <c r="AT827" s="45"/>
      <c r="AU827" s="463"/>
      <c r="AV827" s="449"/>
      <c r="AW827" s="45"/>
      <c r="AX827" s="45"/>
      <c r="AY827" s="45"/>
      <c r="AZ827" s="45"/>
      <c r="BA827" s="45"/>
      <c r="BB827" s="45"/>
      <c r="BC827" s="463"/>
      <c r="BD827" s="456"/>
      <c r="BE827" s="46"/>
      <c r="BF827" s="46"/>
      <c r="BG827" s="46"/>
      <c r="BH827" s="46"/>
      <c r="BI827" s="46"/>
      <c r="BJ827" s="457"/>
      <c r="BK827" s="449">
        <v>0</v>
      </c>
      <c r="BL827" s="45"/>
      <c r="BM827" s="45"/>
      <c r="BN827" s="45"/>
      <c r="BO827" s="45"/>
      <c r="BP827" s="45"/>
      <c r="BQ827" s="45"/>
      <c r="BR827" s="45"/>
      <c r="BS827" s="45"/>
      <c r="BT827" s="45"/>
      <c r="BU827" s="45"/>
      <c r="BV827" s="45"/>
      <c r="BW827" s="45"/>
      <c r="BX827" s="45"/>
      <c r="BY827" s="45"/>
      <c r="BZ827" s="45"/>
      <c r="CA827" s="45"/>
      <c r="CB827" s="45"/>
      <c r="CC827" s="45"/>
      <c r="CD827" s="463"/>
      <c r="CE827">
        <v>0</v>
      </c>
      <c r="CF827">
        <v>0</v>
      </c>
      <c r="CG827">
        <v>0</v>
      </c>
      <c r="CH827">
        <v>0</v>
      </c>
      <c r="CI827">
        <v>0</v>
      </c>
      <c r="CJ827">
        <v>0</v>
      </c>
      <c r="CK827">
        <v>0</v>
      </c>
      <c r="CL827">
        <v>0</v>
      </c>
      <c r="CM827">
        <v>0</v>
      </c>
      <c r="CN827">
        <v>0</v>
      </c>
      <c r="CO827">
        <v>0</v>
      </c>
      <c r="CP827">
        <v>0</v>
      </c>
      <c r="CQ827">
        <v>0</v>
      </c>
      <c r="CR827">
        <v>0</v>
      </c>
      <c r="CS827">
        <v>0</v>
      </c>
      <c r="CT827">
        <v>0</v>
      </c>
      <c r="CU827">
        <v>0</v>
      </c>
      <c r="CV827">
        <v>0</v>
      </c>
      <c r="CW827">
        <v>0</v>
      </c>
      <c r="CX827">
        <v>0</v>
      </c>
      <c r="CY827">
        <v>0</v>
      </c>
      <c r="CZ827">
        <v>0</v>
      </c>
      <c r="DA827">
        <v>0</v>
      </c>
      <c r="DB827">
        <v>0</v>
      </c>
      <c r="DC827">
        <v>0</v>
      </c>
      <c r="DD827">
        <v>0</v>
      </c>
      <c r="DE827">
        <v>0</v>
      </c>
      <c r="DF827">
        <v>0</v>
      </c>
      <c r="DG827">
        <v>0</v>
      </c>
      <c r="DH827">
        <v>0</v>
      </c>
      <c r="DI827">
        <v>0</v>
      </c>
      <c r="DJ827">
        <v>0</v>
      </c>
      <c r="DK827">
        <v>0</v>
      </c>
      <c r="DL827">
        <v>0</v>
      </c>
      <c r="DM827">
        <v>0</v>
      </c>
      <c r="DN827">
        <v>0</v>
      </c>
      <c r="DO827">
        <v>0</v>
      </c>
      <c r="DP827">
        <v>0</v>
      </c>
      <c r="DQ827">
        <v>0</v>
      </c>
      <c r="DR827">
        <v>0</v>
      </c>
      <c r="DS827">
        <v>0</v>
      </c>
      <c r="DT827">
        <v>0</v>
      </c>
      <c r="DU827">
        <v>0</v>
      </c>
    </row>
    <row r="828" spans="2:125">
      <c r="B828" s="136">
        <v>819</v>
      </c>
      <c r="C828" s="138">
        <v>1</v>
      </c>
      <c r="D828" s="474">
        <v>3099.6286873899635</v>
      </c>
      <c r="E828" s="127">
        <v>256.61977928452887</v>
      </c>
      <c r="F828" s="447">
        <v>0.43440277192268245</v>
      </c>
      <c r="G828" s="127">
        <v>125.13950911513915</v>
      </c>
      <c r="H828" s="132">
        <v>48.089179782819457</v>
      </c>
      <c r="I828" s="456"/>
      <c r="J828" s="45"/>
      <c r="K828" s="45">
        <v>480</v>
      </c>
      <c r="L828" s="463"/>
      <c r="M828" s="456">
        <v>38.627090454101563</v>
      </c>
      <c r="N828" s="457"/>
      <c r="O828" s="456"/>
      <c r="P828" s="46"/>
      <c r="Q828" s="463">
        <v>61.372653961181641</v>
      </c>
      <c r="R828" s="449"/>
      <c r="S828" s="463"/>
      <c r="T828" s="480"/>
      <c r="U828" s="468"/>
      <c r="V828" s="449"/>
      <c r="W828" s="45">
        <v>1609.575927734375</v>
      </c>
      <c r="X828" s="463">
        <v>134.17172241210937</v>
      </c>
      <c r="Y828" s="449"/>
      <c r="Z828" s="45"/>
      <c r="AA828" s="468">
        <v>0.42353435546509038</v>
      </c>
      <c r="AB828" s="456"/>
      <c r="AC828" s="46"/>
      <c r="AD828" s="46"/>
      <c r="AE828" s="46"/>
      <c r="AF828" s="46"/>
      <c r="AG828" s="46"/>
      <c r="AH828" s="46"/>
      <c r="AI828" s="457"/>
      <c r="AJ828" s="138"/>
      <c r="AK828" s="745"/>
      <c r="AL828" s="54"/>
      <c r="AM828" s="468"/>
      <c r="AN828" s="449"/>
      <c r="AO828" s="45"/>
      <c r="AP828" s="45"/>
      <c r="AQ828" s="45"/>
      <c r="AR828" s="45"/>
      <c r="AS828" s="45"/>
      <c r="AT828" s="45"/>
      <c r="AU828" s="463"/>
      <c r="AV828" s="449"/>
      <c r="AW828" s="45"/>
      <c r="AX828" s="45"/>
      <c r="AY828" s="45"/>
      <c r="AZ828" s="45"/>
      <c r="BA828" s="45"/>
      <c r="BB828" s="45"/>
      <c r="BC828" s="463"/>
      <c r="BD828" s="456"/>
      <c r="BE828" s="46"/>
      <c r="BF828" s="46"/>
      <c r="BG828" s="46"/>
      <c r="BH828" s="46"/>
      <c r="BI828" s="46"/>
      <c r="BJ828" s="457"/>
      <c r="BK828" s="449">
        <v>0</v>
      </c>
      <c r="BL828" s="45"/>
      <c r="BM828" s="45"/>
      <c r="BN828" s="45"/>
      <c r="BO828" s="45"/>
      <c r="BP828" s="45"/>
      <c r="BQ828" s="45"/>
      <c r="BR828" s="45"/>
      <c r="BS828" s="45"/>
      <c r="BT828" s="45"/>
      <c r="BU828" s="45"/>
      <c r="BV828" s="45"/>
      <c r="BW828" s="45"/>
      <c r="BX828" s="45"/>
      <c r="BY828" s="45"/>
      <c r="BZ828" s="45"/>
      <c r="CA828" s="45"/>
      <c r="CB828" s="45"/>
      <c r="CC828" s="45"/>
      <c r="CD828" s="463"/>
      <c r="CE828">
        <v>0</v>
      </c>
      <c r="CF828">
        <v>0</v>
      </c>
      <c r="CG828">
        <v>0</v>
      </c>
      <c r="CH828">
        <v>0</v>
      </c>
      <c r="CI828">
        <v>0</v>
      </c>
      <c r="CJ828">
        <v>0</v>
      </c>
      <c r="CK828">
        <v>0</v>
      </c>
      <c r="CL828">
        <v>0</v>
      </c>
      <c r="CM828">
        <v>0</v>
      </c>
      <c r="CN828">
        <v>0</v>
      </c>
      <c r="CO828">
        <v>0</v>
      </c>
      <c r="CP828">
        <v>0</v>
      </c>
      <c r="CQ828">
        <v>0</v>
      </c>
      <c r="CR828">
        <v>0</v>
      </c>
      <c r="CS828">
        <v>0</v>
      </c>
      <c r="CT828">
        <v>0</v>
      </c>
      <c r="CU828">
        <v>0</v>
      </c>
      <c r="CV828">
        <v>0</v>
      </c>
      <c r="CW828">
        <v>0</v>
      </c>
      <c r="CX828">
        <v>0</v>
      </c>
      <c r="CY828">
        <v>0</v>
      </c>
      <c r="CZ828">
        <v>0</v>
      </c>
      <c r="DA828">
        <v>0</v>
      </c>
      <c r="DB828">
        <v>0</v>
      </c>
      <c r="DC828">
        <v>0</v>
      </c>
      <c r="DD828">
        <v>0</v>
      </c>
      <c r="DE828">
        <v>0</v>
      </c>
      <c r="DF828">
        <v>0</v>
      </c>
      <c r="DG828">
        <v>0</v>
      </c>
      <c r="DH828">
        <v>0</v>
      </c>
      <c r="DI828">
        <v>0</v>
      </c>
      <c r="DJ828">
        <v>0</v>
      </c>
      <c r="DK828">
        <v>0</v>
      </c>
      <c r="DL828">
        <v>0</v>
      </c>
      <c r="DM828">
        <v>0</v>
      </c>
      <c r="DN828">
        <v>0</v>
      </c>
      <c r="DO828">
        <v>0</v>
      </c>
      <c r="DP828">
        <v>0</v>
      </c>
      <c r="DQ828">
        <v>0</v>
      </c>
      <c r="DR828">
        <v>0</v>
      </c>
      <c r="DS828">
        <v>0</v>
      </c>
      <c r="DT828">
        <v>0</v>
      </c>
      <c r="DU828">
        <v>0</v>
      </c>
    </row>
    <row r="829" spans="2:125">
      <c r="B829" s="136">
        <v>820</v>
      </c>
      <c r="C829" s="138">
        <v>1</v>
      </c>
      <c r="D829" s="474">
        <v>2526.1433202962025</v>
      </c>
      <c r="E829" s="127">
        <v>283.22285063977563</v>
      </c>
      <c r="F829" s="447">
        <v>0.35651129315072771</v>
      </c>
      <c r="G829" s="127">
        <v>81.599130578757467</v>
      </c>
      <c r="H829" s="132">
        <v>57.670002350213643</v>
      </c>
      <c r="I829" s="456"/>
      <c r="J829" s="45"/>
      <c r="K829" s="45">
        <v>370</v>
      </c>
      <c r="L829" s="463"/>
      <c r="M829" s="456">
        <v>24.959964752197266</v>
      </c>
      <c r="N829" s="457"/>
      <c r="O829" s="456"/>
      <c r="P829" s="46"/>
      <c r="Q829" s="463">
        <v>58.379360198974609</v>
      </c>
      <c r="R829" s="449"/>
      <c r="S829" s="463"/>
      <c r="T829" s="480"/>
      <c r="U829" s="468"/>
      <c r="V829" s="449"/>
      <c r="W829" s="45">
        <v>999.300537109375</v>
      </c>
      <c r="X829" s="463">
        <v>89.310310363769531</v>
      </c>
      <c r="Y829" s="449"/>
      <c r="Z829" s="45"/>
      <c r="AA829" s="468">
        <v>0.34379221042693076</v>
      </c>
      <c r="AB829" s="456"/>
      <c r="AC829" s="46"/>
      <c r="AD829" s="46"/>
      <c r="AE829" s="46"/>
      <c r="AF829" s="46"/>
      <c r="AG829" s="46"/>
      <c r="AH829" s="46"/>
      <c r="AI829" s="457"/>
      <c r="AJ829" s="138"/>
      <c r="AK829" s="745"/>
      <c r="AL829" s="54"/>
      <c r="AM829" s="468"/>
      <c r="AN829" s="449"/>
      <c r="AO829" s="45"/>
      <c r="AP829" s="45"/>
      <c r="AQ829" s="45"/>
      <c r="AR829" s="45"/>
      <c r="AS829" s="45"/>
      <c r="AT829" s="45"/>
      <c r="AU829" s="463"/>
      <c r="AV829" s="449"/>
      <c r="AW829" s="45"/>
      <c r="AX829" s="45"/>
      <c r="AY829" s="45"/>
      <c r="AZ829" s="45"/>
      <c r="BA829" s="45"/>
      <c r="BB829" s="45"/>
      <c r="BC829" s="463"/>
      <c r="BD829" s="456"/>
      <c r="BE829" s="46"/>
      <c r="BF829" s="46"/>
      <c r="BG829" s="46"/>
      <c r="BH829" s="46"/>
      <c r="BI829" s="46"/>
      <c r="BJ829" s="457"/>
      <c r="BK829" s="449">
        <v>0</v>
      </c>
      <c r="BL829" s="45"/>
      <c r="BM829" s="45"/>
      <c r="BN829" s="45"/>
      <c r="BO829" s="45"/>
      <c r="BP829" s="45"/>
      <c r="BQ829" s="45"/>
      <c r="BR829" s="45"/>
      <c r="BS829" s="45"/>
      <c r="BT829" s="45"/>
      <c r="BU829" s="45"/>
      <c r="BV829" s="45"/>
      <c r="BW829" s="45"/>
      <c r="BX829" s="45"/>
      <c r="BY829" s="45"/>
      <c r="BZ829" s="45"/>
      <c r="CA829" s="45"/>
      <c r="CB829" s="45"/>
      <c r="CC829" s="45"/>
      <c r="CD829" s="463"/>
      <c r="CE829">
        <v>0</v>
      </c>
      <c r="CF829">
        <v>0</v>
      </c>
      <c r="CG829">
        <v>0</v>
      </c>
      <c r="CH829">
        <v>0</v>
      </c>
      <c r="CI829">
        <v>0</v>
      </c>
      <c r="CJ829">
        <v>0</v>
      </c>
      <c r="CK829">
        <v>0</v>
      </c>
      <c r="CL829">
        <v>0</v>
      </c>
      <c r="CM829">
        <v>0</v>
      </c>
      <c r="CN829">
        <v>0</v>
      </c>
      <c r="CO829">
        <v>0</v>
      </c>
      <c r="CP829">
        <v>0</v>
      </c>
      <c r="CQ829">
        <v>0</v>
      </c>
      <c r="CR829">
        <v>0</v>
      </c>
      <c r="CS829">
        <v>0</v>
      </c>
      <c r="CT829">
        <v>0</v>
      </c>
      <c r="CU829">
        <v>0</v>
      </c>
      <c r="CV829">
        <v>0</v>
      </c>
      <c r="CW829">
        <v>0</v>
      </c>
      <c r="CX829">
        <v>0</v>
      </c>
      <c r="CY829">
        <v>0</v>
      </c>
      <c r="CZ829">
        <v>0</v>
      </c>
      <c r="DA829">
        <v>0</v>
      </c>
      <c r="DB829">
        <v>0</v>
      </c>
      <c r="DC829">
        <v>0</v>
      </c>
      <c r="DD829">
        <v>0</v>
      </c>
      <c r="DE829">
        <v>0</v>
      </c>
      <c r="DF829">
        <v>0</v>
      </c>
      <c r="DG829">
        <v>0</v>
      </c>
      <c r="DH829">
        <v>0</v>
      </c>
      <c r="DI829">
        <v>0</v>
      </c>
      <c r="DJ829">
        <v>0</v>
      </c>
      <c r="DK829">
        <v>0</v>
      </c>
      <c r="DL829">
        <v>0</v>
      </c>
      <c r="DM829">
        <v>0</v>
      </c>
      <c r="DN829">
        <v>0</v>
      </c>
      <c r="DO829">
        <v>0</v>
      </c>
      <c r="DP829">
        <v>0</v>
      </c>
      <c r="DQ829">
        <v>0</v>
      </c>
      <c r="DR829">
        <v>0</v>
      </c>
      <c r="DS829">
        <v>0</v>
      </c>
      <c r="DT829">
        <v>0</v>
      </c>
      <c r="DU829">
        <v>0</v>
      </c>
    </row>
    <row r="830" spans="2:125">
      <c r="B830" s="136">
        <v>821</v>
      </c>
      <c r="C830" s="138">
        <v>1</v>
      </c>
      <c r="D830" s="474">
        <v>3322.7883312175604</v>
      </c>
      <c r="E830" s="127">
        <v>171.27549025826286</v>
      </c>
      <c r="F830" s="447">
        <v>0.37522376084177395</v>
      </c>
      <c r="G830" s="127">
        <v>128.12898001833048</v>
      </c>
      <c r="H830" s="132">
        <v>52.056734554816586</v>
      </c>
      <c r="I830" s="456"/>
      <c r="J830" s="45"/>
      <c r="K830" s="45">
        <v>500</v>
      </c>
      <c r="L830" s="463"/>
      <c r="M830" s="456">
        <v>30.331775665283203</v>
      </c>
      <c r="N830" s="457"/>
      <c r="O830" s="456"/>
      <c r="P830" s="46"/>
      <c r="Q830" s="463">
        <v>65.791213989257813</v>
      </c>
      <c r="R830" s="449"/>
      <c r="S830" s="463"/>
      <c r="T830" s="480"/>
      <c r="U830" s="468"/>
      <c r="V830" s="449"/>
      <c r="W830" s="45">
        <v>1350.7637939453125</v>
      </c>
      <c r="X830" s="463">
        <v>115.40264892578125</v>
      </c>
      <c r="Y830" s="449"/>
      <c r="Z830" s="45"/>
      <c r="AA830" s="468">
        <v>0.36544147199976246</v>
      </c>
      <c r="AB830" s="456"/>
      <c r="AC830" s="46"/>
      <c r="AD830" s="46"/>
      <c r="AE830" s="46"/>
      <c r="AF830" s="46"/>
      <c r="AG830" s="46"/>
      <c r="AH830" s="46"/>
      <c r="AI830" s="457"/>
      <c r="AJ830" s="138"/>
      <c r="AK830" s="745"/>
      <c r="AL830" s="54"/>
      <c r="AM830" s="468"/>
      <c r="AN830" s="449"/>
      <c r="AO830" s="45"/>
      <c r="AP830" s="45"/>
      <c r="AQ830" s="45"/>
      <c r="AR830" s="45"/>
      <c r="AS830" s="45"/>
      <c r="AT830" s="45"/>
      <c r="AU830" s="463"/>
      <c r="AV830" s="449"/>
      <c r="AW830" s="45"/>
      <c r="AX830" s="45"/>
      <c r="AY830" s="45"/>
      <c r="AZ830" s="45"/>
      <c r="BA830" s="45"/>
      <c r="BB830" s="45"/>
      <c r="BC830" s="463"/>
      <c r="BD830" s="456"/>
      <c r="BE830" s="46"/>
      <c r="BF830" s="46"/>
      <c r="BG830" s="46"/>
      <c r="BH830" s="46"/>
      <c r="BI830" s="46"/>
      <c r="BJ830" s="457"/>
      <c r="BK830" s="449">
        <v>0</v>
      </c>
      <c r="BL830" s="45"/>
      <c r="BM830" s="45"/>
      <c r="BN830" s="45"/>
      <c r="BO830" s="45"/>
      <c r="BP830" s="45"/>
      <c r="BQ830" s="45"/>
      <c r="BR830" s="45"/>
      <c r="BS830" s="45"/>
      <c r="BT830" s="45"/>
      <c r="BU830" s="45"/>
      <c r="BV830" s="45"/>
      <c r="BW830" s="45"/>
      <c r="BX830" s="45"/>
      <c r="BY830" s="45"/>
      <c r="BZ830" s="45"/>
      <c r="CA830" s="45"/>
      <c r="CB830" s="45"/>
      <c r="CC830" s="45"/>
      <c r="CD830" s="463"/>
      <c r="CE830">
        <v>0</v>
      </c>
      <c r="CF830">
        <v>0</v>
      </c>
      <c r="CG830">
        <v>0</v>
      </c>
      <c r="CH830">
        <v>0</v>
      </c>
      <c r="CI830">
        <v>0</v>
      </c>
      <c r="CJ830">
        <v>0</v>
      </c>
      <c r="CK830">
        <v>0</v>
      </c>
      <c r="CL830">
        <v>0</v>
      </c>
      <c r="CM830">
        <v>0</v>
      </c>
      <c r="CN830">
        <v>0</v>
      </c>
      <c r="CO830">
        <v>0</v>
      </c>
      <c r="CP830">
        <v>0</v>
      </c>
      <c r="CQ830">
        <v>0</v>
      </c>
      <c r="CR830">
        <v>0</v>
      </c>
      <c r="CS830">
        <v>0</v>
      </c>
      <c r="CT830">
        <v>0</v>
      </c>
      <c r="CU830">
        <v>0</v>
      </c>
      <c r="CV830">
        <v>0</v>
      </c>
      <c r="CW830">
        <v>0</v>
      </c>
      <c r="CX830">
        <v>0</v>
      </c>
      <c r="CY830">
        <v>0</v>
      </c>
      <c r="CZ830">
        <v>0</v>
      </c>
      <c r="DA830">
        <v>0</v>
      </c>
      <c r="DB830">
        <v>0</v>
      </c>
      <c r="DC830">
        <v>0</v>
      </c>
      <c r="DD830">
        <v>0</v>
      </c>
      <c r="DE830">
        <v>0</v>
      </c>
      <c r="DF830">
        <v>0</v>
      </c>
      <c r="DG830">
        <v>0</v>
      </c>
      <c r="DH830">
        <v>0</v>
      </c>
      <c r="DI830">
        <v>0</v>
      </c>
      <c r="DJ830">
        <v>0</v>
      </c>
      <c r="DK830">
        <v>0</v>
      </c>
      <c r="DL830">
        <v>0</v>
      </c>
      <c r="DM830">
        <v>0</v>
      </c>
      <c r="DN830">
        <v>0</v>
      </c>
      <c r="DO830">
        <v>0</v>
      </c>
      <c r="DP830">
        <v>0</v>
      </c>
      <c r="DQ830">
        <v>0</v>
      </c>
      <c r="DR830">
        <v>0</v>
      </c>
      <c r="DS830">
        <v>0</v>
      </c>
      <c r="DT830">
        <v>0</v>
      </c>
      <c r="DU830">
        <v>0</v>
      </c>
    </row>
    <row r="831" spans="2:125">
      <c r="B831" s="136">
        <v>822</v>
      </c>
      <c r="C831" s="138">
        <v>1</v>
      </c>
      <c r="D831" s="474">
        <v>3786.891739106467</v>
      </c>
      <c r="E831" s="127">
        <v>233.57005782265313</v>
      </c>
      <c r="F831" s="447">
        <v>0.50244546884196617</v>
      </c>
      <c r="G831" s="127">
        <v>134.79603056664041</v>
      </c>
      <c r="H831" s="132">
        <v>58.681820058713754</v>
      </c>
      <c r="I831" s="456"/>
      <c r="J831" s="45"/>
      <c r="K831" s="45">
        <v>560</v>
      </c>
      <c r="L831" s="463"/>
      <c r="M831" s="456">
        <v>53.883632659912109</v>
      </c>
      <c r="N831" s="457"/>
      <c r="O831" s="456"/>
      <c r="P831" s="46"/>
      <c r="Q831" s="463">
        <v>74.980461120605469</v>
      </c>
      <c r="R831" s="449"/>
      <c r="S831" s="463"/>
      <c r="T831" s="480"/>
      <c r="U831" s="468"/>
      <c r="V831" s="449"/>
      <c r="W831" s="45">
        <v>2466.0908203125</v>
      </c>
      <c r="X831" s="463">
        <v>196.781005859375</v>
      </c>
      <c r="Y831" s="449"/>
      <c r="Z831" s="45"/>
      <c r="AA831" s="468">
        <v>0.49319014500608876</v>
      </c>
      <c r="AB831" s="456"/>
      <c r="AC831" s="46"/>
      <c r="AD831" s="46"/>
      <c r="AE831" s="46"/>
      <c r="AF831" s="46"/>
      <c r="AG831" s="46"/>
      <c r="AH831" s="46"/>
      <c r="AI831" s="457"/>
      <c r="AJ831" s="138"/>
      <c r="AK831" s="745"/>
      <c r="AL831" s="54"/>
      <c r="AM831" s="468"/>
      <c r="AN831" s="449"/>
      <c r="AO831" s="45"/>
      <c r="AP831" s="45"/>
      <c r="AQ831" s="45"/>
      <c r="AR831" s="45"/>
      <c r="AS831" s="45"/>
      <c r="AT831" s="45"/>
      <c r="AU831" s="463"/>
      <c r="AV831" s="449"/>
      <c r="AW831" s="45"/>
      <c r="AX831" s="45"/>
      <c r="AY831" s="45"/>
      <c r="AZ831" s="45"/>
      <c r="BA831" s="45"/>
      <c r="BB831" s="45"/>
      <c r="BC831" s="463"/>
      <c r="BD831" s="456"/>
      <c r="BE831" s="46"/>
      <c r="BF831" s="46"/>
      <c r="BG831" s="46"/>
      <c r="BH831" s="46"/>
      <c r="BI831" s="46"/>
      <c r="BJ831" s="457"/>
      <c r="BK831" s="449">
        <v>0</v>
      </c>
      <c r="BL831" s="45"/>
      <c r="BM831" s="45"/>
      <c r="BN831" s="45"/>
      <c r="BO831" s="45"/>
      <c r="BP831" s="45"/>
      <c r="BQ831" s="45"/>
      <c r="BR831" s="45"/>
      <c r="BS831" s="45"/>
      <c r="BT831" s="45"/>
      <c r="BU831" s="45"/>
      <c r="BV831" s="45"/>
      <c r="BW831" s="45"/>
      <c r="BX831" s="45"/>
      <c r="BY831" s="45"/>
      <c r="BZ831" s="45"/>
      <c r="CA831" s="45"/>
      <c r="CB831" s="45"/>
      <c r="CC831" s="45"/>
      <c r="CD831" s="463"/>
      <c r="CE831">
        <v>0</v>
      </c>
      <c r="CF831">
        <v>0</v>
      </c>
      <c r="CG831">
        <v>0</v>
      </c>
      <c r="CH831">
        <v>0</v>
      </c>
      <c r="CI831">
        <v>0</v>
      </c>
      <c r="CJ831">
        <v>0</v>
      </c>
      <c r="CK831">
        <v>0</v>
      </c>
      <c r="CL831">
        <v>0</v>
      </c>
      <c r="CM831">
        <v>0</v>
      </c>
      <c r="CN831">
        <v>0</v>
      </c>
      <c r="CO831">
        <v>0</v>
      </c>
      <c r="CP831">
        <v>0</v>
      </c>
      <c r="CQ831">
        <v>0</v>
      </c>
      <c r="CR831">
        <v>0</v>
      </c>
      <c r="CS831">
        <v>0</v>
      </c>
      <c r="CT831">
        <v>0</v>
      </c>
      <c r="CU831">
        <v>0</v>
      </c>
      <c r="CV831">
        <v>0</v>
      </c>
      <c r="CW831">
        <v>0</v>
      </c>
      <c r="CX831">
        <v>0</v>
      </c>
      <c r="CY831">
        <v>0</v>
      </c>
      <c r="CZ831">
        <v>0</v>
      </c>
      <c r="DA831">
        <v>0</v>
      </c>
      <c r="DB831">
        <v>0</v>
      </c>
      <c r="DC831">
        <v>0</v>
      </c>
      <c r="DD831">
        <v>0</v>
      </c>
      <c r="DE831">
        <v>0</v>
      </c>
      <c r="DF831">
        <v>0</v>
      </c>
      <c r="DG831">
        <v>0</v>
      </c>
      <c r="DH831">
        <v>0</v>
      </c>
      <c r="DI831">
        <v>0</v>
      </c>
      <c r="DJ831">
        <v>0</v>
      </c>
      <c r="DK831">
        <v>0</v>
      </c>
      <c r="DL831">
        <v>0</v>
      </c>
      <c r="DM831">
        <v>0</v>
      </c>
      <c r="DN831">
        <v>0</v>
      </c>
      <c r="DO831">
        <v>0</v>
      </c>
      <c r="DP831">
        <v>0</v>
      </c>
      <c r="DQ831">
        <v>0</v>
      </c>
      <c r="DR831">
        <v>0</v>
      </c>
      <c r="DS831">
        <v>0</v>
      </c>
      <c r="DT831">
        <v>0</v>
      </c>
      <c r="DU831">
        <v>0</v>
      </c>
    </row>
    <row r="832" spans="2:125">
      <c r="B832" s="136">
        <v>823</v>
      </c>
      <c r="C832" s="138">
        <v>1</v>
      </c>
      <c r="D832" s="474">
        <v>3501.4541138774457</v>
      </c>
      <c r="E832" s="127">
        <v>204.98492268572457</v>
      </c>
      <c r="F832" s="447">
        <v>0.41006035039710409</v>
      </c>
      <c r="G832" s="127">
        <v>130.68666901855568</v>
      </c>
      <c r="H832" s="132">
        <v>61.513352083004165</v>
      </c>
      <c r="I832" s="456"/>
      <c r="J832" s="45"/>
      <c r="K832" s="45">
        <v>540</v>
      </c>
      <c r="L832" s="463"/>
      <c r="M832" s="456">
        <v>33.368122100830078</v>
      </c>
      <c r="N832" s="457"/>
      <c r="O832" s="456"/>
      <c r="P832" s="46"/>
      <c r="Q832" s="463">
        <v>77.445289611816406</v>
      </c>
      <c r="R832" s="449"/>
      <c r="S832" s="463"/>
      <c r="T832" s="480"/>
      <c r="U832" s="468"/>
      <c r="V832" s="449"/>
      <c r="W832" s="45">
        <v>1619.9776611328125</v>
      </c>
      <c r="X832" s="463">
        <v>135.1773681640625</v>
      </c>
      <c r="Y832" s="449"/>
      <c r="Z832" s="45"/>
      <c r="AA832" s="468">
        <v>0.40057823070393023</v>
      </c>
      <c r="AB832" s="456"/>
      <c r="AC832" s="46"/>
      <c r="AD832" s="46"/>
      <c r="AE832" s="46"/>
      <c r="AF832" s="46"/>
      <c r="AG832" s="46"/>
      <c r="AH832" s="46"/>
      <c r="AI832" s="457"/>
      <c r="AJ832" s="138"/>
      <c r="AK832" s="745"/>
      <c r="AL832" s="54"/>
      <c r="AM832" s="468"/>
      <c r="AN832" s="449"/>
      <c r="AO832" s="45"/>
      <c r="AP832" s="45"/>
      <c r="AQ832" s="45"/>
      <c r="AR832" s="45"/>
      <c r="AS832" s="45"/>
      <c r="AT832" s="45"/>
      <c r="AU832" s="463"/>
      <c r="AV832" s="449"/>
      <c r="AW832" s="45"/>
      <c r="AX832" s="45"/>
      <c r="AY832" s="45"/>
      <c r="AZ832" s="45"/>
      <c r="BA832" s="45"/>
      <c r="BB832" s="45"/>
      <c r="BC832" s="463"/>
      <c r="BD832" s="456"/>
      <c r="BE832" s="46"/>
      <c r="BF832" s="46"/>
      <c r="BG832" s="46"/>
      <c r="BH832" s="46"/>
      <c r="BI832" s="46"/>
      <c r="BJ832" s="457"/>
      <c r="BK832" s="449">
        <v>0</v>
      </c>
      <c r="BL832" s="45"/>
      <c r="BM832" s="45"/>
      <c r="BN832" s="45"/>
      <c r="BO832" s="45"/>
      <c r="BP832" s="45"/>
      <c r="BQ832" s="45"/>
      <c r="BR832" s="45"/>
      <c r="BS832" s="45"/>
      <c r="BT832" s="45"/>
      <c r="BU832" s="45"/>
      <c r="BV832" s="45"/>
      <c r="BW832" s="45"/>
      <c r="BX832" s="45"/>
      <c r="BY832" s="45"/>
      <c r="BZ832" s="45"/>
      <c r="CA832" s="45"/>
      <c r="CB832" s="45"/>
      <c r="CC832" s="45"/>
      <c r="CD832" s="463"/>
      <c r="CE832">
        <v>0</v>
      </c>
      <c r="CF832">
        <v>0</v>
      </c>
      <c r="CG832">
        <v>0</v>
      </c>
      <c r="CH832">
        <v>0</v>
      </c>
      <c r="CI832">
        <v>0</v>
      </c>
      <c r="CJ832">
        <v>0</v>
      </c>
      <c r="CK832">
        <v>0</v>
      </c>
      <c r="CL832">
        <v>0</v>
      </c>
      <c r="CM832">
        <v>0</v>
      </c>
      <c r="CN832">
        <v>0</v>
      </c>
      <c r="CO832">
        <v>0</v>
      </c>
      <c r="CP832">
        <v>0</v>
      </c>
      <c r="CQ832">
        <v>0</v>
      </c>
      <c r="CR832">
        <v>0</v>
      </c>
      <c r="CS832">
        <v>0</v>
      </c>
      <c r="CT832">
        <v>0</v>
      </c>
      <c r="CU832">
        <v>0</v>
      </c>
      <c r="CV832">
        <v>0</v>
      </c>
      <c r="CW832">
        <v>0</v>
      </c>
      <c r="CX832">
        <v>0</v>
      </c>
      <c r="CY832">
        <v>0</v>
      </c>
      <c r="CZ832">
        <v>0</v>
      </c>
      <c r="DA832">
        <v>0</v>
      </c>
      <c r="DB832">
        <v>0</v>
      </c>
      <c r="DC832">
        <v>0</v>
      </c>
      <c r="DD832">
        <v>0</v>
      </c>
      <c r="DE832">
        <v>0</v>
      </c>
      <c r="DF832">
        <v>0</v>
      </c>
      <c r="DG832">
        <v>0</v>
      </c>
      <c r="DH832">
        <v>0</v>
      </c>
      <c r="DI832">
        <v>0</v>
      </c>
      <c r="DJ832">
        <v>0</v>
      </c>
      <c r="DK832">
        <v>0</v>
      </c>
      <c r="DL832">
        <v>0</v>
      </c>
      <c r="DM832">
        <v>0</v>
      </c>
      <c r="DN832">
        <v>0</v>
      </c>
      <c r="DO832">
        <v>0</v>
      </c>
      <c r="DP832">
        <v>0</v>
      </c>
      <c r="DQ832">
        <v>0</v>
      </c>
      <c r="DR832">
        <v>0</v>
      </c>
      <c r="DS832">
        <v>0</v>
      </c>
      <c r="DT832">
        <v>0</v>
      </c>
      <c r="DU832">
        <v>0</v>
      </c>
    </row>
    <row r="833" spans="2:125">
      <c r="B833" s="136">
        <v>824</v>
      </c>
      <c r="C833" s="138">
        <v>1</v>
      </c>
      <c r="D833" s="474">
        <v>2782.2948578750802</v>
      </c>
      <c r="E833" s="127">
        <v>302.87999851047152</v>
      </c>
      <c r="F833" s="447">
        <v>0.37689721290643108</v>
      </c>
      <c r="G833" s="127">
        <v>92.679030266553724</v>
      </c>
      <c r="H833" s="132">
        <v>51.583414387697403</v>
      </c>
      <c r="I833" s="456"/>
      <c r="J833" s="45"/>
      <c r="K833" s="45">
        <v>380</v>
      </c>
      <c r="L833" s="463"/>
      <c r="M833" s="456">
        <v>28.333019256591797</v>
      </c>
      <c r="N833" s="457"/>
      <c r="O833" s="456"/>
      <c r="P833" s="46"/>
      <c r="Q833" s="463">
        <v>55.089439392089844</v>
      </c>
      <c r="R833" s="449"/>
      <c r="S833" s="463"/>
      <c r="T833" s="480"/>
      <c r="U833" s="468"/>
      <c r="V833" s="449"/>
      <c r="W833" s="45">
        <v>1088.6934814453125</v>
      </c>
      <c r="X833" s="463">
        <v>95.868873596191406</v>
      </c>
      <c r="Y833" s="449"/>
      <c r="Z833" s="45"/>
      <c r="AA833" s="468">
        <v>0.36520257020311281</v>
      </c>
      <c r="AB833" s="456"/>
      <c r="AC833" s="46"/>
      <c r="AD833" s="46"/>
      <c r="AE833" s="46"/>
      <c r="AF833" s="46"/>
      <c r="AG833" s="46"/>
      <c r="AH833" s="46"/>
      <c r="AI833" s="457"/>
      <c r="AJ833" s="138"/>
      <c r="AK833" s="745"/>
      <c r="AL833" s="54"/>
      <c r="AM833" s="468"/>
      <c r="AN833" s="449"/>
      <c r="AO833" s="45"/>
      <c r="AP833" s="45"/>
      <c r="AQ833" s="45"/>
      <c r="AR833" s="45"/>
      <c r="AS833" s="45"/>
      <c r="AT833" s="45"/>
      <c r="AU833" s="463"/>
      <c r="AV833" s="449"/>
      <c r="AW833" s="45"/>
      <c r="AX833" s="45"/>
      <c r="AY833" s="45"/>
      <c r="AZ833" s="45"/>
      <c r="BA833" s="45"/>
      <c r="BB833" s="45"/>
      <c r="BC833" s="463"/>
      <c r="BD833" s="456"/>
      <c r="BE833" s="46"/>
      <c r="BF833" s="46"/>
      <c r="BG833" s="46"/>
      <c r="BH833" s="46"/>
      <c r="BI833" s="46"/>
      <c r="BJ833" s="457"/>
      <c r="BK833" s="449">
        <v>0</v>
      </c>
      <c r="BL833" s="45"/>
      <c r="BM833" s="45"/>
      <c r="BN833" s="45"/>
      <c r="BO833" s="45"/>
      <c r="BP833" s="45"/>
      <c r="BQ833" s="45"/>
      <c r="BR833" s="45"/>
      <c r="BS833" s="45"/>
      <c r="BT833" s="45"/>
      <c r="BU833" s="45"/>
      <c r="BV833" s="45"/>
      <c r="BW833" s="45"/>
      <c r="BX833" s="45"/>
      <c r="BY833" s="45"/>
      <c r="BZ833" s="45"/>
      <c r="CA833" s="45"/>
      <c r="CB833" s="45"/>
      <c r="CC833" s="45"/>
      <c r="CD833" s="463"/>
      <c r="CE833">
        <v>0</v>
      </c>
      <c r="CF833">
        <v>0</v>
      </c>
      <c r="CG833">
        <v>0</v>
      </c>
      <c r="CH833">
        <v>0</v>
      </c>
      <c r="CI833">
        <v>0</v>
      </c>
      <c r="CJ833">
        <v>0</v>
      </c>
      <c r="CK833">
        <v>0</v>
      </c>
      <c r="CL833">
        <v>0</v>
      </c>
      <c r="CM833">
        <v>0</v>
      </c>
      <c r="CN833">
        <v>0</v>
      </c>
      <c r="CO833">
        <v>0</v>
      </c>
      <c r="CP833">
        <v>0</v>
      </c>
      <c r="CQ833">
        <v>0</v>
      </c>
      <c r="CR833">
        <v>0</v>
      </c>
      <c r="CS833">
        <v>0</v>
      </c>
      <c r="CT833">
        <v>0</v>
      </c>
      <c r="CU833">
        <v>0</v>
      </c>
      <c r="CV833">
        <v>0</v>
      </c>
      <c r="CW833">
        <v>0</v>
      </c>
      <c r="CX833">
        <v>0</v>
      </c>
      <c r="CY833">
        <v>0</v>
      </c>
      <c r="CZ833">
        <v>0</v>
      </c>
      <c r="DA833">
        <v>0</v>
      </c>
      <c r="DB833">
        <v>0</v>
      </c>
      <c r="DC833">
        <v>0</v>
      </c>
      <c r="DD833">
        <v>0</v>
      </c>
      <c r="DE833">
        <v>0</v>
      </c>
      <c r="DF833">
        <v>0</v>
      </c>
      <c r="DG833">
        <v>0</v>
      </c>
      <c r="DH833">
        <v>0</v>
      </c>
      <c r="DI833">
        <v>0</v>
      </c>
      <c r="DJ833">
        <v>0</v>
      </c>
      <c r="DK833">
        <v>0</v>
      </c>
      <c r="DL833">
        <v>0</v>
      </c>
      <c r="DM833">
        <v>0</v>
      </c>
      <c r="DN833">
        <v>0</v>
      </c>
      <c r="DO833">
        <v>0</v>
      </c>
      <c r="DP833">
        <v>0</v>
      </c>
      <c r="DQ833">
        <v>0</v>
      </c>
      <c r="DR833">
        <v>0</v>
      </c>
      <c r="DS833">
        <v>0</v>
      </c>
      <c r="DT833">
        <v>0</v>
      </c>
      <c r="DU833">
        <v>0</v>
      </c>
    </row>
    <row r="834" spans="2:125">
      <c r="B834" s="136">
        <v>825</v>
      </c>
      <c r="C834" s="138">
        <v>1</v>
      </c>
      <c r="D834" s="474">
        <v>3659.1046673403557</v>
      </c>
      <c r="E834" s="127">
        <v>258.51516857393148</v>
      </c>
      <c r="F834" s="447">
        <v>0.37353979010552657</v>
      </c>
      <c r="G834" s="127">
        <v>122.57400021104286</v>
      </c>
      <c r="H834" s="132">
        <v>59.486328924839555</v>
      </c>
      <c r="I834" s="456"/>
      <c r="J834" s="45"/>
      <c r="K834" s="45">
        <v>510</v>
      </c>
      <c r="L834" s="463"/>
      <c r="M834" s="456">
        <v>28.728729248046875</v>
      </c>
      <c r="N834" s="457"/>
      <c r="O834" s="456"/>
      <c r="P834" s="46"/>
      <c r="Q834" s="463">
        <v>72.450271606445312</v>
      </c>
      <c r="R834" s="449"/>
      <c r="S834" s="463"/>
      <c r="T834" s="480"/>
      <c r="U834" s="468"/>
      <c r="V834" s="449"/>
      <c r="W834" s="45">
        <v>1358.242919921875</v>
      </c>
      <c r="X834" s="463">
        <v>115.98262786865234</v>
      </c>
      <c r="Y834" s="449"/>
      <c r="Z834" s="45"/>
      <c r="AA834" s="468">
        <v>0.36466581716566193</v>
      </c>
      <c r="AB834" s="456"/>
      <c r="AC834" s="46"/>
      <c r="AD834" s="46"/>
      <c r="AE834" s="46"/>
      <c r="AF834" s="46"/>
      <c r="AG834" s="46"/>
      <c r="AH834" s="46"/>
      <c r="AI834" s="457"/>
      <c r="AJ834" s="138"/>
      <c r="AK834" s="745"/>
      <c r="AL834" s="54"/>
      <c r="AM834" s="468"/>
      <c r="AN834" s="449"/>
      <c r="AO834" s="45"/>
      <c r="AP834" s="45"/>
      <c r="AQ834" s="45"/>
      <c r="AR834" s="45"/>
      <c r="AS834" s="45"/>
      <c r="AT834" s="45"/>
      <c r="AU834" s="463"/>
      <c r="AV834" s="449"/>
      <c r="AW834" s="45"/>
      <c r="AX834" s="45"/>
      <c r="AY834" s="45"/>
      <c r="AZ834" s="45"/>
      <c r="BA834" s="45"/>
      <c r="BB834" s="45"/>
      <c r="BC834" s="463"/>
      <c r="BD834" s="456"/>
      <c r="BE834" s="46"/>
      <c r="BF834" s="46"/>
      <c r="BG834" s="46"/>
      <c r="BH834" s="46"/>
      <c r="BI834" s="46"/>
      <c r="BJ834" s="457"/>
      <c r="BK834" s="449">
        <v>0</v>
      </c>
      <c r="BL834" s="45"/>
      <c r="BM834" s="45"/>
      <c r="BN834" s="45"/>
      <c r="BO834" s="45"/>
      <c r="BP834" s="45"/>
      <c r="BQ834" s="45"/>
      <c r="BR834" s="45"/>
      <c r="BS834" s="45"/>
      <c r="BT834" s="45"/>
      <c r="BU834" s="45"/>
      <c r="BV834" s="45"/>
      <c r="BW834" s="45"/>
      <c r="BX834" s="45"/>
      <c r="BY834" s="45"/>
      <c r="BZ834" s="45"/>
      <c r="CA834" s="45"/>
      <c r="CB834" s="45"/>
      <c r="CC834" s="45"/>
      <c r="CD834" s="463"/>
      <c r="CE834">
        <v>0</v>
      </c>
      <c r="CF834">
        <v>0</v>
      </c>
      <c r="CG834">
        <v>0</v>
      </c>
      <c r="CH834">
        <v>0</v>
      </c>
      <c r="CI834">
        <v>0</v>
      </c>
      <c r="CJ834">
        <v>0</v>
      </c>
      <c r="CK834">
        <v>0</v>
      </c>
      <c r="CL834">
        <v>0</v>
      </c>
      <c r="CM834">
        <v>0</v>
      </c>
      <c r="CN834">
        <v>0</v>
      </c>
      <c r="CO834">
        <v>0</v>
      </c>
      <c r="CP834">
        <v>0</v>
      </c>
      <c r="CQ834">
        <v>0</v>
      </c>
      <c r="CR834">
        <v>0</v>
      </c>
      <c r="CS834">
        <v>0</v>
      </c>
      <c r="CT834">
        <v>0</v>
      </c>
      <c r="CU834">
        <v>0</v>
      </c>
      <c r="CV834">
        <v>0</v>
      </c>
      <c r="CW834">
        <v>0</v>
      </c>
      <c r="CX834">
        <v>0</v>
      </c>
      <c r="CY834">
        <v>0</v>
      </c>
      <c r="CZ834">
        <v>0</v>
      </c>
      <c r="DA834">
        <v>0</v>
      </c>
      <c r="DB834">
        <v>0</v>
      </c>
      <c r="DC834">
        <v>0</v>
      </c>
      <c r="DD834">
        <v>0</v>
      </c>
      <c r="DE834">
        <v>0</v>
      </c>
      <c r="DF834">
        <v>0</v>
      </c>
      <c r="DG834">
        <v>0</v>
      </c>
      <c r="DH834">
        <v>0</v>
      </c>
      <c r="DI834">
        <v>0</v>
      </c>
      <c r="DJ834">
        <v>0</v>
      </c>
      <c r="DK834">
        <v>0</v>
      </c>
      <c r="DL834">
        <v>0</v>
      </c>
      <c r="DM834">
        <v>0</v>
      </c>
      <c r="DN834">
        <v>0</v>
      </c>
      <c r="DO834">
        <v>0</v>
      </c>
      <c r="DP834">
        <v>0</v>
      </c>
      <c r="DQ834">
        <v>0</v>
      </c>
      <c r="DR834">
        <v>0</v>
      </c>
      <c r="DS834">
        <v>0</v>
      </c>
      <c r="DT834">
        <v>0</v>
      </c>
      <c r="DU834">
        <v>0</v>
      </c>
    </row>
    <row r="835" spans="2:125">
      <c r="B835" s="136">
        <v>826</v>
      </c>
      <c r="C835" s="138">
        <v>1</v>
      </c>
      <c r="D835" s="474">
        <v>3072.8237513145459</v>
      </c>
      <c r="E835" s="127">
        <v>246.87545779437025</v>
      </c>
      <c r="F835" s="447">
        <v>0.53746660393039236</v>
      </c>
      <c r="G835" s="127">
        <v>120.07200770450315</v>
      </c>
      <c r="H835" s="132">
        <v>49.194739656119189</v>
      </c>
      <c r="I835" s="456"/>
      <c r="J835" s="45"/>
      <c r="K835" s="45">
        <v>490</v>
      </c>
      <c r="L835" s="463"/>
      <c r="M835" s="456">
        <v>67.737297058105469</v>
      </c>
      <c r="N835" s="457"/>
      <c r="O835" s="456"/>
      <c r="P835" s="46"/>
      <c r="Q835" s="463">
        <v>60.841911315917969</v>
      </c>
      <c r="R835" s="449"/>
      <c r="S835" s="463"/>
      <c r="T835" s="480"/>
      <c r="U835" s="468"/>
      <c r="V835" s="449"/>
      <c r="W835" s="45">
        <v>2689.11328125</v>
      </c>
      <c r="X835" s="463">
        <v>212.70103454589844</v>
      </c>
      <c r="Y835" s="449"/>
      <c r="Z835" s="45"/>
      <c r="AA835" s="468">
        <v>0.52583257120615479</v>
      </c>
      <c r="AB835" s="456"/>
      <c r="AC835" s="46"/>
      <c r="AD835" s="46"/>
      <c r="AE835" s="46"/>
      <c r="AF835" s="46"/>
      <c r="AG835" s="46"/>
      <c r="AH835" s="46"/>
      <c r="AI835" s="457"/>
      <c r="AJ835" s="138"/>
      <c r="AK835" s="745"/>
      <c r="AL835" s="54"/>
      <c r="AM835" s="468"/>
      <c r="AN835" s="449"/>
      <c r="AO835" s="45"/>
      <c r="AP835" s="45"/>
      <c r="AQ835" s="45"/>
      <c r="AR835" s="45"/>
      <c r="AS835" s="45"/>
      <c r="AT835" s="45"/>
      <c r="AU835" s="463"/>
      <c r="AV835" s="449"/>
      <c r="AW835" s="45"/>
      <c r="AX835" s="45"/>
      <c r="AY835" s="45"/>
      <c r="AZ835" s="45"/>
      <c r="BA835" s="45"/>
      <c r="BB835" s="45"/>
      <c r="BC835" s="463"/>
      <c r="BD835" s="456"/>
      <c r="BE835" s="46"/>
      <c r="BF835" s="46"/>
      <c r="BG835" s="46"/>
      <c r="BH835" s="46"/>
      <c r="BI835" s="46"/>
      <c r="BJ835" s="457"/>
      <c r="BK835" s="449">
        <v>0</v>
      </c>
      <c r="BL835" s="45"/>
      <c r="BM835" s="45"/>
      <c r="BN835" s="45"/>
      <c r="BO835" s="45"/>
      <c r="BP835" s="45"/>
      <c r="BQ835" s="45"/>
      <c r="BR835" s="45"/>
      <c r="BS835" s="45"/>
      <c r="BT835" s="45"/>
      <c r="BU835" s="45"/>
      <c r="BV835" s="45"/>
      <c r="BW835" s="45"/>
      <c r="BX835" s="45"/>
      <c r="BY835" s="45"/>
      <c r="BZ835" s="45"/>
      <c r="CA835" s="45"/>
      <c r="CB835" s="45"/>
      <c r="CC835" s="45"/>
      <c r="CD835" s="463"/>
      <c r="CE835">
        <v>0</v>
      </c>
      <c r="CF835">
        <v>0</v>
      </c>
      <c r="CG835">
        <v>0</v>
      </c>
      <c r="CH835">
        <v>0</v>
      </c>
      <c r="CI835">
        <v>0</v>
      </c>
      <c r="CJ835">
        <v>0</v>
      </c>
      <c r="CK835">
        <v>0</v>
      </c>
      <c r="CL835">
        <v>0</v>
      </c>
      <c r="CM835">
        <v>0</v>
      </c>
      <c r="CN835">
        <v>0</v>
      </c>
      <c r="CO835">
        <v>0</v>
      </c>
      <c r="CP835">
        <v>0</v>
      </c>
      <c r="CQ835">
        <v>0</v>
      </c>
      <c r="CR835">
        <v>0</v>
      </c>
      <c r="CS835">
        <v>0</v>
      </c>
      <c r="CT835">
        <v>0</v>
      </c>
      <c r="CU835">
        <v>0</v>
      </c>
      <c r="CV835">
        <v>0</v>
      </c>
      <c r="CW835">
        <v>0</v>
      </c>
      <c r="CX835">
        <v>0</v>
      </c>
      <c r="CY835">
        <v>0</v>
      </c>
      <c r="CZ835">
        <v>0</v>
      </c>
      <c r="DA835">
        <v>0</v>
      </c>
      <c r="DB835">
        <v>0</v>
      </c>
      <c r="DC835">
        <v>0</v>
      </c>
      <c r="DD835">
        <v>0</v>
      </c>
      <c r="DE835">
        <v>0</v>
      </c>
      <c r="DF835">
        <v>0</v>
      </c>
      <c r="DG835">
        <v>0</v>
      </c>
      <c r="DH835">
        <v>0</v>
      </c>
      <c r="DI835">
        <v>0</v>
      </c>
      <c r="DJ835">
        <v>0</v>
      </c>
      <c r="DK835">
        <v>0</v>
      </c>
      <c r="DL835">
        <v>0</v>
      </c>
      <c r="DM835">
        <v>0</v>
      </c>
      <c r="DN835">
        <v>0</v>
      </c>
      <c r="DO835">
        <v>0</v>
      </c>
      <c r="DP835">
        <v>0</v>
      </c>
      <c r="DQ835">
        <v>0</v>
      </c>
      <c r="DR835">
        <v>0</v>
      </c>
      <c r="DS835">
        <v>0</v>
      </c>
      <c r="DT835">
        <v>0</v>
      </c>
      <c r="DU835">
        <v>0</v>
      </c>
    </row>
    <row r="836" spans="2:125">
      <c r="B836" s="136">
        <v>827</v>
      </c>
      <c r="C836" s="138">
        <v>1</v>
      </c>
      <c r="D836" s="474">
        <v>4007.2907547980667</v>
      </c>
      <c r="E836" s="127">
        <v>285.92784828680664</v>
      </c>
      <c r="F836" s="447">
        <v>0.37803780071747711</v>
      </c>
      <c r="G836" s="127">
        <v>157.29479895053629</v>
      </c>
      <c r="H836" s="132">
        <v>63.084009239355893</v>
      </c>
      <c r="I836" s="456"/>
      <c r="J836" s="45"/>
      <c r="K836" s="45">
        <v>630</v>
      </c>
      <c r="L836" s="463"/>
      <c r="M836" s="456">
        <v>31.314847946166992</v>
      </c>
      <c r="N836" s="457"/>
      <c r="O836" s="456"/>
      <c r="P836" s="46"/>
      <c r="Q836" s="463">
        <v>87.314208984375</v>
      </c>
      <c r="R836" s="449"/>
      <c r="S836" s="463"/>
      <c r="T836" s="480"/>
      <c r="U836" s="468"/>
      <c r="V836" s="449"/>
      <c r="W836" s="45">
        <v>1663.0318603515625</v>
      </c>
      <c r="X836" s="463">
        <v>138.66020202636719</v>
      </c>
      <c r="Y836" s="449"/>
      <c r="Z836" s="45"/>
      <c r="AA836" s="468">
        <v>0.36991242175031247</v>
      </c>
      <c r="AB836" s="456"/>
      <c r="AC836" s="46"/>
      <c r="AD836" s="46"/>
      <c r="AE836" s="46"/>
      <c r="AF836" s="46"/>
      <c r="AG836" s="46"/>
      <c r="AH836" s="46"/>
      <c r="AI836" s="457"/>
      <c r="AJ836" s="138"/>
      <c r="AK836" s="745"/>
      <c r="AL836" s="54"/>
      <c r="AM836" s="468"/>
      <c r="AN836" s="449"/>
      <c r="AO836" s="45"/>
      <c r="AP836" s="45"/>
      <c r="AQ836" s="45"/>
      <c r="AR836" s="45"/>
      <c r="AS836" s="45"/>
      <c r="AT836" s="45"/>
      <c r="AU836" s="463"/>
      <c r="AV836" s="449"/>
      <c r="AW836" s="45"/>
      <c r="AX836" s="45"/>
      <c r="AY836" s="45"/>
      <c r="AZ836" s="45"/>
      <c r="BA836" s="45"/>
      <c r="BB836" s="45"/>
      <c r="BC836" s="463"/>
      <c r="BD836" s="456"/>
      <c r="BE836" s="46"/>
      <c r="BF836" s="46"/>
      <c r="BG836" s="46"/>
      <c r="BH836" s="46"/>
      <c r="BI836" s="46"/>
      <c r="BJ836" s="457"/>
      <c r="BK836" s="449">
        <v>0</v>
      </c>
      <c r="BL836" s="45"/>
      <c r="BM836" s="45"/>
      <c r="BN836" s="45"/>
      <c r="BO836" s="45"/>
      <c r="BP836" s="45"/>
      <c r="BQ836" s="45"/>
      <c r="BR836" s="45"/>
      <c r="BS836" s="45"/>
      <c r="BT836" s="45"/>
      <c r="BU836" s="45"/>
      <c r="BV836" s="45"/>
      <c r="BW836" s="45"/>
      <c r="BX836" s="45"/>
      <c r="BY836" s="45"/>
      <c r="BZ836" s="45"/>
      <c r="CA836" s="45"/>
      <c r="CB836" s="45"/>
      <c r="CC836" s="45"/>
      <c r="CD836" s="463"/>
      <c r="CE836">
        <v>0</v>
      </c>
      <c r="CF836">
        <v>0</v>
      </c>
      <c r="CG836">
        <v>0</v>
      </c>
      <c r="CH836">
        <v>0</v>
      </c>
      <c r="CI836">
        <v>0</v>
      </c>
      <c r="CJ836">
        <v>0</v>
      </c>
      <c r="CK836">
        <v>0</v>
      </c>
      <c r="CL836">
        <v>0</v>
      </c>
      <c r="CM836">
        <v>0</v>
      </c>
      <c r="CN836">
        <v>0</v>
      </c>
      <c r="CO836">
        <v>0</v>
      </c>
      <c r="CP836">
        <v>0</v>
      </c>
      <c r="CQ836">
        <v>0</v>
      </c>
      <c r="CR836">
        <v>0</v>
      </c>
      <c r="CS836">
        <v>0</v>
      </c>
      <c r="CT836">
        <v>0</v>
      </c>
      <c r="CU836">
        <v>0</v>
      </c>
      <c r="CV836">
        <v>0</v>
      </c>
      <c r="CW836">
        <v>0</v>
      </c>
      <c r="CX836">
        <v>0</v>
      </c>
      <c r="CY836">
        <v>0</v>
      </c>
      <c r="CZ836">
        <v>0</v>
      </c>
      <c r="DA836">
        <v>0</v>
      </c>
      <c r="DB836">
        <v>0</v>
      </c>
      <c r="DC836">
        <v>0</v>
      </c>
      <c r="DD836">
        <v>0</v>
      </c>
      <c r="DE836">
        <v>0</v>
      </c>
      <c r="DF836">
        <v>0</v>
      </c>
      <c r="DG836">
        <v>0</v>
      </c>
      <c r="DH836">
        <v>0</v>
      </c>
      <c r="DI836">
        <v>0</v>
      </c>
      <c r="DJ836">
        <v>0</v>
      </c>
      <c r="DK836">
        <v>0</v>
      </c>
      <c r="DL836">
        <v>0</v>
      </c>
      <c r="DM836">
        <v>0</v>
      </c>
      <c r="DN836">
        <v>0</v>
      </c>
      <c r="DO836">
        <v>0</v>
      </c>
      <c r="DP836">
        <v>0</v>
      </c>
      <c r="DQ836">
        <v>0</v>
      </c>
      <c r="DR836">
        <v>0</v>
      </c>
      <c r="DS836">
        <v>0</v>
      </c>
      <c r="DT836">
        <v>0</v>
      </c>
      <c r="DU836">
        <v>0</v>
      </c>
    </row>
    <row r="837" spans="2:125">
      <c r="B837" s="136">
        <v>828</v>
      </c>
      <c r="C837" s="138">
        <v>1</v>
      </c>
      <c r="D837" s="474">
        <v>2510.8854565777629</v>
      </c>
      <c r="E837" s="127">
        <v>192.89553391884317</v>
      </c>
      <c r="F837" s="447">
        <v>0.39976252500964549</v>
      </c>
      <c r="G837" s="127">
        <v>99.398929179135919</v>
      </c>
      <c r="H837" s="132">
        <v>42.319545135488966</v>
      </c>
      <c r="I837" s="456"/>
      <c r="J837" s="45"/>
      <c r="K837" s="45">
        <v>390</v>
      </c>
      <c r="L837" s="463"/>
      <c r="M837" s="456">
        <v>33.200412750244141</v>
      </c>
      <c r="N837" s="457"/>
      <c r="O837" s="456"/>
      <c r="P837" s="46"/>
      <c r="Q837" s="463">
        <v>49.715534210205078</v>
      </c>
      <c r="R837" s="449"/>
      <c r="S837" s="463"/>
      <c r="T837" s="480"/>
      <c r="U837" s="468"/>
      <c r="V837" s="449"/>
      <c r="W837" s="45">
        <v>1176.5543212890625</v>
      </c>
      <c r="X837" s="463">
        <v>102.26950836181641</v>
      </c>
      <c r="Y837" s="449"/>
      <c r="Z837" s="45"/>
      <c r="AA837" s="468">
        <v>0.38662164261146387</v>
      </c>
      <c r="AB837" s="456"/>
      <c r="AC837" s="46"/>
      <c r="AD837" s="46"/>
      <c r="AE837" s="46"/>
      <c r="AF837" s="46"/>
      <c r="AG837" s="46"/>
      <c r="AH837" s="46"/>
      <c r="AI837" s="457"/>
      <c r="AJ837" s="138"/>
      <c r="AK837" s="745"/>
      <c r="AL837" s="54"/>
      <c r="AM837" s="468"/>
      <c r="AN837" s="449"/>
      <c r="AO837" s="45"/>
      <c r="AP837" s="45"/>
      <c r="AQ837" s="45"/>
      <c r="AR837" s="45"/>
      <c r="AS837" s="45"/>
      <c r="AT837" s="45"/>
      <c r="AU837" s="463"/>
      <c r="AV837" s="449"/>
      <c r="AW837" s="45"/>
      <c r="AX837" s="45"/>
      <c r="AY837" s="45"/>
      <c r="AZ837" s="45"/>
      <c r="BA837" s="45"/>
      <c r="BB837" s="45"/>
      <c r="BC837" s="463"/>
      <c r="BD837" s="456"/>
      <c r="BE837" s="46"/>
      <c r="BF837" s="46"/>
      <c r="BG837" s="46"/>
      <c r="BH837" s="46"/>
      <c r="BI837" s="46"/>
      <c r="BJ837" s="457"/>
      <c r="BK837" s="449">
        <v>0</v>
      </c>
      <c r="BL837" s="45"/>
      <c r="BM837" s="45"/>
      <c r="BN837" s="45"/>
      <c r="BO837" s="45"/>
      <c r="BP837" s="45"/>
      <c r="BQ837" s="45"/>
      <c r="BR837" s="45"/>
      <c r="BS837" s="45"/>
      <c r="BT837" s="45"/>
      <c r="BU837" s="45"/>
      <c r="BV837" s="45"/>
      <c r="BW837" s="45"/>
      <c r="BX837" s="45"/>
      <c r="BY837" s="45"/>
      <c r="BZ837" s="45"/>
      <c r="CA837" s="45"/>
      <c r="CB837" s="45"/>
      <c r="CC837" s="45"/>
      <c r="CD837" s="463"/>
      <c r="CE837">
        <v>0</v>
      </c>
      <c r="CF837">
        <v>0</v>
      </c>
      <c r="CG837">
        <v>0</v>
      </c>
      <c r="CH837">
        <v>0</v>
      </c>
      <c r="CI837">
        <v>0</v>
      </c>
      <c r="CJ837">
        <v>0</v>
      </c>
      <c r="CK837">
        <v>0</v>
      </c>
      <c r="CL837">
        <v>0</v>
      </c>
      <c r="CM837">
        <v>0</v>
      </c>
      <c r="CN837">
        <v>0</v>
      </c>
      <c r="CO837">
        <v>0</v>
      </c>
      <c r="CP837">
        <v>0</v>
      </c>
      <c r="CQ837">
        <v>0</v>
      </c>
      <c r="CR837">
        <v>0</v>
      </c>
      <c r="CS837">
        <v>0</v>
      </c>
      <c r="CT837">
        <v>0</v>
      </c>
      <c r="CU837">
        <v>0</v>
      </c>
      <c r="CV837">
        <v>0</v>
      </c>
      <c r="CW837">
        <v>0</v>
      </c>
      <c r="CX837">
        <v>0</v>
      </c>
      <c r="CY837">
        <v>0</v>
      </c>
      <c r="CZ837">
        <v>0</v>
      </c>
      <c r="DA837">
        <v>0</v>
      </c>
      <c r="DB837">
        <v>0</v>
      </c>
      <c r="DC837">
        <v>0</v>
      </c>
      <c r="DD837">
        <v>0</v>
      </c>
      <c r="DE837">
        <v>0</v>
      </c>
      <c r="DF837">
        <v>0</v>
      </c>
      <c r="DG837">
        <v>0</v>
      </c>
      <c r="DH837">
        <v>0</v>
      </c>
      <c r="DI837">
        <v>0</v>
      </c>
      <c r="DJ837">
        <v>0</v>
      </c>
      <c r="DK837">
        <v>0</v>
      </c>
      <c r="DL837">
        <v>0</v>
      </c>
      <c r="DM837">
        <v>0</v>
      </c>
      <c r="DN837">
        <v>0</v>
      </c>
      <c r="DO837">
        <v>0</v>
      </c>
      <c r="DP837">
        <v>0</v>
      </c>
      <c r="DQ837">
        <v>0</v>
      </c>
      <c r="DR837">
        <v>0</v>
      </c>
      <c r="DS837">
        <v>0</v>
      </c>
      <c r="DT837">
        <v>0</v>
      </c>
      <c r="DU837">
        <v>0</v>
      </c>
    </row>
    <row r="838" spans="2:125">
      <c r="B838" s="136">
        <v>829</v>
      </c>
      <c r="C838" s="138">
        <v>1</v>
      </c>
      <c r="D838" s="474">
        <v>3335.4699107435808</v>
      </c>
      <c r="E838" s="127">
        <v>287.0683510733258</v>
      </c>
      <c r="F838" s="447">
        <v>0.37446869587701415</v>
      </c>
      <c r="G838" s="127">
        <v>103.63035407595659</v>
      </c>
      <c r="H838" s="132">
        <v>58.739679038280158</v>
      </c>
      <c r="I838" s="456"/>
      <c r="J838" s="45"/>
      <c r="K838" s="45">
        <v>450</v>
      </c>
      <c r="L838" s="463"/>
      <c r="M838" s="456">
        <v>27.521886825561523</v>
      </c>
      <c r="N838" s="457"/>
      <c r="O838" s="456"/>
      <c r="P838" s="46"/>
      <c r="Q838" s="463">
        <v>66.042304992675781</v>
      </c>
      <c r="R838" s="449"/>
      <c r="S838" s="463"/>
      <c r="T838" s="480"/>
      <c r="U838" s="468"/>
      <c r="V838" s="449"/>
      <c r="W838" s="45">
        <v>1222.7646484375</v>
      </c>
      <c r="X838" s="463">
        <v>105.87997436523437</v>
      </c>
      <c r="Y838" s="449"/>
      <c r="Z838" s="45"/>
      <c r="AA838" s="468">
        <v>0.36472812714548647</v>
      </c>
      <c r="AB838" s="456"/>
      <c r="AC838" s="46"/>
      <c r="AD838" s="46"/>
      <c r="AE838" s="46"/>
      <c r="AF838" s="46"/>
      <c r="AG838" s="46"/>
      <c r="AH838" s="46"/>
      <c r="AI838" s="457"/>
      <c r="AJ838" s="138"/>
      <c r="AK838" s="745"/>
      <c r="AL838" s="54"/>
      <c r="AM838" s="468"/>
      <c r="AN838" s="449"/>
      <c r="AO838" s="45"/>
      <c r="AP838" s="45"/>
      <c r="AQ838" s="45"/>
      <c r="AR838" s="45"/>
      <c r="AS838" s="45"/>
      <c r="AT838" s="45"/>
      <c r="AU838" s="463"/>
      <c r="AV838" s="449"/>
      <c r="AW838" s="45"/>
      <c r="AX838" s="45"/>
      <c r="AY838" s="45"/>
      <c r="AZ838" s="45"/>
      <c r="BA838" s="45"/>
      <c r="BB838" s="45"/>
      <c r="BC838" s="463"/>
      <c r="BD838" s="456"/>
      <c r="BE838" s="46"/>
      <c r="BF838" s="46"/>
      <c r="BG838" s="46"/>
      <c r="BH838" s="46"/>
      <c r="BI838" s="46"/>
      <c r="BJ838" s="457"/>
      <c r="BK838" s="449">
        <v>0</v>
      </c>
      <c r="BL838" s="45"/>
      <c r="BM838" s="45"/>
      <c r="BN838" s="45"/>
      <c r="BO838" s="45"/>
      <c r="BP838" s="45"/>
      <c r="BQ838" s="45"/>
      <c r="BR838" s="45"/>
      <c r="BS838" s="45"/>
      <c r="BT838" s="45"/>
      <c r="BU838" s="45"/>
      <c r="BV838" s="45"/>
      <c r="BW838" s="45"/>
      <c r="BX838" s="45"/>
      <c r="BY838" s="45"/>
      <c r="BZ838" s="45"/>
      <c r="CA838" s="45"/>
      <c r="CB838" s="45"/>
      <c r="CC838" s="45"/>
      <c r="CD838" s="463"/>
      <c r="CE838">
        <v>0</v>
      </c>
      <c r="CF838">
        <v>0</v>
      </c>
      <c r="CG838">
        <v>0</v>
      </c>
      <c r="CH838">
        <v>0</v>
      </c>
      <c r="CI838">
        <v>0</v>
      </c>
      <c r="CJ838">
        <v>0</v>
      </c>
      <c r="CK838">
        <v>0</v>
      </c>
      <c r="CL838">
        <v>0</v>
      </c>
      <c r="CM838">
        <v>0</v>
      </c>
      <c r="CN838">
        <v>0</v>
      </c>
      <c r="CO838">
        <v>0</v>
      </c>
      <c r="CP838">
        <v>0</v>
      </c>
      <c r="CQ838">
        <v>0</v>
      </c>
      <c r="CR838">
        <v>0</v>
      </c>
      <c r="CS838">
        <v>0</v>
      </c>
      <c r="CT838">
        <v>0</v>
      </c>
      <c r="CU838">
        <v>0</v>
      </c>
      <c r="CV838">
        <v>0</v>
      </c>
      <c r="CW838">
        <v>0</v>
      </c>
      <c r="CX838">
        <v>0</v>
      </c>
      <c r="CY838">
        <v>0</v>
      </c>
      <c r="CZ838">
        <v>0</v>
      </c>
      <c r="DA838">
        <v>0</v>
      </c>
      <c r="DB838">
        <v>0</v>
      </c>
      <c r="DC838">
        <v>0</v>
      </c>
      <c r="DD838">
        <v>0</v>
      </c>
      <c r="DE838">
        <v>0</v>
      </c>
      <c r="DF838">
        <v>0</v>
      </c>
      <c r="DG838">
        <v>0</v>
      </c>
      <c r="DH838">
        <v>0</v>
      </c>
      <c r="DI838">
        <v>0</v>
      </c>
      <c r="DJ838">
        <v>0</v>
      </c>
      <c r="DK838">
        <v>0</v>
      </c>
      <c r="DL838">
        <v>0</v>
      </c>
      <c r="DM838">
        <v>0</v>
      </c>
      <c r="DN838">
        <v>0</v>
      </c>
      <c r="DO838">
        <v>0</v>
      </c>
      <c r="DP838">
        <v>0</v>
      </c>
      <c r="DQ838">
        <v>0</v>
      </c>
      <c r="DR838">
        <v>0</v>
      </c>
      <c r="DS838">
        <v>0</v>
      </c>
      <c r="DT838">
        <v>0</v>
      </c>
      <c r="DU838">
        <v>0</v>
      </c>
    </row>
    <row r="839" spans="2:125">
      <c r="B839" s="136">
        <v>830</v>
      </c>
      <c r="C839" s="138">
        <v>1</v>
      </c>
      <c r="D839" s="474">
        <v>3113.2181637874064</v>
      </c>
      <c r="E839" s="127">
        <v>288.85210014271399</v>
      </c>
      <c r="F839" s="447">
        <v>0.37295633402123385</v>
      </c>
      <c r="G839" s="127">
        <v>99.572450808952837</v>
      </c>
      <c r="H839" s="132">
        <v>55.993934905561318</v>
      </c>
      <c r="I839" s="456"/>
      <c r="J839" s="45"/>
      <c r="K839" s="45">
        <v>420</v>
      </c>
      <c r="L839" s="463"/>
      <c r="M839" s="456">
        <v>27.55272102355957</v>
      </c>
      <c r="N839" s="457"/>
      <c r="O839" s="456"/>
      <c r="P839" s="46"/>
      <c r="Q839" s="463">
        <v>61.6417236328125</v>
      </c>
      <c r="R839" s="449"/>
      <c r="S839" s="463"/>
      <c r="T839" s="480"/>
      <c r="U839" s="468"/>
      <c r="V839" s="449"/>
      <c r="W839" s="45">
        <v>1161.7039794921875</v>
      </c>
      <c r="X839" s="463">
        <v>101.33527374267578</v>
      </c>
      <c r="Y839" s="449"/>
      <c r="Z839" s="45"/>
      <c r="AA839" s="468">
        <v>0.36253010464290586</v>
      </c>
      <c r="AB839" s="456"/>
      <c r="AC839" s="46"/>
      <c r="AD839" s="46"/>
      <c r="AE839" s="46"/>
      <c r="AF839" s="46"/>
      <c r="AG839" s="46"/>
      <c r="AH839" s="46"/>
      <c r="AI839" s="457"/>
      <c r="AJ839" s="138"/>
      <c r="AK839" s="745"/>
      <c r="AL839" s="54"/>
      <c r="AM839" s="468"/>
      <c r="AN839" s="449"/>
      <c r="AO839" s="45"/>
      <c r="AP839" s="45"/>
      <c r="AQ839" s="45"/>
      <c r="AR839" s="45"/>
      <c r="AS839" s="45"/>
      <c r="AT839" s="45"/>
      <c r="AU839" s="463"/>
      <c r="AV839" s="449"/>
      <c r="AW839" s="45"/>
      <c r="AX839" s="45"/>
      <c r="AY839" s="45"/>
      <c r="AZ839" s="45"/>
      <c r="BA839" s="45"/>
      <c r="BB839" s="45"/>
      <c r="BC839" s="463"/>
      <c r="BD839" s="456"/>
      <c r="BE839" s="46"/>
      <c r="BF839" s="46"/>
      <c r="BG839" s="46"/>
      <c r="BH839" s="46"/>
      <c r="BI839" s="46"/>
      <c r="BJ839" s="457"/>
      <c r="BK839" s="449">
        <v>0</v>
      </c>
      <c r="BL839" s="45"/>
      <c r="BM839" s="45"/>
      <c r="BN839" s="45"/>
      <c r="BO839" s="45"/>
      <c r="BP839" s="45"/>
      <c r="BQ839" s="45"/>
      <c r="BR839" s="45"/>
      <c r="BS839" s="45"/>
      <c r="BT839" s="45"/>
      <c r="BU839" s="45"/>
      <c r="BV839" s="45"/>
      <c r="BW839" s="45"/>
      <c r="BX839" s="45"/>
      <c r="BY839" s="45"/>
      <c r="BZ839" s="45"/>
      <c r="CA839" s="45"/>
      <c r="CB839" s="45"/>
      <c r="CC839" s="45"/>
      <c r="CD839" s="463"/>
      <c r="CE839">
        <v>0</v>
      </c>
      <c r="CF839">
        <v>0</v>
      </c>
      <c r="CG839">
        <v>0</v>
      </c>
      <c r="CH839">
        <v>0</v>
      </c>
      <c r="CI839">
        <v>0</v>
      </c>
      <c r="CJ839">
        <v>0</v>
      </c>
      <c r="CK839">
        <v>0</v>
      </c>
      <c r="CL839">
        <v>0</v>
      </c>
      <c r="CM839">
        <v>0</v>
      </c>
      <c r="CN839">
        <v>0</v>
      </c>
      <c r="CO839">
        <v>0</v>
      </c>
      <c r="CP839">
        <v>0</v>
      </c>
      <c r="CQ839">
        <v>0</v>
      </c>
      <c r="CR839">
        <v>0</v>
      </c>
      <c r="CS839">
        <v>0</v>
      </c>
      <c r="CT839">
        <v>0</v>
      </c>
      <c r="CU839">
        <v>0</v>
      </c>
      <c r="CV839">
        <v>0</v>
      </c>
      <c r="CW839">
        <v>0</v>
      </c>
      <c r="CX839">
        <v>0</v>
      </c>
      <c r="CY839">
        <v>0</v>
      </c>
      <c r="CZ839">
        <v>0</v>
      </c>
      <c r="DA839">
        <v>0</v>
      </c>
      <c r="DB839">
        <v>0</v>
      </c>
      <c r="DC839">
        <v>0</v>
      </c>
      <c r="DD839">
        <v>0</v>
      </c>
      <c r="DE839">
        <v>0</v>
      </c>
      <c r="DF839">
        <v>0</v>
      </c>
      <c r="DG839">
        <v>0</v>
      </c>
      <c r="DH839">
        <v>0</v>
      </c>
      <c r="DI839">
        <v>0</v>
      </c>
      <c r="DJ839">
        <v>0</v>
      </c>
      <c r="DK839">
        <v>0</v>
      </c>
      <c r="DL839">
        <v>0</v>
      </c>
      <c r="DM839">
        <v>0</v>
      </c>
      <c r="DN839">
        <v>0</v>
      </c>
      <c r="DO839">
        <v>0</v>
      </c>
      <c r="DP839">
        <v>0</v>
      </c>
      <c r="DQ839">
        <v>0</v>
      </c>
      <c r="DR839">
        <v>0</v>
      </c>
      <c r="DS839">
        <v>0</v>
      </c>
      <c r="DT839">
        <v>0</v>
      </c>
      <c r="DU839">
        <v>0</v>
      </c>
    </row>
    <row r="840" spans="2:125">
      <c r="B840" s="136">
        <v>831</v>
      </c>
      <c r="C840" s="138">
        <v>1</v>
      </c>
      <c r="D840" s="474">
        <v>4298.5374330508348</v>
      </c>
      <c r="E840" s="127">
        <v>260.32233695277358</v>
      </c>
      <c r="F840" s="447">
        <v>0.41437009741607173</v>
      </c>
      <c r="G840" s="127">
        <v>171.74044350793798</v>
      </c>
      <c r="H840" s="132">
        <v>64.136674094401513</v>
      </c>
      <c r="I840" s="456"/>
      <c r="J840" s="45"/>
      <c r="K840" s="45">
        <v>690</v>
      </c>
      <c r="L840" s="463"/>
      <c r="M840" s="456">
        <v>38.087154388427734</v>
      </c>
      <c r="N840" s="457"/>
      <c r="O840" s="456"/>
      <c r="P840" s="46"/>
      <c r="Q840" s="463">
        <v>90</v>
      </c>
      <c r="R840" s="449"/>
      <c r="S840" s="463"/>
      <c r="T840" s="480"/>
      <c r="U840" s="468"/>
      <c r="V840" s="449"/>
      <c r="W840" s="45">
        <v>2029.86181640625</v>
      </c>
      <c r="X840" s="463">
        <v>165.58088684082031</v>
      </c>
      <c r="Y840" s="449"/>
      <c r="Z840" s="45"/>
      <c r="AA840" s="468">
        <v>0.40662620720532716</v>
      </c>
      <c r="AB840" s="456"/>
      <c r="AC840" s="46"/>
      <c r="AD840" s="46"/>
      <c r="AE840" s="46"/>
      <c r="AF840" s="46"/>
      <c r="AG840" s="46"/>
      <c r="AH840" s="46"/>
      <c r="AI840" s="457"/>
      <c r="AJ840" s="138"/>
      <c r="AK840" s="745"/>
      <c r="AL840" s="54"/>
      <c r="AM840" s="468"/>
      <c r="AN840" s="449"/>
      <c r="AO840" s="45"/>
      <c r="AP840" s="45"/>
      <c r="AQ840" s="45"/>
      <c r="AR840" s="45"/>
      <c r="AS840" s="45"/>
      <c r="AT840" s="45"/>
      <c r="AU840" s="463"/>
      <c r="AV840" s="449"/>
      <c r="AW840" s="45"/>
      <c r="AX840" s="45"/>
      <c r="AY840" s="45"/>
      <c r="AZ840" s="45"/>
      <c r="BA840" s="45"/>
      <c r="BB840" s="45"/>
      <c r="BC840" s="463"/>
      <c r="BD840" s="456"/>
      <c r="BE840" s="46"/>
      <c r="BF840" s="46"/>
      <c r="BG840" s="46"/>
      <c r="BH840" s="46"/>
      <c r="BI840" s="46"/>
      <c r="BJ840" s="457"/>
      <c r="BK840" s="449">
        <v>0</v>
      </c>
      <c r="BL840" s="45"/>
      <c r="BM840" s="45"/>
      <c r="BN840" s="45"/>
      <c r="BO840" s="45"/>
      <c r="BP840" s="45"/>
      <c r="BQ840" s="45"/>
      <c r="BR840" s="45"/>
      <c r="BS840" s="45"/>
      <c r="BT840" s="45"/>
      <c r="BU840" s="45"/>
      <c r="BV840" s="45"/>
      <c r="BW840" s="45"/>
      <c r="BX840" s="45"/>
      <c r="BY840" s="45"/>
      <c r="BZ840" s="45"/>
      <c r="CA840" s="45"/>
      <c r="CB840" s="45"/>
      <c r="CC840" s="45"/>
      <c r="CD840" s="463"/>
      <c r="CE840">
        <v>0</v>
      </c>
      <c r="CF840">
        <v>0</v>
      </c>
      <c r="CG840">
        <v>0</v>
      </c>
      <c r="CH840">
        <v>0</v>
      </c>
      <c r="CI840">
        <v>0</v>
      </c>
      <c r="CJ840">
        <v>0</v>
      </c>
      <c r="CK840">
        <v>0</v>
      </c>
      <c r="CL840">
        <v>0</v>
      </c>
      <c r="CM840">
        <v>0</v>
      </c>
      <c r="CN840">
        <v>0</v>
      </c>
      <c r="CO840">
        <v>0</v>
      </c>
      <c r="CP840">
        <v>0</v>
      </c>
      <c r="CQ840">
        <v>0</v>
      </c>
      <c r="CR840">
        <v>0</v>
      </c>
      <c r="CS840">
        <v>0</v>
      </c>
      <c r="CT840">
        <v>0</v>
      </c>
      <c r="CU840">
        <v>0</v>
      </c>
      <c r="CV840">
        <v>0</v>
      </c>
      <c r="CW840">
        <v>0</v>
      </c>
      <c r="CX840">
        <v>0</v>
      </c>
      <c r="CY840">
        <v>0</v>
      </c>
      <c r="CZ840">
        <v>0</v>
      </c>
      <c r="DA840">
        <v>0</v>
      </c>
      <c r="DB840">
        <v>0</v>
      </c>
      <c r="DC840">
        <v>0</v>
      </c>
      <c r="DD840">
        <v>0</v>
      </c>
      <c r="DE840">
        <v>0</v>
      </c>
      <c r="DF840">
        <v>0</v>
      </c>
      <c r="DG840">
        <v>0</v>
      </c>
      <c r="DH840">
        <v>0</v>
      </c>
      <c r="DI840">
        <v>0</v>
      </c>
      <c r="DJ840">
        <v>0</v>
      </c>
      <c r="DK840">
        <v>0</v>
      </c>
      <c r="DL840">
        <v>0</v>
      </c>
      <c r="DM840">
        <v>0</v>
      </c>
      <c r="DN840">
        <v>0</v>
      </c>
      <c r="DO840">
        <v>0</v>
      </c>
      <c r="DP840">
        <v>0</v>
      </c>
      <c r="DQ840">
        <v>0</v>
      </c>
      <c r="DR840">
        <v>0</v>
      </c>
      <c r="DS840">
        <v>0</v>
      </c>
      <c r="DT840">
        <v>0</v>
      </c>
      <c r="DU840">
        <v>0</v>
      </c>
    </row>
    <row r="841" spans="2:125">
      <c r="B841" s="136">
        <v>832</v>
      </c>
      <c r="C841" s="138">
        <v>1</v>
      </c>
      <c r="D841" s="474">
        <v>3292.7752193478732</v>
      </c>
      <c r="E841" s="127">
        <v>250.90133027554896</v>
      </c>
      <c r="F841" s="447">
        <v>0.45363914884476797</v>
      </c>
      <c r="G841" s="127">
        <v>129.13865522636431</v>
      </c>
      <c r="H841" s="132">
        <v>51.124463366671378</v>
      </c>
      <c r="I841" s="456"/>
      <c r="J841" s="45"/>
      <c r="K841" s="45">
        <v>510</v>
      </c>
      <c r="L841" s="463"/>
      <c r="M841" s="456">
        <v>42.082294464111328</v>
      </c>
      <c r="N841" s="457"/>
      <c r="O841" s="456"/>
      <c r="P841" s="46"/>
      <c r="Q841" s="463">
        <v>65.196952819824219</v>
      </c>
      <c r="R841" s="449"/>
      <c r="S841" s="463"/>
      <c r="T841" s="480"/>
      <c r="U841" s="468"/>
      <c r="V841" s="449"/>
      <c r="W841" s="45">
        <v>1806.9915771484375</v>
      </c>
      <c r="X841" s="463">
        <v>148.62672424316406</v>
      </c>
      <c r="Y841" s="449"/>
      <c r="Z841" s="45"/>
      <c r="AA841" s="468">
        <v>0.44329140850200527</v>
      </c>
      <c r="AB841" s="456"/>
      <c r="AC841" s="46"/>
      <c r="AD841" s="46"/>
      <c r="AE841" s="46"/>
      <c r="AF841" s="46"/>
      <c r="AG841" s="46"/>
      <c r="AH841" s="46"/>
      <c r="AI841" s="457"/>
      <c r="AJ841" s="138"/>
      <c r="AK841" s="745"/>
      <c r="AL841" s="54"/>
      <c r="AM841" s="468"/>
      <c r="AN841" s="449"/>
      <c r="AO841" s="45"/>
      <c r="AP841" s="45"/>
      <c r="AQ841" s="45"/>
      <c r="AR841" s="45"/>
      <c r="AS841" s="45"/>
      <c r="AT841" s="45"/>
      <c r="AU841" s="463"/>
      <c r="AV841" s="449"/>
      <c r="AW841" s="45"/>
      <c r="AX841" s="45"/>
      <c r="AY841" s="45"/>
      <c r="AZ841" s="45"/>
      <c r="BA841" s="45"/>
      <c r="BB841" s="45"/>
      <c r="BC841" s="463"/>
      <c r="BD841" s="456"/>
      <c r="BE841" s="46"/>
      <c r="BF841" s="46"/>
      <c r="BG841" s="46"/>
      <c r="BH841" s="46"/>
      <c r="BI841" s="46"/>
      <c r="BJ841" s="457"/>
      <c r="BK841" s="449">
        <v>0</v>
      </c>
      <c r="BL841" s="45"/>
      <c r="BM841" s="45"/>
      <c r="BN841" s="45"/>
      <c r="BO841" s="45"/>
      <c r="BP841" s="45"/>
      <c r="BQ841" s="45"/>
      <c r="BR841" s="45"/>
      <c r="BS841" s="45"/>
      <c r="BT841" s="45"/>
      <c r="BU841" s="45"/>
      <c r="BV841" s="45"/>
      <c r="BW841" s="45"/>
      <c r="BX841" s="45"/>
      <c r="BY841" s="45"/>
      <c r="BZ841" s="45"/>
      <c r="CA841" s="45"/>
      <c r="CB841" s="45"/>
      <c r="CC841" s="45"/>
      <c r="CD841" s="463"/>
      <c r="CE841">
        <v>0</v>
      </c>
      <c r="CF841">
        <v>0</v>
      </c>
      <c r="CG841">
        <v>0</v>
      </c>
      <c r="CH841">
        <v>0</v>
      </c>
      <c r="CI841">
        <v>0</v>
      </c>
      <c r="CJ841">
        <v>0</v>
      </c>
      <c r="CK841">
        <v>0</v>
      </c>
      <c r="CL841">
        <v>0</v>
      </c>
      <c r="CM841">
        <v>0</v>
      </c>
      <c r="CN841">
        <v>0</v>
      </c>
      <c r="CO841">
        <v>0</v>
      </c>
      <c r="CP841">
        <v>0</v>
      </c>
      <c r="CQ841">
        <v>0</v>
      </c>
      <c r="CR841">
        <v>0</v>
      </c>
      <c r="CS841">
        <v>0</v>
      </c>
      <c r="CT841">
        <v>0</v>
      </c>
      <c r="CU841">
        <v>0</v>
      </c>
      <c r="CV841">
        <v>0</v>
      </c>
      <c r="CW841">
        <v>0</v>
      </c>
      <c r="CX841">
        <v>0</v>
      </c>
      <c r="CY841">
        <v>0</v>
      </c>
      <c r="CZ841">
        <v>0</v>
      </c>
      <c r="DA841">
        <v>0</v>
      </c>
      <c r="DB841">
        <v>0</v>
      </c>
      <c r="DC841">
        <v>0</v>
      </c>
      <c r="DD841">
        <v>0</v>
      </c>
      <c r="DE841">
        <v>0</v>
      </c>
      <c r="DF841">
        <v>0</v>
      </c>
      <c r="DG841">
        <v>0</v>
      </c>
      <c r="DH841">
        <v>0</v>
      </c>
      <c r="DI841">
        <v>0</v>
      </c>
      <c r="DJ841">
        <v>0</v>
      </c>
      <c r="DK841">
        <v>0</v>
      </c>
      <c r="DL841">
        <v>0</v>
      </c>
      <c r="DM841">
        <v>0</v>
      </c>
      <c r="DN841">
        <v>0</v>
      </c>
      <c r="DO841">
        <v>0</v>
      </c>
      <c r="DP841">
        <v>0</v>
      </c>
      <c r="DQ841">
        <v>0</v>
      </c>
      <c r="DR841">
        <v>0</v>
      </c>
      <c r="DS841">
        <v>0</v>
      </c>
      <c r="DT841">
        <v>0</v>
      </c>
      <c r="DU841">
        <v>0</v>
      </c>
    </row>
    <row r="842" spans="2:125">
      <c r="B842" s="136">
        <v>833</v>
      </c>
      <c r="C842" s="138">
        <v>1</v>
      </c>
      <c r="D842" s="474">
        <v>3192.1348184069984</v>
      </c>
      <c r="E842" s="127">
        <v>199.36328978213601</v>
      </c>
      <c r="F842" s="447">
        <v>0.3952102988770172</v>
      </c>
      <c r="G842" s="127">
        <v>120.49076918118625</v>
      </c>
      <c r="H842" s="132">
        <v>59.0555286029158</v>
      </c>
      <c r="I842" s="456"/>
      <c r="J842" s="45"/>
      <c r="K842" s="45">
        <v>500</v>
      </c>
      <c r="L842" s="463"/>
      <c r="M842" s="456">
        <v>31.049415588378906</v>
      </c>
      <c r="N842" s="457"/>
      <c r="O842" s="456"/>
      <c r="P842" s="46"/>
      <c r="Q842" s="463">
        <v>71.307586669921875</v>
      </c>
      <c r="R842" s="449"/>
      <c r="S842" s="463"/>
      <c r="T842" s="480"/>
      <c r="U842" s="468"/>
      <c r="V842" s="449"/>
      <c r="W842" s="45">
        <v>1441.0743408203125</v>
      </c>
      <c r="X842" s="463">
        <v>121.99241638183594</v>
      </c>
      <c r="Y842" s="449"/>
      <c r="Z842" s="45"/>
      <c r="AA842" s="468">
        <v>0.38490239903901446</v>
      </c>
      <c r="AB842" s="456"/>
      <c r="AC842" s="46"/>
      <c r="AD842" s="46"/>
      <c r="AE842" s="46"/>
      <c r="AF842" s="46"/>
      <c r="AG842" s="46"/>
      <c r="AH842" s="46"/>
      <c r="AI842" s="457"/>
      <c r="AJ842" s="138"/>
      <c r="AK842" s="745"/>
      <c r="AL842" s="54"/>
      <c r="AM842" s="468"/>
      <c r="AN842" s="449"/>
      <c r="AO842" s="45"/>
      <c r="AP842" s="45"/>
      <c r="AQ842" s="45"/>
      <c r="AR842" s="45"/>
      <c r="AS842" s="45"/>
      <c r="AT842" s="45"/>
      <c r="AU842" s="463"/>
      <c r="AV842" s="449"/>
      <c r="AW842" s="45"/>
      <c r="AX842" s="45"/>
      <c r="AY842" s="45"/>
      <c r="AZ842" s="45"/>
      <c r="BA842" s="45"/>
      <c r="BB842" s="45"/>
      <c r="BC842" s="463"/>
      <c r="BD842" s="456"/>
      <c r="BE842" s="46"/>
      <c r="BF842" s="46"/>
      <c r="BG842" s="46"/>
      <c r="BH842" s="46"/>
      <c r="BI842" s="46"/>
      <c r="BJ842" s="457"/>
      <c r="BK842" s="449">
        <v>0</v>
      </c>
      <c r="BL842" s="45"/>
      <c r="BM842" s="45"/>
      <c r="BN842" s="45"/>
      <c r="BO842" s="45"/>
      <c r="BP842" s="45"/>
      <c r="BQ842" s="45"/>
      <c r="BR842" s="45"/>
      <c r="BS842" s="45"/>
      <c r="BT842" s="45"/>
      <c r="BU842" s="45"/>
      <c r="BV842" s="45"/>
      <c r="BW842" s="45"/>
      <c r="BX842" s="45"/>
      <c r="BY842" s="45"/>
      <c r="BZ842" s="45"/>
      <c r="CA842" s="45"/>
      <c r="CB842" s="45"/>
      <c r="CC842" s="45"/>
      <c r="CD842" s="463"/>
      <c r="CE842">
        <v>0</v>
      </c>
      <c r="CF842">
        <v>0</v>
      </c>
      <c r="CG842">
        <v>0</v>
      </c>
      <c r="CH842">
        <v>0</v>
      </c>
      <c r="CI842">
        <v>0</v>
      </c>
      <c r="CJ842">
        <v>0</v>
      </c>
      <c r="CK842">
        <v>0</v>
      </c>
      <c r="CL842">
        <v>0</v>
      </c>
      <c r="CM842">
        <v>0</v>
      </c>
      <c r="CN842">
        <v>0</v>
      </c>
      <c r="CO842">
        <v>0</v>
      </c>
      <c r="CP842">
        <v>0</v>
      </c>
      <c r="CQ842">
        <v>0</v>
      </c>
      <c r="CR842">
        <v>0</v>
      </c>
      <c r="CS842">
        <v>0</v>
      </c>
      <c r="CT842">
        <v>0</v>
      </c>
      <c r="CU842">
        <v>0</v>
      </c>
      <c r="CV842">
        <v>0</v>
      </c>
      <c r="CW842">
        <v>0</v>
      </c>
      <c r="CX842">
        <v>0</v>
      </c>
      <c r="CY842">
        <v>0</v>
      </c>
      <c r="CZ842">
        <v>0</v>
      </c>
      <c r="DA842">
        <v>0</v>
      </c>
      <c r="DB842">
        <v>0</v>
      </c>
      <c r="DC842">
        <v>0</v>
      </c>
      <c r="DD842">
        <v>0</v>
      </c>
      <c r="DE842">
        <v>0</v>
      </c>
      <c r="DF842">
        <v>0</v>
      </c>
      <c r="DG842">
        <v>0</v>
      </c>
      <c r="DH842">
        <v>0</v>
      </c>
      <c r="DI842">
        <v>0</v>
      </c>
      <c r="DJ842">
        <v>0</v>
      </c>
      <c r="DK842">
        <v>0</v>
      </c>
      <c r="DL842">
        <v>0</v>
      </c>
      <c r="DM842">
        <v>0</v>
      </c>
      <c r="DN842">
        <v>0</v>
      </c>
      <c r="DO842">
        <v>0</v>
      </c>
      <c r="DP842">
        <v>0</v>
      </c>
      <c r="DQ842">
        <v>0</v>
      </c>
      <c r="DR842">
        <v>0</v>
      </c>
      <c r="DS842">
        <v>0</v>
      </c>
      <c r="DT842">
        <v>0</v>
      </c>
      <c r="DU842">
        <v>0</v>
      </c>
    </row>
    <row r="843" spans="2:125">
      <c r="B843" s="136">
        <v>834</v>
      </c>
      <c r="C843" s="138">
        <v>1</v>
      </c>
      <c r="D843" s="474">
        <v>3002.8022234976861</v>
      </c>
      <c r="E843" s="127">
        <v>245.09285756808072</v>
      </c>
      <c r="F843" s="447">
        <v>0.35928512315552297</v>
      </c>
      <c r="G843" s="127">
        <v>98.785084397148978</v>
      </c>
      <c r="H843" s="132">
        <v>54.186951652572198</v>
      </c>
      <c r="I843" s="456"/>
      <c r="J843" s="45"/>
      <c r="K843" s="45">
        <v>410</v>
      </c>
      <c r="L843" s="463"/>
      <c r="M843" s="456">
        <v>26.894317626953125</v>
      </c>
      <c r="N843" s="457"/>
      <c r="O843" s="456"/>
      <c r="P843" s="46"/>
      <c r="Q843" s="463">
        <v>59.455486297607422</v>
      </c>
      <c r="R843" s="449"/>
      <c r="S843" s="463"/>
      <c r="T843" s="480"/>
      <c r="U843" s="468"/>
      <c r="V843" s="449"/>
      <c r="W843" s="45">
        <v>1098.3865966796875</v>
      </c>
      <c r="X843" s="463">
        <v>96.68798828125</v>
      </c>
      <c r="Y843" s="449"/>
      <c r="Z843" s="45"/>
      <c r="AA843" s="468">
        <v>0.34856656759723503</v>
      </c>
      <c r="AB843" s="456"/>
      <c r="AC843" s="46"/>
      <c r="AD843" s="46"/>
      <c r="AE843" s="46"/>
      <c r="AF843" s="46"/>
      <c r="AG843" s="46"/>
      <c r="AH843" s="46"/>
      <c r="AI843" s="457"/>
      <c r="AJ843" s="138"/>
      <c r="AK843" s="745"/>
      <c r="AL843" s="54"/>
      <c r="AM843" s="468"/>
      <c r="AN843" s="449"/>
      <c r="AO843" s="45"/>
      <c r="AP843" s="45"/>
      <c r="AQ843" s="45"/>
      <c r="AR843" s="45"/>
      <c r="AS843" s="45"/>
      <c r="AT843" s="45"/>
      <c r="AU843" s="463"/>
      <c r="AV843" s="449"/>
      <c r="AW843" s="45"/>
      <c r="AX843" s="45"/>
      <c r="AY843" s="45"/>
      <c r="AZ843" s="45"/>
      <c r="BA843" s="45"/>
      <c r="BB843" s="45"/>
      <c r="BC843" s="463"/>
      <c r="BD843" s="456"/>
      <c r="BE843" s="46"/>
      <c r="BF843" s="46"/>
      <c r="BG843" s="46"/>
      <c r="BH843" s="46"/>
      <c r="BI843" s="46"/>
      <c r="BJ843" s="457"/>
      <c r="BK843" s="449">
        <v>0</v>
      </c>
      <c r="BL843" s="45"/>
      <c r="BM843" s="45"/>
      <c r="BN843" s="45"/>
      <c r="BO843" s="45"/>
      <c r="BP843" s="45"/>
      <c r="BQ843" s="45"/>
      <c r="BR843" s="45"/>
      <c r="BS843" s="45"/>
      <c r="BT843" s="45"/>
      <c r="BU843" s="45"/>
      <c r="BV843" s="45"/>
      <c r="BW843" s="45"/>
      <c r="BX843" s="45"/>
      <c r="BY843" s="45"/>
      <c r="BZ843" s="45"/>
      <c r="CA843" s="45"/>
      <c r="CB843" s="45"/>
      <c r="CC843" s="45"/>
      <c r="CD843" s="463"/>
      <c r="CE843">
        <v>0</v>
      </c>
      <c r="CF843">
        <v>0</v>
      </c>
      <c r="CG843">
        <v>0</v>
      </c>
      <c r="CH843">
        <v>0</v>
      </c>
      <c r="CI843">
        <v>0</v>
      </c>
      <c r="CJ843">
        <v>0</v>
      </c>
      <c r="CK843">
        <v>0</v>
      </c>
      <c r="CL843">
        <v>0</v>
      </c>
      <c r="CM843">
        <v>0</v>
      </c>
      <c r="CN843">
        <v>0</v>
      </c>
      <c r="CO843">
        <v>0</v>
      </c>
      <c r="CP843">
        <v>0</v>
      </c>
      <c r="CQ843">
        <v>0</v>
      </c>
      <c r="CR843">
        <v>0</v>
      </c>
      <c r="CS843">
        <v>0</v>
      </c>
      <c r="CT843">
        <v>0</v>
      </c>
      <c r="CU843">
        <v>0</v>
      </c>
      <c r="CV843">
        <v>0</v>
      </c>
      <c r="CW843">
        <v>0</v>
      </c>
      <c r="CX843">
        <v>0</v>
      </c>
      <c r="CY843">
        <v>0</v>
      </c>
      <c r="CZ843">
        <v>0</v>
      </c>
      <c r="DA843">
        <v>0</v>
      </c>
      <c r="DB843">
        <v>0</v>
      </c>
      <c r="DC843">
        <v>0</v>
      </c>
      <c r="DD843">
        <v>0</v>
      </c>
      <c r="DE843">
        <v>0</v>
      </c>
      <c r="DF843">
        <v>0</v>
      </c>
      <c r="DG843">
        <v>0</v>
      </c>
      <c r="DH843">
        <v>0</v>
      </c>
      <c r="DI843">
        <v>0</v>
      </c>
      <c r="DJ843">
        <v>0</v>
      </c>
      <c r="DK843">
        <v>0</v>
      </c>
      <c r="DL843">
        <v>0</v>
      </c>
      <c r="DM843">
        <v>0</v>
      </c>
      <c r="DN843">
        <v>0</v>
      </c>
      <c r="DO843">
        <v>0</v>
      </c>
      <c r="DP843">
        <v>0</v>
      </c>
      <c r="DQ843">
        <v>0</v>
      </c>
      <c r="DR843">
        <v>0</v>
      </c>
      <c r="DS843">
        <v>0</v>
      </c>
      <c r="DT843">
        <v>0</v>
      </c>
      <c r="DU843">
        <v>0</v>
      </c>
    </row>
    <row r="844" spans="2:125">
      <c r="B844" s="136">
        <v>835</v>
      </c>
      <c r="C844" s="138">
        <v>1</v>
      </c>
      <c r="D844" s="474">
        <v>3042.6933203696581</v>
      </c>
      <c r="E844" s="127">
        <v>267.03652440288613</v>
      </c>
      <c r="F844" s="447">
        <v>0.52788488826178803</v>
      </c>
      <c r="G844" s="127">
        <v>100.92498758938348</v>
      </c>
      <c r="H844" s="132">
        <v>54.349771496080578</v>
      </c>
      <c r="I844" s="456"/>
      <c r="J844" s="45"/>
      <c r="K844" s="45">
        <v>440</v>
      </c>
      <c r="L844" s="463"/>
      <c r="M844" s="456">
        <v>57.105728149414063</v>
      </c>
      <c r="N844" s="457"/>
      <c r="O844" s="456"/>
      <c r="P844" s="46"/>
      <c r="Q844" s="463">
        <v>60.245330810546875</v>
      </c>
      <c r="R844" s="449"/>
      <c r="S844" s="463"/>
      <c r="T844" s="480"/>
      <c r="U844" s="468"/>
      <c r="V844" s="449"/>
      <c r="W844" s="45">
        <v>2261.26416015625</v>
      </c>
      <c r="X844" s="463">
        <v>181.38250732421875</v>
      </c>
      <c r="Y844" s="449"/>
      <c r="Z844" s="45"/>
      <c r="AA844" s="468">
        <v>0.51619863071910677</v>
      </c>
      <c r="AB844" s="456"/>
      <c r="AC844" s="46"/>
      <c r="AD844" s="46"/>
      <c r="AE844" s="46"/>
      <c r="AF844" s="46"/>
      <c r="AG844" s="46"/>
      <c r="AH844" s="46"/>
      <c r="AI844" s="457"/>
      <c r="AJ844" s="138"/>
      <c r="AK844" s="745"/>
      <c r="AL844" s="54"/>
      <c r="AM844" s="468"/>
      <c r="AN844" s="449"/>
      <c r="AO844" s="45"/>
      <c r="AP844" s="45"/>
      <c r="AQ844" s="45"/>
      <c r="AR844" s="45"/>
      <c r="AS844" s="45"/>
      <c r="AT844" s="45"/>
      <c r="AU844" s="463"/>
      <c r="AV844" s="449"/>
      <c r="AW844" s="45"/>
      <c r="AX844" s="45"/>
      <c r="AY844" s="45"/>
      <c r="AZ844" s="45"/>
      <c r="BA844" s="45"/>
      <c r="BB844" s="45"/>
      <c r="BC844" s="463"/>
      <c r="BD844" s="456"/>
      <c r="BE844" s="46"/>
      <c r="BF844" s="46"/>
      <c r="BG844" s="46"/>
      <c r="BH844" s="46"/>
      <c r="BI844" s="46"/>
      <c r="BJ844" s="457"/>
      <c r="BK844" s="449">
        <v>0</v>
      </c>
      <c r="BL844" s="45"/>
      <c r="BM844" s="45"/>
      <c r="BN844" s="45"/>
      <c r="BO844" s="45"/>
      <c r="BP844" s="45"/>
      <c r="BQ844" s="45"/>
      <c r="BR844" s="45"/>
      <c r="BS844" s="45"/>
      <c r="BT844" s="45"/>
      <c r="BU844" s="45"/>
      <c r="BV844" s="45"/>
      <c r="BW844" s="45"/>
      <c r="BX844" s="45"/>
      <c r="BY844" s="45"/>
      <c r="BZ844" s="45"/>
      <c r="CA844" s="45"/>
      <c r="CB844" s="45"/>
      <c r="CC844" s="45"/>
      <c r="CD844" s="463"/>
      <c r="CE844">
        <v>0</v>
      </c>
      <c r="CF844">
        <v>0</v>
      </c>
      <c r="CG844">
        <v>0</v>
      </c>
      <c r="CH844">
        <v>0</v>
      </c>
      <c r="CI844">
        <v>0</v>
      </c>
      <c r="CJ844">
        <v>0</v>
      </c>
      <c r="CK844">
        <v>0</v>
      </c>
      <c r="CL844">
        <v>0</v>
      </c>
      <c r="CM844">
        <v>0</v>
      </c>
      <c r="CN844">
        <v>0</v>
      </c>
      <c r="CO844">
        <v>0</v>
      </c>
      <c r="CP844">
        <v>0</v>
      </c>
      <c r="CQ844">
        <v>0</v>
      </c>
      <c r="CR844">
        <v>0</v>
      </c>
      <c r="CS844">
        <v>0</v>
      </c>
      <c r="CT844">
        <v>0</v>
      </c>
      <c r="CU844">
        <v>0</v>
      </c>
      <c r="CV844">
        <v>0</v>
      </c>
      <c r="CW844">
        <v>0</v>
      </c>
      <c r="CX844">
        <v>0</v>
      </c>
      <c r="CY844">
        <v>0</v>
      </c>
      <c r="CZ844">
        <v>0</v>
      </c>
      <c r="DA844">
        <v>0</v>
      </c>
      <c r="DB844">
        <v>0</v>
      </c>
      <c r="DC844">
        <v>0</v>
      </c>
      <c r="DD844">
        <v>0</v>
      </c>
      <c r="DE844">
        <v>0</v>
      </c>
      <c r="DF844">
        <v>0</v>
      </c>
      <c r="DG844">
        <v>0</v>
      </c>
      <c r="DH844">
        <v>0</v>
      </c>
      <c r="DI844">
        <v>0</v>
      </c>
      <c r="DJ844">
        <v>0</v>
      </c>
      <c r="DK844">
        <v>0</v>
      </c>
      <c r="DL844">
        <v>0</v>
      </c>
      <c r="DM844">
        <v>0</v>
      </c>
      <c r="DN844">
        <v>0</v>
      </c>
      <c r="DO844">
        <v>0</v>
      </c>
      <c r="DP844">
        <v>0</v>
      </c>
      <c r="DQ844">
        <v>0</v>
      </c>
      <c r="DR844">
        <v>0</v>
      </c>
      <c r="DS844">
        <v>0</v>
      </c>
      <c r="DT844">
        <v>0</v>
      </c>
      <c r="DU844">
        <v>0</v>
      </c>
    </row>
    <row r="845" spans="2:125">
      <c r="B845" s="136">
        <v>836</v>
      </c>
      <c r="C845" s="138">
        <v>1</v>
      </c>
      <c r="D845" s="474">
        <v>3080.172226447763</v>
      </c>
      <c r="E845" s="127">
        <v>223.72760113499828</v>
      </c>
      <c r="F845" s="447">
        <v>0.38764467146343884</v>
      </c>
      <c r="G845" s="127">
        <v>103.74185038064238</v>
      </c>
      <c r="H845" s="132">
        <v>61.253950958037784</v>
      </c>
      <c r="I845" s="456"/>
      <c r="J845" s="45"/>
      <c r="K845" s="45">
        <v>460</v>
      </c>
      <c r="L845" s="463"/>
      <c r="M845" s="456">
        <v>28.415809631347656</v>
      </c>
      <c r="N845" s="457"/>
      <c r="O845" s="456"/>
      <c r="P845" s="46"/>
      <c r="Q845" s="463">
        <v>69.307037353515625</v>
      </c>
      <c r="R845" s="449"/>
      <c r="S845" s="463"/>
      <c r="T845" s="480"/>
      <c r="U845" s="468"/>
      <c r="V845" s="449"/>
      <c r="W845" s="45">
        <v>1295.31689453125</v>
      </c>
      <c r="X845" s="463">
        <v>111.20358276367187</v>
      </c>
      <c r="Y845" s="449"/>
      <c r="Z845" s="45"/>
      <c r="AA845" s="468">
        <v>0.37701120975372093</v>
      </c>
      <c r="AB845" s="456"/>
      <c r="AC845" s="46"/>
      <c r="AD845" s="46"/>
      <c r="AE845" s="46"/>
      <c r="AF845" s="46"/>
      <c r="AG845" s="46"/>
      <c r="AH845" s="46"/>
      <c r="AI845" s="457"/>
      <c r="AJ845" s="138"/>
      <c r="AK845" s="745"/>
      <c r="AL845" s="54"/>
      <c r="AM845" s="468"/>
      <c r="AN845" s="449"/>
      <c r="AO845" s="45"/>
      <c r="AP845" s="45"/>
      <c r="AQ845" s="45"/>
      <c r="AR845" s="45"/>
      <c r="AS845" s="45"/>
      <c r="AT845" s="45"/>
      <c r="AU845" s="463"/>
      <c r="AV845" s="449"/>
      <c r="AW845" s="45"/>
      <c r="AX845" s="45"/>
      <c r="AY845" s="45"/>
      <c r="AZ845" s="45"/>
      <c r="BA845" s="45"/>
      <c r="BB845" s="45"/>
      <c r="BC845" s="463"/>
      <c r="BD845" s="456"/>
      <c r="BE845" s="46"/>
      <c r="BF845" s="46"/>
      <c r="BG845" s="46"/>
      <c r="BH845" s="46"/>
      <c r="BI845" s="46"/>
      <c r="BJ845" s="457"/>
      <c r="BK845" s="449">
        <v>0</v>
      </c>
      <c r="BL845" s="45"/>
      <c r="BM845" s="45"/>
      <c r="BN845" s="45"/>
      <c r="BO845" s="45"/>
      <c r="BP845" s="45"/>
      <c r="BQ845" s="45"/>
      <c r="BR845" s="45"/>
      <c r="BS845" s="45"/>
      <c r="BT845" s="45"/>
      <c r="BU845" s="45"/>
      <c r="BV845" s="45"/>
      <c r="BW845" s="45"/>
      <c r="BX845" s="45"/>
      <c r="BY845" s="45"/>
      <c r="BZ845" s="45"/>
      <c r="CA845" s="45"/>
      <c r="CB845" s="45"/>
      <c r="CC845" s="45"/>
      <c r="CD845" s="463"/>
      <c r="CE845">
        <v>0</v>
      </c>
      <c r="CF845">
        <v>0</v>
      </c>
      <c r="CG845">
        <v>0</v>
      </c>
      <c r="CH845">
        <v>0</v>
      </c>
      <c r="CI845">
        <v>0</v>
      </c>
      <c r="CJ845">
        <v>0</v>
      </c>
      <c r="CK845">
        <v>0</v>
      </c>
      <c r="CL845">
        <v>0</v>
      </c>
      <c r="CM845">
        <v>0</v>
      </c>
      <c r="CN845">
        <v>0</v>
      </c>
      <c r="CO845">
        <v>0</v>
      </c>
      <c r="CP845">
        <v>0</v>
      </c>
      <c r="CQ845">
        <v>0</v>
      </c>
      <c r="CR845">
        <v>0</v>
      </c>
      <c r="CS845">
        <v>0</v>
      </c>
      <c r="CT845">
        <v>0</v>
      </c>
      <c r="CU845">
        <v>0</v>
      </c>
      <c r="CV845">
        <v>0</v>
      </c>
      <c r="CW845">
        <v>0</v>
      </c>
      <c r="CX845">
        <v>0</v>
      </c>
      <c r="CY845">
        <v>0</v>
      </c>
      <c r="CZ845">
        <v>0</v>
      </c>
      <c r="DA845">
        <v>0</v>
      </c>
      <c r="DB845">
        <v>0</v>
      </c>
      <c r="DC845">
        <v>0</v>
      </c>
      <c r="DD845">
        <v>0</v>
      </c>
      <c r="DE845">
        <v>0</v>
      </c>
      <c r="DF845">
        <v>0</v>
      </c>
      <c r="DG845">
        <v>0</v>
      </c>
      <c r="DH845">
        <v>0</v>
      </c>
      <c r="DI845">
        <v>0</v>
      </c>
      <c r="DJ845">
        <v>0</v>
      </c>
      <c r="DK845">
        <v>0</v>
      </c>
      <c r="DL845">
        <v>0</v>
      </c>
      <c r="DM845">
        <v>0</v>
      </c>
      <c r="DN845">
        <v>0</v>
      </c>
      <c r="DO845">
        <v>0</v>
      </c>
      <c r="DP845">
        <v>0</v>
      </c>
      <c r="DQ845">
        <v>0</v>
      </c>
      <c r="DR845">
        <v>0</v>
      </c>
      <c r="DS845">
        <v>0</v>
      </c>
      <c r="DT845">
        <v>0</v>
      </c>
      <c r="DU845">
        <v>0</v>
      </c>
    </row>
    <row r="846" spans="2:125">
      <c r="B846" s="136">
        <v>837</v>
      </c>
      <c r="C846" s="138">
        <v>1</v>
      </c>
      <c r="D846" s="474">
        <v>2872.3034512339937</v>
      </c>
      <c r="E846" s="127">
        <v>183.27131692618482</v>
      </c>
      <c r="F846" s="447">
        <v>0.47465195641688623</v>
      </c>
      <c r="G846" s="127">
        <v>94.62835478262285</v>
      </c>
      <c r="H846" s="132">
        <v>60.150659644643177</v>
      </c>
      <c r="I846" s="456"/>
      <c r="J846" s="45"/>
      <c r="K846" s="45">
        <v>430</v>
      </c>
      <c r="L846" s="463"/>
      <c r="M846" s="456">
        <v>39.629806518554687</v>
      </c>
      <c r="N846" s="457"/>
      <c r="O846" s="456"/>
      <c r="P846" s="46"/>
      <c r="Q846" s="463">
        <v>65.220672607421875</v>
      </c>
      <c r="R846" s="449"/>
      <c r="S846" s="463"/>
      <c r="T846" s="480"/>
      <c r="U846" s="468"/>
      <c r="V846" s="449"/>
      <c r="W846" s="45">
        <v>1681.709228515625</v>
      </c>
      <c r="X846" s="463">
        <v>139.2008056640625</v>
      </c>
      <c r="Y846" s="449"/>
      <c r="Z846" s="45"/>
      <c r="AA846" s="468">
        <v>0.46264311413613107</v>
      </c>
      <c r="AB846" s="456"/>
      <c r="AC846" s="46"/>
      <c r="AD846" s="46"/>
      <c r="AE846" s="46"/>
      <c r="AF846" s="46"/>
      <c r="AG846" s="46"/>
      <c r="AH846" s="46"/>
      <c r="AI846" s="457"/>
      <c r="AJ846" s="138"/>
      <c r="AK846" s="745"/>
      <c r="AL846" s="54"/>
      <c r="AM846" s="468"/>
      <c r="AN846" s="449"/>
      <c r="AO846" s="45"/>
      <c r="AP846" s="45"/>
      <c r="AQ846" s="45"/>
      <c r="AR846" s="45"/>
      <c r="AS846" s="45"/>
      <c r="AT846" s="45"/>
      <c r="AU846" s="463"/>
      <c r="AV846" s="449"/>
      <c r="AW846" s="45"/>
      <c r="AX846" s="45"/>
      <c r="AY846" s="45"/>
      <c r="AZ846" s="45"/>
      <c r="BA846" s="45"/>
      <c r="BB846" s="45"/>
      <c r="BC846" s="463"/>
      <c r="BD846" s="456"/>
      <c r="BE846" s="46"/>
      <c r="BF846" s="46"/>
      <c r="BG846" s="46"/>
      <c r="BH846" s="46"/>
      <c r="BI846" s="46"/>
      <c r="BJ846" s="457"/>
      <c r="BK846" s="449">
        <v>0</v>
      </c>
      <c r="BL846" s="45"/>
      <c r="BM846" s="45"/>
      <c r="BN846" s="45"/>
      <c r="BO846" s="45"/>
      <c r="BP846" s="45"/>
      <c r="BQ846" s="45"/>
      <c r="BR846" s="45"/>
      <c r="BS846" s="45"/>
      <c r="BT846" s="45"/>
      <c r="BU846" s="45"/>
      <c r="BV846" s="45"/>
      <c r="BW846" s="45"/>
      <c r="BX846" s="45"/>
      <c r="BY846" s="45"/>
      <c r="BZ846" s="45"/>
      <c r="CA846" s="45"/>
      <c r="CB846" s="45"/>
      <c r="CC846" s="45"/>
      <c r="CD846" s="463"/>
      <c r="CE846">
        <v>0</v>
      </c>
      <c r="CF846">
        <v>0</v>
      </c>
      <c r="CG846">
        <v>0</v>
      </c>
      <c r="CH846">
        <v>0</v>
      </c>
      <c r="CI846">
        <v>0</v>
      </c>
      <c r="CJ846">
        <v>0</v>
      </c>
      <c r="CK846">
        <v>0</v>
      </c>
      <c r="CL846">
        <v>0</v>
      </c>
      <c r="CM846">
        <v>0</v>
      </c>
      <c r="CN846">
        <v>0</v>
      </c>
      <c r="CO846">
        <v>0</v>
      </c>
      <c r="CP846">
        <v>0</v>
      </c>
      <c r="CQ846">
        <v>0</v>
      </c>
      <c r="CR846">
        <v>0</v>
      </c>
      <c r="CS846">
        <v>0</v>
      </c>
      <c r="CT846">
        <v>0</v>
      </c>
      <c r="CU846">
        <v>0</v>
      </c>
      <c r="CV846">
        <v>0</v>
      </c>
      <c r="CW846">
        <v>0</v>
      </c>
      <c r="CX846">
        <v>0</v>
      </c>
      <c r="CY846">
        <v>0</v>
      </c>
      <c r="CZ846">
        <v>0</v>
      </c>
      <c r="DA846">
        <v>0</v>
      </c>
      <c r="DB846">
        <v>0</v>
      </c>
      <c r="DC846">
        <v>0</v>
      </c>
      <c r="DD846">
        <v>0</v>
      </c>
      <c r="DE846">
        <v>0</v>
      </c>
      <c r="DF846">
        <v>0</v>
      </c>
      <c r="DG846">
        <v>0</v>
      </c>
      <c r="DH846">
        <v>0</v>
      </c>
      <c r="DI846">
        <v>0</v>
      </c>
      <c r="DJ846">
        <v>0</v>
      </c>
      <c r="DK846">
        <v>0</v>
      </c>
      <c r="DL846">
        <v>0</v>
      </c>
      <c r="DM846">
        <v>0</v>
      </c>
      <c r="DN846">
        <v>0</v>
      </c>
      <c r="DO846">
        <v>0</v>
      </c>
      <c r="DP846">
        <v>0</v>
      </c>
      <c r="DQ846">
        <v>0</v>
      </c>
      <c r="DR846">
        <v>0</v>
      </c>
      <c r="DS846">
        <v>0</v>
      </c>
      <c r="DT846">
        <v>0</v>
      </c>
      <c r="DU846">
        <v>0</v>
      </c>
    </row>
    <row r="847" spans="2:125">
      <c r="B847" s="136">
        <v>838</v>
      </c>
      <c r="C847" s="138">
        <v>1</v>
      </c>
      <c r="D847" s="474">
        <v>4599.8038764818575</v>
      </c>
      <c r="E847" s="127">
        <v>271.54724200514374</v>
      </c>
      <c r="F847" s="447">
        <v>0.42558524249056195</v>
      </c>
      <c r="G847" s="127">
        <v>165.62330824026907</v>
      </c>
      <c r="H847" s="132">
        <v>64.022920219992073</v>
      </c>
      <c r="I847" s="456"/>
      <c r="J847" s="45"/>
      <c r="K847" s="45">
        <v>670</v>
      </c>
      <c r="L847" s="463"/>
      <c r="M847" s="456">
        <v>38.999965667724609</v>
      </c>
      <c r="N847" s="457"/>
      <c r="O847" s="456"/>
      <c r="P847" s="46"/>
      <c r="Q847" s="463">
        <v>90</v>
      </c>
      <c r="R847" s="449"/>
      <c r="S847" s="463"/>
      <c r="T847" s="480"/>
      <c r="U847" s="468"/>
      <c r="V847" s="449"/>
      <c r="W847" s="45">
        <v>2063.888916015625</v>
      </c>
      <c r="X847" s="463">
        <v>167.98219299316406</v>
      </c>
      <c r="Y847" s="449"/>
      <c r="Z847" s="45"/>
      <c r="AA847" s="468">
        <v>0.41829977864260276</v>
      </c>
      <c r="AB847" s="456"/>
      <c r="AC847" s="46"/>
      <c r="AD847" s="46"/>
      <c r="AE847" s="46"/>
      <c r="AF847" s="46"/>
      <c r="AG847" s="46"/>
      <c r="AH847" s="46"/>
      <c r="AI847" s="457"/>
      <c r="AJ847" s="138"/>
      <c r="AK847" s="745"/>
      <c r="AL847" s="54"/>
      <c r="AM847" s="468"/>
      <c r="AN847" s="449"/>
      <c r="AO847" s="45"/>
      <c r="AP847" s="45"/>
      <c r="AQ847" s="45"/>
      <c r="AR847" s="45"/>
      <c r="AS847" s="45"/>
      <c r="AT847" s="45"/>
      <c r="AU847" s="463"/>
      <c r="AV847" s="449"/>
      <c r="AW847" s="45"/>
      <c r="AX847" s="45"/>
      <c r="AY847" s="45"/>
      <c r="AZ847" s="45"/>
      <c r="BA847" s="45"/>
      <c r="BB847" s="45"/>
      <c r="BC847" s="463"/>
      <c r="BD847" s="456"/>
      <c r="BE847" s="46"/>
      <c r="BF847" s="46"/>
      <c r="BG847" s="46"/>
      <c r="BH847" s="46"/>
      <c r="BI847" s="46"/>
      <c r="BJ847" s="457"/>
      <c r="BK847" s="449">
        <v>0</v>
      </c>
      <c r="BL847" s="45"/>
      <c r="BM847" s="45"/>
      <c r="BN847" s="45"/>
      <c r="BO847" s="45"/>
      <c r="BP847" s="45"/>
      <c r="BQ847" s="45"/>
      <c r="BR847" s="45"/>
      <c r="BS847" s="45"/>
      <c r="BT847" s="45"/>
      <c r="BU847" s="45"/>
      <c r="BV847" s="45"/>
      <c r="BW847" s="45"/>
      <c r="BX847" s="45"/>
      <c r="BY847" s="45"/>
      <c r="BZ847" s="45"/>
      <c r="CA847" s="45"/>
      <c r="CB847" s="45"/>
      <c r="CC847" s="45"/>
      <c r="CD847" s="463"/>
      <c r="CE847">
        <v>0</v>
      </c>
      <c r="CF847">
        <v>0</v>
      </c>
      <c r="CG847">
        <v>0</v>
      </c>
      <c r="CH847">
        <v>0</v>
      </c>
      <c r="CI847">
        <v>0</v>
      </c>
      <c r="CJ847">
        <v>0</v>
      </c>
      <c r="CK847">
        <v>0</v>
      </c>
      <c r="CL847">
        <v>0</v>
      </c>
      <c r="CM847">
        <v>0</v>
      </c>
      <c r="CN847">
        <v>0</v>
      </c>
      <c r="CO847">
        <v>0</v>
      </c>
      <c r="CP847">
        <v>0</v>
      </c>
      <c r="CQ847">
        <v>0</v>
      </c>
      <c r="CR847">
        <v>0</v>
      </c>
      <c r="CS847">
        <v>0</v>
      </c>
      <c r="CT847">
        <v>0</v>
      </c>
      <c r="CU847">
        <v>0</v>
      </c>
      <c r="CV847">
        <v>0</v>
      </c>
      <c r="CW847">
        <v>0</v>
      </c>
      <c r="CX847">
        <v>0</v>
      </c>
      <c r="CY847">
        <v>0</v>
      </c>
      <c r="CZ847">
        <v>0</v>
      </c>
      <c r="DA847">
        <v>0</v>
      </c>
      <c r="DB847">
        <v>0</v>
      </c>
      <c r="DC847">
        <v>0</v>
      </c>
      <c r="DD847">
        <v>0</v>
      </c>
      <c r="DE847">
        <v>0</v>
      </c>
      <c r="DF847">
        <v>0</v>
      </c>
      <c r="DG847">
        <v>0</v>
      </c>
      <c r="DH847">
        <v>0</v>
      </c>
      <c r="DI847">
        <v>0</v>
      </c>
      <c r="DJ847">
        <v>0</v>
      </c>
      <c r="DK847">
        <v>0</v>
      </c>
      <c r="DL847">
        <v>0</v>
      </c>
      <c r="DM847">
        <v>0</v>
      </c>
      <c r="DN847">
        <v>0</v>
      </c>
      <c r="DO847">
        <v>0</v>
      </c>
      <c r="DP847">
        <v>0</v>
      </c>
      <c r="DQ847">
        <v>0</v>
      </c>
      <c r="DR847">
        <v>0</v>
      </c>
      <c r="DS847">
        <v>0</v>
      </c>
      <c r="DT847">
        <v>0</v>
      </c>
      <c r="DU847">
        <v>0</v>
      </c>
    </row>
    <row r="848" spans="2:125">
      <c r="B848" s="136">
        <v>839</v>
      </c>
      <c r="C848" s="138">
        <v>1</v>
      </c>
      <c r="D848" s="474">
        <v>3937.2830621585963</v>
      </c>
      <c r="E848" s="127">
        <v>241.1468414307341</v>
      </c>
      <c r="F848" s="447">
        <v>0.47422077871667029</v>
      </c>
      <c r="G848" s="127">
        <v>146.668640708569</v>
      </c>
      <c r="H848" s="132">
        <v>58.309970539999945</v>
      </c>
      <c r="I848" s="456"/>
      <c r="J848" s="45"/>
      <c r="K848" s="45">
        <v>590</v>
      </c>
      <c r="L848" s="463"/>
      <c r="M848" s="456">
        <v>47.739429473876953</v>
      </c>
      <c r="N848" s="457"/>
      <c r="O848" s="456"/>
      <c r="P848" s="46"/>
      <c r="Q848" s="463">
        <v>77.958206176757812</v>
      </c>
      <c r="R848" s="449"/>
      <c r="S848" s="463"/>
      <c r="T848" s="480"/>
      <c r="U848" s="468"/>
      <c r="V848" s="449"/>
      <c r="W848" s="45">
        <v>2266.13037109375</v>
      </c>
      <c r="X848" s="463">
        <v>182.37246704101562</v>
      </c>
      <c r="Y848" s="449"/>
      <c r="Z848" s="45"/>
      <c r="AA848" s="468">
        <v>0.4654623493556308</v>
      </c>
      <c r="AB848" s="456"/>
      <c r="AC848" s="46"/>
      <c r="AD848" s="46"/>
      <c r="AE848" s="46"/>
      <c r="AF848" s="46"/>
      <c r="AG848" s="46"/>
      <c r="AH848" s="46"/>
      <c r="AI848" s="457"/>
      <c r="AJ848" s="138"/>
      <c r="AK848" s="745"/>
      <c r="AL848" s="54"/>
      <c r="AM848" s="468"/>
      <c r="AN848" s="449"/>
      <c r="AO848" s="45"/>
      <c r="AP848" s="45"/>
      <c r="AQ848" s="45"/>
      <c r="AR848" s="45"/>
      <c r="AS848" s="45"/>
      <c r="AT848" s="45"/>
      <c r="AU848" s="463"/>
      <c r="AV848" s="449"/>
      <c r="AW848" s="45"/>
      <c r="AX848" s="45"/>
      <c r="AY848" s="45"/>
      <c r="AZ848" s="45"/>
      <c r="BA848" s="45"/>
      <c r="BB848" s="45"/>
      <c r="BC848" s="463"/>
      <c r="BD848" s="456"/>
      <c r="BE848" s="46"/>
      <c r="BF848" s="46"/>
      <c r="BG848" s="46"/>
      <c r="BH848" s="46"/>
      <c r="BI848" s="46"/>
      <c r="BJ848" s="457"/>
      <c r="BK848" s="449">
        <v>0</v>
      </c>
      <c r="BL848" s="45"/>
      <c r="BM848" s="45"/>
      <c r="BN848" s="45"/>
      <c r="BO848" s="45"/>
      <c r="BP848" s="45"/>
      <c r="BQ848" s="45"/>
      <c r="BR848" s="45"/>
      <c r="BS848" s="45"/>
      <c r="BT848" s="45"/>
      <c r="BU848" s="45"/>
      <c r="BV848" s="45"/>
      <c r="BW848" s="45"/>
      <c r="BX848" s="45"/>
      <c r="BY848" s="45"/>
      <c r="BZ848" s="45"/>
      <c r="CA848" s="45"/>
      <c r="CB848" s="45"/>
      <c r="CC848" s="45"/>
      <c r="CD848" s="463"/>
      <c r="CE848">
        <v>0</v>
      </c>
      <c r="CF848">
        <v>0</v>
      </c>
      <c r="CG848">
        <v>0</v>
      </c>
      <c r="CH848">
        <v>0</v>
      </c>
      <c r="CI848">
        <v>0</v>
      </c>
      <c r="CJ848">
        <v>0</v>
      </c>
      <c r="CK848">
        <v>0</v>
      </c>
      <c r="CL848">
        <v>0</v>
      </c>
      <c r="CM848">
        <v>0</v>
      </c>
      <c r="CN848">
        <v>0</v>
      </c>
      <c r="CO848">
        <v>0</v>
      </c>
      <c r="CP848">
        <v>0</v>
      </c>
      <c r="CQ848">
        <v>0</v>
      </c>
      <c r="CR848">
        <v>0</v>
      </c>
      <c r="CS848">
        <v>0</v>
      </c>
      <c r="CT848">
        <v>0</v>
      </c>
      <c r="CU848">
        <v>0</v>
      </c>
      <c r="CV848">
        <v>0</v>
      </c>
      <c r="CW848">
        <v>0</v>
      </c>
      <c r="CX848">
        <v>0</v>
      </c>
      <c r="CY848">
        <v>0</v>
      </c>
      <c r="CZ848">
        <v>0</v>
      </c>
      <c r="DA848">
        <v>0</v>
      </c>
      <c r="DB848">
        <v>0</v>
      </c>
      <c r="DC848">
        <v>0</v>
      </c>
      <c r="DD848">
        <v>0</v>
      </c>
      <c r="DE848">
        <v>0</v>
      </c>
      <c r="DF848">
        <v>0</v>
      </c>
      <c r="DG848">
        <v>0</v>
      </c>
      <c r="DH848">
        <v>0</v>
      </c>
      <c r="DI848">
        <v>0</v>
      </c>
      <c r="DJ848">
        <v>0</v>
      </c>
      <c r="DK848">
        <v>0</v>
      </c>
      <c r="DL848">
        <v>0</v>
      </c>
      <c r="DM848">
        <v>0</v>
      </c>
      <c r="DN848">
        <v>0</v>
      </c>
      <c r="DO848">
        <v>0</v>
      </c>
      <c r="DP848">
        <v>0</v>
      </c>
      <c r="DQ848">
        <v>0</v>
      </c>
      <c r="DR848">
        <v>0</v>
      </c>
      <c r="DS848">
        <v>0</v>
      </c>
      <c r="DT848">
        <v>0</v>
      </c>
      <c r="DU848">
        <v>0</v>
      </c>
    </row>
    <row r="849" spans="2:125">
      <c r="B849" s="136">
        <v>840</v>
      </c>
      <c r="C849" s="138">
        <v>1</v>
      </c>
      <c r="D849" s="474">
        <v>3085.1743987674004</v>
      </c>
      <c r="E849" s="127">
        <v>260.67031372490612</v>
      </c>
      <c r="F849" s="447">
        <v>0.38142097912802486</v>
      </c>
      <c r="G849" s="127">
        <v>102.28244641544741</v>
      </c>
      <c r="H849" s="132">
        <v>61.660705064202034</v>
      </c>
      <c r="I849" s="456"/>
      <c r="J849" s="45"/>
      <c r="K849" s="45">
        <v>450</v>
      </c>
      <c r="L849" s="463"/>
      <c r="M849" s="456">
        <v>27.516233444213867</v>
      </c>
      <c r="N849" s="457"/>
      <c r="O849" s="456"/>
      <c r="P849" s="46"/>
      <c r="Q849" s="463">
        <v>69.433784484863281</v>
      </c>
      <c r="R849" s="449"/>
      <c r="S849" s="463"/>
      <c r="T849" s="480"/>
      <c r="U849" s="468"/>
      <c r="V849" s="449"/>
      <c r="W849" s="45">
        <v>1257.8109130859375</v>
      </c>
      <c r="X849" s="463">
        <v>108.45176696777344</v>
      </c>
      <c r="Y849" s="449"/>
      <c r="Z849" s="45"/>
      <c r="AA849" s="468">
        <v>0.37084510387261099</v>
      </c>
      <c r="AB849" s="456"/>
      <c r="AC849" s="46"/>
      <c r="AD849" s="46"/>
      <c r="AE849" s="46"/>
      <c r="AF849" s="46"/>
      <c r="AG849" s="46"/>
      <c r="AH849" s="46"/>
      <c r="AI849" s="457"/>
      <c r="AJ849" s="138"/>
      <c r="AK849" s="745"/>
      <c r="AL849" s="54"/>
      <c r="AM849" s="468"/>
      <c r="AN849" s="449"/>
      <c r="AO849" s="45"/>
      <c r="AP849" s="45"/>
      <c r="AQ849" s="45"/>
      <c r="AR849" s="45"/>
      <c r="AS849" s="45"/>
      <c r="AT849" s="45"/>
      <c r="AU849" s="463"/>
      <c r="AV849" s="449"/>
      <c r="AW849" s="45"/>
      <c r="AX849" s="45"/>
      <c r="AY849" s="45"/>
      <c r="AZ849" s="45"/>
      <c r="BA849" s="45"/>
      <c r="BB849" s="45"/>
      <c r="BC849" s="463"/>
      <c r="BD849" s="456"/>
      <c r="BE849" s="46"/>
      <c r="BF849" s="46"/>
      <c r="BG849" s="46"/>
      <c r="BH849" s="46"/>
      <c r="BI849" s="46"/>
      <c r="BJ849" s="457"/>
      <c r="BK849" s="449">
        <v>0</v>
      </c>
      <c r="BL849" s="45"/>
      <c r="BM849" s="45"/>
      <c r="BN849" s="45"/>
      <c r="BO849" s="45"/>
      <c r="BP849" s="45"/>
      <c r="BQ849" s="45"/>
      <c r="BR849" s="45"/>
      <c r="BS849" s="45"/>
      <c r="BT849" s="45"/>
      <c r="BU849" s="45"/>
      <c r="BV849" s="45"/>
      <c r="BW849" s="45"/>
      <c r="BX849" s="45"/>
      <c r="BY849" s="45"/>
      <c r="BZ849" s="45"/>
      <c r="CA849" s="45"/>
      <c r="CB849" s="45"/>
      <c r="CC849" s="45"/>
      <c r="CD849" s="463"/>
      <c r="CE849">
        <v>0</v>
      </c>
      <c r="CF849">
        <v>0</v>
      </c>
      <c r="CG849">
        <v>0</v>
      </c>
      <c r="CH849">
        <v>0</v>
      </c>
      <c r="CI849">
        <v>0</v>
      </c>
      <c r="CJ849">
        <v>0</v>
      </c>
      <c r="CK849">
        <v>0</v>
      </c>
      <c r="CL849">
        <v>0</v>
      </c>
      <c r="CM849">
        <v>0</v>
      </c>
      <c r="CN849">
        <v>0</v>
      </c>
      <c r="CO849">
        <v>0</v>
      </c>
      <c r="CP849">
        <v>0</v>
      </c>
      <c r="CQ849">
        <v>0</v>
      </c>
      <c r="CR849">
        <v>0</v>
      </c>
      <c r="CS849">
        <v>0</v>
      </c>
      <c r="CT849">
        <v>0</v>
      </c>
      <c r="CU849">
        <v>0</v>
      </c>
      <c r="CV849">
        <v>0</v>
      </c>
      <c r="CW849">
        <v>0</v>
      </c>
      <c r="CX849">
        <v>0</v>
      </c>
      <c r="CY849">
        <v>0</v>
      </c>
      <c r="CZ849">
        <v>0</v>
      </c>
      <c r="DA849">
        <v>0</v>
      </c>
      <c r="DB849">
        <v>0</v>
      </c>
      <c r="DC849">
        <v>0</v>
      </c>
      <c r="DD849">
        <v>0</v>
      </c>
      <c r="DE849">
        <v>0</v>
      </c>
      <c r="DF849">
        <v>0</v>
      </c>
      <c r="DG849">
        <v>0</v>
      </c>
      <c r="DH849">
        <v>0</v>
      </c>
      <c r="DI849">
        <v>0</v>
      </c>
      <c r="DJ849">
        <v>0</v>
      </c>
      <c r="DK849">
        <v>0</v>
      </c>
      <c r="DL849">
        <v>0</v>
      </c>
      <c r="DM849">
        <v>0</v>
      </c>
      <c r="DN849">
        <v>0</v>
      </c>
      <c r="DO849">
        <v>0</v>
      </c>
      <c r="DP849">
        <v>0</v>
      </c>
      <c r="DQ849">
        <v>0</v>
      </c>
      <c r="DR849">
        <v>0</v>
      </c>
      <c r="DS849">
        <v>0</v>
      </c>
      <c r="DT849">
        <v>0</v>
      </c>
      <c r="DU849">
        <v>0</v>
      </c>
    </row>
    <row r="850" spans="2:125">
      <c r="B850" s="136">
        <v>841</v>
      </c>
      <c r="C850" s="138">
        <v>1</v>
      </c>
      <c r="D850" s="474">
        <v>4085.9320116875124</v>
      </c>
      <c r="E850" s="127">
        <v>250.20143980611817</v>
      </c>
      <c r="F850" s="447">
        <v>0.38761476101752801</v>
      </c>
      <c r="G850" s="127">
        <v>126.65055647643676</v>
      </c>
      <c r="H850" s="132">
        <v>64.760124899355972</v>
      </c>
      <c r="I850" s="456"/>
      <c r="J850" s="45"/>
      <c r="K850" s="45">
        <v>540</v>
      </c>
      <c r="L850" s="463"/>
      <c r="M850" s="456">
        <v>29.906837463378906</v>
      </c>
      <c r="N850" s="457"/>
      <c r="O850" s="456"/>
      <c r="P850" s="46"/>
      <c r="Q850" s="463">
        <v>80.901458740234375</v>
      </c>
      <c r="R850" s="449"/>
      <c r="S850" s="463"/>
      <c r="T850" s="480"/>
      <c r="U850" s="468"/>
      <c r="V850" s="449"/>
      <c r="W850" s="45">
        <v>1502.856201171875</v>
      </c>
      <c r="X850" s="463">
        <v>126.65758514404297</v>
      </c>
      <c r="Y850" s="449"/>
      <c r="Z850" s="45"/>
      <c r="AA850" s="468">
        <v>0.37959889214681136</v>
      </c>
      <c r="AB850" s="456"/>
      <c r="AC850" s="46"/>
      <c r="AD850" s="46"/>
      <c r="AE850" s="46"/>
      <c r="AF850" s="46"/>
      <c r="AG850" s="46"/>
      <c r="AH850" s="46"/>
      <c r="AI850" s="457"/>
      <c r="AJ850" s="138"/>
      <c r="AK850" s="745"/>
      <c r="AL850" s="54"/>
      <c r="AM850" s="468"/>
      <c r="AN850" s="449"/>
      <c r="AO850" s="45"/>
      <c r="AP850" s="45"/>
      <c r="AQ850" s="45"/>
      <c r="AR850" s="45"/>
      <c r="AS850" s="45"/>
      <c r="AT850" s="45"/>
      <c r="AU850" s="463"/>
      <c r="AV850" s="449"/>
      <c r="AW850" s="45"/>
      <c r="AX850" s="45"/>
      <c r="AY850" s="45"/>
      <c r="AZ850" s="45"/>
      <c r="BA850" s="45"/>
      <c r="BB850" s="45"/>
      <c r="BC850" s="463"/>
      <c r="BD850" s="456"/>
      <c r="BE850" s="46"/>
      <c r="BF850" s="46"/>
      <c r="BG850" s="46"/>
      <c r="BH850" s="46"/>
      <c r="BI850" s="46"/>
      <c r="BJ850" s="457"/>
      <c r="BK850" s="449">
        <v>0</v>
      </c>
      <c r="BL850" s="45"/>
      <c r="BM850" s="45"/>
      <c r="BN850" s="45"/>
      <c r="BO850" s="45"/>
      <c r="BP850" s="45"/>
      <c r="BQ850" s="45"/>
      <c r="BR850" s="45"/>
      <c r="BS850" s="45"/>
      <c r="BT850" s="45"/>
      <c r="BU850" s="45"/>
      <c r="BV850" s="45"/>
      <c r="BW850" s="45"/>
      <c r="BX850" s="45"/>
      <c r="BY850" s="45"/>
      <c r="BZ850" s="45"/>
      <c r="CA850" s="45"/>
      <c r="CB850" s="45"/>
      <c r="CC850" s="45"/>
      <c r="CD850" s="463"/>
      <c r="CE850">
        <v>0</v>
      </c>
      <c r="CF850">
        <v>0</v>
      </c>
      <c r="CG850">
        <v>0</v>
      </c>
      <c r="CH850">
        <v>0</v>
      </c>
      <c r="CI850">
        <v>0</v>
      </c>
      <c r="CJ850">
        <v>0</v>
      </c>
      <c r="CK850">
        <v>0</v>
      </c>
      <c r="CL850">
        <v>0</v>
      </c>
      <c r="CM850">
        <v>0</v>
      </c>
      <c r="CN850">
        <v>0</v>
      </c>
      <c r="CO850">
        <v>0</v>
      </c>
      <c r="CP850">
        <v>0</v>
      </c>
      <c r="CQ850">
        <v>0</v>
      </c>
      <c r="CR850">
        <v>0</v>
      </c>
      <c r="CS850">
        <v>0</v>
      </c>
      <c r="CT850">
        <v>0</v>
      </c>
      <c r="CU850">
        <v>0</v>
      </c>
      <c r="CV850">
        <v>0</v>
      </c>
      <c r="CW850">
        <v>0</v>
      </c>
      <c r="CX850">
        <v>0</v>
      </c>
      <c r="CY850">
        <v>0</v>
      </c>
      <c r="CZ850">
        <v>0</v>
      </c>
      <c r="DA850">
        <v>0</v>
      </c>
      <c r="DB850">
        <v>0</v>
      </c>
      <c r="DC850">
        <v>0</v>
      </c>
      <c r="DD850">
        <v>0</v>
      </c>
      <c r="DE850">
        <v>0</v>
      </c>
      <c r="DF850">
        <v>0</v>
      </c>
      <c r="DG850">
        <v>0</v>
      </c>
      <c r="DH850">
        <v>0</v>
      </c>
      <c r="DI850">
        <v>0</v>
      </c>
      <c r="DJ850">
        <v>0</v>
      </c>
      <c r="DK850">
        <v>0</v>
      </c>
      <c r="DL850">
        <v>0</v>
      </c>
      <c r="DM850">
        <v>0</v>
      </c>
      <c r="DN850">
        <v>0</v>
      </c>
      <c r="DO850">
        <v>0</v>
      </c>
      <c r="DP850">
        <v>0</v>
      </c>
      <c r="DQ850">
        <v>0</v>
      </c>
      <c r="DR850">
        <v>0</v>
      </c>
      <c r="DS850">
        <v>0</v>
      </c>
      <c r="DT850">
        <v>0</v>
      </c>
      <c r="DU850">
        <v>0</v>
      </c>
    </row>
    <row r="851" spans="2:125">
      <c r="B851" s="136">
        <v>842</v>
      </c>
      <c r="C851" s="138">
        <v>1</v>
      </c>
      <c r="D851" s="474">
        <v>4473.7671842040418</v>
      </c>
      <c r="E851" s="127">
        <v>282.19683667757369</v>
      </c>
      <c r="F851" s="447">
        <v>0.39760399530992968</v>
      </c>
      <c r="G851" s="127">
        <v>163.61641597926547</v>
      </c>
      <c r="H851" s="132">
        <v>62.686716132914022</v>
      </c>
      <c r="I851" s="456"/>
      <c r="J851" s="45"/>
      <c r="K851" s="45">
        <v>650</v>
      </c>
      <c r="L851" s="463"/>
      <c r="M851" s="456">
        <v>34.427909851074219</v>
      </c>
      <c r="N851" s="457"/>
      <c r="O851" s="456"/>
      <c r="P851" s="46"/>
      <c r="Q851" s="463">
        <v>88.580589294433594</v>
      </c>
      <c r="R851" s="449"/>
      <c r="S851" s="463"/>
      <c r="T851" s="480"/>
      <c r="U851" s="468"/>
      <c r="V851" s="449"/>
      <c r="W851" s="45">
        <v>1829.0546875</v>
      </c>
      <c r="X851" s="463">
        <v>150.83126831054687</v>
      </c>
      <c r="Y851" s="449"/>
      <c r="Z851" s="45"/>
      <c r="AA851" s="468">
        <v>0.39023837288269525</v>
      </c>
      <c r="AB851" s="456"/>
      <c r="AC851" s="46"/>
      <c r="AD851" s="46"/>
      <c r="AE851" s="46"/>
      <c r="AF851" s="46"/>
      <c r="AG851" s="46"/>
      <c r="AH851" s="46"/>
      <c r="AI851" s="457"/>
      <c r="AJ851" s="138"/>
      <c r="AK851" s="745"/>
      <c r="AL851" s="54"/>
      <c r="AM851" s="468"/>
      <c r="AN851" s="449"/>
      <c r="AO851" s="45"/>
      <c r="AP851" s="45"/>
      <c r="AQ851" s="45"/>
      <c r="AR851" s="45"/>
      <c r="AS851" s="45"/>
      <c r="AT851" s="45"/>
      <c r="AU851" s="463"/>
      <c r="AV851" s="449"/>
      <c r="AW851" s="45"/>
      <c r="AX851" s="45"/>
      <c r="AY851" s="45"/>
      <c r="AZ851" s="45"/>
      <c r="BA851" s="45"/>
      <c r="BB851" s="45"/>
      <c r="BC851" s="463"/>
      <c r="BD851" s="456"/>
      <c r="BE851" s="46"/>
      <c r="BF851" s="46"/>
      <c r="BG851" s="46"/>
      <c r="BH851" s="46"/>
      <c r="BI851" s="46"/>
      <c r="BJ851" s="457"/>
      <c r="BK851" s="449">
        <v>0</v>
      </c>
      <c r="BL851" s="45"/>
      <c r="BM851" s="45"/>
      <c r="BN851" s="45"/>
      <c r="BO851" s="45"/>
      <c r="BP851" s="45"/>
      <c r="BQ851" s="45"/>
      <c r="BR851" s="45"/>
      <c r="BS851" s="45"/>
      <c r="BT851" s="45"/>
      <c r="BU851" s="45"/>
      <c r="BV851" s="45"/>
      <c r="BW851" s="45"/>
      <c r="BX851" s="45"/>
      <c r="BY851" s="45"/>
      <c r="BZ851" s="45"/>
      <c r="CA851" s="45"/>
      <c r="CB851" s="45"/>
      <c r="CC851" s="45"/>
      <c r="CD851" s="463"/>
      <c r="CE851">
        <v>0</v>
      </c>
      <c r="CF851">
        <v>0</v>
      </c>
      <c r="CG851">
        <v>0</v>
      </c>
      <c r="CH851">
        <v>0</v>
      </c>
      <c r="CI851">
        <v>0</v>
      </c>
      <c r="CJ851">
        <v>0</v>
      </c>
      <c r="CK851">
        <v>0</v>
      </c>
      <c r="CL851">
        <v>0</v>
      </c>
      <c r="CM851">
        <v>0</v>
      </c>
      <c r="CN851">
        <v>0</v>
      </c>
      <c r="CO851">
        <v>0</v>
      </c>
      <c r="CP851">
        <v>0</v>
      </c>
      <c r="CQ851">
        <v>0</v>
      </c>
      <c r="CR851">
        <v>0</v>
      </c>
      <c r="CS851">
        <v>0</v>
      </c>
      <c r="CT851">
        <v>0</v>
      </c>
      <c r="CU851">
        <v>0</v>
      </c>
      <c r="CV851">
        <v>0</v>
      </c>
      <c r="CW851">
        <v>0</v>
      </c>
      <c r="CX851">
        <v>0</v>
      </c>
      <c r="CY851">
        <v>0</v>
      </c>
      <c r="CZ851">
        <v>0</v>
      </c>
      <c r="DA851">
        <v>0</v>
      </c>
      <c r="DB851">
        <v>0</v>
      </c>
      <c r="DC851">
        <v>0</v>
      </c>
      <c r="DD851">
        <v>0</v>
      </c>
      <c r="DE851">
        <v>0</v>
      </c>
      <c r="DF851">
        <v>0</v>
      </c>
      <c r="DG851">
        <v>0</v>
      </c>
      <c r="DH851">
        <v>0</v>
      </c>
      <c r="DI851">
        <v>0</v>
      </c>
      <c r="DJ851">
        <v>0</v>
      </c>
      <c r="DK851">
        <v>0</v>
      </c>
      <c r="DL851">
        <v>0</v>
      </c>
      <c r="DM851">
        <v>0</v>
      </c>
      <c r="DN851">
        <v>0</v>
      </c>
      <c r="DO851">
        <v>0</v>
      </c>
      <c r="DP851">
        <v>0</v>
      </c>
      <c r="DQ851">
        <v>0</v>
      </c>
      <c r="DR851">
        <v>0</v>
      </c>
      <c r="DS851">
        <v>0</v>
      </c>
      <c r="DT851">
        <v>0</v>
      </c>
      <c r="DU851">
        <v>0</v>
      </c>
    </row>
    <row r="852" spans="2:125">
      <c r="B852" s="136">
        <v>843</v>
      </c>
      <c r="C852" s="138">
        <v>1</v>
      </c>
      <c r="D852" s="474">
        <v>2879.4083321755056</v>
      </c>
      <c r="E852" s="127">
        <v>214.33337737807645</v>
      </c>
      <c r="F852" s="447">
        <v>0.37065465910904621</v>
      </c>
      <c r="G852" s="127">
        <v>118.37589302739187</v>
      </c>
      <c r="H852" s="132">
        <v>44.980189840023435</v>
      </c>
      <c r="I852" s="456"/>
      <c r="J852" s="45"/>
      <c r="K852" s="45">
        <v>450</v>
      </c>
      <c r="L852" s="463"/>
      <c r="M852" s="456">
        <v>30.899433135986328</v>
      </c>
      <c r="N852" s="457"/>
      <c r="O852" s="456"/>
      <c r="P852" s="46"/>
      <c r="Q852" s="463">
        <v>57.012287139892578</v>
      </c>
      <c r="R852" s="449"/>
      <c r="S852" s="463"/>
      <c r="T852" s="480"/>
      <c r="U852" s="468"/>
      <c r="V852" s="449"/>
      <c r="W852" s="45">
        <v>1227.2745361328125</v>
      </c>
      <c r="X852" s="463">
        <v>106.22286224365234</v>
      </c>
      <c r="Y852" s="449"/>
      <c r="Z852" s="45"/>
      <c r="AA852" s="468">
        <v>0.35939780025370921</v>
      </c>
      <c r="AB852" s="456"/>
      <c r="AC852" s="46"/>
      <c r="AD852" s="46"/>
      <c r="AE852" s="46"/>
      <c r="AF852" s="46"/>
      <c r="AG852" s="46"/>
      <c r="AH852" s="46"/>
      <c r="AI852" s="457"/>
      <c r="AJ852" s="138"/>
      <c r="AK852" s="745"/>
      <c r="AL852" s="54"/>
      <c r="AM852" s="468"/>
      <c r="AN852" s="449"/>
      <c r="AO852" s="45"/>
      <c r="AP852" s="45"/>
      <c r="AQ852" s="45"/>
      <c r="AR852" s="45"/>
      <c r="AS852" s="45"/>
      <c r="AT852" s="45"/>
      <c r="AU852" s="463"/>
      <c r="AV852" s="449"/>
      <c r="AW852" s="45"/>
      <c r="AX852" s="45"/>
      <c r="AY852" s="45"/>
      <c r="AZ852" s="45"/>
      <c r="BA852" s="45"/>
      <c r="BB852" s="45"/>
      <c r="BC852" s="463"/>
      <c r="BD852" s="456"/>
      <c r="BE852" s="46"/>
      <c r="BF852" s="46"/>
      <c r="BG852" s="46"/>
      <c r="BH852" s="46"/>
      <c r="BI852" s="46"/>
      <c r="BJ852" s="457"/>
      <c r="BK852" s="449">
        <v>0</v>
      </c>
      <c r="BL852" s="45"/>
      <c r="BM852" s="45"/>
      <c r="BN852" s="45"/>
      <c r="BO852" s="45"/>
      <c r="BP852" s="45"/>
      <c r="BQ852" s="45"/>
      <c r="BR852" s="45"/>
      <c r="BS852" s="45"/>
      <c r="BT852" s="45"/>
      <c r="BU852" s="45"/>
      <c r="BV852" s="45"/>
      <c r="BW852" s="45"/>
      <c r="BX852" s="45"/>
      <c r="BY852" s="45"/>
      <c r="BZ852" s="45"/>
      <c r="CA852" s="45"/>
      <c r="CB852" s="45"/>
      <c r="CC852" s="45"/>
      <c r="CD852" s="463"/>
      <c r="CE852">
        <v>0</v>
      </c>
      <c r="CF852">
        <v>0</v>
      </c>
      <c r="CG852">
        <v>0</v>
      </c>
      <c r="CH852">
        <v>0</v>
      </c>
      <c r="CI852">
        <v>0</v>
      </c>
      <c r="CJ852">
        <v>0</v>
      </c>
      <c r="CK852">
        <v>0</v>
      </c>
      <c r="CL852">
        <v>0</v>
      </c>
      <c r="CM852">
        <v>0</v>
      </c>
      <c r="CN852">
        <v>0</v>
      </c>
      <c r="CO852">
        <v>0</v>
      </c>
      <c r="CP852">
        <v>0</v>
      </c>
      <c r="CQ852">
        <v>0</v>
      </c>
      <c r="CR852">
        <v>0</v>
      </c>
      <c r="CS852">
        <v>0</v>
      </c>
      <c r="CT852">
        <v>0</v>
      </c>
      <c r="CU852">
        <v>0</v>
      </c>
      <c r="CV852">
        <v>0</v>
      </c>
      <c r="CW852">
        <v>0</v>
      </c>
      <c r="CX852">
        <v>0</v>
      </c>
      <c r="CY852">
        <v>0</v>
      </c>
      <c r="CZ852">
        <v>0</v>
      </c>
      <c r="DA852">
        <v>0</v>
      </c>
      <c r="DB852">
        <v>0</v>
      </c>
      <c r="DC852">
        <v>0</v>
      </c>
      <c r="DD852">
        <v>0</v>
      </c>
      <c r="DE852">
        <v>0</v>
      </c>
      <c r="DF852">
        <v>0</v>
      </c>
      <c r="DG852">
        <v>0</v>
      </c>
      <c r="DH852">
        <v>0</v>
      </c>
      <c r="DI852">
        <v>0</v>
      </c>
      <c r="DJ852">
        <v>0</v>
      </c>
      <c r="DK852">
        <v>0</v>
      </c>
      <c r="DL852">
        <v>0</v>
      </c>
      <c r="DM852">
        <v>0</v>
      </c>
      <c r="DN852">
        <v>0</v>
      </c>
      <c r="DO852">
        <v>0</v>
      </c>
      <c r="DP852">
        <v>0</v>
      </c>
      <c r="DQ852">
        <v>0</v>
      </c>
      <c r="DR852">
        <v>0</v>
      </c>
      <c r="DS852">
        <v>0</v>
      </c>
      <c r="DT852">
        <v>0</v>
      </c>
      <c r="DU852">
        <v>0</v>
      </c>
    </row>
    <row r="853" spans="2:125">
      <c r="B853" s="136">
        <v>844</v>
      </c>
      <c r="C853" s="138">
        <v>1</v>
      </c>
      <c r="D853" s="474">
        <v>3513.0584912880649</v>
      </c>
      <c r="E853" s="127">
        <v>227.53154947056399</v>
      </c>
      <c r="F853" s="447">
        <v>0.40955126626690264</v>
      </c>
      <c r="G853" s="127">
        <v>135.38112121323513</v>
      </c>
      <c r="H853" s="132">
        <v>53.729035383690814</v>
      </c>
      <c r="I853" s="456"/>
      <c r="J853" s="45"/>
      <c r="K853" s="45">
        <v>530</v>
      </c>
      <c r="L853" s="463"/>
      <c r="M853" s="456">
        <v>34.944911956787109</v>
      </c>
      <c r="N853" s="457"/>
      <c r="O853" s="456"/>
      <c r="P853" s="46"/>
      <c r="Q853" s="463">
        <v>69.558563232421875</v>
      </c>
      <c r="R853" s="449"/>
      <c r="S853" s="463"/>
      <c r="T853" s="480"/>
      <c r="U853" s="468"/>
      <c r="V853" s="449"/>
      <c r="W853" s="45">
        <v>1592.02880859375</v>
      </c>
      <c r="X853" s="463">
        <v>133.08872985839844</v>
      </c>
      <c r="Y853" s="449"/>
      <c r="Z853" s="45"/>
      <c r="AA853" s="468">
        <v>0.40010336626533777</v>
      </c>
      <c r="AB853" s="456"/>
      <c r="AC853" s="46"/>
      <c r="AD853" s="46"/>
      <c r="AE853" s="46"/>
      <c r="AF853" s="46"/>
      <c r="AG853" s="46"/>
      <c r="AH853" s="46"/>
      <c r="AI853" s="457"/>
      <c r="AJ853" s="138"/>
      <c r="AK853" s="745"/>
      <c r="AL853" s="54"/>
      <c r="AM853" s="468"/>
      <c r="AN853" s="449"/>
      <c r="AO853" s="45"/>
      <c r="AP853" s="45"/>
      <c r="AQ853" s="45"/>
      <c r="AR853" s="45"/>
      <c r="AS853" s="45"/>
      <c r="AT853" s="45"/>
      <c r="AU853" s="463"/>
      <c r="AV853" s="449"/>
      <c r="AW853" s="45"/>
      <c r="AX853" s="45"/>
      <c r="AY853" s="45"/>
      <c r="AZ853" s="45"/>
      <c r="BA853" s="45"/>
      <c r="BB853" s="45"/>
      <c r="BC853" s="463"/>
      <c r="BD853" s="456"/>
      <c r="BE853" s="46"/>
      <c r="BF853" s="46"/>
      <c r="BG853" s="46"/>
      <c r="BH853" s="46"/>
      <c r="BI853" s="46"/>
      <c r="BJ853" s="457"/>
      <c r="BK853" s="449">
        <v>0</v>
      </c>
      <c r="BL853" s="45"/>
      <c r="BM853" s="45"/>
      <c r="BN853" s="45"/>
      <c r="BO853" s="45"/>
      <c r="BP853" s="45"/>
      <c r="BQ853" s="45"/>
      <c r="BR853" s="45"/>
      <c r="BS853" s="45"/>
      <c r="BT853" s="45"/>
      <c r="BU853" s="45"/>
      <c r="BV853" s="45"/>
      <c r="BW853" s="45"/>
      <c r="BX853" s="45"/>
      <c r="BY853" s="45"/>
      <c r="BZ853" s="45"/>
      <c r="CA853" s="45"/>
      <c r="CB853" s="45"/>
      <c r="CC853" s="45"/>
      <c r="CD853" s="463"/>
      <c r="CE853">
        <v>0</v>
      </c>
      <c r="CF853">
        <v>0</v>
      </c>
      <c r="CG853">
        <v>0</v>
      </c>
      <c r="CH853">
        <v>0</v>
      </c>
      <c r="CI853">
        <v>0</v>
      </c>
      <c r="CJ853">
        <v>0</v>
      </c>
      <c r="CK853">
        <v>0</v>
      </c>
      <c r="CL853">
        <v>0</v>
      </c>
      <c r="CM853">
        <v>0</v>
      </c>
      <c r="CN853">
        <v>0</v>
      </c>
      <c r="CO853">
        <v>0</v>
      </c>
      <c r="CP853">
        <v>0</v>
      </c>
      <c r="CQ853">
        <v>0</v>
      </c>
      <c r="CR853">
        <v>0</v>
      </c>
      <c r="CS853">
        <v>0</v>
      </c>
      <c r="CT853">
        <v>0</v>
      </c>
      <c r="CU853">
        <v>0</v>
      </c>
      <c r="CV853">
        <v>0</v>
      </c>
      <c r="CW853">
        <v>0</v>
      </c>
      <c r="CX853">
        <v>0</v>
      </c>
      <c r="CY853">
        <v>0</v>
      </c>
      <c r="CZ853">
        <v>0</v>
      </c>
      <c r="DA853">
        <v>0</v>
      </c>
      <c r="DB853">
        <v>0</v>
      </c>
      <c r="DC853">
        <v>0</v>
      </c>
      <c r="DD853">
        <v>0</v>
      </c>
      <c r="DE853">
        <v>0</v>
      </c>
      <c r="DF853">
        <v>0</v>
      </c>
      <c r="DG853">
        <v>0</v>
      </c>
      <c r="DH853">
        <v>0</v>
      </c>
      <c r="DI853">
        <v>0</v>
      </c>
      <c r="DJ853">
        <v>0</v>
      </c>
      <c r="DK853">
        <v>0</v>
      </c>
      <c r="DL853">
        <v>0</v>
      </c>
      <c r="DM853">
        <v>0</v>
      </c>
      <c r="DN853">
        <v>0</v>
      </c>
      <c r="DO853">
        <v>0</v>
      </c>
      <c r="DP853">
        <v>0</v>
      </c>
      <c r="DQ853">
        <v>0</v>
      </c>
      <c r="DR853">
        <v>0</v>
      </c>
      <c r="DS853">
        <v>0</v>
      </c>
      <c r="DT853">
        <v>0</v>
      </c>
      <c r="DU853">
        <v>0</v>
      </c>
    </row>
    <row r="854" spans="2:125">
      <c r="B854" s="136">
        <v>845</v>
      </c>
      <c r="C854" s="138">
        <v>1</v>
      </c>
      <c r="D854" s="474">
        <v>3107.6779654564048</v>
      </c>
      <c r="E854" s="127">
        <v>305.72451222161425</v>
      </c>
      <c r="F854" s="447">
        <v>0.43440843196690382</v>
      </c>
      <c r="G854" s="127">
        <v>108.45731983703027</v>
      </c>
      <c r="H854" s="132">
        <v>53.491887767613981</v>
      </c>
      <c r="I854" s="456"/>
      <c r="J854" s="45"/>
      <c r="K854" s="45">
        <v>450</v>
      </c>
      <c r="L854" s="463"/>
      <c r="M854" s="456">
        <v>35.900062561035156</v>
      </c>
      <c r="N854" s="457"/>
      <c r="O854" s="456"/>
      <c r="P854" s="46"/>
      <c r="Q854" s="463">
        <v>61.532024383544922</v>
      </c>
      <c r="R854" s="449"/>
      <c r="S854" s="463"/>
      <c r="T854" s="480"/>
      <c r="U854" s="468"/>
      <c r="V854" s="449"/>
      <c r="W854" s="45">
        <v>1495.8153076171875</v>
      </c>
      <c r="X854" s="463">
        <v>125.75133514404297</v>
      </c>
      <c r="Y854" s="449"/>
      <c r="Z854" s="45"/>
      <c r="AA854" s="468">
        <v>0.42356812965315027</v>
      </c>
      <c r="AB854" s="456"/>
      <c r="AC854" s="46"/>
      <c r="AD854" s="46"/>
      <c r="AE854" s="46"/>
      <c r="AF854" s="46"/>
      <c r="AG854" s="46"/>
      <c r="AH854" s="46"/>
      <c r="AI854" s="457"/>
      <c r="AJ854" s="138"/>
      <c r="AK854" s="745"/>
      <c r="AL854" s="54"/>
      <c r="AM854" s="468"/>
      <c r="AN854" s="449"/>
      <c r="AO854" s="45"/>
      <c r="AP854" s="45"/>
      <c r="AQ854" s="45"/>
      <c r="AR854" s="45"/>
      <c r="AS854" s="45"/>
      <c r="AT854" s="45"/>
      <c r="AU854" s="463"/>
      <c r="AV854" s="449"/>
      <c r="AW854" s="45"/>
      <c r="AX854" s="45"/>
      <c r="AY854" s="45"/>
      <c r="AZ854" s="45"/>
      <c r="BA854" s="45"/>
      <c r="BB854" s="45"/>
      <c r="BC854" s="463"/>
      <c r="BD854" s="456"/>
      <c r="BE854" s="46"/>
      <c r="BF854" s="46"/>
      <c r="BG854" s="46"/>
      <c r="BH854" s="46"/>
      <c r="BI854" s="46"/>
      <c r="BJ854" s="457"/>
      <c r="BK854" s="449">
        <v>0</v>
      </c>
      <c r="BL854" s="45"/>
      <c r="BM854" s="45"/>
      <c r="BN854" s="45"/>
      <c r="BO854" s="45"/>
      <c r="BP854" s="45"/>
      <c r="BQ854" s="45"/>
      <c r="BR854" s="45"/>
      <c r="BS854" s="45"/>
      <c r="BT854" s="45"/>
      <c r="BU854" s="45"/>
      <c r="BV854" s="45"/>
      <c r="BW854" s="45"/>
      <c r="BX854" s="45"/>
      <c r="BY854" s="45"/>
      <c r="BZ854" s="45"/>
      <c r="CA854" s="45"/>
      <c r="CB854" s="45"/>
      <c r="CC854" s="45"/>
      <c r="CD854" s="463"/>
      <c r="CE854">
        <v>0</v>
      </c>
      <c r="CF854">
        <v>0</v>
      </c>
      <c r="CG854">
        <v>0</v>
      </c>
      <c r="CH854">
        <v>0</v>
      </c>
      <c r="CI854">
        <v>0</v>
      </c>
      <c r="CJ854">
        <v>0</v>
      </c>
      <c r="CK854">
        <v>0</v>
      </c>
      <c r="CL854">
        <v>0</v>
      </c>
      <c r="CM854">
        <v>0</v>
      </c>
      <c r="CN854">
        <v>0</v>
      </c>
      <c r="CO854">
        <v>0</v>
      </c>
      <c r="CP854">
        <v>0</v>
      </c>
      <c r="CQ854">
        <v>0</v>
      </c>
      <c r="CR854">
        <v>0</v>
      </c>
      <c r="CS854">
        <v>0</v>
      </c>
      <c r="CT854">
        <v>0</v>
      </c>
      <c r="CU854">
        <v>0</v>
      </c>
      <c r="CV854">
        <v>0</v>
      </c>
      <c r="CW854">
        <v>0</v>
      </c>
      <c r="CX854">
        <v>0</v>
      </c>
      <c r="CY854">
        <v>0</v>
      </c>
      <c r="CZ854">
        <v>0</v>
      </c>
      <c r="DA854">
        <v>0</v>
      </c>
      <c r="DB854">
        <v>0</v>
      </c>
      <c r="DC854">
        <v>0</v>
      </c>
      <c r="DD854">
        <v>0</v>
      </c>
      <c r="DE854">
        <v>0</v>
      </c>
      <c r="DF854">
        <v>0</v>
      </c>
      <c r="DG854">
        <v>0</v>
      </c>
      <c r="DH854">
        <v>0</v>
      </c>
      <c r="DI854">
        <v>0</v>
      </c>
      <c r="DJ854">
        <v>0</v>
      </c>
      <c r="DK854">
        <v>0</v>
      </c>
      <c r="DL854">
        <v>0</v>
      </c>
      <c r="DM854">
        <v>0</v>
      </c>
      <c r="DN854">
        <v>0</v>
      </c>
      <c r="DO854">
        <v>0</v>
      </c>
      <c r="DP854">
        <v>0</v>
      </c>
      <c r="DQ854">
        <v>0</v>
      </c>
      <c r="DR854">
        <v>0</v>
      </c>
      <c r="DS854">
        <v>0</v>
      </c>
      <c r="DT854">
        <v>0</v>
      </c>
      <c r="DU854">
        <v>0</v>
      </c>
    </row>
    <row r="855" spans="2:125">
      <c r="B855" s="136">
        <v>846</v>
      </c>
      <c r="C855" s="138">
        <v>1</v>
      </c>
      <c r="D855" s="474">
        <v>3313.955860290137</v>
      </c>
      <c r="E855" s="127">
        <v>258.18552309128785</v>
      </c>
      <c r="F855" s="447">
        <v>0.41560203024514125</v>
      </c>
      <c r="G855" s="127">
        <v>107.24833719250765</v>
      </c>
      <c r="H855" s="132">
        <v>57.519992113744635</v>
      </c>
      <c r="I855" s="456"/>
      <c r="J855" s="45"/>
      <c r="K855" s="45">
        <v>460</v>
      </c>
      <c r="L855" s="463"/>
      <c r="M855" s="456">
        <v>32.376224517822266</v>
      </c>
      <c r="N855" s="457"/>
      <c r="O855" s="456"/>
      <c r="P855" s="46"/>
      <c r="Q855" s="463">
        <v>65.6163330078125</v>
      </c>
      <c r="R855" s="449"/>
      <c r="S855" s="463"/>
      <c r="T855" s="480"/>
      <c r="U855" s="468"/>
      <c r="V855" s="449"/>
      <c r="W855" s="45">
        <v>1413.423095703125</v>
      </c>
      <c r="X855" s="463">
        <v>119.78614807128906</v>
      </c>
      <c r="Y855" s="449"/>
      <c r="Z855" s="45"/>
      <c r="AA855" s="468">
        <v>0.40554998308178936</v>
      </c>
      <c r="AB855" s="456"/>
      <c r="AC855" s="46"/>
      <c r="AD855" s="46"/>
      <c r="AE855" s="46"/>
      <c r="AF855" s="46"/>
      <c r="AG855" s="46"/>
      <c r="AH855" s="46"/>
      <c r="AI855" s="457"/>
      <c r="AJ855" s="138"/>
      <c r="AK855" s="745"/>
      <c r="AL855" s="54"/>
      <c r="AM855" s="468"/>
      <c r="AN855" s="449"/>
      <c r="AO855" s="45"/>
      <c r="AP855" s="45"/>
      <c r="AQ855" s="45"/>
      <c r="AR855" s="45"/>
      <c r="AS855" s="45"/>
      <c r="AT855" s="45"/>
      <c r="AU855" s="463"/>
      <c r="AV855" s="449"/>
      <c r="AW855" s="45"/>
      <c r="AX855" s="45"/>
      <c r="AY855" s="45"/>
      <c r="AZ855" s="45"/>
      <c r="BA855" s="45"/>
      <c r="BB855" s="45"/>
      <c r="BC855" s="463"/>
      <c r="BD855" s="456"/>
      <c r="BE855" s="46"/>
      <c r="BF855" s="46"/>
      <c r="BG855" s="46"/>
      <c r="BH855" s="46"/>
      <c r="BI855" s="46"/>
      <c r="BJ855" s="457"/>
      <c r="BK855" s="449">
        <v>0</v>
      </c>
      <c r="BL855" s="45"/>
      <c r="BM855" s="45"/>
      <c r="BN855" s="45"/>
      <c r="BO855" s="45"/>
      <c r="BP855" s="45"/>
      <c r="BQ855" s="45"/>
      <c r="BR855" s="45"/>
      <c r="BS855" s="45"/>
      <c r="BT855" s="45"/>
      <c r="BU855" s="45"/>
      <c r="BV855" s="45"/>
      <c r="BW855" s="45"/>
      <c r="BX855" s="45"/>
      <c r="BY855" s="45"/>
      <c r="BZ855" s="45"/>
      <c r="CA855" s="45"/>
      <c r="CB855" s="45"/>
      <c r="CC855" s="45"/>
      <c r="CD855" s="463"/>
      <c r="CE855">
        <v>0</v>
      </c>
      <c r="CF855">
        <v>0</v>
      </c>
      <c r="CG855">
        <v>0</v>
      </c>
      <c r="CH855">
        <v>0</v>
      </c>
      <c r="CI855">
        <v>0</v>
      </c>
      <c r="CJ855">
        <v>0</v>
      </c>
      <c r="CK855">
        <v>0</v>
      </c>
      <c r="CL855">
        <v>0</v>
      </c>
      <c r="CM855">
        <v>0</v>
      </c>
      <c r="CN855">
        <v>0</v>
      </c>
      <c r="CO855">
        <v>0</v>
      </c>
      <c r="CP855">
        <v>0</v>
      </c>
      <c r="CQ855">
        <v>0</v>
      </c>
      <c r="CR855">
        <v>0</v>
      </c>
      <c r="CS855">
        <v>0</v>
      </c>
      <c r="CT855">
        <v>0</v>
      </c>
      <c r="CU855">
        <v>0</v>
      </c>
      <c r="CV855">
        <v>0</v>
      </c>
      <c r="CW855">
        <v>0</v>
      </c>
      <c r="CX855">
        <v>0</v>
      </c>
      <c r="CY855">
        <v>0</v>
      </c>
      <c r="CZ855">
        <v>0</v>
      </c>
      <c r="DA855">
        <v>0</v>
      </c>
      <c r="DB855">
        <v>0</v>
      </c>
      <c r="DC855">
        <v>0</v>
      </c>
      <c r="DD855">
        <v>0</v>
      </c>
      <c r="DE855">
        <v>0</v>
      </c>
      <c r="DF855">
        <v>0</v>
      </c>
      <c r="DG855">
        <v>0</v>
      </c>
      <c r="DH855">
        <v>0</v>
      </c>
      <c r="DI855">
        <v>0</v>
      </c>
      <c r="DJ855">
        <v>0</v>
      </c>
      <c r="DK855">
        <v>0</v>
      </c>
      <c r="DL855">
        <v>0</v>
      </c>
      <c r="DM855">
        <v>0</v>
      </c>
      <c r="DN855">
        <v>0</v>
      </c>
      <c r="DO855">
        <v>0</v>
      </c>
      <c r="DP855">
        <v>0</v>
      </c>
      <c r="DQ855">
        <v>0</v>
      </c>
      <c r="DR855">
        <v>0</v>
      </c>
      <c r="DS855">
        <v>0</v>
      </c>
      <c r="DT855">
        <v>0</v>
      </c>
      <c r="DU855">
        <v>0</v>
      </c>
    </row>
    <row r="856" spans="2:125">
      <c r="B856" s="136">
        <v>847</v>
      </c>
      <c r="C856" s="138">
        <v>1</v>
      </c>
      <c r="D856" s="474">
        <v>2565.3631204805965</v>
      </c>
      <c r="E856" s="127">
        <v>269.10379212045444</v>
      </c>
      <c r="F856" s="447">
        <v>0.39956529104315736</v>
      </c>
      <c r="G856" s="127">
        <v>88.448751369549242</v>
      </c>
      <c r="H856" s="132">
        <v>56.557543935461709</v>
      </c>
      <c r="I856" s="456"/>
      <c r="J856" s="45"/>
      <c r="K856" s="45">
        <v>390</v>
      </c>
      <c r="L856" s="463"/>
      <c r="M856" s="456">
        <v>28.942241668701172</v>
      </c>
      <c r="N856" s="457"/>
      <c r="O856" s="456"/>
      <c r="P856" s="46"/>
      <c r="Q856" s="463">
        <v>59.063510894775391</v>
      </c>
      <c r="R856" s="449"/>
      <c r="S856" s="463"/>
      <c r="T856" s="480"/>
      <c r="U856" s="468"/>
      <c r="V856" s="449"/>
      <c r="W856" s="45">
        <v>1179.389404296875</v>
      </c>
      <c r="X856" s="463">
        <v>102.49877166748047</v>
      </c>
      <c r="Y856" s="449"/>
      <c r="Z856" s="45"/>
      <c r="AA856" s="468">
        <v>0.38670500410854108</v>
      </c>
      <c r="AB856" s="456"/>
      <c r="AC856" s="46"/>
      <c r="AD856" s="46"/>
      <c r="AE856" s="46"/>
      <c r="AF856" s="46"/>
      <c r="AG856" s="46"/>
      <c r="AH856" s="46"/>
      <c r="AI856" s="457"/>
      <c r="AJ856" s="138"/>
      <c r="AK856" s="745"/>
      <c r="AL856" s="54"/>
      <c r="AM856" s="468"/>
      <c r="AN856" s="449"/>
      <c r="AO856" s="45"/>
      <c r="AP856" s="45"/>
      <c r="AQ856" s="45"/>
      <c r="AR856" s="45"/>
      <c r="AS856" s="45"/>
      <c r="AT856" s="45"/>
      <c r="AU856" s="463"/>
      <c r="AV856" s="449"/>
      <c r="AW856" s="45"/>
      <c r="AX856" s="45"/>
      <c r="AY856" s="45"/>
      <c r="AZ856" s="45"/>
      <c r="BA856" s="45"/>
      <c r="BB856" s="45"/>
      <c r="BC856" s="463"/>
      <c r="BD856" s="456"/>
      <c r="BE856" s="46"/>
      <c r="BF856" s="46"/>
      <c r="BG856" s="46"/>
      <c r="BH856" s="46"/>
      <c r="BI856" s="46"/>
      <c r="BJ856" s="457"/>
      <c r="BK856" s="449">
        <v>0</v>
      </c>
      <c r="BL856" s="45"/>
      <c r="BM856" s="45"/>
      <c r="BN856" s="45"/>
      <c r="BO856" s="45"/>
      <c r="BP856" s="45"/>
      <c r="BQ856" s="45"/>
      <c r="BR856" s="45"/>
      <c r="BS856" s="45"/>
      <c r="BT856" s="45"/>
      <c r="BU856" s="45"/>
      <c r="BV856" s="45"/>
      <c r="BW856" s="45"/>
      <c r="BX856" s="45"/>
      <c r="BY856" s="45"/>
      <c r="BZ856" s="45"/>
      <c r="CA856" s="45"/>
      <c r="CB856" s="45"/>
      <c r="CC856" s="45"/>
      <c r="CD856" s="463"/>
      <c r="CE856">
        <v>0</v>
      </c>
      <c r="CF856">
        <v>0</v>
      </c>
      <c r="CG856">
        <v>0</v>
      </c>
      <c r="CH856">
        <v>0</v>
      </c>
      <c r="CI856">
        <v>0</v>
      </c>
      <c r="CJ856">
        <v>0</v>
      </c>
      <c r="CK856">
        <v>0</v>
      </c>
      <c r="CL856">
        <v>0</v>
      </c>
      <c r="CM856">
        <v>0</v>
      </c>
      <c r="CN856">
        <v>0</v>
      </c>
      <c r="CO856">
        <v>0</v>
      </c>
      <c r="CP856">
        <v>0</v>
      </c>
      <c r="CQ856">
        <v>0</v>
      </c>
      <c r="CR856">
        <v>0</v>
      </c>
      <c r="CS856">
        <v>0</v>
      </c>
      <c r="CT856">
        <v>0</v>
      </c>
      <c r="CU856">
        <v>0</v>
      </c>
      <c r="CV856">
        <v>0</v>
      </c>
      <c r="CW856">
        <v>0</v>
      </c>
      <c r="CX856">
        <v>0</v>
      </c>
      <c r="CY856">
        <v>0</v>
      </c>
      <c r="CZ856">
        <v>0</v>
      </c>
      <c r="DA856">
        <v>0</v>
      </c>
      <c r="DB856">
        <v>0</v>
      </c>
      <c r="DC856">
        <v>0</v>
      </c>
      <c r="DD856">
        <v>0</v>
      </c>
      <c r="DE856">
        <v>0</v>
      </c>
      <c r="DF856">
        <v>0</v>
      </c>
      <c r="DG856">
        <v>0</v>
      </c>
      <c r="DH856">
        <v>0</v>
      </c>
      <c r="DI856">
        <v>0</v>
      </c>
      <c r="DJ856">
        <v>0</v>
      </c>
      <c r="DK856">
        <v>0</v>
      </c>
      <c r="DL856">
        <v>0</v>
      </c>
      <c r="DM856">
        <v>0</v>
      </c>
      <c r="DN856">
        <v>0</v>
      </c>
      <c r="DO856">
        <v>0</v>
      </c>
      <c r="DP856">
        <v>0</v>
      </c>
      <c r="DQ856">
        <v>0</v>
      </c>
      <c r="DR856">
        <v>0</v>
      </c>
      <c r="DS856">
        <v>0</v>
      </c>
      <c r="DT856">
        <v>0</v>
      </c>
      <c r="DU856">
        <v>0</v>
      </c>
    </row>
    <row r="857" spans="2:125">
      <c r="B857" s="136">
        <v>848</v>
      </c>
      <c r="C857" s="138">
        <v>1</v>
      </c>
      <c r="D857" s="474">
        <v>3191.7860509879883</v>
      </c>
      <c r="E857" s="127">
        <v>223.36670355144435</v>
      </c>
      <c r="F857" s="447">
        <v>0.45140907785492085</v>
      </c>
      <c r="G857" s="127">
        <v>125.07013671055269</v>
      </c>
      <c r="H857" s="132">
        <v>50.226562325648629</v>
      </c>
      <c r="I857" s="456"/>
      <c r="J857" s="45"/>
      <c r="K857" s="45">
        <v>490</v>
      </c>
      <c r="L857" s="463"/>
      <c r="M857" s="456">
        <v>41.274520874023438</v>
      </c>
      <c r="N857" s="457"/>
      <c r="O857" s="456"/>
      <c r="P857" s="46"/>
      <c r="Q857" s="463">
        <v>63.197364807128906</v>
      </c>
      <c r="R857" s="449"/>
      <c r="S857" s="463"/>
      <c r="T857" s="480"/>
      <c r="U857" s="468"/>
      <c r="V857" s="449"/>
      <c r="W857" s="45">
        <v>1739.38427734375</v>
      </c>
      <c r="X857" s="463">
        <v>143.64239501953125</v>
      </c>
      <c r="Y857" s="449"/>
      <c r="Z857" s="45"/>
      <c r="AA857" s="468">
        <v>0.44074790539113201</v>
      </c>
      <c r="AB857" s="456"/>
      <c r="AC857" s="46"/>
      <c r="AD857" s="46"/>
      <c r="AE857" s="46"/>
      <c r="AF857" s="46"/>
      <c r="AG857" s="46"/>
      <c r="AH857" s="46"/>
      <c r="AI857" s="457"/>
      <c r="AJ857" s="138"/>
      <c r="AK857" s="745"/>
      <c r="AL857" s="54"/>
      <c r="AM857" s="468"/>
      <c r="AN857" s="449"/>
      <c r="AO857" s="45"/>
      <c r="AP857" s="45"/>
      <c r="AQ857" s="45"/>
      <c r="AR857" s="45"/>
      <c r="AS857" s="45"/>
      <c r="AT857" s="45"/>
      <c r="AU857" s="463"/>
      <c r="AV857" s="449"/>
      <c r="AW857" s="45"/>
      <c r="AX857" s="45"/>
      <c r="AY857" s="45"/>
      <c r="AZ857" s="45"/>
      <c r="BA857" s="45"/>
      <c r="BB857" s="45"/>
      <c r="BC857" s="463"/>
      <c r="BD857" s="456"/>
      <c r="BE857" s="46"/>
      <c r="BF857" s="46"/>
      <c r="BG857" s="46"/>
      <c r="BH857" s="46"/>
      <c r="BI857" s="46"/>
      <c r="BJ857" s="457"/>
      <c r="BK857" s="449">
        <v>0</v>
      </c>
      <c r="BL857" s="45"/>
      <c r="BM857" s="45"/>
      <c r="BN857" s="45"/>
      <c r="BO857" s="45"/>
      <c r="BP857" s="45"/>
      <c r="BQ857" s="45"/>
      <c r="BR857" s="45"/>
      <c r="BS857" s="45"/>
      <c r="BT857" s="45"/>
      <c r="BU857" s="45"/>
      <c r="BV857" s="45"/>
      <c r="BW857" s="45"/>
      <c r="BX857" s="45"/>
      <c r="BY857" s="45"/>
      <c r="BZ857" s="45"/>
      <c r="CA857" s="45"/>
      <c r="CB857" s="45"/>
      <c r="CC857" s="45"/>
      <c r="CD857" s="463"/>
      <c r="CE857">
        <v>0</v>
      </c>
      <c r="CF857">
        <v>0</v>
      </c>
      <c r="CG857">
        <v>0</v>
      </c>
      <c r="CH857">
        <v>0</v>
      </c>
      <c r="CI857">
        <v>0</v>
      </c>
      <c r="CJ857">
        <v>0</v>
      </c>
      <c r="CK857">
        <v>0</v>
      </c>
      <c r="CL857">
        <v>0</v>
      </c>
      <c r="CM857">
        <v>0</v>
      </c>
      <c r="CN857">
        <v>0</v>
      </c>
      <c r="CO857">
        <v>0</v>
      </c>
      <c r="CP857">
        <v>0</v>
      </c>
      <c r="CQ857">
        <v>0</v>
      </c>
      <c r="CR857">
        <v>0</v>
      </c>
      <c r="CS857">
        <v>0</v>
      </c>
      <c r="CT857">
        <v>0</v>
      </c>
      <c r="CU857">
        <v>0</v>
      </c>
      <c r="CV857">
        <v>0</v>
      </c>
      <c r="CW857">
        <v>0</v>
      </c>
      <c r="CX857">
        <v>0</v>
      </c>
      <c r="CY857">
        <v>0</v>
      </c>
      <c r="CZ857">
        <v>0</v>
      </c>
      <c r="DA857">
        <v>0</v>
      </c>
      <c r="DB857">
        <v>0</v>
      </c>
      <c r="DC857">
        <v>0</v>
      </c>
      <c r="DD857">
        <v>0</v>
      </c>
      <c r="DE857">
        <v>0</v>
      </c>
      <c r="DF857">
        <v>0</v>
      </c>
      <c r="DG857">
        <v>0</v>
      </c>
      <c r="DH857">
        <v>0</v>
      </c>
      <c r="DI857">
        <v>0</v>
      </c>
      <c r="DJ857">
        <v>0</v>
      </c>
      <c r="DK857">
        <v>0</v>
      </c>
      <c r="DL857">
        <v>0</v>
      </c>
      <c r="DM857">
        <v>0</v>
      </c>
      <c r="DN857">
        <v>0</v>
      </c>
      <c r="DO857">
        <v>0</v>
      </c>
      <c r="DP857">
        <v>0</v>
      </c>
      <c r="DQ857">
        <v>0</v>
      </c>
      <c r="DR857">
        <v>0</v>
      </c>
      <c r="DS857">
        <v>0</v>
      </c>
      <c r="DT857">
        <v>0</v>
      </c>
      <c r="DU857">
        <v>0</v>
      </c>
    </row>
    <row r="858" spans="2:125">
      <c r="B858" s="136">
        <v>849</v>
      </c>
      <c r="C858" s="138">
        <v>1</v>
      </c>
      <c r="D858" s="474">
        <v>4381.6668172337795</v>
      </c>
      <c r="E858" s="127">
        <v>270.35353760707545</v>
      </c>
      <c r="F858" s="447">
        <v>0.37704249713230326</v>
      </c>
      <c r="G858" s="127">
        <v>180.50566468986131</v>
      </c>
      <c r="H858" s="132">
        <v>57.48903978542112</v>
      </c>
      <c r="I858" s="456"/>
      <c r="J858" s="45"/>
      <c r="K858" s="45">
        <v>680</v>
      </c>
      <c r="L858" s="463"/>
      <c r="M858" s="456">
        <v>33.682319641113281</v>
      </c>
      <c r="N858" s="457"/>
      <c r="O858" s="456"/>
      <c r="P858" s="46"/>
      <c r="Q858" s="463">
        <v>86.757011413574219</v>
      </c>
      <c r="R858" s="449"/>
      <c r="S858" s="463"/>
      <c r="T858" s="480"/>
      <c r="U858" s="468"/>
      <c r="V858" s="449"/>
      <c r="W858" s="45">
        <v>1790.959716796875</v>
      </c>
      <c r="X858" s="463">
        <v>148.18440246582031</v>
      </c>
      <c r="Y858" s="449"/>
      <c r="Z858" s="45"/>
      <c r="AA858" s="468">
        <v>0.36961590554056978</v>
      </c>
      <c r="AB858" s="456"/>
      <c r="AC858" s="46"/>
      <c r="AD858" s="46"/>
      <c r="AE858" s="46"/>
      <c r="AF858" s="46"/>
      <c r="AG858" s="46"/>
      <c r="AH858" s="46"/>
      <c r="AI858" s="457"/>
      <c r="AJ858" s="138"/>
      <c r="AK858" s="745"/>
      <c r="AL858" s="54"/>
      <c r="AM858" s="468"/>
      <c r="AN858" s="449"/>
      <c r="AO858" s="45"/>
      <c r="AP858" s="45"/>
      <c r="AQ858" s="45"/>
      <c r="AR858" s="45"/>
      <c r="AS858" s="45"/>
      <c r="AT858" s="45"/>
      <c r="AU858" s="463"/>
      <c r="AV858" s="449"/>
      <c r="AW858" s="45"/>
      <c r="AX858" s="45"/>
      <c r="AY858" s="45"/>
      <c r="AZ858" s="45"/>
      <c r="BA858" s="45"/>
      <c r="BB858" s="45"/>
      <c r="BC858" s="463"/>
      <c r="BD858" s="456"/>
      <c r="BE858" s="46"/>
      <c r="BF858" s="46"/>
      <c r="BG858" s="46"/>
      <c r="BH858" s="46"/>
      <c r="BI858" s="46"/>
      <c r="BJ858" s="457"/>
      <c r="BK858" s="449">
        <v>0</v>
      </c>
      <c r="BL858" s="45"/>
      <c r="BM858" s="45"/>
      <c r="BN858" s="45"/>
      <c r="BO858" s="45"/>
      <c r="BP858" s="45"/>
      <c r="BQ858" s="45"/>
      <c r="BR858" s="45"/>
      <c r="BS858" s="45"/>
      <c r="BT858" s="45"/>
      <c r="BU858" s="45"/>
      <c r="BV858" s="45"/>
      <c r="BW858" s="45"/>
      <c r="BX858" s="45"/>
      <c r="BY858" s="45"/>
      <c r="BZ858" s="45"/>
      <c r="CA858" s="45"/>
      <c r="CB858" s="45"/>
      <c r="CC858" s="45"/>
      <c r="CD858" s="463"/>
      <c r="CE858">
        <v>0</v>
      </c>
      <c r="CF858">
        <v>0</v>
      </c>
      <c r="CG858">
        <v>0</v>
      </c>
      <c r="CH858">
        <v>0</v>
      </c>
      <c r="CI858">
        <v>0</v>
      </c>
      <c r="CJ858">
        <v>0</v>
      </c>
      <c r="CK858">
        <v>0</v>
      </c>
      <c r="CL858">
        <v>0</v>
      </c>
      <c r="CM858">
        <v>0</v>
      </c>
      <c r="CN858">
        <v>0</v>
      </c>
      <c r="CO858">
        <v>0</v>
      </c>
      <c r="CP858">
        <v>0</v>
      </c>
      <c r="CQ858">
        <v>0</v>
      </c>
      <c r="CR858">
        <v>0</v>
      </c>
      <c r="CS858">
        <v>0</v>
      </c>
      <c r="CT858">
        <v>0</v>
      </c>
      <c r="CU858">
        <v>0</v>
      </c>
      <c r="CV858">
        <v>0</v>
      </c>
      <c r="CW858">
        <v>0</v>
      </c>
      <c r="CX858">
        <v>0</v>
      </c>
      <c r="CY858">
        <v>0</v>
      </c>
      <c r="CZ858">
        <v>0</v>
      </c>
      <c r="DA858">
        <v>0</v>
      </c>
      <c r="DB858">
        <v>0</v>
      </c>
      <c r="DC858">
        <v>0</v>
      </c>
      <c r="DD858">
        <v>0</v>
      </c>
      <c r="DE858">
        <v>0</v>
      </c>
      <c r="DF858">
        <v>0</v>
      </c>
      <c r="DG858">
        <v>0</v>
      </c>
      <c r="DH858">
        <v>0</v>
      </c>
      <c r="DI858">
        <v>0</v>
      </c>
      <c r="DJ858">
        <v>0</v>
      </c>
      <c r="DK858">
        <v>0</v>
      </c>
      <c r="DL858">
        <v>0</v>
      </c>
      <c r="DM858">
        <v>0</v>
      </c>
      <c r="DN858">
        <v>0</v>
      </c>
      <c r="DO858">
        <v>0</v>
      </c>
      <c r="DP858">
        <v>0</v>
      </c>
      <c r="DQ858">
        <v>0</v>
      </c>
      <c r="DR858">
        <v>0</v>
      </c>
      <c r="DS858">
        <v>0</v>
      </c>
      <c r="DT858">
        <v>0</v>
      </c>
      <c r="DU858">
        <v>0</v>
      </c>
    </row>
    <row r="859" spans="2:125">
      <c r="B859" s="136">
        <v>850</v>
      </c>
      <c r="C859" s="138">
        <v>1</v>
      </c>
      <c r="D859" s="474">
        <v>3205.3712855283911</v>
      </c>
      <c r="E859" s="127">
        <v>237.62553841346704</v>
      </c>
      <c r="F859" s="447">
        <v>0.39886646853531649</v>
      </c>
      <c r="G859" s="127">
        <v>120.54159506373539</v>
      </c>
      <c r="H859" s="132">
        <v>51.920498763503701</v>
      </c>
      <c r="I859" s="456"/>
      <c r="J859" s="45"/>
      <c r="K859" s="45">
        <v>480</v>
      </c>
      <c r="L859" s="463"/>
      <c r="M859" s="456">
        <v>32.325244903564453</v>
      </c>
      <c r="N859" s="457"/>
      <c r="O859" s="456"/>
      <c r="P859" s="46"/>
      <c r="Q859" s="463">
        <v>63.466354370117188</v>
      </c>
      <c r="R859" s="449"/>
      <c r="S859" s="463"/>
      <c r="T859" s="480"/>
      <c r="U859" s="468"/>
      <c r="V859" s="449"/>
      <c r="W859" s="45">
        <v>1394.35498046875</v>
      </c>
      <c r="X859" s="463">
        <v>118.47993469238281</v>
      </c>
      <c r="Y859" s="449"/>
      <c r="Z859" s="45"/>
      <c r="AA859" s="468">
        <v>0.38857832203584786</v>
      </c>
      <c r="AB859" s="456"/>
      <c r="AC859" s="46"/>
      <c r="AD859" s="46"/>
      <c r="AE859" s="46"/>
      <c r="AF859" s="46"/>
      <c r="AG859" s="46"/>
      <c r="AH859" s="46"/>
      <c r="AI859" s="457"/>
      <c r="AJ859" s="138"/>
      <c r="AK859" s="745"/>
      <c r="AL859" s="54"/>
      <c r="AM859" s="468"/>
      <c r="AN859" s="449"/>
      <c r="AO859" s="45"/>
      <c r="AP859" s="45"/>
      <c r="AQ859" s="45"/>
      <c r="AR859" s="45"/>
      <c r="AS859" s="45"/>
      <c r="AT859" s="45"/>
      <c r="AU859" s="463"/>
      <c r="AV859" s="449"/>
      <c r="AW859" s="45"/>
      <c r="AX859" s="45"/>
      <c r="AY859" s="45"/>
      <c r="AZ859" s="45"/>
      <c r="BA859" s="45"/>
      <c r="BB859" s="45"/>
      <c r="BC859" s="463"/>
      <c r="BD859" s="456"/>
      <c r="BE859" s="46"/>
      <c r="BF859" s="46"/>
      <c r="BG859" s="46"/>
      <c r="BH859" s="46"/>
      <c r="BI859" s="46"/>
      <c r="BJ859" s="457"/>
      <c r="BK859" s="449">
        <v>0</v>
      </c>
      <c r="BL859" s="45"/>
      <c r="BM859" s="45"/>
      <c r="BN859" s="45"/>
      <c r="BO859" s="45"/>
      <c r="BP859" s="45"/>
      <c r="BQ859" s="45"/>
      <c r="BR859" s="45"/>
      <c r="BS859" s="45"/>
      <c r="BT859" s="45"/>
      <c r="BU859" s="45"/>
      <c r="BV859" s="45"/>
      <c r="BW859" s="45"/>
      <c r="BX859" s="45"/>
      <c r="BY859" s="45"/>
      <c r="BZ859" s="45"/>
      <c r="CA859" s="45"/>
      <c r="CB859" s="45"/>
      <c r="CC859" s="45"/>
      <c r="CD859" s="463"/>
      <c r="CE859">
        <v>0</v>
      </c>
      <c r="CF859">
        <v>0</v>
      </c>
      <c r="CG859">
        <v>0</v>
      </c>
      <c r="CH859">
        <v>0</v>
      </c>
      <c r="CI859">
        <v>0</v>
      </c>
      <c r="CJ859">
        <v>0</v>
      </c>
      <c r="CK859">
        <v>0</v>
      </c>
      <c r="CL859">
        <v>0</v>
      </c>
      <c r="CM859">
        <v>0</v>
      </c>
      <c r="CN859">
        <v>0</v>
      </c>
      <c r="CO859">
        <v>0</v>
      </c>
      <c r="CP859">
        <v>0</v>
      </c>
      <c r="CQ859">
        <v>0</v>
      </c>
      <c r="CR859">
        <v>0</v>
      </c>
      <c r="CS859">
        <v>0</v>
      </c>
      <c r="CT859">
        <v>0</v>
      </c>
      <c r="CU859">
        <v>0</v>
      </c>
      <c r="CV859">
        <v>0</v>
      </c>
      <c r="CW859">
        <v>0</v>
      </c>
      <c r="CX859">
        <v>0</v>
      </c>
      <c r="CY859">
        <v>0</v>
      </c>
      <c r="CZ859">
        <v>0</v>
      </c>
      <c r="DA859">
        <v>0</v>
      </c>
      <c r="DB859">
        <v>0</v>
      </c>
      <c r="DC859">
        <v>0</v>
      </c>
      <c r="DD859">
        <v>0</v>
      </c>
      <c r="DE859">
        <v>0</v>
      </c>
      <c r="DF859">
        <v>0</v>
      </c>
      <c r="DG859">
        <v>0</v>
      </c>
      <c r="DH859">
        <v>0</v>
      </c>
      <c r="DI859">
        <v>0</v>
      </c>
      <c r="DJ859">
        <v>0</v>
      </c>
      <c r="DK859">
        <v>0</v>
      </c>
      <c r="DL859">
        <v>0</v>
      </c>
      <c r="DM859">
        <v>0</v>
      </c>
      <c r="DN859">
        <v>0</v>
      </c>
      <c r="DO859">
        <v>0</v>
      </c>
      <c r="DP859">
        <v>0</v>
      </c>
      <c r="DQ859">
        <v>0</v>
      </c>
      <c r="DR859">
        <v>0</v>
      </c>
      <c r="DS859">
        <v>0</v>
      </c>
      <c r="DT859">
        <v>0</v>
      </c>
      <c r="DU859">
        <v>0</v>
      </c>
    </row>
    <row r="860" spans="2:125">
      <c r="B860" s="136">
        <v>851</v>
      </c>
      <c r="C860" s="138">
        <v>1</v>
      </c>
      <c r="D860" s="474">
        <v>3671.012994556032</v>
      </c>
      <c r="E860" s="127">
        <v>272.17766148898602</v>
      </c>
      <c r="F860" s="447">
        <v>0.37835462009477538</v>
      </c>
      <c r="G860" s="127">
        <v>120.82120469327167</v>
      </c>
      <c r="H860" s="132">
        <v>65.975804996440786</v>
      </c>
      <c r="I860" s="456"/>
      <c r="J860" s="45"/>
      <c r="K860" s="45">
        <v>530</v>
      </c>
      <c r="L860" s="463"/>
      <c r="M860" s="456">
        <v>28.348949432373047</v>
      </c>
      <c r="N860" s="457"/>
      <c r="O860" s="456"/>
      <c r="P860" s="46"/>
      <c r="Q860" s="463">
        <v>81.0714111328125</v>
      </c>
      <c r="R860" s="449"/>
      <c r="S860" s="463"/>
      <c r="T860" s="480"/>
      <c r="U860" s="468"/>
      <c r="V860" s="449"/>
      <c r="W860" s="45">
        <v>1429.875732421875</v>
      </c>
      <c r="X860" s="463">
        <v>121.29554748535156</v>
      </c>
      <c r="Y860" s="449"/>
      <c r="Z860" s="45"/>
      <c r="AA860" s="468">
        <v>0.36948320164700876</v>
      </c>
      <c r="AB860" s="456"/>
      <c r="AC860" s="46"/>
      <c r="AD860" s="46"/>
      <c r="AE860" s="46"/>
      <c r="AF860" s="46"/>
      <c r="AG860" s="46"/>
      <c r="AH860" s="46"/>
      <c r="AI860" s="457"/>
      <c r="AJ860" s="138"/>
      <c r="AK860" s="745"/>
      <c r="AL860" s="54"/>
      <c r="AM860" s="468"/>
      <c r="AN860" s="449"/>
      <c r="AO860" s="45"/>
      <c r="AP860" s="45"/>
      <c r="AQ860" s="45"/>
      <c r="AR860" s="45"/>
      <c r="AS860" s="45"/>
      <c r="AT860" s="45"/>
      <c r="AU860" s="463"/>
      <c r="AV860" s="449"/>
      <c r="AW860" s="45"/>
      <c r="AX860" s="45"/>
      <c r="AY860" s="45"/>
      <c r="AZ860" s="45"/>
      <c r="BA860" s="45"/>
      <c r="BB860" s="45"/>
      <c r="BC860" s="463"/>
      <c r="BD860" s="456"/>
      <c r="BE860" s="46"/>
      <c r="BF860" s="46"/>
      <c r="BG860" s="46"/>
      <c r="BH860" s="46"/>
      <c r="BI860" s="46"/>
      <c r="BJ860" s="457"/>
      <c r="BK860" s="449">
        <v>0</v>
      </c>
      <c r="BL860" s="45"/>
      <c r="BM860" s="45"/>
      <c r="BN860" s="45"/>
      <c r="BO860" s="45"/>
      <c r="BP860" s="45"/>
      <c r="BQ860" s="45"/>
      <c r="BR860" s="45"/>
      <c r="BS860" s="45"/>
      <c r="BT860" s="45"/>
      <c r="BU860" s="45"/>
      <c r="BV860" s="45"/>
      <c r="BW860" s="45"/>
      <c r="BX860" s="45"/>
      <c r="BY860" s="45"/>
      <c r="BZ860" s="45"/>
      <c r="CA860" s="45"/>
      <c r="CB860" s="45"/>
      <c r="CC860" s="45"/>
      <c r="CD860" s="463"/>
      <c r="CE860">
        <v>0</v>
      </c>
      <c r="CF860">
        <v>0</v>
      </c>
      <c r="CG860">
        <v>0</v>
      </c>
      <c r="CH860">
        <v>0</v>
      </c>
      <c r="CI860">
        <v>0</v>
      </c>
      <c r="CJ860">
        <v>0</v>
      </c>
      <c r="CK860">
        <v>0</v>
      </c>
      <c r="CL860">
        <v>0</v>
      </c>
      <c r="CM860">
        <v>0</v>
      </c>
      <c r="CN860">
        <v>0</v>
      </c>
      <c r="CO860">
        <v>0</v>
      </c>
      <c r="CP860">
        <v>0</v>
      </c>
      <c r="CQ860">
        <v>0</v>
      </c>
      <c r="CR860">
        <v>0</v>
      </c>
      <c r="CS860">
        <v>0</v>
      </c>
      <c r="CT860">
        <v>0</v>
      </c>
      <c r="CU860">
        <v>0</v>
      </c>
      <c r="CV860">
        <v>0</v>
      </c>
      <c r="CW860">
        <v>0</v>
      </c>
      <c r="CX860">
        <v>0</v>
      </c>
      <c r="CY860">
        <v>0</v>
      </c>
      <c r="CZ860">
        <v>0</v>
      </c>
      <c r="DA860">
        <v>0</v>
      </c>
      <c r="DB860">
        <v>0</v>
      </c>
      <c r="DC860">
        <v>0</v>
      </c>
      <c r="DD860">
        <v>0</v>
      </c>
      <c r="DE860">
        <v>0</v>
      </c>
      <c r="DF860">
        <v>0</v>
      </c>
      <c r="DG860">
        <v>0</v>
      </c>
      <c r="DH860">
        <v>0</v>
      </c>
      <c r="DI860">
        <v>0</v>
      </c>
      <c r="DJ860">
        <v>0</v>
      </c>
      <c r="DK860">
        <v>0</v>
      </c>
      <c r="DL860">
        <v>0</v>
      </c>
      <c r="DM860">
        <v>0</v>
      </c>
      <c r="DN860">
        <v>0</v>
      </c>
      <c r="DO860">
        <v>0</v>
      </c>
      <c r="DP860">
        <v>0</v>
      </c>
      <c r="DQ860">
        <v>0</v>
      </c>
      <c r="DR860">
        <v>0</v>
      </c>
      <c r="DS860">
        <v>0</v>
      </c>
      <c r="DT860">
        <v>0</v>
      </c>
      <c r="DU860">
        <v>0</v>
      </c>
    </row>
    <row r="861" spans="2:125">
      <c r="B861" s="136">
        <v>852</v>
      </c>
      <c r="C861" s="138">
        <v>1</v>
      </c>
      <c r="D861" s="474">
        <v>2798.2488751155474</v>
      </c>
      <c r="E861" s="127">
        <v>274.253857979533</v>
      </c>
      <c r="F861" s="447">
        <v>0.36020122480414501</v>
      </c>
      <c r="G861" s="127">
        <v>90.047670115444888</v>
      </c>
      <c r="H861" s="132">
        <v>52.692361528520486</v>
      </c>
      <c r="I861" s="456"/>
      <c r="J861" s="45"/>
      <c r="K861" s="45">
        <v>380</v>
      </c>
      <c r="L861" s="463"/>
      <c r="M861" s="456">
        <v>26.670078277587891</v>
      </c>
      <c r="N861" s="457"/>
      <c r="O861" s="456"/>
      <c r="P861" s="46"/>
      <c r="Q861" s="463">
        <v>55.405326843261719</v>
      </c>
      <c r="R861" s="449"/>
      <c r="S861" s="463"/>
      <c r="T861" s="480"/>
      <c r="U861" s="468"/>
      <c r="V861" s="449"/>
      <c r="W861" s="45">
        <v>1026.653564453125</v>
      </c>
      <c r="X861" s="463">
        <v>91.330039978027344</v>
      </c>
      <c r="Y861" s="449"/>
      <c r="Z861" s="45"/>
      <c r="AA861" s="468">
        <v>0.34869258996381008</v>
      </c>
      <c r="AB861" s="456"/>
      <c r="AC861" s="46"/>
      <c r="AD861" s="46"/>
      <c r="AE861" s="46"/>
      <c r="AF861" s="46"/>
      <c r="AG861" s="46"/>
      <c r="AH861" s="46"/>
      <c r="AI861" s="457"/>
      <c r="AJ861" s="138"/>
      <c r="AK861" s="745"/>
      <c r="AL861" s="54"/>
      <c r="AM861" s="468"/>
      <c r="AN861" s="449"/>
      <c r="AO861" s="45"/>
      <c r="AP861" s="45"/>
      <c r="AQ861" s="45"/>
      <c r="AR861" s="45"/>
      <c r="AS861" s="45"/>
      <c r="AT861" s="45"/>
      <c r="AU861" s="463"/>
      <c r="AV861" s="449"/>
      <c r="AW861" s="45"/>
      <c r="AX861" s="45"/>
      <c r="AY861" s="45"/>
      <c r="AZ861" s="45"/>
      <c r="BA861" s="45"/>
      <c r="BB861" s="45"/>
      <c r="BC861" s="463"/>
      <c r="BD861" s="456"/>
      <c r="BE861" s="46"/>
      <c r="BF861" s="46"/>
      <c r="BG861" s="46"/>
      <c r="BH861" s="46"/>
      <c r="BI861" s="46"/>
      <c r="BJ861" s="457"/>
      <c r="BK861" s="449">
        <v>0</v>
      </c>
      <c r="BL861" s="45"/>
      <c r="BM861" s="45"/>
      <c r="BN861" s="45"/>
      <c r="BO861" s="45"/>
      <c r="BP861" s="45"/>
      <c r="BQ861" s="45"/>
      <c r="BR861" s="45"/>
      <c r="BS861" s="45"/>
      <c r="BT861" s="45"/>
      <c r="BU861" s="45"/>
      <c r="BV861" s="45"/>
      <c r="BW861" s="45"/>
      <c r="BX861" s="45"/>
      <c r="BY861" s="45"/>
      <c r="BZ861" s="45"/>
      <c r="CA861" s="45"/>
      <c r="CB861" s="45"/>
      <c r="CC861" s="45"/>
      <c r="CD861" s="463"/>
      <c r="CE861">
        <v>0</v>
      </c>
      <c r="CF861">
        <v>0</v>
      </c>
      <c r="CG861">
        <v>0</v>
      </c>
      <c r="CH861">
        <v>0</v>
      </c>
      <c r="CI861">
        <v>0</v>
      </c>
      <c r="CJ861">
        <v>0</v>
      </c>
      <c r="CK861">
        <v>0</v>
      </c>
      <c r="CL861">
        <v>0</v>
      </c>
      <c r="CM861">
        <v>0</v>
      </c>
      <c r="CN861">
        <v>0</v>
      </c>
      <c r="CO861">
        <v>0</v>
      </c>
      <c r="CP861">
        <v>0</v>
      </c>
      <c r="CQ861">
        <v>0</v>
      </c>
      <c r="CR861">
        <v>0</v>
      </c>
      <c r="CS861">
        <v>0</v>
      </c>
      <c r="CT861">
        <v>0</v>
      </c>
      <c r="CU861">
        <v>0</v>
      </c>
      <c r="CV861">
        <v>0</v>
      </c>
      <c r="CW861">
        <v>0</v>
      </c>
      <c r="CX861">
        <v>0</v>
      </c>
      <c r="CY861">
        <v>0</v>
      </c>
      <c r="CZ861">
        <v>0</v>
      </c>
      <c r="DA861">
        <v>0</v>
      </c>
      <c r="DB861">
        <v>0</v>
      </c>
      <c r="DC861">
        <v>0</v>
      </c>
      <c r="DD861">
        <v>0</v>
      </c>
      <c r="DE861">
        <v>0</v>
      </c>
      <c r="DF861">
        <v>0</v>
      </c>
      <c r="DG861">
        <v>0</v>
      </c>
      <c r="DH861">
        <v>0</v>
      </c>
      <c r="DI861">
        <v>0</v>
      </c>
      <c r="DJ861">
        <v>0</v>
      </c>
      <c r="DK861">
        <v>0</v>
      </c>
      <c r="DL861">
        <v>0</v>
      </c>
      <c r="DM861">
        <v>0</v>
      </c>
      <c r="DN861">
        <v>0</v>
      </c>
      <c r="DO861">
        <v>0</v>
      </c>
      <c r="DP861">
        <v>0</v>
      </c>
      <c r="DQ861">
        <v>0</v>
      </c>
      <c r="DR861">
        <v>0</v>
      </c>
      <c r="DS861">
        <v>0</v>
      </c>
      <c r="DT861">
        <v>0</v>
      </c>
      <c r="DU861">
        <v>0</v>
      </c>
    </row>
    <row r="862" spans="2:125">
      <c r="B862" s="136">
        <v>853</v>
      </c>
      <c r="C862" s="138">
        <v>1</v>
      </c>
      <c r="D862" s="474">
        <v>2848.1401153246256</v>
      </c>
      <c r="E862" s="127">
        <v>250.18295699125795</v>
      </c>
      <c r="F862" s="447">
        <v>0.38866265029874852</v>
      </c>
      <c r="G862" s="127">
        <v>94.858770341825689</v>
      </c>
      <c r="H862" s="132">
        <v>52.282793078781566</v>
      </c>
      <c r="I862" s="456"/>
      <c r="J862" s="45"/>
      <c r="K862" s="45">
        <v>400</v>
      </c>
      <c r="L862" s="463"/>
      <c r="M862" s="456">
        <v>29.319252014160156</v>
      </c>
      <c r="N862" s="457"/>
      <c r="O862" s="456"/>
      <c r="P862" s="46"/>
      <c r="Q862" s="463">
        <v>56.393180847167969</v>
      </c>
      <c r="R862" s="449"/>
      <c r="S862" s="463"/>
      <c r="T862" s="480"/>
      <c r="U862" s="468"/>
      <c r="V862" s="449"/>
      <c r="W862" s="45">
        <v>1150.8343505859375</v>
      </c>
      <c r="X862" s="463">
        <v>100.43207550048828</v>
      </c>
      <c r="Y862" s="449"/>
      <c r="Z862" s="45"/>
      <c r="AA862" s="468">
        <v>0.37715575398081946</v>
      </c>
      <c r="AB862" s="456"/>
      <c r="AC862" s="46"/>
      <c r="AD862" s="46"/>
      <c r="AE862" s="46"/>
      <c r="AF862" s="46"/>
      <c r="AG862" s="46"/>
      <c r="AH862" s="46"/>
      <c r="AI862" s="457"/>
      <c r="AJ862" s="138"/>
      <c r="AK862" s="745"/>
      <c r="AL862" s="54"/>
      <c r="AM862" s="468"/>
      <c r="AN862" s="449"/>
      <c r="AO862" s="45"/>
      <c r="AP862" s="45"/>
      <c r="AQ862" s="45"/>
      <c r="AR862" s="45"/>
      <c r="AS862" s="45"/>
      <c r="AT862" s="45"/>
      <c r="AU862" s="463"/>
      <c r="AV862" s="449"/>
      <c r="AW862" s="45"/>
      <c r="AX862" s="45"/>
      <c r="AY862" s="45"/>
      <c r="AZ862" s="45"/>
      <c r="BA862" s="45"/>
      <c r="BB862" s="45"/>
      <c r="BC862" s="463"/>
      <c r="BD862" s="456"/>
      <c r="BE862" s="46"/>
      <c r="BF862" s="46"/>
      <c r="BG862" s="46"/>
      <c r="BH862" s="46"/>
      <c r="BI862" s="46"/>
      <c r="BJ862" s="457"/>
      <c r="BK862" s="449">
        <v>0</v>
      </c>
      <c r="BL862" s="45"/>
      <c r="BM862" s="45"/>
      <c r="BN862" s="45"/>
      <c r="BO862" s="45"/>
      <c r="BP862" s="45"/>
      <c r="BQ862" s="45"/>
      <c r="BR862" s="45"/>
      <c r="BS862" s="45"/>
      <c r="BT862" s="45"/>
      <c r="BU862" s="45"/>
      <c r="BV862" s="45"/>
      <c r="BW862" s="45"/>
      <c r="BX862" s="45"/>
      <c r="BY862" s="45"/>
      <c r="BZ862" s="45"/>
      <c r="CA862" s="45"/>
      <c r="CB862" s="45"/>
      <c r="CC862" s="45"/>
      <c r="CD862" s="463"/>
      <c r="CE862">
        <v>0</v>
      </c>
      <c r="CF862">
        <v>0</v>
      </c>
      <c r="CG862">
        <v>0</v>
      </c>
      <c r="CH862">
        <v>0</v>
      </c>
      <c r="CI862">
        <v>0</v>
      </c>
      <c r="CJ862">
        <v>0</v>
      </c>
      <c r="CK862">
        <v>0</v>
      </c>
      <c r="CL862">
        <v>0</v>
      </c>
      <c r="CM862">
        <v>0</v>
      </c>
      <c r="CN862">
        <v>0</v>
      </c>
      <c r="CO862">
        <v>0</v>
      </c>
      <c r="CP862">
        <v>0</v>
      </c>
      <c r="CQ862">
        <v>0</v>
      </c>
      <c r="CR862">
        <v>0</v>
      </c>
      <c r="CS862">
        <v>0</v>
      </c>
      <c r="CT862">
        <v>0</v>
      </c>
      <c r="CU862">
        <v>0</v>
      </c>
      <c r="CV862">
        <v>0</v>
      </c>
      <c r="CW862">
        <v>0</v>
      </c>
      <c r="CX862">
        <v>0</v>
      </c>
      <c r="CY862">
        <v>0</v>
      </c>
      <c r="CZ862">
        <v>0</v>
      </c>
      <c r="DA862">
        <v>0</v>
      </c>
      <c r="DB862">
        <v>0</v>
      </c>
      <c r="DC862">
        <v>0</v>
      </c>
      <c r="DD862">
        <v>0</v>
      </c>
      <c r="DE862">
        <v>0</v>
      </c>
      <c r="DF862">
        <v>0</v>
      </c>
      <c r="DG862">
        <v>0</v>
      </c>
      <c r="DH862">
        <v>0</v>
      </c>
      <c r="DI862">
        <v>0</v>
      </c>
      <c r="DJ862">
        <v>0</v>
      </c>
      <c r="DK862">
        <v>0</v>
      </c>
      <c r="DL862">
        <v>0</v>
      </c>
      <c r="DM862">
        <v>0</v>
      </c>
      <c r="DN862">
        <v>0</v>
      </c>
      <c r="DO862">
        <v>0</v>
      </c>
      <c r="DP862">
        <v>0</v>
      </c>
      <c r="DQ862">
        <v>0</v>
      </c>
      <c r="DR862">
        <v>0</v>
      </c>
      <c r="DS862">
        <v>0</v>
      </c>
      <c r="DT862">
        <v>0</v>
      </c>
      <c r="DU862">
        <v>0</v>
      </c>
    </row>
    <row r="863" spans="2:125">
      <c r="B863" s="136">
        <v>854</v>
      </c>
      <c r="C863" s="138">
        <v>1</v>
      </c>
      <c r="D863" s="474">
        <v>3310.7468784165503</v>
      </c>
      <c r="E863" s="127">
        <v>255.77230083464758</v>
      </c>
      <c r="F863" s="447">
        <v>0.36256518781294417</v>
      </c>
      <c r="G863" s="127">
        <v>110.67001395347076</v>
      </c>
      <c r="H863" s="132">
        <v>56.614877528143658</v>
      </c>
      <c r="I863" s="456"/>
      <c r="J863" s="45"/>
      <c r="K863" s="45">
        <v>460</v>
      </c>
      <c r="L863" s="463"/>
      <c r="M863" s="456">
        <v>27.233802795410156</v>
      </c>
      <c r="N863" s="457"/>
      <c r="O863" s="456"/>
      <c r="P863" s="46"/>
      <c r="Q863" s="463">
        <v>65.552787780761719</v>
      </c>
      <c r="R863" s="449"/>
      <c r="S863" s="463"/>
      <c r="T863" s="480"/>
      <c r="U863" s="468"/>
      <c r="V863" s="449"/>
      <c r="W863" s="45">
        <v>1206.5902099609375</v>
      </c>
      <c r="X863" s="463">
        <v>104.74416351318359</v>
      </c>
      <c r="Y863" s="449"/>
      <c r="Z863" s="45"/>
      <c r="AA863" s="468">
        <v>0.35282378959053345</v>
      </c>
      <c r="AB863" s="456"/>
      <c r="AC863" s="46"/>
      <c r="AD863" s="46"/>
      <c r="AE863" s="46"/>
      <c r="AF863" s="46"/>
      <c r="AG863" s="46"/>
      <c r="AH863" s="46"/>
      <c r="AI863" s="457"/>
      <c r="AJ863" s="138"/>
      <c r="AK863" s="745"/>
      <c r="AL863" s="54"/>
      <c r="AM863" s="468"/>
      <c r="AN863" s="449"/>
      <c r="AO863" s="45"/>
      <c r="AP863" s="45"/>
      <c r="AQ863" s="45"/>
      <c r="AR863" s="45"/>
      <c r="AS863" s="45"/>
      <c r="AT863" s="45"/>
      <c r="AU863" s="463"/>
      <c r="AV863" s="449"/>
      <c r="AW863" s="45"/>
      <c r="AX863" s="45"/>
      <c r="AY863" s="45"/>
      <c r="AZ863" s="45"/>
      <c r="BA863" s="45"/>
      <c r="BB863" s="45"/>
      <c r="BC863" s="463"/>
      <c r="BD863" s="456"/>
      <c r="BE863" s="46"/>
      <c r="BF863" s="46"/>
      <c r="BG863" s="46"/>
      <c r="BH863" s="46"/>
      <c r="BI863" s="46"/>
      <c r="BJ863" s="457"/>
      <c r="BK863" s="449">
        <v>0</v>
      </c>
      <c r="BL863" s="45"/>
      <c r="BM863" s="45"/>
      <c r="BN863" s="45"/>
      <c r="BO863" s="45"/>
      <c r="BP863" s="45"/>
      <c r="BQ863" s="45"/>
      <c r="BR863" s="45"/>
      <c r="BS863" s="45"/>
      <c r="BT863" s="45"/>
      <c r="BU863" s="45"/>
      <c r="BV863" s="45"/>
      <c r="BW863" s="45"/>
      <c r="BX863" s="45"/>
      <c r="BY863" s="45"/>
      <c r="BZ863" s="45"/>
      <c r="CA863" s="45"/>
      <c r="CB863" s="45"/>
      <c r="CC863" s="45"/>
      <c r="CD863" s="463"/>
      <c r="CE863">
        <v>0</v>
      </c>
      <c r="CF863">
        <v>0</v>
      </c>
      <c r="CG863">
        <v>0</v>
      </c>
      <c r="CH863">
        <v>0</v>
      </c>
      <c r="CI863">
        <v>0</v>
      </c>
      <c r="CJ863">
        <v>0</v>
      </c>
      <c r="CK863">
        <v>0</v>
      </c>
      <c r="CL863">
        <v>0</v>
      </c>
      <c r="CM863">
        <v>0</v>
      </c>
      <c r="CN863">
        <v>0</v>
      </c>
      <c r="CO863">
        <v>0</v>
      </c>
      <c r="CP863">
        <v>0</v>
      </c>
      <c r="CQ863">
        <v>0</v>
      </c>
      <c r="CR863">
        <v>0</v>
      </c>
      <c r="CS863">
        <v>0</v>
      </c>
      <c r="CT863">
        <v>0</v>
      </c>
      <c r="CU863">
        <v>0</v>
      </c>
      <c r="CV863">
        <v>0</v>
      </c>
      <c r="CW863">
        <v>0</v>
      </c>
      <c r="CX863">
        <v>0</v>
      </c>
      <c r="CY863">
        <v>0</v>
      </c>
      <c r="CZ863">
        <v>0</v>
      </c>
      <c r="DA863">
        <v>0</v>
      </c>
      <c r="DB863">
        <v>0</v>
      </c>
      <c r="DC863">
        <v>0</v>
      </c>
      <c r="DD863">
        <v>0</v>
      </c>
      <c r="DE863">
        <v>0</v>
      </c>
      <c r="DF863">
        <v>0</v>
      </c>
      <c r="DG863">
        <v>0</v>
      </c>
      <c r="DH863">
        <v>0</v>
      </c>
      <c r="DI863">
        <v>0</v>
      </c>
      <c r="DJ863">
        <v>0</v>
      </c>
      <c r="DK863">
        <v>0</v>
      </c>
      <c r="DL863">
        <v>0</v>
      </c>
      <c r="DM863">
        <v>0</v>
      </c>
      <c r="DN863">
        <v>0</v>
      </c>
      <c r="DO863">
        <v>0</v>
      </c>
      <c r="DP863">
        <v>0</v>
      </c>
      <c r="DQ863">
        <v>0</v>
      </c>
      <c r="DR863">
        <v>0</v>
      </c>
      <c r="DS863">
        <v>0</v>
      </c>
      <c r="DT863">
        <v>0</v>
      </c>
      <c r="DU863">
        <v>0</v>
      </c>
    </row>
    <row r="864" spans="2:125">
      <c r="B864" s="136">
        <v>855</v>
      </c>
      <c r="C864" s="138">
        <v>1</v>
      </c>
      <c r="D864" s="474">
        <v>3096.836292175878</v>
      </c>
      <c r="E864" s="127">
        <v>244.47825095758495</v>
      </c>
      <c r="F864" s="447">
        <v>0.39538912355935452</v>
      </c>
      <c r="G864" s="127">
        <v>96.471608507250579</v>
      </c>
      <c r="H864" s="132">
        <v>63.111176965743098</v>
      </c>
      <c r="I864" s="456"/>
      <c r="J864" s="45"/>
      <c r="K864" s="45">
        <v>440</v>
      </c>
      <c r="L864" s="463"/>
      <c r="M864" s="456">
        <v>28.26814079284668</v>
      </c>
      <c r="N864" s="457"/>
      <c r="O864" s="456"/>
      <c r="P864" s="46"/>
      <c r="Q864" s="463">
        <v>69.770065307617187</v>
      </c>
      <c r="R864" s="449"/>
      <c r="S864" s="463"/>
      <c r="T864" s="480"/>
      <c r="U864" s="468"/>
      <c r="V864" s="449"/>
      <c r="W864" s="45">
        <v>1287.6861572265625</v>
      </c>
      <c r="X864" s="463">
        <v>110.58834075927734</v>
      </c>
      <c r="Y864" s="449"/>
      <c r="Z864" s="45"/>
      <c r="AA864" s="468">
        <v>0.38476286522134412</v>
      </c>
      <c r="AB864" s="456"/>
      <c r="AC864" s="46"/>
      <c r="AD864" s="46"/>
      <c r="AE864" s="46"/>
      <c r="AF864" s="46"/>
      <c r="AG864" s="46"/>
      <c r="AH864" s="46"/>
      <c r="AI864" s="457"/>
      <c r="AJ864" s="138"/>
      <c r="AK864" s="745"/>
      <c r="AL864" s="54"/>
      <c r="AM864" s="468"/>
      <c r="AN864" s="449"/>
      <c r="AO864" s="45"/>
      <c r="AP864" s="45"/>
      <c r="AQ864" s="45"/>
      <c r="AR864" s="45"/>
      <c r="AS864" s="45"/>
      <c r="AT864" s="45"/>
      <c r="AU864" s="463"/>
      <c r="AV864" s="449"/>
      <c r="AW864" s="45"/>
      <c r="AX864" s="45"/>
      <c r="AY864" s="45"/>
      <c r="AZ864" s="45"/>
      <c r="BA864" s="45"/>
      <c r="BB864" s="45"/>
      <c r="BC864" s="463"/>
      <c r="BD864" s="456"/>
      <c r="BE864" s="46"/>
      <c r="BF864" s="46"/>
      <c r="BG864" s="46"/>
      <c r="BH864" s="46"/>
      <c r="BI864" s="46"/>
      <c r="BJ864" s="457"/>
      <c r="BK864" s="449">
        <v>0</v>
      </c>
      <c r="BL864" s="45"/>
      <c r="BM864" s="45"/>
      <c r="BN864" s="45"/>
      <c r="BO864" s="45"/>
      <c r="BP864" s="45"/>
      <c r="BQ864" s="45"/>
      <c r="BR864" s="45"/>
      <c r="BS864" s="45"/>
      <c r="BT864" s="45"/>
      <c r="BU864" s="45"/>
      <c r="BV864" s="45"/>
      <c r="BW864" s="45"/>
      <c r="BX864" s="45"/>
      <c r="BY864" s="45"/>
      <c r="BZ864" s="45"/>
      <c r="CA864" s="45"/>
      <c r="CB864" s="45"/>
      <c r="CC864" s="45"/>
      <c r="CD864" s="463"/>
      <c r="CE864">
        <v>0</v>
      </c>
      <c r="CF864">
        <v>0</v>
      </c>
      <c r="CG864">
        <v>0</v>
      </c>
      <c r="CH864">
        <v>0</v>
      </c>
      <c r="CI864">
        <v>0</v>
      </c>
      <c r="CJ864">
        <v>0</v>
      </c>
      <c r="CK864">
        <v>0</v>
      </c>
      <c r="CL864">
        <v>0</v>
      </c>
      <c r="CM864">
        <v>0</v>
      </c>
      <c r="CN864">
        <v>0</v>
      </c>
      <c r="CO864">
        <v>0</v>
      </c>
      <c r="CP864">
        <v>0</v>
      </c>
      <c r="CQ864">
        <v>0</v>
      </c>
      <c r="CR864">
        <v>0</v>
      </c>
      <c r="CS864">
        <v>0</v>
      </c>
      <c r="CT864">
        <v>0</v>
      </c>
      <c r="CU864">
        <v>0</v>
      </c>
      <c r="CV864">
        <v>0</v>
      </c>
      <c r="CW864">
        <v>0</v>
      </c>
      <c r="CX864">
        <v>0</v>
      </c>
      <c r="CY864">
        <v>0</v>
      </c>
      <c r="CZ864">
        <v>0</v>
      </c>
      <c r="DA864">
        <v>0</v>
      </c>
      <c r="DB864">
        <v>0</v>
      </c>
      <c r="DC864">
        <v>0</v>
      </c>
      <c r="DD864">
        <v>0</v>
      </c>
      <c r="DE864">
        <v>0</v>
      </c>
      <c r="DF864">
        <v>0</v>
      </c>
      <c r="DG864">
        <v>0</v>
      </c>
      <c r="DH864">
        <v>0</v>
      </c>
      <c r="DI864">
        <v>0</v>
      </c>
      <c r="DJ864">
        <v>0</v>
      </c>
      <c r="DK864">
        <v>0</v>
      </c>
      <c r="DL864">
        <v>0</v>
      </c>
      <c r="DM864">
        <v>0</v>
      </c>
      <c r="DN864">
        <v>0</v>
      </c>
      <c r="DO864">
        <v>0</v>
      </c>
      <c r="DP864">
        <v>0</v>
      </c>
      <c r="DQ864">
        <v>0</v>
      </c>
      <c r="DR864">
        <v>0</v>
      </c>
      <c r="DS864">
        <v>0</v>
      </c>
      <c r="DT864">
        <v>0</v>
      </c>
      <c r="DU864">
        <v>0</v>
      </c>
    </row>
    <row r="865" spans="2:125">
      <c r="B865" s="136">
        <v>856</v>
      </c>
      <c r="C865" s="138">
        <v>1</v>
      </c>
      <c r="D865" s="474">
        <v>3948.4612488421649</v>
      </c>
      <c r="E865" s="127">
        <v>245.9103382626397</v>
      </c>
      <c r="F865" s="447">
        <v>0.40424939803729815</v>
      </c>
      <c r="G865" s="127">
        <v>132.56005168622335</v>
      </c>
      <c r="H865" s="132">
        <v>67.280175490802378</v>
      </c>
      <c r="I865" s="456"/>
      <c r="J865" s="45"/>
      <c r="K865" s="45">
        <v>580</v>
      </c>
      <c r="L865" s="463"/>
      <c r="M865" s="456">
        <v>32.007316589355469</v>
      </c>
      <c r="N865" s="457"/>
      <c r="O865" s="456"/>
      <c r="P865" s="46"/>
      <c r="Q865" s="463">
        <v>86.532791137695312</v>
      </c>
      <c r="R865" s="449"/>
      <c r="S865" s="463"/>
      <c r="T865" s="480"/>
      <c r="U865" s="468"/>
      <c r="V865" s="449"/>
      <c r="W865" s="45">
        <v>1662.5589599609375</v>
      </c>
      <c r="X865" s="463">
        <v>138.40432739257812</v>
      </c>
      <c r="Y865" s="449"/>
      <c r="Z865" s="45"/>
      <c r="AA865" s="468">
        <v>0.39587018753587866</v>
      </c>
      <c r="AB865" s="456"/>
      <c r="AC865" s="46"/>
      <c r="AD865" s="46"/>
      <c r="AE865" s="46"/>
      <c r="AF865" s="46"/>
      <c r="AG865" s="46"/>
      <c r="AH865" s="46"/>
      <c r="AI865" s="457"/>
      <c r="AJ865" s="138"/>
      <c r="AK865" s="745"/>
      <c r="AL865" s="54"/>
      <c r="AM865" s="468"/>
      <c r="AN865" s="449"/>
      <c r="AO865" s="45"/>
      <c r="AP865" s="45"/>
      <c r="AQ865" s="45"/>
      <c r="AR865" s="45"/>
      <c r="AS865" s="45"/>
      <c r="AT865" s="45"/>
      <c r="AU865" s="463"/>
      <c r="AV865" s="449"/>
      <c r="AW865" s="45"/>
      <c r="AX865" s="45"/>
      <c r="AY865" s="45"/>
      <c r="AZ865" s="45"/>
      <c r="BA865" s="45"/>
      <c r="BB865" s="45"/>
      <c r="BC865" s="463"/>
      <c r="BD865" s="456"/>
      <c r="BE865" s="46"/>
      <c r="BF865" s="46"/>
      <c r="BG865" s="46"/>
      <c r="BH865" s="46"/>
      <c r="BI865" s="46"/>
      <c r="BJ865" s="457"/>
      <c r="BK865" s="449">
        <v>0</v>
      </c>
      <c r="BL865" s="45"/>
      <c r="BM865" s="45"/>
      <c r="BN865" s="45"/>
      <c r="BO865" s="45"/>
      <c r="BP865" s="45"/>
      <c r="BQ865" s="45"/>
      <c r="BR865" s="45"/>
      <c r="BS865" s="45"/>
      <c r="BT865" s="45"/>
      <c r="BU865" s="45"/>
      <c r="BV865" s="45"/>
      <c r="BW865" s="45"/>
      <c r="BX865" s="45"/>
      <c r="BY865" s="45"/>
      <c r="BZ865" s="45"/>
      <c r="CA865" s="45"/>
      <c r="CB865" s="45"/>
      <c r="CC865" s="45"/>
      <c r="CD865" s="463"/>
      <c r="CE865">
        <v>0</v>
      </c>
      <c r="CF865">
        <v>0</v>
      </c>
      <c r="CG865">
        <v>0</v>
      </c>
      <c r="CH865">
        <v>0</v>
      </c>
      <c r="CI865">
        <v>0</v>
      </c>
      <c r="CJ865">
        <v>0</v>
      </c>
      <c r="CK865">
        <v>0</v>
      </c>
      <c r="CL865">
        <v>0</v>
      </c>
      <c r="CM865">
        <v>0</v>
      </c>
      <c r="CN865">
        <v>0</v>
      </c>
      <c r="CO865">
        <v>0</v>
      </c>
      <c r="CP865">
        <v>0</v>
      </c>
      <c r="CQ865">
        <v>0</v>
      </c>
      <c r="CR865">
        <v>0</v>
      </c>
      <c r="CS865">
        <v>0</v>
      </c>
      <c r="CT865">
        <v>0</v>
      </c>
      <c r="CU865">
        <v>0</v>
      </c>
      <c r="CV865">
        <v>0</v>
      </c>
      <c r="CW865">
        <v>0</v>
      </c>
      <c r="CX865">
        <v>0</v>
      </c>
      <c r="CY865">
        <v>0</v>
      </c>
      <c r="CZ865">
        <v>0</v>
      </c>
      <c r="DA865">
        <v>0</v>
      </c>
      <c r="DB865">
        <v>0</v>
      </c>
      <c r="DC865">
        <v>0</v>
      </c>
      <c r="DD865">
        <v>0</v>
      </c>
      <c r="DE865">
        <v>0</v>
      </c>
      <c r="DF865">
        <v>0</v>
      </c>
      <c r="DG865">
        <v>0</v>
      </c>
      <c r="DH865">
        <v>0</v>
      </c>
      <c r="DI865">
        <v>0</v>
      </c>
      <c r="DJ865">
        <v>0</v>
      </c>
      <c r="DK865">
        <v>0</v>
      </c>
      <c r="DL865">
        <v>0</v>
      </c>
      <c r="DM865">
        <v>0</v>
      </c>
      <c r="DN865">
        <v>0</v>
      </c>
      <c r="DO865">
        <v>0</v>
      </c>
      <c r="DP865">
        <v>0</v>
      </c>
      <c r="DQ865">
        <v>0</v>
      </c>
      <c r="DR865">
        <v>0</v>
      </c>
      <c r="DS865">
        <v>0</v>
      </c>
      <c r="DT865">
        <v>0</v>
      </c>
      <c r="DU865">
        <v>0</v>
      </c>
    </row>
    <row r="866" spans="2:125">
      <c r="B866" s="136">
        <v>857</v>
      </c>
      <c r="C866" s="138">
        <v>1</v>
      </c>
      <c r="D866" s="474">
        <v>2769.4055082381838</v>
      </c>
      <c r="E866" s="127">
        <v>196.1777282061002</v>
      </c>
      <c r="F866" s="447">
        <v>0.36462822787877786</v>
      </c>
      <c r="G866" s="127">
        <v>111.23700188553583</v>
      </c>
      <c r="H866" s="132">
        <v>44.821370079580866</v>
      </c>
      <c r="I866" s="456"/>
      <c r="J866" s="45"/>
      <c r="K866" s="45">
        <v>430</v>
      </c>
      <c r="L866" s="463"/>
      <c r="M866" s="456">
        <v>30.046344757080078</v>
      </c>
      <c r="N866" s="457"/>
      <c r="O866" s="456"/>
      <c r="P866" s="46"/>
      <c r="Q866" s="463">
        <v>54.834228515625</v>
      </c>
      <c r="R866" s="449"/>
      <c r="S866" s="463"/>
      <c r="T866" s="480"/>
      <c r="U866" s="468"/>
      <c r="V866" s="449"/>
      <c r="W866" s="45">
        <v>1153.0596923828125</v>
      </c>
      <c r="X866" s="463">
        <v>100.72684478759766</v>
      </c>
      <c r="Y866" s="449"/>
      <c r="Z866" s="45"/>
      <c r="AA866" s="468">
        <v>0.35296775978859946</v>
      </c>
      <c r="AB866" s="456"/>
      <c r="AC866" s="46"/>
      <c r="AD866" s="46"/>
      <c r="AE866" s="46"/>
      <c r="AF866" s="46"/>
      <c r="AG866" s="46"/>
      <c r="AH866" s="46"/>
      <c r="AI866" s="457"/>
      <c r="AJ866" s="138"/>
      <c r="AK866" s="745"/>
      <c r="AL866" s="54"/>
      <c r="AM866" s="468"/>
      <c r="AN866" s="449"/>
      <c r="AO866" s="45"/>
      <c r="AP866" s="45"/>
      <c r="AQ866" s="45"/>
      <c r="AR866" s="45"/>
      <c r="AS866" s="45"/>
      <c r="AT866" s="45"/>
      <c r="AU866" s="463"/>
      <c r="AV866" s="449"/>
      <c r="AW866" s="45"/>
      <c r="AX866" s="45"/>
      <c r="AY866" s="45"/>
      <c r="AZ866" s="45"/>
      <c r="BA866" s="45"/>
      <c r="BB866" s="45"/>
      <c r="BC866" s="463"/>
      <c r="BD866" s="456"/>
      <c r="BE866" s="46"/>
      <c r="BF866" s="46"/>
      <c r="BG866" s="46"/>
      <c r="BH866" s="46"/>
      <c r="BI866" s="46"/>
      <c r="BJ866" s="457"/>
      <c r="BK866" s="449">
        <v>0</v>
      </c>
      <c r="BL866" s="45"/>
      <c r="BM866" s="45"/>
      <c r="BN866" s="45"/>
      <c r="BO866" s="45"/>
      <c r="BP866" s="45"/>
      <c r="BQ866" s="45"/>
      <c r="BR866" s="45"/>
      <c r="BS866" s="45"/>
      <c r="BT866" s="45"/>
      <c r="BU866" s="45"/>
      <c r="BV866" s="45"/>
      <c r="BW866" s="45"/>
      <c r="BX866" s="45"/>
      <c r="BY866" s="45"/>
      <c r="BZ866" s="45"/>
      <c r="CA866" s="45"/>
      <c r="CB866" s="45"/>
      <c r="CC866" s="45"/>
      <c r="CD866" s="463"/>
      <c r="CE866">
        <v>0</v>
      </c>
      <c r="CF866">
        <v>0</v>
      </c>
      <c r="CG866">
        <v>0</v>
      </c>
      <c r="CH866">
        <v>0</v>
      </c>
      <c r="CI866">
        <v>0</v>
      </c>
      <c r="CJ866">
        <v>0</v>
      </c>
      <c r="CK866">
        <v>0</v>
      </c>
      <c r="CL866">
        <v>0</v>
      </c>
      <c r="CM866">
        <v>0</v>
      </c>
      <c r="CN866">
        <v>0</v>
      </c>
      <c r="CO866">
        <v>0</v>
      </c>
      <c r="CP866">
        <v>0</v>
      </c>
      <c r="CQ866">
        <v>0</v>
      </c>
      <c r="CR866">
        <v>0</v>
      </c>
      <c r="CS866">
        <v>0</v>
      </c>
      <c r="CT866">
        <v>0</v>
      </c>
      <c r="CU866">
        <v>0</v>
      </c>
      <c r="CV866">
        <v>0</v>
      </c>
      <c r="CW866">
        <v>0</v>
      </c>
      <c r="CX866">
        <v>0</v>
      </c>
      <c r="CY866">
        <v>0</v>
      </c>
      <c r="CZ866">
        <v>0</v>
      </c>
      <c r="DA866">
        <v>0</v>
      </c>
      <c r="DB866">
        <v>0</v>
      </c>
      <c r="DC866">
        <v>0</v>
      </c>
      <c r="DD866">
        <v>0</v>
      </c>
      <c r="DE866">
        <v>0</v>
      </c>
      <c r="DF866">
        <v>0</v>
      </c>
      <c r="DG866">
        <v>0</v>
      </c>
      <c r="DH866">
        <v>0</v>
      </c>
      <c r="DI866">
        <v>0</v>
      </c>
      <c r="DJ866">
        <v>0</v>
      </c>
      <c r="DK866">
        <v>0</v>
      </c>
      <c r="DL866">
        <v>0</v>
      </c>
      <c r="DM866">
        <v>0</v>
      </c>
      <c r="DN866">
        <v>0</v>
      </c>
      <c r="DO866">
        <v>0</v>
      </c>
      <c r="DP866">
        <v>0</v>
      </c>
      <c r="DQ866">
        <v>0</v>
      </c>
      <c r="DR866">
        <v>0</v>
      </c>
      <c r="DS866">
        <v>0</v>
      </c>
      <c r="DT866">
        <v>0</v>
      </c>
      <c r="DU866">
        <v>0</v>
      </c>
    </row>
    <row r="867" spans="2:125">
      <c r="B867" s="136">
        <v>858</v>
      </c>
      <c r="C867" s="138">
        <v>1</v>
      </c>
      <c r="D867" s="474">
        <v>3537.8728196702759</v>
      </c>
      <c r="E867" s="127">
        <v>215.92665937797148</v>
      </c>
      <c r="F867" s="447">
        <v>0.47824281292779119</v>
      </c>
      <c r="G867" s="127">
        <v>129.3954564558222</v>
      </c>
      <c r="H867" s="132">
        <v>62.344307655742739</v>
      </c>
      <c r="I867" s="456"/>
      <c r="J867" s="45"/>
      <c r="K867" s="45">
        <v>560</v>
      </c>
      <c r="L867" s="463"/>
      <c r="M867" s="456">
        <v>45.531925201416016</v>
      </c>
      <c r="N867" s="457"/>
      <c r="O867" s="456"/>
      <c r="P867" s="46"/>
      <c r="Q867" s="463">
        <v>78.210105895996094</v>
      </c>
      <c r="R867" s="449"/>
      <c r="S867" s="463"/>
      <c r="T867" s="480"/>
      <c r="U867" s="468"/>
      <c r="V867" s="449"/>
      <c r="W867" s="45">
        <v>2158.187744140625</v>
      </c>
      <c r="X867" s="463">
        <v>174.36859130859375</v>
      </c>
      <c r="Y867" s="449"/>
      <c r="Z867" s="45"/>
      <c r="AA867" s="468">
        <v>0.46847285848896059</v>
      </c>
      <c r="AB867" s="456"/>
      <c r="AC867" s="46"/>
      <c r="AD867" s="46"/>
      <c r="AE867" s="46"/>
      <c r="AF867" s="46"/>
      <c r="AG867" s="46"/>
      <c r="AH867" s="46"/>
      <c r="AI867" s="457"/>
      <c r="AJ867" s="138"/>
      <c r="AK867" s="745"/>
      <c r="AL867" s="54"/>
      <c r="AM867" s="468"/>
      <c r="AN867" s="449"/>
      <c r="AO867" s="45"/>
      <c r="AP867" s="45"/>
      <c r="AQ867" s="45"/>
      <c r="AR867" s="45"/>
      <c r="AS867" s="45"/>
      <c r="AT867" s="45"/>
      <c r="AU867" s="463"/>
      <c r="AV867" s="449"/>
      <c r="AW867" s="45"/>
      <c r="AX867" s="45"/>
      <c r="AY867" s="45"/>
      <c r="AZ867" s="45"/>
      <c r="BA867" s="45"/>
      <c r="BB867" s="45"/>
      <c r="BC867" s="463"/>
      <c r="BD867" s="456"/>
      <c r="BE867" s="46"/>
      <c r="BF867" s="46"/>
      <c r="BG867" s="46"/>
      <c r="BH867" s="46"/>
      <c r="BI867" s="46"/>
      <c r="BJ867" s="457"/>
      <c r="BK867" s="449">
        <v>0</v>
      </c>
      <c r="BL867" s="45"/>
      <c r="BM867" s="45"/>
      <c r="BN867" s="45"/>
      <c r="BO867" s="45"/>
      <c r="BP867" s="45"/>
      <c r="BQ867" s="45"/>
      <c r="BR867" s="45"/>
      <c r="BS867" s="45"/>
      <c r="BT867" s="45"/>
      <c r="BU867" s="45"/>
      <c r="BV867" s="45"/>
      <c r="BW867" s="45"/>
      <c r="BX867" s="45"/>
      <c r="BY867" s="45"/>
      <c r="BZ867" s="45"/>
      <c r="CA867" s="45"/>
      <c r="CB867" s="45"/>
      <c r="CC867" s="45"/>
      <c r="CD867" s="463"/>
      <c r="CE867">
        <v>0</v>
      </c>
      <c r="CF867">
        <v>0</v>
      </c>
      <c r="CG867">
        <v>0</v>
      </c>
      <c r="CH867">
        <v>0</v>
      </c>
      <c r="CI867">
        <v>0</v>
      </c>
      <c r="CJ867">
        <v>0</v>
      </c>
      <c r="CK867">
        <v>0</v>
      </c>
      <c r="CL867">
        <v>0</v>
      </c>
      <c r="CM867">
        <v>0</v>
      </c>
      <c r="CN867">
        <v>0</v>
      </c>
      <c r="CO867">
        <v>0</v>
      </c>
      <c r="CP867">
        <v>0</v>
      </c>
      <c r="CQ867">
        <v>0</v>
      </c>
      <c r="CR867">
        <v>0</v>
      </c>
      <c r="CS867">
        <v>0</v>
      </c>
      <c r="CT867">
        <v>0</v>
      </c>
      <c r="CU867">
        <v>0</v>
      </c>
      <c r="CV867">
        <v>0</v>
      </c>
      <c r="CW867">
        <v>0</v>
      </c>
      <c r="CX867">
        <v>0</v>
      </c>
      <c r="CY867">
        <v>0</v>
      </c>
      <c r="CZ867">
        <v>0</v>
      </c>
      <c r="DA867">
        <v>0</v>
      </c>
      <c r="DB867">
        <v>0</v>
      </c>
      <c r="DC867">
        <v>0</v>
      </c>
      <c r="DD867">
        <v>0</v>
      </c>
      <c r="DE867">
        <v>0</v>
      </c>
      <c r="DF867">
        <v>0</v>
      </c>
      <c r="DG867">
        <v>0</v>
      </c>
      <c r="DH867">
        <v>0</v>
      </c>
      <c r="DI867">
        <v>0</v>
      </c>
      <c r="DJ867">
        <v>0</v>
      </c>
      <c r="DK867">
        <v>0</v>
      </c>
      <c r="DL867">
        <v>0</v>
      </c>
      <c r="DM867">
        <v>0</v>
      </c>
      <c r="DN867">
        <v>0</v>
      </c>
      <c r="DO867">
        <v>0</v>
      </c>
      <c r="DP867">
        <v>0</v>
      </c>
      <c r="DQ867">
        <v>0</v>
      </c>
      <c r="DR867">
        <v>0</v>
      </c>
      <c r="DS867">
        <v>0</v>
      </c>
      <c r="DT867">
        <v>0</v>
      </c>
      <c r="DU867">
        <v>0</v>
      </c>
    </row>
    <row r="868" spans="2:125">
      <c r="B868" s="136">
        <v>859</v>
      </c>
      <c r="C868" s="138">
        <v>1</v>
      </c>
      <c r="D868" s="474">
        <v>2609.0678825321993</v>
      </c>
      <c r="E868" s="127">
        <v>251.9128726323402</v>
      </c>
      <c r="F868" s="447">
        <v>0.46033658911590364</v>
      </c>
      <c r="G868" s="127">
        <v>80.43865921144814</v>
      </c>
      <c r="H868" s="132">
        <v>51.697401124821745</v>
      </c>
      <c r="I868" s="456"/>
      <c r="J868" s="45"/>
      <c r="K868" s="45">
        <v>360</v>
      </c>
      <c r="L868" s="463"/>
      <c r="M868" s="456">
        <v>36.80584716796875</v>
      </c>
      <c r="N868" s="457"/>
      <c r="O868" s="456"/>
      <c r="P868" s="46"/>
      <c r="Q868" s="463">
        <v>51.659549713134766</v>
      </c>
      <c r="R868" s="449"/>
      <c r="S868" s="463"/>
      <c r="T868" s="480"/>
      <c r="U868" s="468"/>
      <c r="V868" s="449"/>
      <c r="W868" s="45">
        <v>1349.0352783203125</v>
      </c>
      <c r="X868" s="463">
        <v>114.69503021240234</v>
      </c>
      <c r="Y868" s="449"/>
      <c r="Z868" s="45"/>
      <c r="AA868" s="468">
        <v>0.44722587934429009</v>
      </c>
      <c r="AB868" s="456"/>
      <c r="AC868" s="46"/>
      <c r="AD868" s="46"/>
      <c r="AE868" s="46"/>
      <c r="AF868" s="46"/>
      <c r="AG868" s="46"/>
      <c r="AH868" s="46"/>
      <c r="AI868" s="457"/>
      <c r="AJ868" s="138"/>
      <c r="AK868" s="745"/>
      <c r="AL868" s="54"/>
      <c r="AM868" s="468"/>
      <c r="AN868" s="449"/>
      <c r="AO868" s="45"/>
      <c r="AP868" s="45"/>
      <c r="AQ868" s="45"/>
      <c r="AR868" s="45"/>
      <c r="AS868" s="45"/>
      <c r="AT868" s="45"/>
      <c r="AU868" s="463"/>
      <c r="AV868" s="449"/>
      <c r="AW868" s="45"/>
      <c r="AX868" s="45"/>
      <c r="AY868" s="45"/>
      <c r="AZ868" s="45"/>
      <c r="BA868" s="45"/>
      <c r="BB868" s="45"/>
      <c r="BC868" s="463"/>
      <c r="BD868" s="456"/>
      <c r="BE868" s="46"/>
      <c r="BF868" s="46"/>
      <c r="BG868" s="46"/>
      <c r="BH868" s="46"/>
      <c r="BI868" s="46"/>
      <c r="BJ868" s="457"/>
      <c r="BK868" s="449">
        <v>0</v>
      </c>
      <c r="BL868" s="45"/>
      <c r="BM868" s="45"/>
      <c r="BN868" s="45"/>
      <c r="BO868" s="45"/>
      <c r="BP868" s="45"/>
      <c r="BQ868" s="45"/>
      <c r="BR868" s="45"/>
      <c r="BS868" s="45"/>
      <c r="BT868" s="45"/>
      <c r="BU868" s="45"/>
      <c r="BV868" s="45"/>
      <c r="BW868" s="45"/>
      <c r="BX868" s="45"/>
      <c r="BY868" s="45"/>
      <c r="BZ868" s="45"/>
      <c r="CA868" s="45"/>
      <c r="CB868" s="45"/>
      <c r="CC868" s="45"/>
      <c r="CD868" s="463"/>
      <c r="CE868">
        <v>0</v>
      </c>
      <c r="CF868">
        <v>0</v>
      </c>
      <c r="CG868">
        <v>0</v>
      </c>
      <c r="CH868">
        <v>0</v>
      </c>
      <c r="CI868">
        <v>0</v>
      </c>
      <c r="CJ868">
        <v>0</v>
      </c>
      <c r="CK868">
        <v>0</v>
      </c>
      <c r="CL868">
        <v>0</v>
      </c>
      <c r="CM868">
        <v>0</v>
      </c>
      <c r="CN868">
        <v>0</v>
      </c>
      <c r="CO868">
        <v>0</v>
      </c>
      <c r="CP868">
        <v>0</v>
      </c>
      <c r="CQ868">
        <v>0</v>
      </c>
      <c r="CR868">
        <v>0</v>
      </c>
      <c r="CS868">
        <v>0</v>
      </c>
      <c r="CT868">
        <v>0</v>
      </c>
      <c r="CU868">
        <v>0</v>
      </c>
      <c r="CV868">
        <v>0</v>
      </c>
      <c r="CW868">
        <v>0</v>
      </c>
      <c r="CX868">
        <v>0</v>
      </c>
      <c r="CY868">
        <v>0</v>
      </c>
      <c r="CZ868">
        <v>0</v>
      </c>
      <c r="DA868">
        <v>0</v>
      </c>
      <c r="DB868">
        <v>0</v>
      </c>
      <c r="DC868">
        <v>0</v>
      </c>
      <c r="DD868">
        <v>0</v>
      </c>
      <c r="DE868">
        <v>0</v>
      </c>
      <c r="DF868">
        <v>0</v>
      </c>
      <c r="DG868">
        <v>0</v>
      </c>
      <c r="DH868">
        <v>0</v>
      </c>
      <c r="DI868">
        <v>0</v>
      </c>
      <c r="DJ868">
        <v>0</v>
      </c>
      <c r="DK868">
        <v>0</v>
      </c>
      <c r="DL868">
        <v>0</v>
      </c>
      <c r="DM868">
        <v>0</v>
      </c>
      <c r="DN868">
        <v>0</v>
      </c>
      <c r="DO868">
        <v>0</v>
      </c>
      <c r="DP868">
        <v>0</v>
      </c>
      <c r="DQ868">
        <v>0</v>
      </c>
      <c r="DR868">
        <v>0</v>
      </c>
      <c r="DS868">
        <v>0</v>
      </c>
      <c r="DT868">
        <v>0</v>
      </c>
      <c r="DU868">
        <v>0</v>
      </c>
    </row>
    <row r="869" spans="2:125">
      <c r="B869" s="136">
        <v>860</v>
      </c>
      <c r="C869" s="138">
        <v>1</v>
      </c>
      <c r="D869" s="474">
        <v>3014.1737333949472</v>
      </c>
      <c r="E869" s="127">
        <v>218.45644281546672</v>
      </c>
      <c r="F869" s="447">
        <v>0.43696693998076258</v>
      </c>
      <c r="G869" s="127">
        <v>103.06067982229214</v>
      </c>
      <c r="H869" s="132">
        <v>53.205256967419871</v>
      </c>
      <c r="I869" s="456"/>
      <c r="J869" s="45"/>
      <c r="K869" s="45">
        <v>430</v>
      </c>
      <c r="L869" s="463"/>
      <c r="M869" s="456">
        <v>35.533401489257813</v>
      </c>
      <c r="N869" s="457"/>
      <c r="O869" s="456"/>
      <c r="P869" s="46"/>
      <c r="Q869" s="463">
        <v>59.680641174316406</v>
      </c>
      <c r="R869" s="449"/>
      <c r="S869" s="463"/>
      <c r="T869" s="480"/>
      <c r="U869" s="468"/>
      <c r="V869" s="449"/>
      <c r="W869" s="45">
        <v>1450.018310546875</v>
      </c>
      <c r="X869" s="463">
        <v>122.33769989013672</v>
      </c>
      <c r="Y869" s="449"/>
      <c r="Z869" s="45"/>
      <c r="AA869" s="468">
        <v>0.42577337856596859</v>
      </c>
      <c r="AB869" s="456"/>
      <c r="AC869" s="46"/>
      <c r="AD869" s="46"/>
      <c r="AE869" s="46"/>
      <c r="AF869" s="46"/>
      <c r="AG869" s="46"/>
      <c r="AH869" s="46"/>
      <c r="AI869" s="457"/>
      <c r="AJ869" s="138"/>
      <c r="AK869" s="745"/>
      <c r="AL869" s="54"/>
      <c r="AM869" s="468"/>
      <c r="AN869" s="449"/>
      <c r="AO869" s="45"/>
      <c r="AP869" s="45"/>
      <c r="AQ869" s="45"/>
      <c r="AR869" s="45"/>
      <c r="AS869" s="45"/>
      <c r="AT869" s="45"/>
      <c r="AU869" s="463"/>
      <c r="AV869" s="449"/>
      <c r="AW869" s="45"/>
      <c r="AX869" s="45"/>
      <c r="AY869" s="45"/>
      <c r="AZ869" s="45"/>
      <c r="BA869" s="45"/>
      <c r="BB869" s="45"/>
      <c r="BC869" s="463"/>
      <c r="BD869" s="456"/>
      <c r="BE869" s="46"/>
      <c r="BF869" s="46"/>
      <c r="BG869" s="46"/>
      <c r="BH869" s="46"/>
      <c r="BI869" s="46"/>
      <c r="BJ869" s="457"/>
      <c r="BK869" s="449">
        <v>0</v>
      </c>
      <c r="BL869" s="45"/>
      <c r="BM869" s="45"/>
      <c r="BN869" s="45"/>
      <c r="BO869" s="45"/>
      <c r="BP869" s="45"/>
      <c r="BQ869" s="45"/>
      <c r="BR869" s="45"/>
      <c r="BS869" s="45"/>
      <c r="BT869" s="45"/>
      <c r="BU869" s="45"/>
      <c r="BV869" s="45"/>
      <c r="BW869" s="45"/>
      <c r="BX869" s="45"/>
      <c r="BY869" s="45"/>
      <c r="BZ869" s="45"/>
      <c r="CA869" s="45"/>
      <c r="CB869" s="45"/>
      <c r="CC869" s="45"/>
      <c r="CD869" s="463"/>
      <c r="CE869">
        <v>0</v>
      </c>
      <c r="CF869">
        <v>0</v>
      </c>
      <c r="CG869">
        <v>0</v>
      </c>
      <c r="CH869">
        <v>0</v>
      </c>
      <c r="CI869">
        <v>0</v>
      </c>
      <c r="CJ869">
        <v>0</v>
      </c>
      <c r="CK869">
        <v>0</v>
      </c>
      <c r="CL869">
        <v>0</v>
      </c>
      <c r="CM869">
        <v>0</v>
      </c>
      <c r="CN869">
        <v>0</v>
      </c>
      <c r="CO869">
        <v>0</v>
      </c>
      <c r="CP869">
        <v>0</v>
      </c>
      <c r="CQ869">
        <v>0</v>
      </c>
      <c r="CR869">
        <v>0</v>
      </c>
      <c r="CS869">
        <v>0</v>
      </c>
      <c r="CT869">
        <v>0</v>
      </c>
      <c r="CU869">
        <v>0</v>
      </c>
      <c r="CV869">
        <v>0</v>
      </c>
      <c r="CW869">
        <v>0</v>
      </c>
      <c r="CX869">
        <v>0</v>
      </c>
      <c r="CY869">
        <v>0</v>
      </c>
      <c r="CZ869">
        <v>0</v>
      </c>
      <c r="DA869">
        <v>0</v>
      </c>
      <c r="DB869">
        <v>0</v>
      </c>
      <c r="DC869">
        <v>0</v>
      </c>
      <c r="DD869">
        <v>0</v>
      </c>
      <c r="DE869">
        <v>0</v>
      </c>
      <c r="DF869">
        <v>0</v>
      </c>
      <c r="DG869">
        <v>0</v>
      </c>
      <c r="DH869">
        <v>0</v>
      </c>
      <c r="DI869">
        <v>0</v>
      </c>
      <c r="DJ869">
        <v>0</v>
      </c>
      <c r="DK869">
        <v>0</v>
      </c>
      <c r="DL869">
        <v>0</v>
      </c>
      <c r="DM869">
        <v>0</v>
      </c>
      <c r="DN869">
        <v>0</v>
      </c>
      <c r="DO869">
        <v>0</v>
      </c>
      <c r="DP869">
        <v>0</v>
      </c>
      <c r="DQ869">
        <v>0</v>
      </c>
      <c r="DR869">
        <v>0</v>
      </c>
      <c r="DS869">
        <v>0</v>
      </c>
      <c r="DT869">
        <v>0</v>
      </c>
      <c r="DU869">
        <v>0</v>
      </c>
    </row>
    <row r="870" spans="2:125">
      <c r="B870" s="136">
        <v>861</v>
      </c>
      <c r="C870" s="138">
        <v>1</v>
      </c>
      <c r="D870" s="474">
        <v>2718.2073159794681</v>
      </c>
      <c r="E870" s="127">
        <v>236.31503275465269</v>
      </c>
      <c r="F870" s="447">
        <v>0.45328620179044421</v>
      </c>
      <c r="G870" s="127">
        <v>102.57585601946053</v>
      </c>
      <c r="H870" s="132">
        <v>55.482442724121626</v>
      </c>
      <c r="I870" s="456"/>
      <c r="J870" s="45"/>
      <c r="K870" s="45">
        <v>440</v>
      </c>
      <c r="L870" s="463"/>
      <c r="M870" s="456">
        <v>37.740043640136719</v>
      </c>
      <c r="N870" s="457"/>
      <c r="O870" s="456"/>
      <c r="P870" s="46"/>
      <c r="Q870" s="463">
        <v>61.942462921142578</v>
      </c>
      <c r="R870" s="449"/>
      <c r="S870" s="463"/>
      <c r="T870" s="480"/>
      <c r="U870" s="468"/>
      <c r="V870" s="449"/>
      <c r="W870" s="45">
        <v>1566.1136474609375</v>
      </c>
      <c r="X870" s="463">
        <v>130.81591796875</v>
      </c>
      <c r="Y870" s="449"/>
      <c r="Z870" s="45"/>
      <c r="AA870" s="468">
        <v>0.44075377873516525</v>
      </c>
      <c r="AB870" s="456"/>
      <c r="AC870" s="46"/>
      <c r="AD870" s="46"/>
      <c r="AE870" s="46"/>
      <c r="AF870" s="46"/>
      <c r="AG870" s="46"/>
      <c r="AH870" s="46"/>
      <c r="AI870" s="457"/>
      <c r="AJ870" s="138"/>
      <c r="AK870" s="745"/>
      <c r="AL870" s="54"/>
      <c r="AM870" s="468"/>
      <c r="AN870" s="449"/>
      <c r="AO870" s="45"/>
      <c r="AP870" s="45"/>
      <c r="AQ870" s="45"/>
      <c r="AR870" s="45"/>
      <c r="AS870" s="45"/>
      <c r="AT870" s="45"/>
      <c r="AU870" s="463"/>
      <c r="AV870" s="449"/>
      <c r="AW870" s="45"/>
      <c r="AX870" s="45"/>
      <c r="AY870" s="45"/>
      <c r="AZ870" s="45"/>
      <c r="BA870" s="45"/>
      <c r="BB870" s="45"/>
      <c r="BC870" s="463"/>
      <c r="BD870" s="456"/>
      <c r="BE870" s="46"/>
      <c r="BF870" s="46"/>
      <c r="BG870" s="46"/>
      <c r="BH870" s="46"/>
      <c r="BI870" s="46"/>
      <c r="BJ870" s="457"/>
      <c r="BK870" s="449">
        <v>0</v>
      </c>
      <c r="BL870" s="45"/>
      <c r="BM870" s="45"/>
      <c r="BN870" s="45"/>
      <c r="BO870" s="45"/>
      <c r="BP870" s="45"/>
      <c r="BQ870" s="45"/>
      <c r="BR870" s="45"/>
      <c r="BS870" s="45"/>
      <c r="BT870" s="45"/>
      <c r="BU870" s="45"/>
      <c r="BV870" s="45"/>
      <c r="BW870" s="45"/>
      <c r="BX870" s="45"/>
      <c r="BY870" s="45"/>
      <c r="BZ870" s="45"/>
      <c r="CA870" s="45"/>
      <c r="CB870" s="45"/>
      <c r="CC870" s="45"/>
      <c r="CD870" s="463"/>
      <c r="CE870">
        <v>0</v>
      </c>
      <c r="CF870">
        <v>0</v>
      </c>
      <c r="CG870">
        <v>0</v>
      </c>
      <c r="CH870">
        <v>0</v>
      </c>
      <c r="CI870">
        <v>0</v>
      </c>
      <c r="CJ870">
        <v>0</v>
      </c>
      <c r="CK870">
        <v>0</v>
      </c>
      <c r="CL870">
        <v>0</v>
      </c>
      <c r="CM870">
        <v>0</v>
      </c>
      <c r="CN870">
        <v>0</v>
      </c>
      <c r="CO870">
        <v>0</v>
      </c>
      <c r="CP870">
        <v>0</v>
      </c>
      <c r="CQ870">
        <v>0</v>
      </c>
      <c r="CR870">
        <v>0</v>
      </c>
      <c r="CS870">
        <v>0</v>
      </c>
      <c r="CT870">
        <v>0</v>
      </c>
      <c r="CU870">
        <v>0</v>
      </c>
      <c r="CV870">
        <v>0</v>
      </c>
      <c r="CW870">
        <v>0</v>
      </c>
      <c r="CX870">
        <v>0</v>
      </c>
      <c r="CY870">
        <v>0</v>
      </c>
      <c r="CZ870">
        <v>0</v>
      </c>
      <c r="DA870">
        <v>0</v>
      </c>
      <c r="DB870">
        <v>0</v>
      </c>
      <c r="DC870">
        <v>0</v>
      </c>
      <c r="DD870">
        <v>0</v>
      </c>
      <c r="DE870">
        <v>0</v>
      </c>
      <c r="DF870">
        <v>0</v>
      </c>
      <c r="DG870">
        <v>0</v>
      </c>
      <c r="DH870">
        <v>0</v>
      </c>
      <c r="DI870">
        <v>0</v>
      </c>
      <c r="DJ870">
        <v>0</v>
      </c>
      <c r="DK870">
        <v>0</v>
      </c>
      <c r="DL870">
        <v>0</v>
      </c>
      <c r="DM870">
        <v>0</v>
      </c>
      <c r="DN870">
        <v>0</v>
      </c>
      <c r="DO870">
        <v>0</v>
      </c>
      <c r="DP870">
        <v>0</v>
      </c>
      <c r="DQ870">
        <v>0</v>
      </c>
      <c r="DR870">
        <v>0</v>
      </c>
      <c r="DS870">
        <v>0</v>
      </c>
      <c r="DT870">
        <v>0</v>
      </c>
      <c r="DU870">
        <v>0</v>
      </c>
    </row>
    <row r="871" spans="2:125">
      <c r="B871" s="136">
        <v>862</v>
      </c>
      <c r="C871" s="138">
        <v>1</v>
      </c>
      <c r="D871" s="474">
        <v>3107.7966708148133</v>
      </c>
      <c r="E871" s="127">
        <v>255.81726911100967</v>
      </c>
      <c r="F871" s="447">
        <v>0.39832273208751573</v>
      </c>
      <c r="G871" s="127">
        <v>105.67292342283085</v>
      </c>
      <c r="H871" s="132">
        <v>54.270512012427361</v>
      </c>
      <c r="I871" s="456"/>
      <c r="J871" s="45"/>
      <c r="K871" s="45">
        <v>440</v>
      </c>
      <c r="L871" s="463"/>
      <c r="M871" s="456">
        <v>30.640951156616211</v>
      </c>
      <c r="N871" s="457"/>
      <c r="O871" s="456"/>
      <c r="P871" s="46"/>
      <c r="Q871" s="463">
        <v>61.534374237060547</v>
      </c>
      <c r="R871" s="449"/>
      <c r="S871" s="463"/>
      <c r="T871" s="480"/>
      <c r="U871" s="468"/>
      <c r="V871" s="449"/>
      <c r="W871" s="45">
        <v>1291.3026123046875</v>
      </c>
      <c r="X871" s="463">
        <v>110.82511138916016</v>
      </c>
      <c r="Y871" s="449"/>
      <c r="Z871" s="45"/>
      <c r="AA871" s="468">
        <v>0.38771507073330397</v>
      </c>
      <c r="AB871" s="456"/>
      <c r="AC871" s="46"/>
      <c r="AD871" s="46"/>
      <c r="AE871" s="46"/>
      <c r="AF871" s="46"/>
      <c r="AG871" s="46"/>
      <c r="AH871" s="46"/>
      <c r="AI871" s="457"/>
      <c r="AJ871" s="138"/>
      <c r="AK871" s="745"/>
      <c r="AL871" s="54"/>
      <c r="AM871" s="468"/>
      <c r="AN871" s="449"/>
      <c r="AO871" s="45"/>
      <c r="AP871" s="45"/>
      <c r="AQ871" s="45"/>
      <c r="AR871" s="45"/>
      <c r="AS871" s="45"/>
      <c r="AT871" s="45"/>
      <c r="AU871" s="463"/>
      <c r="AV871" s="449"/>
      <c r="AW871" s="45"/>
      <c r="AX871" s="45"/>
      <c r="AY871" s="45"/>
      <c r="AZ871" s="45"/>
      <c r="BA871" s="45"/>
      <c r="BB871" s="45"/>
      <c r="BC871" s="463"/>
      <c r="BD871" s="456"/>
      <c r="BE871" s="46"/>
      <c r="BF871" s="46"/>
      <c r="BG871" s="46"/>
      <c r="BH871" s="46"/>
      <c r="BI871" s="46"/>
      <c r="BJ871" s="457"/>
      <c r="BK871" s="449">
        <v>0</v>
      </c>
      <c r="BL871" s="45"/>
      <c r="BM871" s="45"/>
      <c r="BN871" s="45"/>
      <c r="BO871" s="45"/>
      <c r="BP871" s="45"/>
      <c r="BQ871" s="45"/>
      <c r="BR871" s="45"/>
      <c r="BS871" s="45"/>
      <c r="BT871" s="45"/>
      <c r="BU871" s="45"/>
      <c r="BV871" s="45"/>
      <c r="BW871" s="45"/>
      <c r="BX871" s="45"/>
      <c r="BY871" s="45"/>
      <c r="BZ871" s="45"/>
      <c r="CA871" s="45"/>
      <c r="CB871" s="45"/>
      <c r="CC871" s="45"/>
      <c r="CD871" s="463"/>
      <c r="CE871">
        <v>0</v>
      </c>
      <c r="CF871">
        <v>0</v>
      </c>
      <c r="CG871">
        <v>0</v>
      </c>
      <c r="CH871">
        <v>0</v>
      </c>
      <c r="CI871">
        <v>0</v>
      </c>
      <c r="CJ871">
        <v>0</v>
      </c>
      <c r="CK871">
        <v>0</v>
      </c>
      <c r="CL871">
        <v>0</v>
      </c>
      <c r="CM871">
        <v>0</v>
      </c>
      <c r="CN871">
        <v>0</v>
      </c>
      <c r="CO871">
        <v>0</v>
      </c>
      <c r="CP871">
        <v>0</v>
      </c>
      <c r="CQ871">
        <v>0</v>
      </c>
      <c r="CR871">
        <v>0</v>
      </c>
      <c r="CS871">
        <v>0</v>
      </c>
      <c r="CT871">
        <v>0</v>
      </c>
      <c r="CU871">
        <v>0</v>
      </c>
      <c r="CV871">
        <v>0</v>
      </c>
      <c r="CW871">
        <v>0</v>
      </c>
      <c r="CX871">
        <v>0</v>
      </c>
      <c r="CY871">
        <v>0</v>
      </c>
      <c r="CZ871">
        <v>0</v>
      </c>
      <c r="DA871">
        <v>0</v>
      </c>
      <c r="DB871">
        <v>0</v>
      </c>
      <c r="DC871">
        <v>0</v>
      </c>
      <c r="DD871">
        <v>0</v>
      </c>
      <c r="DE871">
        <v>0</v>
      </c>
      <c r="DF871">
        <v>0</v>
      </c>
      <c r="DG871">
        <v>0</v>
      </c>
      <c r="DH871">
        <v>0</v>
      </c>
      <c r="DI871">
        <v>0</v>
      </c>
      <c r="DJ871">
        <v>0</v>
      </c>
      <c r="DK871">
        <v>0</v>
      </c>
      <c r="DL871">
        <v>0</v>
      </c>
      <c r="DM871">
        <v>0</v>
      </c>
      <c r="DN871">
        <v>0</v>
      </c>
      <c r="DO871">
        <v>0</v>
      </c>
      <c r="DP871">
        <v>0</v>
      </c>
      <c r="DQ871">
        <v>0</v>
      </c>
      <c r="DR871">
        <v>0</v>
      </c>
      <c r="DS871">
        <v>0</v>
      </c>
      <c r="DT871">
        <v>0</v>
      </c>
      <c r="DU871">
        <v>0</v>
      </c>
    </row>
    <row r="872" spans="2:125">
      <c r="B872" s="136">
        <v>863</v>
      </c>
      <c r="C872" s="138">
        <v>1</v>
      </c>
      <c r="D872" s="474">
        <v>3046.4142416518121</v>
      </c>
      <c r="E872" s="127">
        <v>248.25299514610438</v>
      </c>
      <c r="F872" s="447">
        <v>0.37503241864489267</v>
      </c>
      <c r="G872" s="127">
        <v>120.37241390519394</v>
      </c>
      <c r="H872" s="132">
        <v>48.478853314070292</v>
      </c>
      <c r="I872" s="456"/>
      <c r="J872" s="45"/>
      <c r="K872" s="45">
        <v>460</v>
      </c>
      <c r="L872" s="463"/>
      <c r="M872" s="456">
        <v>30.4757080078125</v>
      </c>
      <c r="N872" s="457"/>
      <c r="O872" s="456"/>
      <c r="P872" s="46"/>
      <c r="Q872" s="463">
        <v>60.319004058837891</v>
      </c>
      <c r="R872" s="449"/>
      <c r="S872" s="463"/>
      <c r="T872" s="480"/>
      <c r="U872" s="468"/>
      <c r="V872" s="449"/>
      <c r="W872" s="45">
        <v>1269.294921875</v>
      </c>
      <c r="X872" s="463">
        <v>109.33038330078125</v>
      </c>
      <c r="Y872" s="449"/>
      <c r="Z872" s="45"/>
      <c r="AA872" s="468">
        <v>0.36436392585473443</v>
      </c>
      <c r="AB872" s="456"/>
      <c r="AC872" s="46"/>
      <c r="AD872" s="46"/>
      <c r="AE872" s="46"/>
      <c r="AF872" s="46"/>
      <c r="AG872" s="46"/>
      <c r="AH872" s="46"/>
      <c r="AI872" s="457"/>
      <c r="AJ872" s="138"/>
      <c r="AK872" s="745"/>
      <c r="AL872" s="54"/>
      <c r="AM872" s="468"/>
      <c r="AN872" s="449"/>
      <c r="AO872" s="45"/>
      <c r="AP872" s="45"/>
      <c r="AQ872" s="45"/>
      <c r="AR872" s="45"/>
      <c r="AS872" s="45"/>
      <c r="AT872" s="45"/>
      <c r="AU872" s="463"/>
      <c r="AV872" s="449"/>
      <c r="AW872" s="45"/>
      <c r="AX872" s="45"/>
      <c r="AY872" s="45"/>
      <c r="AZ872" s="45"/>
      <c r="BA872" s="45"/>
      <c r="BB872" s="45"/>
      <c r="BC872" s="463"/>
      <c r="BD872" s="456"/>
      <c r="BE872" s="46"/>
      <c r="BF872" s="46"/>
      <c r="BG872" s="46"/>
      <c r="BH872" s="46"/>
      <c r="BI872" s="46"/>
      <c r="BJ872" s="457"/>
      <c r="BK872" s="449">
        <v>0</v>
      </c>
      <c r="BL872" s="45"/>
      <c r="BM872" s="45"/>
      <c r="BN872" s="45"/>
      <c r="BO872" s="45"/>
      <c r="BP872" s="45"/>
      <c r="BQ872" s="45"/>
      <c r="BR872" s="45"/>
      <c r="BS872" s="45"/>
      <c r="BT872" s="45"/>
      <c r="BU872" s="45"/>
      <c r="BV872" s="45"/>
      <c r="BW872" s="45"/>
      <c r="BX872" s="45"/>
      <c r="BY872" s="45"/>
      <c r="BZ872" s="45"/>
      <c r="CA872" s="45"/>
      <c r="CB872" s="45"/>
      <c r="CC872" s="45"/>
      <c r="CD872" s="463"/>
      <c r="CE872">
        <v>0</v>
      </c>
      <c r="CF872">
        <v>0</v>
      </c>
      <c r="CG872">
        <v>0</v>
      </c>
      <c r="CH872">
        <v>0</v>
      </c>
      <c r="CI872">
        <v>0</v>
      </c>
      <c r="CJ872">
        <v>0</v>
      </c>
      <c r="CK872">
        <v>0</v>
      </c>
      <c r="CL872">
        <v>0</v>
      </c>
      <c r="CM872">
        <v>0</v>
      </c>
      <c r="CN872">
        <v>0</v>
      </c>
      <c r="CO872">
        <v>0</v>
      </c>
      <c r="CP872">
        <v>0</v>
      </c>
      <c r="CQ872">
        <v>0</v>
      </c>
      <c r="CR872">
        <v>0</v>
      </c>
      <c r="CS872">
        <v>0</v>
      </c>
      <c r="CT872">
        <v>0</v>
      </c>
      <c r="CU872">
        <v>0</v>
      </c>
      <c r="CV872">
        <v>0</v>
      </c>
      <c r="CW872">
        <v>0</v>
      </c>
      <c r="CX872">
        <v>0</v>
      </c>
      <c r="CY872">
        <v>0</v>
      </c>
      <c r="CZ872">
        <v>0</v>
      </c>
      <c r="DA872">
        <v>0</v>
      </c>
      <c r="DB872">
        <v>0</v>
      </c>
      <c r="DC872">
        <v>0</v>
      </c>
      <c r="DD872">
        <v>0</v>
      </c>
      <c r="DE872">
        <v>0</v>
      </c>
      <c r="DF872">
        <v>0</v>
      </c>
      <c r="DG872">
        <v>0</v>
      </c>
      <c r="DH872">
        <v>0</v>
      </c>
      <c r="DI872">
        <v>0</v>
      </c>
      <c r="DJ872">
        <v>0</v>
      </c>
      <c r="DK872">
        <v>0</v>
      </c>
      <c r="DL872">
        <v>0</v>
      </c>
      <c r="DM872">
        <v>0</v>
      </c>
      <c r="DN872">
        <v>0</v>
      </c>
      <c r="DO872">
        <v>0</v>
      </c>
      <c r="DP872">
        <v>0</v>
      </c>
      <c r="DQ872">
        <v>0</v>
      </c>
      <c r="DR872">
        <v>0</v>
      </c>
      <c r="DS872">
        <v>0</v>
      </c>
      <c r="DT872">
        <v>0</v>
      </c>
      <c r="DU872">
        <v>0</v>
      </c>
    </row>
    <row r="873" spans="2:125">
      <c r="B873" s="136">
        <v>864</v>
      </c>
      <c r="C873" s="138">
        <v>1</v>
      </c>
      <c r="D873" s="474">
        <v>2777.0195018555414</v>
      </c>
      <c r="E873" s="127">
        <v>198.79391412080673</v>
      </c>
      <c r="F873" s="447">
        <v>0.35086296690308916</v>
      </c>
      <c r="G873" s="127">
        <v>96.319913905940439</v>
      </c>
      <c r="H873" s="132">
        <v>50.335922997956622</v>
      </c>
      <c r="I873" s="456"/>
      <c r="J873" s="45"/>
      <c r="K873" s="45">
        <v>390</v>
      </c>
      <c r="L873" s="463"/>
      <c r="M873" s="456">
        <v>26.934263229370117</v>
      </c>
      <c r="N873" s="457"/>
      <c r="O873" s="456"/>
      <c r="P873" s="46"/>
      <c r="Q873" s="463">
        <v>54.984989166259766</v>
      </c>
      <c r="R873" s="449"/>
      <c r="S873" s="463"/>
      <c r="T873" s="480"/>
      <c r="U873" s="468"/>
      <c r="V873" s="449"/>
      <c r="W873" s="45">
        <v>1030.822998046875</v>
      </c>
      <c r="X873" s="463">
        <v>91.685554504394531</v>
      </c>
      <c r="Y873" s="449"/>
      <c r="Z873" s="45"/>
      <c r="AA873" s="468">
        <v>0.33933360626422127</v>
      </c>
      <c r="AB873" s="456"/>
      <c r="AC873" s="46"/>
      <c r="AD873" s="46"/>
      <c r="AE873" s="46"/>
      <c r="AF873" s="46"/>
      <c r="AG873" s="46"/>
      <c r="AH873" s="46"/>
      <c r="AI873" s="457"/>
      <c r="AJ873" s="138"/>
      <c r="AK873" s="745"/>
      <c r="AL873" s="54"/>
      <c r="AM873" s="468"/>
      <c r="AN873" s="449"/>
      <c r="AO873" s="45"/>
      <c r="AP873" s="45"/>
      <c r="AQ873" s="45"/>
      <c r="AR873" s="45"/>
      <c r="AS873" s="45"/>
      <c r="AT873" s="45"/>
      <c r="AU873" s="463"/>
      <c r="AV873" s="449"/>
      <c r="AW873" s="45"/>
      <c r="AX873" s="45"/>
      <c r="AY873" s="45"/>
      <c r="AZ873" s="45"/>
      <c r="BA873" s="45"/>
      <c r="BB873" s="45"/>
      <c r="BC873" s="463"/>
      <c r="BD873" s="456"/>
      <c r="BE873" s="46"/>
      <c r="BF873" s="46"/>
      <c r="BG873" s="46"/>
      <c r="BH873" s="46"/>
      <c r="BI873" s="46"/>
      <c r="BJ873" s="457"/>
      <c r="BK873" s="449">
        <v>0</v>
      </c>
      <c r="BL873" s="45"/>
      <c r="BM873" s="45"/>
      <c r="BN873" s="45"/>
      <c r="BO873" s="45"/>
      <c r="BP873" s="45"/>
      <c r="BQ873" s="45"/>
      <c r="BR873" s="45"/>
      <c r="BS873" s="45"/>
      <c r="BT873" s="45"/>
      <c r="BU873" s="45"/>
      <c r="BV873" s="45"/>
      <c r="BW873" s="45"/>
      <c r="BX873" s="45"/>
      <c r="BY873" s="45"/>
      <c r="BZ873" s="45"/>
      <c r="CA873" s="45"/>
      <c r="CB873" s="45"/>
      <c r="CC873" s="45"/>
      <c r="CD873" s="463"/>
      <c r="CE873">
        <v>0</v>
      </c>
      <c r="CF873">
        <v>0</v>
      </c>
      <c r="CG873">
        <v>0</v>
      </c>
      <c r="CH873">
        <v>0</v>
      </c>
      <c r="CI873">
        <v>0</v>
      </c>
      <c r="CJ873">
        <v>0</v>
      </c>
      <c r="CK873">
        <v>0</v>
      </c>
      <c r="CL873">
        <v>0</v>
      </c>
      <c r="CM873">
        <v>0</v>
      </c>
      <c r="CN873">
        <v>0</v>
      </c>
      <c r="CO873">
        <v>0</v>
      </c>
      <c r="CP873">
        <v>0</v>
      </c>
      <c r="CQ873">
        <v>0</v>
      </c>
      <c r="CR873">
        <v>0</v>
      </c>
      <c r="CS873">
        <v>0</v>
      </c>
      <c r="CT873">
        <v>0</v>
      </c>
      <c r="CU873">
        <v>0</v>
      </c>
      <c r="CV873">
        <v>0</v>
      </c>
      <c r="CW873">
        <v>0</v>
      </c>
      <c r="CX873">
        <v>0</v>
      </c>
      <c r="CY873">
        <v>0</v>
      </c>
      <c r="CZ873">
        <v>0</v>
      </c>
      <c r="DA873">
        <v>0</v>
      </c>
      <c r="DB873">
        <v>0</v>
      </c>
      <c r="DC873">
        <v>0</v>
      </c>
      <c r="DD873">
        <v>0</v>
      </c>
      <c r="DE873">
        <v>0</v>
      </c>
      <c r="DF873">
        <v>0</v>
      </c>
      <c r="DG873">
        <v>0</v>
      </c>
      <c r="DH873">
        <v>0</v>
      </c>
      <c r="DI873">
        <v>0</v>
      </c>
      <c r="DJ873">
        <v>0</v>
      </c>
      <c r="DK873">
        <v>0</v>
      </c>
      <c r="DL873">
        <v>0</v>
      </c>
      <c r="DM873">
        <v>0</v>
      </c>
      <c r="DN873">
        <v>0</v>
      </c>
      <c r="DO873">
        <v>0</v>
      </c>
      <c r="DP873">
        <v>0</v>
      </c>
      <c r="DQ873">
        <v>0</v>
      </c>
      <c r="DR873">
        <v>0</v>
      </c>
      <c r="DS873">
        <v>0</v>
      </c>
      <c r="DT873">
        <v>0</v>
      </c>
      <c r="DU873">
        <v>0</v>
      </c>
    </row>
    <row r="874" spans="2:125">
      <c r="B874" s="136">
        <v>865</v>
      </c>
      <c r="C874" s="138">
        <v>1</v>
      </c>
      <c r="D874" s="474">
        <v>3483.7410813403239</v>
      </c>
      <c r="E874" s="127">
        <v>242.79659977430595</v>
      </c>
      <c r="F874" s="447">
        <v>0.42057259888917814</v>
      </c>
      <c r="G874" s="127">
        <v>121.11374777424224</v>
      </c>
      <c r="H874" s="132">
        <v>56.967558574454401</v>
      </c>
      <c r="I874" s="456"/>
      <c r="J874" s="45"/>
      <c r="K874" s="45">
        <v>500</v>
      </c>
      <c r="L874" s="463"/>
      <c r="M874" s="456">
        <v>34.616416931152344</v>
      </c>
      <c r="N874" s="457"/>
      <c r="O874" s="456"/>
      <c r="P874" s="46"/>
      <c r="Q874" s="463">
        <v>68.978080749511719</v>
      </c>
      <c r="R874" s="449"/>
      <c r="S874" s="463"/>
      <c r="T874" s="480"/>
      <c r="U874" s="468"/>
      <c r="V874" s="449"/>
      <c r="W874" s="45">
        <v>1558.5491943359375</v>
      </c>
      <c r="X874" s="463">
        <v>130.51976013183594</v>
      </c>
      <c r="Y874" s="449"/>
      <c r="Z874" s="45"/>
      <c r="AA874" s="468">
        <v>0.41098191714857962</v>
      </c>
      <c r="AB874" s="456"/>
      <c r="AC874" s="46"/>
      <c r="AD874" s="46"/>
      <c r="AE874" s="46"/>
      <c r="AF874" s="46"/>
      <c r="AG874" s="46"/>
      <c r="AH874" s="46"/>
      <c r="AI874" s="457"/>
      <c r="AJ874" s="138"/>
      <c r="AK874" s="745"/>
      <c r="AL874" s="54"/>
      <c r="AM874" s="468"/>
      <c r="AN874" s="449"/>
      <c r="AO874" s="45"/>
      <c r="AP874" s="45"/>
      <c r="AQ874" s="45"/>
      <c r="AR874" s="45"/>
      <c r="AS874" s="45"/>
      <c r="AT874" s="45"/>
      <c r="AU874" s="463"/>
      <c r="AV874" s="449"/>
      <c r="AW874" s="45"/>
      <c r="AX874" s="45"/>
      <c r="AY874" s="45"/>
      <c r="AZ874" s="45"/>
      <c r="BA874" s="45"/>
      <c r="BB874" s="45"/>
      <c r="BC874" s="463"/>
      <c r="BD874" s="456"/>
      <c r="BE874" s="46"/>
      <c r="BF874" s="46"/>
      <c r="BG874" s="46"/>
      <c r="BH874" s="46"/>
      <c r="BI874" s="46"/>
      <c r="BJ874" s="457"/>
      <c r="BK874" s="449">
        <v>0</v>
      </c>
      <c r="BL874" s="45"/>
      <c r="BM874" s="45"/>
      <c r="BN874" s="45"/>
      <c r="BO874" s="45"/>
      <c r="BP874" s="45"/>
      <c r="BQ874" s="45"/>
      <c r="BR874" s="45"/>
      <c r="BS874" s="45"/>
      <c r="BT874" s="45"/>
      <c r="BU874" s="45"/>
      <c r="BV874" s="45"/>
      <c r="BW874" s="45"/>
      <c r="BX874" s="45"/>
      <c r="BY874" s="45"/>
      <c r="BZ874" s="45"/>
      <c r="CA874" s="45"/>
      <c r="CB874" s="45"/>
      <c r="CC874" s="45"/>
      <c r="CD874" s="463"/>
      <c r="CE874">
        <v>0</v>
      </c>
      <c r="CF874">
        <v>0</v>
      </c>
      <c r="CG874">
        <v>0</v>
      </c>
      <c r="CH874">
        <v>0</v>
      </c>
      <c r="CI874">
        <v>0</v>
      </c>
      <c r="CJ874">
        <v>0</v>
      </c>
      <c r="CK874">
        <v>0</v>
      </c>
      <c r="CL874">
        <v>0</v>
      </c>
      <c r="CM874">
        <v>0</v>
      </c>
      <c r="CN874">
        <v>0</v>
      </c>
      <c r="CO874">
        <v>0</v>
      </c>
      <c r="CP874">
        <v>0</v>
      </c>
      <c r="CQ874">
        <v>0</v>
      </c>
      <c r="CR874">
        <v>0</v>
      </c>
      <c r="CS874">
        <v>0</v>
      </c>
      <c r="CT874">
        <v>0</v>
      </c>
      <c r="CU874">
        <v>0</v>
      </c>
      <c r="CV874">
        <v>0</v>
      </c>
      <c r="CW874">
        <v>0</v>
      </c>
      <c r="CX874">
        <v>0</v>
      </c>
      <c r="CY874">
        <v>0</v>
      </c>
      <c r="CZ874">
        <v>0</v>
      </c>
      <c r="DA874">
        <v>0</v>
      </c>
      <c r="DB874">
        <v>0</v>
      </c>
      <c r="DC874">
        <v>0</v>
      </c>
      <c r="DD874">
        <v>0</v>
      </c>
      <c r="DE874">
        <v>0</v>
      </c>
      <c r="DF874">
        <v>0</v>
      </c>
      <c r="DG874">
        <v>0</v>
      </c>
      <c r="DH874">
        <v>0</v>
      </c>
      <c r="DI874">
        <v>0</v>
      </c>
      <c r="DJ874">
        <v>0</v>
      </c>
      <c r="DK874">
        <v>0</v>
      </c>
      <c r="DL874">
        <v>0</v>
      </c>
      <c r="DM874">
        <v>0</v>
      </c>
      <c r="DN874">
        <v>0</v>
      </c>
      <c r="DO874">
        <v>0</v>
      </c>
      <c r="DP874">
        <v>0</v>
      </c>
      <c r="DQ874">
        <v>0</v>
      </c>
      <c r="DR874">
        <v>0</v>
      </c>
      <c r="DS874">
        <v>0</v>
      </c>
      <c r="DT874">
        <v>0</v>
      </c>
      <c r="DU874">
        <v>0</v>
      </c>
    </row>
    <row r="875" spans="2:125">
      <c r="B875" s="136">
        <v>866</v>
      </c>
      <c r="C875" s="138">
        <v>1</v>
      </c>
      <c r="D875" s="474">
        <v>3636.2925550221971</v>
      </c>
      <c r="E875" s="127">
        <v>172.62374068303276</v>
      </c>
      <c r="F875" s="447">
        <v>0.46006127126931062</v>
      </c>
      <c r="G875" s="127">
        <v>152.41155142942276</v>
      </c>
      <c r="H875" s="132">
        <v>58.482347197409801</v>
      </c>
      <c r="I875" s="456"/>
      <c r="J875" s="45"/>
      <c r="K875" s="45">
        <v>610</v>
      </c>
      <c r="L875" s="463"/>
      <c r="M875" s="456">
        <v>44.995742797851562</v>
      </c>
      <c r="N875" s="457"/>
      <c r="O875" s="456"/>
      <c r="P875" s="46"/>
      <c r="Q875" s="463">
        <v>79.828285217285156</v>
      </c>
      <c r="R875" s="449"/>
      <c r="S875" s="463"/>
      <c r="T875" s="480"/>
      <c r="U875" s="468"/>
      <c r="V875" s="449"/>
      <c r="W875" s="45">
        <v>2181.07470703125</v>
      </c>
      <c r="X875" s="463">
        <v>176.25291442871094</v>
      </c>
      <c r="Y875" s="449"/>
      <c r="Z875" s="45"/>
      <c r="AA875" s="468">
        <v>0.45065575042414385</v>
      </c>
      <c r="AB875" s="456"/>
      <c r="AC875" s="46"/>
      <c r="AD875" s="46"/>
      <c r="AE875" s="46"/>
      <c r="AF875" s="46"/>
      <c r="AG875" s="46"/>
      <c r="AH875" s="46"/>
      <c r="AI875" s="457"/>
      <c r="AJ875" s="138"/>
      <c r="AK875" s="745"/>
      <c r="AL875" s="54"/>
      <c r="AM875" s="468"/>
      <c r="AN875" s="449"/>
      <c r="AO875" s="45"/>
      <c r="AP875" s="45"/>
      <c r="AQ875" s="45"/>
      <c r="AR875" s="45"/>
      <c r="AS875" s="45"/>
      <c r="AT875" s="45"/>
      <c r="AU875" s="463"/>
      <c r="AV875" s="449"/>
      <c r="AW875" s="45"/>
      <c r="AX875" s="45"/>
      <c r="AY875" s="45"/>
      <c r="AZ875" s="45"/>
      <c r="BA875" s="45"/>
      <c r="BB875" s="45"/>
      <c r="BC875" s="463"/>
      <c r="BD875" s="456"/>
      <c r="BE875" s="46"/>
      <c r="BF875" s="46"/>
      <c r="BG875" s="46"/>
      <c r="BH875" s="46"/>
      <c r="BI875" s="46"/>
      <c r="BJ875" s="457"/>
      <c r="BK875" s="449">
        <v>0</v>
      </c>
      <c r="BL875" s="45"/>
      <c r="BM875" s="45"/>
      <c r="BN875" s="45"/>
      <c r="BO875" s="45"/>
      <c r="BP875" s="45"/>
      <c r="BQ875" s="45"/>
      <c r="BR875" s="45"/>
      <c r="BS875" s="45"/>
      <c r="BT875" s="45"/>
      <c r="BU875" s="45"/>
      <c r="BV875" s="45"/>
      <c r="BW875" s="45"/>
      <c r="BX875" s="45"/>
      <c r="BY875" s="45"/>
      <c r="BZ875" s="45"/>
      <c r="CA875" s="45"/>
      <c r="CB875" s="45"/>
      <c r="CC875" s="45"/>
      <c r="CD875" s="463"/>
      <c r="CE875">
        <v>0</v>
      </c>
      <c r="CF875">
        <v>0</v>
      </c>
      <c r="CG875">
        <v>0</v>
      </c>
      <c r="CH875">
        <v>0</v>
      </c>
      <c r="CI875">
        <v>0</v>
      </c>
      <c r="CJ875">
        <v>0</v>
      </c>
      <c r="CK875">
        <v>0</v>
      </c>
      <c r="CL875">
        <v>0</v>
      </c>
      <c r="CM875">
        <v>0</v>
      </c>
      <c r="CN875">
        <v>0</v>
      </c>
      <c r="CO875">
        <v>0</v>
      </c>
      <c r="CP875">
        <v>0</v>
      </c>
      <c r="CQ875">
        <v>0</v>
      </c>
      <c r="CR875">
        <v>0</v>
      </c>
      <c r="CS875">
        <v>0</v>
      </c>
      <c r="CT875">
        <v>0</v>
      </c>
      <c r="CU875">
        <v>0</v>
      </c>
      <c r="CV875">
        <v>0</v>
      </c>
      <c r="CW875">
        <v>0</v>
      </c>
      <c r="CX875">
        <v>0</v>
      </c>
      <c r="CY875">
        <v>0</v>
      </c>
      <c r="CZ875">
        <v>0</v>
      </c>
      <c r="DA875">
        <v>0</v>
      </c>
      <c r="DB875">
        <v>0</v>
      </c>
      <c r="DC875">
        <v>0</v>
      </c>
      <c r="DD875">
        <v>0</v>
      </c>
      <c r="DE875">
        <v>0</v>
      </c>
      <c r="DF875">
        <v>0</v>
      </c>
      <c r="DG875">
        <v>0</v>
      </c>
      <c r="DH875">
        <v>0</v>
      </c>
      <c r="DI875">
        <v>0</v>
      </c>
      <c r="DJ875">
        <v>0</v>
      </c>
      <c r="DK875">
        <v>0</v>
      </c>
      <c r="DL875">
        <v>0</v>
      </c>
      <c r="DM875">
        <v>0</v>
      </c>
      <c r="DN875">
        <v>0</v>
      </c>
      <c r="DO875">
        <v>0</v>
      </c>
      <c r="DP875">
        <v>0</v>
      </c>
      <c r="DQ875">
        <v>0</v>
      </c>
      <c r="DR875">
        <v>0</v>
      </c>
      <c r="DS875">
        <v>0</v>
      </c>
      <c r="DT875">
        <v>0</v>
      </c>
      <c r="DU875">
        <v>0</v>
      </c>
    </row>
    <row r="876" spans="2:125">
      <c r="B876" s="136">
        <v>867</v>
      </c>
      <c r="C876" s="138">
        <v>1</v>
      </c>
      <c r="D876" s="474">
        <v>3867.4608393187004</v>
      </c>
      <c r="E876" s="127">
        <v>219.42796550521157</v>
      </c>
      <c r="F876" s="447">
        <v>0.38165751881892568</v>
      </c>
      <c r="G876" s="127">
        <v>157.42935978906326</v>
      </c>
      <c r="H876" s="132">
        <v>54.346086410081888</v>
      </c>
      <c r="I876" s="456"/>
      <c r="J876" s="45"/>
      <c r="K876" s="45">
        <v>600</v>
      </c>
      <c r="L876" s="463"/>
      <c r="M876" s="456">
        <v>32.939079284667969</v>
      </c>
      <c r="N876" s="457"/>
      <c r="O876" s="456"/>
      <c r="P876" s="46"/>
      <c r="Q876" s="463">
        <v>76.575729370117188</v>
      </c>
      <c r="R876" s="449"/>
      <c r="S876" s="463"/>
      <c r="T876" s="480"/>
      <c r="U876" s="468"/>
      <c r="V876" s="449"/>
      <c r="W876" s="45">
        <v>1615.812255859375</v>
      </c>
      <c r="X876" s="463">
        <v>135.09466552734375</v>
      </c>
      <c r="Y876" s="449"/>
      <c r="Z876" s="45"/>
      <c r="AA876" s="468">
        <v>0.37321964401367563</v>
      </c>
      <c r="AB876" s="456"/>
      <c r="AC876" s="46"/>
      <c r="AD876" s="46"/>
      <c r="AE876" s="46"/>
      <c r="AF876" s="46"/>
      <c r="AG876" s="46"/>
      <c r="AH876" s="46"/>
      <c r="AI876" s="457"/>
      <c r="AJ876" s="138"/>
      <c r="AK876" s="745"/>
      <c r="AL876" s="54"/>
      <c r="AM876" s="468"/>
      <c r="AN876" s="449"/>
      <c r="AO876" s="45"/>
      <c r="AP876" s="45"/>
      <c r="AQ876" s="45"/>
      <c r="AR876" s="45"/>
      <c r="AS876" s="45"/>
      <c r="AT876" s="45"/>
      <c r="AU876" s="463"/>
      <c r="AV876" s="449"/>
      <c r="AW876" s="45"/>
      <c r="AX876" s="45"/>
      <c r="AY876" s="45"/>
      <c r="AZ876" s="45"/>
      <c r="BA876" s="45"/>
      <c r="BB876" s="45"/>
      <c r="BC876" s="463"/>
      <c r="BD876" s="456"/>
      <c r="BE876" s="46"/>
      <c r="BF876" s="46"/>
      <c r="BG876" s="46"/>
      <c r="BH876" s="46"/>
      <c r="BI876" s="46"/>
      <c r="BJ876" s="457"/>
      <c r="BK876" s="449">
        <v>0</v>
      </c>
      <c r="BL876" s="45"/>
      <c r="BM876" s="45"/>
      <c r="BN876" s="45"/>
      <c r="BO876" s="45"/>
      <c r="BP876" s="45"/>
      <c r="BQ876" s="45"/>
      <c r="BR876" s="45"/>
      <c r="BS876" s="45"/>
      <c r="BT876" s="45"/>
      <c r="BU876" s="45"/>
      <c r="BV876" s="45"/>
      <c r="BW876" s="45"/>
      <c r="BX876" s="45"/>
      <c r="BY876" s="45"/>
      <c r="BZ876" s="45"/>
      <c r="CA876" s="45"/>
      <c r="CB876" s="45"/>
      <c r="CC876" s="45"/>
      <c r="CD876" s="463"/>
      <c r="CE876">
        <v>0</v>
      </c>
      <c r="CF876">
        <v>0</v>
      </c>
      <c r="CG876">
        <v>0</v>
      </c>
      <c r="CH876">
        <v>0</v>
      </c>
      <c r="CI876">
        <v>0</v>
      </c>
      <c r="CJ876">
        <v>0</v>
      </c>
      <c r="CK876">
        <v>0</v>
      </c>
      <c r="CL876">
        <v>0</v>
      </c>
      <c r="CM876">
        <v>0</v>
      </c>
      <c r="CN876">
        <v>0</v>
      </c>
      <c r="CO876">
        <v>0</v>
      </c>
      <c r="CP876">
        <v>0</v>
      </c>
      <c r="CQ876">
        <v>0</v>
      </c>
      <c r="CR876">
        <v>0</v>
      </c>
      <c r="CS876">
        <v>0</v>
      </c>
      <c r="CT876">
        <v>0</v>
      </c>
      <c r="CU876">
        <v>0</v>
      </c>
      <c r="CV876">
        <v>0</v>
      </c>
      <c r="CW876">
        <v>0</v>
      </c>
      <c r="CX876">
        <v>0</v>
      </c>
      <c r="CY876">
        <v>0</v>
      </c>
      <c r="CZ876">
        <v>0</v>
      </c>
      <c r="DA876">
        <v>0</v>
      </c>
      <c r="DB876">
        <v>0</v>
      </c>
      <c r="DC876">
        <v>0</v>
      </c>
      <c r="DD876">
        <v>0</v>
      </c>
      <c r="DE876">
        <v>0</v>
      </c>
      <c r="DF876">
        <v>0</v>
      </c>
      <c r="DG876">
        <v>0</v>
      </c>
      <c r="DH876">
        <v>0</v>
      </c>
      <c r="DI876">
        <v>0</v>
      </c>
      <c r="DJ876">
        <v>0</v>
      </c>
      <c r="DK876">
        <v>0</v>
      </c>
      <c r="DL876">
        <v>0</v>
      </c>
      <c r="DM876">
        <v>0</v>
      </c>
      <c r="DN876">
        <v>0</v>
      </c>
      <c r="DO876">
        <v>0</v>
      </c>
      <c r="DP876">
        <v>0</v>
      </c>
      <c r="DQ876">
        <v>0</v>
      </c>
      <c r="DR876">
        <v>0</v>
      </c>
      <c r="DS876">
        <v>0</v>
      </c>
      <c r="DT876">
        <v>0</v>
      </c>
      <c r="DU876">
        <v>0</v>
      </c>
    </row>
    <row r="877" spans="2:125">
      <c r="B877" s="136">
        <v>868</v>
      </c>
      <c r="C877" s="138">
        <v>1</v>
      </c>
      <c r="D877" s="474">
        <v>4049.6436549263594</v>
      </c>
      <c r="E877" s="127">
        <v>151.53368687221229</v>
      </c>
      <c r="F877" s="447">
        <v>0.41972204727803658</v>
      </c>
      <c r="G877" s="127">
        <v>125.26131873561252</v>
      </c>
      <c r="H877" s="132">
        <v>64.547830888943849</v>
      </c>
      <c r="I877" s="456"/>
      <c r="J877" s="45"/>
      <c r="K877" s="45">
        <v>540</v>
      </c>
      <c r="L877" s="463"/>
      <c r="M877" s="456">
        <v>33.7900390625</v>
      </c>
      <c r="N877" s="457"/>
      <c r="O877" s="456"/>
      <c r="P877" s="46"/>
      <c r="Q877" s="463">
        <v>80.182945251464844</v>
      </c>
      <c r="R877" s="449"/>
      <c r="S877" s="463"/>
      <c r="T877" s="480"/>
      <c r="U877" s="468"/>
      <c r="V877" s="449"/>
      <c r="W877" s="45">
        <v>1665.886962890625</v>
      </c>
      <c r="X877" s="463">
        <v>138.51048278808594</v>
      </c>
      <c r="Y877" s="449"/>
      <c r="Z877" s="45"/>
      <c r="AA877" s="468">
        <v>0.41147578074420549</v>
      </c>
      <c r="AB877" s="456"/>
      <c r="AC877" s="46"/>
      <c r="AD877" s="46"/>
      <c r="AE877" s="46"/>
      <c r="AF877" s="46"/>
      <c r="AG877" s="46"/>
      <c r="AH877" s="46"/>
      <c r="AI877" s="457"/>
      <c r="AJ877" s="138"/>
      <c r="AK877" s="745"/>
      <c r="AL877" s="54"/>
      <c r="AM877" s="468"/>
      <c r="AN877" s="449"/>
      <c r="AO877" s="45"/>
      <c r="AP877" s="45"/>
      <c r="AQ877" s="45"/>
      <c r="AR877" s="45"/>
      <c r="AS877" s="45"/>
      <c r="AT877" s="45"/>
      <c r="AU877" s="463"/>
      <c r="AV877" s="449"/>
      <c r="AW877" s="45"/>
      <c r="AX877" s="45"/>
      <c r="AY877" s="45"/>
      <c r="AZ877" s="45"/>
      <c r="BA877" s="45"/>
      <c r="BB877" s="45"/>
      <c r="BC877" s="463"/>
      <c r="BD877" s="456"/>
      <c r="BE877" s="46"/>
      <c r="BF877" s="46"/>
      <c r="BG877" s="46"/>
      <c r="BH877" s="46"/>
      <c r="BI877" s="46"/>
      <c r="BJ877" s="457"/>
      <c r="BK877" s="449">
        <v>0</v>
      </c>
      <c r="BL877" s="45"/>
      <c r="BM877" s="45"/>
      <c r="BN877" s="45"/>
      <c r="BO877" s="45"/>
      <c r="BP877" s="45"/>
      <c r="BQ877" s="45"/>
      <c r="BR877" s="45"/>
      <c r="BS877" s="45"/>
      <c r="BT877" s="45"/>
      <c r="BU877" s="45"/>
      <c r="BV877" s="45"/>
      <c r="BW877" s="45"/>
      <c r="BX877" s="45"/>
      <c r="BY877" s="45"/>
      <c r="BZ877" s="45"/>
      <c r="CA877" s="45"/>
      <c r="CB877" s="45"/>
      <c r="CC877" s="45"/>
      <c r="CD877" s="463"/>
      <c r="CE877">
        <v>0</v>
      </c>
      <c r="CF877">
        <v>0</v>
      </c>
      <c r="CG877">
        <v>0</v>
      </c>
      <c r="CH877">
        <v>0</v>
      </c>
      <c r="CI877">
        <v>0</v>
      </c>
      <c r="CJ877">
        <v>0</v>
      </c>
      <c r="CK877">
        <v>0</v>
      </c>
      <c r="CL877">
        <v>0</v>
      </c>
      <c r="CM877">
        <v>0</v>
      </c>
      <c r="CN877">
        <v>0</v>
      </c>
      <c r="CO877">
        <v>0</v>
      </c>
      <c r="CP877">
        <v>0</v>
      </c>
      <c r="CQ877">
        <v>0</v>
      </c>
      <c r="CR877">
        <v>0</v>
      </c>
      <c r="CS877">
        <v>0</v>
      </c>
      <c r="CT877">
        <v>0</v>
      </c>
      <c r="CU877">
        <v>0</v>
      </c>
      <c r="CV877">
        <v>0</v>
      </c>
      <c r="CW877">
        <v>0</v>
      </c>
      <c r="CX877">
        <v>0</v>
      </c>
      <c r="CY877">
        <v>0</v>
      </c>
      <c r="CZ877">
        <v>0</v>
      </c>
      <c r="DA877">
        <v>0</v>
      </c>
      <c r="DB877">
        <v>0</v>
      </c>
      <c r="DC877">
        <v>0</v>
      </c>
      <c r="DD877">
        <v>0</v>
      </c>
      <c r="DE877">
        <v>0</v>
      </c>
      <c r="DF877">
        <v>0</v>
      </c>
      <c r="DG877">
        <v>0</v>
      </c>
      <c r="DH877">
        <v>0</v>
      </c>
      <c r="DI877">
        <v>0</v>
      </c>
      <c r="DJ877">
        <v>0</v>
      </c>
      <c r="DK877">
        <v>0</v>
      </c>
      <c r="DL877">
        <v>0</v>
      </c>
      <c r="DM877">
        <v>0</v>
      </c>
      <c r="DN877">
        <v>0</v>
      </c>
      <c r="DO877">
        <v>0</v>
      </c>
      <c r="DP877">
        <v>0</v>
      </c>
      <c r="DQ877">
        <v>0</v>
      </c>
      <c r="DR877">
        <v>0</v>
      </c>
      <c r="DS877">
        <v>0</v>
      </c>
      <c r="DT877">
        <v>0</v>
      </c>
      <c r="DU877">
        <v>0</v>
      </c>
    </row>
    <row r="878" spans="2:125">
      <c r="B878" s="136">
        <v>869</v>
      </c>
      <c r="C878" s="138">
        <v>1</v>
      </c>
      <c r="D878" s="474">
        <v>2899.0048698214609</v>
      </c>
      <c r="E878" s="127">
        <v>265.9929157103108</v>
      </c>
      <c r="F878" s="447">
        <v>0.38197407368386604</v>
      </c>
      <c r="G878" s="127">
        <v>99.234069193809091</v>
      </c>
      <c r="H878" s="132">
        <v>52.017467477173646</v>
      </c>
      <c r="I878" s="456"/>
      <c r="J878" s="45"/>
      <c r="K878" s="45">
        <v>410</v>
      </c>
      <c r="L878" s="463"/>
      <c r="M878" s="456">
        <v>29.109333038330078</v>
      </c>
      <c r="N878" s="457"/>
      <c r="O878" s="456"/>
      <c r="P878" s="46"/>
      <c r="Q878" s="463">
        <v>57.400299072265625</v>
      </c>
      <c r="R878" s="449"/>
      <c r="S878" s="463"/>
      <c r="T878" s="480"/>
      <c r="U878" s="468"/>
      <c r="V878" s="449"/>
      <c r="W878" s="45">
        <v>1159.403076171875</v>
      </c>
      <c r="X878" s="463">
        <v>101.10768890380859</v>
      </c>
      <c r="Y878" s="449"/>
      <c r="Z878" s="45"/>
      <c r="AA878" s="468">
        <v>0.37071521661416845</v>
      </c>
      <c r="AB878" s="456"/>
      <c r="AC878" s="46"/>
      <c r="AD878" s="46"/>
      <c r="AE878" s="46"/>
      <c r="AF878" s="46"/>
      <c r="AG878" s="46"/>
      <c r="AH878" s="46"/>
      <c r="AI878" s="457"/>
      <c r="AJ878" s="138"/>
      <c r="AK878" s="745"/>
      <c r="AL878" s="54"/>
      <c r="AM878" s="468"/>
      <c r="AN878" s="449"/>
      <c r="AO878" s="45"/>
      <c r="AP878" s="45"/>
      <c r="AQ878" s="45"/>
      <c r="AR878" s="45"/>
      <c r="AS878" s="45"/>
      <c r="AT878" s="45"/>
      <c r="AU878" s="463"/>
      <c r="AV878" s="449"/>
      <c r="AW878" s="45"/>
      <c r="AX878" s="45"/>
      <c r="AY878" s="45"/>
      <c r="AZ878" s="45"/>
      <c r="BA878" s="45"/>
      <c r="BB878" s="45"/>
      <c r="BC878" s="463"/>
      <c r="BD878" s="456"/>
      <c r="BE878" s="46"/>
      <c r="BF878" s="46"/>
      <c r="BG878" s="46"/>
      <c r="BH878" s="46"/>
      <c r="BI878" s="46"/>
      <c r="BJ878" s="457"/>
      <c r="BK878" s="449">
        <v>0</v>
      </c>
      <c r="BL878" s="45"/>
      <c r="BM878" s="45"/>
      <c r="BN878" s="45"/>
      <c r="BO878" s="45"/>
      <c r="BP878" s="45"/>
      <c r="BQ878" s="45"/>
      <c r="BR878" s="45"/>
      <c r="BS878" s="45"/>
      <c r="BT878" s="45"/>
      <c r="BU878" s="45"/>
      <c r="BV878" s="45"/>
      <c r="BW878" s="45"/>
      <c r="BX878" s="45"/>
      <c r="BY878" s="45"/>
      <c r="BZ878" s="45"/>
      <c r="CA878" s="45"/>
      <c r="CB878" s="45"/>
      <c r="CC878" s="45"/>
      <c r="CD878" s="463"/>
      <c r="CE878">
        <v>0</v>
      </c>
      <c r="CF878">
        <v>0</v>
      </c>
      <c r="CG878">
        <v>0</v>
      </c>
      <c r="CH878">
        <v>0</v>
      </c>
      <c r="CI878">
        <v>0</v>
      </c>
      <c r="CJ878">
        <v>0</v>
      </c>
      <c r="CK878">
        <v>0</v>
      </c>
      <c r="CL878">
        <v>0</v>
      </c>
      <c r="CM878">
        <v>0</v>
      </c>
      <c r="CN878">
        <v>0</v>
      </c>
      <c r="CO878">
        <v>0</v>
      </c>
      <c r="CP878">
        <v>0</v>
      </c>
      <c r="CQ878">
        <v>0</v>
      </c>
      <c r="CR878">
        <v>0</v>
      </c>
      <c r="CS878">
        <v>0</v>
      </c>
      <c r="CT878">
        <v>0</v>
      </c>
      <c r="CU878">
        <v>0</v>
      </c>
      <c r="CV878">
        <v>0</v>
      </c>
      <c r="CW878">
        <v>0</v>
      </c>
      <c r="CX878">
        <v>0</v>
      </c>
      <c r="CY878">
        <v>0</v>
      </c>
      <c r="CZ878">
        <v>0</v>
      </c>
      <c r="DA878">
        <v>0</v>
      </c>
      <c r="DB878">
        <v>0</v>
      </c>
      <c r="DC878">
        <v>0</v>
      </c>
      <c r="DD878">
        <v>0</v>
      </c>
      <c r="DE878">
        <v>0</v>
      </c>
      <c r="DF878">
        <v>0</v>
      </c>
      <c r="DG878">
        <v>0</v>
      </c>
      <c r="DH878">
        <v>0</v>
      </c>
      <c r="DI878">
        <v>0</v>
      </c>
      <c r="DJ878">
        <v>0</v>
      </c>
      <c r="DK878">
        <v>0</v>
      </c>
      <c r="DL878">
        <v>0</v>
      </c>
      <c r="DM878">
        <v>0</v>
      </c>
      <c r="DN878">
        <v>0</v>
      </c>
      <c r="DO878">
        <v>0</v>
      </c>
      <c r="DP878">
        <v>0</v>
      </c>
      <c r="DQ878">
        <v>0</v>
      </c>
      <c r="DR878">
        <v>0</v>
      </c>
      <c r="DS878">
        <v>0</v>
      </c>
      <c r="DT878">
        <v>0</v>
      </c>
      <c r="DU878">
        <v>0</v>
      </c>
    </row>
    <row r="879" spans="2:125">
      <c r="B879" s="136">
        <v>870</v>
      </c>
      <c r="C879" s="138">
        <v>1</v>
      </c>
      <c r="D879" s="474">
        <v>2776.5464786670636</v>
      </c>
      <c r="E879" s="127">
        <v>254.25405472055098</v>
      </c>
      <c r="F879" s="447">
        <v>0.40685051592579791</v>
      </c>
      <c r="G879" s="127">
        <v>93.310983770661963</v>
      </c>
      <c r="H879" s="132">
        <v>58.92598004110959</v>
      </c>
      <c r="I879" s="456"/>
      <c r="J879" s="45"/>
      <c r="K879" s="45">
        <v>420</v>
      </c>
      <c r="L879" s="463"/>
      <c r="M879" s="456">
        <v>29.66009521484375</v>
      </c>
      <c r="N879" s="457"/>
      <c r="O879" s="456"/>
      <c r="P879" s="46"/>
      <c r="Q879" s="463">
        <v>63.289463043212891</v>
      </c>
      <c r="R879" s="449"/>
      <c r="S879" s="463"/>
      <c r="T879" s="480"/>
      <c r="U879" s="468"/>
      <c r="V879" s="449"/>
      <c r="W879" s="45">
        <v>1267.2862548828125</v>
      </c>
      <c r="X879" s="463">
        <v>108.99220275878906</v>
      </c>
      <c r="Y879" s="449"/>
      <c r="Z879" s="45"/>
      <c r="AA879" s="468">
        <v>0.39491590198249954</v>
      </c>
      <c r="AB879" s="456"/>
      <c r="AC879" s="46"/>
      <c r="AD879" s="46"/>
      <c r="AE879" s="46"/>
      <c r="AF879" s="46"/>
      <c r="AG879" s="46"/>
      <c r="AH879" s="46"/>
      <c r="AI879" s="457"/>
      <c r="AJ879" s="138"/>
      <c r="AK879" s="745"/>
      <c r="AL879" s="54"/>
      <c r="AM879" s="468"/>
      <c r="AN879" s="449"/>
      <c r="AO879" s="45"/>
      <c r="AP879" s="45"/>
      <c r="AQ879" s="45"/>
      <c r="AR879" s="45"/>
      <c r="AS879" s="45"/>
      <c r="AT879" s="45"/>
      <c r="AU879" s="463"/>
      <c r="AV879" s="449"/>
      <c r="AW879" s="45"/>
      <c r="AX879" s="45"/>
      <c r="AY879" s="45"/>
      <c r="AZ879" s="45"/>
      <c r="BA879" s="45"/>
      <c r="BB879" s="45"/>
      <c r="BC879" s="463"/>
      <c r="BD879" s="456"/>
      <c r="BE879" s="46"/>
      <c r="BF879" s="46"/>
      <c r="BG879" s="46"/>
      <c r="BH879" s="46"/>
      <c r="BI879" s="46"/>
      <c r="BJ879" s="457"/>
      <c r="BK879" s="449">
        <v>0</v>
      </c>
      <c r="BL879" s="45"/>
      <c r="BM879" s="45"/>
      <c r="BN879" s="45"/>
      <c r="BO879" s="45"/>
      <c r="BP879" s="45"/>
      <c r="BQ879" s="45"/>
      <c r="BR879" s="45"/>
      <c r="BS879" s="45"/>
      <c r="BT879" s="45"/>
      <c r="BU879" s="45"/>
      <c r="BV879" s="45"/>
      <c r="BW879" s="45"/>
      <c r="BX879" s="45"/>
      <c r="BY879" s="45"/>
      <c r="BZ879" s="45"/>
      <c r="CA879" s="45"/>
      <c r="CB879" s="45"/>
      <c r="CC879" s="45"/>
      <c r="CD879" s="463"/>
      <c r="CE879">
        <v>0</v>
      </c>
      <c r="CF879">
        <v>0</v>
      </c>
      <c r="CG879">
        <v>0</v>
      </c>
      <c r="CH879">
        <v>0</v>
      </c>
      <c r="CI879">
        <v>0</v>
      </c>
      <c r="CJ879">
        <v>0</v>
      </c>
      <c r="CK879">
        <v>0</v>
      </c>
      <c r="CL879">
        <v>0</v>
      </c>
      <c r="CM879">
        <v>0</v>
      </c>
      <c r="CN879">
        <v>0</v>
      </c>
      <c r="CO879">
        <v>0</v>
      </c>
      <c r="CP879">
        <v>0</v>
      </c>
      <c r="CQ879">
        <v>0</v>
      </c>
      <c r="CR879">
        <v>0</v>
      </c>
      <c r="CS879">
        <v>0</v>
      </c>
      <c r="CT879">
        <v>0</v>
      </c>
      <c r="CU879">
        <v>0</v>
      </c>
      <c r="CV879">
        <v>0</v>
      </c>
      <c r="CW879">
        <v>0</v>
      </c>
      <c r="CX879">
        <v>0</v>
      </c>
      <c r="CY879">
        <v>0</v>
      </c>
      <c r="CZ879">
        <v>0</v>
      </c>
      <c r="DA879">
        <v>0</v>
      </c>
      <c r="DB879">
        <v>0</v>
      </c>
      <c r="DC879">
        <v>0</v>
      </c>
      <c r="DD879">
        <v>0</v>
      </c>
      <c r="DE879">
        <v>0</v>
      </c>
      <c r="DF879">
        <v>0</v>
      </c>
      <c r="DG879">
        <v>0</v>
      </c>
      <c r="DH879">
        <v>0</v>
      </c>
      <c r="DI879">
        <v>0</v>
      </c>
      <c r="DJ879">
        <v>0</v>
      </c>
      <c r="DK879">
        <v>0</v>
      </c>
      <c r="DL879">
        <v>0</v>
      </c>
      <c r="DM879">
        <v>0</v>
      </c>
      <c r="DN879">
        <v>0</v>
      </c>
      <c r="DO879">
        <v>0</v>
      </c>
      <c r="DP879">
        <v>0</v>
      </c>
      <c r="DQ879">
        <v>0</v>
      </c>
      <c r="DR879">
        <v>0</v>
      </c>
      <c r="DS879">
        <v>0</v>
      </c>
      <c r="DT879">
        <v>0</v>
      </c>
      <c r="DU879">
        <v>0</v>
      </c>
    </row>
    <row r="880" spans="2:125">
      <c r="B880" s="136">
        <v>871</v>
      </c>
      <c r="C880" s="138">
        <v>1</v>
      </c>
      <c r="D880" s="474">
        <v>3746.8006722702557</v>
      </c>
      <c r="E880" s="127">
        <v>192.25482138190614</v>
      </c>
      <c r="F880" s="447">
        <v>0.39113330370677063</v>
      </c>
      <c r="G880" s="127">
        <v>132.51363066020733</v>
      </c>
      <c r="H880" s="132">
        <v>58.572645104409695</v>
      </c>
      <c r="I880" s="456"/>
      <c r="J880" s="45"/>
      <c r="K880" s="45">
        <v>540</v>
      </c>
      <c r="L880" s="463"/>
      <c r="M880" s="456">
        <v>31.528398513793945</v>
      </c>
      <c r="N880" s="457"/>
      <c r="O880" s="456"/>
      <c r="P880" s="46"/>
      <c r="Q880" s="463">
        <v>74.186653137207031</v>
      </c>
      <c r="R880" s="449"/>
      <c r="S880" s="463"/>
      <c r="T880" s="480"/>
      <c r="U880" s="468"/>
      <c r="V880" s="449"/>
      <c r="W880" s="45">
        <v>1504.3033447265625</v>
      </c>
      <c r="X880" s="463">
        <v>126.72634887695312</v>
      </c>
      <c r="Y880" s="449"/>
      <c r="Z880" s="45"/>
      <c r="AA880" s="468">
        <v>0.38237311896647924</v>
      </c>
      <c r="AB880" s="456"/>
      <c r="AC880" s="46"/>
      <c r="AD880" s="46"/>
      <c r="AE880" s="46"/>
      <c r="AF880" s="46"/>
      <c r="AG880" s="46"/>
      <c r="AH880" s="46"/>
      <c r="AI880" s="457"/>
      <c r="AJ880" s="138"/>
      <c r="AK880" s="745"/>
      <c r="AL880" s="54"/>
      <c r="AM880" s="468"/>
      <c r="AN880" s="449"/>
      <c r="AO880" s="45"/>
      <c r="AP880" s="45"/>
      <c r="AQ880" s="45"/>
      <c r="AR880" s="45"/>
      <c r="AS880" s="45"/>
      <c r="AT880" s="45"/>
      <c r="AU880" s="463"/>
      <c r="AV880" s="449"/>
      <c r="AW880" s="45"/>
      <c r="AX880" s="45"/>
      <c r="AY880" s="45"/>
      <c r="AZ880" s="45"/>
      <c r="BA880" s="45"/>
      <c r="BB880" s="45"/>
      <c r="BC880" s="463"/>
      <c r="BD880" s="456"/>
      <c r="BE880" s="46"/>
      <c r="BF880" s="46"/>
      <c r="BG880" s="46"/>
      <c r="BH880" s="46"/>
      <c r="BI880" s="46"/>
      <c r="BJ880" s="457"/>
      <c r="BK880" s="449">
        <v>0</v>
      </c>
      <c r="BL880" s="45"/>
      <c r="BM880" s="45"/>
      <c r="BN880" s="45"/>
      <c r="BO880" s="45"/>
      <c r="BP880" s="45"/>
      <c r="BQ880" s="45"/>
      <c r="BR880" s="45"/>
      <c r="BS880" s="45"/>
      <c r="BT880" s="45"/>
      <c r="BU880" s="45"/>
      <c r="BV880" s="45"/>
      <c r="BW880" s="45"/>
      <c r="BX880" s="45"/>
      <c r="BY880" s="45"/>
      <c r="BZ880" s="45"/>
      <c r="CA880" s="45"/>
      <c r="CB880" s="45"/>
      <c r="CC880" s="45"/>
      <c r="CD880" s="463"/>
      <c r="CE880">
        <v>0</v>
      </c>
      <c r="CF880">
        <v>0</v>
      </c>
      <c r="CG880">
        <v>0</v>
      </c>
      <c r="CH880">
        <v>0</v>
      </c>
      <c r="CI880">
        <v>0</v>
      </c>
      <c r="CJ880">
        <v>0</v>
      </c>
      <c r="CK880">
        <v>0</v>
      </c>
      <c r="CL880">
        <v>0</v>
      </c>
      <c r="CM880">
        <v>0</v>
      </c>
      <c r="CN880">
        <v>0</v>
      </c>
      <c r="CO880">
        <v>0</v>
      </c>
      <c r="CP880">
        <v>0</v>
      </c>
      <c r="CQ880">
        <v>0</v>
      </c>
      <c r="CR880">
        <v>0</v>
      </c>
      <c r="CS880">
        <v>0</v>
      </c>
      <c r="CT880">
        <v>0</v>
      </c>
      <c r="CU880">
        <v>0</v>
      </c>
      <c r="CV880">
        <v>0</v>
      </c>
      <c r="CW880">
        <v>0</v>
      </c>
      <c r="CX880">
        <v>0</v>
      </c>
      <c r="CY880">
        <v>0</v>
      </c>
      <c r="CZ880">
        <v>0</v>
      </c>
      <c r="DA880">
        <v>0</v>
      </c>
      <c r="DB880">
        <v>0</v>
      </c>
      <c r="DC880">
        <v>0</v>
      </c>
      <c r="DD880">
        <v>0</v>
      </c>
      <c r="DE880">
        <v>0</v>
      </c>
      <c r="DF880">
        <v>0</v>
      </c>
      <c r="DG880">
        <v>0</v>
      </c>
      <c r="DH880">
        <v>0</v>
      </c>
      <c r="DI880">
        <v>0</v>
      </c>
      <c r="DJ880">
        <v>0</v>
      </c>
      <c r="DK880">
        <v>0</v>
      </c>
      <c r="DL880">
        <v>0</v>
      </c>
      <c r="DM880">
        <v>0</v>
      </c>
      <c r="DN880">
        <v>0</v>
      </c>
      <c r="DO880">
        <v>0</v>
      </c>
      <c r="DP880">
        <v>0</v>
      </c>
      <c r="DQ880">
        <v>0</v>
      </c>
      <c r="DR880">
        <v>0</v>
      </c>
      <c r="DS880">
        <v>0</v>
      </c>
      <c r="DT880">
        <v>0</v>
      </c>
      <c r="DU880">
        <v>0</v>
      </c>
    </row>
    <row r="881" spans="2:125">
      <c r="B881" s="136">
        <v>872</v>
      </c>
      <c r="C881" s="138">
        <v>1</v>
      </c>
      <c r="D881" s="474">
        <v>2733.8881889454424</v>
      </c>
      <c r="E881" s="127">
        <v>228.8357192963704</v>
      </c>
      <c r="F881" s="447">
        <v>0.38221581058293019</v>
      </c>
      <c r="G881" s="127">
        <v>93.106591146284131</v>
      </c>
      <c r="H881" s="132">
        <v>50.418574360155944</v>
      </c>
      <c r="I881" s="456"/>
      <c r="J881" s="45"/>
      <c r="K881" s="45">
        <v>390</v>
      </c>
      <c r="L881" s="463"/>
      <c r="M881" s="456">
        <v>29.286163330078125</v>
      </c>
      <c r="N881" s="457"/>
      <c r="O881" s="456"/>
      <c r="P881" s="46"/>
      <c r="Q881" s="463">
        <v>54.130985260009766</v>
      </c>
      <c r="R881" s="449"/>
      <c r="S881" s="463"/>
      <c r="T881" s="480"/>
      <c r="U881" s="468"/>
      <c r="V881" s="449"/>
      <c r="W881" s="45">
        <v>1110.521728515625</v>
      </c>
      <c r="X881" s="463">
        <v>97.464454650878906</v>
      </c>
      <c r="Y881" s="449"/>
      <c r="Z881" s="45"/>
      <c r="AA881" s="468">
        <v>0.37027519196375741</v>
      </c>
      <c r="AB881" s="456"/>
      <c r="AC881" s="46"/>
      <c r="AD881" s="46"/>
      <c r="AE881" s="46"/>
      <c r="AF881" s="46"/>
      <c r="AG881" s="46"/>
      <c r="AH881" s="46"/>
      <c r="AI881" s="457"/>
      <c r="AJ881" s="138"/>
      <c r="AK881" s="745"/>
      <c r="AL881" s="54"/>
      <c r="AM881" s="468"/>
      <c r="AN881" s="449"/>
      <c r="AO881" s="45"/>
      <c r="AP881" s="45"/>
      <c r="AQ881" s="45"/>
      <c r="AR881" s="45"/>
      <c r="AS881" s="45"/>
      <c r="AT881" s="45"/>
      <c r="AU881" s="463"/>
      <c r="AV881" s="449"/>
      <c r="AW881" s="45"/>
      <c r="AX881" s="45"/>
      <c r="AY881" s="45"/>
      <c r="AZ881" s="45"/>
      <c r="BA881" s="45"/>
      <c r="BB881" s="45"/>
      <c r="BC881" s="463"/>
      <c r="BD881" s="456"/>
      <c r="BE881" s="46"/>
      <c r="BF881" s="46"/>
      <c r="BG881" s="46"/>
      <c r="BH881" s="46"/>
      <c r="BI881" s="46"/>
      <c r="BJ881" s="457"/>
      <c r="BK881" s="449">
        <v>0</v>
      </c>
      <c r="BL881" s="45"/>
      <c r="BM881" s="45"/>
      <c r="BN881" s="45"/>
      <c r="BO881" s="45"/>
      <c r="BP881" s="45"/>
      <c r="BQ881" s="45"/>
      <c r="BR881" s="45"/>
      <c r="BS881" s="45"/>
      <c r="BT881" s="45"/>
      <c r="BU881" s="45"/>
      <c r="BV881" s="45"/>
      <c r="BW881" s="45"/>
      <c r="BX881" s="45"/>
      <c r="BY881" s="45"/>
      <c r="BZ881" s="45"/>
      <c r="CA881" s="45"/>
      <c r="CB881" s="45"/>
      <c r="CC881" s="45"/>
      <c r="CD881" s="463"/>
      <c r="CE881">
        <v>0</v>
      </c>
      <c r="CF881">
        <v>0</v>
      </c>
      <c r="CG881">
        <v>0</v>
      </c>
      <c r="CH881">
        <v>0</v>
      </c>
      <c r="CI881">
        <v>0</v>
      </c>
      <c r="CJ881">
        <v>0</v>
      </c>
      <c r="CK881">
        <v>0</v>
      </c>
      <c r="CL881">
        <v>0</v>
      </c>
      <c r="CM881">
        <v>0</v>
      </c>
      <c r="CN881">
        <v>0</v>
      </c>
      <c r="CO881">
        <v>0</v>
      </c>
      <c r="CP881">
        <v>0</v>
      </c>
      <c r="CQ881">
        <v>0</v>
      </c>
      <c r="CR881">
        <v>0</v>
      </c>
      <c r="CS881">
        <v>0</v>
      </c>
      <c r="CT881">
        <v>0</v>
      </c>
      <c r="CU881">
        <v>0</v>
      </c>
      <c r="CV881">
        <v>0</v>
      </c>
      <c r="CW881">
        <v>0</v>
      </c>
      <c r="CX881">
        <v>0</v>
      </c>
      <c r="CY881">
        <v>0</v>
      </c>
      <c r="CZ881">
        <v>0</v>
      </c>
      <c r="DA881">
        <v>0</v>
      </c>
      <c r="DB881">
        <v>0</v>
      </c>
      <c r="DC881">
        <v>0</v>
      </c>
      <c r="DD881">
        <v>0</v>
      </c>
      <c r="DE881">
        <v>0</v>
      </c>
      <c r="DF881">
        <v>0</v>
      </c>
      <c r="DG881">
        <v>0</v>
      </c>
      <c r="DH881">
        <v>0</v>
      </c>
      <c r="DI881">
        <v>0</v>
      </c>
      <c r="DJ881">
        <v>0</v>
      </c>
      <c r="DK881">
        <v>0</v>
      </c>
      <c r="DL881">
        <v>0</v>
      </c>
      <c r="DM881">
        <v>0</v>
      </c>
      <c r="DN881">
        <v>0</v>
      </c>
      <c r="DO881">
        <v>0</v>
      </c>
      <c r="DP881">
        <v>0</v>
      </c>
      <c r="DQ881">
        <v>0</v>
      </c>
      <c r="DR881">
        <v>0</v>
      </c>
      <c r="DS881">
        <v>0</v>
      </c>
      <c r="DT881">
        <v>0</v>
      </c>
      <c r="DU881">
        <v>0</v>
      </c>
    </row>
    <row r="882" spans="2:125">
      <c r="B882" s="136">
        <v>873</v>
      </c>
      <c r="C882" s="138">
        <v>1</v>
      </c>
      <c r="D882" s="474">
        <v>4017.4012807577728</v>
      </c>
      <c r="E882" s="127">
        <v>275.73028559850974</v>
      </c>
      <c r="F882" s="447">
        <v>0.46245727281470522</v>
      </c>
      <c r="G882" s="127">
        <v>156.32430172823973</v>
      </c>
      <c r="H882" s="132">
        <v>57.300232756946301</v>
      </c>
      <c r="I882" s="456"/>
      <c r="J882" s="45"/>
      <c r="K882" s="45">
        <v>620</v>
      </c>
      <c r="L882" s="463"/>
      <c r="M882" s="456">
        <v>46.302955627441406</v>
      </c>
      <c r="N882" s="457"/>
      <c r="O882" s="456"/>
      <c r="P882" s="46"/>
      <c r="Q882" s="463">
        <v>79.544548034667969</v>
      </c>
      <c r="R882" s="449"/>
      <c r="S882" s="463"/>
      <c r="T882" s="480"/>
      <c r="U882" s="468"/>
      <c r="V882" s="449"/>
      <c r="W882" s="45">
        <v>2238.0771484375</v>
      </c>
      <c r="X882" s="463">
        <v>180.43537902832031</v>
      </c>
      <c r="Y882" s="449"/>
      <c r="Z882" s="45"/>
      <c r="AA882" s="468">
        <v>0.45393207379604161</v>
      </c>
      <c r="AB882" s="456"/>
      <c r="AC882" s="46"/>
      <c r="AD882" s="46"/>
      <c r="AE882" s="46"/>
      <c r="AF882" s="46"/>
      <c r="AG882" s="46"/>
      <c r="AH882" s="46"/>
      <c r="AI882" s="457"/>
      <c r="AJ882" s="138"/>
      <c r="AK882" s="745"/>
      <c r="AL882" s="54"/>
      <c r="AM882" s="468"/>
      <c r="AN882" s="449"/>
      <c r="AO882" s="45"/>
      <c r="AP882" s="45"/>
      <c r="AQ882" s="45"/>
      <c r="AR882" s="45"/>
      <c r="AS882" s="45"/>
      <c r="AT882" s="45"/>
      <c r="AU882" s="463"/>
      <c r="AV882" s="449"/>
      <c r="AW882" s="45"/>
      <c r="AX882" s="45"/>
      <c r="AY882" s="45"/>
      <c r="AZ882" s="45"/>
      <c r="BA882" s="45"/>
      <c r="BB882" s="45"/>
      <c r="BC882" s="463"/>
      <c r="BD882" s="456"/>
      <c r="BE882" s="46"/>
      <c r="BF882" s="46"/>
      <c r="BG882" s="46"/>
      <c r="BH882" s="46"/>
      <c r="BI882" s="46"/>
      <c r="BJ882" s="457"/>
      <c r="BK882" s="449">
        <v>0</v>
      </c>
      <c r="BL882" s="45"/>
      <c r="BM882" s="45"/>
      <c r="BN882" s="45"/>
      <c r="BO882" s="45"/>
      <c r="BP882" s="45"/>
      <c r="BQ882" s="45"/>
      <c r="BR882" s="45"/>
      <c r="BS882" s="45"/>
      <c r="BT882" s="45"/>
      <c r="BU882" s="45"/>
      <c r="BV882" s="45"/>
      <c r="BW882" s="45"/>
      <c r="BX882" s="45"/>
      <c r="BY882" s="45"/>
      <c r="BZ882" s="45"/>
      <c r="CA882" s="45"/>
      <c r="CB882" s="45"/>
      <c r="CC882" s="45"/>
      <c r="CD882" s="463"/>
      <c r="CE882">
        <v>0</v>
      </c>
      <c r="CF882">
        <v>0</v>
      </c>
      <c r="CG882">
        <v>0</v>
      </c>
      <c r="CH882">
        <v>0</v>
      </c>
      <c r="CI882">
        <v>0</v>
      </c>
      <c r="CJ882">
        <v>0</v>
      </c>
      <c r="CK882">
        <v>0</v>
      </c>
      <c r="CL882">
        <v>0</v>
      </c>
      <c r="CM882">
        <v>0</v>
      </c>
      <c r="CN882">
        <v>0</v>
      </c>
      <c r="CO882">
        <v>0</v>
      </c>
      <c r="CP882">
        <v>0</v>
      </c>
      <c r="CQ882">
        <v>0</v>
      </c>
      <c r="CR882">
        <v>0</v>
      </c>
      <c r="CS882">
        <v>0</v>
      </c>
      <c r="CT882">
        <v>0</v>
      </c>
      <c r="CU882">
        <v>0</v>
      </c>
      <c r="CV882">
        <v>0</v>
      </c>
      <c r="CW882">
        <v>0</v>
      </c>
      <c r="CX882">
        <v>0</v>
      </c>
      <c r="CY882">
        <v>0</v>
      </c>
      <c r="CZ882">
        <v>0</v>
      </c>
      <c r="DA882">
        <v>0</v>
      </c>
      <c r="DB882">
        <v>0</v>
      </c>
      <c r="DC882">
        <v>0</v>
      </c>
      <c r="DD882">
        <v>0</v>
      </c>
      <c r="DE882">
        <v>0</v>
      </c>
      <c r="DF882">
        <v>0</v>
      </c>
      <c r="DG882">
        <v>0</v>
      </c>
      <c r="DH882">
        <v>0</v>
      </c>
      <c r="DI882">
        <v>0</v>
      </c>
      <c r="DJ882">
        <v>0</v>
      </c>
      <c r="DK882">
        <v>0</v>
      </c>
      <c r="DL882">
        <v>0</v>
      </c>
      <c r="DM882">
        <v>0</v>
      </c>
      <c r="DN882">
        <v>0</v>
      </c>
      <c r="DO882">
        <v>0</v>
      </c>
      <c r="DP882">
        <v>0</v>
      </c>
      <c r="DQ882">
        <v>0</v>
      </c>
      <c r="DR882">
        <v>0</v>
      </c>
      <c r="DS882">
        <v>0</v>
      </c>
      <c r="DT882">
        <v>0</v>
      </c>
      <c r="DU882">
        <v>0</v>
      </c>
    </row>
    <row r="883" spans="2:125">
      <c r="B883" s="136">
        <v>874</v>
      </c>
      <c r="C883" s="138">
        <v>1</v>
      </c>
      <c r="D883" s="474">
        <v>3258.8153135850507</v>
      </c>
      <c r="E883" s="127">
        <v>291.11201810264305</v>
      </c>
      <c r="F883" s="447">
        <v>0.4172962956201991</v>
      </c>
      <c r="G883" s="127">
        <v>103.8650084865215</v>
      </c>
      <c r="H883" s="132">
        <v>57.423573518073958</v>
      </c>
      <c r="I883" s="456"/>
      <c r="J883" s="45"/>
      <c r="K883" s="45">
        <v>450</v>
      </c>
      <c r="L883" s="463"/>
      <c r="M883" s="456">
        <v>32.297016143798828</v>
      </c>
      <c r="N883" s="457"/>
      <c r="O883" s="456"/>
      <c r="P883" s="46"/>
      <c r="Q883" s="463">
        <v>64.524543762207031</v>
      </c>
      <c r="R883" s="449"/>
      <c r="S883" s="463"/>
      <c r="T883" s="480"/>
      <c r="U883" s="468"/>
      <c r="V883" s="449"/>
      <c r="W883" s="45">
        <v>1393.91455078125</v>
      </c>
      <c r="X883" s="463">
        <v>118.32541656494141</v>
      </c>
      <c r="Y883" s="449"/>
      <c r="Z883" s="45"/>
      <c r="AA883" s="468">
        <v>0.40706376548159484</v>
      </c>
      <c r="AB883" s="456"/>
      <c r="AC883" s="46"/>
      <c r="AD883" s="46"/>
      <c r="AE883" s="46"/>
      <c r="AF883" s="46"/>
      <c r="AG883" s="46"/>
      <c r="AH883" s="46"/>
      <c r="AI883" s="457"/>
      <c r="AJ883" s="138"/>
      <c r="AK883" s="745"/>
      <c r="AL883" s="54"/>
      <c r="AM883" s="468"/>
      <c r="AN883" s="449"/>
      <c r="AO883" s="45"/>
      <c r="AP883" s="45"/>
      <c r="AQ883" s="45"/>
      <c r="AR883" s="45"/>
      <c r="AS883" s="45"/>
      <c r="AT883" s="45"/>
      <c r="AU883" s="463"/>
      <c r="AV883" s="449"/>
      <c r="AW883" s="45"/>
      <c r="AX883" s="45"/>
      <c r="AY883" s="45"/>
      <c r="AZ883" s="45"/>
      <c r="BA883" s="45"/>
      <c r="BB883" s="45"/>
      <c r="BC883" s="463"/>
      <c r="BD883" s="456"/>
      <c r="BE883" s="46"/>
      <c r="BF883" s="46"/>
      <c r="BG883" s="46"/>
      <c r="BH883" s="46"/>
      <c r="BI883" s="46"/>
      <c r="BJ883" s="457"/>
      <c r="BK883" s="449">
        <v>0</v>
      </c>
      <c r="BL883" s="45"/>
      <c r="BM883" s="45"/>
      <c r="BN883" s="45"/>
      <c r="BO883" s="45"/>
      <c r="BP883" s="45"/>
      <c r="BQ883" s="45"/>
      <c r="BR883" s="45"/>
      <c r="BS883" s="45"/>
      <c r="BT883" s="45"/>
      <c r="BU883" s="45"/>
      <c r="BV883" s="45"/>
      <c r="BW883" s="45"/>
      <c r="BX883" s="45"/>
      <c r="BY883" s="45"/>
      <c r="BZ883" s="45"/>
      <c r="CA883" s="45"/>
      <c r="CB883" s="45"/>
      <c r="CC883" s="45"/>
      <c r="CD883" s="463"/>
      <c r="CE883">
        <v>0</v>
      </c>
      <c r="CF883">
        <v>0</v>
      </c>
      <c r="CG883">
        <v>0</v>
      </c>
      <c r="CH883">
        <v>0</v>
      </c>
      <c r="CI883">
        <v>0</v>
      </c>
      <c r="CJ883">
        <v>0</v>
      </c>
      <c r="CK883">
        <v>0</v>
      </c>
      <c r="CL883">
        <v>0</v>
      </c>
      <c r="CM883">
        <v>0</v>
      </c>
      <c r="CN883">
        <v>0</v>
      </c>
      <c r="CO883">
        <v>0</v>
      </c>
      <c r="CP883">
        <v>0</v>
      </c>
      <c r="CQ883">
        <v>0</v>
      </c>
      <c r="CR883">
        <v>0</v>
      </c>
      <c r="CS883">
        <v>0</v>
      </c>
      <c r="CT883">
        <v>0</v>
      </c>
      <c r="CU883">
        <v>0</v>
      </c>
      <c r="CV883">
        <v>0</v>
      </c>
      <c r="CW883">
        <v>0</v>
      </c>
      <c r="CX883">
        <v>0</v>
      </c>
      <c r="CY883">
        <v>0</v>
      </c>
      <c r="CZ883">
        <v>0</v>
      </c>
      <c r="DA883">
        <v>0</v>
      </c>
      <c r="DB883">
        <v>0</v>
      </c>
      <c r="DC883">
        <v>0</v>
      </c>
      <c r="DD883">
        <v>0</v>
      </c>
      <c r="DE883">
        <v>0</v>
      </c>
      <c r="DF883">
        <v>0</v>
      </c>
      <c r="DG883">
        <v>0</v>
      </c>
      <c r="DH883">
        <v>0</v>
      </c>
      <c r="DI883">
        <v>0</v>
      </c>
      <c r="DJ883">
        <v>0</v>
      </c>
      <c r="DK883">
        <v>0</v>
      </c>
      <c r="DL883">
        <v>0</v>
      </c>
      <c r="DM883">
        <v>0</v>
      </c>
      <c r="DN883">
        <v>0</v>
      </c>
      <c r="DO883">
        <v>0</v>
      </c>
      <c r="DP883">
        <v>0</v>
      </c>
      <c r="DQ883">
        <v>0</v>
      </c>
      <c r="DR883">
        <v>0</v>
      </c>
      <c r="DS883">
        <v>0</v>
      </c>
      <c r="DT883">
        <v>0</v>
      </c>
      <c r="DU883">
        <v>0</v>
      </c>
    </row>
    <row r="884" spans="2:125">
      <c r="B884" s="136">
        <v>875</v>
      </c>
      <c r="C884" s="138">
        <v>1</v>
      </c>
      <c r="D884" s="474">
        <v>2959.3832731268367</v>
      </c>
      <c r="E884" s="127">
        <v>271.78711499621301</v>
      </c>
      <c r="F884" s="447">
        <v>0.36573512131796326</v>
      </c>
      <c r="G884" s="127">
        <v>102.37474824593639</v>
      </c>
      <c r="H884" s="132">
        <v>52.313400767640424</v>
      </c>
      <c r="I884" s="456"/>
      <c r="J884" s="45"/>
      <c r="K884" s="45">
        <v>420</v>
      </c>
      <c r="L884" s="463"/>
      <c r="M884" s="456">
        <v>28.11419677734375</v>
      </c>
      <c r="N884" s="457"/>
      <c r="O884" s="456"/>
      <c r="P884" s="46"/>
      <c r="Q884" s="463">
        <v>58.595790863037109</v>
      </c>
      <c r="R884" s="449"/>
      <c r="S884" s="463"/>
      <c r="T884" s="480"/>
      <c r="U884" s="468"/>
      <c r="V884" s="449"/>
      <c r="W884" s="45">
        <v>1137.265869140625</v>
      </c>
      <c r="X884" s="463">
        <v>99.550544738769531</v>
      </c>
      <c r="Y884" s="449"/>
      <c r="Z884" s="45"/>
      <c r="AA884" s="468">
        <v>0.35481571702187287</v>
      </c>
      <c r="AB884" s="456"/>
      <c r="AC884" s="46"/>
      <c r="AD884" s="46"/>
      <c r="AE884" s="46"/>
      <c r="AF884" s="46"/>
      <c r="AG884" s="46"/>
      <c r="AH884" s="46"/>
      <c r="AI884" s="457"/>
      <c r="AJ884" s="138"/>
      <c r="AK884" s="745"/>
      <c r="AL884" s="54"/>
      <c r="AM884" s="468"/>
      <c r="AN884" s="449"/>
      <c r="AO884" s="45"/>
      <c r="AP884" s="45"/>
      <c r="AQ884" s="45"/>
      <c r="AR884" s="45"/>
      <c r="AS884" s="45"/>
      <c r="AT884" s="45"/>
      <c r="AU884" s="463"/>
      <c r="AV884" s="449"/>
      <c r="AW884" s="45"/>
      <c r="AX884" s="45"/>
      <c r="AY884" s="45"/>
      <c r="AZ884" s="45"/>
      <c r="BA884" s="45"/>
      <c r="BB884" s="45"/>
      <c r="BC884" s="463"/>
      <c r="BD884" s="456"/>
      <c r="BE884" s="46"/>
      <c r="BF884" s="46"/>
      <c r="BG884" s="46"/>
      <c r="BH884" s="46"/>
      <c r="BI884" s="46"/>
      <c r="BJ884" s="457"/>
      <c r="BK884" s="449">
        <v>0</v>
      </c>
      <c r="BL884" s="45"/>
      <c r="BM884" s="45"/>
      <c r="BN884" s="45"/>
      <c r="BO884" s="45"/>
      <c r="BP884" s="45"/>
      <c r="BQ884" s="45"/>
      <c r="BR884" s="45"/>
      <c r="BS884" s="45"/>
      <c r="BT884" s="45"/>
      <c r="BU884" s="45"/>
      <c r="BV884" s="45"/>
      <c r="BW884" s="45"/>
      <c r="BX884" s="45"/>
      <c r="BY884" s="45"/>
      <c r="BZ884" s="45"/>
      <c r="CA884" s="45"/>
      <c r="CB884" s="45"/>
      <c r="CC884" s="45"/>
      <c r="CD884" s="463"/>
      <c r="CE884">
        <v>0</v>
      </c>
      <c r="CF884">
        <v>0</v>
      </c>
      <c r="CG884">
        <v>0</v>
      </c>
      <c r="CH884">
        <v>0</v>
      </c>
      <c r="CI884">
        <v>0</v>
      </c>
      <c r="CJ884">
        <v>0</v>
      </c>
      <c r="CK884">
        <v>0</v>
      </c>
      <c r="CL884">
        <v>0</v>
      </c>
      <c r="CM884">
        <v>0</v>
      </c>
      <c r="CN884">
        <v>0</v>
      </c>
      <c r="CO884">
        <v>0</v>
      </c>
      <c r="CP884">
        <v>0</v>
      </c>
      <c r="CQ884">
        <v>0</v>
      </c>
      <c r="CR884">
        <v>0</v>
      </c>
      <c r="CS884">
        <v>0</v>
      </c>
      <c r="CT884">
        <v>0</v>
      </c>
      <c r="CU884">
        <v>0</v>
      </c>
      <c r="CV884">
        <v>0</v>
      </c>
      <c r="CW884">
        <v>0</v>
      </c>
      <c r="CX884">
        <v>0</v>
      </c>
      <c r="CY884">
        <v>0</v>
      </c>
      <c r="CZ884">
        <v>0</v>
      </c>
      <c r="DA884">
        <v>0</v>
      </c>
      <c r="DB884">
        <v>0</v>
      </c>
      <c r="DC884">
        <v>0</v>
      </c>
      <c r="DD884">
        <v>0</v>
      </c>
      <c r="DE884">
        <v>0</v>
      </c>
      <c r="DF884">
        <v>0</v>
      </c>
      <c r="DG884">
        <v>0</v>
      </c>
      <c r="DH884">
        <v>0</v>
      </c>
      <c r="DI884">
        <v>0</v>
      </c>
      <c r="DJ884">
        <v>0</v>
      </c>
      <c r="DK884">
        <v>0</v>
      </c>
      <c r="DL884">
        <v>0</v>
      </c>
      <c r="DM884">
        <v>0</v>
      </c>
      <c r="DN884">
        <v>0</v>
      </c>
      <c r="DO884">
        <v>0</v>
      </c>
      <c r="DP884">
        <v>0</v>
      </c>
      <c r="DQ884">
        <v>0</v>
      </c>
      <c r="DR884">
        <v>0</v>
      </c>
      <c r="DS884">
        <v>0</v>
      </c>
      <c r="DT884">
        <v>0</v>
      </c>
      <c r="DU884">
        <v>0</v>
      </c>
    </row>
    <row r="885" spans="2:125">
      <c r="B885" s="136">
        <v>876</v>
      </c>
      <c r="C885" s="138">
        <v>1</v>
      </c>
      <c r="D885" s="474">
        <v>3460.7184637843002</v>
      </c>
      <c r="E885" s="127">
        <v>207.8191942306066</v>
      </c>
      <c r="F885" s="447">
        <v>0.42259519120459155</v>
      </c>
      <c r="G885" s="127">
        <v>123.13255172340365</v>
      </c>
      <c r="H885" s="132">
        <v>56.056163001405331</v>
      </c>
      <c r="I885" s="456"/>
      <c r="J885" s="45"/>
      <c r="K885" s="45">
        <v>500</v>
      </c>
      <c r="L885" s="463"/>
      <c r="M885" s="456">
        <v>35.180892944335938</v>
      </c>
      <c r="N885" s="457"/>
      <c r="O885" s="456"/>
      <c r="P885" s="46"/>
      <c r="Q885" s="463">
        <v>68.522224426269531</v>
      </c>
      <c r="R885" s="449"/>
      <c r="S885" s="463"/>
      <c r="T885" s="480"/>
      <c r="U885" s="468"/>
      <c r="V885" s="449"/>
      <c r="W885" s="45">
        <v>1576.62060546875</v>
      </c>
      <c r="X885" s="463">
        <v>131.84263610839844</v>
      </c>
      <c r="Y885" s="449"/>
      <c r="Z885" s="45"/>
      <c r="AA885" s="468">
        <v>0.41292901807489052</v>
      </c>
      <c r="AB885" s="456"/>
      <c r="AC885" s="46"/>
      <c r="AD885" s="46"/>
      <c r="AE885" s="46"/>
      <c r="AF885" s="46"/>
      <c r="AG885" s="46"/>
      <c r="AH885" s="46"/>
      <c r="AI885" s="457"/>
      <c r="AJ885" s="138"/>
      <c r="AK885" s="745"/>
      <c r="AL885" s="54"/>
      <c r="AM885" s="468"/>
      <c r="AN885" s="449"/>
      <c r="AO885" s="45"/>
      <c r="AP885" s="45"/>
      <c r="AQ885" s="45"/>
      <c r="AR885" s="45"/>
      <c r="AS885" s="45"/>
      <c r="AT885" s="45"/>
      <c r="AU885" s="463"/>
      <c r="AV885" s="449"/>
      <c r="AW885" s="45"/>
      <c r="AX885" s="45"/>
      <c r="AY885" s="45"/>
      <c r="AZ885" s="45"/>
      <c r="BA885" s="45"/>
      <c r="BB885" s="45"/>
      <c r="BC885" s="463"/>
      <c r="BD885" s="456"/>
      <c r="BE885" s="46"/>
      <c r="BF885" s="46"/>
      <c r="BG885" s="46"/>
      <c r="BH885" s="46"/>
      <c r="BI885" s="46"/>
      <c r="BJ885" s="457"/>
      <c r="BK885" s="449">
        <v>0</v>
      </c>
      <c r="BL885" s="45"/>
      <c r="BM885" s="45"/>
      <c r="BN885" s="45"/>
      <c r="BO885" s="45"/>
      <c r="BP885" s="45"/>
      <c r="BQ885" s="45"/>
      <c r="BR885" s="45"/>
      <c r="BS885" s="45"/>
      <c r="BT885" s="45"/>
      <c r="BU885" s="45"/>
      <c r="BV885" s="45"/>
      <c r="BW885" s="45"/>
      <c r="BX885" s="45"/>
      <c r="BY885" s="45"/>
      <c r="BZ885" s="45"/>
      <c r="CA885" s="45"/>
      <c r="CB885" s="45"/>
      <c r="CC885" s="45"/>
      <c r="CD885" s="463"/>
      <c r="CE885">
        <v>0</v>
      </c>
      <c r="CF885">
        <v>0</v>
      </c>
      <c r="CG885">
        <v>0</v>
      </c>
      <c r="CH885">
        <v>0</v>
      </c>
      <c r="CI885">
        <v>0</v>
      </c>
      <c r="CJ885">
        <v>0</v>
      </c>
      <c r="CK885">
        <v>0</v>
      </c>
      <c r="CL885">
        <v>0</v>
      </c>
      <c r="CM885">
        <v>0</v>
      </c>
      <c r="CN885">
        <v>0</v>
      </c>
      <c r="CO885">
        <v>0</v>
      </c>
      <c r="CP885">
        <v>0</v>
      </c>
      <c r="CQ885">
        <v>0</v>
      </c>
      <c r="CR885">
        <v>0</v>
      </c>
      <c r="CS885">
        <v>0</v>
      </c>
      <c r="CT885">
        <v>0</v>
      </c>
      <c r="CU885">
        <v>0</v>
      </c>
      <c r="CV885">
        <v>0</v>
      </c>
      <c r="CW885">
        <v>0</v>
      </c>
      <c r="CX885">
        <v>0</v>
      </c>
      <c r="CY885">
        <v>0</v>
      </c>
      <c r="CZ885">
        <v>0</v>
      </c>
      <c r="DA885">
        <v>0</v>
      </c>
      <c r="DB885">
        <v>0</v>
      </c>
      <c r="DC885">
        <v>0</v>
      </c>
      <c r="DD885">
        <v>0</v>
      </c>
      <c r="DE885">
        <v>0</v>
      </c>
      <c r="DF885">
        <v>0</v>
      </c>
      <c r="DG885">
        <v>0</v>
      </c>
      <c r="DH885">
        <v>0</v>
      </c>
      <c r="DI885">
        <v>0</v>
      </c>
      <c r="DJ885">
        <v>0</v>
      </c>
      <c r="DK885">
        <v>0</v>
      </c>
      <c r="DL885">
        <v>0</v>
      </c>
      <c r="DM885">
        <v>0</v>
      </c>
      <c r="DN885">
        <v>0</v>
      </c>
      <c r="DO885">
        <v>0</v>
      </c>
      <c r="DP885">
        <v>0</v>
      </c>
      <c r="DQ885">
        <v>0</v>
      </c>
      <c r="DR885">
        <v>0</v>
      </c>
      <c r="DS885">
        <v>0</v>
      </c>
      <c r="DT885">
        <v>0</v>
      </c>
      <c r="DU885">
        <v>0</v>
      </c>
    </row>
    <row r="886" spans="2:125">
      <c r="B886" s="136">
        <v>877</v>
      </c>
      <c r="C886" s="138">
        <v>1</v>
      </c>
      <c r="D886" s="474">
        <v>3445.3635235101024</v>
      </c>
      <c r="E886" s="127">
        <v>258.68483309000345</v>
      </c>
      <c r="F886" s="447">
        <v>0.37974895452918744</v>
      </c>
      <c r="G886" s="127">
        <v>142.07476552777251</v>
      </c>
      <c r="H886" s="132">
        <v>50.342994275537968</v>
      </c>
      <c r="I886" s="456"/>
      <c r="J886" s="45"/>
      <c r="K886" s="45">
        <v>530</v>
      </c>
      <c r="L886" s="463"/>
      <c r="M886" s="456">
        <v>32.004268646240234</v>
      </c>
      <c r="N886" s="457"/>
      <c r="O886" s="456"/>
      <c r="P886" s="46"/>
      <c r="Q886" s="463">
        <v>68.21820068359375</v>
      </c>
      <c r="R886" s="449"/>
      <c r="S886" s="463"/>
      <c r="T886" s="480"/>
      <c r="U886" s="468"/>
      <c r="V886" s="449"/>
      <c r="W886" s="45">
        <v>1460.1290283203125</v>
      </c>
      <c r="X886" s="463">
        <v>123.51268768310547</v>
      </c>
      <c r="Y886" s="449"/>
      <c r="Z886" s="45"/>
      <c r="AA886" s="468">
        <v>0.37028842043222909</v>
      </c>
      <c r="AB886" s="456"/>
      <c r="AC886" s="46"/>
      <c r="AD886" s="46"/>
      <c r="AE886" s="46"/>
      <c r="AF886" s="46"/>
      <c r="AG886" s="46"/>
      <c r="AH886" s="46"/>
      <c r="AI886" s="457"/>
      <c r="AJ886" s="138"/>
      <c r="AK886" s="745"/>
      <c r="AL886" s="54"/>
      <c r="AM886" s="468"/>
      <c r="AN886" s="449"/>
      <c r="AO886" s="45"/>
      <c r="AP886" s="45"/>
      <c r="AQ886" s="45"/>
      <c r="AR886" s="45"/>
      <c r="AS886" s="45"/>
      <c r="AT886" s="45"/>
      <c r="AU886" s="463"/>
      <c r="AV886" s="449"/>
      <c r="AW886" s="45"/>
      <c r="AX886" s="45"/>
      <c r="AY886" s="45"/>
      <c r="AZ886" s="45"/>
      <c r="BA886" s="45"/>
      <c r="BB886" s="45"/>
      <c r="BC886" s="463"/>
      <c r="BD886" s="456"/>
      <c r="BE886" s="46"/>
      <c r="BF886" s="46"/>
      <c r="BG886" s="46"/>
      <c r="BH886" s="46"/>
      <c r="BI886" s="46"/>
      <c r="BJ886" s="457"/>
      <c r="BK886" s="449">
        <v>0</v>
      </c>
      <c r="BL886" s="45"/>
      <c r="BM886" s="45"/>
      <c r="BN886" s="45"/>
      <c r="BO886" s="45"/>
      <c r="BP886" s="45"/>
      <c r="BQ886" s="45"/>
      <c r="BR886" s="45"/>
      <c r="BS886" s="45"/>
      <c r="BT886" s="45"/>
      <c r="BU886" s="45"/>
      <c r="BV886" s="45"/>
      <c r="BW886" s="45"/>
      <c r="BX886" s="45"/>
      <c r="BY886" s="45"/>
      <c r="BZ886" s="45"/>
      <c r="CA886" s="45"/>
      <c r="CB886" s="45"/>
      <c r="CC886" s="45"/>
      <c r="CD886" s="463"/>
      <c r="CE886">
        <v>0</v>
      </c>
      <c r="CF886">
        <v>0</v>
      </c>
      <c r="CG886">
        <v>0</v>
      </c>
      <c r="CH886">
        <v>0</v>
      </c>
      <c r="CI886">
        <v>0</v>
      </c>
      <c r="CJ886">
        <v>0</v>
      </c>
      <c r="CK886">
        <v>0</v>
      </c>
      <c r="CL886">
        <v>0</v>
      </c>
      <c r="CM886">
        <v>0</v>
      </c>
      <c r="CN886">
        <v>0</v>
      </c>
      <c r="CO886">
        <v>0</v>
      </c>
      <c r="CP886">
        <v>0</v>
      </c>
      <c r="CQ886">
        <v>0</v>
      </c>
      <c r="CR886">
        <v>0</v>
      </c>
      <c r="CS886">
        <v>0</v>
      </c>
      <c r="CT886">
        <v>0</v>
      </c>
      <c r="CU886">
        <v>0</v>
      </c>
      <c r="CV886">
        <v>0</v>
      </c>
      <c r="CW886">
        <v>0</v>
      </c>
      <c r="CX886">
        <v>0</v>
      </c>
      <c r="CY886">
        <v>0</v>
      </c>
      <c r="CZ886">
        <v>0</v>
      </c>
      <c r="DA886">
        <v>0</v>
      </c>
      <c r="DB886">
        <v>0</v>
      </c>
      <c r="DC886">
        <v>0</v>
      </c>
      <c r="DD886">
        <v>0</v>
      </c>
      <c r="DE886">
        <v>0</v>
      </c>
      <c r="DF886">
        <v>0</v>
      </c>
      <c r="DG886">
        <v>0</v>
      </c>
      <c r="DH886">
        <v>0</v>
      </c>
      <c r="DI886">
        <v>0</v>
      </c>
      <c r="DJ886">
        <v>0</v>
      </c>
      <c r="DK886">
        <v>0</v>
      </c>
      <c r="DL886">
        <v>0</v>
      </c>
      <c r="DM886">
        <v>0</v>
      </c>
      <c r="DN886">
        <v>0</v>
      </c>
      <c r="DO886">
        <v>0</v>
      </c>
      <c r="DP886">
        <v>0</v>
      </c>
      <c r="DQ886">
        <v>0</v>
      </c>
      <c r="DR886">
        <v>0</v>
      </c>
      <c r="DS886">
        <v>0</v>
      </c>
      <c r="DT886">
        <v>0</v>
      </c>
      <c r="DU886">
        <v>0</v>
      </c>
    </row>
    <row r="887" spans="2:125">
      <c r="B887" s="136">
        <v>878</v>
      </c>
      <c r="C887" s="138">
        <v>1</v>
      </c>
      <c r="D887" s="474">
        <v>3232.5931180966645</v>
      </c>
      <c r="E887" s="127">
        <v>227.31704119406433</v>
      </c>
      <c r="F887" s="447">
        <v>0.35289893178509929</v>
      </c>
      <c r="G887" s="127">
        <v>103.63961210015668</v>
      </c>
      <c r="H887" s="132">
        <v>57.035379096046285</v>
      </c>
      <c r="I887" s="456"/>
      <c r="J887" s="45"/>
      <c r="K887" s="45">
        <v>440</v>
      </c>
      <c r="L887" s="463"/>
      <c r="M887" s="456">
        <v>26.059207916259766</v>
      </c>
      <c r="N887" s="457"/>
      <c r="O887" s="456"/>
      <c r="P887" s="46"/>
      <c r="Q887" s="463">
        <v>64.005340576171875</v>
      </c>
      <c r="R887" s="449"/>
      <c r="S887" s="463"/>
      <c r="T887" s="480"/>
      <c r="U887" s="468"/>
      <c r="V887" s="449"/>
      <c r="W887" s="45">
        <v>1129.76171875</v>
      </c>
      <c r="X887" s="463">
        <v>99.067703247070312</v>
      </c>
      <c r="Y887" s="449"/>
      <c r="Z887" s="45"/>
      <c r="AA887" s="468">
        <v>0.34298182268273952</v>
      </c>
      <c r="AB887" s="456"/>
      <c r="AC887" s="46"/>
      <c r="AD887" s="46"/>
      <c r="AE887" s="46"/>
      <c r="AF887" s="46"/>
      <c r="AG887" s="46"/>
      <c r="AH887" s="46"/>
      <c r="AI887" s="457"/>
      <c r="AJ887" s="138"/>
      <c r="AK887" s="745"/>
      <c r="AL887" s="54"/>
      <c r="AM887" s="468"/>
      <c r="AN887" s="449"/>
      <c r="AO887" s="45"/>
      <c r="AP887" s="45"/>
      <c r="AQ887" s="45"/>
      <c r="AR887" s="45"/>
      <c r="AS887" s="45"/>
      <c r="AT887" s="45"/>
      <c r="AU887" s="463"/>
      <c r="AV887" s="449"/>
      <c r="AW887" s="45"/>
      <c r="AX887" s="45"/>
      <c r="AY887" s="45"/>
      <c r="AZ887" s="45"/>
      <c r="BA887" s="45"/>
      <c r="BB887" s="45"/>
      <c r="BC887" s="463"/>
      <c r="BD887" s="456"/>
      <c r="BE887" s="46"/>
      <c r="BF887" s="46"/>
      <c r="BG887" s="46"/>
      <c r="BH887" s="46"/>
      <c r="BI887" s="46"/>
      <c r="BJ887" s="457"/>
      <c r="BK887" s="449">
        <v>0</v>
      </c>
      <c r="BL887" s="45"/>
      <c r="BM887" s="45"/>
      <c r="BN887" s="45"/>
      <c r="BO887" s="45"/>
      <c r="BP887" s="45"/>
      <c r="BQ887" s="45"/>
      <c r="BR887" s="45"/>
      <c r="BS887" s="45"/>
      <c r="BT887" s="45"/>
      <c r="BU887" s="45"/>
      <c r="BV887" s="45"/>
      <c r="BW887" s="45"/>
      <c r="BX887" s="45"/>
      <c r="BY887" s="45"/>
      <c r="BZ887" s="45"/>
      <c r="CA887" s="45"/>
      <c r="CB887" s="45"/>
      <c r="CC887" s="45"/>
      <c r="CD887" s="463"/>
      <c r="CE887">
        <v>0</v>
      </c>
      <c r="CF887">
        <v>0</v>
      </c>
      <c r="CG887">
        <v>0</v>
      </c>
      <c r="CH887">
        <v>0</v>
      </c>
      <c r="CI887">
        <v>0</v>
      </c>
      <c r="CJ887">
        <v>0</v>
      </c>
      <c r="CK887">
        <v>0</v>
      </c>
      <c r="CL887">
        <v>0</v>
      </c>
      <c r="CM887">
        <v>0</v>
      </c>
      <c r="CN887">
        <v>0</v>
      </c>
      <c r="CO887">
        <v>0</v>
      </c>
      <c r="CP887">
        <v>0</v>
      </c>
      <c r="CQ887">
        <v>0</v>
      </c>
      <c r="CR887">
        <v>0</v>
      </c>
      <c r="CS887">
        <v>0</v>
      </c>
      <c r="CT887">
        <v>0</v>
      </c>
      <c r="CU887">
        <v>0</v>
      </c>
      <c r="CV887">
        <v>0</v>
      </c>
      <c r="CW887">
        <v>0</v>
      </c>
      <c r="CX887">
        <v>0</v>
      </c>
      <c r="CY887">
        <v>0</v>
      </c>
      <c r="CZ887">
        <v>0</v>
      </c>
      <c r="DA887">
        <v>0</v>
      </c>
      <c r="DB887">
        <v>0</v>
      </c>
      <c r="DC887">
        <v>0</v>
      </c>
      <c r="DD887">
        <v>0</v>
      </c>
      <c r="DE887">
        <v>0</v>
      </c>
      <c r="DF887">
        <v>0</v>
      </c>
      <c r="DG887">
        <v>0</v>
      </c>
      <c r="DH887">
        <v>0</v>
      </c>
      <c r="DI887">
        <v>0</v>
      </c>
      <c r="DJ887">
        <v>0</v>
      </c>
      <c r="DK887">
        <v>0</v>
      </c>
      <c r="DL887">
        <v>0</v>
      </c>
      <c r="DM887">
        <v>0</v>
      </c>
      <c r="DN887">
        <v>0</v>
      </c>
      <c r="DO887">
        <v>0</v>
      </c>
      <c r="DP887">
        <v>0</v>
      </c>
      <c r="DQ887">
        <v>0</v>
      </c>
      <c r="DR887">
        <v>0</v>
      </c>
      <c r="DS887">
        <v>0</v>
      </c>
      <c r="DT887">
        <v>0</v>
      </c>
      <c r="DU887">
        <v>0</v>
      </c>
    </row>
    <row r="888" spans="2:125">
      <c r="B888" s="136">
        <v>879</v>
      </c>
      <c r="C888" s="138">
        <v>1</v>
      </c>
      <c r="D888" s="474">
        <v>3592.7783065333115</v>
      </c>
      <c r="E888" s="127">
        <v>252.91737381492658</v>
      </c>
      <c r="F888" s="447">
        <v>0.52179904854600567</v>
      </c>
      <c r="G888" s="127">
        <v>131.51897930843032</v>
      </c>
      <c r="H888" s="132">
        <v>56.225358044172722</v>
      </c>
      <c r="I888" s="456"/>
      <c r="J888" s="45"/>
      <c r="K888" s="45">
        <v>550</v>
      </c>
      <c r="L888" s="463"/>
      <c r="M888" s="456">
        <v>61.193923950195313</v>
      </c>
      <c r="N888" s="457"/>
      <c r="O888" s="456"/>
      <c r="P888" s="46"/>
      <c r="Q888" s="463">
        <v>71.137008666992188</v>
      </c>
      <c r="R888" s="449"/>
      <c r="S888" s="463"/>
      <c r="T888" s="480"/>
      <c r="U888" s="468"/>
      <c r="V888" s="449"/>
      <c r="W888" s="45">
        <v>2691.3525390625</v>
      </c>
      <c r="X888" s="463">
        <v>213.10406494140625</v>
      </c>
      <c r="Y888" s="449"/>
      <c r="Z888" s="45"/>
      <c r="AA888" s="468">
        <v>0.51193593483635058</v>
      </c>
      <c r="AB888" s="456"/>
      <c r="AC888" s="46"/>
      <c r="AD888" s="46"/>
      <c r="AE888" s="46"/>
      <c r="AF888" s="46"/>
      <c r="AG888" s="46"/>
      <c r="AH888" s="46"/>
      <c r="AI888" s="457"/>
      <c r="AJ888" s="138"/>
      <c r="AK888" s="745"/>
      <c r="AL888" s="54"/>
      <c r="AM888" s="468"/>
      <c r="AN888" s="449"/>
      <c r="AO888" s="45"/>
      <c r="AP888" s="45"/>
      <c r="AQ888" s="45"/>
      <c r="AR888" s="45"/>
      <c r="AS888" s="45"/>
      <c r="AT888" s="45"/>
      <c r="AU888" s="463"/>
      <c r="AV888" s="449"/>
      <c r="AW888" s="45"/>
      <c r="AX888" s="45"/>
      <c r="AY888" s="45"/>
      <c r="AZ888" s="45"/>
      <c r="BA888" s="45"/>
      <c r="BB888" s="45"/>
      <c r="BC888" s="463"/>
      <c r="BD888" s="456"/>
      <c r="BE888" s="46"/>
      <c r="BF888" s="46"/>
      <c r="BG888" s="46"/>
      <c r="BH888" s="46"/>
      <c r="BI888" s="46"/>
      <c r="BJ888" s="457"/>
      <c r="BK888" s="449">
        <v>0</v>
      </c>
      <c r="BL888" s="45"/>
      <c r="BM888" s="45"/>
      <c r="BN888" s="45"/>
      <c r="BO888" s="45"/>
      <c r="BP888" s="45"/>
      <c r="BQ888" s="45"/>
      <c r="BR888" s="45"/>
      <c r="BS888" s="45"/>
      <c r="BT888" s="45"/>
      <c r="BU888" s="45"/>
      <c r="BV888" s="45"/>
      <c r="BW888" s="45"/>
      <c r="BX888" s="45"/>
      <c r="BY888" s="45"/>
      <c r="BZ888" s="45"/>
      <c r="CA888" s="45"/>
      <c r="CB888" s="45"/>
      <c r="CC888" s="45"/>
      <c r="CD888" s="463"/>
      <c r="CE888">
        <v>0</v>
      </c>
      <c r="CF888">
        <v>0</v>
      </c>
      <c r="CG888">
        <v>0</v>
      </c>
      <c r="CH888">
        <v>0</v>
      </c>
      <c r="CI888">
        <v>0</v>
      </c>
      <c r="CJ888">
        <v>0</v>
      </c>
      <c r="CK888">
        <v>0</v>
      </c>
      <c r="CL888">
        <v>0</v>
      </c>
      <c r="CM888">
        <v>0</v>
      </c>
      <c r="CN888">
        <v>0</v>
      </c>
      <c r="CO888">
        <v>0</v>
      </c>
      <c r="CP888">
        <v>0</v>
      </c>
      <c r="CQ888">
        <v>0</v>
      </c>
      <c r="CR888">
        <v>0</v>
      </c>
      <c r="CS888">
        <v>0</v>
      </c>
      <c r="CT888">
        <v>0</v>
      </c>
      <c r="CU888">
        <v>0</v>
      </c>
      <c r="CV888">
        <v>0</v>
      </c>
      <c r="CW888">
        <v>0</v>
      </c>
      <c r="CX888">
        <v>0</v>
      </c>
      <c r="CY888">
        <v>0</v>
      </c>
      <c r="CZ888">
        <v>0</v>
      </c>
      <c r="DA888">
        <v>0</v>
      </c>
      <c r="DB888">
        <v>0</v>
      </c>
      <c r="DC888">
        <v>0</v>
      </c>
      <c r="DD888">
        <v>0</v>
      </c>
      <c r="DE888">
        <v>0</v>
      </c>
      <c r="DF888">
        <v>0</v>
      </c>
      <c r="DG888">
        <v>0</v>
      </c>
      <c r="DH888">
        <v>0</v>
      </c>
      <c r="DI888">
        <v>0</v>
      </c>
      <c r="DJ888">
        <v>0</v>
      </c>
      <c r="DK888">
        <v>0</v>
      </c>
      <c r="DL888">
        <v>0</v>
      </c>
      <c r="DM888">
        <v>0</v>
      </c>
      <c r="DN888">
        <v>0</v>
      </c>
      <c r="DO888">
        <v>0</v>
      </c>
      <c r="DP888">
        <v>0</v>
      </c>
      <c r="DQ888">
        <v>0</v>
      </c>
      <c r="DR888">
        <v>0</v>
      </c>
      <c r="DS888">
        <v>0</v>
      </c>
      <c r="DT888">
        <v>0</v>
      </c>
      <c r="DU888">
        <v>0</v>
      </c>
    </row>
    <row r="889" spans="2:125">
      <c r="B889" s="136">
        <v>880</v>
      </c>
      <c r="C889" s="138">
        <v>1</v>
      </c>
      <c r="D889" s="474">
        <v>3681.4511123762713</v>
      </c>
      <c r="E889" s="127">
        <v>194.98686064032864</v>
      </c>
      <c r="F889" s="447">
        <v>0.43790190097428677</v>
      </c>
      <c r="G889" s="127">
        <v>124.746946497523</v>
      </c>
      <c r="H889" s="132">
        <v>59.33901695843614</v>
      </c>
      <c r="I889" s="456"/>
      <c r="J889" s="45"/>
      <c r="K889" s="45">
        <v>520</v>
      </c>
      <c r="L889" s="463"/>
      <c r="M889" s="456">
        <v>37.159442901611328</v>
      </c>
      <c r="N889" s="457"/>
      <c r="O889" s="456"/>
      <c r="P889" s="46"/>
      <c r="Q889" s="463">
        <v>72.892730712890625</v>
      </c>
      <c r="R889" s="449"/>
      <c r="S889" s="463"/>
      <c r="T889" s="480"/>
      <c r="U889" s="468"/>
      <c r="V889" s="449"/>
      <c r="W889" s="45">
        <v>1718.0274658203125</v>
      </c>
      <c r="X889" s="463">
        <v>142.20513916015625</v>
      </c>
      <c r="Y889" s="449"/>
      <c r="Z889" s="45"/>
      <c r="AA889" s="468">
        <v>0.42873213693586232</v>
      </c>
      <c r="AB889" s="456"/>
      <c r="AC889" s="46"/>
      <c r="AD889" s="46"/>
      <c r="AE889" s="46"/>
      <c r="AF889" s="46"/>
      <c r="AG889" s="46"/>
      <c r="AH889" s="46"/>
      <c r="AI889" s="457"/>
      <c r="AJ889" s="138"/>
      <c r="AK889" s="745"/>
      <c r="AL889" s="54"/>
      <c r="AM889" s="468"/>
      <c r="AN889" s="449"/>
      <c r="AO889" s="45"/>
      <c r="AP889" s="45"/>
      <c r="AQ889" s="45"/>
      <c r="AR889" s="45"/>
      <c r="AS889" s="45"/>
      <c r="AT889" s="45"/>
      <c r="AU889" s="463"/>
      <c r="AV889" s="449"/>
      <c r="AW889" s="45"/>
      <c r="AX889" s="45"/>
      <c r="AY889" s="45"/>
      <c r="AZ889" s="45"/>
      <c r="BA889" s="45"/>
      <c r="BB889" s="45"/>
      <c r="BC889" s="463"/>
      <c r="BD889" s="456"/>
      <c r="BE889" s="46"/>
      <c r="BF889" s="46"/>
      <c r="BG889" s="46"/>
      <c r="BH889" s="46"/>
      <c r="BI889" s="46"/>
      <c r="BJ889" s="457"/>
      <c r="BK889" s="449">
        <v>0</v>
      </c>
      <c r="BL889" s="45"/>
      <c r="BM889" s="45"/>
      <c r="BN889" s="45"/>
      <c r="BO889" s="45"/>
      <c r="BP889" s="45"/>
      <c r="BQ889" s="45"/>
      <c r="BR889" s="45"/>
      <c r="BS889" s="45"/>
      <c r="BT889" s="45"/>
      <c r="BU889" s="45"/>
      <c r="BV889" s="45"/>
      <c r="BW889" s="45"/>
      <c r="BX889" s="45"/>
      <c r="BY889" s="45"/>
      <c r="BZ889" s="45"/>
      <c r="CA889" s="45"/>
      <c r="CB889" s="45"/>
      <c r="CC889" s="45"/>
      <c r="CD889" s="463"/>
      <c r="CE889">
        <v>0</v>
      </c>
      <c r="CF889">
        <v>0</v>
      </c>
      <c r="CG889">
        <v>0</v>
      </c>
      <c r="CH889">
        <v>0</v>
      </c>
      <c r="CI889">
        <v>0</v>
      </c>
      <c r="CJ889">
        <v>0</v>
      </c>
      <c r="CK889">
        <v>0</v>
      </c>
      <c r="CL889">
        <v>0</v>
      </c>
      <c r="CM889">
        <v>0</v>
      </c>
      <c r="CN889">
        <v>0</v>
      </c>
      <c r="CO889">
        <v>0</v>
      </c>
      <c r="CP889">
        <v>0</v>
      </c>
      <c r="CQ889">
        <v>0</v>
      </c>
      <c r="CR889">
        <v>0</v>
      </c>
      <c r="CS889">
        <v>0</v>
      </c>
      <c r="CT889">
        <v>0</v>
      </c>
      <c r="CU889">
        <v>0</v>
      </c>
      <c r="CV889">
        <v>0</v>
      </c>
      <c r="CW889">
        <v>0</v>
      </c>
      <c r="CX889">
        <v>0</v>
      </c>
      <c r="CY889">
        <v>0</v>
      </c>
      <c r="CZ889">
        <v>0</v>
      </c>
      <c r="DA889">
        <v>0</v>
      </c>
      <c r="DB889">
        <v>0</v>
      </c>
      <c r="DC889">
        <v>0</v>
      </c>
      <c r="DD889">
        <v>0</v>
      </c>
      <c r="DE889">
        <v>0</v>
      </c>
      <c r="DF889">
        <v>0</v>
      </c>
      <c r="DG889">
        <v>0</v>
      </c>
      <c r="DH889">
        <v>0</v>
      </c>
      <c r="DI889">
        <v>0</v>
      </c>
      <c r="DJ889">
        <v>0</v>
      </c>
      <c r="DK889">
        <v>0</v>
      </c>
      <c r="DL889">
        <v>0</v>
      </c>
      <c r="DM889">
        <v>0</v>
      </c>
      <c r="DN889">
        <v>0</v>
      </c>
      <c r="DO889">
        <v>0</v>
      </c>
      <c r="DP889">
        <v>0</v>
      </c>
      <c r="DQ889">
        <v>0</v>
      </c>
      <c r="DR889">
        <v>0</v>
      </c>
      <c r="DS889">
        <v>0</v>
      </c>
      <c r="DT889">
        <v>0</v>
      </c>
      <c r="DU889">
        <v>0</v>
      </c>
    </row>
    <row r="890" spans="2:125">
      <c r="B890" s="136">
        <v>881</v>
      </c>
      <c r="C890" s="138">
        <v>1</v>
      </c>
      <c r="D890" s="474">
        <v>2889.0874930679679</v>
      </c>
      <c r="E890" s="127">
        <v>189.78059938429976</v>
      </c>
      <c r="F890" s="447">
        <v>0.43335604281031459</v>
      </c>
      <c r="G890" s="127">
        <v>102.98174125884123</v>
      </c>
      <c r="H890" s="132">
        <v>50.657842084987891</v>
      </c>
      <c r="I890" s="456"/>
      <c r="J890" s="45"/>
      <c r="K890" s="45">
        <v>420</v>
      </c>
      <c r="L890" s="463"/>
      <c r="M890" s="456">
        <v>35.611034393310547</v>
      </c>
      <c r="N890" s="457"/>
      <c r="O890" s="456"/>
      <c r="P890" s="46"/>
      <c r="Q890" s="463">
        <v>57.203929901123047</v>
      </c>
      <c r="R890" s="449"/>
      <c r="S890" s="463"/>
      <c r="T890" s="480"/>
      <c r="U890" s="468"/>
      <c r="V890" s="449"/>
      <c r="W890" s="45">
        <v>1415.65087890625</v>
      </c>
      <c r="X890" s="463">
        <v>119.81140899658203</v>
      </c>
      <c r="Y890" s="449"/>
      <c r="Z890" s="45"/>
      <c r="AA890" s="468">
        <v>0.42170284056670421</v>
      </c>
      <c r="AB890" s="456"/>
      <c r="AC890" s="46"/>
      <c r="AD890" s="46"/>
      <c r="AE890" s="46"/>
      <c r="AF890" s="46"/>
      <c r="AG890" s="46"/>
      <c r="AH890" s="46"/>
      <c r="AI890" s="457"/>
      <c r="AJ890" s="138"/>
      <c r="AK890" s="745"/>
      <c r="AL890" s="54"/>
      <c r="AM890" s="468"/>
      <c r="AN890" s="449"/>
      <c r="AO890" s="45"/>
      <c r="AP890" s="45"/>
      <c r="AQ890" s="45"/>
      <c r="AR890" s="45"/>
      <c r="AS890" s="45"/>
      <c r="AT890" s="45"/>
      <c r="AU890" s="463"/>
      <c r="AV890" s="449"/>
      <c r="AW890" s="45"/>
      <c r="AX890" s="45"/>
      <c r="AY890" s="45"/>
      <c r="AZ890" s="45"/>
      <c r="BA890" s="45"/>
      <c r="BB890" s="45"/>
      <c r="BC890" s="463"/>
      <c r="BD890" s="456"/>
      <c r="BE890" s="46"/>
      <c r="BF890" s="46"/>
      <c r="BG890" s="46"/>
      <c r="BH890" s="46"/>
      <c r="BI890" s="46"/>
      <c r="BJ890" s="457"/>
      <c r="BK890" s="449">
        <v>0</v>
      </c>
      <c r="BL890" s="45"/>
      <c r="BM890" s="45"/>
      <c r="BN890" s="45"/>
      <c r="BO890" s="45"/>
      <c r="BP890" s="45"/>
      <c r="BQ890" s="45"/>
      <c r="BR890" s="45"/>
      <c r="BS890" s="45"/>
      <c r="BT890" s="45"/>
      <c r="BU890" s="45"/>
      <c r="BV890" s="45"/>
      <c r="BW890" s="45"/>
      <c r="BX890" s="45"/>
      <c r="BY890" s="45"/>
      <c r="BZ890" s="45"/>
      <c r="CA890" s="45"/>
      <c r="CB890" s="45"/>
      <c r="CC890" s="45"/>
      <c r="CD890" s="463"/>
      <c r="CE890">
        <v>0</v>
      </c>
      <c r="CF890">
        <v>0</v>
      </c>
      <c r="CG890">
        <v>0</v>
      </c>
      <c r="CH890">
        <v>0</v>
      </c>
      <c r="CI890">
        <v>0</v>
      </c>
      <c r="CJ890">
        <v>0</v>
      </c>
      <c r="CK890">
        <v>0</v>
      </c>
      <c r="CL890">
        <v>0</v>
      </c>
      <c r="CM890">
        <v>0</v>
      </c>
      <c r="CN890">
        <v>0</v>
      </c>
      <c r="CO890">
        <v>0</v>
      </c>
      <c r="CP890">
        <v>0</v>
      </c>
      <c r="CQ890">
        <v>0</v>
      </c>
      <c r="CR890">
        <v>0</v>
      </c>
      <c r="CS890">
        <v>0</v>
      </c>
      <c r="CT890">
        <v>0</v>
      </c>
      <c r="CU890">
        <v>0</v>
      </c>
      <c r="CV890">
        <v>0</v>
      </c>
      <c r="CW890">
        <v>0</v>
      </c>
      <c r="CX890">
        <v>0</v>
      </c>
      <c r="CY890">
        <v>0</v>
      </c>
      <c r="CZ890">
        <v>0</v>
      </c>
      <c r="DA890">
        <v>0</v>
      </c>
      <c r="DB890">
        <v>0</v>
      </c>
      <c r="DC890">
        <v>0</v>
      </c>
      <c r="DD890">
        <v>0</v>
      </c>
      <c r="DE890">
        <v>0</v>
      </c>
      <c r="DF890">
        <v>0</v>
      </c>
      <c r="DG890">
        <v>0</v>
      </c>
      <c r="DH890">
        <v>0</v>
      </c>
      <c r="DI890">
        <v>0</v>
      </c>
      <c r="DJ890">
        <v>0</v>
      </c>
      <c r="DK890">
        <v>0</v>
      </c>
      <c r="DL890">
        <v>0</v>
      </c>
      <c r="DM890">
        <v>0</v>
      </c>
      <c r="DN890">
        <v>0</v>
      </c>
      <c r="DO890">
        <v>0</v>
      </c>
      <c r="DP890">
        <v>0</v>
      </c>
      <c r="DQ890">
        <v>0</v>
      </c>
      <c r="DR890">
        <v>0</v>
      </c>
      <c r="DS890">
        <v>0</v>
      </c>
      <c r="DT890">
        <v>0</v>
      </c>
      <c r="DU890">
        <v>0</v>
      </c>
    </row>
    <row r="891" spans="2:125">
      <c r="B891" s="136">
        <v>882</v>
      </c>
      <c r="C891" s="138">
        <v>1</v>
      </c>
      <c r="D891" s="474">
        <v>3884.3496871181515</v>
      </c>
      <c r="E891" s="127">
        <v>304.65038550149518</v>
      </c>
      <c r="F891" s="447">
        <v>0.48486220542253228</v>
      </c>
      <c r="G891" s="127">
        <v>134.51985864856505</v>
      </c>
      <c r="H891" s="132">
        <v>60.272407755046657</v>
      </c>
      <c r="I891" s="456"/>
      <c r="J891" s="45"/>
      <c r="K891" s="45">
        <v>570</v>
      </c>
      <c r="L891" s="463"/>
      <c r="M891" s="456">
        <v>48.486640930175781</v>
      </c>
      <c r="N891" s="457"/>
      <c r="O891" s="456"/>
      <c r="P891" s="46"/>
      <c r="Q891" s="463">
        <v>76.910125732421875</v>
      </c>
      <c r="R891" s="449"/>
      <c r="S891" s="463"/>
      <c r="T891" s="480"/>
      <c r="U891" s="468"/>
      <c r="V891" s="449"/>
      <c r="W891" s="45">
        <v>2270.298095703125</v>
      </c>
      <c r="X891" s="463">
        <v>182.56137084960937</v>
      </c>
      <c r="Y891" s="449"/>
      <c r="Z891" s="45"/>
      <c r="AA891" s="468">
        <v>0.47592963062796145</v>
      </c>
      <c r="AB891" s="456"/>
      <c r="AC891" s="46"/>
      <c r="AD891" s="46"/>
      <c r="AE891" s="46"/>
      <c r="AF891" s="46"/>
      <c r="AG891" s="46"/>
      <c r="AH891" s="46"/>
      <c r="AI891" s="457"/>
      <c r="AJ891" s="138"/>
      <c r="AK891" s="745"/>
      <c r="AL891" s="54"/>
      <c r="AM891" s="468"/>
      <c r="AN891" s="449"/>
      <c r="AO891" s="45"/>
      <c r="AP891" s="45"/>
      <c r="AQ891" s="45"/>
      <c r="AR891" s="45"/>
      <c r="AS891" s="45"/>
      <c r="AT891" s="45"/>
      <c r="AU891" s="463"/>
      <c r="AV891" s="449"/>
      <c r="AW891" s="45"/>
      <c r="AX891" s="45"/>
      <c r="AY891" s="45"/>
      <c r="AZ891" s="45"/>
      <c r="BA891" s="45"/>
      <c r="BB891" s="45"/>
      <c r="BC891" s="463"/>
      <c r="BD891" s="456"/>
      <c r="BE891" s="46"/>
      <c r="BF891" s="46"/>
      <c r="BG891" s="46"/>
      <c r="BH891" s="46"/>
      <c r="BI891" s="46"/>
      <c r="BJ891" s="457"/>
      <c r="BK891" s="449">
        <v>0</v>
      </c>
      <c r="BL891" s="45"/>
      <c r="BM891" s="45"/>
      <c r="BN891" s="45"/>
      <c r="BO891" s="45"/>
      <c r="BP891" s="45"/>
      <c r="BQ891" s="45"/>
      <c r="BR891" s="45"/>
      <c r="BS891" s="45"/>
      <c r="BT891" s="45"/>
      <c r="BU891" s="45"/>
      <c r="BV891" s="45"/>
      <c r="BW891" s="45"/>
      <c r="BX891" s="45"/>
      <c r="BY891" s="45"/>
      <c r="BZ891" s="45"/>
      <c r="CA891" s="45"/>
      <c r="CB891" s="45"/>
      <c r="CC891" s="45"/>
      <c r="CD891" s="463"/>
      <c r="CE891">
        <v>0</v>
      </c>
      <c r="CF891">
        <v>0</v>
      </c>
      <c r="CG891">
        <v>0</v>
      </c>
      <c r="CH891">
        <v>0</v>
      </c>
      <c r="CI891">
        <v>0</v>
      </c>
      <c r="CJ891">
        <v>0</v>
      </c>
      <c r="CK891">
        <v>0</v>
      </c>
      <c r="CL891">
        <v>0</v>
      </c>
      <c r="CM891">
        <v>0</v>
      </c>
      <c r="CN891">
        <v>0</v>
      </c>
      <c r="CO891">
        <v>0</v>
      </c>
      <c r="CP891">
        <v>0</v>
      </c>
      <c r="CQ891">
        <v>0</v>
      </c>
      <c r="CR891">
        <v>0</v>
      </c>
      <c r="CS891">
        <v>0</v>
      </c>
      <c r="CT891">
        <v>0</v>
      </c>
      <c r="CU891">
        <v>0</v>
      </c>
      <c r="CV891">
        <v>0</v>
      </c>
      <c r="CW891">
        <v>0</v>
      </c>
      <c r="CX891">
        <v>0</v>
      </c>
      <c r="CY891">
        <v>0</v>
      </c>
      <c r="CZ891">
        <v>0</v>
      </c>
      <c r="DA891">
        <v>0</v>
      </c>
      <c r="DB891">
        <v>0</v>
      </c>
      <c r="DC891">
        <v>0</v>
      </c>
      <c r="DD891">
        <v>0</v>
      </c>
      <c r="DE891">
        <v>0</v>
      </c>
      <c r="DF891">
        <v>0</v>
      </c>
      <c r="DG891">
        <v>0</v>
      </c>
      <c r="DH891">
        <v>0</v>
      </c>
      <c r="DI891">
        <v>0</v>
      </c>
      <c r="DJ891">
        <v>0</v>
      </c>
      <c r="DK891">
        <v>0</v>
      </c>
      <c r="DL891">
        <v>0</v>
      </c>
      <c r="DM891">
        <v>0</v>
      </c>
      <c r="DN891">
        <v>0</v>
      </c>
      <c r="DO891">
        <v>0</v>
      </c>
      <c r="DP891">
        <v>0</v>
      </c>
      <c r="DQ891">
        <v>0</v>
      </c>
      <c r="DR891">
        <v>0</v>
      </c>
      <c r="DS891">
        <v>0</v>
      </c>
      <c r="DT891">
        <v>0</v>
      </c>
      <c r="DU891">
        <v>0</v>
      </c>
    </row>
    <row r="892" spans="2:125">
      <c r="B892" s="136">
        <v>883</v>
      </c>
      <c r="C892" s="138">
        <v>1</v>
      </c>
      <c r="D892" s="474">
        <v>2692.4405592099429</v>
      </c>
      <c r="E892" s="127">
        <v>330.54219351734366</v>
      </c>
      <c r="F892" s="447">
        <v>0.43850612789567989</v>
      </c>
      <c r="G892" s="127">
        <v>83.425902211746646</v>
      </c>
      <c r="H892" s="132">
        <v>52.509396491646513</v>
      </c>
      <c r="I892" s="456"/>
      <c r="J892" s="45"/>
      <c r="K892" s="45">
        <v>370</v>
      </c>
      <c r="L892" s="463"/>
      <c r="M892" s="456">
        <v>33.682392120361328</v>
      </c>
      <c r="N892" s="457"/>
      <c r="O892" s="456"/>
      <c r="P892" s="46"/>
      <c r="Q892" s="463">
        <v>53.310325622558594</v>
      </c>
      <c r="R892" s="449"/>
      <c r="S892" s="463"/>
      <c r="T892" s="480"/>
      <c r="U892" s="468"/>
      <c r="V892" s="449"/>
      <c r="W892" s="45">
        <v>1266.6279296875</v>
      </c>
      <c r="X892" s="463">
        <v>108.73509216308594</v>
      </c>
      <c r="Y892" s="449"/>
      <c r="Z892" s="45"/>
      <c r="AA892" s="468">
        <v>0.42596355849989614</v>
      </c>
      <c r="AB892" s="456"/>
      <c r="AC892" s="46"/>
      <c r="AD892" s="46"/>
      <c r="AE892" s="46"/>
      <c r="AF892" s="46"/>
      <c r="AG892" s="46"/>
      <c r="AH892" s="46"/>
      <c r="AI892" s="457"/>
      <c r="AJ892" s="138"/>
      <c r="AK892" s="745"/>
      <c r="AL892" s="54"/>
      <c r="AM892" s="468"/>
      <c r="AN892" s="449"/>
      <c r="AO892" s="45"/>
      <c r="AP892" s="45"/>
      <c r="AQ892" s="45"/>
      <c r="AR892" s="45"/>
      <c r="AS892" s="45"/>
      <c r="AT892" s="45"/>
      <c r="AU892" s="463"/>
      <c r="AV892" s="449"/>
      <c r="AW892" s="45"/>
      <c r="AX892" s="45"/>
      <c r="AY892" s="45"/>
      <c r="AZ892" s="45"/>
      <c r="BA892" s="45"/>
      <c r="BB892" s="45"/>
      <c r="BC892" s="463"/>
      <c r="BD892" s="456"/>
      <c r="BE892" s="46"/>
      <c r="BF892" s="46"/>
      <c r="BG892" s="46"/>
      <c r="BH892" s="46"/>
      <c r="BI892" s="46"/>
      <c r="BJ892" s="457"/>
      <c r="BK892" s="449">
        <v>0</v>
      </c>
      <c r="BL892" s="45"/>
      <c r="BM892" s="45"/>
      <c r="BN892" s="45"/>
      <c r="BO892" s="45"/>
      <c r="BP892" s="45"/>
      <c r="BQ892" s="45"/>
      <c r="BR892" s="45"/>
      <c r="BS892" s="45"/>
      <c r="BT892" s="45"/>
      <c r="BU892" s="45"/>
      <c r="BV892" s="45"/>
      <c r="BW892" s="45"/>
      <c r="BX892" s="45"/>
      <c r="BY892" s="45"/>
      <c r="BZ892" s="45"/>
      <c r="CA892" s="45"/>
      <c r="CB892" s="45"/>
      <c r="CC892" s="45"/>
      <c r="CD892" s="463"/>
      <c r="CE892">
        <v>0</v>
      </c>
      <c r="CF892">
        <v>0</v>
      </c>
      <c r="CG892">
        <v>0</v>
      </c>
      <c r="CH892">
        <v>0</v>
      </c>
      <c r="CI892">
        <v>0</v>
      </c>
      <c r="CJ892">
        <v>0</v>
      </c>
      <c r="CK892">
        <v>0</v>
      </c>
      <c r="CL892">
        <v>0</v>
      </c>
      <c r="CM892">
        <v>0</v>
      </c>
      <c r="CN892">
        <v>0</v>
      </c>
      <c r="CO892">
        <v>0</v>
      </c>
      <c r="CP892">
        <v>0</v>
      </c>
      <c r="CQ892">
        <v>0</v>
      </c>
      <c r="CR892">
        <v>0</v>
      </c>
      <c r="CS892">
        <v>0</v>
      </c>
      <c r="CT892">
        <v>0</v>
      </c>
      <c r="CU892">
        <v>0</v>
      </c>
      <c r="CV892">
        <v>0</v>
      </c>
      <c r="CW892">
        <v>0</v>
      </c>
      <c r="CX892">
        <v>0</v>
      </c>
      <c r="CY892">
        <v>0</v>
      </c>
      <c r="CZ892">
        <v>0</v>
      </c>
      <c r="DA892">
        <v>0</v>
      </c>
      <c r="DB892">
        <v>0</v>
      </c>
      <c r="DC892">
        <v>0</v>
      </c>
      <c r="DD892">
        <v>0</v>
      </c>
      <c r="DE892">
        <v>0</v>
      </c>
      <c r="DF892">
        <v>0</v>
      </c>
      <c r="DG892">
        <v>0</v>
      </c>
      <c r="DH892">
        <v>0</v>
      </c>
      <c r="DI892">
        <v>0</v>
      </c>
      <c r="DJ892">
        <v>0</v>
      </c>
      <c r="DK892">
        <v>0</v>
      </c>
      <c r="DL892">
        <v>0</v>
      </c>
      <c r="DM892">
        <v>0</v>
      </c>
      <c r="DN892">
        <v>0</v>
      </c>
      <c r="DO892">
        <v>0</v>
      </c>
      <c r="DP892">
        <v>0</v>
      </c>
      <c r="DQ892">
        <v>0</v>
      </c>
      <c r="DR892">
        <v>0</v>
      </c>
      <c r="DS892">
        <v>0</v>
      </c>
      <c r="DT892">
        <v>0</v>
      </c>
      <c r="DU892">
        <v>0</v>
      </c>
    </row>
    <row r="893" spans="2:125">
      <c r="B893" s="136">
        <v>884</v>
      </c>
      <c r="C893" s="138">
        <v>1</v>
      </c>
      <c r="D893" s="474">
        <v>3375.5932141287303</v>
      </c>
      <c r="E893" s="127">
        <v>202.7708236293023</v>
      </c>
      <c r="F893" s="447">
        <v>0.41099269647325187</v>
      </c>
      <c r="G893" s="127">
        <v>104.36717132338769</v>
      </c>
      <c r="H893" s="132">
        <v>59.207825116556585</v>
      </c>
      <c r="I893" s="456"/>
      <c r="J893" s="45"/>
      <c r="K893" s="45">
        <v>450</v>
      </c>
      <c r="L893" s="463"/>
      <c r="M893" s="456">
        <v>31.139774322509766</v>
      </c>
      <c r="N893" s="457"/>
      <c r="O893" s="456"/>
      <c r="P893" s="46"/>
      <c r="Q893" s="463">
        <v>66.836746215820312</v>
      </c>
      <c r="R893" s="449"/>
      <c r="S893" s="463"/>
      <c r="T893" s="480"/>
      <c r="U893" s="468"/>
      <c r="V893" s="449"/>
      <c r="W893" s="45">
        <v>1376.280029296875</v>
      </c>
      <c r="X893" s="463">
        <v>117.06372833251953</v>
      </c>
      <c r="Y893" s="449"/>
      <c r="Z893" s="45"/>
      <c r="AA893" s="468">
        <v>0.4011515065483458</v>
      </c>
      <c r="AB893" s="456"/>
      <c r="AC893" s="46"/>
      <c r="AD893" s="46"/>
      <c r="AE893" s="46"/>
      <c r="AF893" s="46"/>
      <c r="AG893" s="46"/>
      <c r="AH893" s="46"/>
      <c r="AI893" s="457"/>
      <c r="AJ893" s="138"/>
      <c r="AK893" s="745"/>
      <c r="AL893" s="54"/>
      <c r="AM893" s="468"/>
      <c r="AN893" s="449"/>
      <c r="AO893" s="45"/>
      <c r="AP893" s="45"/>
      <c r="AQ893" s="45"/>
      <c r="AR893" s="45"/>
      <c r="AS893" s="45"/>
      <c r="AT893" s="45"/>
      <c r="AU893" s="463"/>
      <c r="AV893" s="449"/>
      <c r="AW893" s="45"/>
      <c r="AX893" s="45"/>
      <c r="AY893" s="45"/>
      <c r="AZ893" s="45"/>
      <c r="BA893" s="45"/>
      <c r="BB893" s="45"/>
      <c r="BC893" s="463"/>
      <c r="BD893" s="456"/>
      <c r="BE893" s="46"/>
      <c r="BF893" s="46"/>
      <c r="BG893" s="46"/>
      <c r="BH893" s="46"/>
      <c r="BI893" s="46"/>
      <c r="BJ893" s="457"/>
      <c r="BK893" s="449">
        <v>0</v>
      </c>
      <c r="BL893" s="45"/>
      <c r="BM893" s="45"/>
      <c r="BN893" s="45"/>
      <c r="BO893" s="45"/>
      <c r="BP893" s="45"/>
      <c r="BQ893" s="45"/>
      <c r="BR893" s="45"/>
      <c r="BS893" s="45"/>
      <c r="BT893" s="45"/>
      <c r="BU893" s="45"/>
      <c r="BV893" s="45"/>
      <c r="BW893" s="45"/>
      <c r="BX893" s="45"/>
      <c r="BY893" s="45"/>
      <c r="BZ893" s="45"/>
      <c r="CA893" s="45"/>
      <c r="CB893" s="45"/>
      <c r="CC893" s="45"/>
      <c r="CD893" s="463"/>
      <c r="CE893">
        <v>0</v>
      </c>
      <c r="CF893">
        <v>0</v>
      </c>
      <c r="CG893">
        <v>0</v>
      </c>
      <c r="CH893">
        <v>0</v>
      </c>
      <c r="CI893">
        <v>0</v>
      </c>
      <c r="CJ893">
        <v>0</v>
      </c>
      <c r="CK893">
        <v>0</v>
      </c>
      <c r="CL893">
        <v>0</v>
      </c>
      <c r="CM893">
        <v>0</v>
      </c>
      <c r="CN893">
        <v>0</v>
      </c>
      <c r="CO893">
        <v>0</v>
      </c>
      <c r="CP893">
        <v>0</v>
      </c>
      <c r="CQ893">
        <v>0</v>
      </c>
      <c r="CR893">
        <v>0</v>
      </c>
      <c r="CS893">
        <v>0</v>
      </c>
      <c r="CT893">
        <v>0</v>
      </c>
      <c r="CU893">
        <v>0</v>
      </c>
      <c r="CV893">
        <v>0</v>
      </c>
      <c r="CW893">
        <v>0</v>
      </c>
      <c r="CX893">
        <v>0</v>
      </c>
      <c r="CY893">
        <v>0</v>
      </c>
      <c r="CZ893">
        <v>0</v>
      </c>
      <c r="DA893">
        <v>0</v>
      </c>
      <c r="DB893">
        <v>0</v>
      </c>
      <c r="DC893">
        <v>0</v>
      </c>
      <c r="DD893">
        <v>0</v>
      </c>
      <c r="DE893">
        <v>0</v>
      </c>
      <c r="DF893">
        <v>0</v>
      </c>
      <c r="DG893">
        <v>0</v>
      </c>
      <c r="DH893">
        <v>0</v>
      </c>
      <c r="DI893">
        <v>0</v>
      </c>
      <c r="DJ893">
        <v>0</v>
      </c>
      <c r="DK893">
        <v>0</v>
      </c>
      <c r="DL893">
        <v>0</v>
      </c>
      <c r="DM893">
        <v>0</v>
      </c>
      <c r="DN893">
        <v>0</v>
      </c>
      <c r="DO893">
        <v>0</v>
      </c>
      <c r="DP893">
        <v>0</v>
      </c>
      <c r="DQ893">
        <v>0</v>
      </c>
      <c r="DR893">
        <v>0</v>
      </c>
      <c r="DS893">
        <v>0</v>
      </c>
      <c r="DT893">
        <v>0</v>
      </c>
      <c r="DU893">
        <v>0</v>
      </c>
    </row>
    <row r="894" spans="2:125">
      <c r="B894" s="136">
        <v>885</v>
      </c>
      <c r="C894" s="138">
        <v>1</v>
      </c>
      <c r="D894" s="474">
        <v>2707.4675191523584</v>
      </c>
      <c r="E894" s="127">
        <v>218.38423418939428</v>
      </c>
      <c r="F894" s="447">
        <v>0.36794831339461836</v>
      </c>
      <c r="G894" s="127">
        <v>86.38077897134464</v>
      </c>
      <c r="H894" s="132">
        <v>51.937855008917992</v>
      </c>
      <c r="I894" s="456"/>
      <c r="J894" s="45"/>
      <c r="K894" s="45">
        <v>360</v>
      </c>
      <c r="L894" s="463"/>
      <c r="M894" s="456">
        <v>27.133186340332031</v>
      </c>
      <c r="N894" s="457"/>
      <c r="O894" s="456"/>
      <c r="P894" s="46"/>
      <c r="Q894" s="463">
        <v>53.607856750488281</v>
      </c>
      <c r="R894" s="449"/>
      <c r="S894" s="463"/>
      <c r="T894" s="480"/>
      <c r="U894" s="468"/>
      <c r="V894" s="449"/>
      <c r="W894" s="45">
        <v>1017.2606811523437</v>
      </c>
      <c r="X894" s="463">
        <v>90.590904235839844</v>
      </c>
      <c r="Y894" s="449"/>
      <c r="Z894" s="45"/>
      <c r="AA894" s="468">
        <v>0.35599656659101381</v>
      </c>
      <c r="AB894" s="456"/>
      <c r="AC894" s="46"/>
      <c r="AD894" s="46"/>
      <c r="AE894" s="46"/>
      <c r="AF894" s="46"/>
      <c r="AG894" s="46"/>
      <c r="AH894" s="46"/>
      <c r="AI894" s="457"/>
      <c r="AJ894" s="138"/>
      <c r="AK894" s="745"/>
      <c r="AL894" s="54"/>
      <c r="AM894" s="468"/>
      <c r="AN894" s="449"/>
      <c r="AO894" s="45"/>
      <c r="AP894" s="45"/>
      <c r="AQ894" s="45"/>
      <c r="AR894" s="45"/>
      <c r="AS894" s="45"/>
      <c r="AT894" s="45"/>
      <c r="AU894" s="463"/>
      <c r="AV894" s="449"/>
      <c r="AW894" s="45"/>
      <c r="AX894" s="45"/>
      <c r="AY894" s="45"/>
      <c r="AZ894" s="45"/>
      <c r="BA894" s="45"/>
      <c r="BB894" s="45"/>
      <c r="BC894" s="463"/>
      <c r="BD894" s="456"/>
      <c r="BE894" s="46"/>
      <c r="BF894" s="46"/>
      <c r="BG894" s="46"/>
      <c r="BH894" s="46"/>
      <c r="BI894" s="46"/>
      <c r="BJ894" s="457"/>
      <c r="BK894" s="449">
        <v>0</v>
      </c>
      <c r="BL894" s="45"/>
      <c r="BM894" s="45"/>
      <c r="BN894" s="45"/>
      <c r="BO894" s="45"/>
      <c r="BP894" s="45"/>
      <c r="BQ894" s="45"/>
      <c r="BR894" s="45"/>
      <c r="BS894" s="45"/>
      <c r="BT894" s="45"/>
      <c r="BU894" s="45"/>
      <c r="BV894" s="45"/>
      <c r="BW894" s="45"/>
      <c r="BX894" s="45"/>
      <c r="BY894" s="45"/>
      <c r="BZ894" s="45"/>
      <c r="CA894" s="45"/>
      <c r="CB894" s="45"/>
      <c r="CC894" s="45"/>
      <c r="CD894" s="463"/>
      <c r="CE894">
        <v>0</v>
      </c>
      <c r="CF894">
        <v>0</v>
      </c>
      <c r="CG894">
        <v>0</v>
      </c>
      <c r="CH894">
        <v>0</v>
      </c>
      <c r="CI894">
        <v>0</v>
      </c>
      <c r="CJ894">
        <v>0</v>
      </c>
      <c r="CK894">
        <v>0</v>
      </c>
      <c r="CL894">
        <v>0</v>
      </c>
      <c r="CM894">
        <v>0</v>
      </c>
      <c r="CN894">
        <v>0</v>
      </c>
      <c r="CO894">
        <v>0</v>
      </c>
      <c r="CP894">
        <v>0</v>
      </c>
      <c r="CQ894">
        <v>0</v>
      </c>
      <c r="CR894">
        <v>0</v>
      </c>
      <c r="CS894">
        <v>0</v>
      </c>
      <c r="CT894">
        <v>0</v>
      </c>
      <c r="CU894">
        <v>0</v>
      </c>
      <c r="CV894">
        <v>0</v>
      </c>
      <c r="CW894">
        <v>0</v>
      </c>
      <c r="CX894">
        <v>0</v>
      </c>
      <c r="CY894">
        <v>0</v>
      </c>
      <c r="CZ894">
        <v>0</v>
      </c>
      <c r="DA894">
        <v>0</v>
      </c>
      <c r="DB894">
        <v>0</v>
      </c>
      <c r="DC894">
        <v>0</v>
      </c>
      <c r="DD894">
        <v>0</v>
      </c>
      <c r="DE894">
        <v>0</v>
      </c>
      <c r="DF894">
        <v>0</v>
      </c>
      <c r="DG894">
        <v>0</v>
      </c>
      <c r="DH894">
        <v>0</v>
      </c>
      <c r="DI894">
        <v>0</v>
      </c>
      <c r="DJ894">
        <v>0</v>
      </c>
      <c r="DK894">
        <v>0</v>
      </c>
      <c r="DL894">
        <v>0</v>
      </c>
      <c r="DM894">
        <v>0</v>
      </c>
      <c r="DN894">
        <v>0</v>
      </c>
      <c r="DO894">
        <v>0</v>
      </c>
      <c r="DP894">
        <v>0</v>
      </c>
      <c r="DQ894">
        <v>0</v>
      </c>
      <c r="DR894">
        <v>0</v>
      </c>
      <c r="DS894">
        <v>0</v>
      </c>
      <c r="DT894">
        <v>0</v>
      </c>
      <c r="DU894">
        <v>0</v>
      </c>
    </row>
    <row r="895" spans="2:125">
      <c r="B895" s="136">
        <v>886</v>
      </c>
      <c r="C895" s="138">
        <v>1</v>
      </c>
      <c r="D895" s="474">
        <v>3430.8035508584903</v>
      </c>
      <c r="E895" s="127">
        <v>260.44070871998076</v>
      </c>
      <c r="F895" s="447">
        <v>0.45632021806999146</v>
      </c>
      <c r="G895" s="127">
        <v>143.628250134555</v>
      </c>
      <c r="H895" s="132">
        <v>49.514735609841814</v>
      </c>
      <c r="I895" s="456"/>
      <c r="J895" s="45"/>
      <c r="K895" s="45">
        <v>550</v>
      </c>
      <c r="L895" s="463"/>
      <c r="M895" s="456">
        <v>45.020652770996094</v>
      </c>
      <c r="N895" s="457"/>
      <c r="O895" s="456"/>
      <c r="P895" s="46"/>
      <c r="Q895" s="463">
        <v>67.929916381835938</v>
      </c>
      <c r="R895" s="449"/>
      <c r="S895" s="463"/>
      <c r="T895" s="480"/>
      <c r="U895" s="468"/>
      <c r="V895" s="449"/>
      <c r="W895" s="45">
        <v>1982.9261474609375</v>
      </c>
      <c r="X895" s="463">
        <v>161.60969543457031</v>
      </c>
      <c r="Y895" s="449"/>
      <c r="Z895" s="45"/>
      <c r="AA895" s="468">
        <v>0.44637315935458927</v>
      </c>
      <c r="AB895" s="456"/>
      <c r="AC895" s="46"/>
      <c r="AD895" s="46"/>
      <c r="AE895" s="46"/>
      <c r="AF895" s="46"/>
      <c r="AG895" s="46"/>
      <c r="AH895" s="46"/>
      <c r="AI895" s="457"/>
      <c r="AJ895" s="138"/>
      <c r="AK895" s="745"/>
      <c r="AL895" s="54"/>
      <c r="AM895" s="468"/>
      <c r="AN895" s="449"/>
      <c r="AO895" s="45"/>
      <c r="AP895" s="45"/>
      <c r="AQ895" s="45"/>
      <c r="AR895" s="45"/>
      <c r="AS895" s="45"/>
      <c r="AT895" s="45"/>
      <c r="AU895" s="463"/>
      <c r="AV895" s="449"/>
      <c r="AW895" s="45"/>
      <c r="AX895" s="45"/>
      <c r="AY895" s="45"/>
      <c r="AZ895" s="45"/>
      <c r="BA895" s="45"/>
      <c r="BB895" s="45"/>
      <c r="BC895" s="463"/>
      <c r="BD895" s="456"/>
      <c r="BE895" s="46"/>
      <c r="BF895" s="46"/>
      <c r="BG895" s="46"/>
      <c r="BH895" s="46"/>
      <c r="BI895" s="46"/>
      <c r="BJ895" s="457"/>
      <c r="BK895" s="449">
        <v>0</v>
      </c>
      <c r="BL895" s="45"/>
      <c r="BM895" s="45"/>
      <c r="BN895" s="45"/>
      <c r="BO895" s="45"/>
      <c r="BP895" s="45"/>
      <c r="BQ895" s="45"/>
      <c r="BR895" s="45"/>
      <c r="BS895" s="45"/>
      <c r="BT895" s="45"/>
      <c r="BU895" s="45"/>
      <c r="BV895" s="45"/>
      <c r="BW895" s="45"/>
      <c r="BX895" s="45"/>
      <c r="BY895" s="45"/>
      <c r="BZ895" s="45"/>
      <c r="CA895" s="45"/>
      <c r="CB895" s="45"/>
      <c r="CC895" s="45"/>
      <c r="CD895" s="463"/>
      <c r="CE895">
        <v>0</v>
      </c>
      <c r="CF895">
        <v>0</v>
      </c>
      <c r="CG895">
        <v>0</v>
      </c>
      <c r="CH895">
        <v>0</v>
      </c>
      <c r="CI895">
        <v>0</v>
      </c>
      <c r="CJ895">
        <v>0</v>
      </c>
      <c r="CK895">
        <v>0</v>
      </c>
      <c r="CL895">
        <v>0</v>
      </c>
      <c r="CM895">
        <v>0</v>
      </c>
      <c r="CN895">
        <v>0</v>
      </c>
      <c r="CO895">
        <v>0</v>
      </c>
      <c r="CP895">
        <v>0</v>
      </c>
      <c r="CQ895">
        <v>0</v>
      </c>
      <c r="CR895">
        <v>0</v>
      </c>
      <c r="CS895">
        <v>0</v>
      </c>
      <c r="CT895">
        <v>0</v>
      </c>
      <c r="CU895">
        <v>0</v>
      </c>
      <c r="CV895">
        <v>0</v>
      </c>
      <c r="CW895">
        <v>0</v>
      </c>
      <c r="CX895">
        <v>0</v>
      </c>
      <c r="CY895">
        <v>0</v>
      </c>
      <c r="CZ895">
        <v>0</v>
      </c>
      <c r="DA895">
        <v>0</v>
      </c>
      <c r="DB895">
        <v>0</v>
      </c>
      <c r="DC895">
        <v>0</v>
      </c>
      <c r="DD895">
        <v>0</v>
      </c>
      <c r="DE895">
        <v>0</v>
      </c>
      <c r="DF895">
        <v>0</v>
      </c>
      <c r="DG895">
        <v>0</v>
      </c>
      <c r="DH895">
        <v>0</v>
      </c>
      <c r="DI895">
        <v>0</v>
      </c>
      <c r="DJ895">
        <v>0</v>
      </c>
      <c r="DK895">
        <v>0</v>
      </c>
      <c r="DL895">
        <v>0</v>
      </c>
      <c r="DM895">
        <v>0</v>
      </c>
      <c r="DN895">
        <v>0</v>
      </c>
      <c r="DO895">
        <v>0</v>
      </c>
      <c r="DP895">
        <v>0</v>
      </c>
      <c r="DQ895">
        <v>0</v>
      </c>
      <c r="DR895">
        <v>0</v>
      </c>
      <c r="DS895">
        <v>0</v>
      </c>
      <c r="DT895">
        <v>0</v>
      </c>
      <c r="DU895">
        <v>0</v>
      </c>
    </row>
    <row r="896" spans="2:125">
      <c r="B896" s="136">
        <v>887</v>
      </c>
      <c r="C896" s="138">
        <v>1</v>
      </c>
      <c r="D896" s="474">
        <v>2777.6272461330518</v>
      </c>
      <c r="E896" s="127">
        <v>180.78479937301933</v>
      </c>
      <c r="F896" s="447">
        <v>0.45767138688932163</v>
      </c>
      <c r="G896" s="127">
        <v>89.34501842300287</v>
      </c>
      <c r="H896" s="132">
        <v>52.484602529654595</v>
      </c>
      <c r="I896" s="456"/>
      <c r="J896" s="45"/>
      <c r="K896" s="45">
        <v>390</v>
      </c>
      <c r="L896" s="463"/>
      <c r="M896" s="456">
        <v>37.349437713623047</v>
      </c>
      <c r="N896" s="457"/>
      <c r="O896" s="456"/>
      <c r="P896" s="46"/>
      <c r="Q896" s="463">
        <v>54.997020721435547</v>
      </c>
      <c r="R896" s="449"/>
      <c r="S896" s="463"/>
      <c r="T896" s="480"/>
      <c r="U896" s="468"/>
      <c r="V896" s="449"/>
      <c r="W896" s="45">
        <v>1434.103515625</v>
      </c>
      <c r="X896" s="463">
        <v>121.00794982910156</v>
      </c>
      <c r="Y896" s="449"/>
      <c r="Z896" s="45"/>
      <c r="AA896" s="468">
        <v>0.44537548657176318</v>
      </c>
      <c r="AB896" s="456"/>
      <c r="AC896" s="46"/>
      <c r="AD896" s="46"/>
      <c r="AE896" s="46"/>
      <c r="AF896" s="46"/>
      <c r="AG896" s="46"/>
      <c r="AH896" s="46"/>
      <c r="AI896" s="457"/>
      <c r="AJ896" s="138"/>
      <c r="AK896" s="745"/>
      <c r="AL896" s="54"/>
      <c r="AM896" s="468"/>
      <c r="AN896" s="449"/>
      <c r="AO896" s="45"/>
      <c r="AP896" s="45"/>
      <c r="AQ896" s="45"/>
      <c r="AR896" s="45"/>
      <c r="AS896" s="45"/>
      <c r="AT896" s="45"/>
      <c r="AU896" s="463"/>
      <c r="AV896" s="449"/>
      <c r="AW896" s="45"/>
      <c r="AX896" s="45"/>
      <c r="AY896" s="45"/>
      <c r="AZ896" s="45"/>
      <c r="BA896" s="45"/>
      <c r="BB896" s="45"/>
      <c r="BC896" s="463"/>
      <c r="BD896" s="456"/>
      <c r="BE896" s="46"/>
      <c r="BF896" s="46"/>
      <c r="BG896" s="46"/>
      <c r="BH896" s="46"/>
      <c r="BI896" s="46"/>
      <c r="BJ896" s="457"/>
      <c r="BK896" s="449">
        <v>0</v>
      </c>
      <c r="BL896" s="45"/>
      <c r="BM896" s="45"/>
      <c r="BN896" s="45"/>
      <c r="BO896" s="45"/>
      <c r="BP896" s="45"/>
      <c r="BQ896" s="45"/>
      <c r="BR896" s="45"/>
      <c r="BS896" s="45"/>
      <c r="BT896" s="45"/>
      <c r="BU896" s="45"/>
      <c r="BV896" s="45"/>
      <c r="BW896" s="45"/>
      <c r="BX896" s="45"/>
      <c r="BY896" s="45"/>
      <c r="BZ896" s="45"/>
      <c r="CA896" s="45"/>
      <c r="CB896" s="45"/>
      <c r="CC896" s="45"/>
      <c r="CD896" s="463"/>
      <c r="CE896">
        <v>0</v>
      </c>
      <c r="CF896">
        <v>0</v>
      </c>
      <c r="CG896">
        <v>0</v>
      </c>
      <c r="CH896">
        <v>0</v>
      </c>
      <c r="CI896">
        <v>0</v>
      </c>
      <c r="CJ896">
        <v>0</v>
      </c>
      <c r="CK896">
        <v>0</v>
      </c>
      <c r="CL896">
        <v>0</v>
      </c>
      <c r="CM896">
        <v>0</v>
      </c>
      <c r="CN896">
        <v>0</v>
      </c>
      <c r="CO896">
        <v>0</v>
      </c>
      <c r="CP896">
        <v>0</v>
      </c>
      <c r="CQ896">
        <v>0</v>
      </c>
      <c r="CR896">
        <v>0</v>
      </c>
      <c r="CS896">
        <v>0</v>
      </c>
      <c r="CT896">
        <v>0</v>
      </c>
      <c r="CU896">
        <v>0</v>
      </c>
      <c r="CV896">
        <v>0</v>
      </c>
      <c r="CW896">
        <v>0</v>
      </c>
      <c r="CX896">
        <v>0</v>
      </c>
      <c r="CY896">
        <v>0</v>
      </c>
      <c r="CZ896">
        <v>0</v>
      </c>
      <c r="DA896">
        <v>0</v>
      </c>
      <c r="DB896">
        <v>0</v>
      </c>
      <c r="DC896">
        <v>0</v>
      </c>
      <c r="DD896">
        <v>0</v>
      </c>
      <c r="DE896">
        <v>0</v>
      </c>
      <c r="DF896">
        <v>0</v>
      </c>
      <c r="DG896">
        <v>0</v>
      </c>
      <c r="DH896">
        <v>0</v>
      </c>
      <c r="DI896">
        <v>0</v>
      </c>
      <c r="DJ896">
        <v>0</v>
      </c>
      <c r="DK896">
        <v>0</v>
      </c>
      <c r="DL896">
        <v>0</v>
      </c>
      <c r="DM896">
        <v>0</v>
      </c>
      <c r="DN896">
        <v>0</v>
      </c>
      <c r="DO896">
        <v>0</v>
      </c>
      <c r="DP896">
        <v>0</v>
      </c>
      <c r="DQ896">
        <v>0</v>
      </c>
      <c r="DR896">
        <v>0</v>
      </c>
      <c r="DS896">
        <v>0</v>
      </c>
      <c r="DT896">
        <v>0</v>
      </c>
      <c r="DU896">
        <v>0</v>
      </c>
    </row>
    <row r="897" spans="2:125">
      <c r="B897" s="136">
        <v>888</v>
      </c>
      <c r="C897" s="138">
        <v>1</v>
      </c>
      <c r="D897" s="474">
        <v>3650.3441664409361</v>
      </c>
      <c r="E897" s="127">
        <v>191.90465881594997</v>
      </c>
      <c r="F897" s="447">
        <v>0.45129047037780934</v>
      </c>
      <c r="G897" s="127">
        <v>148.74826234487088</v>
      </c>
      <c r="H897" s="132">
        <v>52.593660747626856</v>
      </c>
      <c r="I897" s="456"/>
      <c r="J897" s="45"/>
      <c r="K897" s="45">
        <v>580</v>
      </c>
      <c r="L897" s="463"/>
      <c r="M897" s="456">
        <v>43.856094360351563</v>
      </c>
      <c r="N897" s="457"/>
      <c r="O897" s="456"/>
      <c r="P897" s="46"/>
      <c r="Q897" s="463">
        <v>72.276817321777344</v>
      </c>
      <c r="R897" s="449"/>
      <c r="S897" s="463"/>
      <c r="T897" s="480"/>
      <c r="U897" s="468"/>
      <c r="V897" s="449"/>
      <c r="W897" s="45">
        <v>2011.3245849609375</v>
      </c>
      <c r="X897" s="463">
        <v>163.77314758300781</v>
      </c>
      <c r="Y897" s="449"/>
      <c r="Z897" s="45"/>
      <c r="AA897" s="468">
        <v>0.44196920973604054</v>
      </c>
      <c r="AB897" s="456"/>
      <c r="AC897" s="46"/>
      <c r="AD897" s="46"/>
      <c r="AE897" s="46"/>
      <c r="AF897" s="46"/>
      <c r="AG897" s="46"/>
      <c r="AH897" s="46"/>
      <c r="AI897" s="457"/>
      <c r="AJ897" s="138"/>
      <c r="AK897" s="745"/>
      <c r="AL897" s="54"/>
      <c r="AM897" s="468"/>
      <c r="AN897" s="449"/>
      <c r="AO897" s="45"/>
      <c r="AP897" s="45"/>
      <c r="AQ897" s="45"/>
      <c r="AR897" s="45"/>
      <c r="AS897" s="45"/>
      <c r="AT897" s="45"/>
      <c r="AU897" s="463"/>
      <c r="AV897" s="449"/>
      <c r="AW897" s="45"/>
      <c r="AX897" s="45"/>
      <c r="AY897" s="45"/>
      <c r="AZ897" s="45"/>
      <c r="BA897" s="45"/>
      <c r="BB897" s="45"/>
      <c r="BC897" s="463"/>
      <c r="BD897" s="456"/>
      <c r="BE897" s="46"/>
      <c r="BF897" s="46"/>
      <c r="BG897" s="46"/>
      <c r="BH897" s="46"/>
      <c r="BI897" s="46"/>
      <c r="BJ897" s="457"/>
      <c r="BK897" s="449">
        <v>0</v>
      </c>
      <c r="BL897" s="45"/>
      <c r="BM897" s="45"/>
      <c r="BN897" s="45"/>
      <c r="BO897" s="45"/>
      <c r="BP897" s="45"/>
      <c r="BQ897" s="45"/>
      <c r="BR897" s="45"/>
      <c r="BS897" s="45"/>
      <c r="BT897" s="45"/>
      <c r="BU897" s="45"/>
      <c r="BV897" s="45"/>
      <c r="BW897" s="45"/>
      <c r="BX897" s="45"/>
      <c r="BY897" s="45"/>
      <c r="BZ897" s="45"/>
      <c r="CA897" s="45"/>
      <c r="CB897" s="45"/>
      <c r="CC897" s="45"/>
      <c r="CD897" s="463"/>
      <c r="CE897">
        <v>0</v>
      </c>
      <c r="CF897">
        <v>0</v>
      </c>
      <c r="CG897">
        <v>0</v>
      </c>
      <c r="CH897">
        <v>0</v>
      </c>
      <c r="CI897">
        <v>0</v>
      </c>
      <c r="CJ897">
        <v>0</v>
      </c>
      <c r="CK897">
        <v>0</v>
      </c>
      <c r="CL897">
        <v>0</v>
      </c>
      <c r="CM897">
        <v>0</v>
      </c>
      <c r="CN897">
        <v>0</v>
      </c>
      <c r="CO897">
        <v>0</v>
      </c>
      <c r="CP897">
        <v>0</v>
      </c>
      <c r="CQ897">
        <v>0</v>
      </c>
      <c r="CR897">
        <v>0</v>
      </c>
      <c r="CS897">
        <v>0</v>
      </c>
      <c r="CT897">
        <v>0</v>
      </c>
      <c r="CU897">
        <v>0</v>
      </c>
      <c r="CV897">
        <v>0</v>
      </c>
      <c r="CW897">
        <v>0</v>
      </c>
      <c r="CX897">
        <v>0</v>
      </c>
      <c r="CY897">
        <v>0</v>
      </c>
      <c r="CZ897">
        <v>0</v>
      </c>
      <c r="DA897">
        <v>0</v>
      </c>
      <c r="DB897">
        <v>0</v>
      </c>
      <c r="DC897">
        <v>0</v>
      </c>
      <c r="DD897">
        <v>0</v>
      </c>
      <c r="DE897">
        <v>0</v>
      </c>
      <c r="DF897">
        <v>0</v>
      </c>
      <c r="DG897">
        <v>0</v>
      </c>
      <c r="DH897">
        <v>0</v>
      </c>
      <c r="DI897">
        <v>0</v>
      </c>
      <c r="DJ897">
        <v>0</v>
      </c>
      <c r="DK897">
        <v>0</v>
      </c>
      <c r="DL897">
        <v>0</v>
      </c>
      <c r="DM897">
        <v>0</v>
      </c>
      <c r="DN897">
        <v>0</v>
      </c>
      <c r="DO897">
        <v>0</v>
      </c>
      <c r="DP897">
        <v>0</v>
      </c>
      <c r="DQ897">
        <v>0</v>
      </c>
      <c r="DR897">
        <v>0</v>
      </c>
      <c r="DS897">
        <v>0</v>
      </c>
      <c r="DT897">
        <v>0</v>
      </c>
      <c r="DU897">
        <v>0</v>
      </c>
    </row>
    <row r="898" spans="2:125">
      <c r="B898" s="136">
        <v>889</v>
      </c>
      <c r="C898" s="138">
        <v>1</v>
      </c>
      <c r="D898" s="474">
        <v>3615.0870928102595</v>
      </c>
      <c r="E898" s="127">
        <v>236.6701712836564</v>
      </c>
      <c r="F898" s="447">
        <v>0.50939356167752348</v>
      </c>
      <c r="G898" s="127">
        <v>136.38759767671618</v>
      </c>
      <c r="H898" s="132">
        <v>55.356591797497678</v>
      </c>
      <c r="I898" s="456"/>
      <c r="J898" s="45"/>
      <c r="K898" s="45">
        <v>560</v>
      </c>
      <c r="L898" s="463"/>
      <c r="M898" s="456">
        <v>57.509731292724609</v>
      </c>
      <c r="N898" s="457"/>
      <c r="O898" s="456"/>
      <c r="P898" s="46"/>
      <c r="Q898" s="463">
        <v>71.578727722167969</v>
      </c>
      <c r="R898" s="449"/>
      <c r="S898" s="463"/>
      <c r="T898" s="480"/>
      <c r="U898" s="468"/>
      <c r="V898" s="449"/>
      <c r="W898" s="45">
        <v>2552.911376953125</v>
      </c>
      <c r="X898" s="463">
        <v>203.0736083984375</v>
      </c>
      <c r="Y898" s="449"/>
      <c r="Z898" s="45"/>
      <c r="AA898" s="468">
        <v>0.49965994521679352</v>
      </c>
      <c r="AB898" s="456"/>
      <c r="AC898" s="46"/>
      <c r="AD898" s="46"/>
      <c r="AE898" s="46"/>
      <c r="AF898" s="46"/>
      <c r="AG898" s="46"/>
      <c r="AH898" s="46"/>
      <c r="AI898" s="457"/>
      <c r="AJ898" s="138"/>
      <c r="AK898" s="745"/>
      <c r="AL898" s="54"/>
      <c r="AM898" s="468"/>
      <c r="AN898" s="449"/>
      <c r="AO898" s="45"/>
      <c r="AP898" s="45"/>
      <c r="AQ898" s="45"/>
      <c r="AR898" s="45"/>
      <c r="AS898" s="45"/>
      <c r="AT898" s="45"/>
      <c r="AU898" s="463"/>
      <c r="AV898" s="449"/>
      <c r="AW898" s="45"/>
      <c r="AX898" s="45"/>
      <c r="AY898" s="45"/>
      <c r="AZ898" s="45"/>
      <c r="BA898" s="45"/>
      <c r="BB898" s="45"/>
      <c r="BC898" s="463"/>
      <c r="BD898" s="456"/>
      <c r="BE898" s="46"/>
      <c r="BF898" s="46"/>
      <c r="BG898" s="46"/>
      <c r="BH898" s="46"/>
      <c r="BI898" s="46"/>
      <c r="BJ898" s="457"/>
      <c r="BK898" s="449">
        <v>0</v>
      </c>
      <c r="BL898" s="45"/>
      <c r="BM898" s="45"/>
      <c r="BN898" s="45"/>
      <c r="BO898" s="45"/>
      <c r="BP898" s="45"/>
      <c r="BQ898" s="45"/>
      <c r="BR898" s="45"/>
      <c r="BS898" s="45"/>
      <c r="BT898" s="45"/>
      <c r="BU898" s="45"/>
      <c r="BV898" s="45"/>
      <c r="BW898" s="45"/>
      <c r="BX898" s="45"/>
      <c r="BY898" s="45"/>
      <c r="BZ898" s="45"/>
      <c r="CA898" s="45"/>
      <c r="CB898" s="45"/>
      <c r="CC898" s="45"/>
      <c r="CD898" s="463"/>
      <c r="CE898">
        <v>0</v>
      </c>
      <c r="CF898">
        <v>0</v>
      </c>
      <c r="CG898">
        <v>0</v>
      </c>
      <c r="CH898">
        <v>0</v>
      </c>
      <c r="CI898">
        <v>0</v>
      </c>
      <c r="CJ898">
        <v>0</v>
      </c>
      <c r="CK898">
        <v>0</v>
      </c>
      <c r="CL898">
        <v>0</v>
      </c>
      <c r="CM898">
        <v>0</v>
      </c>
      <c r="CN898">
        <v>0</v>
      </c>
      <c r="CO898">
        <v>0</v>
      </c>
      <c r="CP898">
        <v>0</v>
      </c>
      <c r="CQ898">
        <v>0</v>
      </c>
      <c r="CR898">
        <v>0</v>
      </c>
      <c r="CS898">
        <v>0</v>
      </c>
      <c r="CT898">
        <v>0</v>
      </c>
      <c r="CU898">
        <v>0</v>
      </c>
      <c r="CV898">
        <v>0</v>
      </c>
      <c r="CW898">
        <v>0</v>
      </c>
      <c r="CX898">
        <v>0</v>
      </c>
      <c r="CY898">
        <v>0</v>
      </c>
      <c r="CZ898">
        <v>0</v>
      </c>
      <c r="DA898">
        <v>0</v>
      </c>
      <c r="DB898">
        <v>0</v>
      </c>
      <c r="DC898">
        <v>0</v>
      </c>
      <c r="DD898">
        <v>0</v>
      </c>
      <c r="DE898">
        <v>0</v>
      </c>
      <c r="DF898">
        <v>0</v>
      </c>
      <c r="DG898">
        <v>0</v>
      </c>
      <c r="DH898">
        <v>0</v>
      </c>
      <c r="DI898">
        <v>0</v>
      </c>
      <c r="DJ898">
        <v>0</v>
      </c>
      <c r="DK898">
        <v>0</v>
      </c>
      <c r="DL898">
        <v>0</v>
      </c>
      <c r="DM898">
        <v>0</v>
      </c>
      <c r="DN898">
        <v>0</v>
      </c>
      <c r="DO898">
        <v>0</v>
      </c>
      <c r="DP898">
        <v>0</v>
      </c>
      <c r="DQ898">
        <v>0</v>
      </c>
      <c r="DR898">
        <v>0</v>
      </c>
      <c r="DS898">
        <v>0</v>
      </c>
      <c r="DT898">
        <v>0</v>
      </c>
      <c r="DU898">
        <v>0</v>
      </c>
    </row>
    <row r="899" spans="2:125">
      <c r="B899" s="136">
        <v>890</v>
      </c>
      <c r="C899" s="138">
        <v>1</v>
      </c>
      <c r="D899" s="474">
        <v>2757.5041766441686</v>
      </c>
      <c r="E899" s="127">
        <v>210.77305389419854</v>
      </c>
      <c r="F899" s="447">
        <v>0.37321745052206695</v>
      </c>
      <c r="G899" s="127">
        <v>86.726267757252003</v>
      </c>
      <c r="H899" s="132">
        <v>52.846627681096521</v>
      </c>
      <c r="I899" s="456"/>
      <c r="J899" s="45"/>
      <c r="K899" s="45">
        <v>370</v>
      </c>
      <c r="L899" s="463"/>
      <c r="M899" s="456">
        <v>27.541967391967773</v>
      </c>
      <c r="N899" s="457"/>
      <c r="O899" s="456"/>
      <c r="P899" s="46"/>
      <c r="Q899" s="463">
        <v>54.598583221435547</v>
      </c>
      <c r="R899" s="449"/>
      <c r="S899" s="463"/>
      <c r="T899" s="480"/>
      <c r="U899" s="468"/>
      <c r="V899" s="449"/>
      <c r="W899" s="45">
        <v>1049.0546875</v>
      </c>
      <c r="X899" s="463">
        <v>92.935066223144531</v>
      </c>
      <c r="Y899" s="449"/>
      <c r="Z899" s="45"/>
      <c r="AA899" s="468">
        <v>0.36144435901221117</v>
      </c>
      <c r="AB899" s="456"/>
      <c r="AC899" s="46"/>
      <c r="AD899" s="46"/>
      <c r="AE899" s="46"/>
      <c r="AF899" s="46"/>
      <c r="AG899" s="46"/>
      <c r="AH899" s="46"/>
      <c r="AI899" s="457"/>
      <c r="AJ899" s="138"/>
      <c r="AK899" s="745"/>
      <c r="AL899" s="54"/>
      <c r="AM899" s="468"/>
      <c r="AN899" s="449"/>
      <c r="AO899" s="45"/>
      <c r="AP899" s="45"/>
      <c r="AQ899" s="45"/>
      <c r="AR899" s="45"/>
      <c r="AS899" s="45"/>
      <c r="AT899" s="45"/>
      <c r="AU899" s="463"/>
      <c r="AV899" s="449"/>
      <c r="AW899" s="45"/>
      <c r="AX899" s="45"/>
      <c r="AY899" s="45"/>
      <c r="AZ899" s="45"/>
      <c r="BA899" s="45"/>
      <c r="BB899" s="45"/>
      <c r="BC899" s="463"/>
      <c r="BD899" s="456"/>
      <c r="BE899" s="46"/>
      <c r="BF899" s="46"/>
      <c r="BG899" s="46"/>
      <c r="BH899" s="46"/>
      <c r="BI899" s="46"/>
      <c r="BJ899" s="457"/>
      <c r="BK899" s="449">
        <v>0</v>
      </c>
      <c r="BL899" s="45"/>
      <c r="BM899" s="45"/>
      <c r="BN899" s="45"/>
      <c r="BO899" s="45"/>
      <c r="BP899" s="45"/>
      <c r="BQ899" s="45"/>
      <c r="BR899" s="45"/>
      <c r="BS899" s="45"/>
      <c r="BT899" s="45"/>
      <c r="BU899" s="45"/>
      <c r="BV899" s="45"/>
      <c r="BW899" s="45"/>
      <c r="BX899" s="45"/>
      <c r="BY899" s="45"/>
      <c r="BZ899" s="45"/>
      <c r="CA899" s="45"/>
      <c r="CB899" s="45"/>
      <c r="CC899" s="45"/>
      <c r="CD899" s="463"/>
      <c r="CE899">
        <v>0</v>
      </c>
      <c r="CF899">
        <v>0</v>
      </c>
      <c r="CG899">
        <v>0</v>
      </c>
      <c r="CH899">
        <v>0</v>
      </c>
      <c r="CI899">
        <v>0</v>
      </c>
      <c r="CJ899">
        <v>0</v>
      </c>
      <c r="CK899">
        <v>0</v>
      </c>
      <c r="CL899">
        <v>0</v>
      </c>
      <c r="CM899">
        <v>0</v>
      </c>
      <c r="CN899">
        <v>0</v>
      </c>
      <c r="CO899">
        <v>0</v>
      </c>
      <c r="CP899">
        <v>0</v>
      </c>
      <c r="CQ899">
        <v>0</v>
      </c>
      <c r="CR899">
        <v>0</v>
      </c>
      <c r="CS899">
        <v>0</v>
      </c>
      <c r="CT899">
        <v>0</v>
      </c>
      <c r="CU899">
        <v>0</v>
      </c>
      <c r="CV899">
        <v>0</v>
      </c>
      <c r="CW899">
        <v>0</v>
      </c>
      <c r="CX899">
        <v>0</v>
      </c>
      <c r="CY899">
        <v>0</v>
      </c>
      <c r="CZ899">
        <v>0</v>
      </c>
      <c r="DA899">
        <v>0</v>
      </c>
      <c r="DB899">
        <v>0</v>
      </c>
      <c r="DC899">
        <v>0</v>
      </c>
      <c r="DD899">
        <v>0</v>
      </c>
      <c r="DE899">
        <v>0</v>
      </c>
      <c r="DF899">
        <v>0</v>
      </c>
      <c r="DG899">
        <v>0</v>
      </c>
      <c r="DH899">
        <v>0</v>
      </c>
      <c r="DI899">
        <v>0</v>
      </c>
      <c r="DJ899">
        <v>0</v>
      </c>
      <c r="DK899">
        <v>0</v>
      </c>
      <c r="DL899">
        <v>0</v>
      </c>
      <c r="DM899">
        <v>0</v>
      </c>
      <c r="DN899">
        <v>0</v>
      </c>
      <c r="DO899">
        <v>0</v>
      </c>
      <c r="DP899">
        <v>0</v>
      </c>
      <c r="DQ899">
        <v>0</v>
      </c>
      <c r="DR899">
        <v>0</v>
      </c>
      <c r="DS899">
        <v>0</v>
      </c>
      <c r="DT899">
        <v>0</v>
      </c>
      <c r="DU899">
        <v>0</v>
      </c>
    </row>
    <row r="900" spans="2:125">
      <c r="B900" s="136">
        <v>891</v>
      </c>
      <c r="C900" s="138">
        <v>1</v>
      </c>
      <c r="D900" s="474">
        <v>4065.8478886773191</v>
      </c>
      <c r="E900" s="127">
        <v>213.07459771938909</v>
      </c>
      <c r="F900" s="447">
        <v>0.42929296019665669</v>
      </c>
      <c r="G900" s="127">
        <v>163.82779583787766</v>
      </c>
      <c r="H900" s="132">
        <v>56.24921553449451</v>
      </c>
      <c r="I900" s="456"/>
      <c r="J900" s="45"/>
      <c r="K900" s="45">
        <v>630</v>
      </c>
      <c r="L900" s="463"/>
      <c r="M900" s="456">
        <v>40.597297668457031</v>
      </c>
      <c r="N900" s="457"/>
      <c r="O900" s="456"/>
      <c r="P900" s="46"/>
      <c r="Q900" s="463">
        <v>80.503791809082031</v>
      </c>
      <c r="R900" s="449"/>
      <c r="S900" s="463"/>
      <c r="T900" s="480"/>
      <c r="U900" s="468"/>
      <c r="V900" s="449"/>
      <c r="W900" s="45">
        <v>2009.2841796875</v>
      </c>
      <c r="X900" s="463">
        <v>163.86801147460938</v>
      </c>
      <c r="Y900" s="449"/>
      <c r="Z900" s="45"/>
      <c r="AA900" s="468">
        <v>0.42103247920388176</v>
      </c>
      <c r="AB900" s="456"/>
      <c r="AC900" s="46"/>
      <c r="AD900" s="46"/>
      <c r="AE900" s="46"/>
      <c r="AF900" s="46"/>
      <c r="AG900" s="46"/>
      <c r="AH900" s="46"/>
      <c r="AI900" s="457"/>
      <c r="AJ900" s="138"/>
      <c r="AK900" s="745"/>
      <c r="AL900" s="54"/>
      <c r="AM900" s="468"/>
      <c r="AN900" s="449"/>
      <c r="AO900" s="45"/>
      <c r="AP900" s="45"/>
      <c r="AQ900" s="45"/>
      <c r="AR900" s="45"/>
      <c r="AS900" s="45"/>
      <c r="AT900" s="45"/>
      <c r="AU900" s="463"/>
      <c r="AV900" s="449"/>
      <c r="AW900" s="45"/>
      <c r="AX900" s="45"/>
      <c r="AY900" s="45"/>
      <c r="AZ900" s="45"/>
      <c r="BA900" s="45"/>
      <c r="BB900" s="45"/>
      <c r="BC900" s="463"/>
      <c r="BD900" s="456"/>
      <c r="BE900" s="46"/>
      <c r="BF900" s="46"/>
      <c r="BG900" s="46"/>
      <c r="BH900" s="46"/>
      <c r="BI900" s="46"/>
      <c r="BJ900" s="457"/>
      <c r="BK900" s="449">
        <v>0</v>
      </c>
      <c r="BL900" s="45"/>
      <c r="BM900" s="45"/>
      <c r="BN900" s="45"/>
      <c r="BO900" s="45"/>
      <c r="BP900" s="45"/>
      <c r="BQ900" s="45"/>
      <c r="BR900" s="45"/>
      <c r="BS900" s="45"/>
      <c r="BT900" s="45"/>
      <c r="BU900" s="45"/>
      <c r="BV900" s="45"/>
      <c r="BW900" s="45"/>
      <c r="BX900" s="45"/>
      <c r="BY900" s="45"/>
      <c r="BZ900" s="45"/>
      <c r="CA900" s="45"/>
      <c r="CB900" s="45"/>
      <c r="CC900" s="45"/>
      <c r="CD900" s="463"/>
      <c r="CE900">
        <v>0</v>
      </c>
      <c r="CF900">
        <v>0</v>
      </c>
      <c r="CG900">
        <v>0</v>
      </c>
      <c r="CH900">
        <v>0</v>
      </c>
      <c r="CI900">
        <v>0</v>
      </c>
      <c r="CJ900">
        <v>0</v>
      </c>
      <c r="CK900">
        <v>0</v>
      </c>
      <c r="CL900">
        <v>0</v>
      </c>
      <c r="CM900">
        <v>0</v>
      </c>
      <c r="CN900">
        <v>0</v>
      </c>
      <c r="CO900">
        <v>0</v>
      </c>
      <c r="CP900">
        <v>0</v>
      </c>
      <c r="CQ900">
        <v>0</v>
      </c>
      <c r="CR900">
        <v>0</v>
      </c>
      <c r="CS900">
        <v>0</v>
      </c>
      <c r="CT900">
        <v>0</v>
      </c>
      <c r="CU900">
        <v>0</v>
      </c>
      <c r="CV900">
        <v>0</v>
      </c>
      <c r="CW900">
        <v>0</v>
      </c>
      <c r="CX900">
        <v>0</v>
      </c>
      <c r="CY900">
        <v>0</v>
      </c>
      <c r="CZ900">
        <v>0</v>
      </c>
      <c r="DA900">
        <v>0</v>
      </c>
      <c r="DB900">
        <v>0</v>
      </c>
      <c r="DC900">
        <v>0</v>
      </c>
      <c r="DD900">
        <v>0</v>
      </c>
      <c r="DE900">
        <v>0</v>
      </c>
      <c r="DF900">
        <v>0</v>
      </c>
      <c r="DG900">
        <v>0</v>
      </c>
      <c r="DH900">
        <v>0</v>
      </c>
      <c r="DI900">
        <v>0</v>
      </c>
      <c r="DJ900">
        <v>0</v>
      </c>
      <c r="DK900">
        <v>0</v>
      </c>
      <c r="DL900">
        <v>0</v>
      </c>
      <c r="DM900">
        <v>0</v>
      </c>
      <c r="DN900">
        <v>0</v>
      </c>
      <c r="DO900">
        <v>0</v>
      </c>
      <c r="DP900">
        <v>0</v>
      </c>
      <c r="DQ900">
        <v>0</v>
      </c>
      <c r="DR900">
        <v>0</v>
      </c>
      <c r="DS900">
        <v>0</v>
      </c>
      <c r="DT900">
        <v>0</v>
      </c>
      <c r="DU900">
        <v>0</v>
      </c>
    </row>
    <row r="901" spans="2:125">
      <c r="B901" s="136">
        <v>892</v>
      </c>
      <c r="C901" s="138">
        <v>1</v>
      </c>
      <c r="D901" s="474">
        <v>3044.3035167412754</v>
      </c>
      <c r="E901" s="127">
        <v>219.43240984386094</v>
      </c>
      <c r="F901" s="447">
        <v>0.35109477039703252</v>
      </c>
      <c r="G901" s="127">
        <v>110.99489986706831</v>
      </c>
      <c r="H901" s="132">
        <v>51.470583535673526</v>
      </c>
      <c r="I901" s="456"/>
      <c r="J901" s="45"/>
      <c r="K901" s="45">
        <v>440</v>
      </c>
      <c r="L901" s="463"/>
      <c r="M901" s="456">
        <v>27.460536956787109</v>
      </c>
      <c r="N901" s="457"/>
      <c r="O901" s="456"/>
      <c r="P901" s="46"/>
      <c r="Q901" s="463">
        <v>60.277214050292969</v>
      </c>
      <c r="R901" s="449"/>
      <c r="S901" s="463"/>
      <c r="T901" s="480"/>
      <c r="U901" s="468"/>
      <c r="V901" s="449"/>
      <c r="W901" s="45">
        <v>1136.0150146484375</v>
      </c>
      <c r="X901" s="463">
        <v>99.53924560546875</v>
      </c>
      <c r="Y901" s="449"/>
      <c r="Z901" s="45"/>
      <c r="AA901" s="468">
        <v>0.34057614266105107</v>
      </c>
      <c r="AB901" s="456"/>
      <c r="AC901" s="46"/>
      <c r="AD901" s="46"/>
      <c r="AE901" s="46"/>
      <c r="AF901" s="46"/>
      <c r="AG901" s="46"/>
      <c r="AH901" s="46"/>
      <c r="AI901" s="457"/>
      <c r="AJ901" s="138"/>
      <c r="AK901" s="745"/>
      <c r="AL901" s="54"/>
      <c r="AM901" s="468"/>
      <c r="AN901" s="449"/>
      <c r="AO901" s="45"/>
      <c r="AP901" s="45"/>
      <c r="AQ901" s="45"/>
      <c r="AR901" s="45"/>
      <c r="AS901" s="45"/>
      <c r="AT901" s="45"/>
      <c r="AU901" s="463"/>
      <c r="AV901" s="449"/>
      <c r="AW901" s="45"/>
      <c r="AX901" s="45"/>
      <c r="AY901" s="45"/>
      <c r="AZ901" s="45"/>
      <c r="BA901" s="45"/>
      <c r="BB901" s="45"/>
      <c r="BC901" s="463"/>
      <c r="BD901" s="456"/>
      <c r="BE901" s="46"/>
      <c r="BF901" s="46"/>
      <c r="BG901" s="46"/>
      <c r="BH901" s="46"/>
      <c r="BI901" s="46"/>
      <c r="BJ901" s="457"/>
      <c r="BK901" s="449">
        <v>0</v>
      </c>
      <c r="BL901" s="45"/>
      <c r="BM901" s="45"/>
      <c r="BN901" s="45"/>
      <c r="BO901" s="45"/>
      <c r="BP901" s="45"/>
      <c r="BQ901" s="45"/>
      <c r="BR901" s="45"/>
      <c r="BS901" s="45"/>
      <c r="BT901" s="45"/>
      <c r="BU901" s="45"/>
      <c r="BV901" s="45"/>
      <c r="BW901" s="45"/>
      <c r="BX901" s="45"/>
      <c r="BY901" s="45"/>
      <c r="BZ901" s="45"/>
      <c r="CA901" s="45"/>
      <c r="CB901" s="45"/>
      <c r="CC901" s="45"/>
      <c r="CD901" s="463"/>
      <c r="CE901">
        <v>0</v>
      </c>
      <c r="CF901">
        <v>0</v>
      </c>
      <c r="CG901">
        <v>0</v>
      </c>
      <c r="CH901">
        <v>0</v>
      </c>
      <c r="CI901">
        <v>0</v>
      </c>
      <c r="CJ901">
        <v>0</v>
      </c>
      <c r="CK901">
        <v>0</v>
      </c>
      <c r="CL901">
        <v>0</v>
      </c>
      <c r="CM901">
        <v>0</v>
      </c>
      <c r="CN901">
        <v>0</v>
      </c>
      <c r="CO901">
        <v>0</v>
      </c>
      <c r="CP901">
        <v>0</v>
      </c>
      <c r="CQ901">
        <v>0</v>
      </c>
      <c r="CR901">
        <v>0</v>
      </c>
      <c r="CS901">
        <v>0</v>
      </c>
      <c r="CT901">
        <v>0</v>
      </c>
      <c r="CU901">
        <v>0</v>
      </c>
      <c r="CV901">
        <v>0</v>
      </c>
      <c r="CW901">
        <v>0</v>
      </c>
      <c r="CX901">
        <v>0</v>
      </c>
      <c r="CY901">
        <v>0</v>
      </c>
      <c r="CZ901">
        <v>0</v>
      </c>
      <c r="DA901">
        <v>0</v>
      </c>
      <c r="DB901">
        <v>0</v>
      </c>
      <c r="DC901">
        <v>0</v>
      </c>
      <c r="DD901">
        <v>0</v>
      </c>
      <c r="DE901">
        <v>0</v>
      </c>
      <c r="DF901">
        <v>0</v>
      </c>
      <c r="DG901">
        <v>0</v>
      </c>
      <c r="DH901">
        <v>0</v>
      </c>
      <c r="DI901">
        <v>0</v>
      </c>
      <c r="DJ901">
        <v>0</v>
      </c>
      <c r="DK901">
        <v>0</v>
      </c>
      <c r="DL901">
        <v>0</v>
      </c>
      <c r="DM901">
        <v>0</v>
      </c>
      <c r="DN901">
        <v>0</v>
      </c>
      <c r="DO901">
        <v>0</v>
      </c>
      <c r="DP901">
        <v>0</v>
      </c>
      <c r="DQ901">
        <v>0</v>
      </c>
      <c r="DR901">
        <v>0</v>
      </c>
      <c r="DS901">
        <v>0</v>
      </c>
      <c r="DT901">
        <v>0</v>
      </c>
      <c r="DU901">
        <v>0</v>
      </c>
    </row>
    <row r="902" spans="2:125">
      <c r="B902" s="136">
        <v>893</v>
      </c>
      <c r="C902" s="138">
        <v>1</v>
      </c>
      <c r="D902" s="474">
        <v>4055.0342392486473</v>
      </c>
      <c r="E902" s="127">
        <v>275.80381929635769</v>
      </c>
      <c r="F902" s="447">
        <v>0.39606233166077209</v>
      </c>
      <c r="G902" s="127">
        <v>140.56089674870199</v>
      </c>
      <c r="H902" s="132">
        <v>61.505915818677934</v>
      </c>
      <c r="I902" s="456"/>
      <c r="J902" s="45"/>
      <c r="K902" s="45">
        <v>580</v>
      </c>
      <c r="L902" s="463"/>
      <c r="M902" s="456">
        <v>32.543170928955078</v>
      </c>
      <c r="N902" s="457"/>
      <c r="O902" s="456"/>
      <c r="P902" s="46"/>
      <c r="Q902" s="463">
        <v>80.289680480957031</v>
      </c>
      <c r="R902" s="449"/>
      <c r="S902" s="463"/>
      <c r="T902" s="480"/>
      <c r="U902" s="468"/>
      <c r="V902" s="449"/>
      <c r="W902" s="45">
        <v>1627.076171875</v>
      </c>
      <c r="X902" s="463">
        <v>135.8236083984375</v>
      </c>
      <c r="Y902" s="449"/>
      <c r="Z902" s="45"/>
      <c r="AA902" s="468">
        <v>0.38794372040107644</v>
      </c>
      <c r="AB902" s="456"/>
      <c r="AC902" s="46"/>
      <c r="AD902" s="46"/>
      <c r="AE902" s="46"/>
      <c r="AF902" s="46"/>
      <c r="AG902" s="46"/>
      <c r="AH902" s="46"/>
      <c r="AI902" s="457"/>
      <c r="AJ902" s="138"/>
      <c r="AK902" s="745"/>
      <c r="AL902" s="54"/>
      <c r="AM902" s="468"/>
      <c r="AN902" s="449"/>
      <c r="AO902" s="45"/>
      <c r="AP902" s="45"/>
      <c r="AQ902" s="45"/>
      <c r="AR902" s="45"/>
      <c r="AS902" s="45"/>
      <c r="AT902" s="45"/>
      <c r="AU902" s="463"/>
      <c r="AV902" s="449"/>
      <c r="AW902" s="45"/>
      <c r="AX902" s="45"/>
      <c r="AY902" s="45"/>
      <c r="AZ902" s="45"/>
      <c r="BA902" s="45"/>
      <c r="BB902" s="45"/>
      <c r="BC902" s="463"/>
      <c r="BD902" s="456"/>
      <c r="BE902" s="46"/>
      <c r="BF902" s="46"/>
      <c r="BG902" s="46"/>
      <c r="BH902" s="46"/>
      <c r="BI902" s="46"/>
      <c r="BJ902" s="457"/>
      <c r="BK902" s="449">
        <v>0</v>
      </c>
      <c r="BL902" s="45"/>
      <c r="BM902" s="45"/>
      <c r="BN902" s="45"/>
      <c r="BO902" s="45"/>
      <c r="BP902" s="45"/>
      <c r="BQ902" s="45"/>
      <c r="BR902" s="45"/>
      <c r="BS902" s="45"/>
      <c r="BT902" s="45"/>
      <c r="BU902" s="45"/>
      <c r="BV902" s="45"/>
      <c r="BW902" s="45"/>
      <c r="BX902" s="45"/>
      <c r="BY902" s="45"/>
      <c r="BZ902" s="45"/>
      <c r="CA902" s="45"/>
      <c r="CB902" s="45"/>
      <c r="CC902" s="45"/>
      <c r="CD902" s="463"/>
      <c r="CE902">
        <v>0</v>
      </c>
      <c r="CF902">
        <v>0</v>
      </c>
      <c r="CG902">
        <v>0</v>
      </c>
      <c r="CH902">
        <v>0</v>
      </c>
      <c r="CI902">
        <v>0</v>
      </c>
      <c r="CJ902">
        <v>0</v>
      </c>
      <c r="CK902">
        <v>0</v>
      </c>
      <c r="CL902">
        <v>0</v>
      </c>
      <c r="CM902">
        <v>0</v>
      </c>
      <c r="CN902">
        <v>0</v>
      </c>
      <c r="CO902">
        <v>0</v>
      </c>
      <c r="CP902">
        <v>0</v>
      </c>
      <c r="CQ902">
        <v>0</v>
      </c>
      <c r="CR902">
        <v>0</v>
      </c>
      <c r="CS902">
        <v>0</v>
      </c>
      <c r="CT902">
        <v>0</v>
      </c>
      <c r="CU902">
        <v>0</v>
      </c>
      <c r="CV902">
        <v>0</v>
      </c>
      <c r="CW902">
        <v>0</v>
      </c>
      <c r="CX902">
        <v>0</v>
      </c>
      <c r="CY902">
        <v>0</v>
      </c>
      <c r="CZ902">
        <v>0</v>
      </c>
      <c r="DA902">
        <v>0</v>
      </c>
      <c r="DB902">
        <v>0</v>
      </c>
      <c r="DC902">
        <v>0</v>
      </c>
      <c r="DD902">
        <v>0</v>
      </c>
      <c r="DE902">
        <v>0</v>
      </c>
      <c r="DF902">
        <v>0</v>
      </c>
      <c r="DG902">
        <v>0</v>
      </c>
      <c r="DH902">
        <v>0</v>
      </c>
      <c r="DI902">
        <v>0</v>
      </c>
      <c r="DJ902">
        <v>0</v>
      </c>
      <c r="DK902">
        <v>0</v>
      </c>
      <c r="DL902">
        <v>0</v>
      </c>
      <c r="DM902">
        <v>0</v>
      </c>
      <c r="DN902">
        <v>0</v>
      </c>
      <c r="DO902">
        <v>0</v>
      </c>
      <c r="DP902">
        <v>0</v>
      </c>
      <c r="DQ902">
        <v>0</v>
      </c>
      <c r="DR902">
        <v>0</v>
      </c>
      <c r="DS902">
        <v>0</v>
      </c>
      <c r="DT902">
        <v>0</v>
      </c>
      <c r="DU902">
        <v>0</v>
      </c>
    </row>
    <row r="903" spans="2:125">
      <c r="B903" s="136">
        <v>894</v>
      </c>
      <c r="C903" s="138">
        <v>1</v>
      </c>
      <c r="D903" s="474">
        <v>4186.2320065942413</v>
      </c>
      <c r="E903" s="127">
        <v>174.7908002966779</v>
      </c>
      <c r="F903" s="447">
        <v>0.45824705154822321</v>
      </c>
      <c r="G903" s="127">
        <v>171.06709402112173</v>
      </c>
      <c r="H903" s="132">
        <v>62.684672460098142</v>
      </c>
      <c r="I903" s="456"/>
      <c r="J903" s="45"/>
      <c r="K903" s="45">
        <v>690</v>
      </c>
      <c r="L903" s="463"/>
      <c r="M903" s="456">
        <v>46.332630157470703</v>
      </c>
      <c r="N903" s="457"/>
      <c r="O903" s="456"/>
      <c r="P903" s="46"/>
      <c r="Q903" s="463">
        <v>90</v>
      </c>
      <c r="R903" s="449"/>
      <c r="S903" s="463"/>
      <c r="T903" s="480"/>
      <c r="U903" s="468"/>
      <c r="V903" s="449"/>
      <c r="W903" s="45">
        <v>2413.3154296875</v>
      </c>
      <c r="X903" s="463">
        <v>193.46644592285156</v>
      </c>
      <c r="Y903" s="449"/>
      <c r="Z903" s="45"/>
      <c r="AA903" s="468">
        <v>0.45008578839387653</v>
      </c>
      <c r="AB903" s="456"/>
      <c r="AC903" s="46"/>
      <c r="AD903" s="46"/>
      <c r="AE903" s="46"/>
      <c r="AF903" s="46"/>
      <c r="AG903" s="46"/>
      <c r="AH903" s="46"/>
      <c r="AI903" s="457"/>
      <c r="AJ903" s="138"/>
      <c r="AK903" s="745"/>
      <c r="AL903" s="54"/>
      <c r="AM903" s="468"/>
      <c r="AN903" s="449"/>
      <c r="AO903" s="45"/>
      <c r="AP903" s="45"/>
      <c r="AQ903" s="45"/>
      <c r="AR903" s="45"/>
      <c r="AS903" s="45"/>
      <c r="AT903" s="45"/>
      <c r="AU903" s="463"/>
      <c r="AV903" s="449"/>
      <c r="AW903" s="45"/>
      <c r="AX903" s="45"/>
      <c r="AY903" s="45"/>
      <c r="AZ903" s="45"/>
      <c r="BA903" s="45"/>
      <c r="BB903" s="45"/>
      <c r="BC903" s="463"/>
      <c r="BD903" s="456"/>
      <c r="BE903" s="46"/>
      <c r="BF903" s="46"/>
      <c r="BG903" s="46"/>
      <c r="BH903" s="46"/>
      <c r="BI903" s="46"/>
      <c r="BJ903" s="457"/>
      <c r="BK903" s="449">
        <v>0</v>
      </c>
      <c r="BL903" s="45"/>
      <c r="BM903" s="45"/>
      <c r="BN903" s="45"/>
      <c r="BO903" s="45"/>
      <c r="BP903" s="45"/>
      <c r="BQ903" s="45"/>
      <c r="BR903" s="45"/>
      <c r="BS903" s="45"/>
      <c r="BT903" s="45"/>
      <c r="BU903" s="45"/>
      <c r="BV903" s="45"/>
      <c r="BW903" s="45"/>
      <c r="BX903" s="45"/>
      <c r="BY903" s="45"/>
      <c r="BZ903" s="45"/>
      <c r="CA903" s="45"/>
      <c r="CB903" s="45"/>
      <c r="CC903" s="45"/>
      <c r="CD903" s="463"/>
      <c r="CE903">
        <v>0</v>
      </c>
      <c r="CF903">
        <v>0</v>
      </c>
      <c r="CG903">
        <v>0</v>
      </c>
      <c r="CH903">
        <v>0</v>
      </c>
      <c r="CI903">
        <v>0</v>
      </c>
      <c r="CJ903">
        <v>0</v>
      </c>
      <c r="CK903">
        <v>0</v>
      </c>
      <c r="CL903">
        <v>0</v>
      </c>
      <c r="CM903">
        <v>0</v>
      </c>
      <c r="CN903">
        <v>0</v>
      </c>
      <c r="CO903">
        <v>0</v>
      </c>
      <c r="CP903">
        <v>0</v>
      </c>
      <c r="CQ903">
        <v>0</v>
      </c>
      <c r="CR903">
        <v>0</v>
      </c>
      <c r="CS903">
        <v>0</v>
      </c>
      <c r="CT903">
        <v>0</v>
      </c>
      <c r="CU903">
        <v>0</v>
      </c>
      <c r="CV903">
        <v>0</v>
      </c>
      <c r="CW903">
        <v>0</v>
      </c>
      <c r="CX903">
        <v>0</v>
      </c>
      <c r="CY903">
        <v>0</v>
      </c>
      <c r="CZ903">
        <v>0</v>
      </c>
      <c r="DA903">
        <v>0</v>
      </c>
      <c r="DB903">
        <v>0</v>
      </c>
      <c r="DC903">
        <v>0</v>
      </c>
      <c r="DD903">
        <v>0</v>
      </c>
      <c r="DE903">
        <v>0</v>
      </c>
      <c r="DF903">
        <v>0</v>
      </c>
      <c r="DG903">
        <v>0</v>
      </c>
      <c r="DH903">
        <v>0</v>
      </c>
      <c r="DI903">
        <v>0</v>
      </c>
      <c r="DJ903">
        <v>0</v>
      </c>
      <c r="DK903">
        <v>0</v>
      </c>
      <c r="DL903">
        <v>0</v>
      </c>
      <c r="DM903">
        <v>0</v>
      </c>
      <c r="DN903">
        <v>0</v>
      </c>
      <c r="DO903">
        <v>0</v>
      </c>
      <c r="DP903">
        <v>0</v>
      </c>
      <c r="DQ903">
        <v>0</v>
      </c>
      <c r="DR903">
        <v>0</v>
      </c>
      <c r="DS903">
        <v>0</v>
      </c>
      <c r="DT903">
        <v>0</v>
      </c>
      <c r="DU903">
        <v>0</v>
      </c>
    </row>
    <row r="904" spans="2:125">
      <c r="B904" s="136">
        <v>895</v>
      </c>
      <c r="C904" s="138">
        <v>1</v>
      </c>
      <c r="D904" s="474">
        <v>3186.080716106374</v>
      </c>
      <c r="E904" s="127">
        <v>228.42485348730827</v>
      </c>
      <c r="F904" s="447">
        <v>0.396955616373456</v>
      </c>
      <c r="G904" s="127">
        <v>129.01782410742942</v>
      </c>
      <c r="H904" s="132">
        <v>48.79395247206439</v>
      </c>
      <c r="I904" s="456"/>
      <c r="J904" s="45"/>
      <c r="K904" s="45">
        <v>500</v>
      </c>
      <c r="L904" s="463"/>
      <c r="M904" s="456">
        <v>33.462581634521484</v>
      </c>
      <c r="N904" s="457"/>
      <c r="O904" s="456"/>
      <c r="P904" s="46"/>
      <c r="Q904" s="463">
        <v>63.084400177001953</v>
      </c>
      <c r="R904" s="449"/>
      <c r="S904" s="463"/>
      <c r="T904" s="480"/>
      <c r="U904" s="468"/>
      <c r="V904" s="449"/>
      <c r="W904" s="45">
        <v>1440.6090087890625</v>
      </c>
      <c r="X904" s="463">
        <v>121.92707824707031</v>
      </c>
      <c r="Y904" s="449"/>
      <c r="Z904" s="45"/>
      <c r="AA904" s="468">
        <v>0.38661717385975747</v>
      </c>
      <c r="AB904" s="456"/>
      <c r="AC904" s="46"/>
      <c r="AD904" s="46"/>
      <c r="AE904" s="46"/>
      <c r="AF904" s="46"/>
      <c r="AG904" s="46"/>
      <c r="AH904" s="46"/>
      <c r="AI904" s="457"/>
      <c r="AJ904" s="138"/>
      <c r="AK904" s="745"/>
      <c r="AL904" s="54"/>
      <c r="AM904" s="468"/>
      <c r="AN904" s="449"/>
      <c r="AO904" s="45"/>
      <c r="AP904" s="45"/>
      <c r="AQ904" s="45"/>
      <c r="AR904" s="45"/>
      <c r="AS904" s="45"/>
      <c r="AT904" s="45"/>
      <c r="AU904" s="463"/>
      <c r="AV904" s="449"/>
      <c r="AW904" s="45"/>
      <c r="AX904" s="45"/>
      <c r="AY904" s="45"/>
      <c r="AZ904" s="45"/>
      <c r="BA904" s="45"/>
      <c r="BB904" s="45"/>
      <c r="BC904" s="463"/>
      <c r="BD904" s="456"/>
      <c r="BE904" s="46"/>
      <c r="BF904" s="46"/>
      <c r="BG904" s="46"/>
      <c r="BH904" s="46"/>
      <c r="BI904" s="46"/>
      <c r="BJ904" s="457"/>
      <c r="BK904" s="449">
        <v>0</v>
      </c>
      <c r="BL904" s="45"/>
      <c r="BM904" s="45"/>
      <c r="BN904" s="45"/>
      <c r="BO904" s="45"/>
      <c r="BP904" s="45"/>
      <c r="BQ904" s="45"/>
      <c r="BR904" s="45"/>
      <c r="BS904" s="45"/>
      <c r="BT904" s="45"/>
      <c r="BU904" s="45"/>
      <c r="BV904" s="45"/>
      <c r="BW904" s="45"/>
      <c r="BX904" s="45"/>
      <c r="BY904" s="45"/>
      <c r="BZ904" s="45"/>
      <c r="CA904" s="45"/>
      <c r="CB904" s="45"/>
      <c r="CC904" s="45"/>
      <c r="CD904" s="463"/>
      <c r="CE904">
        <v>0</v>
      </c>
      <c r="CF904">
        <v>0</v>
      </c>
      <c r="CG904">
        <v>0</v>
      </c>
      <c r="CH904">
        <v>0</v>
      </c>
      <c r="CI904">
        <v>0</v>
      </c>
      <c r="CJ904">
        <v>0</v>
      </c>
      <c r="CK904">
        <v>0</v>
      </c>
      <c r="CL904">
        <v>0</v>
      </c>
      <c r="CM904">
        <v>0</v>
      </c>
      <c r="CN904">
        <v>0</v>
      </c>
      <c r="CO904">
        <v>0</v>
      </c>
      <c r="CP904">
        <v>0</v>
      </c>
      <c r="CQ904">
        <v>0</v>
      </c>
      <c r="CR904">
        <v>0</v>
      </c>
      <c r="CS904">
        <v>0</v>
      </c>
      <c r="CT904">
        <v>0</v>
      </c>
      <c r="CU904">
        <v>0</v>
      </c>
      <c r="CV904">
        <v>0</v>
      </c>
      <c r="CW904">
        <v>0</v>
      </c>
      <c r="CX904">
        <v>0</v>
      </c>
      <c r="CY904">
        <v>0</v>
      </c>
      <c r="CZ904">
        <v>0</v>
      </c>
      <c r="DA904">
        <v>0</v>
      </c>
      <c r="DB904">
        <v>0</v>
      </c>
      <c r="DC904">
        <v>0</v>
      </c>
      <c r="DD904">
        <v>0</v>
      </c>
      <c r="DE904">
        <v>0</v>
      </c>
      <c r="DF904">
        <v>0</v>
      </c>
      <c r="DG904">
        <v>0</v>
      </c>
      <c r="DH904">
        <v>0</v>
      </c>
      <c r="DI904">
        <v>0</v>
      </c>
      <c r="DJ904">
        <v>0</v>
      </c>
      <c r="DK904">
        <v>0</v>
      </c>
      <c r="DL904">
        <v>0</v>
      </c>
      <c r="DM904">
        <v>0</v>
      </c>
      <c r="DN904">
        <v>0</v>
      </c>
      <c r="DO904">
        <v>0</v>
      </c>
      <c r="DP904">
        <v>0</v>
      </c>
      <c r="DQ904">
        <v>0</v>
      </c>
      <c r="DR904">
        <v>0</v>
      </c>
      <c r="DS904">
        <v>0</v>
      </c>
      <c r="DT904">
        <v>0</v>
      </c>
      <c r="DU904">
        <v>0</v>
      </c>
    </row>
    <row r="905" spans="2:125">
      <c r="B905" s="136">
        <v>896</v>
      </c>
      <c r="C905" s="138">
        <v>1</v>
      </c>
      <c r="D905" s="474">
        <v>3724.4855645435828</v>
      </c>
      <c r="E905" s="127">
        <v>268.30169622318073</v>
      </c>
      <c r="F905" s="447">
        <v>0.42168737379242699</v>
      </c>
      <c r="G905" s="127">
        <v>148.25410978972712</v>
      </c>
      <c r="H905" s="132">
        <v>54.17629144596043</v>
      </c>
      <c r="I905" s="456"/>
      <c r="J905" s="45"/>
      <c r="K905" s="45">
        <v>580</v>
      </c>
      <c r="L905" s="463"/>
      <c r="M905" s="456">
        <v>38.005084991455078</v>
      </c>
      <c r="N905" s="457"/>
      <c r="O905" s="456"/>
      <c r="P905" s="46"/>
      <c r="Q905" s="463">
        <v>73.744819641113281</v>
      </c>
      <c r="R905" s="449"/>
      <c r="S905" s="463"/>
      <c r="T905" s="480"/>
      <c r="U905" s="468"/>
      <c r="V905" s="449"/>
      <c r="W905" s="45">
        <v>1787.840576171875</v>
      </c>
      <c r="X905" s="463">
        <v>147.51669311523437</v>
      </c>
      <c r="Y905" s="449"/>
      <c r="Z905" s="45"/>
      <c r="AA905" s="468">
        <v>0.41271063139499853</v>
      </c>
      <c r="AB905" s="456"/>
      <c r="AC905" s="46"/>
      <c r="AD905" s="46"/>
      <c r="AE905" s="46"/>
      <c r="AF905" s="46"/>
      <c r="AG905" s="46"/>
      <c r="AH905" s="46"/>
      <c r="AI905" s="457"/>
      <c r="AJ905" s="138"/>
      <c r="AK905" s="745"/>
      <c r="AL905" s="54"/>
      <c r="AM905" s="468"/>
      <c r="AN905" s="449"/>
      <c r="AO905" s="45"/>
      <c r="AP905" s="45"/>
      <c r="AQ905" s="45"/>
      <c r="AR905" s="45"/>
      <c r="AS905" s="45"/>
      <c r="AT905" s="45"/>
      <c r="AU905" s="463"/>
      <c r="AV905" s="449"/>
      <c r="AW905" s="45"/>
      <c r="AX905" s="45"/>
      <c r="AY905" s="45"/>
      <c r="AZ905" s="45"/>
      <c r="BA905" s="45"/>
      <c r="BB905" s="45"/>
      <c r="BC905" s="463"/>
      <c r="BD905" s="456"/>
      <c r="BE905" s="46"/>
      <c r="BF905" s="46"/>
      <c r="BG905" s="46"/>
      <c r="BH905" s="46"/>
      <c r="BI905" s="46"/>
      <c r="BJ905" s="457"/>
      <c r="BK905" s="449">
        <v>0</v>
      </c>
      <c r="BL905" s="45"/>
      <c r="BM905" s="45"/>
      <c r="BN905" s="45"/>
      <c r="BO905" s="45"/>
      <c r="BP905" s="45"/>
      <c r="BQ905" s="45"/>
      <c r="BR905" s="45"/>
      <c r="BS905" s="45"/>
      <c r="BT905" s="45"/>
      <c r="BU905" s="45"/>
      <c r="BV905" s="45"/>
      <c r="BW905" s="45"/>
      <c r="BX905" s="45"/>
      <c r="BY905" s="45"/>
      <c r="BZ905" s="45"/>
      <c r="CA905" s="45"/>
      <c r="CB905" s="45"/>
      <c r="CC905" s="45"/>
      <c r="CD905" s="463"/>
      <c r="CE905">
        <v>0</v>
      </c>
      <c r="CF905">
        <v>0</v>
      </c>
      <c r="CG905">
        <v>0</v>
      </c>
      <c r="CH905">
        <v>0</v>
      </c>
      <c r="CI905">
        <v>0</v>
      </c>
      <c r="CJ905">
        <v>0</v>
      </c>
      <c r="CK905">
        <v>0</v>
      </c>
      <c r="CL905">
        <v>0</v>
      </c>
      <c r="CM905">
        <v>0</v>
      </c>
      <c r="CN905">
        <v>0</v>
      </c>
      <c r="CO905">
        <v>0</v>
      </c>
      <c r="CP905">
        <v>0</v>
      </c>
      <c r="CQ905">
        <v>0</v>
      </c>
      <c r="CR905">
        <v>0</v>
      </c>
      <c r="CS905">
        <v>0</v>
      </c>
      <c r="CT905">
        <v>0</v>
      </c>
      <c r="CU905">
        <v>0</v>
      </c>
      <c r="CV905">
        <v>0</v>
      </c>
      <c r="CW905">
        <v>0</v>
      </c>
      <c r="CX905">
        <v>0</v>
      </c>
      <c r="CY905">
        <v>0</v>
      </c>
      <c r="CZ905">
        <v>0</v>
      </c>
      <c r="DA905">
        <v>0</v>
      </c>
      <c r="DB905">
        <v>0</v>
      </c>
      <c r="DC905">
        <v>0</v>
      </c>
      <c r="DD905">
        <v>0</v>
      </c>
      <c r="DE905">
        <v>0</v>
      </c>
      <c r="DF905">
        <v>0</v>
      </c>
      <c r="DG905">
        <v>0</v>
      </c>
      <c r="DH905">
        <v>0</v>
      </c>
      <c r="DI905">
        <v>0</v>
      </c>
      <c r="DJ905">
        <v>0</v>
      </c>
      <c r="DK905">
        <v>0</v>
      </c>
      <c r="DL905">
        <v>0</v>
      </c>
      <c r="DM905">
        <v>0</v>
      </c>
      <c r="DN905">
        <v>0</v>
      </c>
      <c r="DO905">
        <v>0</v>
      </c>
      <c r="DP905">
        <v>0</v>
      </c>
      <c r="DQ905">
        <v>0</v>
      </c>
      <c r="DR905">
        <v>0</v>
      </c>
      <c r="DS905">
        <v>0</v>
      </c>
      <c r="DT905">
        <v>0</v>
      </c>
      <c r="DU905">
        <v>0</v>
      </c>
    </row>
    <row r="906" spans="2:125">
      <c r="B906" s="136">
        <v>897</v>
      </c>
      <c r="C906" s="138">
        <v>1</v>
      </c>
      <c r="D906" s="474">
        <v>3679.6592925653549</v>
      </c>
      <c r="E906" s="127">
        <v>191.96359028540044</v>
      </c>
      <c r="F906" s="447">
        <v>0.35285806412412285</v>
      </c>
      <c r="G906" s="127">
        <v>119.00704916198811</v>
      </c>
      <c r="H906" s="132">
        <v>60.603257009734094</v>
      </c>
      <c r="I906" s="456"/>
      <c r="J906" s="45"/>
      <c r="K906" s="45">
        <v>500</v>
      </c>
      <c r="L906" s="463"/>
      <c r="M906" s="456">
        <v>26.32574462890625</v>
      </c>
      <c r="N906" s="457"/>
      <c r="O906" s="456"/>
      <c r="P906" s="46"/>
      <c r="Q906" s="463">
        <v>72.857261657714844</v>
      </c>
      <c r="R906" s="449"/>
      <c r="S906" s="463"/>
      <c r="T906" s="480"/>
      <c r="U906" s="468"/>
      <c r="V906" s="449"/>
      <c r="W906" s="45">
        <v>1257.5347900390625</v>
      </c>
      <c r="X906" s="463">
        <v>108.61126708984375</v>
      </c>
      <c r="Y906" s="449"/>
      <c r="Z906" s="45"/>
      <c r="AA906" s="468">
        <v>0.34414607240596212</v>
      </c>
      <c r="AB906" s="456"/>
      <c r="AC906" s="46"/>
      <c r="AD906" s="46"/>
      <c r="AE906" s="46"/>
      <c r="AF906" s="46"/>
      <c r="AG906" s="46"/>
      <c r="AH906" s="46"/>
      <c r="AI906" s="457"/>
      <c r="AJ906" s="138"/>
      <c r="AK906" s="745"/>
      <c r="AL906" s="54"/>
      <c r="AM906" s="468"/>
      <c r="AN906" s="449"/>
      <c r="AO906" s="45"/>
      <c r="AP906" s="45"/>
      <c r="AQ906" s="45"/>
      <c r="AR906" s="45"/>
      <c r="AS906" s="45"/>
      <c r="AT906" s="45"/>
      <c r="AU906" s="463"/>
      <c r="AV906" s="449"/>
      <c r="AW906" s="45"/>
      <c r="AX906" s="45"/>
      <c r="AY906" s="45"/>
      <c r="AZ906" s="45"/>
      <c r="BA906" s="45"/>
      <c r="BB906" s="45"/>
      <c r="BC906" s="463"/>
      <c r="BD906" s="456"/>
      <c r="BE906" s="46"/>
      <c r="BF906" s="46"/>
      <c r="BG906" s="46"/>
      <c r="BH906" s="46"/>
      <c r="BI906" s="46"/>
      <c r="BJ906" s="457"/>
      <c r="BK906" s="449">
        <v>0</v>
      </c>
      <c r="BL906" s="45"/>
      <c r="BM906" s="45"/>
      <c r="BN906" s="45"/>
      <c r="BO906" s="45"/>
      <c r="BP906" s="45"/>
      <c r="BQ906" s="45"/>
      <c r="BR906" s="45"/>
      <c r="BS906" s="45"/>
      <c r="BT906" s="45"/>
      <c r="BU906" s="45"/>
      <c r="BV906" s="45"/>
      <c r="BW906" s="45"/>
      <c r="BX906" s="45"/>
      <c r="BY906" s="45"/>
      <c r="BZ906" s="45"/>
      <c r="CA906" s="45"/>
      <c r="CB906" s="45"/>
      <c r="CC906" s="45"/>
      <c r="CD906" s="463"/>
      <c r="CE906">
        <v>0</v>
      </c>
      <c r="CF906">
        <v>0</v>
      </c>
      <c r="CG906">
        <v>0</v>
      </c>
      <c r="CH906">
        <v>0</v>
      </c>
      <c r="CI906">
        <v>0</v>
      </c>
      <c r="CJ906">
        <v>0</v>
      </c>
      <c r="CK906">
        <v>0</v>
      </c>
      <c r="CL906">
        <v>0</v>
      </c>
      <c r="CM906">
        <v>0</v>
      </c>
      <c r="CN906">
        <v>0</v>
      </c>
      <c r="CO906">
        <v>0</v>
      </c>
      <c r="CP906">
        <v>0</v>
      </c>
      <c r="CQ906">
        <v>0</v>
      </c>
      <c r="CR906">
        <v>0</v>
      </c>
      <c r="CS906">
        <v>0</v>
      </c>
      <c r="CT906">
        <v>0</v>
      </c>
      <c r="CU906">
        <v>0</v>
      </c>
      <c r="CV906">
        <v>0</v>
      </c>
      <c r="CW906">
        <v>0</v>
      </c>
      <c r="CX906">
        <v>0</v>
      </c>
      <c r="CY906">
        <v>0</v>
      </c>
      <c r="CZ906">
        <v>0</v>
      </c>
      <c r="DA906">
        <v>0</v>
      </c>
      <c r="DB906">
        <v>0</v>
      </c>
      <c r="DC906">
        <v>0</v>
      </c>
      <c r="DD906">
        <v>0</v>
      </c>
      <c r="DE906">
        <v>0</v>
      </c>
      <c r="DF906">
        <v>0</v>
      </c>
      <c r="DG906">
        <v>0</v>
      </c>
      <c r="DH906">
        <v>0</v>
      </c>
      <c r="DI906">
        <v>0</v>
      </c>
      <c r="DJ906">
        <v>0</v>
      </c>
      <c r="DK906">
        <v>0</v>
      </c>
      <c r="DL906">
        <v>0</v>
      </c>
      <c r="DM906">
        <v>0</v>
      </c>
      <c r="DN906">
        <v>0</v>
      </c>
      <c r="DO906">
        <v>0</v>
      </c>
      <c r="DP906">
        <v>0</v>
      </c>
      <c r="DQ906">
        <v>0</v>
      </c>
      <c r="DR906">
        <v>0</v>
      </c>
      <c r="DS906">
        <v>0</v>
      </c>
      <c r="DT906">
        <v>0</v>
      </c>
      <c r="DU906">
        <v>0</v>
      </c>
    </row>
    <row r="907" spans="2:125">
      <c r="B907" s="136">
        <v>898</v>
      </c>
      <c r="C907" s="138">
        <v>1</v>
      </c>
      <c r="D907" s="474">
        <v>2732.7090952509084</v>
      </c>
      <c r="E907" s="127">
        <v>249.38348327933761</v>
      </c>
      <c r="F907" s="447">
        <v>0.50367022153070962</v>
      </c>
      <c r="G907" s="127">
        <v>93.424588651053966</v>
      </c>
      <c r="H907" s="132">
        <v>50.291271775300373</v>
      </c>
      <c r="I907" s="456"/>
      <c r="J907" s="45"/>
      <c r="K907" s="45">
        <v>400</v>
      </c>
      <c r="L907" s="463"/>
      <c r="M907" s="456">
        <v>48.439914703369141</v>
      </c>
      <c r="N907" s="457"/>
      <c r="O907" s="456"/>
      <c r="P907" s="46"/>
      <c r="Q907" s="463">
        <v>54.107643127441406</v>
      </c>
      <c r="R907" s="449"/>
      <c r="S907" s="463"/>
      <c r="T907" s="480"/>
      <c r="U907" s="468"/>
      <c r="V907" s="449"/>
      <c r="W907" s="45">
        <v>1809.13818359375</v>
      </c>
      <c r="X907" s="463">
        <v>148.32441711425781</v>
      </c>
      <c r="Y907" s="449"/>
      <c r="Z907" s="45"/>
      <c r="AA907" s="468">
        <v>0.4908355570244996</v>
      </c>
      <c r="AB907" s="456"/>
      <c r="AC907" s="46"/>
      <c r="AD907" s="46"/>
      <c r="AE907" s="46"/>
      <c r="AF907" s="46"/>
      <c r="AG907" s="46"/>
      <c r="AH907" s="46"/>
      <c r="AI907" s="457"/>
      <c r="AJ907" s="138"/>
      <c r="AK907" s="745"/>
      <c r="AL907" s="54"/>
      <c r="AM907" s="468"/>
      <c r="AN907" s="449"/>
      <c r="AO907" s="45"/>
      <c r="AP907" s="45"/>
      <c r="AQ907" s="45"/>
      <c r="AR907" s="45"/>
      <c r="AS907" s="45"/>
      <c r="AT907" s="45"/>
      <c r="AU907" s="463"/>
      <c r="AV907" s="449"/>
      <c r="AW907" s="45"/>
      <c r="AX907" s="45"/>
      <c r="AY907" s="45"/>
      <c r="AZ907" s="45"/>
      <c r="BA907" s="45"/>
      <c r="BB907" s="45"/>
      <c r="BC907" s="463"/>
      <c r="BD907" s="456"/>
      <c r="BE907" s="46"/>
      <c r="BF907" s="46"/>
      <c r="BG907" s="46"/>
      <c r="BH907" s="46"/>
      <c r="BI907" s="46"/>
      <c r="BJ907" s="457"/>
      <c r="BK907" s="449">
        <v>0</v>
      </c>
      <c r="BL907" s="45"/>
      <c r="BM907" s="45"/>
      <c r="BN907" s="45"/>
      <c r="BO907" s="45"/>
      <c r="BP907" s="45"/>
      <c r="BQ907" s="45"/>
      <c r="BR907" s="45"/>
      <c r="BS907" s="45"/>
      <c r="BT907" s="45"/>
      <c r="BU907" s="45"/>
      <c r="BV907" s="45"/>
      <c r="BW907" s="45"/>
      <c r="BX907" s="45"/>
      <c r="BY907" s="45"/>
      <c r="BZ907" s="45"/>
      <c r="CA907" s="45"/>
      <c r="CB907" s="45"/>
      <c r="CC907" s="45"/>
      <c r="CD907" s="463"/>
      <c r="CE907">
        <v>0</v>
      </c>
      <c r="CF907">
        <v>0</v>
      </c>
      <c r="CG907">
        <v>0</v>
      </c>
      <c r="CH907">
        <v>0</v>
      </c>
      <c r="CI907">
        <v>0</v>
      </c>
      <c r="CJ907">
        <v>0</v>
      </c>
      <c r="CK907">
        <v>0</v>
      </c>
      <c r="CL907">
        <v>0</v>
      </c>
      <c r="CM907">
        <v>0</v>
      </c>
      <c r="CN907">
        <v>0</v>
      </c>
      <c r="CO907">
        <v>0</v>
      </c>
      <c r="CP907">
        <v>0</v>
      </c>
      <c r="CQ907">
        <v>0</v>
      </c>
      <c r="CR907">
        <v>0</v>
      </c>
      <c r="CS907">
        <v>0</v>
      </c>
      <c r="CT907">
        <v>0</v>
      </c>
      <c r="CU907">
        <v>0</v>
      </c>
      <c r="CV907">
        <v>0</v>
      </c>
      <c r="CW907">
        <v>0</v>
      </c>
      <c r="CX907">
        <v>0</v>
      </c>
      <c r="CY907">
        <v>0</v>
      </c>
      <c r="CZ907">
        <v>0</v>
      </c>
      <c r="DA907">
        <v>0</v>
      </c>
      <c r="DB907">
        <v>0</v>
      </c>
      <c r="DC907">
        <v>0</v>
      </c>
      <c r="DD907">
        <v>0</v>
      </c>
      <c r="DE907">
        <v>0</v>
      </c>
      <c r="DF907">
        <v>0</v>
      </c>
      <c r="DG907">
        <v>0</v>
      </c>
      <c r="DH907">
        <v>0</v>
      </c>
      <c r="DI907">
        <v>0</v>
      </c>
      <c r="DJ907">
        <v>0</v>
      </c>
      <c r="DK907">
        <v>0</v>
      </c>
      <c r="DL907">
        <v>0</v>
      </c>
      <c r="DM907">
        <v>0</v>
      </c>
      <c r="DN907">
        <v>0</v>
      </c>
      <c r="DO907">
        <v>0</v>
      </c>
      <c r="DP907">
        <v>0</v>
      </c>
      <c r="DQ907">
        <v>0</v>
      </c>
      <c r="DR907">
        <v>0</v>
      </c>
      <c r="DS907">
        <v>0</v>
      </c>
      <c r="DT907">
        <v>0</v>
      </c>
      <c r="DU907">
        <v>0</v>
      </c>
    </row>
    <row r="908" spans="2:125">
      <c r="B908" s="136">
        <v>899</v>
      </c>
      <c r="C908" s="138">
        <v>1</v>
      </c>
      <c r="D908" s="474">
        <v>2941.5580309875049</v>
      </c>
      <c r="E908" s="127">
        <v>237.43881977476454</v>
      </c>
      <c r="F908" s="447">
        <v>0.37126851925674309</v>
      </c>
      <c r="G908" s="127">
        <v>117.05061935476104</v>
      </c>
      <c r="H908" s="132">
        <v>47.111056223075146</v>
      </c>
      <c r="I908" s="456"/>
      <c r="J908" s="45"/>
      <c r="K908" s="45">
        <v>450</v>
      </c>
      <c r="L908" s="463"/>
      <c r="M908" s="456">
        <v>30.431133270263672</v>
      </c>
      <c r="N908" s="457"/>
      <c r="O908" s="456"/>
      <c r="P908" s="46"/>
      <c r="Q908" s="463">
        <v>58.242851257324219</v>
      </c>
      <c r="R908" s="449"/>
      <c r="S908" s="463"/>
      <c r="T908" s="480"/>
      <c r="U908" s="468"/>
      <c r="V908" s="449"/>
      <c r="W908" s="45">
        <v>1230.00048828125</v>
      </c>
      <c r="X908" s="463">
        <v>106.424560546875</v>
      </c>
      <c r="Y908" s="449"/>
      <c r="Z908" s="45"/>
      <c r="AA908" s="468">
        <v>0.36024532337090526</v>
      </c>
      <c r="AB908" s="456"/>
      <c r="AC908" s="46"/>
      <c r="AD908" s="46"/>
      <c r="AE908" s="46"/>
      <c r="AF908" s="46"/>
      <c r="AG908" s="46"/>
      <c r="AH908" s="46"/>
      <c r="AI908" s="457"/>
      <c r="AJ908" s="138"/>
      <c r="AK908" s="745"/>
      <c r="AL908" s="54"/>
      <c r="AM908" s="468"/>
      <c r="AN908" s="449"/>
      <c r="AO908" s="45"/>
      <c r="AP908" s="45"/>
      <c r="AQ908" s="45"/>
      <c r="AR908" s="45"/>
      <c r="AS908" s="45"/>
      <c r="AT908" s="45"/>
      <c r="AU908" s="463"/>
      <c r="AV908" s="449"/>
      <c r="AW908" s="45"/>
      <c r="AX908" s="45"/>
      <c r="AY908" s="45"/>
      <c r="AZ908" s="45"/>
      <c r="BA908" s="45"/>
      <c r="BB908" s="45"/>
      <c r="BC908" s="463"/>
      <c r="BD908" s="456"/>
      <c r="BE908" s="46"/>
      <c r="BF908" s="46"/>
      <c r="BG908" s="46"/>
      <c r="BH908" s="46"/>
      <c r="BI908" s="46"/>
      <c r="BJ908" s="457"/>
      <c r="BK908" s="449">
        <v>0</v>
      </c>
      <c r="BL908" s="45"/>
      <c r="BM908" s="45"/>
      <c r="BN908" s="45"/>
      <c r="BO908" s="45"/>
      <c r="BP908" s="45"/>
      <c r="BQ908" s="45"/>
      <c r="BR908" s="45"/>
      <c r="BS908" s="45"/>
      <c r="BT908" s="45"/>
      <c r="BU908" s="45"/>
      <c r="BV908" s="45"/>
      <c r="BW908" s="45"/>
      <c r="BX908" s="45"/>
      <c r="BY908" s="45"/>
      <c r="BZ908" s="45"/>
      <c r="CA908" s="45"/>
      <c r="CB908" s="45"/>
      <c r="CC908" s="45"/>
      <c r="CD908" s="463"/>
      <c r="CE908">
        <v>0</v>
      </c>
      <c r="CF908">
        <v>0</v>
      </c>
      <c r="CG908">
        <v>0</v>
      </c>
      <c r="CH908">
        <v>0</v>
      </c>
      <c r="CI908">
        <v>0</v>
      </c>
      <c r="CJ908">
        <v>0</v>
      </c>
      <c r="CK908">
        <v>0</v>
      </c>
      <c r="CL908">
        <v>0</v>
      </c>
      <c r="CM908">
        <v>0</v>
      </c>
      <c r="CN908">
        <v>0</v>
      </c>
      <c r="CO908">
        <v>0</v>
      </c>
      <c r="CP908">
        <v>0</v>
      </c>
      <c r="CQ908">
        <v>0</v>
      </c>
      <c r="CR908">
        <v>0</v>
      </c>
      <c r="CS908">
        <v>0</v>
      </c>
      <c r="CT908">
        <v>0</v>
      </c>
      <c r="CU908">
        <v>0</v>
      </c>
      <c r="CV908">
        <v>0</v>
      </c>
      <c r="CW908">
        <v>0</v>
      </c>
      <c r="CX908">
        <v>0</v>
      </c>
      <c r="CY908">
        <v>0</v>
      </c>
      <c r="CZ908">
        <v>0</v>
      </c>
      <c r="DA908">
        <v>0</v>
      </c>
      <c r="DB908">
        <v>0</v>
      </c>
      <c r="DC908">
        <v>0</v>
      </c>
      <c r="DD908">
        <v>0</v>
      </c>
      <c r="DE908">
        <v>0</v>
      </c>
      <c r="DF908">
        <v>0</v>
      </c>
      <c r="DG908">
        <v>0</v>
      </c>
      <c r="DH908">
        <v>0</v>
      </c>
      <c r="DI908">
        <v>0</v>
      </c>
      <c r="DJ908">
        <v>0</v>
      </c>
      <c r="DK908">
        <v>0</v>
      </c>
      <c r="DL908">
        <v>0</v>
      </c>
      <c r="DM908">
        <v>0</v>
      </c>
      <c r="DN908">
        <v>0</v>
      </c>
      <c r="DO908">
        <v>0</v>
      </c>
      <c r="DP908">
        <v>0</v>
      </c>
      <c r="DQ908">
        <v>0</v>
      </c>
      <c r="DR908">
        <v>0</v>
      </c>
      <c r="DS908">
        <v>0</v>
      </c>
      <c r="DT908">
        <v>0</v>
      </c>
      <c r="DU908">
        <v>0</v>
      </c>
    </row>
    <row r="909" spans="2:125">
      <c r="B909" s="136">
        <v>900</v>
      </c>
      <c r="C909" s="138">
        <v>1</v>
      </c>
      <c r="D909" s="474">
        <v>4262.3477988072873</v>
      </c>
      <c r="E909" s="127">
        <v>208.78171832084462</v>
      </c>
      <c r="F909" s="447">
        <v>0.45011811855708894</v>
      </c>
      <c r="G909" s="127">
        <v>148.83471727015421</v>
      </c>
      <c r="H909" s="132">
        <v>62.748643422811867</v>
      </c>
      <c r="I909" s="456"/>
      <c r="J909" s="45"/>
      <c r="K909" s="45">
        <v>620</v>
      </c>
      <c r="L909" s="463"/>
      <c r="M909" s="456">
        <v>41.818290710449219</v>
      </c>
      <c r="N909" s="457"/>
      <c r="O909" s="456"/>
      <c r="P909" s="46"/>
      <c r="Q909" s="463">
        <v>84.394485473632812</v>
      </c>
      <c r="R909" s="449"/>
      <c r="S909" s="463"/>
      <c r="T909" s="480"/>
      <c r="U909" s="468"/>
      <c r="V909" s="449"/>
      <c r="W909" s="45">
        <v>2102.75732421875</v>
      </c>
      <c r="X909" s="463">
        <v>170.58544921875</v>
      </c>
      <c r="Y909" s="449"/>
      <c r="Z909" s="45"/>
      <c r="AA909" s="468">
        <v>0.44214073989722069</v>
      </c>
      <c r="AB909" s="456"/>
      <c r="AC909" s="46"/>
      <c r="AD909" s="46"/>
      <c r="AE909" s="46"/>
      <c r="AF909" s="46"/>
      <c r="AG909" s="46"/>
      <c r="AH909" s="46"/>
      <c r="AI909" s="457"/>
      <c r="AJ909" s="138"/>
      <c r="AK909" s="745"/>
      <c r="AL909" s="54"/>
      <c r="AM909" s="468"/>
      <c r="AN909" s="449"/>
      <c r="AO909" s="45"/>
      <c r="AP909" s="45"/>
      <c r="AQ909" s="45"/>
      <c r="AR909" s="45"/>
      <c r="AS909" s="45"/>
      <c r="AT909" s="45"/>
      <c r="AU909" s="463"/>
      <c r="AV909" s="449"/>
      <c r="AW909" s="45"/>
      <c r="AX909" s="45"/>
      <c r="AY909" s="45"/>
      <c r="AZ909" s="45"/>
      <c r="BA909" s="45"/>
      <c r="BB909" s="45"/>
      <c r="BC909" s="463"/>
      <c r="BD909" s="456"/>
      <c r="BE909" s="46"/>
      <c r="BF909" s="46"/>
      <c r="BG909" s="46"/>
      <c r="BH909" s="46"/>
      <c r="BI909" s="46"/>
      <c r="BJ909" s="457"/>
      <c r="BK909" s="449">
        <v>0</v>
      </c>
      <c r="BL909" s="45"/>
      <c r="BM909" s="45"/>
      <c r="BN909" s="45"/>
      <c r="BO909" s="45"/>
      <c r="BP909" s="45"/>
      <c r="BQ909" s="45"/>
      <c r="BR909" s="45"/>
      <c r="BS909" s="45"/>
      <c r="BT909" s="45"/>
      <c r="BU909" s="45"/>
      <c r="BV909" s="45"/>
      <c r="BW909" s="45"/>
      <c r="BX909" s="45"/>
      <c r="BY909" s="45"/>
      <c r="BZ909" s="45"/>
      <c r="CA909" s="45"/>
      <c r="CB909" s="45"/>
      <c r="CC909" s="45"/>
      <c r="CD909" s="463"/>
      <c r="CE909">
        <v>0</v>
      </c>
      <c r="CF909">
        <v>0</v>
      </c>
      <c r="CG909">
        <v>0</v>
      </c>
      <c r="CH909">
        <v>0</v>
      </c>
      <c r="CI909">
        <v>0</v>
      </c>
      <c r="CJ909">
        <v>0</v>
      </c>
      <c r="CK909">
        <v>0</v>
      </c>
      <c r="CL909">
        <v>0</v>
      </c>
      <c r="CM909">
        <v>0</v>
      </c>
      <c r="CN909">
        <v>0</v>
      </c>
      <c r="CO909">
        <v>0</v>
      </c>
      <c r="CP909">
        <v>0</v>
      </c>
      <c r="CQ909">
        <v>0</v>
      </c>
      <c r="CR909">
        <v>0</v>
      </c>
      <c r="CS909">
        <v>0</v>
      </c>
      <c r="CT909">
        <v>0</v>
      </c>
      <c r="CU909">
        <v>0</v>
      </c>
      <c r="CV909">
        <v>0</v>
      </c>
      <c r="CW909">
        <v>0</v>
      </c>
      <c r="CX909">
        <v>0</v>
      </c>
      <c r="CY909">
        <v>0</v>
      </c>
      <c r="CZ909">
        <v>0</v>
      </c>
      <c r="DA909">
        <v>0</v>
      </c>
      <c r="DB909">
        <v>0</v>
      </c>
      <c r="DC909">
        <v>0</v>
      </c>
      <c r="DD909">
        <v>0</v>
      </c>
      <c r="DE909">
        <v>0</v>
      </c>
      <c r="DF909">
        <v>0</v>
      </c>
      <c r="DG909">
        <v>0</v>
      </c>
      <c r="DH909">
        <v>0</v>
      </c>
      <c r="DI909">
        <v>0</v>
      </c>
      <c r="DJ909">
        <v>0</v>
      </c>
      <c r="DK909">
        <v>0</v>
      </c>
      <c r="DL909">
        <v>0</v>
      </c>
      <c r="DM909">
        <v>0</v>
      </c>
      <c r="DN909">
        <v>0</v>
      </c>
      <c r="DO909">
        <v>0</v>
      </c>
      <c r="DP909">
        <v>0</v>
      </c>
      <c r="DQ909">
        <v>0</v>
      </c>
      <c r="DR909">
        <v>0</v>
      </c>
      <c r="DS909">
        <v>0</v>
      </c>
      <c r="DT909">
        <v>0</v>
      </c>
      <c r="DU909">
        <v>0</v>
      </c>
    </row>
    <row r="910" spans="2:125">
      <c r="B910" s="136">
        <v>901</v>
      </c>
      <c r="C910" s="138">
        <v>1</v>
      </c>
      <c r="D910" s="474">
        <v>2585.7390775298559</v>
      </c>
      <c r="E910" s="127">
        <v>203.99251310149472</v>
      </c>
      <c r="F910" s="447">
        <v>0.37908130712073551</v>
      </c>
      <c r="G910" s="127">
        <v>93.816633334646539</v>
      </c>
      <c r="H910" s="132">
        <v>55.462394935173393</v>
      </c>
      <c r="I910" s="456"/>
      <c r="J910" s="45"/>
      <c r="K910" s="45">
        <v>400</v>
      </c>
      <c r="L910" s="463"/>
      <c r="M910" s="456">
        <v>27.826763153076172</v>
      </c>
      <c r="N910" s="457"/>
      <c r="O910" s="456"/>
      <c r="P910" s="46"/>
      <c r="Q910" s="463">
        <v>59.388317108154297</v>
      </c>
      <c r="R910" s="449"/>
      <c r="S910" s="463"/>
      <c r="T910" s="480"/>
      <c r="U910" s="468"/>
      <c r="V910" s="449"/>
      <c r="W910" s="45">
        <v>1137.7718505859375</v>
      </c>
      <c r="X910" s="463">
        <v>99.516738891601563</v>
      </c>
      <c r="Y910" s="449"/>
      <c r="Z910" s="45"/>
      <c r="AA910" s="468">
        <v>0.3664807990394871</v>
      </c>
      <c r="AB910" s="456"/>
      <c r="AC910" s="46"/>
      <c r="AD910" s="46"/>
      <c r="AE910" s="46"/>
      <c r="AF910" s="46"/>
      <c r="AG910" s="46"/>
      <c r="AH910" s="46"/>
      <c r="AI910" s="457"/>
      <c r="AJ910" s="138"/>
      <c r="AK910" s="745"/>
      <c r="AL910" s="54"/>
      <c r="AM910" s="468"/>
      <c r="AN910" s="449"/>
      <c r="AO910" s="45"/>
      <c r="AP910" s="45"/>
      <c r="AQ910" s="45"/>
      <c r="AR910" s="45"/>
      <c r="AS910" s="45"/>
      <c r="AT910" s="45"/>
      <c r="AU910" s="463"/>
      <c r="AV910" s="449"/>
      <c r="AW910" s="45"/>
      <c r="AX910" s="45"/>
      <c r="AY910" s="45"/>
      <c r="AZ910" s="45"/>
      <c r="BA910" s="45"/>
      <c r="BB910" s="45"/>
      <c r="BC910" s="463"/>
      <c r="BD910" s="456"/>
      <c r="BE910" s="46"/>
      <c r="BF910" s="46"/>
      <c r="BG910" s="46"/>
      <c r="BH910" s="46"/>
      <c r="BI910" s="46"/>
      <c r="BJ910" s="457"/>
      <c r="BK910" s="449">
        <v>0</v>
      </c>
      <c r="BL910" s="45"/>
      <c r="BM910" s="45"/>
      <c r="BN910" s="45"/>
      <c r="BO910" s="45"/>
      <c r="BP910" s="45"/>
      <c r="BQ910" s="45"/>
      <c r="BR910" s="45"/>
      <c r="BS910" s="45"/>
      <c r="BT910" s="45"/>
      <c r="BU910" s="45"/>
      <c r="BV910" s="45"/>
      <c r="BW910" s="45"/>
      <c r="BX910" s="45"/>
      <c r="BY910" s="45"/>
      <c r="BZ910" s="45"/>
      <c r="CA910" s="45"/>
      <c r="CB910" s="45"/>
      <c r="CC910" s="45"/>
      <c r="CD910" s="463"/>
      <c r="CE910">
        <v>0</v>
      </c>
      <c r="CF910">
        <v>0</v>
      </c>
      <c r="CG910">
        <v>0</v>
      </c>
      <c r="CH910">
        <v>0</v>
      </c>
      <c r="CI910">
        <v>0</v>
      </c>
      <c r="CJ910">
        <v>0</v>
      </c>
      <c r="CK910">
        <v>0</v>
      </c>
      <c r="CL910">
        <v>0</v>
      </c>
      <c r="CM910">
        <v>0</v>
      </c>
      <c r="CN910">
        <v>0</v>
      </c>
      <c r="CO910">
        <v>0</v>
      </c>
      <c r="CP910">
        <v>0</v>
      </c>
      <c r="CQ910">
        <v>0</v>
      </c>
      <c r="CR910">
        <v>0</v>
      </c>
      <c r="CS910">
        <v>0</v>
      </c>
      <c r="CT910">
        <v>0</v>
      </c>
      <c r="CU910">
        <v>0</v>
      </c>
      <c r="CV910">
        <v>0</v>
      </c>
      <c r="CW910">
        <v>0</v>
      </c>
      <c r="CX910">
        <v>0</v>
      </c>
      <c r="CY910">
        <v>0</v>
      </c>
      <c r="CZ910">
        <v>0</v>
      </c>
      <c r="DA910">
        <v>0</v>
      </c>
      <c r="DB910">
        <v>0</v>
      </c>
      <c r="DC910">
        <v>0</v>
      </c>
      <c r="DD910">
        <v>0</v>
      </c>
      <c r="DE910">
        <v>0</v>
      </c>
      <c r="DF910">
        <v>0</v>
      </c>
      <c r="DG910">
        <v>0</v>
      </c>
      <c r="DH910">
        <v>0</v>
      </c>
      <c r="DI910">
        <v>0</v>
      </c>
      <c r="DJ910">
        <v>0</v>
      </c>
      <c r="DK910">
        <v>0</v>
      </c>
      <c r="DL910">
        <v>0</v>
      </c>
      <c r="DM910">
        <v>0</v>
      </c>
      <c r="DN910">
        <v>0</v>
      </c>
      <c r="DO910">
        <v>0</v>
      </c>
      <c r="DP910">
        <v>0</v>
      </c>
      <c r="DQ910">
        <v>0</v>
      </c>
      <c r="DR910">
        <v>0</v>
      </c>
      <c r="DS910">
        <v>0</v>
      </c>
      <c r="DT910">
        <v>0</v>
      </c>
      <c r="DU910">
        <v>0</v>
      </c>
    </row>
    <row r="911" spans="2:125">
      <c r="B911" s="136">
        <v>902</v>
      </c>
      <c r="C911" s="138">
        <v>1</v>
      </c>
      <c r="D911" s="474">
        <v>3323.6759302363707</v>
      </c>
      <c r="E911" s="127">
        <v>216.72570734070163</v>
      </c>
      <c r="F911" s="447">
        <v>0.38341734163902141</v>
      </c>
      <c r="G911" s="127">
        <v>115.70291091917299</v>
      </c>
      <c r="H911" s="132">
        <v>55.547456769338588</v>
      </c>
      <c r="I911" s="456"/>
      <c r="J911" s="45"/>
      <c r="K911" s="45">
        <v>470</v>
      </c>
      <c r="L911" s="463"/>
      <c r="M911" s="456">
        <v>29.728473663330078</v>
      </c>
      <c r="N911" s="457"/>
      <c r="O911" s="456"/>
      <c r="P911" s="46"/>
      <c r="Q911" s="463">
        <v>65.808792114257813</v>
      </c>
      <c r="R911" s="449"/>
      <c r="S911" s="463"/>
      <c r="T911" s="480"/>
      <c r="U911" s="468"/>
      <c r="V911" s="449"/>
      <c r="W911" s="45">
        <v>1318.220703125</v>
      </c>
      <c r="X911" s="463">
        <v>112.92811584472656</v>
      </c>
      <c r="Y911" s="449"/>
      <c r="Z911" s="45"/>
      <c r="AA911" s="468">
        <v>0.37358836086036373</v>
      </c>
      <c r="AB911" s="456"/>
      <c r="AC911" s="46"/>
      <c r="AD911" s="46"/>
      <c r="AE911" s="46"/>
      <c r="AF911" s="46"/>
      <c r="AG911" s="46"/>
      <c r="AH911" s="46"/>
      <c r="AI911" s="457"/>
      <c r="AJ911" s="138"/>
      <c r="AK911" s="745"/>
      <c r="AL911" s="54"/>
      <c r="AM911" s="468"/>
      <c r="AN911" s="449"/>
      <c r="AO911" s="45"/>
      <c r="AP911" s="45"/>
      <c r="AQ911" s="45"/>
      <c r="AR911" s="45"/>
      <c r="AS911" s="45"/>
      <c r="AT911" s="45"/>
      <c r="AU911" s="463"/>
      <c r="AV911" s="449"/>
      <c r="AW911" s="45"/>
      <c r="AX911" s="45"/>
      <c r="AY911" s="45"/>
      <c r="AZ911" s="45"/>
      <c r="BA911" s="45"/>
      <c r="BB911" s="45"/>
      <c r="BC911" s="463"/>
      <c r="BD911" s="456"/>
      <c r="BE911" s="46"/>
      <c r="BF911" s="46"/>
      <c r="BG911" s="46"/>
      <c r="BH911" s="46"/>
      <c r="BI911" s="46"/>
      <c r="BJ911" s="457"/>
      <c r="BK911" s="449">
        <v>0</v>
      </c>
      <c r="BL911" s="45"/>
      <c r="BM911" s="45"/>
      <c r="BN911" s="45"/>
      <c r="BO911" s="45"/>
      <c r="BP911" s="45"/>
      <c r="BQ911" s="45"/>
      <c r="BR911" s="45"/>
      <c r="BS911" s="45"/>
      <c r="BT911" s="45"/>
      <c r="BU911" s="45"/>
      <c r="BV911" s="45"/>
      <c r="BW911" s="45"/>
      <c r="BX911" s="45"/>
      <c r="BY911" s="45"/>
      <c r="BZ911" s="45"/>
      <c r="CA911" s="45"/>
      <c r="CB911" s="45"/>
      <c r="CC911" s="45"/>
      <c r="CD911" s="463"/>
      <c r="CE911">
        <v>0</v>
      </c>
      <c r="CF911">
        <v>0</v>
      </c>
      <c r="CG911">
        <v>0</v>
      </c>
      <c r="CH911">
        <v>0</v>
      </c>
      <c r="CI911">
        <v>0</v>
      </c>
      <c r="CJ911">
        <v>0</v>
      </c>
      <c r="CK911">
        <v>0</v>
      </c>
      <c r="CL911">
        <v>0</v>
      </c>
      <c r="CM911">
        <v>0</v>
      </c>
      <c r="CN911">
        <v>0</v>
      </c>
      <c r="CO911">
        <v>0</v>
      </c>
      <c r="CP911">
        <v>0</v>
      </c>
      <c r="CQ911">
        <v>0</v>
      </c>
      <c r="CR911">
        <v>0</v>
      </c>
      <c r="CS911">
        <v>0</v>
      </c>
      <c r="CT911">
        <v>0</v>
      </c>
      <c r="CU911">
        <v>0</v>
      </c>
      <c r="CV911">
        <v>0</v>
      </c>
      <c r="CW911">
        <v>0</v>
      </c>
      <c r="CX911">
        <v>0</v>
      </c>
      <c r="CY911">
        <v>0</v>
      </c>
      <c r="CZ911">
        <v>0</v>
      </c>
      <c r="DA911">
        <v>0</v>
      </c>
      <c r="DB911">
        <v>0</v>
      </c>
      <c r="DC911">
        <v>0</v>
      </c>
      <c r="DD911">
        <v>0</v>
      </c>
      <c r="DE911">
        <v>0</v>
      </c>
      <c r="DF911">
        <v>0</v>
      </c>
      <c r="DG911">
        <v>0</v>
      </c>
      <c r="DH911">
        <v>0</v>
      </c>
      <c r="DI911">
        <v>0</v>
      </c>
      <c r="DJ911">
        <v>0</v>
      </c>
      <c r="DK911">
        <v>0</v>
      </c>
      <c r="DL911">
        <v>0</v>
      </c>
      <c r="DM911">
        <v>0</v>
      </c>
      <c r="DN911">
        <v>0</v>
      </c>
      <c r="DO911">
        <v>0</v>
      </c>
      <c r="DP911">
        <v>0</v>
      </c>
      <c r="DQ911">
        <v>0</v>
      </c>
      <c r="DR911">
        <v>0</v>
      </c>
      <c r="DS911">
        <v>0</v>
      </c>
      <c r="DT911">
        <v>0</v>
      </c>
      <c r="DU911">
        <v>0</v>
      </c>
    </row>
    <row r="912" spans="2:125">
      <c r="B912" s="136">
        <v>903</v>
      </c>
      <c r="C912" s="138">
        <v>1</v>
      </c>
      <c r="D912" s="474">
        <v>2516.717879642415</v>
      </c>
      <c r="E912" s="127">
        <v>247.26051854470296</v>
      </c>
      <c r="F912" s="447">
        <v>0.43795241263233597</v>
      </c>
      <c r="G912" s="127">
        <v>83.540654059321298</v>
      </c>
      <c r="H912" s="132">
        <v>48.667963087891891</v>
      </c>
      <c r="I912" s="456"/>
      <c r="J912" s="45"/>
      <c r="K912" s="45">
        <v>360</v>
      </c>
      <c r="L912" s="463"/>
      <c r="M912" s="456">
        <v>34.864547729492188</v>
      </c>
      <c r="N912" s="457"/>
      <c r="O912" s="456"/>
      <c r="P912" s="46"/>
      <c r="Q912" s="463">
        <v>49.831016540527344</v>
      </c>
      <c r="R912" s="449"/>
      <c r="S912" s="463"/>
      <c r="T912" s="480"/>
      <c r="U912" s="468"/>
      <c r="V912" s="449"/>
      <c r="W912" s="45">
        <v>1239.408447265625</v>
      </c>
      <c r="X912" s="463">
        <v>106.71530914306641</v>
      </c>
      <c r="Y912" s="449"/>
      <c r="Z912" s="45"/>
      <c r="AA912" s="468">
        <v>0.42453849424056</v>
      </c>
      <c r="AB912" s="456"/>
      <c r="AC912" s="46"/>
      <c r="AD912" s="46"/>
      <c r="AE912" s="46"/>
      <c r="AF912" s="46"/>
      <c r="AG912" s="46"/>
      <c r="AH912" s="46"/>
      <c r="AI912" s="457"/>
      <c r="AJ912" s="138"/>
      <c r="AK912" s="745"/>
      <c r="AL912" s="54"/>
      <c r="AM912" s="468"/>
      <c r="AN912" s="449"/>
      <c r="AO912" s="45"/>
      <c r="AP912" s="45"/>
      <c r="AQ912" s="45"/>
      <c r="AR912" s="45"/>
      <c r="AS912" s="45"/>
      <c r="AT912" s="45"/>
      <c r="AU912" s="463"/>
      <c r="AV912" s="449"/>
      <c r="AW912" s="45"/>
      <c r="AX912" s="45"/>
      <c r="AY912" s="45"/>
      <c r="AZ912" s="45"/>
      <c r="BA912" s="45"/>
      <c r="BB912" s="45"/>
      <c r="BC912" s="463"/>
      <c r="BD912" s="456"/>
      <c r="BE912" s="46"/>
      <c r="BF912" s="46"/>
      <c r="BG912" s="46"/>
      <c r="BH912" s="46"/>
      <c r="BI912" s="46"/>
      <c r="BJ912" s="457"/>
      <c r="BK912" s="449">
        <v>0</v>
      </c>
      <c r="BL912" s="45"/>
      <c r="BM912" s="45"/>
      <c r="BN912" s="45"/>
      <c r="BO912" s="45"/>
      <c r="BP912" s="45"/>
      <c r="BQ912" s="45"/>
      <c r="BR912" s="45"/>
      <c r="BS912" s="45"/>
      <c r="BT912" s="45"/>
      <c r="BU912" s="45"/>
      <c r="BV912" s="45"/>
      <c r="BW912" s="45"/>
      <c r="BX912" s="45"/>
      <c r="BY912" s="45"/>
      <c r="BZ912" s="45"/>
      <c r="CA912" s="45"/>
      <c r="CB912" s="45"/>
      <c r="CC912" s="45"/>
      <c r="CD912" s="463"/>
      <c r="CE912">
        <v>0</v>
      </c>
      <c r="CF912">
        <v>0</v>
      </c>
      <c r="CG912">
        <v>0</v>
      </c>
      <c r="CH912">
        <v>0</v>
      </c>
      <c r="CI912">
        <v>0</v>
      </c>
      <c r="CJ912">
        <v>0</v>
      </c>
      <c r="CK912">
        <v>0</v>
      </c>
      <c r="CL912">
        <v>0</v>
      </c>
      <c r="CM912">
        <v>0</v>
      </c>
      <c r="CN912">
        <v>0</v>
      </c>
      <c r="CO912">
        <v>0</v>
      </c>
      <c r="CP912">
        <v>0</v>
      </c>
      <c r="CQ912">
        <v>0</v>
      </c>
      <c r="CR912">
        <v>0</v>
      </c>
      <c r="CS912">
        <v>0</v>
      </c>
      <c r="CT912">
        <v>0</v>
      </c>
      <c r="CU912">
        <v>0</v>
      </c>
      <c r="CV912">
        <v>0</v>
      </c>
      <c r="CW912">
        <v>0</v>
      </c>
      <c r="CX912">
        <v>0</v>
      </c>
      <c r="CY912">
        <v>0</v>
      </c>
      <c r="CZ912">
        <v>0</v>
      </c>
      <c r="DA912">
        <v>0</v>
      </c>
      <c r="DB912">
        <v>0</v>
      </c>
      <c r="DC912">
        <v>0</v>
      </c>
      <c r="DD912">
        <v>0</v>
      </c>
      <c r="DE912">
        <v>0</v>
      </c>
      <c r="DF912">
        <v>0</v>
      </c>
      <c r="DG912">
        <v>0</v>
      </c>
      <c r="DH912">
        <v>0</v>
      </c>
      <c r="DI912">
        <v>0</v>
      </c>
      <c r="DJ912">
        <v>0</v>
      </c>
      <c r="DK912">
        <v>0</v>
      </c>
      <c r="DL912">
        <v>0</v>
      </c>
      <c r="DM912">
        <v>0</v>
      </c>
      <c r="DN912">
        <v>0</v>
      </c>
      <c r="DO912">
        <v>0</v>
      </c>
      <c r="DP912">
        <v>0</v>
      </c>
      <c r="DQ912">
        <v>0</v>
      </c>
      <c r="DR912">
        <v>0</v>
      </c>
      <c r="DS912">
        <v>0</v>
      </c>
      <c r="DT912">
        <v>0</v>
      </c>
      <c r="DU912">
        <v>0</v>
      </c>
    </row>
    <row r="913" spans="2:125">
      <c r="B913" s="136">
        <v>904</v>
      </c>
      <c r="C913" s="138">
        <v>1</v>
      </c>
      <c r="D913" s="474">
        <v>3737.4274986933588</v>
      </c>
      <c r="E913" s="127">
        <v>199.75725294907966</v>
      </c>
      <c r="F913" s="447">
        <v>0.42791548163431015</v>
      </c>
      <c r="G913" s="127">
        <v>143.76134206710458</v>
      </c>
      <c r="H913" s="132">
        <v>62.109237841936512</v>
      </c>
      <c r="I913" s="456"/>
      <c r="J913" s="45"/>
      <c r="K913" s="45">
        <v>590</v>
      </c>
      <c r="L913" s="463"/>
      <c r="M913" s="456">
        <v>37.319305419921875</v>
      </c>
      <c r="N913" s="457"/>
      <c r="O913" s="456"/>
      <c r="P913" s="46"/>
      <c r="Q913" s="463">
        <v>82.037948608398437</v>
      </c>
      <c r="R913" s="449"/>
      <c r="S913" s="463"/>
      <c r="T913" s="480"/>
      <c r="U913" s="468"/>
      <c r="V913" s="449"/>
      <c r="W913" s="45">
        <v>1863.790283203125</v>
      </c>
      <c r="X913" s="463">
        <v>153.11116027832031</v>
      </c>
      <c r="Y913" s="449"/>
      <c r="Z913" s="45"/>
      <c r="AA913" s="468">
        <v>0.41893649551500256</v>
      </c>
      <c r="AB913" s="456"/>
      <c r="AC913" s="46"/>
      <c r="AD913" s="46"/>
      <c r="AE913" s="46"/>
      <c r="AF913" s="46"/>
      <c r="AG913" s="46"/>
      <c r="AH913" s="46"/>
      <c r="AI913" s="457"/>
      <c r="AJ913" s="138"/>
      <c r="AK913" s="745"/>
      <c r="AL913" s="54"/>
      <c r="AM913" s="468"/>
      <c r="AN913" s="449"/>
      <c r="AO913" s="45"/>
      <c r="AP913" s="45"/>
      <c r="AQ913" s="45"/>
      <c r="AR913" s="45"/>
      <c r="AS913" s="45"/>
      <c r="AT913" s="45"/>
      <c r="AU913" s="463"/>
      <c r="AV913" s="449"/>
      <c r="AW913" s="45"/>
      <c r="AX913" s="45"/>
      <c r="AY913" s="45"/>
      <c r="AZ913" s="45"/>
      <c r="BA913" s="45"/>
      <c r="BB913" s="45"/>
      <c r="BC913" s="463"/>
      <c r="BD913" s="456"/>
      <c r="BE913" s="46"/>
      <c r="BF913" s="46"/>
      <c r="BG913" s="46"/>
      <c r="BH913" s="46"/>
      <c r="BI913" s="46"/>
      <c r="BJ913" s="457"/>
      <c r="BK913" s="449">
        <v>0</v>
      </c>
      <c r="BL913" s="45"/>
      <c r="BM913" s="45"/>
      <c r="BN913" s="45"/>
      <c r="BO913" s="45"/>
      <c r="BP913" s="45"/>
      <c r="BQ913" s="45"/>
      <c r="BR913" s="45"/>
      <c r="BS913" s="45"/>
      <c r="BT913" s="45"/>
      <c r="BU913" s="45"/>
      <c r="BV913" s="45"/>
      <c r="BW913" s="45"/>
      <c r="BX913" s="45"/>
      <c r="BY913" s="45"/>
      <c r="BZ913" s="45"/>
      <c r="CA913" s="45"/>
      <c r="CB913" s="45"/>
      <c r="CC913" s="45"/>
      <c r="CD913" s="463"/>
      <c r="CE913">
        <v>0</v>
      </c>
      <c r="CF913">
        <v>0</v>
      </c>
      <c r="CG913">
        <v>0</v>
      </c>
      <c r="CH913">
        <v>0</v>
      </c>
      <c r="CI913">
        <v>0</v>
      </c>
      <c r="CJ913">
        <v>0</v>
      </c>
      <c r="CK913">
        <v>0</v>
      </c>
      <c r="CL913">
        <v>0</v>
      </c>
      <c r="CM913">
        <v>0</v>
      </c>
      <c r="CN913">
        <v>0</v>
      </c>
      <c r="CO913">
        <v>0</v>
      </c>
      <c r="CP913">
        <v>0</v>
      </c>
      <c r="CQ913">
        <v>0</v>
      </c>
      <c r="CR913">
        <v>0</v>
      </c>
      <c r="CS913">
        <v>0</v>
      </c>
      <c r="CT913">
        <v>0</v>
      </c>
      <c r="CU913">
        <v>0</v>
      </c>
      <c r="CV913">
        <v>0</v>
      </c>
      <c r="CW913">
        <v>0</v>
      </c>
      <c r="CX913">
        <v>0</v>
      </c>
      <c r="CY913">
        <v>0</v>
      </c>
      <c r="CZ913">
        <v>0</v>
      </c>
      <c r="DA913">
        <v>0</v>
      </c>
      <c r="DB913">
        <v>0</v>
      </c>
      <c r="DC913">
        <v>0</v>
      </c>
      <c r="DD913">
        <v>0</v>
      </c>
      <c r="DE913">
        <v>0</v>
      </c>
      <c r="DF913">
        <v>0</v>
      </c>
      <c r="DG913">
        <v>0</v>
      </c>
      <c r="DH913">
        <v>0</v>
      </c>
      <c r="DI913">
        <v>0</v>
      </c>
      <c r="DJ913">
        <v>0</v>
      </c>
      <c r="DK913">
        <v>0</v>
      </c>
      <c r="DL913">
        <v>0</v>
      </c>
      <c r="DM913">
        <v>0</v>
      </c>
      <c r="DN913">
        <v>0</v>
      </c>
      <c r="DO913">
        <v>0</v>
      </c>
      <c r="DP913">
        <v>0</v>
      </c>
      <c r="DQ913">
        <v>0</v>
      </c>
      <c r="DR913">
        <v>0</v>
      </c>
      <c r="DS913">
        <v>0</v>
      </c>
      <c r="DT913">
        <v>0</v>
      </c>
      <c r="DU913">
        <v>0</v>
      </c>
    </row>
    <row r="914" spans="2:125">
      <c r="B914" s="136">
        <v>905</v>
      </c>
      <c r="C914" s="138">
        <v>1</v>
      </c>
      <c r="D914" s="474">
        <v>3049.2986688183119</v>
      </c>
      <c r="E914" s="127">
        <v>260.82984022367714</v>
      </c>
      <c r="F914" s="447">
        <v>0.46733984149322505</v>
      </c>
      <c r="G914" s="127">
        <v>124.14204071224671</v>
      </c>
      <c r="H914" s="132">
        <v>55.623098892519963</v>
      </c>
      <c r="I914" s="456"/>
      <c r="J914" s="45"/>
      <c r="K914" s="45">
        <v>510</v>
      </c>
      <c r="L914" s="463"/>
      <c r="M914" s="456">
        <v>43.476329803466797</v>
      </c>
      <c r="N914" s="457"/>
      <c r="O914" s="456"/>
      <c r="P914" s="46"/>
      <c r="Q914" s="463">
        <v>68.331832885742187</v>
      </c>
      <c r="R914" s="449"/>
      <c r="S914" s="463"/>
      <c r="T914" s="480"/>
      <c r="U914" s="468"/>
      <c r="V914" s="449"/>
      <c r="W914" s="45">
        <v>1909.4989013671875</v>
      </c>
      <c r="X914" s="463">
        <v>156.08770751953125</v>
      </c>
      <c r="Y914" s="449"/>
      <c r="Z914" s="45"/>
      <c r="AA914" s="468">
        <v>0.45607600657239894</v>
      </c>
      <c r="AB914" s="456"/>
      <c r="AC914" s="46"/>
      <c r="AD914" s="46"/>
      <c r="AE914" s="46"/>
      <c r="AF914" s="46"/>
      <c r="AG914" s="46"/>
      <c r="AH914" s="46"/>
      <c r="AI914" s="457"/>
      <c r="AJ914" s="138"/>
      <c r="AK914" s="745"/>
      <c r="AL914" s="54"/>
      <c r="AM914" s="468"/>
      <c r="AN914" s="449"/>
      <c r="AO914" s="45"/>
      <c r="AP914" s="45"/>
      <c r="AQ914" s="45"/>
      <c r="AR914" s="45"/>
      <c r="AS914" s="45"/>
      <c r="AT914" s="45"/>
      <c r="AU914" s="463"/>
      <c r="AV914" s="449"/>
      <c r="AW914" s="45"/>
      <c r="AX914" s="45"/>
      <c r="AY914" s="45"/>
      <c r="AZ914" s="45"/>
      <c r="BA914" s="45"/>
      <c r="BB914" s="45"/>
      <c r="BC914" s="463"/>
      <c r="BD914" s="456"/>
      <c r="BE914" s="46"/>
      <c r="BF914" s="46"/>
      <c r="BG914" s="46"/>
      <c r="BH914" s="46"/>
      <c r="BI914" s="46"/>
      <c r="BJ914" s="457"/>
      <c r="BK914" s="449">
        <v>0</v>
      </c>
      <c r="BL914" s="45"/>
      <c r="BM914" s="45"/>
      <c r="BN914" s="45"/>
      <c r="BO914" s="45"/>
      <c r="BP914" s="45"/>
      <c r="BQ914" s="45"/>
      <c r="BR914" s="45"/>
      <c r="BS914" s="45"/>
      <c r="BT914" s="45"/>
      <c r="BU914" s="45"/>
      <c r="BV914" s="45"/>
      <c r="BW914" s="45"/>
      <c r="BX914" s="45"/>
      <c r="BY914" s="45"/>
      <c r="BZ914" s="45"/>
      <c r="CA914" s="45"/>
      <c r="CB914" s="45"/>
      <c r="CC914" s="45"/>
      <c r="CD914" s="463"/>
      <c r="CE914">
        <v>0</v>
      </c>
      <c r="CF914">
        <v>0</v>
      </c>
      <c r="CG914">
        <v>0</v>
      </c>
      <c r="CH914">
        <v>0</v>
      </c>
      <c r="CI914">
        <v>0</v>
      </c>
      <c r="CJ914">
        <v>0</v>
      </c>
      <c r="CK914">
        <v>0</v>
      </c>
      <c r="CL914">
        <v>0</v>
      </c>
      <c r="CM914">
        <v>0</v>
      </c>
      <c r="CN914">
        <v>0</v>
      </c>
      <c r="CO914">
        <v>0</v>
      </c>
      <c r="CP914">
        <v>0</v>
      </c>
      <c r="CQ914">
        <v>0</v>
      </c>
      <c r="CR914">
        <v>0</v>
      </c>
      <c r="CS914">
        <v>0</v>
      </c>
      <c r="CT914">
        <v>0</v>
      </c>
      <c r="CU914">
        <v>0</v>
      </c>
      <c r="CV914">
        <v>0</v>
      </c>
      <c r="CW914">
        <v>0</v>
      </c>
      <c r="CX914">
        <v>0</v>
      </c>
      <c r="CY914">
        <v>0</v>
      </c>
      <c r="CZ914">
        <v>0</v>
      </c>
      <c r="DA914">
        <v>0</v>
      </c>
      <c r="DB914">
        <v>0</v>
      </c>
      <c r="DC914">
        <v>0</v>
      </c>
      <c r="DD914">
        <v>0</v>
      </c>
      <c r="DE914">
        <v>0</v>
      </c>
      <c r="DF914">
        <v>0</v>
      </c>
      <c r="DG914">
        <v>0</v>
      </c>
      <c r="DH914">
        <v>0</v>
      </c>
      <c r="DI914">
        <v>0</v>
      </c>
      <c r="DJ914">
        <v>0</v>
      </c>
      <c r="DK914">
        <v>0</v>
      </c>
      <c r="DL914">
        <v>0</v>
      </c>
      <c r="DM914">
        <v>0</v>
      </c>
      <c r="DN914">
        <v>0</v>
      </c>
      <c r="DO914">
        <v>0</v>
      </c>
      <c r="DP914">
        <v>0</v>
      </c>
      <c r="DQ914">
        <v>0</v>
      </c>
      <c r="DR914">
        <v>0</v>
      </c>
      <c r="DS914">
        <v>0</v>
      </c>
      <c r="DT914">
        <v>0</v>
      </c>
      <c r="DU914">
        <v>0</v>
      </c>
    </row>
    <row r="915" spans="2:125">
      <c r="B915" s="136">
        <v>906</v>
      </c>
      <c r="C915" s="138">
        <v>1</v>
      </c>
      <c r="D915" s="474">
        <v>3259.0028681329973</v>
      </c>
      <c r="E915" s="127">
        <v>225.39361498012192</v>
      </c>
      <c r="F915" s="447">
        <v>0.48400893940559131</v>
      </c>
      <c r="G915" s="127">
        <v>129.58874806548567</v>
      </c>
      <c r="H915" s="132">
        <v>50.253912343772264</v>
      </c>
      <c r="I915" s="456"/>
      <c r="J915" s="45"/>
      <c r="K915" s="45">
        <v>510</v>
      </c>
      <c r="L915" s="463"/>
      <c r="M915" s="456">
        <v>49.510879516601563</v>
      </c>
      <c r="N915" s="457"/>
      <c r="O915" s="456"/>
      <c r="P915" s="46"/>
      <c r="Q915" s="463">
        <v>64.52825927734375</v>
      </c>
      <c r="R915" s="449"/>
      <c r="S915" s="463"/>
      <c r="T915" s="480"/>
      <c r="U915" s="468"/>
      <c r="V915" s="449"/>
      <c r="W915" s="45">
        <v>2085.4853515625</v>
      </c>
      <c r="X915" s="463">
        <v>168.89649963378906</v>
      </c>
      <c r="Y915" s="449"/>
      <c r="Z915" s="45"/>
      <c r="AA915" s="468">
        <v>0.47336759289828395</v>
      </c>
      <c r="AB915" s="456"/>
      <c r="AC915" s="46"/>
      <c r="AD915" s="46"/>
      <c r="AE915" s="46"/>
      <c r="AF915" s="46"/>
      <c r="AG915" s="46"/>
      <c r="AH915" s="46"/>
      <c r="AI915" s="457"/>
      <c r="AJ915" s="138"/>
      <c r="AK915" s="745"/>
      <c r="AL915" s="54"/>
      <c r="AM915" s="468"/>
      <c r="AN915" s="449"/>
      <c r="AO915" s="45"/>
      <c r="AP915" s="45"/>
      <c r="AQ915" s="45"/>
      <c r="AR915" s="45"/>
      <c r="AS915" s="45"/>
      <c r="AT915" s="45"/>
      <c r="AU915" s="463"/>
      <c r="AV915" s="449"/>
      <c r="AW915" s="45"/>
      <c r="AX915" s="45"/>
      <c r="AY915" s="45"/>
      <c r="AZ915" s="45"/>
      <c r="BA915" s="45"/>
      <c r="BB915" s="45"/>
      <c r="BC915" s="463"/>
      <c r="BD915" s="456"/>
      <c r="BE915" s="46"/>
      <c r="BF915" s="46"/>
      <c r="BG915" s="46"/>
      <c r="BH915" s="46"/>
      <c r="BI915" s="46"/>
      <c r="BJ915" s="457"/>
      <c r="BK915" s="449">
        <v>0</v>
      </c>
      <c r="BL915" s="45"/>
      <c r="BM915" s="45"/>
      <c r="BN915" s="45"/>
      <c r="BO915" s="45"/>
      <c r="BP915" s="45"/>
      <c r="BQ915" s="45"/>
      <c r="BR915" s="45"/>
      <c r="BS915" s="45"/>
      <c r="BT915" s="45"/>
      <c r="BU915" s="45"/>
      <c r="BV915" s="45"/>
      <c r="BW915" s="45"/>
      <c r="BX915" s="45"/>
      <c r="BY915" s="45"/>
      <c r="BZ915" s="45"/>
      <c r="CA915" s="45"/>
      <c r="CB915" s="45"/>
      <c r="CC915" s="45"/>
      <c r="CD915" s="463"/>
      <c r="CE915">
        <v>0</v>
      </c>
      <c r="CF915">
        <v>0</v>
      </c>
      <c r="CG915">
        <v>0</v>
      </c>
      <c r="CH915">
        <v>0</v>
      </c>
      <c r="CI915">
        <v>0</v>
      </c>
      <c r="CJ915">
        <v>0</v>
      </c>
      <c r="CK915">
        <v>0</v>
      </c>
      <c r="CL915">
        <v>0</v>
      </c>
      <c r="CM915">
        <v>0</v>
      </c>
      <c r="CN915">
        <v>0</v>
      </c>
      <c r="CO915">
        <v>0</v>
      </c>
      <c r="CP915">
        <v>0</v>
      </c>
      <c r="CQ915">
        <v>0</v>
      </c>
      <c r="CR915">
        <v>0</v>
      </c>
      <c r="CS915">
        <v>0</v>
      </c>
      <c r="CT915">
        <v>0</v>
      </c>
      <c r="CU915">
        <v>0</v>
      </c>
      <c r="CV915">
        <v>0</v>
      </c>
      <c r="CW915">
        <v>0</v>
      </c>
      <c r="CX915">
        <v>0</v>
      </c>
      <c r="CY915">
        <v>0</v>
      </c>
      <c r="CZ915">
        <v>0</v>
      </c>
      <c r="DA915">
        <v>0</v>
      </c>
      <c r="DB915">
        <v>0</v>
      </c>
      <c r="DC915">
        <v>0</v>
      </c>
      <c r="DD915">
        <v>0</v>
      </c>
      <c r="DE915">
        <v>0</v>
      </c>
      <c r="DF915">
        <v>0</v>
      </c>
      <c r="DG915">
        <v>0</v>
      </c>
      <c r="DH915">
        <v>0</v>
      </c>
      <c r="DI915">
        <v>0</v>
      </c>
      <c r="DJ915">
        <v>0</v>
      </c>
      <c r="DK915">
        <v>0</v>
      </c>
      <c r="DL915">
        <v>0</v>
      </c>
      <c r="DM915">
        <v>0</v>
      </c>
      <c r="DN915">
        <v>0</v>
      </c>
      <c r="DO915">
        <v>0</v>
      </c>
      <c r="DP915">
        <v>0</v>
      </c>
      <c r="DQ915">
        <v>0</v>
      </c>
      <c r="DR915">
        <v>0</v>
      </c>
      <c r="DS915">
        <v>0</v>
      </c>
      <c r="DT915">
        <v>0</v>
      </c>
      <c r="DU915">
        <v>0</v>
      </c>
    </row>
    <row r="916" spans="2:125">
      <c r="B916" s="136">
        <v>907</v>
      </c>
      <c r="C916" s="138">
        <v>1</v>
      </c>
      <c r="D916" s="474">
        <v>3970.546970819446</v>
      </c>
      <c r="E916" s="127">
        <v>215.30365687862863</v>
      </c>
      <c r="F916" s="447">
        <v>0.39335917252129832</v>
      </c>
      <c r="G916" s="127">
        <v>159.36906441374637</v>
      </c>
      <c r="H916" s="132">
        <v>55.714878441504631</v>
      </c>
      <c r="I916" s="456"/>
      <c r="J916" s="45"/>
      <c r="K916" s="45">
        <v>610</v>
      </c>
      <c r="L916" s="463"/>
      <c r="M916" s="456">
        <v>34.541156768798828</v>
      </c>
      <c r="N916" s="457"/>
      <c r="O916" s="456"/>
      <c r="P916" s="46"/>
      <c r="Q916" s="463">
        <v>78.616836547851562</v>
      </c>
      <c r="R916" s="449"/>
      <c r="S916" s="463"/>
      <c r="T916" s="480"/>
      <c r="U916" s="468"/>
      <c r="V916" s="449"/>
      <c r="W916" s="45">
        <v>1713.13134765625</v>
      </c>
      <c r="X916" s="463">
        <v>142.23468017578125</v>
      </c>
      <c r="Y916" s="449"/>
      <c r="Z916" s="45"/>
      <c r="AA916" s="468">
        <v>0.38508142547738344</v>
      </c>
      <c r="AB916" s="456"/>
      <c r="AC916" s="46"/>
      <c r="AD916" s="46"/>
      <c r="AE916" s="46"/>
      <c r="AF916" s="46"/>
      <c r="AG916" s="46"/>
      <c r="AH916" s="46"/>
      <c r="AI916" s="457"/>
      <c r="AJ916" s="138"/>
      <c r="AK916" s="745"/>
      <c r="AL916" s="54"/>
      <c r="AM916" s="468"/>
      <c r="AN916" s="449"/>
      <c r="AO916" s="45"/>
      <c r="AP916" s="45"/>
      <c r="AQ916" s="45"/>
      <c r="AR916" s="45"/>
      <c r="AS916" s="45"/>
      <c r="AT916" s="45"/>
      <c r="AU916" s="463"/>
      <c r="AV916" s="449"/>
      <c r="AW916" s="45"/>
      <c r="AX916" s="45"/>
      <c r="AY916" s="45"/>
      <c r="AZ916" s="45"/>
      <c r="BA916" s="45"/>
      <c r="BB916" s="45"/>
      <c r="BC916" s="463"/>
      <c r="BD916" s="456"/>
      <c r="BE916" s="46"/>
      <c r="BF916" s="46"/>
      <c r="BG916" s="46"/>
      <c r="BH916" s="46"/>
      <c r="BI916" s="46"/>
      <c r="BJ916" s="457"/>
      <c r="BK916" s="449">
        <v>0</v>
      </c>
      <c r="BL916" s="45"/>
      <c r="BM916" s="45"/>
      <c r="BN916" s="45"/>
      <c r="BO916" s="45"/>
      <c r="BP916" s="45"/>
      <c r="BQ916" s="45"/>
      <c r="BR916" s="45"/>
      <c r="BS916" s="45"/>
      <c r="BT916" s="45"/>
      <c r="BU916" s="45"/>
      <c r="BV916" s="45"/>
      <c r="BW916" s="45"/>
      <c r="BX916" s="45"/>
      <c r="BY916" s="45"/>
      <c r="BZ916" s="45"/>
      <c r="CA916" s="45"/>
      <c r="CB916" s="45"/>
      <c r="CC916" s="45"/>
      <c r="CD916" s="463"/>
      <c r="CE916">
        <v>0</v>
      </c>
      <c r="CF916">
        <v>0</v>
      </c>
      <c r="CG916">
        <v>0</v>
      </c>
      <c r="CH916">
        <v>0</v>
      </c>
      <c r="CI916">
        <v>0</v>
      </c>
      <c r="CJ916">
        <v>0</v>
      </c>
      <c r="CK916">
        <v>0</v>
      </c>
      <c r="CL916">
        <v>0</v>
      </c>
      <c r="CM916">
        <v>0</v>
      </c>
      <c r="CN916">
        <v>0</v>
      </c>
      <c r="CO916">
        <v>0</v>
      </c>
      <c r="CP916">
        <v>0</v>
      </c>
      <c r="CQ916">
        <v>0</v>
      </c>
      <c r="CR916">
        <v>0</v>
      </c>
      <c r="CS916">
        <v>0</v>
      </c>
      <c r="CT916">
        <v>0</v>
      </c>
      <c r="CU916">
        <v>0</v>
      </c>
      <c r="CV916">
        <v>0</v>
      </c>
      <c r="CW916">
        <v>0</v>
      </c>
      <c r="CX916">
        <v>0</v>
      </c>
      <c r="CY916">
        <v>0</v>
      </c>
      <c r="CZ916">
        <v>0</v>
      </c>
      <c r="DA916">
        <v>0</v>
      </c>
      <c r="DB916">
        <v>0</v>
      </c>
      <c r="DC916">
        <v>0</v>
      </c>
      <c r="DD916">
        <v>0</v>
      </c>
      <c r="DE916">
        <v>0</v>
      </c>
      <c r="DF916">
        <v>0</v>
      </c>
      <c r="DG916">
        <v>0</v>
      </c>
      <c r="DH916">
        <v>0</v>
      </c>
      <c r="DI916">
        <v>0</v>
      </c>
      <c r="DJ916">
        <v>0</v>
      </c>
      <c r="DK916">
        <v>0</v>
      </c>
      <c r="DL916">
        <v>0</v>
      </c>
      <c r="DM916">
        <v>0</v>
      </c>
      <c r="DN916">
        <v>0</v>
      </c>
      <c r="DO916">
        <v>0</v>
      </c>
      <c r="DP916">
        <v>0</v>
      </c>
      <c r="DQ916">
        <v>0</v>
      </c>
      <c r="DR916">
        <v>0</v>
      </c>
      <c r="DS916">
        <v>0</v>
      </c>
      <c r="DT916">
        <v>0</v>
      </c>
      <c r="DU916">
        <v>0</v>
      </c>
    </row>
    <row r="917" spans="2:125">
      <c r="B917" s="136">
        <v>908</v>
      </c>
      <c r="C917" s="138">
        <v>1</v>
      </c>
      <c r="D917" s="474">
        <v>3178.0723855345877</v>
      </c>
      <c r="E917" s="127">
        <v>298.95996009586088</v>
      </c>
      <c r="F917" s="447">
        <v>0.47981651503607564</v>
      </c>
      <c r="G917" s="127">
        <v>126.67051956535478</v>
      </c>
      <c r="H917" s="132">
        <v>49.398033527554517</v>
      </c>
      <c r="I917" s="456"/>
      <c r="J917" s="45"/>
      <c r="K917" s="45">
        <v>500</v>
      </c>
      <c r="L917" s="463"/>
      <c r="M917" s="456">
        <v>48.218437194824219</v>
      </c>
      <c r="N917" s="457"/>
      <c r="O917" s="456"/>
      <c r="P917" s="46"/>
      <c r="Q917" s="463">
        <v>62.925838470458984</v>
      </c>
      <c r="R917" s="449"/>
      <c r="S917" s="463"/>
      <c r="T917" s="480"/>
      <c r="U917" s="468"/>
      <c r="V917" s="449"/>
      <c r="W917" s="45">
        <v>2002.8804931640625</v>
      </c>
      <c r="X917" s="463">
        <v>162.84046936035156</v>
      </c>
      <c r="Y917" s="449"/>
      <c r="Z917" s="45"/>
      <c r="AA917" s="468">
        <v>0.46893056717088816</v>
      </c>
      <c r="AB917" s="456"/>
      <c r="AC917" s="46"/>
      <c r="AD917" s="46"/>
      <c r="AE917" s="46"/>
      <c r="AF917" s="46"/>
      <c r="AG917" s="46"/>
      <c r="AH917" s="46"/>
      <c r="AI917" s="457"/>
      <c r="AJ917" s="138"/>
      <c r="AK917" s="745"/>
      <c r="AL917" s="54"/>
      <c r="AM917" s="468"/>
      <c r="AN917" s="449"/>
      <c r="AO917" s="45"/>
      <c r="AP917" s="45"/>
      <c r="AQ917" s="45"/>
      <c r="AR917" s="45"/>
      <c r="AS917" s="45"/>
      <c r="AT917" s="45"/>
      <c r="AU917" s="463"/>
      <c r="AV917" s="449"/>
      <c r="AW917" s="45"/>
      <c r="AX917" s="45"/>
      <c r="AY917" s="45"/>
      <c r="AZ917" s="45"/>
      <c r="BA917" s="45"/>
      <c r="BB917" s="45"/>
      <c r="BC917" s="463"/>
      <c r="BD917" s="456"/>
      <c r="BE917" s="46"/>
      <c r="BF917" s="46"/>
      <c r="BG917" s="46"/>
      <c r="BH917" s="46"/>
      <c r="BI917" s="46"/>
      <c r="BJ917" s="457"/>
      <c r="BK917" s="449">
        <v>0</v>
      </c>
      <c r="BL917" s="45"/>
      <c r="BM917" s="45"/>
      <c r="BN917" s="45"/>
      <c r="BO917" s="45"/>
      <c r="BP917" s="45"/>
      <c r="BQ917" s="45"/>
      <c r="BR917" s="45"/>
      <c r="BS917" s="45"/>
      <c r="BT917" s="45"/>
      <c r="BU917" s="45"/>
      <c r="BV917" s="45"/>
      <c r="BW917" s="45"/>
      <c r="BX917" s="45"/>
      <c r="BY917" s="45"/>
      <c r="BZ917" s="45"/>
      <c r="CA917" s="45"/>
      <c r="CB917" s="45"/>
      <c r="CC917" s="45"/>
      <c r="CD917" s="463"/>
      <c r="CE917">
        <v>0</v>
      </c>
      <c r="CF917">
        <v>0</v>
      </c>
      <c r="CG917">
        <v>0</v>
      </c>
      <c r="CH917">
        <v>0</v>
      </c>
      <c r="CI917">
        <v>0</v>
      </c>
      <c r="CJ917">
        <v>0</v>
      </c>
      <c r="CK917">
        <v>0</v>
      </c>
      <c r="CL917">
        <v>0</v>
      </c>
      <c r="CM917">
        <v>0</v>
      </c>
      <c r="CN917">
        <v>0</v>
      </c>
      <c r="CO917">
        <v>0</v>
      </c>
      <c r="CP917">
        <v>0</v>
      </c>
      <c r="CQ917">
        <v>0</v>
      </c>
      <c r="CR917">
        <v>0</v>
      </c>
      <c r="CS917">
        <v>0</v>
      </c>
      <c r="CT917">
        <v>0</v>
      </c>
      <c r="CU917">
        <v>0</v>
      </c>
      <c r="CV917">
        <v>0</v>
      </c>
      <c r="CW917">
        <v>0</v>
      </c>
      <c r="CX917">
        <v>0</v>
      </c>
      <c r="CY917">
        <v>0</v>
      </c>
      <c r="CZ917">
        <v>0</v>
      </c>
      <c r="DA917">
        <v>0</v>
      </c>
      <c r="DB917">
        <v>0</v>
      </c>
      <c r="DC917">
        <v>0</v>
      </c>
      <c r="DD917">
        <v>0</v>
      </c>
      <c r="DE917">
        <v>0</v>
      </c>
      <c r="DF917">
        <v>0</v>
      </c>
      <c r="DG917">
        <v>0</v>
      </c>
      <c r="DH917">
        <v>0</v>
      </c>
      <c r="DI917">
        <v>0</v>
      </c>
      <c r="DJ917">
        <v>0</v>
      </c>
      <c r="DK917">
        <v>0</v>
      </c>
      <c r="DL917">
        <v>0</v>
      </c>
      <c r="DM917">
        <v>0</v>
      </c>
      <c r="DN917">
        <v>0</v>
      </c>
      <c r="DO917">
        <v>0</v>
      </c>
      <c r="DP917">
        <v>0</v>
      </c>
      <c r="DQ917">
        <v>0</v>
      </c>
      <c r="DR917">
        <v>0</v>
      </c>
      <c r="DS917">
        <v>0</v>
      </c>
      <c r="DT917">
        <v>0</v>
      </c>
      <c r="DU917">
        <v>0</v>
      </c>
    </row>
    <row r="918" spans="2:125">
      <c r="B918" s="136">
        <v>909</v>
      </c>
      <c r="C918" s="138">
        <v>1</v>
      </c>
      <c r="D918" s="474">
        <v>3222.5638947198195</v>
      </c>
      <c r="E918" s="127">
        <v>206.58545168159384</v>
      </c>
      <c r="F918" s="447">
        <v>0.4000076320112172</v>
      </c>
      <c r="G918" s="127">
        <v>130.30429079489076</v>
      </c>
      <c r="H918" s="132">
        <v>49.202729553281522</v>
      </c>
      <c r="I918" s="456"/>
      <c r="J918" s="45"/>
      <c r="K918" s="45">
        <v>500</v>
      </c>
      <c r="L918" s="463"/>
      <c r="M918" s="456">
        <v>33.791770935058594</v>
      </c>
      <c r="N918" s="457"/>
      <c r="O918" s="456"/>
      <c r="P918" s="46"/>
      <c r="Q918" s="463">
        <v>63.806766510009766</v>
      </c>
      <c r="R918" s="449"/>
      <c r="S918" s="463"/>
      <c r="T918" s="480"/>
      <c r="U918" s="468"/>
      <c r="V918" s="449"/>
      <c r="W918" s="45">
        <v>1464.1077880859375</v>
      </c>
      <c r="X918" s="463">
        <v>123.65196990966797</v>
      </c>
      <c r="Y918" s="449"/>
      <c r="Z918" s="45"/>
      <c r="AA918" s="468">
        <v>0.38976729117754277</v>
      </c>
      <c r="AB918" s="456"/>
      <c r="AC918" s="46"/>
      <c r="AD918" s="46"/>
      <c r="AE918" s="46"/>
      <c r="AF918" s="46"/>
      <c r="AG918" s="46"/>
      <c r="AH918" s="46"/>
      <c r="AI918" s="457"/>
      <c r="AJ918" s="138"/>
      <c r="AK918" s="745"/>
      <c r="AL918" s="54"/>
      <c r="AM918" s="468"/>
      <c r="AN918" s="449"/>
      <c r="AO918" s="45"/>
      <c r="AP918" s="45"/>
      <c r="AQ918" s="45"/>
      <c r="AR918" s="45"/>
      <c r="AS918" s="45"/>
      <c r="AT918" s="45"/>
      <c r="AU918" s="463"/>
      <c r="AV918" s="449"/>
      <c r="AW918" s="45"/>
      <c r="AX918" s="45"/>
      <c r="AY918" s="45"/>
      <c r="AZ918" s="45"/>
      <c r="BA918" s="45"/>
      <c r="BB918" s="45"/>
      <c r="BC918" s="463"/>
      <c r="BD918" s="456"/>
      <c r="BE918" s="46"/>
      <c r="BF918" s="46"/>
      <c r="BG918" s="46"/>
      <c r="BH918" s="46"/>
      <c r="BI918" s="46"/>
      <c r="BJ918" s="457"/>
      <c r="BK918" s="449">
        <v>0</v>
      </c>
      <c r="BL918" s="45"/>
      <c r="BM918" s="45"/>
      <c r="BN918" s="45"/>
      <c r="BO918" s="45"/>
      <c r="BP918" s="45"/>
      <c r="BQ918" s="45"/>
      <c r="BR918" s="45"/>
      <c r="BS918" s="45"/>
      <c r="BT918" s="45"/>
      <c r="BU918" s="45"/>
      <c r="BV918" s="45"/>
      <c r="BW918" s="45"/>
      <c r="BX918" s="45"/>
      <c r="BY918" s="45"/>
      <c r="BZ918" s="45"/>
      <c r="CA918" s="45"/>
      <c r="CB918" s="45"/>
      <c r="CC918" s="45"/>
      <c r="CD918" s="463"/>
      <c r="CE918">
        <v>0</v>
      </c>
      <c r="CF918">
        <v>0</v>
      </c>
      <c r="CG918">
        <v>0</v>
      </c>
      <c r="CH918">
        <v>0</v>
      </c>
      <c r="CI918">
        <v>0</v>
      </c>
      <c r="CJ918">
        <v>0</v>
      </c>
      <c r="CK918">
        <v>0</v>
      </c>
      <c r="CL918">
        <v>0</v>
      </c>
      <c r="CM918">
        <v>0</v>
      </c>
      <c r="CN918">
        <v>0</v>
      </c>
      <c r="CO918">
        <v>0</v>
      </c>
      <c r="CP918">
        <v>0</v>
      </c>
      <c r="CQ918">
        <v>0</v>
      </c>
      <c r="CR918">
        <v>0</v>
      </c>
      <c r="CS918">
        <v>0</v>
      </c>
      <c r="CT918">
        <v>0</v>
      </c>
      <c r="CU918">
        <v>0</v>
      </c>
      <c r="CV918">
        <v>0</v>
      </c>
      <c r="CW918">
        <v>0</v>
      </c>
      <c r="CX918">
        <v>0</v>
      </c>
      <c r="CY918">
        <v>0</v>
      </c>
      <c r="CZ918">
        <v>0</v>
      </c>
      <c r="DA918">
        <v>0</v>
      </c>
      <c r="DB918">
        <v>0</v>
      </c>
      <c r="DC918">
        <v>0</v>
      </c>
      <c r="DD918">
        <v>0</v>
      </c>
      <c r="DE918">
        <v>0</v>
      </c>
      <c r="DF918">
        <v>0</v>
      </c>
      <c r="DG918">
        <v>0</v>
      </c>
      <c r="DH918">
        <v>0</v>
      </c>
      <c r="DI918">
        <v>0</v>
      </c>
      <c r="DJ918">
        <v>0</v>
      </c>
      <c r="DK918">
        <v>0</v>
      </c>
      <c r="DL918">
        <v>0</v>
      </c>
      <c r="DM918">
        <v>0</v>
      </c>
      <c r="DN918">
        <v>0</v>
      </c>
      <c r="DO918">
        <v>0</v>
      </c>
      <c r="DP918">
        <v>0</v>
      </c>
      <c r="DQ918">
        <v>0</v>
      </c>
      <c r="DR918">
        <v>0</v>
      </c>
      <c r="DS918">
        <v>0</v>
      </c>
      <c r="DT918">
        <v>0</v>
      </c>
      <c r="DU918">
        <v>0</v>
      </c>
    </row>
    <row r="919" spans="2:125">
      <c r="B919" s="136">
        <v>910</v>
      </c>
      <c r="C919" s="138">
        <v>1</v>
      </c>
      <c r="D919" s="474">
        <v>3254.9524216916561</v>
      </c>
      <c r="E919" s="127">
        <v>197.673979354192</v>
      </c>
      <c r="F919" s="447">
        <v>0.3534635664960904</v>
      </c>
      <c r="G919" s="127">
        <v>108.30199392959361</v>
      </c>
      <c r="H919" s="132">
        <v>56.245381794897149</v>
      </c>
      <c r="I919" s="456"/>
      <c r="J919" s="45"/>
      <c r="K919" s="45">
        <v>450</v>
      </c>
      <c r="L919" s="463"/>
      <c r="M919" s="456">
        <v>26.425884246826172</v>
      </c>
      <c r="N919" s="457"/>
      <c r="O919" s="456"/>
      <c r="P919" s="46"/>
      <c r="Q919" s="463">
        <v>64.44805908203125</v>
      </c>
      <c r="R919" s="449"/>
      <c r="S919" s="463"/>
      <c r="T919" s="480"/>
      <c r="U919" s="468"/>
      <c r="V919" s="449"/>
      <c r="W919" s="45">
        <v>1153.5926513671875</v>
      </c>
      <c r="X919" s="463">
        <v>100.84314727783203</v>
      </c>
      <c r="Y919" s="449"/>
      <c r="Z919" s="45"/>
      <c r="AA919" s="468">
        <v>0.34361111178240372</v>
      </c>
      <c r="AB919" s="456"/>
      <c r="AC919" s="46"/>
      <c r="AD919" s="46"/>
      <c r="AE919" s="46"/>
      <c r="AF919" s="46"/>
      <c r="AG919" s="46"/>
      <c r="AH919" s="46"/>
      <c r="AI919" s="457"/>
      <c r="AJ919" s="138"/>
      <c r="AK919" s="745"/>
      <c r="AL919" s="54"/>
      <c r="AM919" s="468"/>
      <c r="AN919" s="449"/>
      <c r="AO919" s="45"/>
      <c r="AP919" s="45"/>
      <c r="AQ919" s="45"/>
      <c r="AR919" s="45"/>
      <c r="AS919" s="45"/>
      <c r="AT919" s="45"/>
      <c r="AU919" s="463"/>
      <c r="AV919" s="449"/>
      <c r="AW919" s="45"/>
      <c r="AX919" s="45"/>
      <c r="AY919" s="45"/>
      <c r="AZ919" s="45"/>
      <c r="BA919" s="45"/>
      <c r="BB919" s="45"/>
      <c r="BC919" s="463"/>
      <c r="BD919" s="456"/>
      <c r="BE919" s="46"/>
      <c r="BF919" s="46"/>
      <c r="BG919" s="46"/>
      <c r="BH919" s="46"/>
      <c r="BI919" s="46"/>
      <c r="BJ919" s="457"/>
      <c r="BK919" s="449">
        <v>0</v>
      </c>
      <c r="BL919" s="45"/>
      <c r="BM919" s="45"/>
      <c r="BN919" s="45"/>
      <c r="BO919" s="45"/>
      <c r="BP919" s="45"/>
      <c r="BQ919" s="45"/>
      <c r="BR919" s="45"/>
      <c r="BS919" s="45"/>
      <c r="BT919" s="45"/>
      <c r="BU919" s="45"/>
      <c r="BV919" s="45"/>
      <c r="BW919" s="45"/>
      <c r="BX919" s="45"/>
      <c r="BY919" s="45"/>
      <c r="BZ919" s="45"/>
      <c r="CA919" s="45"/>
      <c r="CB919" s="45"/>
      <c r="CC919" s="45"/>
      <c r="CD919" s="463"/>
      <c r="CE919">
        <v>0</v>
      </c>
      <c r="CF919">
        <v>0</v>
      </c>
      <c r="CG919">
        <v>0</v>
      </c>
      <c r="CH919">
        <v>0</v>
      </c>
      <c r="CI919">
        <v>0</v>
      </c>
      <c r="CJ919">
        <v>0</v>
      </c>
      <c r="CK919">
        <v>0</v>
      </c>
      <c r="CL919">
        <v>0</v>
      </c>
      <c r="CM919">
        <v>0</v>
      </c>
      <c r="CN919">
        <v>0</v>
      </c>
      <c r="CO919">
        <v>0</v>
      </c>
      <c r="CP919">
        <v>0</v>
      </c>
      <c r="CQ919">
        <v>0</v>
      </c>
      <c r="CR919">
        <v>0</v>
      </c>
      <c r="CS919">
        <v>0</v>
      </c>
      <c r="CT919">
        <v>0</v>
      </c>
      <c r="CU919">
        <v>0</v>
      </c>
      <c r="CV919">
        <v>0</v>
      </c>
      <c r="CW919">
        <v>0</v>
      </c>
      <c r="CX919">
        <v>0</v>
      </c>
      <c r="CY919">
        <v>0</v>
      </c>
      <c r="CZ919">
        <v>0</v>
      </c>
      <c r="DA919">
        <v>0</v>
      </c>
      <c r="DB919">
        <v>0</v>
      </c>
      <c r="DC919">
        <v>0</v>
      </c>
      <c r="DD919">
        <v>0</v>
      </c>
      <c r="DE919">
        <v>0</v>
      </c>
      <c r="DF919">
        <v>0</v>
      </c>
      <c r="DG919">
        <v>0</v>
      </c>
      <c r="DH919">
        <v>0</v>
      </c>
      <c r="DI919">
        <v>0</v>
      </c>
      <c r="DJ919">
        <v>0</v>
      </c>
      <c r="DK919">
        <v>0</v>
      </c>
      <c r="DL919">
        <v>0</v>
      </c>
      <c r="DM919">
        <v>0</v>
      </c>
      <c r="DN919">
        <v>0</v>
      </c>
      <c r="DO919">
        <v>0</v>
      </c>
      <c r="DP919">
        <v>0</v>
      </c>
      <c r="DQ919">
        <v>0</v>
      </c>
      <c r="DR919">
        <v>0</v>
      </c>
      <c r="DS919">
        <v>0</v>
      </c>
      <c r="DT919">
        <v>0</v>
      </c>
      <c r="DU919">
        <v>0</v>
      </c>
    </row>
    <row r="920" spans="2:125">
      <c r="B920" s="136">
        <v>911</v>
      </c>
      <c r="C920" s="138">
        <v>1</v>
      </c>
      <c r="D920" s="474">
        <v>3783.5219690337067</v>
      </c>
      <c r="E920" s="127">
        <v>285.63014903700508</v>
      </c>
      <c r="F920" s="447">
        <v>0.41650968528061588</v>
      </c>
      <c r="G920" s="127">
        <v>151.28436837770886</v>
      </c>
      <c r="H920" s="132">
        <v>54.454338502766959</v>
      </c>
      <c r="I920" s="456"/>
      <c r="J920" s="45"/>
      <c r="K920" s="45">
        <v>580</v>
      </c>
      <c r="L920" s="463"/>
      <c r="M920" s="456">
        <v>37.255226135253906</v>
      </c>
      <c r="N920" s="457"/>
      <c r="O920" s="456"/>
      <c r="P920" s="46"/>
      <c r="Q920" s="463">
        <v>74.913734436035156</v>
      </c>
      <c r="R920" s="449"/>
      <c r="S920" s="463"/>
      <c r="T920" s="480"/>
      <c r="U920" s="468"/>
      <c r="V920" s="449"/>
      <c r="W920" s="45">
        <v>1773.776611328125</v>
      </c>
      <c r="X920" s="463">
        <v>146.52326965332031</v>
      </c>
      <c r="Y920" s="449"/>
      <c r="Z920" s="45"/>
      <c r="AA920" s="468">
        <v>0.40770038167979006</v>
      </c>
      <c r="AB920" s="456"/>
      <c r="AC920" s="46"/>
      <c r="AD920" s="46"/>
      <c r="AE920" s="46"/>
      <c r="AF920" s="46"/>
      <c r="AG920" s="46"/>
      <c r="AH920" s="46"/>
      <c r="AI920" s="457"/>
      <c r="AJ920" s="138"/>
      <c r="AK920" s="745"/>
      <c r="AL920" s="54"/>
      <c r="AM920" s="468"/>
      <c r="AN920" s="449"/>
      <c r="AO920" s="45"/>
      <c r="AP920" s="45"/>
      <c r="AQ920" s="45"/>
      <c r="AR920" s="45"/>
      <c r="AS920" s="45"/>
      <c r="AT920" s="45"/>
      <c r="AU920" s="463"/>
      <c r="AV920" s="449"/>
      <c r="AW920" s="45"/>
      <c r="AX920" s="45"/>
      <c r="AY920" s="45"/>
      <c r="AZ920" s="45"/>
      <c r="BA920" s="45"/>
      <c r="BB920" s="45"/>
      <c r="BC920" s="463"/>
      <c r="BD920" s="456"/>
      <c r="BE920" s="46"/>
      <c r="BF920" s="46"/>
      <c r="BG920" s="46"/>
      <c r="BH920" s="46"/>
      <c r="BI920" s="46"/>
      <c r="BJ920" s="457"/>
      <c r="BK920" s="449">
        <v>0</v>
      </c>
      <c r="BL920" s="45"/>
      <c r="BM920" s="45"/>
      <c r="BN920" s="45"/>
      <c r="BO920" s="45"/>
      <c r="BP920" s="45"/>
      <c r="BQ920" s="45"/>
      <c r="BR920" s="45"/>
      <c r="BS920" s="45"/>
      <c r="BT920" s="45"/>
      <c r="BU920" s="45"/>
      <c r="BV920" s="45"/>
      <c r="BW920" s="45"/>
      <c r="BX920" s="45"/>
      <c r="BY920" s="45"/>
      <c r="BZ920" s="45"/>
      <c r="CA920" s="45"/>
      <c r="CB920" s="45"/>
      <c r="CC920" s="45"/>
      <c r="CD920" s="463"/>
      <c r="CE920">
        <v>0</v>
      </c>
      <c r="CF920">
        <v>0</v>
      </c>
      <c r="CG920">
        <v>0</v>
      </c>
      <c r="CH920">
        <v>0</v>
      </c>
      <c r="CI920">
        <v>0</v>
      </c>
      <c r="CJ920">
        <v>0</v>
      </c>
      <c r="CK920">
        <v>0</v>
      </c>
      <c r="CL920">
        <v>0</v>
      </c>
      <c r="CM920">
        <v>0</v>
      </c>
      <c r="CN920">
        <v>0</v>
      </c>
      <c r="CO920">
        <v>0</v>
      </c>
      <c r="CP920">
        <v>0</v>
      </c>
      <c r="CQ920">
        <v>0</v>
      </c>
      <c r="CR920">
        <v>0</v>
      </c>
      <c r="CS920">
        <v>0</v>
      </c>
      <c r="CT920">
        <v>0</v>
      </c>
      <c r="CU920">
        <v>0</v>
      </c>
      <c r="CV920">
        <v>0</v>
      </c>
      <c r="CW920">
        <v>0</v>
      </c>
      <c r="CX920">
        <v>0</v>
      </c>
      <c r="CY920">
        <v>0</v>
      </c>
      <c r="CZ920">
        <v>0</v>
      </c>
      <c r="DA920">
        <v>0</v>
      </c>
      <c r="DB920">
        <v>0</v>
      </c>
      <c r="DC920">
        <v>0</v>
      </c>
      <c r="DD920">
        <v>0</v>
      </c>
      <c r="DE920">
        <v>0</v>
      </c>
      <c r="DF920">
        <v>0</v>
      </c>
      <c r="DG920">
        <v>0</v>
      </c>
      <c r="DH920">
        <v>0</v>
      </c>
      <c r="DI920">
        <v>0</v>
      </c>
      <c r="DJ920">
        <v>0</v>
      </c>
      <c r="DK920">
        <v>0</v>
      </c>
      <c r="DL920">
        <v>0</v>
      </c>
      <c r="DM920">
        <v>0</v>
      </c>
      <c r="DN920">
        <v>0</v>
      </c>
      <c r="DO920">
        <v>0</v>
      </c>
      <c r="DP920">
        <v>0</v>
      </c>
      <c r="DQ920">
        <v>0</v>
      </c>
      <c r="DR920">
        <v>0</v>
      </c>
      <c r="DS920">
        <v>0</v>
      </c>
      <c r="DT920">
        <v>0</v>
      </c>
      <c r="DU920">
        <v>0</v>
      </c>
    </row>
    <row r="921" spans="2:125">
      <c r="B921" s="136">
        <v>912</v>
      </c>
      <c r="C921" s="138">
        <v>1</v>
      </c>
      <c r="D921" s="474">
        <v>3614.4052189111621</v>
      </c>
      <c r="E921" s="127">
        <v>272.05421563255817</v>
      </c>
      <c r="F921" s="447">
        <v>0.39703021016177209</v>
      </c>
      <c r="G921" s="127">
        <v>117.44381464274001</v>
      </c>
      <c r="H921" s="132">
        <v>59.955820048359783</v>
      </c>
      <c r="I921" s="456"/>
      <c r="J921" s="45"/>
      <c r="K921" s="45">
        <v>500</v>
      </c>
      <c r="L921" s="463"/>
      <c r="M921" s="456">
        <v>30.871530532836914</v>
      </c>
      <c r="N921" s="457"/>
      <c r="O921" s="456"/>
      <c r="P921" s="46"/>
      <c r="Q921" s="463">
        <v>71.565223693847656</v>
      </c>
      <c r="R921" s="449"/>
      <c r="S921" s="463"/>
      <c r="T921" s="480"/>
      <c r="U921" s="468"/>
      <c r="V921" s="449"/>
      <c r="W921" s="45">
        <v>1434.0396728515625</v>
      </c>
      <c r="X921" s="463">
        <v>121.45741271972656</v>
      </c>
      <c r="Y921" s="449"/>
      <c r="Z921" s="45"/>
      <c r="AA921" s="468">
        <v>0.38791651033893959</v>
      </c>
      <c r="AB921" s="456"/>
      <c r="AC921" s="46"/>
      <c r="AD921" s="46"/>
      <c r="AE921" s="46"/>
      <c r="AF921" s="46"/>
      <c r="AG921" s="46"/>
      <c r="AH921" s="46"/>
      <c r="AI921" s="457"/>
      <c r="AJ921" s="138"/>
      <c r="AK921" s="745"/>
      <c r="AL921" s="54"/>
      <c r="AM921" s="468"/>
      <c r="AN921" s="449"/>
      <c r="AO921" s="45"/>
      <c r="AP921" s="45"/>
      <c r="AQ921" s="45"/>
      <c r="AR921" s="45"/>
      <c r="AS921" s="45"/>
      <c r="AT921" s="45"/>
      <c r="AU921" s="463"/>
      <c r="AV921" s="449"/>
      <c r="AW921" s="45"/>
      <c r="AX921" s="45"/>
      <c r="AY921" s="45"/>
      <c r="AZ921" s="45"/>
      <c r="BA921" s="45"/>
      <c r="BB921" s="45"/>
      <c r="BC921" s="463"/>
      <c r="BD921" s="456"/>
      <c r="BE921" s="46"/>
      <c r="BF921" s="46"/>
      <c r="BG921" s="46"/>
      <c r="BH921" s="46"/>
      <c r="BI921" s="46"/>
      <c r="BJ921" s="457"/>
      <c r="BK921" s="449">
        <v>0</v>
      </c>
      <c r="BL921" s="45"/>
      <c r="BM921" s="45"/>
      <c r="BN921" s="45"/>
      <c r="BO921" s="45"/>
      <c r="BP921" s="45"/>
      <c r="BQ921" s="45"/>
      <c r="BR921" s="45"/>
      <c r="BS921" s="45"/>
      <c r="BT921" s="45"/>
      <c r="BU921" s="45"/>
      <c r="BV921" s="45"/>
      <c r="BW921" s="45"/>
      <c r="BX921" s="45"/>
      <c r="BY921" s="45"/>
      <c r="BZ921" s="45"/>
      <c r="CA921" s="45"/>
      <c r="CB921" s="45"/>
      <c r="CC921" s="45"/>
      <c r="CD921" s="463"/>
      <c r="CE921">
        <v>0</v>
      </c>
      <c r="CF921">
        <v>0</v>
      </c>
      <c r="CG921">
        <v>0</v>
      </c>
      <c r="CH921">
        <v>0</v>
      </c>
      <c r="CI921">
        <v>0</v>
      </c>
      <c r="CJ921">
        <v>0</v>
      </c>
      <c r="CK921">
        <v>0</v>
      </c>
      <c r="CL921">
        <v>0</v>
      </c>
      <c r="CM921">
        <v>0</v>
      </c>
      <c r="CN921">
        <v>0</v>
      </c>
      <c r="CO921">
        <v>0</v>
      </c>
      <c r="CP921">
        <v>0</v>
      </c>
      <c r="CQ921">
        <v>0</v>
      </c>
      <c r="CR921">
        <v>0</v>
      </c>
      <c r="CS921">
        <v>0</v>
      </c>
      <c r="CT921">
        <v>0</v>
      </c>
      <c r="CU921">
        <v>0</v>
      </c>
      <c r="CV921">
        <v>0</v>
      </c>
      <c r="CW921">
        <v>0</v>
      </c>
      <c r="CX921">
        <v>0</v>
      </c>
      <c r="CY921">
        <v>0</v>
      </c>
      <c r="CZ921">
        <v>0</v>
      </c>
      <c r="DA921">
        <v>0</v>
      </c>
      <c r="DB921">
        <v>0</v>
      </c>
      <c r="DC921">
        <v>0</v>
      </c>
      <c r="DD921">
        <v>0</v>
      </c>
      <c r="DE921">
        <v>0</v>
      </c>
      <c r="DF921">
        <v>0</v>
      </c>
      <c r="DG921">
        <v>0</v>
      </c>
      <c r="DH921">
        <v>0</v>
      </c>
      <c r="DI921">
        <v>0</v>
      </c>
      <c r="DJ921">
        <v>0</v>
      </c>
      <c r="DK921">
        <v>0</v>
      </c>
      <c r="DL921">
        <v>0</v>
      </c>
      <c r="DM921">
        <v>0</v>
      </c>
      <c r="DN921">
        <v>0</v>
      </c>
      <c r="DO921">
        <v>0</v>
      </c>
      <c r="DP921">
        <v>0</v>
      </c>
      <c r="DQ921">
        <v>0</v>
      </c>
      <c r="DR921">
        <v>0</v>
      </c>
      <c r="DS921">
        <v>0</v>
      </c>
      <c r="DT921">
        <v>0</v>
      </c>
      <c r="DU921">
        <v>0</v>
      </c>
    </row>
    <row r="922" spans="2:125">
      <c r="B922" s="136">
        <v>913</v>
      </c>
      <c r="C922" s="138">
        <v>1</v>
      </c>
      <c r="D922" s="474">
        <v>3166.6087295378306</v>
      </c>
      <c r="E922" s="127">
        <v>213.29018535632886</v>
      </c>
      <c r="F922" s="447">
        <v>0.42834709905623575</v>
      </c>
      <c r="G922" s="127">
        <v>121.76470101121258</v>
      </c>
      <c r="H922" s="132">
        <v>50.728825530054216</v>
      </c>
      <c r="I922" s="456"/>
      <c r="J922" s="45"/>
      <c r="K922" s="45">
        <v>480</v>
      </c>
      <c r="L922" s="463"/>
      <c r="M922" s="456">
        <v>36.776638031005859</v>
      </c>
      <c r="N922" s="457"/>
      <c r="O922" s="456"/>
      <c r="P922" s="46"/>
      <c r="Q922" s="463">
        <v>62.6988525390625</v>
      </c>
      <c r="R922" s="449"/>
      <c r="S922" s="463"/>
      <c r="T922" s="480"/>
      <c r="U922" s="468"/>
      <c r="V922" s="449"/>
      <c r="W922" s="45">
        <v>1556.376953125</v>
      </c>
      <c r="X922" s="463">
        <v>130.28329467773437</v>
      </c>
      <c r="Y922" s="449"/>
      <c r="Z922" s="45"/>
      <c r="AA922" s="468">
        <v>0.41774681817277343</v>
      </c>
      <c r="AB922" s="456"/>
      <c r="AC922" s="46"/>
      <c r="AD922" s="46"/>
      <c r="AE922" s="46"/>
      <c r="AF922" s="46"/>
      <c r="AG922" s="46"/>
      <c r="AH922" s="46"/>
      <c r="AI922" s="457"/>
      <c r="AJ922" s="138"/>
      <c r="AK922" s="745"/>
      <c r="AL922" s="54"/>
      <c r="AM922" s="468"/>
      <c r="AN922" s="449"/>
      <c r="AO922" s="45"/>
      <c r="AP922" s="45"/>
      <c r="AQ922" s="45"/>
      <c r="AR922" s="45"/>
      <c r="AS922" s="45"/>
      <c r="AT922" s="45"/>
      <c r="AU922" s="463"/>
      <c r="AV922" s="449"/>
      <c r="AW922" s="45"/>
      <c r="AX922" s="45"/>
      <c r="AY922" s="45"/>
      <c r="AZ922" s="45"/>
      <c r="BA922" s="45"/>
      <c r="BB922" s="45"/>
      <c r="BC922" s="463"/>
      <c r="BD922" s="456"/>
      <c r="BE922" s="46"/>
      <c r="BF922" s="46"/>
      <c r="BG922" s="46"/>
      <c r="BH922" s="46"/>
      <c r="BI922" s="46"/>
      <c r="BJ922" s="457"/>
      <c r="BK922" s="449">
        <v>0</v>
      </c>
      <c r="BL922" s="45"/>
      <c r="BM922" s="45"/>
      <c r="BN922" s="45"/>
      <c r="BO922" s="45"/>
      <c r="BP922" s="45"/>
      <c r="BQ922" s="45"/>
      <c r="BR922" s="45"/>
      <c r="BS922" s="45"/>
      <c r="BT922" s="45"/>
      <c r="BU922" s="45"/>
      <c r="BV922" s="45"/>
      <c r="BW922" s="45"/>
      <c r="BX922" s="45"/>
      <c r="BY922" s="45"/>
      <c r="BZ922" s="45"/>
      <c r="CA922" s="45"/>
      <c r="CB922" s="45"/>
      <c r="CC922" s="45"/>
      <c r="CD922" s="463"/>
      <c r="CE922">
        <v>0</v>
      </c>
      <c r="CF922">
        <v>0</v>
      </c>
      <c r="CG922">
        <v>0</v>
      </c>
      <c r="CH922">
        <v>0</v>
      </c>
      <c r="CI922">
        <v>0</v>
      </c>
      <c r="CJ922">
        <v>0</v>
      </c>
      <c r="CK922">
        <v>0</v>
      </c>
      <c r="CL922">
        <v>0</v>
      </c>
      <c r="CM922">
        <v>0</v>
      </c>
      <c r="CN922">
        <v>0</v>
      </c>
      <c r="CO922">
        <v>0</v>
      </c>
      <c r="CP922">
        <v>0</v>
      </c>
      <c r="CQ922">
        <v>0</v>
      </c>
      <c r="CR922">
        <v>0</v>
      </c>
      <c r="CS922">
        <v>0</v>
      </c>
      <c r="CT922">
        <v>0</v>
      </c>
      <c r="CU922">
        <v>0</v>
      </c>
      <c r="CV922">
        <v>0</v>
      </c>
      <c r="CW922">
        <v>0</v>
      </c>
      <c r="CX922">
        <v>0</v>
      </c>
      <c r="CY922">
        <v>0</v>
      </c>
      <c r="CZ922">
        <v>0</v>
      </c>
      <c r="DA922">
        <v>0</v>
      </c>
      <c r="DB922">
        <v>0</v>
      </c>
      <c r="DC922">
        <v>0</v>
      </c>
      <c r="DD922">
        <v>0</v>
      </c>
      <c r="DE922">
        <v>0</v>
      </c>
      <c r="DF922">
        <v>0</v>
      </c>
      <c r="DG922">
        <v>0</v>
      </c>
      <c r="DH922">
        <v>0</v>
      </c>
      <c r="DI922">
        <v>0</v>
      </c>
      <c r="DJ922">
        <v>0</v>
      </c>
      <c r="DK922">
        <v>0</v>
      </c>
      <c r="DL922">
        <v>0</v>
      </c>
      <c r="DM922">
        <v>0</v>
      </c>
      <c r="DN922">
        <v>0</v>
      </c>
      <c r="DO922">
        <v>0</v>
      </c>
      <c r="DP922">
        <v>0</v>
      </c>
      <c r="DQ922">
        <v>0</v>
      </c>
      <c r="DR922">
        <v>0</v>
      </c>
      <c r="DS922">
        <v>0</v>
      </c>
      <c r="DT922">
        <v>0</v>
      </c>
      <c r="DU922">
        <v>0</v>
      </c>
    </row>
    <row r="923" spans="2:125">
      <c r="B923" s="136">
        <v>914</v>
      </c>
      <c r="C923" s="138">
        <v>1</v>
      </c>
      <c r="D923" s="474">
        <v>3498.1787809735497</v>
      </c>
      <c r="E923" s="127">
        <v>290.43950901058071</v>
      </c>
      <c r="F923" s="447">
        <v>0.47948331818235429</v>
      </c>
      <c r="G923" s="127">
        <v>139.29888480796853</v>
      </c>
      <c r="H923" s="132">
        <v>52.307385243616977</v>
      </c>
      <c r="I923" s="456"/>
      <c r="J923" s="45"/>
      <c r="K923" s="45">
        <v>550</v>
      </c>
      <c r="L923" s="463"/>
      <c r="M923" s="456">
        <v>49.310226440429688</v>
      </c>
      <c r="N923" s="457"/>
      <c r="O923" s="456"/>
      <c r="P923" s="46"/>
      <c r="Q923" s="463">
        <v>69.263946533203125</v>
      </c>
      <c r="R923" s="449"/>
      <c r="S923" s="463"/>
      <c r="T923" s="480"/>
      <c r="U923" s="468"/>
      <c r="V923" s="449"/>
      <c r="W923" s="45">
        <v>2174.691162109375</v>
      </c>
      <c r="X923" s="463">
        <v>175.53762817382812</v>
      </c>
      <c r="Y923" s="449"/>
      <c r="Z923" s="45"/>
      <c r="AA923" s="468">
        <v>0.46959541120865167</v>
      </c>
      <c r="AB923" s="456"/>
      <c r="AC923" s="46"/>
      <c r="AD923" s="46"/>
      <c r="AE923" s="46"/>
      <c r="AF923" s="46"/>
      <c r="AG923" s="46"/>
      <c r="AH923" s="46"/>
      <c r="AI923" s="457"/>
      <c r="AJ923" s="138"/>
      <c r="AK923" s="745"/>
      <c r="AL923" s="54"/>
      <c r="AM923" s="468"/>
      <c r="AN923" s="449"/>
      <c r="AO923" s="45"/>
      <c r="AP923" s="45"/>
      <c r="AQ923" s="45"/>
      <c r="AR923" s="45"/>
      <c r="AS923" s="45"/>
      <c r="AT923" s="45"/>
      <c r="AU923" s="463"/>
      <c r="AV923" s="449"/>
      <c r="AW923" s="45"/>
      <c r="AX923" s="45"/>
      <c r="AY923" s="45"/>
      <c r="AZ923" s="45"/>
      <c r="BA923" s="45"/>
      <c r="BB923" s="45"/>
      <c r="BC923" s="463"/>
      <c r="BD923" s="456"/>
      <c r="BE923" s="46"/>
      <c r="BF923" s="46"/>
      <c r="BG923" s="46"/>
      <c r="BH923" s="46"/>
      <c r="BI923" s="46"/>
      <c r="BJ923" s="457"/>
      <c r="BK923" s="449">
        <v>0</v>
      </c>
      <c r="BL923" s="45"/>
      <c r="BM923" s="45"/>
      <c r="BN923" s="45"/>
      <c r="BO923" s="45"/>
      <c r="BP923" s="45"/>
      <c r="BQ923" s="45"/>
      <c r="BR923" s="45"/>
      <c r="BS923" s="45"/>
      <c r="BT923" s="45"/>
      <c r="BU923" s="45"/>
      <c r="BV923" s="45"/>
      <c r="BW923" s="45"/>
      <c r="BX923" s="45"/>
      <c r="BY923" s="45"/>
      <c r="BZ923" s="45"/>
      <c r="CA923" s="45"/>
      <c r="CB923" s="45"/>
      <c r="CC923" s="45"/>
      <c r="CD923" s="463"/>
      <c r="CE923">
        <v>0</v>
      </c>
      <c r="CF923">
        <v>0</v>
      </c>
      <c r="CG923">
        <v>0</v>
      </c>
      <c r="CH923">
        <v>0</v>
      </c>
      <c r="CI923">
        <v>0</v>
      </c>
      <c r="CJ923">
        <v>0</v>
      </c>
      <c r="CK923">
        <v>0</v>
      </c>
      <c r="CL923">
        <v>0</v>
      </c>
      <c r="CM923">
        <v>0</v>
      </c>
      <c r="CN923">
        <v>0</v>
      </c>
      <c r="CO923">
        <v>0</v>
      </c>
      <c r="CP923">
        <v>0</v>
      </c>
      <c r="CQ923">
        <v>0</v>
      </c>
      <c r="CR923">
        <v>0</v>
      </c>
      <c r="CS923">
        <v>0</v>
      </c>
      <c r="CT923">
        <v>0</v>
      </c>
      <c r="CU923">
        <v>0</v>
      </c>
      <c r="CV923">
        <v>0</v>
      </c>
      <c r="CW923">
        <v>0</v>
      </c>
      <c r="CX923">
        <v>0</v>
      </c>
      <c r="CY923">
        <v>0</v>
      </c>
      <c r="CZ923">
        <v>0</v>
      </c>
      <c r="DA923">
        <v>0</v>
      </c>
      <c r="DB923">
        <v>0</v>
      </c>
      <c r="DC923">
        <v>0</v>
      </c>
      <c r="DD923">
        <v>0</v>
      </c>
      <c r="DE923">
        <v>0</v>
      </c>
      <c r="DF923">
        <v>0</v>
      </c>
      <c r="DG923">
        <v>0</v>
      </c>
      <c r="DH923">
        <v>0</v>
      </c>
      <c r="DI923">
        <v>0</v>
      </c>
      <c r="DJ923">
        <v>0</v>
      </c>
      <c r="DK923">
        <v>0</v>
      </c>
      <c r="DL923">
        <v>0</v>
      </c>
      <c r="DM923">
        <v>0</v>
      </c>
      <c r="DN923">
        <v>0</v>
      </c>
      <c r="DO923">
        <v>0</v>
      </c>
      <c r="DP923">
        <v>0</v>
      </c>
      <c r="DQ923">
        <v>0</v>
      </c>
      <c r="DR923">
        <v>0</v>
      </c>
      <c r="DS923">
        <v>0</v>
      </c>
      <c r="DT923">
        <v>0</v>
      </c>
      <c r="DU923">
        <v>0</v>
      </c>
    </row>
    <row r="924" spans="2:125">
      <c r="B924" s="136">
        <v>915</v>
      </c>
      <c r="C924" s="138">
        <v>1</v>
      </c>
      <c r="D924" s="474">
        <v>3160.9091585963488</v>
      </c>
      <c r="E924" s="127">
        <v>217.39073855296328</v>
      </c>
      <c r="F924" s="447">
        <v>0.43235869605521032</v>
      </c>
      <c r="G924" s="127">
        <v>106.92167841083952</v>
      </c>
      <c r="H924" s="132">
        <v>61.752916320062198</v>
      </c>
      <c r="I924" s="456"/>
      <c r="J924" s="45"/>
      <c r="K924" s="45">
        <v>470</v>
      </c>
      <c r="L924" s="463"/>
      <c r="M924" s="456">
        <v>33.976276397705078</v>
      </c>
      <c r="N924" s="457"/>
      <c r="O924" s="456"/>
      <c r="P924" s="46"/>
      <c r="Q924" s="463">
        <v>70.900276184082031</v>
      </c>
      <c r="R924" s="449"/>
      <c r="S924" s="463"/>
      <c r="T924" s="480"/>
      <c r="U924" s="468"/>
      <c r="V924" s="449"/>
      <c r="W924" s="45">
        <v>1544.2626953125</v>
      </c>
      <c r="X924" s="463">
        <v>129.37669372558594</v>
      </c>
      <c r="Y924" s="449"/>
      <c r="Z924" s="45"/>
      <c r="AA924" s="468">
        <v>0.42171391879876879</v>
      </c>
      <c r="AB924" s="456"/>
      <c r="AC924" s="46"/>
      <c r="AD924" s="46"/>
      <c r="AE924" s="46"/>
      <c r="AF924" s="46"/>
      <c r="AG924" s="46"/>
      <c r="AH924" s="46"/>
      <c r="AI924" s="457"/>
      <c r="AJ924" s="138"/>
      <c r="AK924" s="745"/>
      <c r="AL924" s="54"/>
      <c r="AM924" s="468"/>
      <c r="AN924" s="449"/>
      <c r="AO924" s="45"/>
      <c r="AP924" s="45"/>
      <c r="AQ924" s="45"/>
      <c r="AR924" s="45"/>
      <c r="AS924" s="45"/>
      <c r="AT924" s="45"/>
      <c r="AU924" s="463"/>
      <c r="AV924" s="449"/>
      <c r="AW924" s="45"/>
      <c r="AX924" s="45"/>
      <c r="AY924" s="45"/>
      <c r="AZ924" s="45"/>
      <c r="BA924" s="45"/>
      <c r="BB924" s="45"/>
      <c r="BC924" s="463"/>
      <c r="BD924" s="456"/>
      <c r="BE924" s="46"/>
      <c r="BF924" s="46"/>
      <c r="BG924" s="46"/>
      <c r="BH924" s="46"/>
      <c r="BI924" s="46"/>
      <c r="BJ924" s="457"/>
      <c r="BK924" s="449">
        <v>0</v>
      </c>
      <c r="BL924" s="45"/>
      <c r="BM924" s="45"/>
      <c r="BN924" s="45"/>
      <c r="BO924" s="45"/>
      <c r="BP924" s="45"/>
      <c r="BQ924" s="45"/>
      <c r="BR924" s="45"/>
      <c r="BS924" s="45"/>
      <c r="BT924" s="45"/>
      <c r="BU924" s="45"/>
      <c r="BV924" s="45"/>
      <c r="BW924" s="45"/>
      <c r="BX924" s="45"/>
      <c r="BY924" s="45"/>
      <c r="BZ924" s="45"/>
      <c r="CA924" s="45"/>
      <c r="CB924" s="45"/>
      <c r="CC924" s="45"/>
      <c r="CD924" s="463"/>
      <c r="CE924">
        <v>0</v>
      </c>
      <c r="CF924">
        <v>0</v>
      </c>
      <c r="CG924">
        <v>0</v>
      </c>
      <c r="CH924">
        <v>0</v>
      </c>
      <c r="CI924">
        <v>0</v>
      </c>
      <c r="CJ924">
        <v>0</v>
      </c>
      <c r="CK924">
        <v>0</v>
      </c>
      <c r="CL924">
        <v>0</v>
      </c>
      <c r="CM924">
        <v>0</v>
      </c>
      <c r="CN924">
        <v>0</v>
      </c>
      <c r="CO924">
        <v>0</v>
      </c>
      <c r="CP924">
        <v>0</v>
      </c>
      <c r="CQ924">
        <v>0</v>
      </c>
      <c r="CR924">
        <v>0</v>
      </c>
      <c r="CS924">
        <v>0</v>
      </c>
      <c r="CT924">
        <v>0</v>
      </c>
      <c r="CU924">
        <v>0</v>
      </c>
      <c r="CV924">
        <v>0</v>
      </c>
      <c r="CW924">
        <v>0</v>
      </c>
      <c r="CX924">
        <v>0</v>
      </c>
      <c r="CY924">
        <v>0</v>
      </c>
      <c r="CZ924">
        <v>0</v>
      </c>
      <c r="DA924">
        <v>0</v>
      </c>
      <c r="DB924">
        <v>0</v>
      </c>
      <c r="DC924">
        <v>0</v>
      </c>
      <c r="DD924">
        <v>0</v>
      </c>
      <c r="DE924">
        <v>0</v>
      </c>
      <c r="DF924">
        <v>0</v>
      </c>
      <c r="DG924">
        <v>0</v>
      </c>
      <c r="DH924">
        <v>0</v>
      </c>
      <c r="DI924">
        <v>0</v>
      </c>
      <c r="DJ924">
        <v>0</v>
      </c>
      <c r="DK924">
        <v>0</v>
      </c>
      <c r="DL924">
        <v>0</v>
      </c>
      <c r="DM924">
        <v>0</v>
      </c>
      <c r="DN924">
        <v>0</v>
      </c>
      <c r="DO924">
        <v>0</v>
      </c>
      <c r="DP924">
        <v>0</v>
      </c>
      <c r="DQ924">
        <v>0</v>
      </c>
      <c r="DR924">
        <v>0</v>
      </c>
      <c r="DS924">
        <v>0</v>
      </c>
      <c r="DT924">
        <v>0</v>
      </c>
      <c r="DU924">
        <v>0</v>
      </c>
    </row>
    <row r="925" spans="2:125">
      <c r="B925" s="136">
        <v>916</v>
      </c>
      <c r="C925" s="138">
        <v>1</v>
      </c>
      <c r="D925" s="474">
        <v>3180.2167756069152</v>
      </c>
      <c r="E925" s="127">
        <v>256.51272646702222</v>
      </c>
      <c r="F925" s="447">
        <v>0.3717693310002016</v>
      </c>
      <c r="G925" s="127">
        <v>107.73798031871546</v>
      </c>
      <c r="H925" s="132">
        <v>55.05485405910833</v>
      </c>
      <c r="I925" s="456"/>
      <c r="J925" s="45"/>
      <c r="K925" s="45">
        <v>440</v>
      </c>
      <c r="L925" s="463"/>
      <c r="M925" s="456">
        <v>28.032039642333984</v>
      </c>
      <c r="N925" s="457"/>
      <c r="O925" s="456"/>
      <c r="P925" s="46"/>
      <c r="Q925" s="463">
        <v>62.968299865722656</v>
      </c>
      <c r="R925" s="449"/>
      <c r="S925" s="463"/>
      <c r="T925" s="480"/>
      <c r="U925" s="468"/>
      <c r="V925" s="449"/>
      <c r="W925" s="45">
        <v>1203.90869140625</v>
      </c>
      <c r="X925" s="463">
        <v>104.48709106445312</v>
      </c>
      <c r="Y925" s="449"/>
      <c r="Z925" s="45"/>
      <c r="AA925" s="468">
        <v>0.36157021914443382</v>
      </c>
      <c r="AB925" s="456"/>
      <c r="AC925" s="46"/>
      <c r="AD925" s="46"/>
      <c r="AE925" s="46"/>
      <c r="AF925" s="46"/>
      <c r="AG925" s="46"/>
      <c r="AH925" s="46"/>
      <c r="AI925" s="457"/>
      <c r="AJ925" s="138"/>
      <c r="AK925" s="745"/>
      <c r="AL925" s="54"/>
      <c r="AM925" s="468"/>
      <c r="AN925" s="449"/>
      <c r="AO925" s="45"/>
      <c r="AP925" s="45"/>
      <c r="AQ925" s="45"/>
      <c r="AR925" s="45"/>
      <c r="AS925" s="45"/>
      <c r="AT925" s="45"/>
      <c r="AU925" s="463"/>
      <c r="AV925" s="449"/>
      <c r="AW925" s="45"/>
      <c r="AX925" s="45"/>
      <c r="AY925" s="45"/>
      <c r="AZ925" s="45"/>
      <c r="BA925" s="45"/>
      <c r="BB925" s="45"/>
      <c r="BC925" s="463"/>
      <c r="BD925" s="456"/>
      <c r="BE925" s="46"/>
      <c r="BF925" s="46"/>
      <c r="BG925" s="46"/>
      <c r="BH925" s="46"/>
      <c r="BI925" s="46"/>
      <c r="BJ925" s="457"/>
      <c r="BK925" s="449">
        <v>0</v>
      </c>
      <c r="BL925" s="45"/>
      <c r="BM925" s="45"/>
      <c r="BN925" s="45"/>
      <c r="BO925" s="45"/>
      <c r="BP925" s="45"/>
      <c r="BQ925" s="45"/>
      <c r="BR925" s="45"/>
      <c r="BS925" s="45"/>
      <c r="BT925" s="45"/>
      <c r="BU925" s="45"/>
      <c r="BV925" s="45"/>
      <c r="BW925" s="45"/>
      <c r="BX925" s="45"/>
      <c r="BY925" s="45"/>
      <c r="BZ925" s="45"/>
      <c r="CA925" s="45"/>
      <c r="CB925" s="45"/>
      <c r="CC925" s="45"/>
      <c r="CD925" s="463"/>
      <c r="CE925">
        <v>0</v>
      </c>
      <c r="CF925">
        <v>0</v>
      </c>
      <c r="CG925">
        <v>0</v>
      </c>
      <c r="CH925">
        <v>0</v>
      </c>
      <c r="CI925">
        <v>0</v>
      </c>
      <c r="CJ925">
        <v>0</v>
      </c>
      <c r="CK925">
        <v>0</v>
      </c>
      <c r="CL925">
        <v>0</v>
      </c>
      <c r="CM925">
        <v>0</v>
      </c>
      <c r="CN925">
        <v>0</v>
      </c>
      <c r="CO925">
        <v>0</v>
      </c>
      <c r="CP925">
        <v>0</v>
      </c>
      <c r="CQ925">
        <v>0</v>
      </c>
      <c r="CR925">
        <v>0</v>
      </c>
      <c r="CS925">
        <v>0</v>
      </c>
      <c r="CT925">
        <v>0</v>
      </c>
      <c r="CU925">
        <v>0</v>
      </c>
      <c r="CV925">
        <v>0</v>
      </c>
      <c r="CW925">
        <v>0</v>
      </c>
      <c r="CX925">
        <v>0</v>
      </c>
      <c r="CY925">
        <v>0</v>
      </c>
      <c r="CZ925">
        <v>0</v>
      </c>
      <c r="DA925">
        <v>0</v>
      </c>
      <c r="DB925">
        <v>0</v>
      </c>
      <c r="DC925">
        <v>0</v>
      </c>
      <c r="DD925">
        <v>0</v>
      </c>
      <c r="DE925">
        <v>0</v>
      </c>
      <c r="DF925">
        <v>0</v>
      </c>
      <c r="DG925">
        <v>0</v>
      </c>
      <c r="DH925">
        <v>0</v>
      </c>
      <c r="DI925">
        <v>0</v>
      </c>
      <c r="DJ925">
        <v>0</v>
      </c>
      <c r="DK925">
        <v>0</v>
      </c>
      <c r="DL925">
        <v>0</v>
      </c>
      <c r="DM925">
        <v>0</v>
      </c>
      <c r="DN925">
        <v>0</v>
      </c>
      <c r="DO925">
        <v>0</v>
      </c>
      <c r="DP925">
        <v>0</v>
      </c>
      <c r="DQ925">
        <v>0</v>
      </c>
      <c r="DR925">
        <v>0</v>
      </c>
      <c r="DS925">
        <v>0</v>
      </c>
      <c r="DT925">
        <v>0</v>
      </c>
      <c r="DU925">
        <v>0</v>
      </c>
    </row>
    <row r="926" spans="2:125">
      <c r="B926" s="136">
        <v>917</v>
      </c>
      <c r="C926" s="138">
        <v>1</v>
      </c>
      <c r="D926" s="474">
        <v>2978.2598299398514</v>
      </c>
      <c r="E926" s="127">
        <v>243.63723829374666</v>
      </c>
      <c r="F926" s="447">
        <v>0.38483807827878941</v>
      </c>
      <c r="G926" s="127">
        <v>115.53877220516462</v>
      </c>
      <c r="H926" s="132">
        <v>48.535801256343966</v>
      </c>
      <c r="I926" s="456"/>
      <c r="J926" s="45"/>
      <c r="K926" s="45">
        <v>450</v>
      </c>
      <c r="L926" s="463"/>
      <c r="M926" s="456">
        <v>31.302070617675781</v>
      </c>
      <c r="N926" s="457"/>
      <c r="O926" s="456"/>
      <c r="P926" s="46"/>
      <c r="Q926" s="463">
        <v>58.96954345703125</v>
      </c>
      <c r="R926" s="449"/>
      <c r="S926" s="463"/>
      <c r="T926" s="480"/>
      <c r="U926" s="468"/>
      <c r="V926" s="449"/>
      <c r="W926" s="45">
        <v>1280.4046630859375</v>
      </c>
      <c r="X926" s="463">
        <v>110.09376525878906</v>
      </c>
      <c r="Y926" s="449"/>
      <c r="Z926" s="45"/>
      <c r="AA926" s="468">
        <v>0.373859599760266</v>
      </c>
      <c r="AB926" s="456"/>
      <c r="AC926" s="46"/>
      <c r="AD926" s="46"/>
      <c r="AE926" s="46"/>
      <c r="AF926" s="46"/>
      <c r="AG926" s="46"/>
      <c r="AH926" s="46"/>
      <c r="AI926" s="457"/>
      <c r="AJ926" s="138"/>
      <c r="AK926" s="745"/>
      <c r="AL926" s="54"/>
      <c r="AM926" s="468"/>
      <c r="AN926" s="449"/>
      <c r="AO926" s="45"/>
      <c r="AP926" s="45"/>
      <c r="AQ926" s="45"/>
      <c r="AR926" s="45"/>
      <c r="AS926" s="45"/>
      <c r="AT926" s="45"/>
      <c r="AU926" s="463"/>
      <c r="AV926" s="449"/>
      <c r="AW926" s="45"/>
      <c r="AX926" s="45"/>
      <c r="AY926" s="45"/>
      <c r="AZ926" s="45"/>
      <c r="BA926" s="45"/>
      <c r="BB926" s="45"/>
      <c r="BC926" s="463"/>
      <c r="BD926" s="456"/>
      <c r="BE926" s="46"/>
      <c r="BF926" s="46"/>
      <c r="BG926" s="46"/>
      <c r="BH926" s="46"/>
      <c r="BI926" s="46"/>
      <c r="BJ926" s="457"/>
      <c r="BK926" s="449">
        <v>0</v>
      </c>
      <c r="BL926" s="45"/>
      <c r="BM926" s="45"/>
      <c r="BN926" s="45"/>
      <c r="BO926" s="45"/>
      <c r="BP926" s="45"/>
      <c r="BQ926" s="45"/>
      <c r="BR926" s="45"/>
      <c r="BS926" s="45"/>
      <c r="BT926" s="45"/>
      <c r="BU926" s="45"/>
      <c r="BV926" s="45"/>
      <c r="BW926" s="45"/>
      <c r="BX926" s="45"/>
      <c r="BY926" s="45"/>
      <c r="BZ926" s="45"/>
      <c r="CA926" s="45"/>
      <c r="CB926" s="45"/>
      <c r="CC926" s="45"/>
      <c r="CD926" s="463"/>
      <c r="CE926">
        <v>0</v>
      </c>
      <c r="CF926">
        <v>0</v>
      </c>
      <c r="CG926">
        <v>0</v>
      </c>
      <c r="CH926">
        <v>0</v>
      </c>
      <c r="CI926">
        <v>0</v>
      </c>
      <c r="CJ926">
        <v>0</v>
      </c>
      <c r="CK926">
        <v>0</v>
      </c>
      <c r="CL926">
        <v>0</v>
      </c>
      <c r="CM926">
        <v>0</v>
      </c>
      <c r="CN926">
        <v>0</v>
      </c>
      <c r="CO926">
        <v>0</v>
      </c>
      <c r="CP926">
        <v>0</v>
      </c>
      <c r="CQ926">
        <v>0</v>
      </c>
      <c r="CR926">
        <v>0</v>
      </c>
      <c r="CS926">
        <v>0</v>
      </c>
      <c r="CT926">
        <v>0</v>
      </c>
      <c r="CU926">
        <v>0</v>
      </c>
      <c r="CV926">
        <v>0</v>
      </c>
      <c r="CW926">
        <v>0</v>
      </c>
      <c r="CX926">
        <v>0</v>
      </c>
      <c r="CY926">
        <v>0</v>
      </c>
      <c r="CZ926">
        <v>0</v>
      </c>
      <c r="DA926">
        <v>0</v>
      </c>
      <c r="DB926">
        <v>0</v>
      </c>
      <c r="DC926">
        <v>0</v>
      </c>
      <c r="DD926">
        <v>0</v>
      </c>
      <c r="DE926">
        <v>0</v>
      </c>
      <c r="DF926">
        <v>0</v>
      </c>
      <c r="DG926">
        <v>0</v>
      </c>
      <c r="DH926">
        <v>0</v>
      </c>
      <c r="DI926">
        <v>0</v>
      </c>
      <c r="DJ926">
        <v>0</v>
      </c>
      <c r="DK926">
        <v>0</v>
      </c>
      <c r="DL926">
        <v>0</v>
      </c>
      <c r="DM926">
        <v>0</v>
      </c>
      <c r="DN926">
        <v>0</v>
      </c>
      <c r="DO926">
        <v>0</v>
      </c>
      <c r="DP926">
        <v>0</v>
      </c>
      <c r="DQ926">
        <v>0</v>
      </c>
      <c r="DR926">
        <v>0</v>
      </c>
      <c r="DS926">
        <v>0</v>
      </c>
      <c r="DT926">
        <v>0</v>
      </c>
      <c r="DU926">
        <v>0</v>
      </c>
    </row>
    <row r="927" spans="2:125">
      <c r="B927" s="136">
        <v>918</v>
      </c>
      <c r="C927" s="138">
        <v>1</v>
      </c>
      <c r="D927" s="474">
        <v>2779.7242119533821</v>
      </c>
      <c r="E927" s="127">
        <v>223.79527364565647</v>
      </c>
      <c r="F927" s="447">
        <v>0.35990055086003431</v>
      </c>
      <c r="G927" s="127">
        <v>113.64915005875287</v>
      </c>
      <c r="H927" s="132">
        <v>44.123385013425185</v>
      </c>
      <c r="I927" s="456"/>
      <c r="J927" s="45"/>
      <c r="K927" s="45">
        <v>430</v>
      </c>
      <c r="L927" s="463"/>
      <c r="M927" s="456">
        <v>29.945453643798828</v>
      </c>
      <c r="N927" s="457"/>
      <c r="O927" s="456"/>
      <c r="P927" s="46"/>
      <c r="Q927" s="463">
        <v>55.038543701171875</v>
      </c>
      <c r="R927" s="449"/>
      <c r="S927" s="463"/>
      <c r="T927" s="480"/>
      <c r="U927" s="468"/>
      <c r="V927" s="449"/>
      <c r="W927" s="45">
        <v>1152.6370849609375</v>
      </c>
      <c r="X927" s="463">
        <v>100.72202301025391</v>
      </c>
      <c r="Y927" s="449"/>
      <c r="Z927" s="45"/>
      <c r="AA927" s="468">
        <v>0.34831738340811852</v>
      </c>
      <c r="AB927" s="456"/>
      <c r="AC927" s="46"/>
      <c r="AD927" s="46"/>
      <c r="AE927" s="46"/>
      <c r="AF927" s="46"/>
      <c r="AG927" s="46"/>
      <c r="AH927" s="46"/>
      <c r="AI927" s="457"/>
      <c r="AJ927" s="138"/>
      <c r="AK927" s="745"/>
      <c r="AL927" s="54"/>
      <c r="AM927" s="468"/>
      <c r="AN927" s="449"/>
      <c r="AO927" s="45"/>
      <c r="AP927" s="45"/>
      <c r="AQ927" s="45"/>
      <c r="AR927" s="45"/>
      <c r="AS927" s="45"/>
      <c r="AT927" s="45"/>
      <c r="AU927" s="463"/>
      <c r="AV927" s="449"/>
      <c r="AW927" s="45"/>
      <c r="AX927" s="45"/>
      <c r="AY927" s="45"/>
      <c r="AZ927" s="45"/>
      <c r="BA927" s="45"/>
      <c r="BB927" s="45"/>
      <c r="BC927" s="463"/>
      <c r="BD927" s="456"/>
      <c r="BE927" s="46"/>
      <c r="BF927" s="46"/>
      <c r="BG927" s="46"/>
      <c r="BH927" s="46"/>
      <c r="BI927" s="46"/>
      <c r="BJ927" s="457"/>
      <c r="BK927" s="449">
        <v>0</v>
      </c>
      <c r="BL927" s="45"/>
      <c r="BM927" s="45"/>
      <c r="BN927" s="45"/>
      <c r="BO927" s="45"/>
      <c r="BP927" s="45"/>
      <c r="BQ927" s="45"/>
      <c r="BR927" s="45"/>
      <c r="BS927" s="45"/>
      <c r="BT927" s="45"/>
      <c r="BU927" s="45"/>
      <c r="BV927" s="45"/>
      <c r="BW927" s="45"/>
      <c r="BX927" s="45"/>
      <c r="BY927" s="45"/>
      <c r="BZ927" s="45"/>
      <c r="CA927" s="45"/>
      <c r="CB927" s="45"/>
      <c r="CC927" s="45"/>
      <c r="CD927" s="463"/>
      <c r="CE927">
        <v>0</v>
      </c>
      <c r="CF927">
        <v>0</v>
      </c>
      <c r="CG927">
        <v>0</v>
      </c>
      <c r="CH927">
        <v>0</v>
      </c>
      <c r="CI927">
        <v>0</v>
      </c>
      <c r="CJ927">
        <v>0</v>
      </c>
      <c r="CK927">
        <v>0</v>
      </c>
      <c r="CL927">
        <v>0</v>
      </c>
      <c r="CM927">
        <v>0</v>
      </c>
      <c r="CN927">
        <v>0</v>
      </c>
      <c r="CO927">
        <v>0</v>
      </c>
      <c r="CP927">
        <v>0</v>
      </c>
      <c r="CQ927">
        <v>0</v>
      </c>
      <c r="CR927">
        <v>0</v>
      </c>
      <c r="CS927">
        <v>0</v>
      </c>
      <c r="CT927">
        <v>0</v>
      </c>
      <c r="CU927">
        <v>0</v>
      </c>
      <c r="CV927">
        <v>0</v>
      </c>
      <c r="CW927">
        <v>0</v>
      </c>
      <c r="CX927">
        <v>0</v>
      </c>
      <c r="CY927">
        <v>0</v>
      </c>
      <c r="CZ927">
        <v>0</v>
      </c>
      <c r="DA927">
        <v>0</v>
      </c>
      <c r="DB927">
        <v>0</v>
      </c>
      <c r="DC927">
        <v>0</v>
      </c>
      <c r="DD927">
        <v>0</v>
      </c>
      <c r="DE927">
        <v>0</v>
      </c>
      <c r="DF927">
        <v>0</v>
      </c>
      <c r="DG927">
        <v>0</v>
      </c>
      <c r="DH927">
        <v>0</v>
      </c>
      <c r="DI927">
        <v>0</v>
      </c>
      <c r="DJ927">
        <v>0</v>
      </c>
      <c r="DK927">
        <v>0</v>
      </c>
      <c r="DL927">
        <v>0</v>
      </c>
      <c r="DM927">
        <v>0</v>
      </c>
      <c r="DN927">
        <v>0</v>
      </c>
      <c r="DO927">
        <v>0</v>
      </c>
      <c r="DP927">
        <v>0</v>
      </c>
      <c r="DQ927">
        <v>0</v>
      </c>
      <c r="DR927">
        <v>0</v>
      </c>
      <c r="DS927">
        <v>0</v>
      </c>
      <c r="DT927">
        <v>0</v>
      </c>
      <c r="DU927">
        <v>0</v>
      </c>
    </row>
    <row r="928" spans="2:125">
      <c r="B928" s="136">
        <v>919</v>
      </c>
      <c r="C928" s="138">
        <v>1</v>
      </c>
      <c r="D928" s="474">
        <v>3154.6227489681514</v>
      </c>
      <c r="E928" s="127">
        <v>202.78489854243813</v>
      </c>
      <c r="F928" s="447">
        <v>0.44817483135193997</v>
      </c>
      <c r="G928" s="127">
        <v>112.67798841484012</v>
      </c>
      <c r="H928" s="132">
        <v>53.205968136041648</v>
      </c>
      <c r="I928" s="456"/>
      <c r="J928" s="45"/>
      <c r="K928" s="45">
        <v>460</v>
      </c>
      <c r="L928" s="463"/>
      <c r="M928" s="456">
        <v>38.733135223388672</v>
      </c>
      <c r="N928" s="457"/>
      <c r="O928" s="456"/>
      <c r="P928" s="46"/>
      <c r="Q928" s="463">
        <v>62.461532592773438</v>
      </c>
      <c r="R928" s="449"/>
      <c r="S928" s="463"/>
      <c r="T928" s="480"/>
      <c r="U928" s="468"/>
      <c r="V928" s="449"/>
      <c r="W928" s="45">
        <v>1620.8623046875</v>
      </c>
      <c r="X928" s="463">
        <v>134.90425109863281</v>
      </c>
      <c r="Y928" s="449"/>
      <c r="Z928" s="45"/>
      <c r="AA928" s="468">
        <v>0.43740856884459334</v>
      </c>
      <c r="AB928" s="456"/>
      <c r="AC928" s="46"/>
      <c r="AD928" s="46"/>
      <c r="AE928" s="46"/>
      <c r="AF928" s="46"/>
      <c r="AG928" s="46"/>
      <c r="AH928" s="46"/>
      <c r="AI928" s="457"/>
      <c r="AJ928" s="138"/>
      <c r="AK928" s="745"/>
      <c r="AL928" s="54"/>
      <c r="AM928" s="468"/>
      <c r="AN928" s="449"/>
      <c r="AO928" s="45"/>
      <c r="AP928" s="45"/>
      <c r="AQ928" s="45"/>
      <c r="AR928" s="45"/>
      <c r="AS928" s="45"/>
      <c r="AT928" s="45"/>
      <c r="AU928" s="463"/>
      <c r="AV928" s="449"/>
      <c r="AW928" s="45"/>
      <c r="AX928" s="45"/>
      <c r="AY928" s="45"/>
      <c r="AZ928" s="45"/>
      <c r="BA928" s="45"/>
      <c r="BB928" s="45"/>
      <c r="BC928" s="463"/>
      <c r="BD928" s="456"/>
      <c r="BE928" s="46"/>
      <c r="BF928" s="46"/>
      <c r="BG928" s="46"/>
      <c r="BH928" s="46"/>
      <c r="BI928" s="46"/>
      <c r="BJ928" s="457"/>
      <c r="BK928" s="449">
        <v>0</v>
      </c>
      <c r="BL928" s="45"/>
      <c r="BM928" s="45"/>
      <c r="BN928" s="45"/>
      <c r="BO928" s="45"/>
      <c r="BP928" s="45"/>
      <c r="BQ928" s="45"/>
      <c r="BR928" s="45"/>
      <c r="BS928" s="45"/>
      <c r="BT928" s="45"/>
      <c r="BU928" s="45"/>
      <c r="BV928" s="45"/>
      <c r="BW928" s="45"/>
      <c r="BX928" s="45"/>
      <c r="BY928" s="45"/>
      <c r="BZ928" s="45"/>
      <c r="CA928" s="45"/>
      <c r="CB928" s="45"/>
      <c r="CC928" s="45"/>
      <c r="CD928" s="463"/>
      <c r="CE928">
        <v>0</v>
      </c>
      <c r="CF928">
        <v>0</v>
      </c>
      <c r="CG928">
        <v>0</v>
      </c>
      <c r="CH928">
        <v>0</v>
      </c>
      <c r="CI928">
        <v>0</v>
      </c>
      <c r="CJ928">
        <v>0</v>
      </c>
      <c r="CK928">
        <v>0</v>
      </c>
      <c r="CL928">
        <v>0</v>
      </c>
      <c r="CM928">
        <v>0</v>
      </c>
      <c r="CN928">
        <v>0</v>
      </c>
      <c r="CO928">
        <v>0</v>
      </c>
      <c r="CP928">
        <v>0</v>
      </c>
      <c r="CQ928">
        <v>0</v>
      </c>
      <c r="CR928">
        <v>0</v>
      </c>
      <c r="CS928">
        <v>0</v>
      </c>
      <c r="CT928">
        <v>0</v>
      </c>
      <c r="CU928">
        <v>0</v>
      </c>
      <c r="CV928">
        <v>0</v>
      </c>
      <c r="CW928">
        <v>0</v>
      </c>
      <c r="CX928">
        <v>0</v>
      </c>
      <c r="CY928">
        <v>0</v>
      </c>
      <c r="CZ928">
        <v>0</v>
      </c>
      <c r="DA928">
        <v>0</v>
      </c>
      <c r="DB928">
        <v>0</v>
      </c>
      <c r="DC928">
        <v>0</v>
      </c>
      <c r="DD928">
        <v>0</v>
      </c>
      <c r="DE928">
        <v>0</v>
      </c>
      <c r="DF928">
        <v>0</v>
      </c>
      <c r="DG928">
        <v>0</v>
      </c>
      <c r="DH928">
        <v>0</v>
      </c>
      <c r="DI928">
        <v>0</v>
      </c>
      <c r="DJ928">
        <v>0</v>
      </c>
      <c r="DK928">
        <v>0</v>
      </c>
      <c r="DL928">
        <v>0</v>
      </c>
      <c r="DM928">
        <v>0</v>
      </c>
      <c r="DN928">
        <v>0</v>
      </c>
      <c r="DO928">
        <v>0</v>
      </c>
      <c r="DP928">
        <v>0</v>
      </c>
      <c r="DQ928">
        <v>0</v>
      </c>
      <c r="DR928">
        <v>0</v>
      </c>
      <c r="DS928">
        <v>0</v>
      </c>
      <c r="DT928">
        <v>0</v>
      </c>
      <c r="DU928">
        <v>0</v>
      </c>
    </row>
    <row r="929" spans="2:125">
      <c r="B929" s="136">
        <v>920</v>
      </c>
      <c r="C929" s="138">
        <v>1</v>
      </c>
      <c r="D929" s="474">
        <v>2933.3339167424656</v>
      </c>
      <c r="E929" s="127">
        <v>216.75248255390619</v>
      </c>
      <c r="F929" s="447">
        <v>0.42329063601609951</v>
      </c>
      <c r="G929" s="127">
        <v>106.27593774830063</v>
      </c>
      <c r="H929" s="132">
        <v>58.299306700795334</v>
      </c>
      <c r="I929" s="456"/>
      <c r="J929" s="45"/>
      <c r="K929" s="45">
        <v>460</v>
      </c>
      <c r="L929" s="463"/>
      <c r="M929" s="456">
        <v>33.240615844726562</v>
      </c>
      <c r="N929" s="457"/>
      <c r="O929" s="456"/>
      <c r="P929" s="46"/>
      <c r="Q929" s="463">
        <v>66.268539428710938</v>
      </c>
      <c r="R929" s="449"/>
      <c r="S929" s="463"/>
      <c r="T929" s="480"/>
      <c r="U929" s="468"/>
      <c r="V929" s="449"/>
      <c r="W929" s="45">
        <v>1455.5302734375</v>
      </c>
      <c r="X929" s="463">
        <v>122.85687255859375</v>
      </c>
      <c r="Y929" s="449"/>
      <c r="Z929" s="45"/>
      <c r="AA929" s="468">
        <v>0.41188183849417037</v>
      </c>
      <c r="AB929" s="456"/>
      <c r="AC929" s="46"/>
      <c r="AD929" s="46"/>
      <c r="AE929" s="46"/>
      <c r="AF929" s="46"/>
      <c r="AG929" s="46"/>
      <c r="AH929" s="46"/>
      <c r="AI929" s="457"/>
      <c r="AJ929" s="138"/>
      <c r="AK929" s="745"/>
      <c r="AL929" s="54"/>
      <c r="AM929" s="468"/>
      <c r="AN929" s="449"/>
      <c r="AO929" s="45"/>
      <c r="AP929" s="45"/>
      <c r="AQ929" s="45"/>
      <c r="AR929" s="45"/>
      <c r="AS929" s="45"/>
      <c r="AT929" s="45"/>
      <c r="AU929" s="463"/>
      <c r="AV929" s="449"/>
      <c r="AW929" s="45"/>
      <c r="AX929" s="45"/>
      <c r="AY929" s="45"/>
      <c r="AZ929" s="45"/>
      <c r="BA929" s="45"/>
      <c r="BB929" s="45"/>
      <c r="BC929" s="463"/>
      <c r="BD929" s="456"/>
      <c r="BE929" s="46"/>
      <c r="BF929" s="46"/>
      <c r="BG929" s="46"/>
      <c r="BH929" s="46"/>
      <c r="BI929" s="46"/>
      <c r="BJ929" s="457"/>
      <c r="BK929" s="449">
        <v>0</v>
      </c>
      <c r="BL929" s="45"/>
      <c r="BM929" s="45"/>
      <c r="BN929" s="45"/>
      <c r="BO929" s="45"/>
      <c r="BP929" s="45"/>
      <c r="BQ929" s="45"/>
      <c r="BR929" s="45"/>
      <c r="BS929" s="45"/>
      <c r="BT929" s="45"/>
      <c r="BU929" s="45"/>
      <c r="BV929" s="45"/>
      <c r="BW929" s="45"/>
      <c r="BX929" s="45"/>
      <c r="BY929" s="45"/>
      <c r="BZ929" s="45"/>
      <c r="CA929" s="45"/>
      <c r="CB929" s="45"/>
      <c r="CC929" s="45"/>
      <c r="CD929" s="463"/>
      <c r="CE929">
        <v>0</v>
      </c>
      <c r="CF929">
        <v>0</v>
      </c>
      <c r="CG929">
        <v>0</v>
      </c>
      <c r="CH929">
        <v>0</v>
      </c>
      <c r="CI929">
        <v>0</v>
      </c>
      <c r="CJ929">
        <v>0</v>
      </c>
      <c r="CK929">
        <v>0</v>
      </c>
      <c r="CL929">
        <v>0</v>
      </c>
      <c r="CM929">
        <v>0</v>
      </c>
      <c r="CN929">
        <v>0</v>
      </c>
      <c r="CO929">
        <v>0</v>
      </c>
      <c r="CP929">
        <v>0</v>
      </c>
      <c r="CQ929">
        <v>0</v>
      </c>
      <c r="CR929">
        <v>0</v>
      </c>
      <c r="CS929">
        <v>0</v>
      </c>
      <c r="CT929">
        <v>0</v>
      </c>
      <c r="CU929">
        <v>0</v>
      </c>
      <c r="CV929">
        <v>0</v>
      </c>
      <c r="CW929">
        <v>0</v>
      </c>
      <c r="CX929">
        <v>0</v>
      </c>
      <c r="CY929">
        <v>0</v>
      </c>
      <c r="CZ929">
        <v>0</v>
      </c>
      <c r="DA929">
        <v>0</v>
      </c>
      <c r="DB929">
        <v>0</v>
      </c>
      <c r="DC929">
        <v>0</v>
      </c>
      <c r="DD929">
        <v>0</v>
      </c>
      <c r="DE929">
        <v>0</v>
      </c>
      <c r="DF929">
        <v>0</v>
      </c>
      <c r="DG929">
        <v>0</v>
      </c>
      <c r="DH929">
        <v>0</v>
      </c>
      <c r="DI929">
        <v>0</v>
      </c>
      <c r="DJ929">
        <v>0</v>
      </c>
      <c r="DK929">
        <v>0</v>
      </c>
      <c r="DL929">
        <v>0</v>
      </c>
      <c r="DM929">
        <v>0</v>
      </c>
      <c r="DN929">
        <v>0</v>
      </c>
      <c r="DO929">
        <v>0</v>
      </c>
      <c r="DP929">
        <v>0</v>
      </c>
      <c r="DQ929">
        <v>0</v>
      </c>
      <c r="DR929">
        <v>0</v>
      </c>
      <c r="DS929">
        <v>0</v>
      </c>
      <c r="DT929">
        <v>0</v>
      </c>
      <c r="DU929">
        <v>0</v>
      </c>
    </row>
    <row r="930" spans="2:125">
      <c r="B930" s="136">
        <v>921</v>
      </c>
      <c r="C930" s="138">
        <v>1</v>
      </c>
      <c r="D930" s="474">
        <v>3792.3608952035715</v>
      </c>
      <c r="E930" s="127">
        <v>270.91368730638141</v>
      </c>
      <c r="F930" s="447">
        <v>0.43818078891976198</v>
      </c>
      <c r="G930" s="127">
        <v>151.3020354145149</v>
      </c>
      <c r="H930" s="132">
        <v>54.61431523229102</v>
      </c>
      <c r="I930" s="456"/>
      <c r="J930" s="45"/>
      <c r="K930" s="45">
        <v>590</v>
      </c>
      <c r="L930" s="463"/>
      <c r="M930" s="456">
        <v>41.020126342773438</v>
      </c>
      <c r="N930" s="457"/>
      <c r="O930" s="456"/>
      <c r="P930" s="46"/>
      <c r="Q930" s="463">
        <v>75.0887451171875</v>
      </c>
      <c r="R930" s="449"/>
      <c r="S930" s="463"/>
      <c r="T930" s="480"/>
      <c r="U930" s="468"/>
      <c r="V930" s="449"/>
      <c r="W930" s="45">
        <v>1936.772216796875</v>
      </c>
      <c r="X930" s="463">
        <v>158.39674377441406</v>
      </c>
      <c r="Y930" s="449"/>
      <c r="Z930" s="45"/>
      <c r="AA930" s="468">
        <v>0.42927772913420775</v>
      </c>
      <c r="AB930" s="456"/>
      <c r="AC930" s="46"/>
      <c r="AD930" s="46"/>
      <c r="AE930" s="46"/>
      <c r="AF930" s="46"/>
      <c r="AG930" s="46"/>
      <c r="AH930" s="46"/>
      <c r="AI930" s="457"/>
      <c r="AJ930" s="138"/>
      <c r="AK930" s="745"/>
      <c r="AL930" s="54"/>
      <c r="AM930" s="468"/>
      <c r="AN930" s="449"/>
      <c r="AO930" s="45"/>
      <c r="AP930" s="45"/>
      <c r="AQ930" s="45"/>
      <c r="AR930" s="45"/>
      <c r="AS930" s="45"/>
      <c r="AT930" s="45"/>
      <c r="AU930" s="463"/>
      <c r="AV930" s="449"/>
      <c r="AW930" s="45"/>
      <c r="AX930" s="45"/>
      <c r="AY930" s="45"/>
      <c r="AZ930" s="45"/>
      <c r="BA930" s="45"/>
      <c r="BB930" s="45"/>
      <c r="BC930" s="463"/>
      <c r="BD930" s="456"/>
      <c r="BE930" s="46"/>
      <c r="BF930" s="46"/>
      <c r="BG930" s="46"/>
      <c r="BH930" s="46"/>
      <c r="BI930" s="46"/>
      <c r="BJ930" s="457"/>
      <c r="BK930" s="449">
        <v>0</v>
      </c>
      <c r="BL930" s="45"/>
      <c r="BM930" s="45"/>
      <c r="BN930" s="45"/>
      <c r="BO930" s="45"/>
      <c r="BP930" s="45"/>
      <c r="BQ930" s="45"/>
      <c r="BR930" s="45"/>
      <c r="BS930" s="45"/>
      <c r="BT930" s="45"/>
      <c r="BU930" s="45"/>
      <c r="BV930" s="45"/>
      <c r="BW930" s="45"/>
      <c r="BX930" s="45"/>
      <c r="BY930" s="45"/>
      <c r="BZ930" s="45"/>
      <c r="CA930" s="45"/>
      <c r="CB930" s="45"/>
      <c r="CC930" s="45"/>
      <c r="CD930" s="463"/>
      <c r="CE930">
        <v>0</v>
      </c>
      <c r="CF930">
        <v>0</v>
      </c>
      <c r="CG930">
        <v>0</v>
      </c>
      <c r="CH930">
        <v>0</v>
      </c>
      <c r="CI930">
        <v>0</v>
      </c>
      <c r="CJ930">
        <v>0</v>
      </c>
      <c r="CK930">
        <v>0</v>
      </c>
      <c r="CL930">
        <v>0</v>
      </c>
      <c r="CM930">
        <v>0</v>
      </c>
      <c r="CN930">
        <v>0</v>
      </c>
      <c r="CO930">
        <v>0</v>
      </c>
      <c r="CP930">
        <v>0</v>
      </c>
      <c r="CQ930">
        <v>0</v>
      </c>
      <c r="CR930">
        <v>0</v>
      </c>
      <c r="CS930">
        <v>0</v>
      </c>
      <c r="CT930">
        <v>0</v>
      </c>
      <c r="CU930">
        <v>0</v>
      </c>
      <c r="CV930">
        <v>0</v>
      </c>
      <c r="CW930">
        <v>0</v>
      </c>
      <c r="CX930">
        <v>0</v>
      </c>
      <c r="CY930">
        <v>0</v>
      </c>
      <c r="CZ930">
        <v>0</v>
      </c>
      <c r="DA930">
        <v>0</v>
      </c>
      <c r="DB930">
        <v>0</v>
      </c>
      <c r="DC930">
        <v>0</v>
      </c>
      <c r="DD930">
        <v>0</v>
      </c>
      <c r="DE930">
        <v>0</v>
      </c>
      <c r="DF930">
        <v>0</v>
      </c>
      <c r="DG930">
        <v>0</v>
      </c>
      <c r="DH930">
        <v>0</v>
      </c>
      <c r="DI930">
        <v>0</v>
      </c>
      <c r="DJ930">
        <v>0</v>
      </c>
      <c r="DK930">
        <v>0</v>
      </c>
      <c r="DL930">
        <v>0</v>
      </c>
      <c r="DM930">
        <v>0</v>
      </c>
      <c r="DN930">
        <v>0</v>
      </c>
      <c r="DO930">
        <v>0</v>
      </c>
      <c r="DP930">
        <v>0</v>
      </c>
      <c r="DQ930">
        <v>0</v>
      </c>
      <c r="DR930">
        <v>0</v>
      </c>
      <c r="DS930">
        <v>0</v>
      </c>
      <c r="DT930">
        <v>0</v>
      </c>
      <c r="DU930">
        <v>0</v>
      </c>
    </row>
    <row r="931" spans="2:125">
      <c r="B931" s="136">
        <v>922</v>
      </c>
      <c r="C931" s="138">
        <v>1</v>
      </c>
      <c r="D931" s="474">
        <v>2897.9213658095509</v>
      </c>
      <c r="E931" s="127">
        <v>280.18383685203793</v>
      </c>
      <c r="F931" s="447">
        <v>0.39890053140173332</v>
      </c>
      <c r="G931" s="127">
        <v>110.81997586578214</v>
      </c>
      <c r="H931" s="132">
        <v>56.503735028528538</v>
      </c>
      <c r="I931" s="456"/>
      <c r="J931" s="45"/>
      <c r="K931" s="45">
        <v>460</v>
      </c>
      <c r="L931" s="463"/>
      <c r="M931" s="456">
        <v>30.895391464233398</v>
      </c>
      <c r="N931" s="457"/>
      <c r="O931" s="456"/>
      <c r="P931" s="46"/>
      <c r="Q931" s="463">
        <v>65.46917724609375</v>
      </c>
      <c r="R931" s="449"/>
      <c r="S931" s="463"/>
      <c r="T931" s="480"/>
      <c r="U931" s="468"/>
      <c r="V931" s="449"/>
      <c r="W931" s="45">
        <v>1356.5517578125</v>
      </c>
      <c r="X931" s="463">
        <v>115.67616271972656</v>
      </c>
      <c r="Y931" s="449"/>
      <c r="Z931" s="45"/>
      <c r="AA931" s="468">
        <v>0.38752064683442999</v>
      </c>
      <c r="AB931" s="456"/>
      <c r="AC931" s="46"/>
      <c r="AD931" s="46"/>
      <c r="AE931" s="46"/>
      <c r="AF931" s="46"/>
      <c r="AG931" s="46"/>
      <c r="AH931" s="46"/>
      <c r="AI931" s="457"/>
      <c r="AJ931" s="138"/>
      <c r="AK931" s="745"/>
      <c r="AL931" s="54"/>
      <c r="AM931" s="468"/>
      <c r="AN931" s="449"/>
      <c r="AO931" s="45"/>
      <c r="AP931" s="45"/>
      <c r="AQ931" s="45"/>
      <c r="AR931" s="45"/>
      <c r="AS931" s="45"/>
      <c r="AT931" s="45"/>
      <c r="AU931" s="463"/>
      <c r="AV931" s="449"/>
      <c r="AW931" s="45"/>
      <c r="AX931" s="45"/>
      <c r="AY931" s="45"/>
      <c r="AZ931" s="45"/>
      <c r="BA931" s="45"/>
      <c r="BB931" s="45"/>
      <c r="BC931" s="463"/>
      <c r="BD931" s="456"/>
      <c r="BE931" s="46"/>
      <c r="BF931" s="46"/>
      <c r="BG931" s="46"/>
      <c r="BH931" s="46"/>
      <c r="BI931" s="46"/>
      <c r="BJ931" s="457"/>
      <c r="BK931" s="449">
        <v>0</v>
      </c>
      <c r="BL931" s="45"/>
      <c r="BM931" s="45"/>
      <c r="BN931" s="45"/>
      <c r="BO931" s="45"/>
      <c r="BP931" s="45"/>
      <c r="BQ931" s="45"/>
      <c r="BR931" s="45"/>
      <c r="BS931" s="45"/>
      <c r="BT931" s="45"/>
      <c r="BU931" s="45"/>
      <c r="BV931" s="45"/>
      <c r="BW931" s="45"/>
      <c r="BX931" s="45"/>
      <c r="BY931" s="45"/>
      <c r="BZ931" s="45"/>
      <c r="CA931" s="45"/>
      <c r="CB931" s="45"/>
      <c r="CC931" s="45"/>
      <c r="CD931" s="463"/>
      <c r="CE931">
        <v>0</v>
      </c>
      <c r="CF931">
        <v>0</v>
      </c>
      <c r="CG931">
        <v>0</v>
      </c>
      <c r="CH931">
        <v>0</v>
      </c>
      <c r="CI931">
        <v>0</v>
      </c>
      <c r="CJ931">
        <v>0</v>
      </c>
      <c r="CK931">
        <v>0</v>
      </c>
      <c r="CL931">
        <v>0</v>
      </c>
      <c r="CM931">
        <v>0</v>
      </c>
      <c r="CN931">
        <v>0</v>
      </c>
      <c r="CO931">
        <v>0</v>
      </c>
      <c r="CP931">
        <v>0</v>
      </c>
      <c r="CQ931">
        <v>0</v>
      </c>
      <c r="CR931">
        <v>0</v>
      </c>
      <c r="CS931">
        <v>0</v>
      </c>
      <c r="CT931">
        <v>0</v>
      </c>
      <c r="CU931">
        <v>0</v>
      </c>
      <c r="CV931">
        <v>0</v>
      </c>
      <c r="CW931">
        <v>0</v>
      </c>
      <c r="CX931">
        <v>0</v>
      </c>
      <c r="CY931">
        <v>0</v>
      </c>
      <c r="CZ931">
        <v>0</v>
      </c>
      <c r="DA931">
        <v>0</v>
      </c>
      <c r="DB931">
        <v>0</v>
      </c>
      <c r="DC931">
        <v>0</v>
      </c>
      <c r="DD931">
        <v>0</v>
      </c>
      <c r="DE931">
        <v>0</v>
      </c>
      <c r="DF931">
        <v>0</v>
      </c>
      <c r="DG931">
        <v>0</v>
      </c>
      <c r="DH931">
        <v>0</v>
      </c>
      <c r="DI931">
        <v>0</v>
      </c>
      <c r="DJ931">
        <v>0</v>
      </c>
      <c r="DK931">
        <v>0</v>
      </c>
      <c r="DL931">
        <v>0</v>
      </c>
      <c r="DM931">
        <v>0</v>
      </c>
      <c r="DN931">
        <v>0</v>
      </c>
      <c r="DO931">
        <v>0</v>
      </c>
      <c r="DP931">
        <v>0</v>
      </c>
      <c r="DQ931">
        <v>0</v>
      </c>
      <c r="DR931">
        <v>0</v>
      </c>
      <c r="DS931">
        <v>0</v>
      </c>
      <c r="DT931">
        <v>0</v>
      </c>
      <c r="DU931">
        <v>0</v>
      </c>
    </row>
    <row r="932" spans="2:125">
      <c r="B932" s="136">
        <v>923</v>
      </c>
      <c r="C932" s="138">
        <v>1</v>
      </c>
      <c r="D932" s="474">
        <v>2893.765047085305</v>
      </c>
      <c r="E932" s="127">
        <v>266.54816212304991</v>
      </c>
      <c r="F932" s="447">
        <v>0.40937270152778665</v>
      </c>
      <c r="G932" s="127">
        <v>111.33877733474361</v>
      </c>
      <c r="H932" s="132">
        <v>47.984107194453337</v>
      </c>
      <c r="I932" s="456"/>
      <c r="J932" s="45"/>
      <c r="K932" s="45">
        <v>440</v>
      </c>
      <c r="L932" s="463"/>
      <c r="M932" s="456">
        <v>33.653160095214844</v>
      </c>
      <c r="N932" s="457"/>
      <c r="O932" s="456"/>
      <c r="P932" s="46"/>
      <c r="Q932" s="463">
        <v>57.296550750732422</v>
      </c>
      <c r="R932" s="449"/>
      <c r="S932" s="463"/>
      <c r="T932" s="480"/>
      <c r="U932" s="468"/>
      <c r="V932" s="449"/>
      <c r="W932" s="45">
        <v>1345.2352294921875</v>
      </c>
      <c r="X932" s="463">
        <v>114.74993133544922</v>
      </c>
      <c r="Y932" s="449"/>
      <c r="Z932" s="45"/>
      <c r="AA932" s="468">
        <v>0.39790409454326892</v>
      </c>
      <c r="AB932" s="456"/>
      <c r="AC932" s="46"/>
      <c r="AD932" s="46"/>
      <c r="AE932" s="46"/>
      <c r="AF932" s="46"/>
      <c r="AG932" s="46"/>
      <c r="AH932" s="46"/>
      <c r="AI932" s="457"/>
      <c r="AJ932" s="138"/>
      <c r="AK932" s="745"/>
      <c r="AL932" s="54"/>
      <c r="AM932" s="468"/>
      <c r="AN932" s="449"/>
      <c r="AO932" s="45"/>
      <c r="AP932" s="45"/>
      <c r="AQ932" s="45"/>
      <c r="AR932" s="45"/>
      <c r="AS932" s="45"/>
      <c r="AT932" s="45"/>
      <c r="AU932" s="463"/>
      <c r="AV932" s="449"/>
      <c r="AW932" s="45"/>
      <c r="AX932" s="45"/>
      <c r="AY932" s="45"/>
      <c r="AZ932" s="45"/>
      <c r="BA932" s="45"/>
      <c r="BB932" s="45"/>
      <c r="BC932" s="463"/>
      <c r="BD932" s="456"/>
      <c r="BE932" s="46"/>
      <c r="BF932" s="46"/>
      <c r="BG932" s="46"/>
      <c r="BH932" s="46"/>
      <c r="BI932" s="46"/>
      <c r="BJ932" s="457"/>
      <c r="BK932" s="449">
        <v>0</v>
      </c>
      <c r="BL932" s="45"/>
      <c r="BM932" s="45"/>
      <c r="BN932" s="45"/>
      <c r="BO932" s="45"/>
      <c r="BP932" s="45"/>
      <c r="BQ932" s="45"/>
      <c r="BR932" s="45"/>
      <c r="BS932" s="45"/>
      <c r="BT932" s="45"/>
      <c r="BU932" s="45"/>
      <c r="BV932" s="45"/>
      <c r="BW932" s="45"/>
      <c r="BX932" s="45"/>
      <c r="BY932" s="45"/>
      <c r="BZ932" s="45"/>
      <c r="CA932" s="45"/>
      <c r="CB932" s="45"/>
      <c r="CC932" s="45"/>
      <c r="CD932" s="463"/>
      <c r="CE932">
        <v>0</v>
      </c>
      <c r="CF932">
        <v>0</v>
      </c>
      <c r="CG932">
        <v>0</v>
      </c>
      <c r="CH932">
        <v>0</v>
      </c>
      <c r="CI932">
        <v>0</v>
      </c>
      <c r="CJ932">
        <v>0</v>
      </c>
      <c r="CK932">
        <v>0</v>
      </c>
      <c r="CL932">
        <v>0</v>
      </c>
      <c r="CM932">
        <v>0</v>
      </c>
      <c r="CN932">
        <v>0</v>
      </c>
      <c r="CO932">
        <v>0</v>
      </c>
      <c r="CP932">
        <v>0</v>
      </c>
      <c r="CQ932">
        <v>0</v>
      </c>
      <c r="CR932">
        <v>0</v>
      </c>
      <c r="CS932">
        <v>0</v>
      </c>
      <c r="CT932">
        <v>0</v>
      </c>
      <c r="CU932">
        <v>0</v>
      </c>
      <c r="CV932">
        <v>0</v>
      </c>
      <c r="CW932">
        <v>0</v>
      </c>
      <c r="CX932">
        <v>0</v>
      </c>
      <c r="CY932">
        <v>0</v>
      </c>
      <c r="CZ932">
        <v>0</v>
      </c>
      <c r="DA932">
        <v>0</v>
      </c>
      <c r="DB932">
        <v>0</v>
      </c>
      <c r="DC932">
        <v>0</v>
      </c>
      <c r="DD932">
        <v>0</v>
      </c>
      <c r="DE932">
        <v>0</v>
      </c>
      <c r="DF932">
        <v>0</v>
      </c>
      <c r="DG932">
        <v>0</v>
      </c>
      <c r="DH932">
        <v>0</v>
      </c>
      <c r="DI932">
        <v>0</v>
      </c>
      <c r="DJ932">
        <v>0</v>
      </c>
      <c r="DK932">
        <v>0</v>
      </c>
      <c r="DL932">
        <v>0</v>
      </c>
      <c r="DM932">
        <v>0</v>
      </c>
      <c r="DN932">
        <v>0</v>
      </c>
      <c r="DO932">
        <v>0</v>
      </c>
      <c r="DP932">
        <v>0</v>
      </c>
      <c r="DQ932">
        <v>0</v>
      </c>
      <c r="DR932">
        <v>0</v>
      </c>
      <c r="DS932">
        <v>0</v>
      </c>
      <c r="DT932">
        <v>0</v>
      </c>
      <c r="DU932">
        <v>0</v>
      </c>
    </row>
    <row r="933" spans="2:125">
      <c r="B933" s="136">
        <v>924</v>
      </c>
      <c r="C933" s="138">
        <v>1</v>
      </c>
      <c r="D933" s="474">
        <v>2748.7427812932656</v>
      </c>
      <c r="E933" s="127">
        <v>273.295466663811</v>
      </c>
      <c r="F933" s="447">
        <v>0.38025473571492518</v>
      </c>
      <c r="G933" s="127">
        <v>103.28860590705634</v>
      </c>
      <c r="H933" s="132">
        <v>47.312792690818512</v>
      </c>
      <c r="I933" s="456"/>
      <c r="J933" s="45"/>
      <c r="K933" s="45">
        <v>410</v>
      </c>
      <c r="L933" s="463"/>
      <c r="M933" s="456">
        <v>30.305519104003906</v>
      </c>
      <c r="N933" s="457"/>
      <c r="O933" s="456"/>
      <c r="P933" s="46"/>
      <c r="Q933" s="463">
        <v>54.42510986328125</v>
      </c>
      <c r="R933" s="449"/>
      <c r="S933" s="463"/>
      <c r="T933" s="480"/>
      <c r="U933" s="468"/>
      <c r="V933" s="449"/>
      <c r="W933" s="45">
        <v>1156.08544921875</v>
      </c>
      <c r="X933" s="463">
        <v>100.86518096923828</v>
      </c>
      <c r="Y933" s="449"/>
      <c r="Z933" s="45"/>
      <c r="AA933" s="468">
        <v>0.36839291476310876</v>
      </c>
      <c r="AB933" s="456"/>
      <c r="AC933" s="46"/>
      <c r="AD933" s="46"/>
      <c r="AE933" s="46"/>
      <c r="AF933" s="46"/>
      <c r="AG933" s="46"/>
      <c r="AH933" s="46"/>
      <c r="AI933" s="457"/>
      <c r="AJ933" s="138"/>
      <c r="AK933" s="745"/>
      <c r="AL933" s="54"/>
      <c r="AM933" s="468"/>
      <c r="AN933" s="449"/>
      <c r="AO933" s="45"/>
      <c r="AP933" s="45"/>
      <c r="AQ933" s="45"/>
      <c r="AR933" s="45"/>
      <c r="AS933" s="45"/>
      <c r="AT933" s="45"/>
      <c r="AU933" s="463"/>
      <c r="AV933" s="449"/>
      <c r="AW933" s="45"/>
      <c r="AX933" s="45"/>
      <c r="AY933" s="45"/>
      <c r="AZ933" s="45"/>
      <c r="BA933" s="45"/>
      <c r="BB933" s="45"/>
      <c r="BC933" s="463"/>
      <c r="BD933" s="456"/>
      <c r="BE933" s="46"/>
      <c r="BF933" s="46"/>
      <c r="BG933" s="46"/>
      <c r="BH933" s="46"/>
      <c r="BI933" s="46"/>
      <c r="BJ933" s="457"/>
      <c r="BK933" s="449">
        <v>0</v>
      </c>
      <c r="BL933" s="45"/>
      <c r="BM933" s="45"/>
      <c r="BN933" s="45"/>
      <c r="BO933" s="45"/>
      <c r="BP933" s="45"/>
      <c r="BQ933" s="45"/>
      <c r="BR933" s="45"/>
      <c r="BS933" s="45"/>
      <c r="BT933" s="45"/>
      <c r="BU933" s="45"/>
      <c r="BV933" s="45"/>
      <c r="BW933" s="45"/>
      <c r="BX933" s="45"/>
      <c r="BY933" s="45"/>
      <c r="BZ933" s="45"/>
      <c r="CA933" s="45"/>
      <c r="CB933" s="45"/>
      <c r="CC933" s="45"/>
      <c r="CD933" s="463"/>
      <c r="CE933">
        <v>0</v>
      </c>
      <c r="CF933">
        <v>0</v>
      </c>
      <c r="CG933">
        <v>0</v>
      </c>
      <c r="CH933">
        <v>0</v>
      </c>
      <c r="CI933">
        <v>0</v>
      </c>
      <c r="CJ933">
        <v>0</v>
      </c>
      <c r="CK933">
        <v>0</v>
      </c>
      <c r="CL933">
        <v>0</v>
      </c>
      <c r="CM933">
        <v>0</v>
      </c>
      <c r="CN933">
        <v>0</v>
      </c>
      <c r="CO933">
        <v>0</v>
      </c>
      <c r="CP933">
        <v>0</v>
      </c>
      <c r="CQ933">
        <v>0</v>
      </c>
      <c r="CR933">
        <v>0</v>
      </c>
      <c r="CS933">
        <v>0</v>
      </c>
      <c r="CT933">
        <v>0</v>
      </c>
      <c r="CU933">
        <v>0</v>
      </c>
      <c r="CV933">
        <v>0</v>
      </c>
      <c r="CW933">
        <v>0</v>
      </c>
      <c r="CX933">
        <v>0</v>
      </c>
      <c r="CY933">
        <v>0</v>
      </c>
      <c r="CZ933">
        <v>0</v>
      </c>
      <c r="DA933">
        <v>0</v>
      </c>
      <c r="DB933">
        <v>0</v>
      </c>
      <c r="DC933">
        <v>0</v>
      </c>
      <c r="DD933">
        <v>0</v>
      </c>
      <c r="DE933">
        <v>0</v>
      </c>
      <c r="DF933">
        <v>0</v>
      </c>
      <c r="DG933">
        <v>0</v>
      </c>
      <c r="DH933">
        <v>0</v>
      </c>
      <c r="DI933">
        <v>0</v>
      </c>
      <c r="DJ933">
        <v>0</v>
      </c>
      <c r="DK933">
        <v>0</v>
      </c>
      <c r="DL933">
        <v>0</v>
      </c>
      <c r="DM933">
        <v>0</v>
      </c>
      <c r="DN933">
        <v>0</v>
      </c>
      <c r="DO933">
        <v>0</v>
      </c>
      <c r="DP933">
        <v>0</v>
      </c>
      <c r="DQ933">
        <v>0</v>
      </c>
      <c r="DR933">
        <v>0</v>
      </c>
      <c r="DS933">
        <v>0</v>
      </c>
      <c r="DT933">
        <v>0</v>
      </c>
      <c r="DU933">
        <v>0</v>
      </c>
    </row>
    <row r="934" spans="2:125">
      <c r="B934" s="136">
        <v>925</v>
      </c>
      <c r="C934" s="138">
        <v>1</v>
      </c>
      <c r="D934" s="474">
        <v>2502.5075830563137</v>
      </c>
      <c r="E934" s="127">
        <v>224.86231505050026</v>
      </c>
      <c r="F934" s="447">
        <v>0.41110745129173859</v>
      </c>
      <c r="G934" s="127">
        <v>82.970356389769123</v>
      </c>
      <c r="H934" s="132">
        <v>48.529837029212473</v>
      </c>
      <c r="I934" s="456"/>
      <c r="J934" s="45"/>
      <c r="K934" s="45">
        <v>350</v>
      </c>
      <c r="L934" s="463"/>
      <c r="M934" s="456">
        <v>31.83538818359375</v>
      </c>
      <c r="N934" s="457"/>
      <c r="O934" s="456"/>
      <c r="P934" s="46"/>
      <c r="Q934" s="463">
        <v>49.549655914306641</v>
      </c>
      <c r="R934" s="449"/>
      <c r="S934" s="463"/>
      <c r="T934" s="480"/>
      <c r="U934" s="468"/>
      <c r="V934" s="449"/>
      <c r="W934" s="45">
        <v>1123.849609375</v>
      </c>
      <c r="X934" s="463">
        <v>98.296127319335938</v>
      </c>
      <c r="Y934" s="449"/>
      <c r="Z934" s="45"/>
      <c r="AA934" s="468">
        <v>0.397831907492882</v>
      </c>
      <c r="AB934" s="456"/>
      <c r="AC934" s="46"/>
      <c r="AD934" s="46"/>
      <c r="AE934" s="46"/>
      <c r="AF934" s="46"/>
      <c r="AG934" s="46"/>
      <c r="AH934" s="46"/>
      <c r="AI934" s="457"/>
      <c r="AJ934" s="138"/>
      <c r="AK934" s="745"/>
      <c r="AL934" s="54"/>
      <c r="AM934" s="468"/>
      <c r="AN934" s="449"/>
      <c r="AO934" s="45"/>
      <c r="AP934" s="45"/>
      <c r="AQ934" s="45"/>
      <c r="AR934" s="45"/>
      <c r="AS934" s="45"/>
      <c r="AT934" s="45"/>
      <c r="AU934" s="463"/>
      <c r="AV934" s="449"/>
      <c r="AW934" s="45"/>
      <c r="AX934" s="45"/>
      <c r="AY934" s="45"/>
      <c r="AZ934" s="45"/>
      <c r="BA934" s="45"/>
      <c r="BB934" s="45"/>
      <c r="BC934" s="463"/>
      <c r="BD934" s="456"/>
      <c r="BE934" s="46"/>
      <c r="BF934" s="46"/>
      <c r="BG934" s="46"/>
      <c r="BH934" s="46"/>
      <c r="BI934" s="46"/>
      <c r="BJ934" s="457"/>
      <c r="BK934" s="449">
        <v>0</v>
      </c>
      <c r="BL934" s="45"/>
      <c r="BM934" s="45"/>
      <c r="BN934" s="45"/>
      <c r="BO934" s="45"/>
      <c r="BP934" s="45"/>
      <c r="BQ934" s="45"/>
      <c r="BR934" s="45"/>
      <c r="BS934" s="45"/>
      <c r="BT934" s="45"/>
      <c r="BU934" s="45"/>
      <c r="BV934" s="45"/>
      <c r="BW934" s="45"/>
      <c r="BX934" s="45"/>
      <c r="BY934" s="45"/>
      <c r="BZ934" s="45"/>
      <c r="CA934" s="45"/>
      <c r="CB934" s="45"/>
      <c r="CC934" s="45"/>
      <c r="CD934" s="463"/>
      <c r="CE934">
        <v>0</v>
      </c>
      <c r="CF934">
        <v>0</v>
      </c>
      <c r="CG934">
        <v>0</v>
      </c>
      <c r="CH934">
        <v>0</v>
      </c>
      <c r="CI934">
        <v>0</v>
      </c>
      <c r="CJ934">
        <v>0</v>
      </c>
      <c r="CK934">
        <v>0</v>
      </c>
      <c r="CL934">
        <v>0</v>
      </c>
      <c r="CM934">
        <v>0</v>
      </c>
      <c r="CN934">
        <v>0</v>
      </c>
      <c r="CO934">
        <v>0</v>
      </c>
      <c r="CP934">
        <v>0</v>
      </c>
      <c r="CQ934">
        <v>0</v>
      </c>
      <c r="CR934">
        <v>0</v>
      </c>
      <c r="CS934">
        <v>0</v>
      </c>
      <c r="CT934">
        <v>0</v>
      </c>
      <c r="CU934">
        <v>0</v>
      </c>
      <c r="CV934">
        <v>0</v>
      </c>
      <c r="CW934">
        <v>0</v>
      </c>
      <c r="CX934">
        <v>0</v>
      </c>
      <c r="CY934">
        <v>0</v>
      </c>
      <c r="CZ934">
        <v>0</v>
      </c>
      <c r="DA934">
        <v>0</v>
      </c>
      <c r="DB934">
        <v>0</v>
      </c>
      <c r="DC934">
        <v>0</v>
      </c>
      <c r="DD934">
        <v>0</v>
      </c>
      <c r="DE934">
        <v>0</v>
      </c>
      <c r="DF934">
        <v>0</v>
      </c>
      <c r="DG934">
        <v>0</v>
      </c>
      <c r="DH934">
        <v>0</v>
      </c>
      <c r="DI934">
        <v>0</v>
      </c>
      <c r="DJ934">
        <v>0</v>
      </c>
      <c r="DK934">
        <v>0</v>
      </c>
      <c r="DL934">
        <v>0</v>
      </c>
      <c r="DM934">
        <v>0</v>
      </c>
      <c r="DN934">
        <v>0</v>
      </c>
      <c r="DO934">
        <v>0</v>
      </c>
      <c r="DP934">
        <v>0</v>
      </c>
      <c r="DQ934">
        <v>0</v>
      </c>
      <c r="DR934">
        <v>0</v>
      </c>
      <c r="DS934">
        <v>0</v>
      </c>
      <c r="DT934">
        <v>0</v>
      </c>
      <c r="DU934">
        <v>0</v>
      </c>
    </row>
    <row r="935" spans="2:125">
      <c r="B935" s="136">
        <v>926</v>
      </c>
      <c r="C935" s="138">
        <v>1</v>
      </c>
      <c r="D935" s="474">
        <v>2815.1901893835911</v>
      </c>
      <c r="E935" s="127">
        <v>204.60550472442463</v>
      </c>
      <c r="F935" s="447">
        <v>0.40737131803088067</v>
      </c>
      <c r="G935" s="127">
        <v>95.486178711154778</v>
      </c>
      <c r="H935" s="132">
        <v>51.414307657743933</v>
      </c>
      <c r="I935" s="456"/>
      <c r="J935" s="45"/>
      <c r="K935" s="45">
        <v>400</v>
      </c>
      <c r="L935" s="463"/>
      <c r="M935" s="456">
        <v>31.550552368164062</v>
      </c>
      <c r="N935" s="457"/>
      <c r="O935" s="456"/>
      <c r="P935" s="46"/>
      <c r="Q935" s="463">
        <v>55.740768432617188</v>
      </c>
      <c r="R935" s="449"/>
      <c r="S935" s="463"/>
      <c r="T935" s="480"/>
      <c r="U935" s="468"/>
      <c r="V935" s="449"/>
      <c r="W935" s="45">
        <v>1230.358642578125</v>
      </c>
      <c r="X935" s="463">
        <v>106.23392486572266</v>
      </c>
      <c r="Y935" s="449"/>
      <c r="Z935" s="45"/>
      <c r="AA935" s="468">
        <v>0.39559682887358666</v>
      </c>
      <c r="AB935" s="456"/>
      <c r="AC935" s="46"/>
      <c r="AD935" s="46"/>
      <c r="AE935" s="46"/>
      <c r="AF935" s="46"/>
      <c r="AG935" s="46"/>
      <c r="AH935" s="46"/>
      <c r="AI935" s="457"/>
      <c r="AJ935" s="138"/>
      <c r="AK935" s="745"/>
      <c r="AL935" s="54"/>
      <c r="AM935" s="468"/>
      <c r="AN935" s="449"/>
      <c r="AO935" s="45"/>
      <c r="AP935" s="45"/>
      <c r="AQ935" s="45"/>
      <c r="AR935" s="45"/>
      <c r="AS935" s="45"/>
      <c r="AT935" s="45"/>
      <c r="AU935" s="463"/>
      <c r="AV935" s="449"/>
      <c r="AW935" s="45"/>
      <c r="AX935" s="45"/>
      <c r="AY935" s="45"/>
      <c r="AZ935" s="45"/>
      <c r="BA935" s="45"/>
      <c r="BB935" s="45"/>
      <c r="BC935" s="463"/>
      <c r="BD935" s="456"/>
      <c r="BE935" s="46"/>
      <c r="BF935" s="46"/>
      <c r="BG935" s="46"/>
      <c r="BH935" s="46"/>
      <c r="BI935" s="46"/>
      <c r="BJ935" s="457"/>
      <c r="BK935" s="449">
        <v>0</v>
      </c>
      <c r="BL935" s="45"/>
      <c r="BM935" s="45"/>
      <c r="BN935" s="45"/>
      <c r="BO935" s="45"/>
      <c r="BP935" s="45"/>
      <c r="BQ935" s="45"/>
      <c r="BR935" s="45"/>
      <c r="BS935" s="45"/>
      <c r="BT935" s="45"/>
      <c r="BU935" s="45"/>
      <c r="BV935" s="45"/>
      <c r="BW935" s="45"/>
      <c r="BX935" s="45"/>
      <c r="BY935" s="45"/>
      <c r="BZ935" s="45"/>
      <c r="CA935" s="45"/>
      <c r="CB935" s="45"/>
      <c r="CC935" s="45"/>
      <c r="CD935" s="463"/>
      <c r="CE935">
        <v>0</v>
      </c>
      <c r="CF935">
        <v>0</v>
      </c>
      <c r="CG935">
        <v>0</v>
      </c>
      <c r="CH935">
        <v>0</v>
      </c>
      <c r="CI935">
        <v>0</v>
      </c>
      <c r="CJ935">
        <v>0</v>
      </c>
      <c r="CK935">
        <v>0</v>
      </c>
      <c r="CL935">
        <v>0</v>
      </c>
      <c r="CM935">
        <v>0</v>
      </c>
      <c r="CN935">
        <v>0</v>
      </c>
      <c r="CO935">
        <v>0</v>
      </c>
      <c r="CP935">
        <v>0</v>
      </c>
      <c r="CQ935">
        <v>0</v>
      </c>
      <c r="CR935">
        <v>0</v>
      </c>
      <c r="CS935">
        <v>0</v>
      </c>
      <c r="CT935">
        <v>0</v>
      </c>
      <c r="CU935">
        <v>0</v>
      </c>
      <c r="CV935">
        <v>0</v>
      </c>
      <c r="CW935">
        <v>0</v>
      </c>
      <c r="CX935">
        <v>0</v>
      </c>
      <c r="CY935">
        <v>0</v>
      </c>
      <c r="CZ935">
        <v>0</v>
      </c>
      <c r="DA935">
        <v>0</v>
      </c>
      <c r="DB935">
        <v>0</v>
      </c>
      <c r="DC935">
        <v>0</v>
      </c>
      <c r="DD935">
        <v>0</v>
      </c>
      <c r="DE935">
        <v>0</v>
      </c>
      <c r="DF935">
        <v>0</v>
      </c>
      <c r="DG935">
        <v>0</v>
      </c>
      <c r="DH935">
        <v>0</v>
      </c>
      <c r="DI935">
        <v>0</v>
      </c>
      <c r="DJ935">
        <v>0</v>
      </c>
      <c r="DK935">
        <v>0</v>
      </c>
      <c r="DL935">
        <v>0</v>
      </c>
      <c r="DM935">
        <v>0</v>
      </c>
      <c r="DN935">
        <v>0</v>
      </c>
      <c r="DO935">
        <v>0</v>
      </c>
      <c r="DP935">
        <v>0</v>
      </c>
      <c r="DQ935">
        <v>0</v>
      </c>
      <c r="DR935">
        <v>0</v>
      </c>
      <c r="DS935">
        <v>0</v>
      </c>
      <c r="DT935">
        <v>0</v>
      </c>
      <c r="DU935">
        <v>0</v>
      </c>
    </row>
    <row r="936" spans="2:125">
      <c r="B936" s="136">
        <v>927</v>
      </c>
      <c r="C936" s="138">
        <v>1</v>
      </c>
      <c r="D936" s="474">
        <v>3146.1508209638851</v>
      </c>
      <c r="E936" s="127">
        <v>190.29623229869861</v>
      </c>
      <c r="F936" s="447">
        <v>0.42789325266024819</v>
      </c>
      <c r="G936" s="127">
        <v>107.51446909228468</v>
      </c>
      <c r="H936" s="132">
        <v>54.485534697139677</v>
      </c>
      <c r="I936" s="456"/>
      <c r="J936" s="45"/>
      <c r="K936" s="45">
        <v>450</v>
      </c>
      <c r="L936" s="463"/>
      <c r="M936" s="456">
        <v>34.573665618896484</v>
      </c>
      <c r="N936" s="457"/>
      <c r="O936" s="456"/>
      <c r="P936" s="46"/>
      <c r="Q936" s="463">
        <v>62.293788909912109</v>
      </c>
      <c r="R936" s="449"/>
      <c r="S936" s="463"/>
      <c r="T936" s="480"/>
      <c r="U936" s="468"/>
      <c r="V936" s="449"/>
      <c r="W936" s="45">
        <v>1455.0018310546875</v>
      </c>
      <c r="X936" s="463">
        <v>122.77621459960937</v>
      </c>
      <c r="Y936" s="449"/>
      <c r="Z936" s="45"/>
      <c r="AA936" s="468">
        <v>0.41722692832843383</v>
      </c>
      <c r="AB936" s="456"/>
      <c r="AC936" s="46"/>
      <c r="AD936" s="46"/>
      <c r="AE936" s="46"/>
      <c r="AF936" s="46"/>
      <c r="AG936" s="46"/>
      <c r="AH936" s="46"/>
      <c r="AI936" s="457"/>
      <c r="AJ936" s="138"/>
      <c r="AK936" s="745"/>
      <c r="AL936" s="54"/>
      <c r="AM936" s="468"/>
      <c r="AN936" s="449"/>
      <c r="AO936" s="45"/>
      <c r="AP936" s="45"/>
      <c r="AQ936" s="45"/>
      <c r="AR936" s="45"/>
      <c r="AS936" s="45"/>
      <c r="AT936" s="45"/>
      <c r="AU936" s="463"/>
      <c r="AV936" s="449"/>
      <c r="AW936" s="45"/>
      <c r="AX936" s="45"/>
      <c r="AY936" s="45"/>
      <c r="AZ936" s="45"/>
      <c r="BA936" s="45"/>
      <c r="BB936" s="45"/>
      <c r="BC936" s="463"/>
      <c r="BD936" s="456"/>
      <c r="BE936" s="46"/>
      <c r="BF936" s="46"/>
      <c r="BG936" s="46"/>
      <c r="BH936" s="46"/>
      <c r="BI936" s="46"/>
      <c r="BJ936" s="457"/>
      <c r="BK936" s="449">
        <v>0</v>
      </c>
      <c r="BL936" s="45"/>
      <c r="BM936" s="45"/>
      <c r="BN936" s="45"/>
      <c r="BO936" s="45"/>
      <c r="BP936" s="45"/>
      <c r="BQ936" s="45"/>
      <c r="BR936" s="45"/>
      <c r="BS936" s="45"/>
      <c r="BT936" s="45"/>
      <c r="BU936" s="45"/>
      <c r="BV936" s="45"/>
      <c r="BW936" s="45"/>
      <c r="BX936" s="45"/>
      <c r="BY936" s="45"/>
      <c r="BZ936" s="45"/>
      <c r="CA936" s="45"/>
      <c r="CB936" s="45"/>
      <c r="CC936" s="45"/>
      <c r="CD936" s="463"/>
      <c r="CE936">
        <v>0</v>
      </c>
      <c r="CF936">
        <v>0</v>
      </c>
      <c r="CG936">
        <v>0</v>
      </c>
      <c r="CH936">
        <v>0</v>
      </c>
      <c r="CI936">
        <v>0</v>
      </c>
      <c r="CJ936">
        <v>0</v>
      </c>
      <c r="CK936">
        <v>0</v>
      </c>
      <c r="CL936">
        <v>0</v>
      </c>
      <c r="CM936">
        <v>0</v>
      </c>
      <c r="CN936">
        <v>0</v>
      </c>
      <c r="CO936">
        <v>0</v>
      </c>
      <c r="CP936">
        <v>0</v>
      </c>
      <c r="CQ936">
        <v>0</v>
      </c>
      <c r="CR936">
        <v>0</v>
      </c>
      <c r="CS936">
        <v>0</v>
      </c>
      <c r="CT936">
        <v>0</v>
      </c>
      <c r="CU936">
        <v>0</v>
      </c>
      <c r="CV936">
        <v>0</v>
      </c>
      <c r="CW936">
        <v>0</v>
      </c>
      <c r="CX936">
        <v>0</v>
      </c>
      <c r="CY936">
        <v>0</v>
      </c>
      <c r="CZ936">
        <v>0</v>
      </c>
      <c r="DA936">
        <v>0</v>
      </c>
      <c r="DB936">
        <v>0</v>
      </c>
      <c r="DC936">
        <v>0</v>
      </c>
      <c r="DD936">
        <v>0</v>
      </c>
      <c r="DE936">
        <v>0</v>
      </c>
      <c r="DF936">
        <v>0</v>
      </c>
      <c r="DG936">
        <v>0</v>
      </c>
      <c r="DH936">
        <v>0</v>
      </c>
      <c r="DI936">
        <v>0</v>
      </c>
      <c r="DJ936">
        <v>0</v>
      </c>
      <c r="DK936">
        <v>0</v>
      </c>
      <c r="DL936">
        <v>0</v>
      </c>
      <c r="DM936">
        <v>0</v>
      </c>
      <c r="DN936">
        <v>0</v>
      </c>
      <c r="DO936">
        <v>0</v>
      </c>
      <c r="DP936">
        <v>0</v>
      </c>
      <c r="DQ936">
        <v>0</v>
      </c>
      <c r="DR936">
        <v>0</v>
      </c>
      <c r="DS936">
        <v>0</v>
      </c>
      <c r="DT936">
        <v>0</v>
      </c>
      <c r="DU936">
        <v>0</v>
      </c>
    </row>
    <row r="937" spans="2:125">
      <c r="B937" s="136">
        <v>928</v>
      </c>
      <c r="C937" s="138">
        <v>1</v>
      </c>
      <c r="D937" s="474">
        <v>3721.3630514179904</v>
      </c>
      <c r="E937" s="127">
        <v>260.11800395583111</v>
      </c>
      <c r="F937" s="447">
        <v>0.40185852329741217</v>
      </c>
      <c r="G937" s="127">
        <v>132.97117568927047</v>
      </c>
      <c r="H937" s="132">
        <v>58.048918518160342</v>
      </c>
      <c r="I937" s="456"/>
      <c r="J937" s="45"/>
      <c r="K937" s="45">
        <v>540</v>
      </c>
      <c r="L937" s="463"/>
      <c r="M937" s="456">
        <v>32.967853546142578</v>
      </c>
      <c r="N937" s="457"/>
      <c r="O937" s="456"/>
      <c r="P937" s="46"/>
      <c r="Q937" s="463">
        <v>73.682991027832031</v>
      </c>
      <c r="R937" s="449"/>
      <c r="S937" s="463"/>
      <c r="T937" s="480"/>
      <c r="U937" s="468"/>
      <c r="V937" s="449"/>
      <c r="W937" s="45">
        <v>1559.657470703125</v>
      </c>
      <c r="X937" s="463">
        <v>130.75602722167969</v>
      </c>
      <c r="Y937" s="449"/>
      <c r="Z937" s="45"/>
      <c r="AA937" s="468">
        <v>0.39298081639016491</v>
      </c>
      <c r="AB937" s="456"/>
      <c r="AC937" s="46"/>
      <c r="AD937" s="46"/>
      <c r="AE937" s="46"/>
      <c r="AF937" s="46"/>
      <c r="AG937" s="46"/>
      <c r="AH937" s="46"/>
      <c r="AI937" s="457"/>
      <c r="AJ937" s="138"/>
      <c r="AK937" s="745"/>
      <c r="AL937" s="54"/>
      <c r="AM937" s="468"/>
      <c r="AN937" s="449"/>
      <c r="AO937" s="45"/>
      <c r="AP937" s="45"/>
      <c r="AQ937" s="45"/>
      <c r="AR937" s="45"/>
      <c r="AS937" s="45"/>
      <c r="AT937" s="45"/>
      <c r="AU937" s="463"/>
      <c r="AV937" s="449"/>
      <c r="AW937" s="45"/>
      <c r="AX937" s="45"/>
      <c r="AY937" s="45"/>
      <c r="AZ937" s="45"/>
      <c r="BA937" s="45"/>
      <c r="BB937" s="45"/>
      <c r="BC937" s="463"/>
      <c r="BD937" s="456"/>
      <c r="BE937" s="46"/>
      <c r="BF937" s="46"/>
      <c r="BG937" s="46"/>
      <c r="BH937" s="46"/>
      <c r="BI937" s="46"/>
      <c r="BJ937" s="457"/>
      <c r="BK937" s="449">
        <v>0</v>
      </c>
      <c r="BL937" s="45"/>
      <c r="BM937" s="45"/>
      <c r="BN937" s="45"/>
      <c r="BO937" s="45"/>
      <c r="BP937" s="45"/>
      <c r="BQ937" s="45"/>
      <c r="BR937" s="45"/>
      <c r="BS937" s="45"/>
      <c r="BT937" s="45"/>
      <c r="BU937" s="45"/>
      <c r="BV937" s="45"/>
      <c r="BW937" s="45"/>
      <c r="BX937" s="45"/>
      <c r="BY937" s="45"/>
      <c r="BZ937" s="45"/>
      <c r="CA937" s="45"/>
      <c r="CB937" s="45"/>
      <c r="CC937" s="45"/>
      <c r="CD937" s="463"/>
      <c r="CE937">
        <v>0</v>
      </c>
      <c r="CF937">
        <v>0</v>
      </c>
      <c r="CG937">
        <v>0</v>
      </c>
      <c r="CH937">
        <v>0</v>
      </c>
      <c r="CI937">
        <v>0</v>
      </c>
      <c r="CJ937">
        <v>0</v>
      </c>
      <c r="CK937">
        <v>0</v>
      </c>
      <c r="CL937">
        <v>0</v>
      </c>
      <c r="CM937">
        <v>0</v>
      </c>
      <c r="CN937">
        <v>0</v>
      </c>
      <c r="CO937">
        <v>0</v>
      </c>
      <c r="CP937">
        <v>0</v>
      </c>
      <c r="CQ937">
        <v>0</v>
      </c>
      <c r="CR937">
        <v>0</v>
      </c>
      <c r="CS937">
        <v>0</v>
      </c>
      <c r="CT937">
        <v>0</v>
      </c>
      <c r="CU937">
        <v>0</v>
      </c>
      <c r="CV937">
        <v>0</v>
      </c>
      <c r="CW937">
        <v>0</v>
      </c>
      <c r="CX937">
        <v>0</v>
      </c>
      <c r="CY937">
        <v>0</v>
      </c>
      <c r="CZ937">
        <v>0</v>
      </c>
      <c r="DA937">
        <v>0</v>
      </c>
      <c r="DB937">
        <v>0</v>
      </c>
      <c r="DC937">
        <v>0</v>
      </c>
      <c r="DD937">
        <v>0</v>
      </c>
      <c r="DE937">
        <v>0</v>
      </c>
      <c r="DF937">
        <v>0</v>
      </c>
      <c r="DG937">
        <v>0</v>
      </c>
      <c r="DH937">
        <v>0</v>
      </c>
      <c r="DI937">
        <v>0</v>
      </c>
      <c r="DJ937">
        <v>0</v>
      </c>
      <c r="DK937">
        <v>0</v>
      </c>
      <c r="DL937">
        <v>0</v>
      </c>
      <c r="DM937">
        <v>0</v>
      </c>
      <c r="DN937">
        <v>0</v>
      </c>
      <c r="DO937">
        <v>0</v>
      </c>
      <c r="DP937">
        <v>0</v>
      </c>
      <c r="DQ937">
        <v>0</v>
      </c>
      <c r="DR937">
        <v>0</v>
      </c>
      <c r="DS937">
        <v>0</v>
      </c>
      <c r="DT937">
        <v>0</v>
      </c>
      <c r="DU937">
        <v>0</v>
      </c>
    </row>
    <row r="938" spans="2:125">
      <c r="B938" s="136">
        <v>929</v>
      </c>
      <c r="C938" s="138">
        <v>1</v>
      </c>
      <c r="D938" s="474">
        <v>3550.79691936172</v>
      </c>
      <c r="E938" s="127">
        <v>257.98784842456928</v>
      </c>
      <c r="F938" s="447">
        <v>0.35195542592409468</v>
      </c>
      <c r="G938" s="127">
        <v>116.60239915538651</v>
      </c>
      <c r="H938" s="132">
        <v>59.153516000317197</v>
      </c>
      <c r="I938" s="456"/>
      <c r="J938" s="45"/>
      <c r="K938" s="45">
        <v>480</v>
      </c>
      <c r="L938" s="463"/>
      <c r="M938" s="456">
        <v>26.357597351074219</v>
      </c>
      <c r="N938" s="457"/>
      <c r="O938" s="456"/>
      <c r="P938" s="46"/>
      <c r="Q938" s="463">
        <v>70.3057861328125</v>
      </c>
      <c r="R938" s="449"/>
      <c r="S938" s="463"/>
      <c r="T938" s="480"/>
      <c r="U938" s="468"/>
      <c r="V938" s="449"/>
      <c r="W938" s="45">
        <v>1230.5048828125</v>
      </c>
      <c r="X938" s="463">
        <v>106.59684753417969</v>
      </c>
      <c r="Y938" s="449"/>
      <c r="Z938" s="45"/>
      <c r="AA938" s="468">
        <v>0.3429323504719955</v>
      </c>
      <c r="AB938" s="456"/>
      <c r="AC938" s="46"/>
      <c r="AD938" s="46"/>
      <c r="AE938" s="46"/>
      <c r="AF938" s="46"/>
      <c r="AG938" s="46"/>
      <c r="AH938" s="46"/>
      <c r="AI938" s="457"/>
      <c r="AJ938" s="138"/>
      <c r="AK938" s="745"/>
      <c r="AL938" s="54"/>
      <c r="AM938" s="468"/>
      <c r="AN938" s="449"/>
      <c r="AO938" s="45"/>
      <c r="AP938" s="45"/>
      <c r="AQ938" s="45"/>
      <c r="AR938" s="45"/>
      <c r="AS938" s="45"/>
      <c r="AT938" s="45"/>
      <c r="AU938" s="463"/>
      <c r="AV938" s="449"/>
      <c r="AW938" s="45"/>
      <c r="AX938" s="45"/>
      <c r="AY938" s="45"/>
      <c r="AZ938" s="45"/>
      <c r="BA938" s="45"/>
      <c r="BB938" s="45"/>
      <c r="BC938" s="463"/>
      <c r="BD938" s="456"/>
      <c r="BE938" s="46"/>
      <c r="BF938" s="46"/>
      <c r="BG938" s="46"/>
      <c r="BH938" s="46"/>
      <c r="BI938" s="46"/>
      <c r="BJ938" s="457"/>
      <c r="BK938" s="449">
        <v>0</v>
      </c>
      <c r="BL938" s="45"/>
      <c r="BM938" s="45"/>
      <c r="BN938" s="45"/>
      <c r="BO938" s="45"/>
      <c r="BP938" s="45"/>
      <c r="BQ938" s="45"/>
      <c r="BR938" s="45"/>
      <c r="BS938" s="45"/>
      <c r="BT938" s="45"/>
      <c r="BU938" s="45"/>
      <c r="BV938" s="45"/>
      <c r="BW938" s="45"/>
      <c r="BX938" s="45"/>
      <c r="BY938" s="45"/>
      <c r="BZ938" s="45"/>
      <c r="CA938" s="45"/>
      <c r="CB938" s="45"/>
      <c r="CC938" s="45"/>
      <c r="CD938" s="463"/>
      <c r="CE938">
        <v>0</v>
      </c>
      <c r="CF938">
        <v>0</v>
      </c>
      <c r="CG938">
        <v>0</v>
      </c>
      <c r="CH938">
        <v>0</v>
      </c>
      <c r="CI938">
        <v>0</v>
      </c>
      <c r="CJ938">
        <v>0</v>
      </c>
      <c r="CK938">
        <v>0</v>
      </c>
      <c r="CL938">
        <v>0</v>
      </c>
      <c r="CM938">
        <v>0</v>
      </c>
      <c r="CN938">
        <v>0</v>
      </c>
      <c r="CO938">
        <v>0</v>
      </c>
      <c r="CP938">
        <v>0</v>
      </c>
      <c r="CQ938">
        <v>0</v>
      </c>
      <c r="CR938">
        <v>0</v>
      </c>
      <c r="CS938">
        <v>0</v>
      </c>
      <c r="CT938">
        <v>0</v>
      </c>
      <c r="CU938">
        <v>0</v>
      </c>
      <c r="CV938">
        <v>0</v>
      </c>
      <c r="CW938">
        <v>0</v>
      </c>
      <c r="CX938">
        <v>0</v>
      </c>
      <c r="CY938">
        <v>0</v>
      </c>
      <c r="CZ938">
        <v>0</v>
      </c>
      <c r="DA938">
        <v>0</v>
      </c>
      <c r="DB938">
        <v>0</v>
      </c>
      <c r="DC938">
        <v>0</v>
      </c>
      <c r="DD938">
        <v>0</v>
      </c>
      <c r="DE938">
        <v>0</v>
      </c>
      <c r="DF938">
        <v>0</v>
      </c>
      <c r="DG938">
        <v>0</v>
      </c>
      <c r="DH938">
        <v>0</v>
      </c>
      <c r="DI938">
        <v>0</v>
      </c>
      <c r="DJ938">
        <v>0</v>
      </c>
      <c r="DK938">
        <v>0</v>
      </c>
      <c r="DL938">
        <v>0</v>
      </c>
      <c r="DM938">
        <v>0</v>
      </c>
      <c r="DN938">
        <v>0</v>
      </c>
      <c r="DO938">
        <v>0</v>
      </c>
      <c r="DP938">
        <v>0</v>
      </c>
      <c r="DQ938">
        <v>0</v>
      </c>
      <c r="DR938">
        <v>0</v>
      </c>
      <c r="DS938">
        <v>0</v>
      </c>
      <c r="DT938">
        <v>0</v>
      </c>
      <c r="DU938">
        <v>0</v>
      </c>
    </row>
    <row r="939" spans="2:125">
      <c r="B939" s="136">
        <v>930</v>
      </c>
      <c r="C939" s="138">
        <v>1</v>
      </c>
      <c r="D939" s="474">
        <v>3014.2386686698774</v>
      </c>
      <c r="E939" s="127">
        <v>270.12080536970524</v>
      </c>
      <c r="F939" s="447">
        <v>0.35446218029797605</v>
      </c>
      <c r="G939" s="127">
        <v>108.33230827107485</v>
      </c>
      <c r="H939" s="132">
        <v>59.128832971228562</v>
      </c>
      <c r="I939" s="456"/>
      <c r="J939" s="45"/>
      <c r="K939" s="45">
        <v>460</v>
      </c>
      <c r="L939" s="463"/>
      <c r="M939" s="456">
        <v>26.136533737182617</v>
      </c>
      <c r="N939" s="457"/>
      <c r="O939" s="456"/>
      <c r="P939" s="46"/>
      <c r="Q939" s="463">
        <v>67.884231567382813</v>
      </c>
      <c r="R939" s="449"/>
      <c r="S939" s="463"/>
      <c r="T939" s="480"/>
      <c r="U939" s="468"/>
      <c r="V939" s="449"/>
      <c r="W939" s="45">
        <v>1187.889892578125</v>
      </c>
      <c r="X939" s="463">
        <v>103.40007781982422</v>
      </c>
      <c r="Y939" s="449"/>
      <c r="Z939" s="45"/>
      <c r="AA939" s="468">
        <v>0.34381629351419324</v>
      </c>
      <c r="AB939" s="456"/>
      <c r="AC939" s="46"/>
      <c r="AD939" s="46"/>
      <c r="AE939" s="46"/>
      <c r="AF939" s="46"/>
      <c r="AG939" s="46"/>
      <c r="AH939" s="46"/>
      <c r="AI939" s="457"/>
      <c r="AJ939" s="138"/>
      <c r="AK939" s="745"/>
      <c r="AL939" s="54"/>
      <c r="AM939" s="468"/>
      <c r="AN939" s="449"/>
      <c r="AO939" s="45"/>
      <c r="AP939" s="45"/>
      <c r="AQ939" s="45"/>
      <c r="AR939" s="45"/>
      <c r="AS939" s="45"/>
      <c r="AT939" s="45"/>
      <c r="AU939" s="463"/>
      <c r="AV939" s="449"/>
      <c r="AW939" s="45"/>
      <c r="AX939" s="45"/>
      <c r="AY939" s="45"/>
      <c r="AZ939" s="45"/>
      <c r="BA939" s="45"/>
      <c r="BB939" s="45"/>
      <c r="BC939" s="463"/>
      <c r="BD939" s="456"/>
      <c r="BE939" s="46"/>
      <c r="BF939" s="46"/>
      <c r="BG939" s="46"/>
      <c r="BH939" s="46"/>
      <c r="BI939" s="46"/>
      <c r="BJ939" s="457"/>
      <c r="BK939" s="449">
        <v>0</v>
      </c>
      <c r="BL939" s="45"/>
      <c r="BM939" s="45"/>
      <c r="BN939" s="45"/>
      <c r="BO939" s="45"/>
      <c r="BP939" s="45"/>
      <c r="BQ939" s="45"/>
      <c r="BR939" s="45"/>
      <c r="BS939" s="45"/>
      <c r="BT939" s="45"/>
      <c r="BU939" s="45"/>
      <c r="BV939" s="45"/>
      <c r="BW939" s="45"/>
      <c r="BX939" s="45"/>
      <c r="BY939" s="45"/>
      <c r="BZ939" s="45"/>
      <c r="CA939" s="45"/>
      <c r="CB939" s="45"/>
      <c r="CC939" s="45"/>
      <c r="CD939" s="463"/>
      <c r="CE939">
        <v>0</v>
      </c>
      <c r="CF939">
        <v>0</v>
      </c>
      <c r="CG939">
        <v>0</v>
      </c>
      <c r="CH939">
        <v>0</v>
      </c>
      <c r="CI939">
        <v>0</v>
      </c>
      <c r="CJ939">
        <v>0</v>
      </c>
      <c r="CK939">
        <v>0</v>
      </c>
      <c r="CL939">
        <v>0</v>
      </c>
      <c r="CM939">
        <v>0</v>
      </c>
      <c r="CN939">
        <v>0</v>
      </c>
      <c r="CO939">
        <v>0</v>
      </c>
      <c r="CP939">
        <v>0</v>
      </c>
      <c r="CQ939">
        <v>0</v>
      </c>
      <c r="CR939">
        <v>0</v>
      </c>
      <c r="CS939">
        <v>0</v>
      </c>
      <c r="CT939">
        <v>0</v>
      </c>
      <c r="CU939">
        <v>0</v>
      </c>
      <c r="CV939">
        <v>0</v>
      </c>
      <c r="CW939">
        <v>0</v>
      </c>
      <c r="CX939">
        <v>0</v>
      </c>
      <c r="CY939">
        <v>0</v>
      </c>
      <c r="CZ939">
        <v>0</v>
      </c>
      <c r="DA939">
        <v>0</v>
      </c>
      <c r="DB939">
        <v>0</v>
      </c>
      <c r="DC939">
        <v>0</v>
      </c>
      <c r="DD939">
        <v>0</v>
      </c>
      <c r="DE939">
        <v>0</v>
      </c>
      <c r="DF939">
        <v>0</v>
      </c>
      <c r="DG939">
        <v>0</v>
      </c>
      <c r="DH939">
        <v>0</v>
      </c>
      <c r="DI939">
        <v>0</v>
      </c>
      <c r="DJ939">
        <v>0</v>
      </c>
      <c r="DK939">
        <v>0</v>
      </c>
      <c r="DL939">
        <v>0</v>
      </c>
      <c r="DM939">
        <v>0</v>
      </c>
      <c r="DN939">
        <v>0</v>
      </c>
      <c r="DO939">
        <v>0</v>
      </c>
      <c r="DP939">
        <v>0</v>
      </c>
      <c r="DQ939">
        <v>0</v>
      </c>
      <c r="DR939">
        <v>0</v>
      </c>
      <c r="DS939">
        <v>0</v>
      </c>
      <c r="DT939">
        <v>0</v>
      </c>
      <c r="DU939">
        <v>0</v>
      </c>
    </row>
    <row r="940" spans="2:125">
      <c r="B940" s="136">
        <v>931</v>
      </c>
      <c r="C940" s="138">
        <v>1</v>
      </c>
      <c r="D940" s="474">
        <v>3122.722893296107</v>
      </c>
      <c r="E940" s="127">
        <v>220.48532564957802</v>
      </c>
      <c r="F940" s="447">
        <v>0.39565526735712525</v>
      </c>
      <c r="G940" s="127">
        <v>114.57061798514279</v>
      </c>
      <c r="H940" s="132">
        <v>52.013459373134467</v>
      </c>
      <c r="I940" s="456"/>
      <c r="J940" s="45"/>
      <c r="K940" s="45">
        <v>460</v>
      </c>
      <c r="L940" s="463"/>
      <c r="M940" s="456">
        <v>31.644660949707031</v>
      </c>
      <c r="N940" s="457"/>
      <c r="O940" s="456"/>
      <c r="P940" s="46"/>
      <c r="Q940" s="463">
        <v>61.829914093017578</v>
      </c>
      <c r="R940" s="449"/>
      <c r="S940" s="463"/>
      <c r="T940" s="480"/>
      <c r="U940" s="468"/>
      <c r="V940" s="449"/>
      <c r="W940" s="45">
        <v>1341.1505126953125</v>
      </c>
      <c r="X940" s="463">
        <v>114.5460205078125</v>
      </c>
      <c r="Y940" s="449"/>
      <c r="Z940" s="45"/>
      <c r="AA940" s="468">
        <v>0.38511539351247487</v>
      </c>
      <c r="AB940" s="456"/>
      <c r="AC940" s="46"/>
      <c r="AD940" s="46"/>
      <c r="AE940" s="46"/>
      <c r="AF940" s="46"/>
      <c r="AG940" s="46"/>
      <c r="AH940" s="46"/>
      <c r="AI940" s="457"/>
      <c r="AJ940" s="138"/>
      <c r="AK940" s="745"/>
      <c r="AL940" s="54"/>
      <c r="AM940" s="468"/>
      <c r="AN940" s="449"/>
      <c r="AO940" s="45"/>
      <c r="AP940" s="45"/>
      <c r="AQ940" s="45"/>
      <c r="AR940" s="45"/>
      <c r="AS940" s="45"/>
      <c r="AT940" s="45"/>
      <c r="AU940" s="463"/>
      <c r="AV940" s="449"/>
      <c r="AW940" s="45"/>
      <c r="AX940" s="45"/>
      <c r="AY940" s="45"/>
      <c r="AZ940" s="45"/>
      <c r="BA940" s="45"/>
      <c r="BB940" s="45"/>
      <c r="BC940" s="463"/>
      <c r="BD940" s="456"/>
      <c r="BE940" s="46"/>
      <c r="BF940" s="46"/>
      <c r="BG940" s="46"/>
      <c r="BH940" s="46"/>
      <c r="BI940" s="46"/>
      <c r="BJ940" s="457"/>
      <c r="BK940" s="449">
        <v>0</v>
      </c>
      <c r="BL940" s="45"/>
      <c r="BM940" s="45"/>
      <c r="BN940" s="45"/>
      <c r="BO940" s="45"/>
      <c r="BP940" s="45"/>
      <c r="BQ940" s="45"/>
      <c r="BR940" s="45"/>
      <c r="BS940" s="45"/>
      <c r="BT940" s="45"/>
      <c r="BU940" s="45"/>
      <c r="BV940" s="45"/>
      <c r="BW940" s="45"/>
      <c r="BX940" s="45"/>
      <c r="BY940" s="45"/>
      <c r="BZ940" s="45"/>
      <c r="CA940" s="45"/>
      <c r="CB940" s="45"/>
      <c r="CC940" s="45"/>
      <c r="CD940" s="463"/>
      <c r="CE940">
        <v>0</v>
      </c>
      <c r="CF940">
        <v>0</v>
      </c>
      <c r="CG940">
        <v>0</v>
      </c>
      <c r="CH940">
        <v>0</v>
      </c>
      <c r="CI940">
        <v>0</v>
      </c>
      <c r="CJ940">
        <v>0</v>
      </c>
      <c r="CK940">
        <v>0</v>
      </c>
      <c r="CL940">
        <v>0</v>
      </c>
      <c r="CM940">
        <v>0</v>
      </c>
      <c r="CN940">
        <v>0</v>
      </c>
      <c r="CO940">
        <v>0</v>
      </c>
      <c r="CP940">
        <v>0</v>
      </c>
      <c r="CQ940">
        <v>0</v>
      </c>
      <c r="CR940">
        <v>0</v>
      </c>
      <c r="CS940">
        <v>0</v>
      </c>
      <c r="CT940">
        <v>0</v>
      </c>
      <c r="CU940">
        <v>0</v>
      </c>
      <c r="CV940">
        <v>0</v>
      </c>
      <c r="CW940">
        <v>0</v>
      </c>
      <c r="CX940">
        <v>0</v>
      </c>
      <c r="CY940">
        <v>0</v>
      </c>
      <c r="CZ940">
        <v>0</v>
      </c>
      <c r="DA940">
        <v>0</v>
      </c>
      <c r="DB940">
        <v>0</v>
      </c>
      <c r="DC940">
        <v>0</v>
      </c>
      <c r="DD940">
        <v>0</v>
      </c>
      <c r="DE940">
        <v>0</v>
      </c>
      <c r="DF940">
        <v>0</v>
      </c>
      <c r="DG940">
        <v>0</v>
      </c>
      <c r="DH940">
        <v>0</v>
      </c>
      <c r="DI940">
        <v>0</v>
      </c>
      <c r="DJ940">
        <v>0</v>
      </c>
      <c r="DK940">
        <v>0</v>
      </c>
      <c r="DL940">
        <v>0</v>
      </c>
      <c r="DM940">
        <v>0</v>
      </c>
      <c r="DN940">
        <v>0</v>
      </c>
      <c r="DO940">
        <v>0</v>
      </c>
      <c r="DP940">
        <v>0</v>
      </c>
      <c r="DQ940">
        <v>0</v>
      </c>
      <c r="DR940">
        <v>0</v>
      </c>
      <c r="DS940">
        <v>0</v>
      </c>
      <c r="DT940">
        <v>0</v>
      </c>
      <c r="DU940">
        <v>0</v>
      </c>
    </row>
    <row r="941" spans="2:125">
      <c r="B941" s="136">
        <v>932</v>
      </c>
      <c r="C941" s="138">
        <v>1</v>
      </c>
      <c r="D941" s="474">
        <v>3638.4573161765011</v>
      </c>
      <c r="E941" s="127">
        <v>229.96510812570128</v>
      </c>
      <c r="F941" s="447">
        <v>0.43546854954488828</v>
      </c>
      <c r="G941" s="127">
        <v>132.16355759468283</v>
      </c>
      <c r="H941" s="132">
        <v>63.200573213498721</v>
      </c>
      <c r="I941" s="456"/>
      <c r="J941" s="45"/>
      <c r="K941" s="45">
        <v>560</v>
      </c>
      <c r="L941" s="463"/>
      <c r="M941" s="456">
        <v>37.288639068603516</v>
      </c>
      <c r="N941" s="457"/>
      <c r="O941" s="456"/>
      <c r="P941" s="46"/>
      <c r="Q941" s="463">
        <v>80.215232849121094</v>
      </c>
      <c r="R941" s="449"/>
      <c r="S941" s="463"/>
      <c r="T941" s="480"/>
      <c r="U941" s="468"/>
      <c r="V941" s="449"/>
      <c r="W941" s="45">
        <v>1828.8519287109375</v>
      </c>
      <c r="X941" s="463">
        <v>150.45013427734375</v>
      </c>
      <c r="Y941" s="449"/>
      <c r="Z941" s="45"/>
      <c r="AA941" s="468">
        <v>0.42620380680872189</v>
      </c>
      <c r="AB941" s="456"/>
      <c r="AC941" s="46"/>
      <c r="AD941" s="46"/>
      <c r="AE941" s="46"/>
      <c r="AF941" s="46"/>
      <c r="AG941" s="46"/>
      <c r="AH941" s="46"/>
      <c r="AI941" s="457"/>
      <c r="AJ941" s="138"/>
      <c r="AK941" s="745"/>
      <c r="AL941" s="54"/>
      <c r="AM941" s="468"/>
      <c r="AN941" s="449"/>
      <c r="AO941" s="45"/>
      <c r="AP941" s="45"/>
      <c r="AQ941" s="45"/>
      <c r="AR941" s="45"/>
      <c r="AS941" s="45"/>
      <c r="AT941" s="45"/>
      <c r="AU941" s="463"/>
      <c r="AV941" s="449"/>
      <c r="AW941" s="45"/>
      <c r="AX941" s="45"/>
      <c r="AY941" s="45"/>
      <c r="AZ941" s="45"/>
      <c r="BA941" s="45"/>
      <c r="BB941" s="45"/>
      <c r="BC941" s="463"/>
      <c r="BD941" s="456"/>
      <c r="BE941" s="46"/>
      <c r="BF941" s="46"/>
      <c r="BG941" s="46"/>
      <c r="BH941" s="46"/>
      <c r="BI941" s="46"/>
      <c r="BJ941" s="457"/>
      <c r="BK941" s="449">
        <v>0</v>
      </c>
      <c r="BL941" s="45"/>
      <c r="BM941" s="45"/>
      <c r="BN941" s="45"/>
      <c r="BO941" s="45"/>
      <c r="BP941" s="45"/>
      <c r="BQ941" s="45"/>
      <c r="BR941" s="45"/>
      <c r="BS941" s="45"/>
      <c r="BT941" s="45"/>
      <c r="BU941" s="45"/>
      <c r="BV941" s="45"/>
      <c r="BW941" s="45"/>
      <c r="BX941" s="45"/>
      <c r="BY941" s="45"/>
      <c r="BZ941" s="45"/>
      <c r="CA941" s="45"/>
      <c r="CB941" s="45"/>
      <c r="CC941" s="45"/>
      <c r="CD941" s="463"/>
      <c r="CE941">
        <v>0</v>
      </c>
      <c r="CF941">
        <v>0</v>
      </c>
      <c r="CG941">
        <v>0</v>
      </c>
      <c r="CH941">
        <v>0</v>
      </c>
      <c r="CI941">
        <v>0</v>
      </c>
      <c r="CJ941">
        <v>0</v>
      </c>
      <c r="CK941">
        <v>0</v>
      </c>
      <c r="CL941">
        <v>0</v>
      </c>
      <c r="CM941">
        <v>0</v>
      </c>
      <c r="CN941">
        <v>0</v>
      </c>
      <c r="CO941">
        <v>0</v>
      </c>
      <c r="CP941">
        <v>0</v>
      </c>
      <c r="CQ941">
        <v>0</v>
      </c>
      <c r="CR941">
        <v>0</v>
      </c>
      <c r="CS941">
        <v>0</v>
      </c>
      <c r="CT941">
        <v>0</v>
      </c>
      <c r="CU941">
        <v>0</v>
      </c>
      <c r="CV941">
        <v>0</v>
      </c>
      <c r="CW941">
        <v>0</v>
      </c>
      <c r="CX941">
        <v>0</v>
      </c>
      <c r="CY941">
        <v>0</v>
      </c>
      <c r="CZ941">
        <v>0</v>
      </c>
      <c r="DA941">
        <v>0</v>
      </c>
      <c r="DB941">
        <v>0</v>
      </c>
      <c r="DC941">
        <v>0</v>
      </c>
      <c r="DD941">
        <v>0</v>
      </c>
      <c r="DE941">
        <v>0</v>
      </c>
      <c r="DF941">
        <v>0</v>
      </c>
      <c r="DG941">
        <v>0</v>
      </c>
      <c r="DH941">
        <v>0</v>
      </c>
      <c r="DI941">
        <v>0</v>
      </c>
      <c r="DJ941">
        <v>0</v>
      </c>
      <c r="DK941">
        <v>0</v>
      </c>
      <c r="DL941">
        <v>0</v>
      </c>
      <c r="DM941">
        <v>0</v>
      </c>
      <c r="DN941">
        <v>0</v>
      </c>
      <c r="DO941">
        <v>0</v>
      </c>
      <c r="DP941">
        <v>0</v>
      </c>
      <c r="DQ941">
        <v>0</v>
      </c>
      <c r="DR941">
        <v>0</v>
      </c>
      <c r="DS941">
        <v>0</v>
      </c>
      <c r="DT941">
        <v>0</v>
      </c>
      <c r="DU941">
        <v>0</v>
      </c>
    </row>
    <row r="942" spans="2:125">
      <c r="B942" s="136">
        <v>933</v>
      </c>
      <c r="C942" s="138">
        <v>1</v>
      </c>
      <c r="D942" s="474">
        <v>3436.3222248044735</v>
      </c>
      <c r="E942" s="127">
        <v>207.51087878035619</v>
      </c>
      <c r="F942" s="447">
        <v>0.4328985818923563</v>
      </c>
      <c r="G942" s="127">
        <v>139.98407284287256</v>
      </c>
      <c r="H942" s="132">
        <v>50.808646850035984</v>
      </c>
      <c r="I942" s="456"/>
      <c r="J942" s="45"/>
      <c r="K942" s="45">
        <v>540</v>
      </c>
      <c r="L942" s="463"/>
      <c r="M942" s="456">
        <v>39.58056640625</v>
      </c>
      <c r="N942" s="457"/>
      <c r="O942" s="456"/>
      <c r="P942" s="46"/>
      <c r="Q942" s="463">
        <v>68.0391845703125</v>
      </c>
      <c r="R942" s="449"/>
      <c r="S942" s="463"/>
      <c r="T942" s="480"/>
      <c r="U942" s="468"/>
      <c r="V942" s="449"/>
      <c r="W942" s="45">
        <v>1762.322021484375</v>
      </c>
      <c r="X942" s="463">
        <v>145.51123046875</v>
      </c>
      <c r="Y942" s="449"/>
      <c r="Z942" s="45"/>
      <c r="AA942" s="468">
        <v>0.4231038160246815</v>
      </c>
      <c r="AB942" s="456"/>
      <c r="AC942" s="46"/>
      <c r="AD942" s="46"/>
      <c r="AE942" s="46"/>
      <c r="AF942" s="46"/>
      <c r="AG942" s="46"/>
      <c r="AH942" s="46"/>
      <c r="AI942" s="457"/>
      <c r="AJ942" s="138"/>
      <c r="AK942" s="745"/>
      <c r="AL942" s="54"/>
      <c r="AM942" s="468"/>
      <c r="AN942" s="449"/>
      <c r="AO942" s="45"/>
      <c r="AP942" s="45"/>
      <c r="AQ942" s="45"/>
      <c r="AR942" s="45"/>
      <c r="AS942" s="45"/>
      <c r="AT942" s="45"/>
      <c r="AU942" s="463"/>
      <c r="AV942" s="449"/>
      <c r="AW942" s="45"/>
      <c r="AX942" s="45"/>
      <c r="AY942" s="45"/>
      <c r="AZ942" s="45"/>
      <c r="BA942" s="45"/>
      <c r="BB942" s="45"/>
      <c r="BC942" s="463"/>
      <c r="BD942" s="456"/>
      <c r="BE942" s="46"/>
      <c r="BF942" s="46"/>
      <c r="BG942" s="46"/>
      <c r="BH942" s="46"/>
      <c r="BI942" s="46"/>
      <c r="BJ942" s="457"/>
      <c r="BK942" s="449">
        <v>0</v>
      </c>
      <c r="BL942" s="45"/>
      <c r="BM942" s="45"/>
      <c r="BN942" s="45"/>
      <c r="BO942" s="45"/>
      <c r="BP942" s="45"/>
      <c r="BQ942" s="45"/>
      <c r="BR942" s="45"/>
      <c r="BS942" s="45"/>
      <c r="BT942" s="45"/>
      <c r="BU942" s="45"/>
      <c r="BV942" s="45"/>
      <c r="BW942" s="45"/>
      <c r="BX942" s="45"/>
      <c r="BY942" s="45"/>
      <c r="BZ942" s="45"/>
      <c r="CA942" s="45"/>
      <c r="CB942" s="45"/>
      <c r="CC942" s="45"/>
      <c r="CD942" s="463"/>
      <c r="CE942">
        <v>0</v>
      </c>
      <c r="CF942">
        <v>0</v>
      </c>
      <c r="CG942">
        <v>0</v>
      </c>
      <c r="CH942">
        <v>0</v>
      </c>
      <c r="CI942">
        <v>0</v>
      </c>
      <c r="CJ942">
        <v>0</v>
      </c>
      <c r="CK942">
        <v>0</v>
      </c>
      <c r="CL942">
        <v>0</v>
      </c>
      <c r="CM942">
        <v>0</v>
      </c>
      <c r="CN942">
        <v>0</v>
      </c>
      <c r="CO942">
        <v>0</v>
      </c>
      <c r="CP942">
        <v>0</v>
      </c>
      <c r="CQ942">
        <v>0</v>
      </c>
      <c r="CR942">
        <v>0</v>
      </c>
      <c r="CS942">
        <v>0</v>
      </c>
      <c r="CT942">
        <v>0</v>
      </c>
      <c r="CU942">
        <v>0</v>
      </c>
      <c r="CV942">
        <v>0</v>
      </c>
      <c r="CW942">
        <v>0</v>
      </c>
      <c r="CX942">
        <v>0</v>
      </c>
      <c r="CY942">
        <v>0</v>
      </c>
      <c r="CZ942">
        <v>0</v>
      </c>
      <c r="DA942">
        <v>0</v>
      </c>
      <c r="DB942">
        <v>0</v>
      </c>
      <c r="DC942">
        <v>0</v>
      </c>
      <c r="DD942">
        <v>0</v>
      </c>
      <c r="DE942">
        <v>0</v>
      </c>
      <c r="DF942">
        <v>0</v>
      </c>
      <c r="DG942">
        <v>0</v>
      </c>
      <c r="DH942">
        <v>0</v>
      </c>
      <c r="DI942">
        <v>0</v>
      </c>
      <c r="DJ942">
        <v>0</v>
      </c>
      <c r="DK942">
        <v>0</v>
      </c>
      <c r="DL942">
        <v>0</v>
      </c>
      <c r="DM942">
        <v>0</v>
      </c>
      <c r="DN942">
        <v>0</v>
      </c>
      <c r="DO942">
        <v>0</v>
      </c>
      <c r="DP942">
        <v>0</v>
      </c>
      <c r="DQ942">
        <v>0</v>
      </c>
      <c r="DR942">
        <v>0</v>
      </c>
      <c r="DS942">
        <v>0</v>
      </c>
      <c r="DT942">
        <v>0</v>
      </c>
      <c r="DU942">
        <v>0</v>
      </c>
    </row>
    <row r="943" spans="2:125">
      <c r="B943" s="136">
        <v>934</v>
      </c>
      <c r="C943" s="138">
        <v>1</v>
      </c>
      <c r="D943" s="474">
        <v>3090.9797671408323</v>
      </c>
      <c r="E943" s="127">
        <v>200.95125163939292</v>
      </c>
      <c r="F943" s="447">
        <v>0.42184287270009713</v>
      </c>
      <c r="G943" s="127">
        <v>107.95350684866303</v>
      </c>
      <c r="H943" s="132">
        <v>53.31024255546189</v>
      </c>
      <c r="I943" s="456"/>
      <c r="J943" s="45"/>
      <c r="K943" s="45">
        <v>440</v>
      </c>
      <c r="L943" s="463"/>
      <c r="M943" s="456">
        <v>33.865585327148438</v>
      </c>
      <c r="N943" s="457"/>
      <c r="O943" s="456"/>
      <c r="P943" s="46"/>
      <c r="Q943" s="463">
        <v>61.201400756835937</v>
      </c>
      <c r="R943" s="449"/>
      <c r="S943" s="463"/>
      <c r="T943" s="480"/>
      <c r="U943" s="468"/>
      <c r="V943" s="449"/>
      <c r="W943" s="45">
        <v>1412.88525390625</v>
      </c>
      <c r="X943" s="463">
        <v>119.69396209716797</v>
      </c>
      <c r="Y943" s="449"/>
      <c r="Z943" s="45"/>
      <c r="AA943" s="468">
        <v>0.41102531322932412</v>
      </c>
      <c r="AB943" s="456"/>
      <c r="AC943" s="46"/>
      <c r="AD943" s="46"/>
      <c r="AE943" s="46"/>
      <c r="AF943" s="46"/>
      <c r="AG943" s="46"/>
      <c r="AH943" s="46"/>
      <c r="AI943" s="457"/>
      <c r="AJ943" s="138"/>
      <c r="AK943" s="745"/>
      <c r="AL943" s="54"/>
      <c r="AM943" s="468"/>
      <c r="AN943" s="449"/>
      <c r="AO943" s="45"/>
      <c r="AP943" s="45"/>
      <c r="AQ943" s="45"/>
      <c r="AR943" s="45"/>
      <c r="AS943" s="45"/>
      <c r="AT943" s="45"/>
      <c r="AU943" s="463"/>
      <c r="AV943" s="449"/>
      <c r="AW943" s="45"/>
      <c r="AX943" s="45"/>
      <c r="AY943" s="45"/>
      <c r="AZ943" s="45"/>
      <c r="BA943" s="45"/>
      <c r="BB943" s="45"/>
      <c r="BC943" s="463"/>
      <c r="BD943" s="456"/>
      <c r="BE943" s="46"/>
      <c r="BF943" s="46"/>
      <c r="BG943" s="46"/>
      <c r="BH943" s="46"/>
      <c r="BI943" s="46"/>
      <c r="BJ943" s="457"/>
      <c r="BK943" s="449">
        <v>0</v>
      </c>
      <c r="BL943" s="45"/>
      <c r="BM943" s="45"/>
      <c r="BN943" s="45"/>
      <c r="BO943" s="45"/>
      <c r="BP943" s="45"/>
      <c r="BQ943" s="45"/>
      <c r="BR943" s="45"/>
      <c r="BS943" s="45"/>
      <c r="BT943" s="45"/>
      <c r="BU943" s="45"/>
      <c r="BV943" s="45"/>
      <c r="BW943" s="45"/>
      <c r="BX943" s="45"/>
      <c r="BY943" s="45"/>
      <c r="BZ943" s="45"/>
      <c r="CA943" s="45"/>
      <c r="CB943" s="45"/>
      <c r="CC943" s="45"/>
      <c r="CD943" s="463"/>
      <c r="CE943">
        <v>0</v>
      </c>
      <c r="CF943">
        <v>0</v>
      </c>
      <c r="CG943">
        <v>0</v>
      </c>
      <c r="CH943">
        <v>0</v>
      </c>
      <c r="CI943">
        <v>0</v>
      </c>
      <c r="CJ943">
        <v>0</v>
      </c>
      <c r="CK943">
        <v>0</v>
      </c>
      <c r="CL943">
        <v>0</v>
      </c>
      <c r="CM943">
        <v>0</v>
      </c>
      <c r="CN943">
        <v>0</v>
      </c>
      <c r="CO943">
        <v>0</v>
      </c>
      <c r="CP943">
        <v>0</v>
      </c>
      <c r="CQ943">
        <v>0</v>
      </c>
      <c r="CR943">
        <v>0</v>
      </c>
      <c r="CS943">
        <v>0</v>
      </c>
      <c r="CT943">
        <v>0</v>
      </c>
      <c r="CU943">
        <v>0</v>
      </c>
      <c r="CV943">
        <v>0</v>
      </c>
      <c r="CW943">
        <v>0</v>
      </c>
      <c r="CX943">
        <v>0</v>
      </c>
      <c r="CY943">
        <v>0</v>
      </c>
      <c r="CZ943">
        <v>0</v>
      </c>
      <c r="DA943">
        <v>0</v>
      </c>
      <c r="DB943">
        <v>0</v>
      </c>
      <c r="DC943">
        <v>0</v>
      </c>
      <c r="DD943">
        <v>0</v>
      </c>
      <c r="DE943">
        <v>0</v>
      </c>
      <c r="DF943">
        <v>0</v>
      </c>
      <c r="DG943">
        <v>0</v>
      </c>
      <c r="DH943">
        <v>0</v>
      </c>
      <c r="DI943">
        <v>0</v>
      </c>
      <c r="DJ943">
        <v>0</v>
      </c>
      <c r="DK943">
        <v>0</v>
      </c>
      <c r="DL943">
        <v>0</v>
      </c>
      <c r="DM943">
        <v>0</v>
      </c>
      <c r="DN943">
        <v>0</v>
      </c>
      <c r="DO943">
        <v>0</v>
      </c>
      <c r="DP943">
        <v>0</v>
      </c>
      <c r="DQ943">
        <v>0</v>
      </c>
      <c r="DR943">
        <v>0</v>
      </c>
      <c r="DS943">
        <v>0</v>
      </c>
      <c r="DT943">
        <v>0</v>
      </c>
      <c r="DU943">
        <v>0</v>
      </c>
    </row>
    <row r="944" spans="2:125">
      <c r="B944" s="136">
        <v>935</v>
      </c>
      <c r="C944" s="138">
        <v>1</v>
      </c>
      <c r="D944" s="474">
        <v>2910.3097228311008</v>
      </c>
      <c r="E944" s="127">
        <v>276.74991712566151</v>
      </c>
      <c r="F944" s="447">
        <v>0.40392564390245284</v>
      </c>
      <c r="G944" s="127">
        <v>109.23445669790999</v>
      </c>
      <c r="H944" s="132">
        <v>57.143670940603563</v>
      </c>
      <c r="I944" s="456"/>
      <c r="J944" s="45"/>
      <c r="K944" s="45">
        <v>460</v>
      </c>
      <c r="L944" s="463"/>
      <c r="M944" s="456">
        <v>31.158851623535156</v>
      </c>
      <c r="N944" s="457"/>
      <c r="O944" s="456"/>
      <c r="P944" s="46"/>
      <c r="Q944" s="463">
        <v>65.748741149902344</v>
      </c>
      <c r="R944" s="449"/>
      <c r="S944" s="463"/>
      <c r="T944" s="480"/>
      <c r="U944" s="468"/>
      <c r="V944" s="449"/>
      <c r="W944" s="45">
        <v>1368.491455078125</v>
      </c>
      <c r="X944" s="463">
        <v>116.53024291992187</v>
      </c>
      <c r="Y944" s="449"/>
      <c r="Z944" s="45"/>
      <c r="AA944" s="468">
        <v>0.39255966707237483</v>
      </c>
      <c r="AB944" s="456"/>
      <c r="AC944" s="46"/>
      <c r="AD944" s="46"/>
      <c r="AE944" s="46"/>
      <c r="AF944" s="46"/>
      <c r="AG944" s="46"/>
      <c r="AH944" s="46"/>
      <c r="AI944" s="457"/>
      <c r="AJ944" s="138"/>
      <c r="AK944" s="745"/>
      <c r="AL944" s="54"/>
      <c r="AM944" s="468"/>
      <c r="AN944" s="449"/>
      <c r="AO944" s="45"/>
      <c r="AP944" s="45"/>
      <c r="AQ944" s="45"/>
      <c r="AR944" s="45"/>
      <c r="AS944" s="45"/>
      <c r="AT944" s="45"/>
      <c r="AU944" s="463"/>
      <c r="AV944" s="449"/>
      <c r="AW944" s="45"/>
      <c r="AX944" s="45"/>
      <c r="AY944" s="45"/>
      <c r="AZ944" s="45"/>
      <c r="BA944" s="45"/>
      <c r="BB944" s="45"/>
      <c r="BC944" s="463"/>
      <c r="BD944" s="456"/>
      <c r="BE944" s="46"/>
      <c r="BF944" s="46"/>
      <c r="BG944" s="46"/>
      <c r="BH944" s="46"/>
      <c r="BI944" s="46"/>
      <c r="BJ944" s="457"/>
      <c r="BK944" s="449">
        <v>0</v>
      </c>
      <c r="BL944" s="45"/>
      <c r="BM944" s="45"/>
      <c r="BN944" s="45"/>
      <c r="BO944" s="45"/>
      <c r="BP944" s="45"/>
      <c r="BQ944" s="45"/>
      <c r="BR944" s="45"/>
      <c r="BS944" s="45"/>
      <c r="BT944" s="45"/>
      <c r="BU944" s="45"/>
      <c r="BV944" s="45"/>
      <c r="BW944" s="45"/>
      <c r="BX944" s="45"/>
      <c r="BY944" s="45"/>
      <c r="BZ944" s="45"/>
      <c r="CA944" s="45"/>
      <c r="CB944" s="45"/>
      <c r="CC944" s="45"/>
      <c r="CD944" s="463"/>
      <c r="CE944">
        <v>0</v>
      </c>
      <c r="CF944">
        <v>0</v>
      </c>
      <c r="CG944">
        <v>0</v>
      </c>
      <c r="CH944">
        <v>0</v>
      </c>
      <c r="CI944">
        <v>0</v>
      </c>
      <c r="CJ944">
        <v>0</v>
      </c>
      <c r="CK944">
        <v>0</v>
      </c>
      <c r="CL944">
        <v>0</v>
      </c>
      <c r="CM944">
        <v>0</v>
      </c>
      <c r="CN944">
        <v>0</v>
      </c>
      <c r="CO944">
        <v>0</v>
      </c>
      <c r="CP944">
        <v>0</v>
      </c>
      <c r="CQ944">
        <v>0</v>
      </c>
      <c r="CR944">
        <v>0</v>
      </c>
      <c r="CS944">
        <v>0</v>
      </c>
      <c r="CT944">
        <v>0</v>
      </c>
      <c r="CU944">
        <v>0</v>
      </c>
      <c r="CV944">
        <v>0</v>
      </c>
      <c r="CW944">
        <v>0</v>
      </c>
      <c r="CX944">
        <v>0</v>
      </c>
      <c r="CY944">
        <v>0</v>
      </c>
      <c r="CZ944">
        <v>0</v>
      </c>
      <c r="DA944">
        <v>0</v>
      </c>
      <c r="DB944">
        <v>0</v>
      </c>
      <c r="DC944">
        <v>0</v>
      </c>
      <c r="DD944">
        <v>0</v>
      </c>
      <c r="DE944">
        <v>0</v>
      </c>
      <c r="DF944">
        <v>0</v>
      </c>
      <c r="DG944">
        <v>0</v>
      </c>
      <c r="DH944">
        <v>0</v>
      </c>
      <c r="DI944">
        <v>0</v>
      </c>
      <c r="DJ944">
        <v>0</v>
      </c>
      <c r="DK944">
        <v>0</v>
      </c>
      <c r="DL944">
        <v>0</v>
      </c>
      <c r="DM944">
        <v>0</v>
      </c>
      <c r="DN944">
        <v>0</v>
      </c>
      <c r="DO944">
        <v>0</v>
      </c>
      <c r="DP944">
        <v>0</v>
      </c>
      <c r="DQ944">
        <v>0</v>
      </c>
      <c r="DR944">
        <v>0</v>
      </c>
      <c r="DS944">
        <v>0</v>
      </c>
      <c r="DT944">
        <v>0</v>
      </c>
      <c r="DU944">
        <v>0</v>
      </c>
    </row>
    <row r="945" spans="2:125">
      <c r="B945" s="136">
        <v>936</v>
      </c>
      <c r="C945" s="138">
        <v>1</v>
      </c>
      <c r="D945" s="474">
        <v>3931.1474548696428</v>
      </c>
      <c r="E945" s="127">
        <v>256.66234677152909</v>
      </c>
      <c r="F945" s="447">
        <v>0.42492304307064471</v>
      </c>
      <c r="G945" s="127">
        <v>127.5894679608662</v>
      </c>
      <c r="H945" s="132">
        <v>62.451245688303139</v>
      </c>
      <c r="I945" s="456"/>
      <c r="J945" s="45"/>
      <c r="K945" s="45">
        <v>540</v>
      </c>
      <c r="L945" s="463"/>
      <c r="M945" s="456">
        <v>35.156986236572266</v>
      </c>
      <c r="N945" s="457"/>
      <c r="O945" s="456"/>
      <c r="P945" s="46"/>
      <c r="Q945" s="463">
        <v>77.836723327636719</v>
      </c>
      <c r="R945" s="449"/>
      <c r="S945" s="463"/>
      <c r="T945" s="480"/>
      <c r="U945" s="468"/>
      <c r="V945" s="449"/>
      <c r="W945" s="45">
        <v>1700.4774169921875</v>
      </c>
      <c r="X945" s="463">
        <v>141.02644348144531</v>
      </c>
      <c r="Y945" s="449"/>
      <c r="Z945" s="45"/>
      <c r="AA945" s="468">
        <v>0.41640174967069421</v>
      </c>
      <c r="AB945" s="456"/>
      <c r="AC945" s="46"/>
      <c r="AD945" s="46"/>
      <c r="AE945" s="46"/>
      <c r="AF945" s="46"/>
      <c r="AG945" s="46"/>
      <c r="AH945" s="46"/>
      <c r="AI945" s="457"/>
      <c r="AJ945" s="138"/>
      <c r="AK945" s="745"/>
      <c r="AL945" s="54"/>
      <c r="AM945" s="468"/>
      <c r="AN945" s="449"/>
      <c r="AO945" s="45"/>
      <c r="AP945" s="45"/>
      <c r="AQ945" s="45"/>
      <c r="AR945" s="45"/>
      <c r="AS945" s="45"/>
      <c r="AT945" s="45"/>
      <c r="AU945" s="463"/>
      <c r="AV945" s="449"/>
      <c r="AW945" s="45"/>
      <c r="AX945" s="45"/>
      <c r="AY945" s="45"/>
      <c r="AZ945" s="45"/>
      <c r="BA945" s="45"/>
      <c r="BB945" s="45"/>
      <c r="BC945" s="463"/>
      <c r="BD945" s="456"/>
      <c r="BE945" s="46"/>
      <c r="BF945" s="46"/>
      <c r="BG945" s="46"/>
      <c r="BH945" s="46"/>
      <c r="BI945" s="46"/>
      <c r="BJ945" s="457"/>
      <c r="BK945" s="449">
        <v>0</v>
      </c>
      <c r="BL945" s="45"/>
      <c r="BM945" s="45"/>
      <c r="BN945" s="45"/>
      <c r="BO945" s="45"/>
      <c r="BP945" s="45"/>
      <c r="BQ945" s="45"/>
      <c r="BR945" s="45"/>
      <c r="BS945" s="45"/>
      <c r="BT945" s="45"/>
      <c r="BU945" s="45"/>
      <c r="BV945" s="45"/>
      <c r="BW945" s="45"/>
      <c r="BX945" s="45"/>
      <c r="BY945" s="45"/>
      <c r="BZ945" s="45"/>
      <c r="CA945" s="45"/>
      <c r="CB945" s="45"/>
      <c r="CC945" s="45"/>
      <c r="CD945" s="463"/>
      <c r="CE945">
        <v>0</v>
      </c>
      <c r="CF945">
        <v>0</v>
      </c>
      <c r="CG945">
        <v>0</v>
      </c>
      <c r="CH945">
        <v>0</v>
      </c>
      <c r="CI945">
        <v>0</v>
      </c>
      <c r="CJ945">
        <v>0</v>
      </c>
      <c r="CK945">
        <v>0</v>
      </c>
      <c r="CL945">
        <v>0</v>
      </c>
      <c r="CM945">
        <v>0</v>
      </c>
      <c r="CN945">
        <v>0</v>
      </c>
      <c r="CO945">
        <v>0</v>
      </c>
      <c r="CP945">
        <v>0</v>
      </c>
      <c r="CQ945">
        <v>0</v>
      </c>
      <c r="CR945">
        <v>0</v>
      </c>
      <c r="CS945">
        <v>0</v>
      </c>
      <c r="CT945">
        <v>0</v>
      </c>
      <c r="CU945">
        <v>0</v>
      </c>
      <c r="CV945">
        <v>0</v>
      </c>
      <c r="CW945">
        <v>0</v>
      </c>
      <c r="CX945">
        <v>0</v>
      </c>
      <c r="CY945">
        <v>0</v>
      </c>
      <c r="CZ945">
        <v>0</v>
      </c>
      <c r="DA945">
        <v>0</v>
      </c>
      <c r="DB945">
        <v>0</v>
      </c>
      <c r="DC945">
        <v>0</v>
      </c>
      <c r="DD945">
        <v>0</v>
      </c>
      <c r="DE945">
        <v>0</v>
      </c>
      <c r="DF945">
        <v>0</v>
      </c>
      <c r="DG945">
        <v>0</v>
      </c>
      <c r="DH945">
        <v>0</v>
      </c>
      <c r="DI945">
        <v>0</v>
      </c>
      <c r="DJ945">
        <v>0</v>
      </c>
      <c r="DK945">
        <v>0</v>
      </c>
      <c r="DL945">
        <v>0</v>
      </c>
      <c r="DM945">
        <v>0</v>
      </c>
      <c r="DN945">
        <v>0</v>
      </c>
      <c r="DO945">
        <v>0</v>
      </c>
      <c r="DP945">
        <v>0</v>
      </c>
      <c r="DQ945">
        <v>0</v>
      </c>
      <c r="DR945">
        <v>0</v>
      </c>
      <c r="DS945">
        <v>0</v>
      </c>
      <c r="DT945">
        <v>0</v>
      </c>
      <c r="DU945">
        <v>0</v>
      </c>
    </row>
    <row r="946" spans="2:125">
      <c r="B946" s="136">
        <v>937</v>
      </c>
      <c r="C946" s="138">
        <v>1</v>
      </c>
      <c r="D946" s="474">
        <v>3536.1130475917362</v>
      </c>
      <c r="E946" s="127">
        <v>233.16699143501845</v>
      </c>
      <c r="F946" s="447">
        <v>0.3721389681104923</v>
      </c>
      <c r="G946" s="127">
        <v>134.84681589964077</v>
      </c>
      <c r="H946" s="132">
        <v>54.31523215266747</v>
      </c>
      <c r="I946" s="456"/>
      <c r="J946" s="45"/>
      <c r="K946" s="45">
        <v>530</v>
      </c>
      <c r="L946" s="463"/>
      <c r="M946" s="456">
        <v>30.311000823974609</v>
      </c>
      <c r="N946" s="457"/>
      <c r="O946" s="456"/>
      <c r="P946" s="46"/>
      <c r="Q946" s="463">
        <v>70.015037536621094</v>
      </c>
      <c r="R946" s="449"/>
      <c r="S946" s="463"/>
      <c r="T946" s="480"/>
      <c r="U946" s="468"/>
      <c r="V946" s="449"/>
      <c r="W946" s="45">
        <v>1408.345458984375</v>
      </c>
      <c r="X946" s="463">
        <v>119.71788787841797</v>
      </c>
      <c r="Y946" s="449"/>
      <c r="Z946" s="45"/>
      <c r="AA946" s="468">
        <v>0.36296426726649494</v>
      </c>
      <c r="AB946" s="456"/>
      <c r="AC946" s="46"/>
      <c r="AD946" s="46"/>
      <c r="AE946" s="46"/>
      <c r="AF946" s="46"/>
      <c r="AG946" s="46"/>
      <c r="AH946" s="46"/>
      <c r="AI946" s="457"/>
      <c r="AJ946" s="138"/>
      <c r="AK946" s="745"/>
      <c r="AL946" s="54"/>
      <c r="AM946" s="468"/>
      <c r="AN946" s="449"/>
      <c r="AO946" s="45"/>
      <c r="AP946" s="45"/>
      <c r="AQ946" s="45"/>
      <c r="AR946" s="45"/>
      <c r="AS946" s="45"/>
      <c r="AT946" s="45"/>
      <c r="AU946" s="463"/>
      <c r="AV946" s="449"/>
      <c r="AW946" s="45"/>
      <c r="AX946" s="45"/>
      <c r="AY946" s="45"/>
      <c r="AZ946" s="45"/>
      <c r="BA946" s="45"/>
      <c r="BB946" s="45"/>
      <c r="BC946" s="463"/>
      <c r="BD946" s="456"/>
      <c r="BE946" s="46"/>
      <c r="BF946" s="46"/>
      <c r="BG946" s="46"/>
      <c r="BH946" s="46"/>
      <c r="BI946" s="46"/>
      <c r="BJ946" s="457"/>
      <c r="BK946" s="449">
        <v>0</v>
      </c>
      <c r="BL946" s="45"/>
      <c r="BM946" s="45"/>
      <c r="BN946" s="45"/>
      <c r="BO946" s="45"/>
      <c r="BP946" s="45"/>
      <c r="BQ946" s="45"/>
      <c r="BR946" s="45"/>
      <c r="BS946" s="45"/>
      <c r="BT946" s="45"/>
      <c r="BU946" s="45"/>
      <c r="BV946" s="45"/>
      <c r="BW946" s="45"/>
      <c r="BX946" s="45"/>
      <c r="BY946" s="45"/>
      <c r="BZ946" s="45"/>
      <c r="CA946" s="45"/>
      <c r="CB946" s="45"/>
      <c r="CC946" s="45"/>
      <c r="CD946" s="463"/>
      <c r="CE946">
        <v>0</v>
      </c>
      <c r="CF946">
        <v>0</v>
      </c>
      <c r="CG946">
        <v>0</v>
      </c>
      <c r="CH946">
        <v>0</v>
      </c>
      <c r="CI946">
        <v>0</v>
      </c>
      <c r="CJ946">
        <v>0</v>
      </c>
      <c r="CK946">
        <v>0</v>
      </c>
      <c r="CL946">
        <v>0</v>
      </c>
      <c r="CM946">
        <v>0</v>
      </c>
      <c r="CN946">
        <v>0</v>
      </c>
      <c r="CO946">
        <v>0</v>
      </c>
      <c r="CP946">
        <v>0</v>
      </c>
      <c r="CQ946">
        <v>0</v>
      </c>
      <c r="CR946">
        <v>0</v>
      </c>
      <c r="CS946">
        <v>0</v>
      </c>
      <c r="CT946">
        <v>0</v>
      </c>
      <c r="CU946">
        <v>0</v>
      </c>
      <c r="CV946">
        <v>0</v>
      </c>
      <c r="CW946">
        <v>0</v>
      </c>
      <c r="CX946">
        <v>0</v>
      </c>
      <c r="CY946">
        <v>0</v>
      </c>
      <c r="CZ946">
        <v>0</v>
      </c>
      <c r="DA946">
        <v>0</v>
      </c>
      <c r="DB946">
        <v>0</v>
      </c>
      <c r="DC946">
        <v>0</v>
      </c>
      <c r="DD946">
        <v>0</v>
      </c>
      <c r="DE946">
        <v>0</v>
      </c>
      <c r="DF946">
        <v>0</v>
      </c>
      <c r="DG946">
        <v>0</v>
      </c>
      <c r="DH946">
        <v>0</v>
      </c>
      <c r="DI946">
        <v>0</v>
      </c>
      <c r="DJ946">
        <v>0</v>
      </c>
      <c r="DK946">
        <v>0</v>
      </c>
      <c r="DL946">
        <v>0</v>
      </c>
      <c r="DM946">
        <v>0</v>
      </c>
      <c r="DN946">
        <v>0</v>
      </c>
      <c r="DO946">
        <v>0</v>
      </c>
      <c r="DP946">
        <v>0</v>
      </c>
      <c r="DQ946">
        <v>0</v>
      </c>
      <c r="DR946">
        <v>0</v>
      </c>
      <c r="DS946">
        <v>0</v>
      </c>
      <c r="DT946">
        <v>0</v>
      </c>
      <c r="DU946">
        <v>0</v>
      </c>
    </row>
    <row r="947" spans="2:125">
      <c r="B947" s="136">
        <v>938</v>
      </c>
      <c r="C947" s="138">
        <v>1</v>
      </c>
      <c r="D947" s="474">
        <v>3585.8350667729992</v>
      </c>
      <c r="E947" s="127">
        <v>264.7397592108228</v>
      </c>
      <c r="F947" s="447">
        <v>0.40457257494417243</v>
      </c>
      <c r="G947" s="127">
        <v>140.9343694600984</v>
      </c>
      <c r="H947" s="132">
        <v>53.569132114500505</v>
      </c>
      <c r="I947" s="456"/>
      <c r="J947" s="45"/>
      <c r="K947" s="45">
        <v>550</v>
      </c>
      <c r="L947" s="463"/>
      <c r="M947" s="456">
        <v>34.772697448730469</v>
      </c>
      <c r="N947" s="457"/>
      <c r="O947" s="456"/>
      <c r="P947" s="46"/>
      <c r="Q947" s="463">
        <v>70.999534606933594</v>
      </c>
      <c r="R947" s="449"/>
      <c r="S947" s="463"/>
      <c r="T947" s="480"/>
      <c r="U947" s="468"/>
      <c r="V947" s="449"/>
      <c r="W947" s="45">
        <v>1608.8533935546875</v>
      </c>
      <c r="X947" s="463">
        <v>134.38006591796875</v>
      </c>
      <c r="Y947" s="449"/>
      <c r="Z947" s="45"/>
      <c r="AA947" s="468">
        <v>0.39534419413951277</v>
      </c>
      <c r="AB947" s="456"/>
      <c r="AC947" s="46"/>
      <c r="AD947" s="46"/>
      <c r="AE947" s="46"/>
      <c r="AF947" s="46"/>
      <c r="AG947" s="46"/>
      <c r="AH947" s="46"/>
      <c r="AI947" s="457"/>
      <c r="AJ947" s="138"/>
      <c r="AK947" s="745"/>
      <c r="AL947" s="54"/>
      <c r="AM947" s="468"/>
      <c r="AN947" s="449"/>
      <c r="AO947" s="45"/>
      <c r="AP947" s="45"/>
      <c r="AQ947" s="45"/>
      <c r="AR947" s="45"/>
      <c r="AS947" s="45"/>
      <c r="AT947" s="45"/>
      <c r="AU947" s="463"/>
      <c r="AV947" s="449"/>
      <c r="AW947" s="45"/>
      <c r="AX947" s="45"/>
      <c r="AY947" s="45"/>
      <c r="AZ947" s="45"/>
      <c r="BA947" s="45"/>
      <c r="BB947" s="45"/>
      <c r="BC947" s="463"/>
      <c r="BD947" s="456"/>
      <c r="BE947" s="46"/>
      <c r="BF947" s="46"/>
      <c r="BG947" s="46"/>
      <c r="BH947" s="46"/>
      <c r="BI947" s="46"/>
      <c r="BJ947" s="457"/>
      <c r="BK947" s="449">
        <v>0</v>
      </c>
      <c r="BL947" s="45"/>
      <c r="BM947" s="45"/>
      <c r="BN947" s="45"/>
      <c r="BO947" s="45"/>
      <c r="BP947" s="45"/>
      <c r="BQ947" s="45"/>
      <c r="BR947" s="45"/>
      <c r="BS947" s="45"/>
      <c r="BT947" s="45"/>
      <c r="BU947" s="45"/>
      <c r="BV947" s="45"/>
      <c r="BW947" s="45"/>
      <c r="BX947" s="45"/>
      <c r="BY947" s="45"/>
      <c r="BZ947" s="45"/>
      <c r="CA947" s="45"/>
      <c r="CB947" s="45"/>
      <c r="CC947" s="45"/>
      <c r="CD947" s="463"/>
      <c r="CE947">
        <v>0</v>
      </c>
      <c r="CF947">
        <v>0</v>
      </c>
      <c r="CG947">
        <v>0</v>
      </c>
      <c r="CH947">
        <v>0</v>
      </c>
      <c r="CI947">
        <v>0</v>
      </c>
      <c r="CJ947">
        <v>0</v>
      </c>
      <c r="CK947">
        <v>0</v>
      </c>
      <c r="CL947">
        <v>0</v>
      </c>
      <c r="CM947">
        <v>0</v>
      </c>
      <c r="CN947">
        <v>0</v>
      </c>
      <c r="CO947">
        <v>0</v>
      </c>
      <c r="CP947">
        <v>0</v>
      </c>
      <c r="CQ947">
        <v>0</v>
      </c>
      <c r="CR947">
        <v>0</v>
      </c>
      <c r="CS947">
        <v>0</v>
      </c>
      <c r="CT947">
        <v>0</v>
      </c>
      <c r="CU947">
        <v>0</v>
      </c>
      <c r="CV947">
        <v>0</v>
      </c>
      <c r="CW947">
        <v>0</v>
      </c>
      <c r="CX947">
        <v>0</v>
      </c>
      <c r="CY947">
        <v>0</v>
      </c>
      <c r="CZ947">
        <v>0</v>
      </c>
      <c r="DA947">
        <v>0</v>
      </c>
      <c r="DB947">
        <v>0</v>
      </c>
      <c r="DC947">
        <v>0</v>
      </c>
      <c r="DD947">
        <v>0</v>
      </c>
      <c r="DE947">
        <v>0</v>
      </c>
      <c r="DF947">
        <v>0</v>
      </c>
      <c r="DG947">
        <v>0</v>
      </c>
      <c r="DH947">
        <v>0</v>
      </c>
      <c r="DI947">
        <v>0</v>
      </c>
      <c r="DJ947">
        <v>0</v>
      </c>
      <c r="DK947">
        <v>0</v>
      </c>
      <c r="DL947">
        <v>0</v>
      </c>
      <c r="DM947">
        <v>0</v>
      </c>
      <c r="DN947">
        <v>0</v>
      </c>
      <c r="DO947">
        <v>0</v>
      </c>
      <c r="DP947">
        <v>0</v>
      </c>
      <c r="DQ947">
        <v>0</v>
      </c>
      <c r="DR947">
        <v>0</v>
      </c>
      <c r="DS947">
        <v>0</v>
      </c>
      <c r="DT947">
        <v>0</v>
      </c>
      <c r="DU947">
        <v>0</v>
      </c>
    </row>
    <row r="948" spans="2:125">
      <c r="B948" s="136">
        <v>939</v>
      </c>
      <c r="C948" s="138">
        <v>1</v>
      </c>
      <c r="D948" s="474">
        <v>2884.1250657055934</v>
      </c>
      <c r="E948" s="127">
        <v>269.44793851318576</v>
      </c>
      <c r="F948" s="447">
        <v>0.47928417358269454</v>
      </c>
      <c r="G948" s="127">
        <v>100.94662515165643</v>
      </c>
      <c r="H948" s="132">
        <v>51.187039052989775</v>
      </c>
      <c r="I948" s="456"/>
      <c r="J948" s="45"/>
      <c r="K948" s="45">
        <v>420</v>
      </c>
      <c r="L948" s="463"/>
      <c r="M948" s="456">
        <v>43.5989990234375</v>
      </c>
      <c r="N948" s="457"/>
      <c r="O948" s="456"/>
      <c r="P948" s="46"/>
      <c r="Q948" s="463">
        <v>57.105674743652344</v>
      </c>
      <c r="R948" s="449"/>
      <c r="S948" s="463"/>
      <c r="T948" s="480"/>
      <c r="U948" s="468"/>
      <c r="V948" s="449"/>
      <c r="W948" s="45">
        <v>1701.948974609375</v>
      </c>
      <c r="X948" s="463">
        <v>140.63236999511719</v>
      </c>
      <c r="Y948" s="449"/>
      <c r="Z948" s="45"/>
      <c r="AA948" s="468">
        <v>0.46729243165620749</v>
      </c>
      <c r="AB948" s="456"/>
      <c r="AC948" s="46"/>
      <c r="AD948" s="46"/>
      <c r="AE948" s="46"/>
      <c r="AF948" s="46"/>
      <c r="AG948" s="46"/>
      <c r="AH948" s="46"/>
      <c r="AI948" s="457"/>
      <c r="AJ948" s="138"/>
      <c r="AK948" s="745"/>
      <c r="AL948" s="54"/>
      <c r="AM948" s="468"/>
      <c r="AN948" s="449"/>
      <c r="AO948" s="45"/>
      <c r="AP948" s="45"/>
      <c r="AQ948" s="45"/>
      <c r="AR948" s="45"/>
      <c r="AS948" s="45"/>
      <c r="AT948" s="45"/>
      <c r="AU948" s="463"/>
      <c r="AV948" s="449"/>
      <c r="AW948" s="45"/>
      <c r="AX948" s="45"/>
      <c r="AY948" s="45"/>
      <c r="AZ948" s="45"/>
      <c r="BA948" s="45"/>
      <c r="BB948" s="45"/>
      <c r="BC948" s="463"/>
      <c r="BD948" s="456"/>
      <c r="BE948" s="46"/>
      <c r="BF948" s="46"/>
      <c r="BG948" s="46"/>
      <c r="BH948" s="46"/>
      <c r="BI948" s="46"/>
      <c r="BJ948" s="457"/>
      <c r="BK948" s="449">
        <v>0</v>
      </c>
      <c r="BL948" s="45"/>
      <c r="BM948" s="45"/>
      <c r="BN948" s="45"/>
      <c r="BO948" s="45"/>
      <c r="BP948" s="45"/>
      <c r="BQ948" s="45"/>
      <c r="BR948" s="45"/>
      <c r="BS948" s="45"/>
      <c r="BT948" s="45"/>
      <c r="BU948" s="45"/>
      <c r="BV948" s="45"/>
      <c r="BW948" s="45"/>
      <c r="BX948" s="45"/>
      <c r="BY948" s="45"/>
      <c r="BZ948" s="45"/>
      <c r="CA948" s="45"/>
      <c r="CB948" s="45"/>
      <c r="CC948" s="45"/>
      <c r="CD948" s="463"/>
      <c r="CE948">
        <v>0</v>
      </c>
      <c r="CF948">
        <v>0</v>
      </c>
      <c r="CG948">
        <v>0</v>
      </c>
      <c r="CH948">
        <v>0</v>
      </c>
      <c r="CI948">
        <v>0</v>
      </c>
      <c r="CJ948">
        <v>0</v>
      </c>
      <c r="CK948">
        <v>0</v>
      </c>
      <c r="CL948">
        <v>0</v>
      </c>
      <c r="CM948">
        <v>0</v>
      </c>
      <c r="CN948">
        <v>0</v>
      </c>
      <c r="CO948">
        <v>0</v>
      </c>
      <c r="CP948">
        <v>0</v>
      </c>
      <c r="CQ948">
        <v>0</v>
      </c>
      <c r="CR948">
        <v>0</v>
      </c>
      <c r="CS948">
        <v>0</v>
      </c>
      <c r="CT948">
        <v>0</v>
      </c>
      <c r="CU948">
        <v>0</v>
      </c>
      <c r="CV948">
        <v>0</v>
      </c>
      <c r="CW948">
        <v>0</v>
      </c>
      <c r="CX948">
        <v>0</v>
      </c>
      <c r="CY948">
        <v>0</v>
      </c>
      <c r="CZ948">
        <v>0</v>
      </c>
      <c r="DA948">
        <v>0</v>
      </c>
      <c r="DB948">
        <v>0</v>
      </c>
      <c r="DC948">
        <v>0</v>
      </c>
      <c r="DD948">
        <v>0</v>
      </c>
      <c r="DE948">
        <v>0</v>
      </c>
      <c r="DF948">
        <v>0</v>
      </c>
      <c r="DG948">
        <v>0</v>
      </c>
      <c r="DH948">
        <v>0</v>
      </c>
      <c r="DI948">
        <v>0</v>
      </c>
      <c r="DJ948">
        <v>0</v>
      </c>
      <c r="DK948">
        <v>0</v>
      </c>
      <c r="DL948">
        <v>0</v>
      </c>
      <c r="DM948">
        <v>0</v>
      </c>
      <c r="DN948">
        <v>0</v>
      </c>
      <c r="DO948">
        <v>0</v>
      </c>
      <c r="DP948">
        <v>0</v>
      </c>
      <c r="DQ948">
        <v>0</v>
      </c>
      <c r="DR948">
        <v>0</v>
      </c>
      <c r="DS948">
        <v>0</v>
      </c>
      <c r="DT948">
        <v>0</v>
      </c>
      <c r="DU948">
        <v>0</v>
      </c>
    </row>
    <row r="949" spans="2:125">
      <c r="B949" s="136">
        <v>940</v>
      </c>
      <c r="C949" s="138">
        <v>1</v>
      </c>
      <c r="D949" s="474">
        <v>3749.2937221783172</v>
      </c>
      <c r="E949" s="127">
        <v>229.78555085198713</v>
      </c>
      <c r="F949" s="447">
        <v>0.48627701841196241</v>
      </c>
      <c r="G949" s="127">
        <v>117.5511519323362</v>
      </c>
      <c r="H949" s="132">
        <v>67.606286042461619</v>
      </c>
      <c r="I949" s="456"/>
      <c r="J949" s="45"/>
      <c r="K949" s="45">
        <v>540</v>
      </c>
      <c r="L949" s="463"/>
      <c r="M949" s="456">
        <v>44.620037078857422</v>
      </c>
      <c r="N949" s="457"/>
      <c r="O949" s="456"/>
      <c r="P949" s="46"/>
      <c r="Q949" s="463">
        <v>82.723747253417969</v>
      </c>
      <c r="R949" s="449"/>
      <c r="S949" s="463"/>
      <c r="T949" s="480"/>
      <c r="U949" s="468"/>
      <c r="V949" s="449"/>
      <c r="W949" s="45">
        <v>2173.697265625</v>
      </c>
      <c r="X949" s="463">
        <v>175.44389343261719</v>
      </c>
      <c r="Y949" s="449"/>
      <c r="Z949" s="45"/>
      <c r="AA949" s="468">
        <v>0.47701512992271805</v>
      </c>
      <c r="AB949" s="456"/>
      <c r="AC949" s="46"/>
      <c r="AD949" s="46"/>
      <c r="AE949" s="46"/>
      <c r="AF949" s="46"/>
      <c r="AG949" s="46"/>
      <c r="AH949" s="46"/>
      <c r="AI949" s="457"/>
      <c r="AJ949" s="138"/>
      <c r="AK949" s="745"/>
      <c r="AL949" s="54"/>
      <c r="AM949" s="468"/>
      <c r="AN949" s="449"/>
      <c r="AO949" s="45"/>
      <c r="AP949" s="45"/>
      <c r="AQ949" s="45"/>
      <c r="AR949" s="45"/>
      <c r="AS949" s="45"/>
      <c r="AT949" s="45"/>
      <c r="AU949" s="463"/>
      <c r="AV949" s="449"/>
      <c r="AW949" s="45"/>
      <c r="AX949" s="45"/>
      <c r="AY949" s="45"/>
      <c r="AZ949" s="45"/>
      <c r="BA949" s="45"/>
      <c r="BB949" s="45"/>
      <c r="BC949" s="463"/>
      <c r="BD949" s="456"/>
      <c r="BE949" s="46"/>
      <c r="BF949" s="46"/>
      <c r="BG949" s="46"/>
      <c r="BH949" s="46"/>
      <c r="BI949" s="46"/>
      <c r="BJ949" s="457"/>
      <c r="BK949" s="449">
        <v>0</v>
      </c>
      <c r="BL949" s="45"/>
      <c r="BM949" s="45"/>
      <c r="BN949" s="45"/>
      <c r="BO949" s="45"/>
      <c r="BP949" s="45"/>
      <c r="BQ949" s="45"/>
      <c r="BR949" s="45"/>
      <c r="BS949" s="45"/>
      <c r="BT949" s="45"/>
      <c r="BU949" s="45"/>
      <c r="BV949" s="45"/>
      <c r="BW949" s="45"/>
      <c r="BX949" s="45"/>
      <c r="BY949" s="45"/>
      <c r="BZ949" s="45"/>
      <c r="CA949" s="45"/>
      <c r="CB949" s="45"/>
      <c r="CC949" s="45"/>
      <c r="CD949" s="463"/>
      <c r="CE949">
        <v>0</v>
      </c>
      <c r="CF949">
        <v>0</v>
      </c>
      <c r="CG949">
        <v>0</v>
      </c>
      <c r="CH949">
        <v>0</v>
      </c>
      <c r="CI949">
        <v>0</v>
      </c>
      <c r="CJ949">
        <v>0</v>
      </c>
      <c r="CK949">
        <v>0</v>
      </c>
      <c r="CL949">
        <v>0</v>
      </c>
      <c r="CM949">
        <v>0</v>
      </c>
      <c r="CN949">
        <v>0</v>
      </c>
      <c r="CO949">
        <v>0</v>
      </c>
      <c r="CP949">
        <v>0</v>
      </c>
      <c r="CQ949">
        <v>0</v>
      </c>
      <c r="CR949">
        <v>0</v>
      </c>
      <c r="CS949">
        <v>0</v>
      </c>
      <c r="CT949">
        <v>0</v>
      </c>
      <c r="CU949">
        <v>0</v>
      </c>
      <c r="CV949">
        <v>0</v>
      </c>
      <c r="CW949">
        <v>0</v>
      </c>
      <c r="CX949">
        <v>0</v>
      </c>
      <c r="CY949">
        <v>0</v>
      </c>
      <c r="CZ949">
        <v>0</v>
      </c>
      <c r="DA949">
        <v>0</v>
      </c>
      <c r="DB949">
        <v>0</v>
      </c>
      <c r="DC949">
        <v>0</v>
      </c>
      <c r="DD949">
        <v>0</v>
      </c>
      <c r="DE949">
        <v>0</v>
      </c>
      <c r="DF949">
        <v>0</v>
      </c>
      <c r="DG949">
        <v>0</v>
      </c>
      <c r="DH949">
        <v>0</v>
      </c>
      <c r="DI949">
        <v>0</v>
      </c>
      <c r="DJ949">
        <v>0</v>
      </c>
      <c r="DK949">
        <v>0</v>
      </c>
      <c r="DL949">
        <v>0</v>
      </c>
      <c r="DM949">
        <v>0</v>
      </c>
      <c r="DN949">
        <v>0</v>
      </c>
      <c r="DO949">
        <v>0</v>
      </c>
      <c r="DP949">
        <v>0</v>
      </c>
      <c r="DQ949">
        <v>0</v>
      </c>
      <c r="DR949">
        <v>0</v>
      </c>
      <c r="DS949">
        <v>0</v>
      </c>
      <c r="DT949">
        <v>0</v>
      </c>
      <c r="DU949">
        <v>0</v>
      </c>
    </row>
    <row r="950" spans="2:125">
      <c r="B950" s="136">
        <v>941</v>
      </c>
      <c r="C950" s="138">
        <v>1</v>
      </c>
      <c r="D950" s="474">
        <v>4023.8924252437973</v>
      </c>
      <c r="E950" s="127">
        <v>218.7779081021535</v>
      </c>
      <c r="F950" s="447">
        <v>0.35640343330015428</v>
      </c>
      <c r="G950" s="127">
        <v>155.25227145894044</v>
      </c>
      <c r="H950" s="132">
        <v>57.671739381430612</v>
      </c>
      <c r="I950" s="456"/>
      <c r="J950" s="45"/>
      <c r="K950" s="45">
        <v>600</v>
      </c>
      <c r="L950" s="463"/>
      <c r="M950" s="456">
        <v>29.565523147583008</v>
      </c>
      <c r="N950" s="457"/>
      <c r="O950" s="456"/>
      <c r="P950" s="46"/>
      <c r="Q950" s="463">
        <v>79.673072814941406</v>
      </c>
      <c r="R950" s="449"/>
      <c r="S950" s="463"/>
      <c r="T950" s="480"/>
      <c r="U950" s="468"/>
      <c r="V950" s="449"/>
      <c r="W950" s="45">
        <v>1501.744140625</v>
      </c>
      <c r="X950" s="463">
        <v>126.80745697021484</v>
      </c>
      <c r="Y950" s="449"/>
      <c r="Z950" s="45"/>
      <c r="AA950" s="468">
        <v>0.34841910736130749</v>
      </c>
      <c r="AB950" s="456"/>
      <c r="AC950" s="46"/>
      <c r="AD950" s="46"/>
      <c r="AE950" s="46"/>
      <c r="AF950" s="46"/>
      <c r="AG950" s="46"/>
      <c r="AH950" s="46"/>
      <c r="AI950" s="457"/>
      <c r="AJ950" s="138"/>
      <c r="AK950" s="745"/>
      <c r="AL950" s="54"/>
      <c r="AM950" s="468"/>
      <c r="AN950" s="449"/>
      <c r="AO950" s="45"/>
      <c r="AP950" s="45"/>
      <c r="AQ950" s="45"/>
      <c r="AR950" s="45"/>
      <c r="AS950" s="45"/>
      <c r="AT950" s="45"/>
      <c r="AU950" s="463"/>
      <c r="AV950" s="449"/>
      <c r="AW950" s="45"/>
      <c r="AX950" s="45"/>
      <c r="AY950" s="45"/>
      <c r="AZ950" s="45"/>
      <c r="BA950" s="45"/>
      <c r="BB950" s="45"/>
      <c r="BC950" s="463"/>
      <c r="BD950" s="456"/>
      <c r="BE950" s="46"/>
      <c r="BF950" s="46"/>
      <c r="BG950" s="46"/>
      <c r="BH950" s="46"/>
      <c r="BI950" s="46"/>
      <c r="BJ950" s="457"/>
      <c r="BK950" s="449">
        <v>0</v>
      </c>
      <c r="BL950" s="45"/>
      <c r="BM950" s="45"/>
      <c r="BN950" s="45"/>
      <c r="BO950" s="45"/>
      <c r="BP950" s="45"/>
      <c r="BQ950" s="45"/>
      <c r="BR950" s="45"/>
      <c r="BS950" s="45"/>
      <c r="BT950" s="45"/>
      <c r="BU950" s="45"/>
      <c r="BV950" s="45"/>
      <c r="BW950" s="45"/>
      <c r="BX950" s="45"/>
      <c r="BY950" s="45"/>
      <c r="BZ950" s="45"/>
      <c r="CA950" s="45"/>
      <c r="CB950" s="45"/>
      <c r="CC950" s="45"/>
      <c r="CD950" s="463"/>
      <c r="CE950">
        <v>0</v>
      </c>
      <c r="CF950">
        <v>0</v>
      </c>
      <c r="CG950">
        <v>0</v>
      </c>
      <c r="CH950">
        <v>0</v>
      </c>
      <c r="CI950">
        <v>0</v>
      </c>
      <c r="CJ950">
        <v>0</v>
      </c>
      <c r="CK950">
        <v>0</v>
      </c>
      <c r="CL950">
        <v>0</v>
      </c>
      <c r="CM950">
        <v>0</v>
      </c>
      <c r="CN950">
        <v>0</v>
      </c>
      <c r="CO950">
        <v>0</v>
      </c>
      <c r="CP950">
        <v>0</v>
      </c>
      <c r="CQ950">
        <v>0</v>
      </c>
      <c r="CR950">
        <v>0</v>
      </c>
      <c r="CS950">
        <v>0</v>
      </c>
      <c r="CT950">
        <v>0</v>
      </c>
      <c r="CU950">
        <v>0</v>
      </c>
      <c r="CV950">
        <v>0</v>
      </c>
      <c r="CW950">
        <v>0</v>
      </c>
      <c r="CX950">
        <v>0</v>
      </c>
      <c r="CY950">
        <v>0</v>
      </c>
      <c r="CZ950">
        <v>0</v>
      </c>
      <c r="DA950">
        <v>0</v>
      </c>
      <c r="DB950">
        <v>0</v>
      </c>
      <c r="DC950">
        <v>0</v>
      </c>
      <c r="DD950">
        <v>0</v>
      </c>
      <c r="DE950">
        <v>0</v>
      </c>
      <c r="DF950">
        <v>0</v>
      </c>
      <c r="DG950">
        <v>0</v>
      </c>
      <c r="DH950">
        <v>0</v>
      </c>
      <c r="DI950">
        <v>0</v>
      </c>
      <c r="DJ950">
        <v>0</v>
      </c>
      <c r="DK950">
        <v>0</v>
      </c>
      <c r="DL950">
        <v>0</v>
      </c>
      <c r="DM950">
        <v>0</v>
      </c>
      <c r="DN950">
        <v>0</v>
      </c>
      <c r="DO950">
        <v>0</v>
      </c>
      <c r="DP950">
        <v>0</v>
      </c>
      <c r="DQ950">
        <v>0</v>
      </c>
      <c r="DR950">
        <v>0</v>
      </c>
      <c r="DS950">
        <v>0</v>
      </c>
      <c r="DT950">
        <v>0</v>
      </c>
      <c r="DU950">
        <v>0</v>
      </c>
    </row>
    <row r="951" spans="2:125">
      <c r="B951" s="136">
        <v>942</v>
      </c>
      <c r="C951" s="138">
        <v>1</v>
      </c>
      <c r="D951" s="474">
        <v>2900.5799369158285</v>
      </c>
      <c r="E951" s="127">
        <v>249.28980789919498</v>
      </c>
      <c r="F951" s="447">
        <v>0.35219068268790488</v>
      </c>
      <c r="G951" s="127">
        <v>108.62220149426614</v>
      </c>
      <c r="H951" s="132">
        <v>49.078158402714962</v>
      </c>
      <c r="I951" s="456"/>
      <c r="J951" s="45"/>
      <c r="K951" s="45">
        <v>430</v>
      </c>
      <c r="L951" s="463"/>
      <c r="M951" s="456">
        <v>27.981372833251953</v>
      </c>
      <c r="N951" s="457"/>
      <c r="O951" s="456"/>
      <c r="P951" s="46"/>
      <c r="Q951" s="463">
        <v>57.431488037109375</v>
      </c>
      <c r="R951" s="449"/>
      <c r="S951" s="463"/>
      <c r="T951" s="480"/>
      <c r="U951" s="468"/>
      <c r="V951" s="449"/>
      <c r="W951" s="45">
        <v>1112.646240234375</v>
      </c>
      <c r="X951" s="463">
        <v>97.78607177734375</v>
      </c>
      <c r="Y951" s="449"/>
      <c r="Z951" s="45"/>
      <c r="AA951" s="468">
        <v>0.34114330100883616</v>
      </c>
      <c r="AB951" s="456"/>
      <c r="AC951" s="46"/>
      <c r="AD951" s="46"/>
      <c r="AE951" s="46"/>
      <c r="AF951" s="46"/>
      <c r="AG951" s="46"/>
      <c r="AH951" s="46"/>
      <c r="AI951" s="457"/>
      <c r="AJ951" s="138"/>
      <c r="AK951" s="745"/>
      <c r="AL951" s="54"/>
      <c r="AM951" s="468"/>
      <c r="AN951" s="449"/>
      <c r="AO951" s="45"/>
      <c r="AP951" s="45"/>
      <c r="AQ951" s="45"/>
      <c r="AR951" s="45"/>
      <c r="AS951" s="45"/>
      <c r="AT951" s="45"/>
      <c r="AU951" s="463"/>
      <c r="AV951" s="449"/>
      <c r="AW951" s="45"/>
      <c r="AX951" s="45"/>
      <c r="AY951" s="45"/>
      <c r="AZ951" s="45"/>
      <c r="BA951" s="45"/>
      <c r="BB951" s="45"/>
      <c r="BC951" s="463"/>
      <c r="BD951" s="456"/>
      <c r="BE951" s="46"/>
      <c r="BF951" s="46"/>
      <c r="BG951" s="46"/>
      <c r="BH951" s="46"/>
      <c r="BI951" s="46"/>
      <c r="BJ951" s="457"/>
      <c r="BK951" s="449">
        <v>0</v>
      </c>
      <c r="BL951" s="45"/>
      <c r="BM951" s="45"/>
      <c r="BN951" s="45"/>
      <c r="BO951" s="45"/>
      <c r="BP951" s="45"/>
      <c r="BQ951" s="45"/>
      <c r="BR951" s="45"/>
      <c r="BS951" s="45"/>
      <c r="BT951" s="45"/>
      <c r="BU951" s="45"/>
      <c r="BV951" s="45"/>
      <c r="BW951" s="45"/>
      <c r="BX951" s="45"/>
      <c r="BY951" s="45"/>
      <c r="BZ951" s="45"/>
      <c r="CA951" s="45"/>
      <c r="CB951" s="45"/>
      <c r="CC951" s="45"/>
      <c r="CD951" s="463"/>
      <c r="CE951">
        <v>0</v>
      </c>
      <c r="CF951">
        <v>0</v>
      </c>
      <c r="CG951">
        <v>0</v>
      </c>
      <c r="CH951">
        <v>0</v>
      </c>
      <c r="CI951">
        <v>0</v>
      </c>
      <c r="CJ951">
        <v>0</v>
      </c>
      <c r="CK951">
        <v>0</v>
      </c>
      <c r="CL951">
        <v>0</v>
      </c>
      <c r="CM951">
        <v>0</v>
      </c>
      <c r="CN951">
        <v>0</v>
      </c>
      <c r="CO951">
        <v>0</v>
      </c>
      <c r="CP951">
        <v>0</v>
      </c>
      <c r="CQ951">
        <v>0</v>
      </c>
      <c r="CR951">
        <v>0</v>
      </c>
      <c r="CS951">
        <v>0</v>
      </c>
      <c r="CT951">
        <v>0</v>
      </c>
      <c r="CU951">
        <v>0</v>
      </c>
      <c r="CV951">
        <v>0</v>
      </c>
      <c r="CW951">
        <v>0</v>
      </c>
      <c r="CX951">
        <v>0</v>
      </c>
      <c r="CY951">
        <v>0</v>
      </c>
      <c r="CZ951">
        <v>0</v>
      </c>
      <c r="DA951">
        <v>0</v>
      </c>
      <c r="DB951">
        <v>0</v>
      </c>
      <c r="DC951">
        <v>0</v>
      </c>
      <c r="DD951">
        <v>0</v>
      </c>
      <c r="DE951">
        <v>0</v>
      </c>
      <c r="DF951">
        <v>0</v>
      </c>
      <c r="DG951">
        <v>0</v>
      </c>
      <c r="DH951">
        <v>0</v>
      </c>
      <c r="DI951">
        <v>0</v>
      </c>
      <c r="DJ951">
        <v>0</v>
      </c>
      <c r="DK951">
        <v>0</v>
      </c>
      <c r="DL951">
        <v>0</v>
      </c>
      <c r="DM951">
        <v>0</v>
      </c>
      <c r="DN951">
        <v>0</v>
      </c>
      <c r="DO951">
        <v>0</v>
      </c>
      <c r="DP951">
        <v>0</v>
      </c>
      <c r="DQ951">
        <v>0</v>
      </c>
      <c r="DR951">
        <v>0</v>
      </c>
      <c r="DS951">
        <v>0</v>
      </c>
      <c r="DT951">
        <v>0</v>
      </c>
      <c r="DU951">
        <v>0</v>
      </c>
    </row>
    <row r="952" spans="2:125">
      <c r="B952" s="136">
        <v>943</v>
      </c>
      <c r="C952" s="138">
        <v>1</v>
      </c>
      <c r="D952" s="474">
        <v>3785.4941301412641</v>
      </c>
      <c r="E952" s="127">
        <v>193.51102736333712</v>
      </c>
      <c r="F952" s="447">
        <v>0.4351397915522397</v>
      </c>
      <c r="G952" s="127">
        <v>152.72352079289988</v>
      </c>
      <c r="H952" s="132">
        <v>54.09598582197367</v>
      </c>
      <c r="I952" s="456"/>
      <c r="J952" s="45"/>
      <c r="K952" s="45">
        <v>590</v>
      </c>
      <c r="L952" s="463"/>
      <c r="M952" s="456">
        <v>40.758567810058594</v>
      </c>
      <c r="N952" s="457"/>
      <c r="O952" s="456"/>
      <c r="P952" s="46"/>
      <c r="Q952" s="463">
        <v>74.952781677246094</v>
      </c>
      <c r="R952" s="449"/>
      <c r="S952" s="463"/>
      <c r="T952" s="480"/>
      <c r="U952" s="468"/>
      <c r="V952" s="449"/>
      <c r="W952" s="45">
        <v>1925.386962890625</v>
      </c>
      <c r="X952" s="463">
        <v>157.58258056640625</v>
      </c>
      <c r="Y952" s="449"/>
      <c r="Z952" s="45"/>
      <c r="AA952" s="468">
        <v>0.42623664848230525</v>
      </c>
      <c r="AB952" s="456"/>
      <c r="AC952" s="46"/>
      <c r="AD952" s="46"/>
      <c r="AE952" s="46"/>
      <c r="AF952" s="46"/>
      <c r="AG952" s="46"/>
      <c r="AH952" s="46"/>
      <c r="AI952" s="457"/>
      <c r="AJ952" s="138"/>
      <c r="AK952" s="745"/>
      <c r="AL952" s="54"/>
      <c r="AM952" s="468"/>
      <c r="AN952" s="449"/>
      <c r="AO952" s="45"/>
      <c r="AP952" s="45"/>
      <c r="AQ952" s="45"/>
      <c r="AR952" s="45"/>
      <c r="AS952" s="45"/>
      <c r="AT952" s="45"/>
      <c r="AU952" s="463"/>
      <c r="AV952" s="449"/>
      <c r="AW952" s="45"/>
      <c r="AX952" s="45"/>
      <c r="AY952" s="45"/>
      <c r="AZ952" s="45"/>
      <c r="BA952" s="45"/>
      <c r="BB952" s="45"/>
      <c r="BC952" s="463"/>
      <c r="BD952" s="456"/>
      <c r="BE952" s="46"/>
      <c r="BF952" s="46"/>
      <c r="BG952" s="46"/>
      <c r="BH952" s="46"/>
      <c r="BI952" s="46"/>
      <c r="BJ952" s="457"/>
      <c r="BK952" s="449">
        <v>0</v>
      </c>
      <c r="BL952" s="45"/>
      <c r="BM952" s="45"/>
      <c r="BN952" s="45"/>
      <c r="BO952" s="45"/>
      <c r="BP952" s="45"/>
      <c r="BQ952" s="45"/>
      <c r="BR952" s="45"/>
      <c r="BS952" s="45"/>
      <c r="BT952" s="45"/>
      <c r="BU952" s="45"/>
      <c r="BV952" s="45"/>
      <c r="BW952" s="45"/>
      <c r="BX952" s="45"/>
      <c r="BY952" s="45"/>
      <c r="BZ952" s="45"/>
      <c r="CA952" s="45"/>
      <c r="CB952" s="45"/>
      <c r="CC952" s="45"/>
      <c r="CD952" s="463"/>
      <c r="CE952">
        <v>0</v>
      </c>
      <c r="CF952">
        <v>0</v>
      </c>
      <c r="CG952">
        <v>0</v>
      </c>
      <c r="CH952">
        <v>0</v>
      </c>
      <c r="CI952">
        <v>0</v>
      </c>
      <c r="CJ952">
        <v>0</v>
      </c>
      <c r="CK952">
        <v>0</v>
      </c>
      <c r="CL952">
        <v>0</v>
      </c>
      <c r="CM952">
        <v>0</v>
      </c>
      <c r="CN952">
        <v>0</v>
      </c>
      <c r="CO952">
        <v>0</v>
      </c>
      <c r="CP952">
        <v>0</v>
      </c>
      <c r="CQ952">
        <v>0</v>
      </c>
      <c r="CR952">
        <v>0</v>
      </c>
      <c r="CS952">
        <v>0</v>
      </c>
      <c r="CT952">
        <v>0</v>
      </c>
      <c r="CU952">
        <v>0</v>
      </c>
      <c r="CV952">
        <v>0</v>
      </c>
      <c r="CW952">
        <v>0</v>
      </c>
      <c r="CX952">
        <v>0</v>
      </c>
      <c r="CY952">
        <v>0</v>
      </c>
      <c r="CZ952">
        <v>0</v>
      </c>
      <c r="DA952">
        <v>0</v>
      </c>
      <c r="DB952">
        <v>0</v>
      </c>
      <c r="DC952">
        <v>0</v>
      </c>
      <c r="DD952">
        <v>0</v>
      </c>
      <c r="DE952">
        <v>0</v>
      </c>
      <c r="DF952">
        <v>0</v>
      </c>
      <c r="DG952">
        <v>0</v>
      </c>
      <c r="DH952">
        <v>0</v>
      </c>
      <c r="DI952">
        <v>0</v>
      </c>
      <c r="DJ952">
        <v>0</v>
      </c>
      <c r="DK952">
        <v>0</v>
      </c>
      <c r="DL952">
        <v>0</v>
      </c>
      <c r="DM952">
        <v>0</v>
      </c>
      <c r="DN952">
        <v>0</v>
      </c>
      <c r="DO952">
        <v>0</v>
      </c>
      <c r="DP952">
        <v>0</v>
      </c>
      <c r="DQ952">
        <v>0</v>
      </c>
      <c r="DR952">
        <v>0</v>
      </c>
      <c r="DS952">
        <v>0</v>
      </c>
      <c r="DT952">
        <v>0</v>
      </c>
      <c r="DU952">
        <v>0</v>
      </c>
    </row>
    <row r="953" spans="2:125">
      <c r="B953" s="136">
        <v>944</v>
      </c>
      <c r="C953" s="138">
        <v>1</v>
      </c>
      <c r="D953" s="474">
        <v>2681.4029819138113</v>
      </c>
      <c r="E953" s="127">
        <v>270.48486661427546</v>
      </c>
      <c r="F953" s="447">
        <v>0.42184702021713355</v>
      </c>
      <c r="G953" s="127">
        <v>102.79151240040085</v>
      </c>
      <c r="H953" s="132">
        <v>45.77520839412886</v>
      </c>
      <c r="I953" s="456"/>
      <c r="J953" s="45"/>
      <c r="K953" s="45">
        <v>410</v>
      </c>
      <c r="L953" s="463"/>
      <c r="M953" s="456">
        <v>35.064479827880859</v>
      </c>
      <c r="N953" s="457"/>
      <c r="O953" s="456"/>
      <c r="P953" s="46"/>
      <c r="Q953" s="463">
        <v>53.091781616210938</v>
      </c>
      <c r="R953" s="449"/>
      <c r="S953" s="463"/>
      <c r="T953" s="480"/>
      <c r="U953" s="468"/>
      <c r="V953" s="449"/>
      <c r="W953" s="45">
        <v>1316.5792236328125</v>
      </c>
      <c r="X953" s="463">
        <v>112.53553009033203</v>
      </c>
      <c r="Y953" s="449"/>
      <c r="Z953" s="45"/>
      <c r="AA953" s="468">
        <v>0.40937707794069222</v>
      </c>
      <c r="AB953" s="456"/>
      <c r="AC953" s="46"/>
      <c r="AD953" s="46"/>
      <c r="AE953" s="46"/>
      <c r="AF953" s="46"/>
      <c r="AG953" s="46"/>
      <c r="AH953" s="46"/>
      <c r="AI953" s="457"/>
      <c r="AJ953" s="138"/>
      <c r="AK953" s="745"/>
      <c r="AL953" s="54"/>
      <c r="AM953" s="468"/>
      <c r="AN953" s="449"/>
      <c r="AO953" s="45"/>
      <c r="AP953" s="45"/>
      <c r="AQ953" s="45"/>
      <c r="AR953" s="45"/>
      <c r="AS953" s="45"/>
      <c r="AT953" s="45"/>
      <c r="AU953" s="463"/>
      <c r="AV953" s="449"/>
      <c r="AW953" s="45"/>
      <c r="AX953" s="45"/>
      <c r="AY953" s="45"/>
      <c r="AZ953" s="45"/>
      <c r="BA953" s="45"/>
      <c r="BB953" s="45"/>
      <c r="BC953" s="463"/>
      <c r="BD953" s="456"/>
      <c r="BE953" s="46"/>
      <c r="BF953" s="46"/>
      <c r="BG953" s="46"/>
      <c r="BH953" s="46"/>
      <c r="BI953" s="46"/>
      <c r="BJ953" s="457"/>
      <c r="BK953" s="449">
        <v>0</v>
      </c>
      <c r="BL953" s="45"/>
      <c r="BM953" s="45"/>
      <c r="BN953" s="45"/>
      <c r="BO953" s="45"/>
      <c r="BP953" s="45"/>
      <c r="BQ953" s="45"/>
      <c r="BR953" s="45"/>
      <c r="BS953" s="45"/>
      <c r="BT953" s="45"/>
      <c r="BU953" s="45"/>
      <c r="BV953" s="45"/>
      <c r="BW953" s="45"/>
      <c r="BX953" s="45"/>
      <c r="BY953" s="45"/>
      <c r="BZ953" s="45"/>
      <c r="CA953" s="45"/>
      <c r="CB953" s="45"/>
      <c r="CC953" s="45"/>
      <c r="CD953" s="463"/>
      <c r="CE953">
        <v>0</v>
      </c>
      <c r="CF953">
        <v>0</v>
      </c>
      <c r="CG953">
        <v>0</v>
      </c>
      <c r="CH953">
        <v>0</v>
      </c>
      <c r="CI953">
        <v>0</v>
      </c>
      <c r="CJ953">
        <v>0</v>
      </c>
      <c r="CK953">
        <v>0</v>
      </c>
      <c r="CL953">
        <v>0</v>
      </c>
      <c r="CM953">
        <v>0</v>
      </c>
      <c r="CN953">
        <v>0</v>
      </c>
      <c r="CO953">
        <v>0</v>
      </c>
      <c r="CP953">
        <v>0</v>
      </c>
      <c r="CQ953">
        <v>0</v>
      </c>
      <c r="CR953">
        <v>0</v>
      </c>
      <c r="CS953">
        <v>0</v>
      </c>
      <c r="CT953">
        <v>0</v>
      </c>
      <c r="CU953">
        <v>0</v>
      </c>
      <c r="CV953">
        <v>0</v>
      </c>
      <c r="CW953">
        <v>0</v>
      </c>
      <c r="CX953">
        <v>0</v>
      </c>
      <c r="CY953">
        <v>0</v>
      </c>
      <c r="CZ953">
        <v>0</v>
      </c>
      <c r="DA953">
        <v>0</v>
      </c>
      <c r="DB953">
        <v>0</v>
      </c>
      <c r="DC953">
        <v>0</v>
      </c>
      <c r="DD953">
        <v>0</v>
      </c>
      <c r="DE953">
        <v>0</v>
      </c>
      <c r="DF953">
        <v>0</v>
      </c>
      <c r="DG953">
        <v>0</v>
      </c>
      <c r="DH953">
        <v>0</v>
      </c>
      <c r="DI953">
        <v>0</v>
      </c>
      <c r="DJ953">
        <v>0</v>
      </c>
      <c r="DK953">
        <v>0</v>
      </c>
      <c r="DL953">
        <v>0</v>
      </c>
      <c r="DM953">
        <v>0</v>
      </c>
      <c r="DN953">
        <v>0</v>
      </c>
      <c r="DO953">
        <v>0</v>
      </c>
      <c r="DP953">
        <v>0</v>
      </c>
      <c r="DQ953">
        <v>0</v>
      </c>
      <c r="DR953">
        <v>0</v>
      </c>
      <c r="DS953">
        <v>0</v>
      </c>
      <c r="DT953">
        <v>0</v>
      </c>
      <c r="DU953">
        <v>0</v>
      </c>
    </row>
    <row r="954" spans="2:125">
      <c r="B954" s="136">
        <v>945</v>
      </c>
      <c r="C954" s="138">
        <v>1</v>
      </c>
      <c r="D954" s="474">
        <v>3842.6984221237562</v>
      </c>
      <c r="E954" s="127">
        <v>224.15354261114538</v>
      </c>
      <c r="F954" s="447">
        <v>0.44979241252084906</v>
      </c>
      <c r="G954" s="127">
        <v>131.33238561811882</v>
      </c>
      <c r="H954" s="132">
        <v>66.159263814927272</v>
      </c>
      <c r="I954" s="456"/>
      <c r="J954" s="45"/>
      <c r="K954" s="45">
        <v>580</v>
      </c>
      <c r="L954" s="463"/>
      <c r="M954" s="456">
        <v>39.11444091796875</v>
      </c>
      <c r="N954" s="457"/>
      <c r="O954" s="456"/>
      <c r="P954" s="46"/>
      <c r="Q954" s="463">
        <v>84.395942687988281</v>
      </c>
      <c r="R954" s="449"/>
      <c r="S954" s="463"/>
      <c r="T954" s="480"/>
      <c r="U954" s="468"/>
      <c r="V954" s="449"/>
      <c r="W954" s="45">
        <v>1962.4959716796875</v>
      </c>
      <c r="X954" s="463">
        <v>160.21714782714844</v>
      </c>
      <c r="Y954" s="449"/>
      <c r="Z954" s="45"/>
      <c r="AA954" s="468">
        <v>0.44094554385827306</v>
      </c>
      <c r="AB954" s="456"/>
      <c r="AC954" s="46"/>
      <c r="AD954" s="46"/>
      <c r="AE954" s="46"/>
      <c r="AF954" s="46"/>
      <c r="AG954" s="46"/>
      <c r="AH954" s="46"/>
      <c r="AI954" s="457"/>
      <c r="AJ954" s="138"/>
      <c r="AK954" s="745"/>
      <c r="AL954" s="54"/>
      <c r="AM954" s="468"/>
      <c r="AN954" s="449"/>
      <c r="AO954" s="45"/>
      <c r="AP954" s="45"/>
      <c r="AQ954" s="45"/>
      <c r="AR954" s="45"/>
      <c r="AS954" s="45"/>
      <c r="AT954" s="45"/>
      <c r="AU954" s="463"/>
      <c r="AV954" s="449"/>
      <c r="AW954" s="45"/>
      <c r="AX954" s="45"/>
      <c r="AY954" s="45"/>
      <c r="AZ954" s="45"/>
      <c r="BA954" s="45"/>
      <c r="BB954" s="45"/>
      <c r="BC954" s="463"/>
      <c r="BD954" s="456"/>
      <c r="BE954" s="46"/>
      <c r="BF954" s="46"/>
      <c r="BG954" s="46"/>
      <c r="BH954" s="46"/>
      <c r="BI954" s="46"/>
      <c r="BJ954" s="457"/>
      <c r="BK954" s="449">
        <v>0</v>
      </c>
      <c r="BL954" s="45"/>
      <c r="BM954" s="45"/>
      <c r="BN954" s="45"/>
      <c r="BO954" s="45"/>
      <c r="BP954" s="45"/>
      <c r="BQ954" s="45"/>
      <c r="BR954" s="45"/>
      <c r="BS954" s="45"/>
      <c r="BT954" s="45"/>
      <c r="BU954" s="45"/>
      <c r="BV954" s="45"/>
      <c r="BW954" s="45"/>
      <c r="BX954" s="45"/>
      <c r="BY954" s="45"/>
      <c r="BZ954" s="45"/>
      <c r="CA954" s="45"/>
      <c r="CB954" s="45"/>
      <c r="CC954" s="45"/>
      <c r="CD954" s="463"/>
      <c r="CE954">
        <v>0</v>
      </c>
      <c r="CF954">
        <v>0</v>
      </c>
      <c r="CG954">
        <v>0</v>
      </c>
      <c r="CH954">
        <v>0</v>
      </c>
      <c r="CI954">
        <v>0</v>
      </c>
      <c r="CJ954">
        <v>0</v>
      </c>
      <c r="CK954">
        <v>0</v>
      </c>
      <c r="CL954">
        <v>0</v>
      </c>
      <c r="CM954">
        <v>0</v>
      </c>
      <c r="CN954">
        <v>0</v>
      </c>
      <c r="CO954">
        <v>0</v>
      </c>
      <c r="CP954">
        <v>0</v>
      </c>
      <c r="CQ954">
        <v>0</v>
      </c>
      <c r="CR954">
        <v>0</v>
      </c>
      <c r="CS954">
        <v>0</v>
      </c>
      <c r="CT954">
        <v>0</v>
      </c>
      <c r="CU954">
        <v>0</v>
      </c>
      <c r="CV954">
        <v>0</v>
      </c>
      <c r="CW954">
        <v>0</v>
      </c>
      <c r="CX954">
        <v>0</v>
      </c>
      <c r="CY954">
        <v>0</v>
      </c>
      <c r="CZ954">
        <v>0</v>
      </c>
      <c r="DA954">
        <v>0</v>
      </c>
      <c r="DB954">
        <v>0</v>
      </c>
      <c r="DC954">
        <v>0</v>
      </c>
      <c r="DD954">
        <v>0</v>
      </c>
      <c r="DE954">
        <v>0</v>
      </c>
      <c r="DF954">
        <v>0</v>
      </c>
      <c r="DG954">
        <v>0</v>
      </c>
      <c r="DH954">
        <v>0</v>
      </c>
      <c r="DI954">
        <v>0</v>
      </c>
      <c r="DJ954">
        <v>0</v>
      </c>
      <c r="DK954">
        <v>0</v>
      </c>
      <c r="DL954">
        <v>0</v>
      </c>
      <c r="DM954">
        <v>0</v>
      </c>
      <c r="DN954">
        <v>0</v>
      </c>
      <c r="DO954">
        <v>0</v>
      </c>
      <c r="DP954">
        <v>0</v>
      </c>
      <c r="DQ954">
        <v>0</v>
      </c>
      <c r="DR954">
        <v>0</v>
      </c>
      <c r="DS954">
        <v>0</v>
      </c>
      <c r="DT954">
        <v>0</v>
      </c>
      <c r="DU954">
        <v>0</v>
      </c>
    </row>
    <row r="955" spans="2:125">
      <c r="B955" s="136">
        <v>946</v>
      </c>
      <c r="C955" s="138">
        <v>1</v>
      </c>
      <c r="D955" s="474">
        <v>3716.4358999373017</v>
      </c>
      <c r="E955" s="127">
        <v>221.83016904176367</v>
      </c>
      <c r="F955" s="447">
        <v>0.4325401112844966</v>
      </c>
      <c r="G955" s="127">
        <v>122.49830385463312</v>
      </c>
      <c r="H955" s="132">
        <v>60.388193318475217</v>
      </c>
      <c r="I955" s="456"/>
      <c r="J955" s="45"/>
      <c r="K955" s="45">
        <v>520</v>
      </c>
      <c r="L955" s="463"/>
      <c r="M955" s="456">
        <v>36.060287475585937</v>
      </c>
      <c r="N955" s="457"/>
      <c r="O955" s="456"/>
      <c r="P955" s="46"/>
      <c r="Q955" s="463">
        <v>73.585433959960937</v>
      </c>
      <c r="R955" s="449"/>
      <c r="S955" s="463"/>
      <c r="T955" s="480"/>
      <c r="U955" s="468"/>
      <c r="V955" s="449"/>
      <c r="W955" s="45">
        <v>1680.1781005859375</v>
      </c>
      <c r="X955" s="463">
        <v>139.448974609375</v>
      </c>
      <c r="Y955" s="449"/>
      <c r="Z955" s="45"/>
      <c r="AA955" s="468">
        <v>0.42348552158304165</v>
      </c>
      <c r="AB955" s="456"/>
      <c r="AC955" s="46"/>
      <c r="AD955" s="46"/>
      <c r="AE955" s="46"/>
      <c r="AF955" s="46"/>
      <c r="AG955" s="46"/>
      <c r="AH955" s="46"/>
      <c r="AI955" s="457"/>
      <c r="AJ955" s="138"/>
      <c r="AK955" s="745"/>
      <c r="AL955" s="54"/>
      <c r="AM955" s="468"/>
      <c r="AN955" s="449"/>
      <c r="AO955" s="45"/>
      <c r="AP955" s="45"/>
      <c r="AQ955" s="45"/>
      <c r="AR955" s="45"/>
      <c r="AS955" s="45"/>
      <c r="AT955" s="45"/>
      <c r="AU955" s="463"/>
      <c r="AV955" s="449"/>
      <c r="AW955" s="45"/>
      <c r="AX955" s="45"/>
      <c r="AY955" s="45"/>
      <c r="AZ955" s="45"/>
      <c r="BA955" s="45"/>
      <c r="BB955" s="45"/>
      <c r="BC955" s="463"/>
      <c r="BD955" s="456"/>
      <c r="BE955" s="46"/>
      <c r="BF955" s="46"/>
      <c r="BG955" s="46"/>
      <c r="BH955" s="46"/>
      <c r="BI955" s="46"/>
      <c r="BJ955" s="457"/>
      <c r="BK955" s="449">
        <v>0</v>
      </c>
      <c r="BL955" s="45"/>
      <c r="BM955" s="45"/>
      <c r="BN955" s="45"/>
      <c r="BO955" s="45"/>
      <c r="BP955" s="45"/>
      <c r="BQ955" s="45"/>
      <c r="BR955" s="45"/>
      <c r="BS955" s="45"/>
      <c r="BT955" s="45"/>
      <c r="BU955" s="45"/>
      <c r="BV955" s="45"/>
      <c r="BW955" s="45"/>
      <c r="BX955" s="45"/>
      <c r="BY955" s="45"/>
      <c r="BZ955" s="45"/>
      <c r="CA955" s="45"/>
      <c r="CB955" s="45"/>
      <c r="CC955" s="45"/>
      <c r="CD955" s="463"/>
      <c r="CE955">
        <v>0</v>
      </c>
      <c r="CF955">
        <v>0</v>
      </c>
      <c r="CG955">
        <v>0</v>
      </c>
      <c r="CH955">
        <v>0</v>
      </c>
      <c r="CI955">
        <v>0</v>
      </c>
      <c r="CJ955">
        <v>0</v>
      </c>
      <c r="CK955">
        <v>0</v>
      </c>
      <c r="CL955">
        <v>0</v>
      </c>
      <c r="CM955">
        <v>0</v>
      </c>
      <c r="CN955">
        <v>0</v>
      </c>
      <c r="CO955">
        <v>0</v>
      </c>
      <c r="CP955">
        <v>0</v>
      </c>
      <c r="CQ955">
        <v>0</v>
      </c>
      <c r="CR955">
        <v>0</v>
      </c>
      <c r="CS955">
        <v>0</v>
      </c>
      <c r="CT955">
        <v>0</v>
      </c>
      <c r="CU955">
        <v>0</v>
      </c>
      <c r="CV955">
        <v>0</v>
      </c>
      <c r="CW955">
        <v>0</v>
      </c>
      <c r="CX955">
        <v>0</v>
      </c>
      <c r="CY955">
        <v>0</v>
      </c>
      <c r="CZ955">
        <v>0</v>
      </c>
      <c r="DA955">
        <v>0</v>
      </c>
      <c r="DB955">
        <v>0</v>
      </c>
      <c r="DC955">
        <v>0</v>
      </c>
      <c r="DD955">
        <v>0</v>
      </c>
      <c r="DE955">
        <v>0</v>
      </c>
      <c r="DF955">
        <v>0</v>
      </c>
      <c r="DG955">
        <v>0</v>
      </c>
      <c r="DH955">
        <v>0</v>
      </c>
      <c r="DI955">
        <v>0</v>
      </c>
      <c r="DJ955">
        <v>0</v>
      </c>
      <c r="DK955">
        <v>0</v>
      </c>
      <c r="DL955">
        <v>0</v>
      </c>
      <c r="DM955">
        <v>0</v>
      </c>
      <c r="DN955">
        <v>0</v>
      </c>
      <c r="DO955">
        <v>0</v>
      </c>
      <c r="DP955">
        <v>0</v>
      </c>
      <c r="DQ955">
        <v>0</v>
      </c>
      <c r="DR955">
        <v>0</v>
      </c>
      <c r="DS955">
        <v>0</v>
      </c>
      <c r="DT955">
        <v>0</v>
      </c>
      <c r="DU955">
        <v>0</v>
      </c>
    </row>
    <row r="956" spans="2:125">
      <c r="B956" s="136">
        <v>947</v>
      </c>
      <c r="C956" s="138">
        <v>1</v>
      </c>
      <c r="D956" s="474">
        <v>3624.6825272638689</v>
      </c>
      <c r="E956" s="127">
        <v>252.98705942726539</v>
      </c>
      <c r="F956" s="447">
        <v>0.37869350463487644</v>
      </c>
      <c r="G956" s="127">
        <v>128.28505199472542</v>
      </c>
      <c r="H956" s="132">
        <v>57.580101062701416</v>
      </c>
      <c r="I956" s="456"/>
      <c r="J956" s="45"/>
      <c r="K956" s="45">
        <v>520</v>
      </c>
      <c r="L956" s="463"/>
      <c r="M956" s="456">
        <v>30.024765014648438</v>
      </c>
      <c r="N956" s="457"/>
      <c r="O956" s="456"/>
      <c r="P956" s="46"/>
      <c r="Q956" s="463">
        <v>71.768714904785156</v>
      </c>
      <c r="R956" s="449"/>
      <c r="S956" s="463"/>
      <c r="T956" s="480"/>
      <c r="U956" s="468"/>
      <c r="V956" s="449"/>
      <c r="W956" s="45">
        <v>1410.4625244140625</v>
      </c>
      <c r="X956" s="463">
        <v>119.83296966552734</v>
      </c>
      <c r="Y956" s="449"/>
      <c r="Z956" s="45"/>
      <c r="AA956" s="468">
        <v>0.36970682239507041</v>
      </c>
      <c r="AB956" s="456"/>
      <c r="AC956" s="46"/>
      <c r="AD956" s="46"/>
      <c r="AE956" s="46"/>
      <c r="AF956" s="46"/>
      <c r="AG956" s="46"/>
      <c r="AH956" s="46"/>
      <c r="AI956" s="457"/>
      <c r="AJ956" s="138"/>
      <c r="AK956" s="745"/>
      <c r="AL956" s="54"/>
      <c r="AM956" s="468"/>
      <c r="AN956" s="449"/>
      <c r="AO956" s="45"/>
      <c r="AP956" s="45"/>
      <c r="AQ956" s="45"/>
      <c r="AR956" s="45"/>
      <c r="AS956" s="45"/>
      <c r="AT956" s="45"/>
      <c r="AU956" s="463"/>
      <c r="AV956" s="449"/>
      <c r="AW956" s="45"/>
      <c r="AX956" s="45"/>
      <c r="AY956" s="45"/>
      <c r="AZ956" s="45"/>
      <c r="BA956" s="45"/>
      <c r="BB956" s="45"/>
      <c r="BC956" s="463"/>
      <c r="BD956" s="456"/>
      <c r="BE956" s="46"/>
      <c r="BF956" s="46"/>
      <c r="BG956" s="46"/>
      <c r="BH956" s="46"/>
      <c r="BI956" s="46"/>
      <c r="BJ956" s="457"/>
      <c r="BK956" s="449">
        <v>0</v>
      </c>
      <c r="BL956" s="45"/>
      <c r="BM956" s="45"/>
      <c r="BN956" s="45"/>
      <c r="BO956" s="45"/>
      <c r="BP956" s="45"/>
      <c r="BQ956" s="45"/>
      <c r="BR956" s="45"/>
      <c r="BS956" s="45"/>
      <c r="BT956" s="45"/>
      <c r="BU956" s="45"/>
      <c r="BV956" s="45"/>
      <c r="BW956" s="45"/>
      <c r="BX956" s="45"/>
      <c r="BY956" s="45"/>
      <c r="BZ956" s="45"/>
      <c r="CA956" s="45"/>
      <c r="CB956" s="45"/>
      <c r="CC956" s="45"/>
      <c r="CD956" s="463"/>
      <c r="CE956">
        <v>0</v>
      </c>
      <c r="CF956">
        <v>0</v>
      </c>
      <c r="CG956">
        <v>0</v>
      </c>
      <c r="CH956">
        <v>0</v>
      </c>
      <c r="CI956">
        <v>0</v>
      </c>
      <c r="CJ956">
        <v>0</v>
      </c>
      <c r="CK956">
        <v>0</v>
      </c>
      <c r="CL956">
        <v>0</v>
      </c>
      <c r="CM956">
        <v>0</v>
      </c>
      <c r="CN956">
        <v>0</v>
      </c>
      <c r="CO956">
        <v>0</v>
      </c>
      <c r="CP956">
        <v>0</v>
      </c>
      <c r="CQ956">
        <v>0</v>
      </c>
      <c r="CR956">
        <v>0</v>
      </c>
      <c r="CS956">
        <v>0</v>
      </c>
      <c r="CT956">
        <v>0</v>
      </c>
      <c r="CU956">
        <v>0</v>
      </c>
      <c r="CV956">
        <v>0</v>
      </c>
      <c r="CW956">
        <v>0</v>
      </c>
      <c r="CX956">
        <v>0</v>
      </c>
      <c r="CY956">
        <v>0</v>
      </c>
      <c r="CZ956">
        <v>0</v>
      </c>
      <c r="DA956">
        <v>0</v>
      </c>
      <c r="DB956">
        <v>0</v>
      </c>
      <c r="DC956">
        <v>0</v>
      </c>
      <c r="DD956">
        <v>0</v>
      </c>
      <c r="DE956">
        <v>0</v>
      </c>
      <c r="DF956">
        <v>0</v>
      </c>
      <c r="DG956">
        <v>0</v>
      </c>
      <c r="DH956">
        <v>0</v>
      </c>
      <c r="DI956">
        <v>0</v>
      </c>
      <c r="DJ956">
        <v>0</v>
      </c>
      <c r="DK956">
        <v>0</v>
      </c>
      <c r="DL956">
        <v>0</v>
      </c>
      <c r="DM956">
        <v>0</v>
      </c>
      <c r="DN956">
        <v>0</v>
      </c>
      <c r="DO956">
        <v>0</v>
      </c>
      <c r="DP956">
        <v>0</v>
      </c>
      <c r="DQ956">
        <v>0</v>
      </c>
      <c r="DR956">
        <v>0</v>
      </c>
      <c r="DS956">
        <v>0</v>
      </c>
      <c r="DT956">
        <v>0</v>
      </c>
      <c r="DU956">
        <v>0</v>
      </c>
    </row>
    <row r="957" spans="2:125">
      <c r="B957" s="136">
        <v>948</v>
      </c>
      <c r="C957" s="138">
        <v>1</v>
      </c>
      <c r="D957" s="474">
        <v>3163.4543217003279</v>
      </c>
      <c r="E957" s="127">
        <v>200.18083158637674</v>
      </c>
      <c r="F957" s="447">
        <v>0.43950568787311234</v>
      </c>
      <c r="G957" s="127">
        <v>109.07435412616788</v>
      </c>
      <c r="H957" s="132">
        <v>54.383166267524807</v>
      </c>
      <c r="I957" s="456"/>
      <c r="J957" s="45"/>
      <c r="K957" s="45">
        <v>450</v>
      </c>
      <c r="L957" s="463"/>
      <c r="M957" s="456">
        <v>36.440723419189453</v>
      </c>
      <c r="N957" s="457"/>
      <c r="O957" s="456"/>
      <c r="P957" s="46"/>
      <c r="Q957" s="463">
        <v>62.636398315429687</v>
      </c>
      <c r="R957" s="449"/>
      <c r="S957" s="463"/>
      <c r="T957" s="480"/>
      <c r="U957" s="468"/>
      <c r="V957" s="449"/>
      <c r="W957" s="45">
        <v>1532.030517578125</v>
      </c>
      <c r="X957" s="463">
        <v>128.39811706542969</v>
      </c>
      <c r="Y957" s="449"/>
      <c r="Z957" s="45"/>
      <c r="AA957" s="468">
        <v>0.42882429015996304</v>
      </c>
      <c r="AB957" s="456"/>
      <c r="AC957" s="46"/>
      <c r="AD957" s="46"/>
      <c r="AE957" s="46"/>
      <c r="AF957" s="46"/>
      <c r="AG957" s="46"/>
      <c r="AH957" s="46"/>
      <c r="AI957" s="457"/>
      <c r="AJ957" s="138"/>
      <c r="AK957" s="745"/>
      <c r="AL957" s="54"/>
      <c r="AM957" s="468"/>
      <c r="AN957" s="449"/>
      <c r="AO957" s="45"/>
      <c r="AP957" s="45"/>
      <c r="AQ957" s="45"/>
      <c r="AR957" s="45"/>
      <c r="AS957" s="45"/>
      <c r="AT957" s="45"/>
      <c r="AU957" s="463"/>
      <c r="AV957" s="449"/>
      <c r="AW957" s="45"/>
      <c r="AX957" s="45"/>
      <c r="AY957" s="45"/>
      <c r="AZ957" s="45"/>
      <c r="BA957" s="45"/>
      <c r="BB957" s="45"/>
      <c r="BC957" s="463"/>
      <c r="BD957" s="456"/>
      <c r="BE957" s="46"/>
      <c r="BF957" s="46"/>
      <c r="BG957" s="46"/>
      <c r="BH957" s="46"/>
      <c r="BI957" s="46"/>
      <c r="BJ957" s="457"/>
      <c r="BK957" s="449">
        <v>0</v>
      </c>
      <c r="BL957" s="45"/>
      <c r="BM957" s="45"/>
      <c r="BN957" s="45"/>
      <c r="BO957" s="45"/>
      <c r="BP957" s="45"/>
      <c r="BQ957" s="45"/>
      <c r="BR957" s="45"/>
      <c r="BS957" s="45"/>
      <c r="BT957" s="45"/>
      <c r="BU957" s="45"/>
      <c r="BV957" s="45"/>
      <c r="BW957" s="45"/>
      <c r="BX957" s="45"/>
      <c r="BY957" s="45"/>
      <c r="BZ957" s="45"/>
      <c r="CA957" s="45"/>
      <c r="CB957" s="45"/>
      <c r="CC957" s="45"/>
      <c r="CD957" s="463"/>
      <c r="CE957">
        <v>0</v>
      </c>
      <c r="CF957">
        <v>0</v>
      </c>
      <c r="CG957">
        <v>0</v>
      </c>
      <c r="CH957">
        <v>0</v>
      </c>
      <c r="CI957">
        <v>0</v>
      </c>
      <c r="CJ957">
        <v>0</v>
      </c>
      <c r="CK957">
        <v>0</v>
      </c>
      <c r="CL957">
        <v>0</v>
      </c>
      <c r="CM957">
        <v>0</v>
      </c>
      <c r="CN957">
        <v>0</v>
      </c>
      <c r="CO957">
        <v>0</v>
      </c>
      <c r="CP957">
        <v>0</v>
      </c>
      <c r="CQ957">
        <v>0</v>
      </c>
      <c r="CR957">
        <v>0</v>
      </c>
      <c r="CS957">
        <v>0</v>
      </c>
      <c r="CT957">
        <v>0</v>
      </c>
      <c r="CU957">
        <v>0</v>
      </c>
      <c r="CV957">
        <v>0</v>
      </c>
      <c r="CW957">
        <v>0</v>
      </c>
      <c r="CX957">
        <v>0</v>
      </c>
      <c r="CY957">
        <v>0</v>
      </c>
      <c r="CZ957">
        <v>0</v>
      </c>
      <c r="DA957">
        <v>0</v>
      </c>
      <c r="DB957">
        <v>0</v>
      </c>
      <c r="DC957">
        <v>0</v>
      </c>
      <c r="DD957">
        <v>0</v>
      </c>
      <c r="DE957">
        <v>0</v>
      </c>
      <c r="DF957">
        <v>0</v>
      </c>
      <c r="DG957">
        <v>0</v>
      </c>
      <c r="DH957">
        <v>0</v>
      </c>
      <c r="DI957">
        <v>0</v>
      </c>
      <c r="DJ957">
        <v>0</v>
      </c>
      <c r="DK957">
        <v>0</v>
      </c>
      <c r="DL957">
        <v>0</v>
      </c>
      <c r="DM957">
        <v>0</v>
      </c>
      <c r="DN957">
        <v>0</v>
      </c>
      <c r="DO957">
        <v>0</v>
      </c>
      <c r="DP957">
        <v>0</v>
      </c>
      <c r="DQ957">
        <v>0</v>
      </c>
      <c r="DR957">
        <v>0</v>
      </c>
      <c r="DS957">
        <v>0</v>
      </c>
      <c r="DT957">
        <v>0</v>
      </c>
      <c r="DU957">
        <v>0</v>
      </c>
    </row>
    <row r="958" spans="2:125">
      <c r="B958" s="136">
        <v>949</v>
      </c>
      <c r="C958" s="138">
        <v>1</v>
      </c>
      <c r="D958" s="474">
        <v>3633.0818455205854</v>
      </c>
      <c r="E958" s="127">
        <v>230.88827090223106</v>
      </c>
      <c r="F958" s="447">
        <v>0.39050045861687388</v>
      </c>
      <c r="G958" s="127">
        <v>130.97083615599178</v>
      </c>
      <c r="H958" s="132">
        <v>57.060130810394931</v>
      </c>
      <c r="I958" s="456"/>
      <c r="J958" s="45"/>
      <c r="K958" s="45">
        <v>530</v>
      </c>
      <c r="L958" s="463"/>
      <c r="M958" s="456">
        <v>31.60173225402832</v>
      </c>
      <c r="N958" s="457"/>
      <c r="O958" s="456"/>
      <c r="P958" s="46"/>
      <c r="Q958" s="463">
        <v>71.935028076171875</v>
      </c>
      <c r="R958" s="449"/>
      <c r="S958" s="463"/>
      <c r="T958" s="480"/>
      <c r="U958" s="468"/>
      <c r="V958" s="449"/>
      <c r="W958" s="45">
        <v>1480.12109375</v>
      </c>
      <c r="X958" s="463">
        <v>124.9290771484375</v>
      </c>
      <c r="Y958" s="449"/>
      <c r="Z958" s="45"/>
      <c r="AA958" s="468">
        <v>0.38146955577255987</v>
      </c>
      <c r="AB958" s="456"/>
      <c r="AC958" s="46"/>
      <c r="AD958" s="46"/>
      <c r="AE958" s="46"/>
      <c r="AF958" s="46"/>
      <c r="AG958" s="46"/>
      <c r="AH958" s="46"/>
      <c r="AI958" s="457"/>
      <c r="AJ958" s="138"/>
      <c r="AK958" s="745"/>
      <c r="AL958" s="54"/>
      <c r="AM958" s="468"/>
      <c r="AN958" s="449"/>
      <c r="AO958" s="45"/>
      <c r="AP958" s="45"/>
      <c r="AQ958" s="45"/>
      <c r="AR958" s="45"/>
      <c r="AS958" s="45"/>
      <c r="AT958" s="45"/>
      <c r="AU958" s="463"/>
      <c r="AV958" s="449"/>
      <c r="AW958" s="45"/>
      <c r="AX958" s="45"/>
      <c r="AY958" s="45"/>
      <c r="AZ958" s="45"/>
      <c r="BA958" s="45"/>
      <c r="BB958" s="45"/>
      <c r="BC958" s="463"/>
      <c r="BD958" s="456"/>
      <c r="BE958" s="46"/>
      <c r="BF958" s="46"/>
      <c r="BG958" s="46"/>
      <c r="BH958" s="46"/>
      <c r="BI958" s="46"/>
      <c r="BJ958" s="457"/>
      <c r="BK958" s="449">
        <v>0</v>
      </c>
      <c r="BL958" s="45"/>
      <c r="BM958" s="45"/>
      <c r="BN958" s="45"/>
      <c r="BO958" s="45"/>
      <c r="BP958" s="45"/>
      <c r="BQ958" s="45"/>
      <c r="BR958" s="45"/>
      <c r="BS958" s="45"/>
      <c r="BT958" s="45"/>
      <c r="BU958" s="45"/>
      <c r="BV958" s="45"/>
      <c r="BW958" s="45"/>
      <c r="BX958" s="45"/>
      <c r="BY958" s="45"/>
      <c r="BZ958" s="45"/>
      <c r="CA958" s="45"/>
      <c r="CB958" s="45"/>
      <c r="CC958" s="45"/>
      <c r="CD958" s="463"/>
      <c r="CE958">
        <v>0</v>
      </c>
      <c r="CF958">
        <v>0</v>
      </c>
      <c r="CG958">
        <v>0</v>
      </c>
      <c r="CH958">
        <v>0</v>
      </c>
      <c r="CI958">
        <v>0</v>
      </c>
      <c r="CJ958">
        <v>0</v>
      </c>
      <c r="CK958">
        <v>0</v>
      </c>
      <c r="CL958">
        <v>0</v>
      </c>
      <c r="CM958">
        <v>0</v>
      </c>
      <c r="CN958">
        <v>0</v>
      </c>
      <c r="CO958">
        <v>0</v>
      </c>
      <c r="CP958">
        <v>0</v>
      </c>
      <c r="CQ958">
        <v>0</v>
      </c>
      <c r="CR958">
        <v>0</v>
      </c>
      <c r="CS958">
        <v>0</v>
      </c>
      <c r="CT958">
        <v>0</v>
      </c>
      <c r="CU958">
        <v>0</v>
      </c>
      <c r="CV958">
        <v>0</v>
      </c>
      <c r="CW958">
        <v>0</v>
      </c>
      <c r="CX958">
        <v>0</v>
      </c>
      <c r="CY958">
        <v>0</v>
      </c>
      <c r="CZ958">
        <v>0</v>
      </c>
      <c r="DA958">
        <v>0</v>
      </c>
      <c r="DB958">
        <v>0</v>
      </c>
      <c r="DC958">
        <v>0</v>
      </c>
      <c r="DD958">
        <v>0</v>
      </c>
      <c r="DE958">
        <v>0</v>
      </c>
      <c r="DF958">
        <v>0</v>
      </c>
      <c r="DG958">
        <v>0</v>
      </c>
      <c r="DH958">
        <v>0</v>
      </c>
      <c r="DI958">
        <v>0</v>
      </c>
      <c r="DJ958">
        <v>0</v>
      </c>
      <c r="DK958">
        <v>0</v>
      </c>
      <c r="DL958">
        <v>0</v>
      </c>
      <c r="DM958">
        <v>0</v>
      </c>
      <c r="DN958">
        <v>0</v>
      </c>
      <c r="DO958">
        <v>0</v>
      </c>
      <c r="DP958">
        <v>0</v>
      </c>
      <c r="DQ958">
        <v>0</v>
      </c>
      <c r="DR958">
        <v>0</v>
      </c>
      <c r="DS958">
        <v>0</v>
      </c>
      <c r="DT958">
        <v>0</v>
      </c>
      <c r="DU958">
        <v>0</v>
      </c>
    </row>
    <row r="959" spans="2:125">
      <c r="B959" s="136">
        <v>950</v>
      </c>
      <c r="C959" s="138">
        <v>1</v>
      </c>
      <c r="D959" s="474">
        <v>3488.9924403204468</v>
      </c>
      <c r="E959" s="127">
        <v>196.98054175202279</v>
      </c>
      <c r="F959" s="447">
        <v>0.47342117258399979</v>
      </c>
      <c r="G959" s="127">
        <v>143.10949299701835</v>
      </c>
      <c r="H959" s="132">
        <v>50.959381364439842</v>
      </c>
      <c r="I959" s="456"/>
      <c r="J959" s="45"/>
      <c r="K959" s="45">
        <v>560</v>
      </c>
      <c r="L959" s="463"/>
      <c r="M959" s="456">
        <v>48.744064331054687</v>
      </c>
      <c r="N959" s="457"/>
      <c r="O959" s="456"/>
      <c r="P959" s="46"/>
      <c r="Q959" s="463">
        <v>69.082054138183594</v>
      </c>
      <c r="R959" s="449"/>
      <c r="S959" s="463"/>
      <c r="T959" s="480"/>
      <c r="U959" s="468"/>
      <c r="V959" s="449"/>
      <c r="W959" s="45">
        <v>2152.672119140625</v>
      </c>
      <c r="X959" s="463">
        <v>173.97477722167969</v>
      </c>
      <c r="Y959" s="449"/>
      <c r="Z959" s="45"/>
      <c r="AA959" s="468">
        <v>0.46354198137299391</v>
      </c>
      <c r="AB959" s="456"/>
      <c r="AC959" s="46"/>
      <c r="AD959" s="46"/>
      <c r="AE959" s="46"/>
      <c r="AF959" s="46"/>
      <c r="AG959" s="46"/>
      <c r="AH959" s="46"/>
      <c r="AI959" s="457"/>
      <c r="AJ959" s="138"/>
      <c r="AK959" s="745"/>
      <c r="AL959" s="54"/>
      <c r="AM959" s="468"/>
      <c r="AN959" s="449"/>
      <c r="AO959" s="45"/>
      <c r="AP959" s="45"/>
      <c r="AQ959" s="45"/>
      <c r="AR959" s="45"/>
      <c r="AS959" s="45"/>
      <c r="AT959" s="45"/>
      <c r="AU959" s="463"/>
      <c r="AV959" s="449"/>
      <c r="AW959" s="45"/>
      <c r="AX959" s="45"/>
      <c r="AY959" s="45"/>
      <c r="AZ959" s="45"/>
      <c r="BA959" s="45"/>
      <c r="BB959" s="45"/>
      <c r="BC959" s="463"/>
      <c r="BD959" s="456"/>
      <c r="BE959" s="46"/>
      <c r="BF959" s="46"/>
      <c r="BG959" s="46"/>
      <c r="BH959" s="46"/>
      <c r="BI959" s="46"/>
      <c r="BJ959" s="457"/>
      <c r="BK959" s="449">
        <v>0</v>
      </c>
      <c r="BL959" s="45"/>
      <c r="BM959" s="45"/>
      <c r="BN959" s="45"/>
      <c r="BO959" s="45"/>
      <c r="BP959" s="45"/>
      <c r="BQ959" s="45"/>
      <c r="BR959" s="45"/>
      <c r="BS959" s="45"/>
      <c r="BT959" s="45"/>
      <c r="BU959" s="45"/>
      <c r="BV959" s="45"/>
      <c r="BW959" s="45"/>
      <c r="BX959" s="45"/>
      <c r="BY959" s="45"/>
      <c r="BZ959" s="45"/>
      <c r="CA959" s="45"/>
      <c r="CB959" s="45"/>
      <c r="CC959" s="45"/>
      <c r="CD959" s="463"/>
      <c r="CE959">
        <v>0</v>
      </c>
      <c r="CF959">
        <v>0</v>
      </c>
      <c r="CG959">
        <v>0</v>
      </c>
      <c r="CH959">
        <v>0</v>
      </c>
      <c r="CI959">
        <v>0</v>
      </c>
      <c r="CJ959">
        <v>0</v>
      </c>
      <c r="CK959">
        <v>0</v>
      </c>
      <c r="CL959">
        <v>0</v>
      </c>
      <c r="CM959">
        <v>0</v>
      </c>
      <c r="CN959">
        <v>0</v>
      </c>
      <c r="CO959">
        <v>0</v>
      </c>
      <c r="CP959">
        <v>0</v>
      </c>
      <c r="CQ959">
        <v>0</v>
      </c>
      <c r="CR959">
        <v>0</v>
      </c>
      <c r="CS959">
        <v>0</v>
      </c>
      <c r="CT959">
        <v>0</v>
      </c>
      <c r="CU959">
        <v>0</v>
      </c>
      <c r="CV959">
        <v>0</v>
      </c>
      <c r="CW959">
        <v>0</v>
      </c>
      <c r="CX959">
        <v>0</v>
      </c>
      <c r="CY959">
        <v>0</v>
      </c>
      <c r="CZ959">
        <v>0</v>
      </c>
      <c r="DA959">
        <v>0</v>
      </c>
      <c r="DB959">
        <v>0</v>
      </c>
      <c r="DC959">
        <v>0</v>
      </c>
      <c r="DD959">
        <v>0</v>
      </c>
      <c r="DE959">
        <v>0</v>
      </c>
      <c r="DF959">
        <v>0</v>
      </c>
      <c r="DG959">
        <v>0</v>
      </c>
      <c r="DH959">
        <v>0</v>
      </c>
      <c r="DI959">
        <v>0</v>
      </c>
      <c r="DJ959">
        <v>0</v>
      </c>
      <c r="DK959">
        <v>0</v>
      </c>
      <c r="DL959">
        <v>0</v>
      </c>
      <c r="DM959">
        <v>0</v>
      </c>
      <c r="DN959">
        <v>0</v>
      </c>
      <c r="DO959">
        <v>0</v>
      </c>
      <c r="DP959">
        <v>0</v>
      </c>
      <c r="DQ959">
        <v>0</v>
      </c>
      <c r="DR959">
        <v>0</v>
      </c>
      <c r="DS959">
        <v>0</v>
      </c>
      <c r="DT959">
        <v>0</v>
      </c>
      <c r="DU959">
        <v>0</v>
      </c>
    </row>
    <row r="960" spans="2:125">
      <c r="B960" s="136">
        <v>951</v>
      </c>
      <c r="C960" s="138">
        <v>1</v>
      </c>
      <c r="D960" s="474">
        <v>3684.2504752020445</v>
      </c>
      <c r="E960" s="127">
        <v>282.7863647072021</v>
      </c>
      <c r="F960" s="447">
        <v>0.44573505896632265</v>
      </c>
      <c r="G960" s="127">
        <v>114.57263735605547</v>
      </c>
      <c r="H960" s="132">
        <v>67.35077964149815</v>
      </c>
      <c r="I960" s="456"/>
      <c r="J960" s="45"/>
      <c r="K960" s="45">
        <v>530</v>
      </c>
      <c r="L960" s="463"/>
      <c r="M960" s="456">
        <v>36.113693237304687</v>
      </c>
      <c r="N960" s="457"/>
      <c r="O960" s="456"/>
      <c r="P960" s="46"/>
      <c r="Q960" s="463">
        <v>81.447242736816406</v>
      </c>
      <c r="R960" s="449"/>
      <c r="S960" s="463"/>
      <c r="T960" s="480"/>
      <c r="U960" s="468"/>
      <c r="V960" s="449"/>
      <c r="W960" s="45">
        <v>1773.4232177734375</v>
      </c>
      <c r="X960" s="463">
        <v>146.25942993164062</v>
      </c>
      <c r="Y960" s="449"/>
      <c r="Z960" s="45"/>
      <c r="AA960" s="468">
        <v>0.43652973989054333</v>
      </c>
      <c r="AB960" s="456"/>
      <c r="AC960" s="46"/>
      <c r="AD960" s="46"/>
      <c r="AE960" s="46"/>
      <c r="AF960" s="46"/>
      <c r="AG960" s="46"/>
      <c r="AH960" s="46"/>
      <c r="AI960" s="457"/>
      <c r="AJ960" s="138"/>
      <c r="AK960" s="745"/>
      <c r="AL960" s="54"/>
      <c r="AM960" s="468"/>
      <c r="AN960" s="449"/>
      <c r="AO960" s="45"/>
      <c r="AP960" s="45"/>
      <c r="AQ960" s="45"/>
      <c r="AR960" s="45"/>
      <c r="AS960" s="45"/>
      <c r="AT960" s="45"/>
      <c r="AU960" s="463"/>
      <c r="AV960" s="449"/>
      <c r="AW960" s="45"/>
      <c r="AX960" s="45"/>
      <c r="AY960" s="45"/>
      <c r="AZ960" s="45"/>
      <c r="BA960" s="45"/>
      <c r="BB960" s="45"/>
      <c r="BC960" s="463"/>
      <c r="BD960" s="456"/>
      <c r="BE960" s="46"/>
      <c r="BF960" s="46"/>
      <c r="BG960" s="46"/>
      <c r="BH960" s="46"/>
      <c r="BI960" s="46"/>
      <c r="BJ960" s="457"/>
      <c r="BK960" s="449">
        <v>0</v>
      </c>
      <c r="BL960" s="45"/>
      <c r="BM960" s="45"/>
      <c r="BN960" s="45"/>
      <c r="BO960" s="45"/>
      <c r="BP960" s="45"/>
      <c r="BQ960" s="45"/>
      <c r="BR960" s="45"/>
      <c r="BS960" s="45"/>
      <c r="BT960" s="45"/>
      <c r="BU960" s="45"/>
      <c r="BV960" s="45"/>
      <c r="BW960" s="45"/>
      <c r="BX960" s="45"/>
      <c r="BY960" s="45"/>
      <c r="BZ960" s="45"/>
      <c r="CA960" s="45"/>
      <c r="CB960" s="45"/>
      <c r="CC960" s="45"/>
      <c r="CD960" s="463"/>
      <c r="CE960">
        <v>0</v>
      </c>
      <c r="CF960">
        <v>0</v>
      </c>
      <c r="CG960">
        <v>0</v>
      </c>
      <c r="CH960">
        <v>0</v>
      </c>
      <c r="CI960">
        <v>0</v>
      </c>
      <c r="CJ960">
        <v>0</v>
      </c>
      <c r="CK960">
        <v>0</v>
      </c>
      <c r="CL960">
        <v>0</v>
      </c>
      <c r="CM960">
        <v>0</v>
      </c>
      <c r="CN960">
        <v>0</v>
      </c>
      <c r="CO960">
        <v>0</v>
      </c>
      <c r="CP960">
        <v>0</v>
      </c>
      <c r="CQ960">
        <v>0</v>
      </c>
      <c r="CR960">
        <v>0</v>
      </c>
      <c r="CS960">
        <v>0</v>
      </c>
      <c r="CT960">
        <v>0</v>
      </c>
      <c r="CU960">
        <v>0</v>
      </c>
      <c r="CV960">
        <v>0</v>
      </c>
      <c r="CW960">
        <v>0</v>
      </c>
      <c r="CX960">
        <v>0</v>
      </c>
      <c r="CY960">
        <v>0</v>
      </c>
      <c r="CZ960">
        <v>0</v>
      </c>
      <c r="DA960">
        <v>0</v>
      </c>
      <c r="DB960">
        <v>0</v>
      </c>
      <c r="DC960">
        <v>0</v>
      </c>
      <c r="DD960">
        <v>0</v>
      </c>
      <c r="DE960">
        <v>0</v>
      </c>
      <c r="DF960">
        <v>0</v>
      </c>
      <c r="DG960">
        <v>0</v>
      </c>
      <c r="DH960">
        <v>0</v>
      </c>
      <c r="DI960">
        <v>0</v>
      </c>
      <c r="DJ960">
        <v>0</v>
      </c>
      <c r="DK960">
        <v>0</v>
      </c>
      <c r="DL960">
        <v>0</v>
      </c>
      <c r="DM960">
        <v>0</v>
      </c>
      <c r="DN960">
        <v>0</v>
      </c>
      <c r="DO960">
        <v>0</v>
      </c>
      <c r="DP960">
        <v>0</v>
      </c>
      <c r="DQ960">
        <v>0</v>
      </c>
      <c r="DR960">
        <v>0</v>
      </c>
      <c r="DS960">
        <v>0</v>
      </c>
      <c r="DT960">
        <v>0</v>
      </c>
      <c r="DU960">
        <v>0</v>
      </c>
    </row>
    <row r="961" spans="2:125">
      <c r="B961" s="136">
        <v>952</v>
      </c>
      <c r="C961" s="138">
        <v>1</v>
      </c>
      <c r="D961" s="474">
        <v>3012.686007289607</v>
      </c>
      <c r="E961" s="127">
        <v>244.32402158911214</v>
      </c>
      <c r="F961" s="447">
        <v>0.37885142045410236</v>
      </c>
      <c r="G961" s="127">
        <v>119.07673671838695</v>
      </c>
      <c r="H961" s="132">
        <v>48.126882553552129</v>
      </c>
      <c r="I961" s="456"/>
      <c r="J961" s="45"/>
      <c r="K961" s="45">
        <v>460</v>
      </c>
      <c r="L961" s="463"/>
      <c r="M961" s="456">
        <v>30.793340682983398</v>
      </c>
      <c r="N961" s="457"/>
      <c r="O961" s="456"/>
      <c r="P961" s="46"/>
      <c r="Q961" s="463">
        <v>59.65118408203125</v>
      </c>
      <c r="R961" s="449"/>
      <c r="S961" s="463"/>
      <c r="T961" s="480"/>
      <c r="U961" s="468"/>
      <c r="V961" s="449"/>
      <c r="W961" s="45">
        <v>1271.073486328125</v>
      </c>
      <c r="X961" s="463">
        <v>109.43795776367188</v>
      </c>
      <c r="Y961" s="449"/>
      <c r="Z961" s="45"/>
      <c r="AA961" s="468">
        <v>0.36803813678290082</v>
      </c>
      <c r="AB961" s="456"/>
      <c r="AC961" s="46"/>
      <c r="AD961" s="46"/>
      <c r="AE961" s="46"/>
      <c r="AF961" s="46"/>
      <c r="AG961" s="46"/>
      <c r="AH961" s="46"/>
      <c r="AI961" s="457"/>
      <c r="AJ961" s="138"/>
      <c r="AK961" s="745"/>
      <c r="AL961" s="54"/>
      <c r="AM961" s="468"/>
      <c r="AN961" s="449"/>
      <c r="AO961" s="45"/>
      <c r="AP961" s="45"/>
      <c r="AQ961" s="45"/>
      <c r="AR961" s="45"/>
      <c r="AS961" s="45"/>
      <c r="AT961" s="45"/>
      <c r="AU961" s="463"/>
      <c r="AV961" s="449"/>
      <c r="AW961" s="45"/>
      <c r="AX961" s="45"/>
      <c r="AY961" s="45"/>
      <c r="AZ961" s="45"/>
      <c r="BA961" s="45"/>
      <c r="BB961" s="45"/>
      <c r="BC961" s="463"/>
      <c r="BD961" s="456"/>
      <c r="BE961" s="46"/>
      <c r="BF961" s="46"/>
      <c r="BG961" s="46"/>
      <c r="BH961" s="46"/>
      <c r="BI961" s="46"/>
      <c r="BJ961" s="457"/>
      <c r="BK961" s="449">
        <v>0</v>
      </c>
      <c r="BL961" s="45"/>
      <c r="BM961" s="45"/>
      <c r="BN961" s="45"/>
      <c r="BO961" s="45"/>
      <c r="BP961" s="45"/>
      <c r="BQ961" s="45"/>
      <c r="BR961" s="45"/>
      <c r="BS961" s="45"/>
      <c r="BT961" s="45"/>
      <c r="BU961" s="45"/>
      <c r="BV961" s="45"/>
      <c r="BW961" s="45"/>
      <c r="BX961" s="45"/>
      <c r="BY961" s="45"/>
      <c r="BZ961" s="45"/>
      <c r="CA961" s="45"/>
      <c r="CB961" s="45"/>
      <c r="CC961" s="45"/>
      <c r="CD961" s="463"/>
      <c r="CE961">
        <v>0</v>
      </c>
      <c r="CF961">
        <v>0</v>
      </c>
      <c r="CG961">
        <v>0</v>
      </c>
      <c r="CH961">
        <v>0</v>
      </c>
      <c r="CI961">
        <v>0</v>
      </c>
      <c r="CJ961">
        <v>0</v>
      </c>
      <c r="CK961">
        <v>0</v>
      </c>
      <c r="CL961">
        <v>0</v>
      </c>
      <c r="CM961">
        <v>0</v>
      </c>
      <c r="CN961">
        <v>0</v>
      </c>
      <c r="CO961">
        <v>0</v>
      </c>
      <c r="CP961">
        <v>0</v>
      </c>
      <c r="CQ961">
        <v>0</v>
      </c>
      <c r="CR961">
        <v>0</v>
      </c>
      <c r="CS961">
        <v>0</v>
      </c>
      <c r="CT961">
        <v>0</v>
      </c>
      <c r="CU961">
        <v>0</v>
      </c>
      <c r="CV961">
        <v>0</v>
      </c>
      <c r="CW961">
        <v>0</v>
      </c>
      <c r="CX961">
        <v>0</v>
      </c>
      <c r="CY961">
        <v>0</v>
      </c>
      <c r="CZ961">
        <v>0</v>
      </c>
      <c r="DA961">
        <v>0</v>
      </c>
      <c r="DB961">
        <v>0</v>
      </c>
      <c r="DC961">
        <v>0</v>
      </c>
      <c r="DD961">
        <v>0</v>
      </c>
      <c r="DE961">
        <v>0</v>
      </c>
      <c r="DF961">
        <v>0</v>
      </c>
      <c r="DG961">
        <v>0</v>
      </c>
      <c r="DH961">
        <v>0</v>
      </c>
      <c r="DI961">
        <v>0</v>
      </c>
      <c r="DJ961">
        <v>0</v>
      </c>
      <c r="DK961">
        <v>0</v>
      </c>
      <c r="DL961">
        <v>0</v>
      </c>
      <c r="DM961">
        <v>0</v>
      </c>
      <c r="DN961">
        <v>0</v>
      </c>
      <c r="DO961">
        <v>0</v>
      </c>
      <c r="DP961">
        <v>0</v>
      </c>
      <c r="DQ961">
        <v>0</v>
      </c>
      <c r="DR961">
        <v>0</v>
      </c>
      <c r="DS961">
        <v>0</v>
      </c>
      <c r="DT961">
        <v>0</v>
      </c>
      <c r="DU961">
        <v>0</v>
      </c>
    </row>
    <row r="962" spans="2:125">
      <c r="B962" s="136">
        <v>953</v>
      </c>
      <c r="C962" s="138">
        <v>1</v>
      </c>
      <c r="D962" s="474">
        <v>2926.4451720133093</v>
      </c>
      <c r="E962" s="127">
        <v>231.37929491258416</v>
      </c>
      <c r="F962" s="447">
        <v>0.38523670851398195</v>
      </c>
      <c r="G962" s="127">
        <v>100.55201117986846</v>
      </c>
      <c r="H962" s="132">
        <v>52.184919526927672</v>
      </c>
      <c r="I962" s="456"/>
      <c r="J962" s="45"/>
      <c r="K962" s="45">
        <v>420</v>
      </c>
      <c r="L962" s="463"/>
      <c r="M962" s="456">
        <v>29.614484786987305</v>
      </c>
      <c r="N962" s="457"/>
      <c r="O962" s="456"/>
      <c r="P962" s="46"/>
      <c r="Q962" s="463">
        <v>57.943618774414063</v>
      </c>
      <c r="R962" s="449"/>
      <c r="S962" s="463"/>
      <c r="T962" s="480"/>
      <c r="U962" s="468"/>
      <c r="V962" s="449"/>
      <c r="W962" s="45">
        <v>1190.0550537109375</v>
      </c>
      <c r="X962" s="463">
        <v>103.37069702148437</v>
      </c>
      <c r="Y962" s="449"/>
      <c r="Z962" s="45"/>
      <c r="AA962" s="468">
        <v>0.37406112440154166</v>
      </c>
      <c r="AB962" s="456"/>
      <c r="AC962" s="46"/>
      <c r="AD962" s="46"/>
      <c r="AE962" s="46"/>
      <c r="AF962" s="46"/>
      <c r="AG962" s="46"/>
      <c r="AH962" s="46"/>
      <c r="AI962" s="457"/>
      <c r="AJ962" s="138"/>
      <c r="AK962" s="745"/>
      <c r="AL962" s="54"/>
      <c r="AM962" s="468"/>
      <c r="AN962" s="449"/>
      <c r="AO962" s="45"/>
      <c r="AP962" s="45"/>
      <c r="AQ962" s="45"/>
      <c r="AR962" s="45"/>
      <c r="AS962" s="45"/>
      <c r="AT962" s="45"/>
      <c r="AU962" s="463"/>
      <c r="AV962" s="449"/>
      <c r="AW962" s="45"/>
      <c r="AX962" s="45"/>
      <c r="AY962" s="45"/>
      <c r="AZ962" s="45"/>
      <c r="BA962" s="45"/>
      <c r="BB962" s="45"/>
      <c r="BC962" s="463"/>
      <c r="BD962" s="456"/>
      <c r="BE962" s="46"/>
      <c r="BF962" s="46"/>
      <c r="BG962" s="46"/>
      <c r="BH962" s="46"/>
      <c r="BI962" s="46"/>
      <c r="BJ962" s="457"/>
      <c r="BK962" s="449">
        <v>0</v>
      </c>
      <c r="BL962" s="45"/>
      <c r="BM962" s="45"/>
      <c r="BN962" s="45"/>
      <c r="BO962" s="45"/>
      <c r="BP962" s="45"/>
      <c r="BQ962" s="45"/>
      <c r="BR962" s="45"/>
      <c r="BS962" s="45"/>
      <c r="BT962" s="45"/>
      <c r="BU962" s="45"/>
      <c r="BV962" s="45"/>
      <c r="BW962" s="45"/>
      <c r="BX962" s="45"/>
      <c r="BY962" s="45"/>
      <c r="BZ962" s="45"/>
      <c r="CA962" s="45"/>
      <c r="CB962" s="45"/>
      <c r="CC962" s="45"/>
      <c r="CD962" s="463"/>
      <c r="CE962">
        <v>0</v>
      </c>
      <c r="CF962">
        <v>0</v>
      </c>
      <c r="CG962">
        <v>0</v>
      </c>
      <c r="CH962">
        <v>0</v>
      </c>
      <c r="CI962">
        <v>0</v>
      </c>
      <c r="CJ962">
        <v>0</v>
      </c>
      <c r="CK962">
        <v>0</v>
      </c>
      <c r="CL962">
        <v>0</v>
      </c>
      <c r="CM962">
        <v>0</v>
      </c>
      <c r="CN962">
        <v>0</v>
      </c>
      <c r="CO962">
        <v>0</v>
      </c>
      <c r="CP962">
        <v>0</v>
      </c>
      <c r="CQ962">
        <v>0</v>
      </c>
      <c r="CR962">
        <v>0</v>
      </c>
      <c r="CS962">
        <v>0</v>
      </c>
      <c r="CT962">
        <v>0</v>
      </c>
      <c r="CU962">
        <v>0</v>
      </c>
      <c r="CV962">
        <v>0</v>
      </c>
      <c r="CW962">
        <v>0</v>
      </c>
      <c r="CX962">
        <v>0</v>
      </c>
      <c r="CY962">
        <v>0</v>
      </c>
      <c r="CZ962">
        <v>0</v>
      </c>
      <c r="DA962">
        <v>0</v>
      </c>
      <c r="DB962">
        <v>0</v>
      </c>
      <c r="DC962">
        <v>0</v>
      </c>
      <c r="DD962">
        <v>0</v>
      </c>
      <c r="DE962">
        <v>0</v>
      </c>
      <c r="DF962">
        <v>0</v>
      </c>
      <c r="DG962">
        <v>0</v>
      </c>
      <c r="DH962">
        <v>0</v>
      </c>
      <c r="DI962">
        <v>0</v>
      </c>
      <c r="DJ962">
        <v>0</v>
      </c>
      <c r="DK962">
        <v>0</v>
      </c>
      <c r="DL962">
        <v>0</v>
      </c>
      <c r="DM962">
        <v>0</v>
      </c>
      <c r="DN962">
        <v>0</v>
      </c>
      <c r="DO962">
        <v>0</v>
      </c>
      <c r="DP962">
        <v>0</v>
      </c>
      <c r="DQ962">
        <v>0</v>
      </c>
      <c r="DR962">
        <v>0</v>
      </c>
      <c r="DS962">
        <v>0</v>
      </c>
      <c r="DT962">
        <v>0</v>
      </c>
      <c r="DU962">
        <v>0</v>
      </c>
    </row>
    <row r="963" spans="2:125">
      <c r="B963" s="136">
        <v>954</v>
      </c>
      <c r="C963" s="138">
        <v>1</v>
      </c>
      <c r="D963" s="474">
        <v>3432.191865559962</v>
      </c>
      <c r="E963" s="127">
        <v>227.54696283910442</v>
      </c>
      <c r="F963" s="447">
        <v>0.49007863293974802</v>
      </c>
      <c r="G963" s="127">
        <v>116.37774418724702</v>
      </c>
      <c r="H963" s="132">
        <v>57.266613818329049</v>
      </c>
      <c r="I963" s="456"/>
      <c r="J963" s="45"/>
      <c r="K963" s="45">
        <v>490</v>
      </c>
      <c r="L963" s="463"/>
      <c r="M963" s="456">
        <v>47.439102172851562</v>
      </c>
      <c r="N963" s="457"/>
      <c r="O963" s="456"/>
      <c r="P963" s="46"/>
      <c r="Q963" s="463">
        <v>67.9573974609375</v>
      </c>
      <c r="R963" s="449"/>
      <c r="S963" s="463"/>
      <c r="T963" s="480"/>
      <c r="U963" s="468"/>
      <c r="V963" s="449"/>
      <c r="W963" s="45">
        <v>2055.6044921875</v>
      </c>
      <c r="X963" s="463">
        <v>166.650634765625</v>
      </c>
      <c r="Y963" s="449"/>
      <c r="Z963" s="45"/>
      <c r="AA963" s="468">
        <v>0.47993888142759961</v>
      </c>
      <c r="AB963" s="456"/>
      <c r="AC963" s="46"/>
      <c r="AD963" s="46"/>
      <c r="AE963" s="46"/>
      <c r="AF963" s="46"/>
      <c r="AG963" s="46"/>
      <c r="AH963" s="46"/>
      <c r="AI963" s="457"/>
      <c r="AJ963" s="138"/>
      <c r="AK963" s="745"/>
      <c r="AL963" s="54"/>
      <c r="AM963" s="468"/>
      <c r="AN963" s="449"/>
      <c r="AO963" s="45"/>
      <c r="AP963" s="45"/>
      <c r="AQ963" s="45"/>
      <c r="AR963" s="45"/>
      <c r="AS963" s="45"/>
      <c r="AT963" s="45"/>
      <c r="AU963" s="463"/>
      <c r="AV963" s="449"/>
      <c r="AW963" s="45"/>
      <c r="AX963" s="45"/>
      <c r="AY963" s="45"/>
      <c r="AZ963" s="45"/>
      <c r="BA963" s="45"/>
      <c r="BB963" s="45"/>
      <c r="BC963" s="463"/>
      <c r="BD963" s="456"/>
      <c r="BE963" s="46"/>
      <c r="BF963" s="46"/>
      <c r="BG963" s="46"/>
      <c r="BH963" s="46"/>
      <c r="BI963" s="46"/>
      <c r="BJ963" s="457"/>
      <c r="BK963" s="449">
        <v>0</v>
      </c>
      <c r="BL963" s="45"/>
      <c r="BM963" s="45"/>
      <c r="BN963" s="45"/>
      <c r="BO963" s="45"/>
      <c r="BP963" s="45"/>
      <c r="BQ963" s="45"/>
      <c r="BR963" s="45"/>
      <c r="BS963" s="45"/>
      <c r="BT963" s="45"/>
      <c r="BU963" s="45"/>
      <c r="BV963" s="45"/>
      <c r="BW963" s="45"/>
      <c r="BX963" s="45"/>
      <c r="BY963" s="45"/>
      <c r="BZ963" s="45"/>
      <c r="CA963" s="45"/>
      <c r="CB963" s="45"/>
      <c r="CC963" s="45"/>
      <c r="CD963" s="463"/>
      <c r="CE963">
        <v>0</v>
      </c>
      <c r="CF963">
        <v>0</v>
      </c>
      <c r="CG963">
        <v>0</v>
      </c>
      <c r="CH963">
        <v>0</v>
      </c>
      <c r="CI963">
        <v>0</v>
      </c>
      <c r="CJ963">
        <v>0</v>
      </c>
      <c r="CK963">
        <v>0</v>
      </c>
      <c r="CL963">
        <v>0</v>
      </c>
      <c r="CM963">
        <v>0</v>
      </c>
      <c r="CN963">
        <v>0</v>
      </c>
      <c r="CO963">
        <v>0</v>
      </c>
      <c r="CP963">
        <v>0</v>
      </c>
      <c r="CQ963">
        <v>0</v>
      </c>
      <c r="CR963">
        <v>0</v>
      </c>
      <c r="CS963">
        <v>0</v>
      </c>
      <c r="CT963">
        <v>0</v>
      </c>
      <c r="CU963">
        <v>0</v>
      </c>
      <c r="CV963">
        <v>0</v>
      </c>
      <c r="CW963">
        <v>0</v>
      </c>
      <c r="CX963">
        <v>0</v>
      </c>
      <c r="CY963">
        <v>0</v>
      </c>
      <c r="CZ963">
        <v>0</v>
      </c>
      <c r="DA963">
        <v>0</v>
      </c>
      <c r="DB963">
        <v>0</v>
      </c>
      <c r="DC963">
        <v>0</v>
      </c>
      <c r="DD963">
        <v>0</v>
      </c>
      <c r="DE963">
        <v>0</v>
      </c>
      <c r="DF963">
        <v>0</v>
      </c>
      <c r="DG963">
        <v>0</v>
      </c>
      <c r="DH963">
        <v>0</v>
      </c>
      <c r="DI963">
        <v>0</v>
      </c>
      <c r="DJ963">
        <v>0</v>
      </c>
      <c r="DK963">
        <v>0</v>
      </c>
      <c r="DL963">
        <v>0</v>
      </c>
      <c r="DM963">
        <v>0</v>
      </c>
      <c r="DN963">
        <v>0</v>
      </c>
      <c r="DO963">
        <v>0</v>
      </c>
      <c r="DP963">
        <v>0</v>
      </c>
      <c r="DQ963">
        <v>0</v>
      </c>
      <c r="DR963">
        <v>0</v>
      </c>
      <c r="DS963">
        <v>0</v>
      </c>
      <c r="DT963">
        <v>0</v>
      </c>
      <c r="DU963">
        <v>0</v>
      </c>
    </row>
    <row r="964" spans="2:125">
      <c r="B964" s="136">
        <v>955</v>
      </c>
      <c r="C964" s="138">
        <v>1</v>
      </c>
      <c r="D964" s="474">
        <v>2775.0113931552837</v>
      </c>
      <c r="E964" s="127">
        <v>288.78295587434445</v>
      </c>
      <c r="F964" s="447">
        <v>0.41415089210748973</v>
      </c>
      <c r="G964" s="127">
        <v>88.150909678164496</v>
      </c>
      <c r="H964" s="132">
        <v>52.781179694863262</v>
      </c>
      <c r="I964" s="456"/>
      <c r="J964" s="45"/>
      <c r="K964" s="45">
        <v>380</v>
      </c>
      <c r="L964" s="463"/>
      <c r="M964" s="456">
        <v>31.356222152709961</v>
      </c>
      <c r="N964" s="457"/>
      <c r="O964" s="456"/>
      <c r="P964" s="46"/>
      <c r="Q964" s="463">
        <v>54.945228576660156</v>
      </c>
      <c r="R964" s="449"/>
      <c r="S964" s="463"/>
      <c r="T964" s="480"/>
      <c r="U964" s="468"/>
      <c r="V964" s="449"/>
      <c r="W964" s="45">
        <v>1207.5694580078125</v>
      </c>
      <c r="X964" s="463">
        <v>104.50222015380859</v>
      </c>
      <c r="Y964" s="449"/>
      <c r="Z964" s="45"/>
      <c r="AA964" s="468">
        <v>0.40215706104638343</v>
      </c>
      <c r="AB964" s="456"/>
      <c r="AC964" s="46"/>
      <c r="AD964" s="46"/>
      <c r="AE964" s="46"/>
      <c r="AF964" s="46"/>
      <c r="AG964" s="46"/>
      <c r="AH964" s="46"/>
      <c r="AI964" s="457"/>
      <c r="AJ964" s="138"/>
      <c r="AK964" s="745"/>
      <c r="AL964" s="54"/>
      <c r="AM964" s="468"/>
      <c r="AN964" s="449"/>
      <c r="AO964" s="45"/>
      <c r="AP964" s="45"/>
      <c r="AQ964" s="45"/>
      <c r="AR964" s="45"/>
      <c r="AS964" s="45"/>
      <c r="AT964" s="45"/>
      <c r="AU964" s="463"/>
      <c r="AV964" s="449"/>
      <c r="AW964" s="45"/>
      <c r="AX964" s="45"/>
      <c r="AY964" s="45"/>
      <c r="AZ964" s="45"/>
      <c r="BA964" s="45"/>
      <c r="BB964" s="45"/>
      <c r="BC964" s="463"/>
      <c r="BD964" s="456"/>
      <c r="BE964" s="46"/>
      <c r="BF964" s="46"/>
      <c r="BG964" s="46"/>
      <c r="BH964" s="46"/>
      <c r="BI964" s="46"/>
      <c r="BJ964" s="457"/>
      <c r="BK964" s="449">
        <v>0</v>
      </c>
      <c r="BL964" s="45"/>
      <c r="BM964" s="45"/>
      <c r="BN964" s="45"/>
      <c r="BO964" s="45"/>
      <c r="BP964" s="45"/>
      <c r="BQ964" s="45"/>
      <c r="BR964" s="45"/>
      <c r="BS964" s="45"/>
      <c r="BT964" s="45"/>
      <c r="BU964" s="45"/>
      <c r="BV964" s="45"/>
      <c r="BW964" s="45"/>
      <c r="BX964" s="45"/>
      <c r="BY964" s="45"/>
      <c r="BZ964" s="45"/>
      <c r="CA964" s="45"/>
      <c r="CB964" s="45"/>
      <c r="CC964" s="45"/>
      <c r="CD964" s="463"/>
      <c r="CE964">
        <v>0</v>
      </c>
      <c r="CF964">
        <v>0</v>
      </c>
      <c r="CG964">
        <v>0</v>
      </c>
      <c r="CH964">
        <v>0</v>
      </c>
      <c r="CI964">
        <v>0</v>
      </c>
      <c r="CJ964">
        <v>0</v>
      </c>
      <c r="CK964">
        <v>0</v>
      </c>
      <c r="CL964">
        <v>0</v>
      </c>
      <c r="CM964">
        <v>0</v>
      </c>
      <c r="CN964">
        <v>0</v>
      </c>
      <c r="CO964">
        <v>0</v>
      </c>
      <c r="CP964">
        <v>0</v>
      </c>
      <c r="CQ964">
        <v>0</v>
      </c>
      <c r="CR964">
        <v>0</v>
      </c>
      <c r="CS964">
        <v>0</v>
      </c>
      <c r="CT964">
        <v>0</v>
      </c>
      <c r="CU964">
        <v>0</v>
      </c>
      <c r="CV964">
        <v>0</v>
      </c>
      <c r="CW964">
        <v>0</v>
      </c>
      <c r="CX964">
        <v>0</v>
      </c>
      <c r="CY964">
        <v>0</v>
      </c>
      <c r="CZ964">
        <v>0</v>
      </c>
      <c r="DA964">
        <v>0</v>
      </c>
      <c r="DB964">
        <v>0</v>
      </c>
      <c r="DC964">
        <v>0</v>
      </c>
      <c r="DD964">
        <v>0</v>
      </c>
      <c r="DE964">
        <v>0</v>
      </c>
      <c r="DF964">
        <v>0</v>
      </c>
      <c r="DG964">
        <v>0</v>
      </c>
      <c r="DH964">
        <v>0</v>
      </c>
      <c r="DI964">
        <v>0</v>
      </c>
      <c r="DJ964">
        <v>0</v>
      </c>
      <c r="DK964">
        <v>0</v>
      </c>
      <c r="DL964">
        <v>0</v>
      </c>
      <c r="DM964">
        <v>0</v>
      </c>
      <c r="DN964">
        <v>0</v>
      </c>
      <c r="DO964">
        <v>0</v>
      </c>
      <c r="DP964">
        <v>0</v>
      </c>
      <c r="DQ964">
        <v>0</v>
      </c>
      <c r="DR964">
        <v>0</v>
      </c>
      <c r="DS964">
        <v>0</v>
      </c>
      <c r="DT964">
        <v>0</v>
      </c>
      <c r="DU964">
        <v>0</v>
      </c>
    </row>
    <row r="965" spans="2:125">
      <c r="B965" s="136">
        <v>956</v>
      </c>
      <c r="C965" s="138">
        <v>1</v>
      </c>
      <c r="D965" s="474">
        <v>3209.716505135149</v>
      </c>
      <c r="E965" s="127">
        <v>234.17382968022699</v>
      </c>
      <c r="F965" s="447">
        <v>0.44406447281099642</v>
      </c>
      <c r="G965" s="127">
        <v>124.38078963273442</v>
      </c>
      <c r="H965" s="132">
        <v>50.834454363047392</v>
      </c>
      <c r="I965" s="456"/>
      <c r="J965" s="45"/>
      <c r="K965" s="45">
        <v>490</v>
      </c>
      <c r="L965" s="463"/>
      <c r="M965" s="456">
        <v>39.685249328613281</v>
      </c>
      <c r="N965" s="457"/>
      <c r="O965" s="456"/>
      <c r="P965" s="46"/>
      <c r="Q965" s="463">
        <v>63.552387237548828</v>
      </c>
      <c r="R965" s="449"/>
      <c r="S965" s="463"/>
      <c r="T965" s="480"/>
      <c r="U965" s="468"/>
      <c r="V965" s="449"/>
      <c r="W965" s="45">
        <v>1683.2493896484375</v>
      </c>
      <c r="X965" s="463">
        <v>139.55345153808594</v>
      </c>
      <c r="Y965" s="449"/>
      <c r="Z965" s="45"/>
      <c r="AA965" s="468">
        <v>0.43350862172507837</v>
      </c>
      <c r="AB965" s="456"/>
      <c r="AC965" s="46"/>
      <c r="AD965" s="46"/>
      <c r="AE965" s="46"/>
      <c r="AF965" s="46"/>
      <c r="AG965" s="46"/>
      <c r="AH965" s="46"/>
      <c r="AI965" s="457"/>
      <c r="AJ965" s="138"/>
      <c r="AK965" s="745"/>
      <c r="AL965" s="54"/>
      <c r="AM965" s="468"/>
      <c r="AN965" s="449"/>
      <c r="AO965" s="45"/>
      <c r="AP965" s="45"/>
      <c r="AQ965" s="45"/>
      <c r="AR965" s="45"/>
      <c r="AS965" s="45"/>
      <c r="AT965" s="45"/>
      <c r="AU965" s="463"/>
      <c r="AV965" s="449"/>
      <c r="AW965" s="45"/>
      <c r="AX965" s="45"/>
      <c r="AY965" s="45"/>
      <c r="AZ965" s="45"/>
      <c r="BA965" s="45"/>
      <c r="BB965" s="45"/>
      <c r="BC965" s="463"/>
      <c r="BD965" s="456"/>
      <c r="BE965" s="46"/>
      <c r="BF965" s="46"/>
      <c r="BG965" s="46"/>
      <c r="BH965" s="46"/>
      <c r="BI965" s="46"/>
      <c r="BJ965" s="457"/>
      <c r="BK965" s="449">
        <v>0</v>
      </c>
      <c r="BL965" s="45"/>
      <c r="BM965" s="45"/>
      <c r="BN965" s="45"/>
      <c r="BO965" s="45"/>
      <c r="BP965" s="45"/>
      <c r="BQ965" s="45"/>
      <c r="BR965" s="45"/>
      <c r="BS965" s="45"/>
      <c r="BT965" s="45"/>
      <c r="BU965" s="45"/>
      <c r="BV965" s="45"/>
      <c r="BW965" s="45"/>
      <c r="BX965" s="45"/>
      <c r="BY965" s="45"/>
      <c r="BZ965" s="45"/>
      <c r="CA965" s="45"/>
      <c r="CB965" s="45"/>
      <c r="CC965" s="45"/>
      <c r="CD965" s="463"/>
      <c r="CE965">
        <v>0</v>
      </c>
      <c r="CF965">
        <v>0</v>
      </c>
      <c r="CG965">
        <v>0</v>
      </c>
      <c r="CH965">
        <v>0</v>
      </c>
      <c r="CI965">
        <v>0</v>
      </c>
      <c r="CJ965">
        <v>0</v>
      </c>
      <c r="CK965">
        <v>0</v>
      </c>
      <c r="CL965">
        <v>0</v>
      </c>
      <c r="CM965">
        <v>0</v>
      </c>
      <c r="CN965">
        <v>0</v>
      </c>
      <c r="CO965">
        <v>0</v>
      </c>
      <c r="CP965">
        <v>0</v>
      </c>
      <c r="CQ965">
        <v>0</v>
      </c>
      <c r="CR965">
        <v>0</v>
      </c>
      <c r="CS965">
        <v>0</v>
      </c>
      <c r="CT965">
        <v>0</v>
      </c>
      <c r="CU965">
        <v>0</v>
      </c>
      <c r="CV965">
        <v>0</v>
      </c>
      <c r="CW965">
        <v>0</v>
      </c>
      <c r="CX965">
        <v>0</v>
      </c>
      <c r="CY965">
        <v>0</v>
      </c>
      <c r="CZ965">
        <v>0</v>
      </c>
      <c r="DA965">
        <v>0</v>
      </c>
      <c r="DB965">
        <v>0</v>
      </c>
      <c r="DC965">
        <v>0</v>
      </c>
      <c r="DD965">
        <v>0</v>
      </c>
      <c r="DE965">
        <v>0</v>
      </c>
      <c r="DF965">
        <v>0</v>
      </c>
      <c r="DG965">
        <v>0</v>
      </c>
      <c r="DH965">
        <v>0</v>
      </c>
      <c r="DI965">
        <v>0</v>
      </c>
      <c r="DJ965">
        <v>0</v>
      </c>
      <c r="DK965">
        <v>0</v>
      </c>
      <c r="DL965">
        <v>0</v>
      </c>
      <c r="DM965">
        <v>0</v>
      </c>
      <c r="DN965">
        <v>0</v>
      </c>
      <c r="DO965">
        <v>0</v>
      </c>
      <c r="DP965">
        <v>0</v>
      </c>
      <c r="DQ965">
        <v>0</v>
      </c>
      <c r="DR965">
        <v>0</v>
      </c>
      <c r="DS965">
        <v>0</v>
      </c>
      <c r="DT965">
        <v>0</v>
      </c>
      <c r="DU965">
        <v>0</v>
      </c>
    </row>
    <row r="966" spans="2:125">
      <c r="B966" s="136">
        <v>957</v>
      </c>
      <c r="C966" s="138">
        <v>1</v>
      </c>
      <c r="D966" s="474">
        <v>3631.5620272948513</v>
      </c>
      <c r="E966" s="127">
        <v>177.85883799241307</v>
      </c>
      <c r="F966" s="447">
        <v>0.35897563095162349</v>
      </c>
      <c r="G966" s="127">
        <v>116.99617272160469</v>
      </c>
      <c r="H966" s="132">
        <v>60.319046422236852</v>
      </c>
      <c r="I966" s="456"/>
      <c r="J966" s="45"/>
      <c r="K966" s="45">
        <v>490</v>
      </c>
      <c r="L966" s="463"/>
      <c r="M966" s="456">
        <v>26.924448013305664</v>
      </c>
      <c r="N966" s="457"/>
      <c r="O966" s="456"/>
      <c r="P966" s="46"/>
      <c r="Q966" s="463">
        <v>71.904930114746094</v>
      </c>
      <c r="R966" s="449"/>
      <c r="S966" s="463"/>
      <c r="T966" s="480"/>
      <c r="U966" s="468"/>
      <c r="V966" s="449"/>
      <c r="W966" s="45">
        <v>1272.897216796875</v>
      </c>
      <c r="X966" s="463">
        <v>109.71762847900391</v>
      </c>
      <c r="Y966" s="449"/>
      <c r="Z966" s="45"/>
      <c r="AA966" s="468">
        <v>0.35011456445264288</v>
      </c>
      <c r="AB966" s="456"/>
      <c r="AC966" s="46"/>
      <c r="AD966" s="46"/>
      <c r="AE966" s="46"/>
      <c r="AF966" s="46"/>
      <c r="AG966" s="46"/>
      <c r="AH966" s="46"/>
      <c r="AI966" s="457"/>
      <c r="AJ966" s="138"/>
      <c r="AK966" s="745"/>
      <c r="AL966" s="54"/>
      <c r="AM966" s="468"/>
      <c r="AN966" s="449"/>
      <c r="AO966" s="45"/>
      <c r="AP966" s="45"/>
      <c r="AQ966" s="45"/>
      <c r="AR966" s="45"/>
      <c r="AS966" s="45"/>
      <c r="AT966" s="45"/>
      <c r="AU966" s="463"/>
      <c r="AV966" s="449"/>
      <c r="AW966" s="45"/>
      <c r="AX966" s="45"/>
      <c r="AY966" s="45"/>
      <c r="AZ966" s="45"/>
      <c r="BA966" s="45"/>
      <c r="BB966" s="45"/>
      <c r="BC966" s="463"/>
      <c r="BD966" s="456"/>
      <c r="BE966" s="46"/>
      <c r="BF966" s="46"/>
      <c r="BG966" s="46"/>
      <c r="BH966" s="46"/>
      <c r="BI966" s="46"/>
      <c r="BJ966" s="457"/>
      <c r="BK966" s="449">
        <v>0</v>
      </c>
      <c r="BL966" s="45"/>
      <c r="BM966" s="45"/>
      <c r="BN966" s="45"/>
      <c r="BO966" s="45"/>
      <c r="BP966" s="45"/>
      <c r="BQ966" s="45"/>
      <c r="BR966" s="45"/>
      <c r="BS966" s="45"/>
      <c r="BT966" s="45"/>
      <c r="BU966" s="45"/>
      <c r="BV966" s="45"/>
      <c r="BW966" s="45"/>
      <c r="BX966" s="45"/>
      <c r="BY966" s="45"/>
      <c r="BZ966" s="45"/>
      <c r="CA966" s="45"/>
      <c r="CB966" s="45"/>
      <c r="CC966" s="45"/>
      <c r="CD966" s="463"/>
      <c r="CE966">
        <v>0</v>
      </c>
      <c r="CF966">
        <v>0</v>
      </c>
      <c r="CG966">
        <v>0</v>
      </c>
      <c r="CH966">
        <v>0</v>
      </c>
      <c r="CI966">
        <v>0</v>
      </c>
      <c r="CJ966">
        <v>0</v>
      </c>
      <c r="CK966">
        <v>0</v>
      </c>
      <c r="CL966">
        <v>0</v>
      </c>
      <c r="CM966">
        <v>0</v>
      </c>
      <c r="CN966">
        <v>0</v>
      </c>
      <c r="CO966">
        <v>0</v>
      </c>
      <c r="CP966">
        <v>0</v>
      </c>
      <c r="CQ966">
        <v>0</v>
      </c>
      <c r="CR966">
        <v>0</v>
      </c>
      <c r="CS966">
        <v>0</v>
      </c>
      <c r="CT966">
        <v>0</v>
      </c>
      <c r="CU966">
        <v>0</v>
      </c>
      <c r="CV966">
        <v>0</v>
      </c>
      <c r="CW966">
        <v>0</v>
      </c>
      <c r="CX966">
        <v>0</v>
      </c>
      <c r="CY966">
        <v>0</v>
      </c>
      <c r="CZ966">
        <v>0</v>
      </c>
      <c r="DA966">
        <v>0</v>
      </c>
      <c r="DB966">
        <v>0</v>
      </c>
      <c r="DC966">
        <v>0</v>
      </c>
      <c r="DD966">
        <v>0</v>
      </c>
      <c r="DE966">
        <v>0</v>
      </c>
      <c r="DF966">
        <v>0</v>
      </c>
      <c r="DG966">
        <v>0</v>
      </c>
      <c r="DH966">
        <v>0</v>
      </c>
      <c r="DI966">
        <v>0</v>
      </c>
      <c r="DJ966">
        <v>0</v>
      </c>
      <c r="DK966">
        <v>0</v>
      </c>
      <c r="DL966">
        <v>0</v>
      </c>
      <c r="DM966">
        <v>0</v>
      </c>
      <c r="DN966">
        <v>0</v>
      </c>
      <c r="DO966">
        <v>0</v>
      </c>
      <c r="DP966">
        <v>0</v>
      </c>
      <c r="DQ966">
        <v>0</v>
      </c>
      <c r="DR966">
        <v>0</v>
      </c>
      <c r="DS966">
        <v>0</v>
      </c>
      <c r="DT966">
        <v>0</v>
      </c>
      <c r="DU966">
        <v>0</v>
      </c>
    </row>
    <row r="967" spans="2:125">
      <c r="B967" s="136">
        <v>958</v>
      </c>
      <c r="C967" s="138">
        <v>1</v>
      </c>
      <c r="D967" s="474">
        <v>2835.5729256661944</v>
      </c>
      <c r="E967" s="127">
        <v>199.9129784085905</v>
      </c>
      <c r="F967" s="447">
        <v>0.39474625954623682</v>
      </c>
      <c r="G967" s="127">
        <v>91.243936435152293</v>
      </c>
      <c r="H967" s="132">
        <v>53.085976928492045</v>
      </c>
      <c r="I967" s="456"/>
      <c r="J967" s="45"/>
      <c r="K967" s="45">
        <v>390</v>
      </c>
      <c r="L967" s="463"/>
      <c r="M967" s="456">
        <v>29.677497863769531</v>
      </c>
      <c r="N967" s="457"/>
      <c r="O967" s="456"/>
      <c r="P967" s="46"/>
      <c r="Q967" s="463">
        <v>56.144340515136719</v>
      </c>
      <c r="R967" s="449"/>
      <c r="S967" s="463"/>
      <c r="T967" s="480"/>
      <c r="U967" s="468"/>
      <c r="V967" s="449"/>
      <c r="W967" s="45">
        <v>1161.2266845703125</v>
      </c>
      <c r="X967" s="463">
        <v>101.17127990722656</v>
      </c>
      <c r="Y967" s="449"/>
      <c r="Z967" s="45"/>
      <c r="AA967" s="468">
        <v>0.3831454557392967</v>
      </c>
      <c r="AB967" s="456"/>
      <c r="AC967" s="46"/>
      <c r="AD967" s="46"/>
      <c r="AE967" s="46"/>
      <c r="AF967" s="46"/>
      <c r="AG967" s="46"/>
      <c r="AH967" s="46"/>
      <c r="AI967" s="457"/>
      <c r="AJ967" s="138"/>
      <c r="AK967" s="745"/>
      <c r="AL967" s="54"/>
      <c r="AM967" s="468"/>
      <c r="AN967" s="449"/>
      <c r="AO967" s="45"/>
      <c r="AP967" s="45"/>
      <c r="AQ967" s="45"/>
      <c r="AR967" s="45"/>
      <c r="AS967" s="45"/>
      <c r="AT967" s="45"/>
      <c r="AU967" s="463"/>
      <c r="AV967" s="449"/>
      <c r="AW967" s="45"/>
      <c r="AX967" s="45"/>
      <c r="AY967" s="45"/>
      <c r="AZ967" s="45"/>
      <c r="BA967" s="45"/>
      <c r="BB967" s="45"/>
      <c r="BC967" s="463"/>
      <c r="BD967" s="456"/>
      <c r="BE967" s="46"/>
      <c r="BF967" s="46"/>
      <c r="BG967" s="46"/>
      <c r="BH967" s="46"/>
      <c r="BI967" s="46"/>
      <c r="BJ967" s="457"/>
      <c r="BK967" s="449">
        <v>0</v>
      </c>
      <c r="BL967" s="45"/>
      <c r="BM967" s="45"/>
      <c r="BN967" s="45"/>
      <c r="BO967" s="45"/>
      <c r="BP967" s="45"/>
      <c r="BQ967" s="45"/>
      <c r="BR967" s="45"/>
      <c r="BS967" s="45"/>
      <c r="BT967" s="45"/>
      <c r="BU967" s="45"/>
      <c r="BV967" s="45"/>
      <c r="BW967" s="45"/>
      <c r="BX967" s="45"/>
      <c r="BY967" s="45"/>
      <c r="BZ967" s="45"/>
      <c r="CA967" s="45"/>
      <c r="CB967" s="45"/>
      <c r="CC967" s="45"/>
      <c r="CD967" s="463"/>
      <c r="CE967">
        <v>0</v>
      </c>
      <c r="CF967">
        <v>0</v>
      </c>
      <c r="CG967">
        <v>0</v>
      </c>
      <c r="CH967">
        <v>0</v>
      </c>
      <c r="CI967">
        <v>0</v>
      </c>
      <c r="CJ967">
        <v>0</v>
      </c>
      <c r="CK967">
        <v>0</v>
      </c>
      <c r="CL967">
        <v>0</v>
      </c>
      <c r="CM967">
        <v>0</v>
      </c>
      <c r="CN967">
        <v>0</v>
      </c>
      <c r="CO967">
        <v>0</v>
      </c>
      <c r="CP967">
        <v>0</v>
      </c>
      <c r="CQ967">
        <v>0</v>
      </c>
      <c r="CR967">
        <v>0</v>
      </c>
      <c r="CS967">
        <v>0</v>
      </c>
      <c r="CT967">
        <v>0</v>
      </c>
      <c r="CU967">
        <v>0</v>
      </c>
      <c r="CV967">
        <v>0</v>
      </c>
      <c r="CW967">
        <v>0</v>
      </c>
      <c r="CX967">
        <v>0</v>
      </c>
      <c r="CY967">
        <v>0</v>
      </c>
      <c r="CZ967">
        <v>0</v>
      </c>
      <c r="DA967">
        <v>0</v>
      </c>
      <c r="DB967">
        <v>0</v>
      </c>
      <c r="DC967">
        <v>0</v>
      </c>
      <c r="DD967">
        <v>0</v>
      </c>
      <c r="DE967">
        <v>0</v>
      </c>
      <c r="DF967">
        <v>0</v>
      </c>
      <c r="DG967">
        <v>0</v>
      </c>
      <c r="DH967">
        <v>0</v>
      </c>
      <c r="DI967">
        <v>0</v>
      </c>
      <c r="DJ967">
        <v>0</v>
      </c>
      <c r="DK967">
        <v>0</v>
      </c>
      <c r="DL967">
        <v>0</v>
      </c>
      <c r="DM967">
        <v>0</v>
      </c>
      <c r="DN967">
        <v>0</v>
      </c>
      <c r="DO967">
        <v>0</v>
      </c>
      <c r="DP967">
        <v>0</v>
      </c>
      <c r="DQ967">
        <v>0</v>
      </c>
      <c r="DR967">
        <v>0</v>
      </c>
      <c r="DS967">
        <v>0</v>
      </c>
      <c r="DT967">
        <v>0</v>
      </c>
      <c r="DU967">
        <v>0</v>
      </c>
    </row>
    <row r="968" spans="2:125">
      <c r="B968" s="136">
        <v>959</v>
      </c>
      <c r="C968" s="138">
        <v>1</v>
      </c>
      <c r="D968" s="474">
        <v>3445.4657139428055</v>
      </c>
      <c r="E968" s="127">
        <v>248.83575789719126</v>
      </c>
      <c r="F968" s="447">
        <v>0.49118946026994259</v>
      </c>
      <c r="G968" s="127">
        <v>135.42229954102942</v>
      </c>
      <c r="H968" s="132">
        <v>52.385995816200271</v>
      </c>
      <c r="I968" s="456"/>
      <c r="J968" s="45"/>
      <c r="K968" s="45">
        <v>540</v>
      </c>
      <c r="L968" s="463"/>
      <c r="M968" s="456">
        <v>52.084480285644531</v>
      </c>
      <c r="N968" s="457"/>
      <c r="O968" s="456"/>
      <c r="P968" s="46"/>
      <c r="Q968" s="463">
        <v>68.220222473144531</v>
      </c>
      <c r="R968" s="449"/>
      <c r="S968" s="463"/>
      <c r="T968" s="480"/>
      <c r="U968" s="468"/>
      <c r="V968" s="449"/>
      <c r="W968" s="45">
        <v>2263.826904296875</v>
      </c>
      <c r="X968" s="463">
        <v>181.98039245605469</v>
      </c>
      <c r="Y968" s="449"/>
      <c r="Z968" s="45"/>
      <c r="AA968" s="468">
        <v>0.48108232466140144</v>
      </c>
      <c r="AB968" s="456"/>
      <c r="AC968" s="46"/>
      <c r="AD968" s="46"/>
      <c r="AE968" s="46"/>
      <c r="AF968" s="46"/>
      <c r="AG968" s="46"/>
      <c r="AH968" s="46"/>
      <c r="AI968" s="457"/>
      <c r="AJ968" s="138"/>
      <c r="AK968" s="745"/>
      <c r="AL968" s="54"/>
      <c r="AM968" s="468"/>
      <c r="AN968" s="449"/>
      <c r="AO968" s="45"/>
      <c r="AP968" s="45"/>
      <c r="AQ968" s="45"/>
      <c r="AR968" s="45"/>
      <c r="AS968" s="45"/>
      <c r="AT968" s="45"/>
      <c r="AU968" s="463"/>
      <c r="AV968" s="449"/>
      <c r="AW968" s="45"/>
      <c r="AX968" s="45"/>
      <c r="AY968" s="45"/>
      <c r="AZ968" s="45"/>
      <c r="BA968" s="45"/>
      <c r="BB968" s="45"/>
      <c r="BC968" s="463"/>
      <c r="BD968" s="456"/>
      <c r="BE968" s="46"/>
      <c r="BF968" s="46"/>
      <c r="BG968" s="46"/>
      <c r="BH968" s="46"/>
      <c r="BI968" s="46"/>
      <c r="BJ968" s="457"/>
      <c r="BK968" s="449">
        <v>0</v>
      </c>
      <c r="BL968" s="45"/>
      <c r="BM968" s="45"/>
      <c r="BN968" s="45"/>
      <c r="BO968" s="45"/>
      <c r="BP968" s="45"/>
      <c r="BQ968" s="45"/>
      <c r="BR968" s="45"/>
      <c r="BS968" s="45"/>
      <c r="BT968" s="45"/>
      <c r="BU968" s="45"/>
      <c r="BV968" s="45"/>
      <c r="BW968" s="45"/>
      <c r="BX968" s="45"/>
      <c r="BY968" s="45"/>
      <c r="BZ968" s="45"/>
      <c r="CA968" s="45"/>
      <c r="CB968" s="45"/>
      <c r="CC968" s="45"/>
      <c r="CD968" s="463"/>
      <c r="CE968">
        <v>0</v>
      </c>
      <c r="CF968">
        <v>0</v>
      </c>
      <c r="CG968">
        <v>0</v>
      </c>
      <c r="CH968">
        <v>0</v>
      </c>
      <c r="CI968">
        <v>0</v>
      </c>
      <c r="CJ968">
        <v>0</v>
      </c>
      <c r="CK968">
        <v>0</v>
      </c>
      <c r="CL968">
        <v>0</v>
      </c>
      <c r="CM968">
        <v>0</v>
      </c>
      <c r="CN968">
        <v>0</v>
      </c>
      <c r="CO968">
        <v>0</v>
      </c>
      <c r="CP968">
        <v>0</v>
      </c>
      <c r="CQ968">
        <v>0</v>
      </c>
      <c r="CR968">
        <v>0</v>
      </c>
      <c r="CS968">
        <v>0</v>
      </c>
      <c r="CT968">
        <v>0</v>
      </c>
      <c r="CU968">
        <v>0</v>
      </c>
      <c r="CV968">
        <v>0</v>
      </c>
      <c r="CW968">
        <v>0</v>
      </c>
      <c r="CX968">
        <v>0</v>
      </c>
      <c r="CY968">
        <v>0</v>
      </c>
      <c r="CZ968">
        <v>0</v>
      </c>
      <c r="DA968">
        <v>0</v>
      </c>
      <c r="DB968">
        <v>0</v>
      </c>
      <c r="DC968">
        <v>0</v>
      </c>
      <c r="DD968">
        <v>0</v>
      </c>
      <c r="DE968">
        <v>0</v>
      </c>
      <c r="DF968">
        <v>0</v>
      </c>
      <c r="DG968">
        <v>0</v>
      </c>
      <c r="DH968">
        <v>0</v>
      </c>
      <c r="DI968">
        <v>0</v>
      </c>
      <c r="DJ968">
        <v>0</v>
      </c>
      <c r="DK968">
        <v>0</v>
      </c>
      <c r="DL968">
        <v>0</v>
      </c>
      <c r="DM968">
        <v>0</v>
      </c>
      <c r="DN968">
        <v>0</v>
      </c>
      <c r="DO968">
        <v>0</v>
      </c>
      <c r="DP968">
        <v>0</v>
      </c>
      <c r="DQ968">
        <v>0</v>
      </c>
      <c r="DR968">
        <v>0</v>
      </c>
      <c r="DS968">
        <v>0</v>
      </c>
      <c r="DT968">
        <v>0</v>
      </c>
      <c r="DU968">
        <v>0</v>
      </c>
    </row>
    <row r="969" spans="2:125">
      <c r="B969" s="136">
        <v>960</v>
      </c>
      <c r="C969" s="138">
        <v>1</v>
      </c>
      <c r="D969" s="474">
        <v>4017.1557019536031</v>
      </c>
      <c r="E969" s="127">
        <v>278.31212036782415</v>
      </c>
      <c r="F969" s="447">
        <v>0.46908585960641347</v>
      </c>
      <c r="G969" s="127">
        <v>152.79388205568333</v>
      </c>
      <c r="H969" s="132">
        <v>58.153724421097735</v>
      </c>
      <c r="I969" s="456"/>
      <c r="J969" s="45"/>
      <c r="K969" s="45">
        <v>610</v>
      </c>
      <c r="L969" s="463"/>
      <c r="M969" s="456">
        <v>47.329463958740234</v>
      </c>
      <c r="N969" s="457"/>
      <c r="O969" s="456"/>
      <c r="P969" s="46"/>
      <c r="Q969" s="463">
        <v>79.539688110351562</v>
      </c>
      <c r="R969" s="449"/>
      <c r="S969" s="463"/>
      <c r="T969" s="480"/>
      <c r="U969" s="468"/>
      <c r="V969" s="449"/>
      <c r="W969" s="45">
        <v>2279.86328125</v>
      </c>
      <c r="X969" s="463">
        <v>183.44773864746094</v>
      </c>
      <c r="Y969" s="449"/>
      <c r="Z969" s="45"/>
      <c r="AA969" s="468">
        <v>0.46052713802750928</v>
      </c>
      <c r="AB969" s="456"/>
      <c r="AC969" s="46"/>
      <c r="AD969" s="46"/>
      <c r="AE969" s="46"/>
      <c r="AF969" s="46"/>
      <c r="AG969" s="46"/>
      <c r="AH969" s="46"/>
      <c r="AI969" s="457"/>
      <c r="AJ969" s="138"/>
      <c r="AK969" s="745"/>
      <c r="AL969" s="54"/>
      <c r="AM969" s="468"/>
      <c r="AN969" s="449"/>
      <c r="AO969" s="45"/>
      <c r="AP969" s="45"/>
      <c r="AQ969" s="45"/>
      <c r="AR969" s="45"/>
      <c r="AS969" s="45"/>
      <c r="AT969" s="45"/>
      <c r="AU969" s="463"/>
      <c r="AV969" s="449"/>
      <c r="AW969" s="45"/>
      <c r="AX969" s="45"/>
      <c r="AY969" s="45"/>
      <c r="AZ969" s="45"/>
      <c r="BA969" s="45"/>
      <c r="BB969" s="45"/>
      <c r="BC969" s="463"/>
      <c r="BD969" s="456"/>
      <c r="BE969" s="46"/>
      <c r="BF969" s="46"/>
      <c r="BG969" s="46"/>
      <c r="BH969" s="46"/>
      <c r="BI969" s="46"/>
      <c r="BJ969" s="457"/>
      <c r="BK969" s="449">
        <v>0</v>
      </c>
      <c r="BL969" s="45"/>
      <c r="BM969" s="45"/>
      <c r="BN969" s="45"/>
      <c r="BO969" s="45"/>
      <c r="BP969" s="45"/>
      <c r="BQ969" s="45"/>
      <c r="BR969" s="45"/>
      <c r="BS969" s="45"/>
      <c r="BT969" s="45"/>
      <c r="BU969" s="45"/>
      <c r="BV969" s="45"/>
      <c r="BW969" s="45"/>
      <c r="BX969" s="45"/>
      <c r="BY969" s="45"/>
      <c r="BZ969" s="45"/>
      <c r="CA969" s="45"/>
      <c r="CB969" s="45"/>
      <c r="CC969" s="45"/>
      <c r="CD969" s="463"/>
      <c r="CE969">
        <v>0</v>
      </c>
      <c r="CF969">
        <v>0</v>
      </c>
      <c r="CG969">
        <v>0</v>
      </c>
      <c r="CH969">
        <v>0</v>
      </c>
      <c r="CI969">
        <v>0</v>
      </c>
      <c r="CJ969">
        <v>0</v>
      </c>
      <c r="CK969">
        <v>0</v>
      </c>
      <c r="CL969">
        <v>0</v>
      </c>
      <c r="CM969">
        <v>0</v>
      </c>
      <c r="CN969">
        <v>0</v>
      </c>
      <c r="CO969">
        <v>0</v>
      </c>
      <c r="CP969">
        <v>0</v>
      </c>
      <c r="CQ969">
        <v>0</v>
      </c>
      <c r="CR969">
        <v>0</v>
      </c>
      <c r="CS969">
        <v>0</v>
      </c>
      <c r="CT969">
        <v>0</v>
      </c>
      <c r="CU969">
        <v>0</v>
      </c>
      <c r="CV969">
        <v>0</v>
      </c>
      <c r="CW969">
        <v>0</v>
      </c>
      <c r="CX969">
        <v>0</v>
      </c>
      <c r="CY969">
        <v>0</v>
      </c>
      <c r="CZ969">
        <v>0</v>
      </c>
      <c r="DA969">
        <v>0</v>
      </c>
      <c r="DB969">
        <v>0</v>
      </c>
      <c r="DC969">
        <v>0</v>
      </c>
      <c r="DD969">
        <v>0</v>
      </c>
      <c r="DE969">
        <v>0</v>
      </c>
      <c r="DF969">
        <v>0</v>
      </c>
      <c r="DG969">
        <v>0</v>
      </c>
      <c r="DH969">
        <v>0</v>
      </c>
      <c r="DI969">
        <v>0</v>
      </c>
      <c r="DJ969">
        <v>0</v>
      </c>
      <c r="DK969">
        <v>0</v>
      </c>
      <c r="DL969">
        <v>0</v>
      </c>
      <c r="DM969">
        <v>0</v>
      </c>
      <c r="DN969">
        <v>0</v>
      </c>
      <c r="DO969">
        <v>0</v>
      </c>
      <c r="DP969">
        <v>0</v>
      </c>
      <c r="DQ969">
        <v>0</v>
      </c>
      <c r="DR969">
        <v>0</v>
      </c>
      <c r="DS969">
        <v>0</v>
      </c>
      <c r="DT969">
        <v>0</v>
      </c>
      <c r="DU969">
        <v>0</v>
      </c>
    </row>
    <row r="970" spans="2:125">
      <c r="B970" s="136">
        <v>961</v>
      </c>
      <c r="C970" s="138">
        <v>1</v>
      </c>
      <c r="D970" s="474">
        <v>3848.0911987132495</v>
      </c>
      <c r="E970" s="127">
        <v>288.36139356998916</v>
      </c>
      <c r="F970" s="447">
        <v>0.41691178287317504</v>
      </c>
      <c r="G970" s="127">
        <v>119.05998402075626</v>
      </c>
      <c r="H970" s="132">
        <v>63.035362868009329</v>
      </c>
      <c r="I970" s="456"/>
      <c r="J970" s="45"/>
      <c r="K970" s="45">
        <v>520</v>
      </c>
      <c r="L970" s="463"/>
      <c r="M970" s="456">
        <v>33.005290985107422</v>
      </c>
      <c r="N970" s="457"/>
      <c r="O970" s="456"/>
      <c r="P970" s="46"/>
      <c r="Q970" s="463">
        <v>76.192207336425781</v>
      </c>
      <c r="R970" s="449"/>
      <c r="S970" s="463"/>
      <c r="T970" s="480"/>
      <c r="U970" s="468"/>
      <c r="V970" s="449"/>
      <c r="W970" s="45">
        <v>1579.148681640625</v>
      </c>
      <c r="X970" s="463">
        <v>132.09164428710937</v>
      </c>
      <c r="Y970" s="449"/>
      <c r="Z970" s="45"/>
      <c r="AA970" s="468">
        <v>0.4082482055471981</v>
      </c>
      <c r="AB970" s="456"/>
      <c r="AC970" s="46"/>
      <c r="AD970" s="46"/>
      <c r="AE970" s="46"/>
      <c r="AF970" s="46"/>
      <c r="AG970" s="46"/>
      <c r="AH970" s="46"/>
      <c r="AI970" s="457"/>
      <c r="AJ970" s="138"/>
      <c r="AK970" s="745"/>
      <c r="AL970" s="54"/>
      <c r="AM970" s="468"/>
      <c r="AN970" s="449"/>
      <c r="AO970" s="45"/>
      <c r="AP970" s="45"/>
      <c r="AQ970" s="45"/>
      <c r="AR970" s="45"/>
      <c r="AS970" s="45"/>
      <c r="AT970" s="45"/>
      <c r="AU970" s="463"/>
      <c r="AV970" s="449"/>
      <c r="AW970" s="45"/>
      <c r="AX970" s="45"/>
      <c r="AY970" s="45"/>
      <c r="AZ970" s="45"/>
      <c r="BA970" s="45"/>
      <c r="BB970" s="45"/>
      <c r="BC970" s="463"/>
      <c r="BD970" s="456"/>
      <c r="BE970" s="46"/>
      <c r="BF970" s="46"/>
      <c r="BG970" s="46"/>
      <c r="BH970" s="46"/>
      <c r="BI970" s="46"/>
      <c r="BJ970" s="457"/>
      <c r="BK970" s="449">
        <v>0</v>
      </c>
      <c r="BL970" s="45"/>
      <c r="BM970" s="45"/>
      <c r="BN970" s="45"/>
      <c r="BO970" s="45"/>
      <c r="BP970" s="45"/>
      <c r="BQ970" s="45"/>
      <c r="BR970" s="45"/>
      <c r="BS970" s="45"/>
      <c r="BT970" s="45"/>
      <c r="BU970" s="45"/>
      <c r="BV970" s="45"/>
      <c r="BW970" s="45"/>
      <c r="BX970" s="45"/>
      <c r="BY970" s="45"/>
      <c r="BZ970" s="45"/>
      <c r="CA970" s="45"/>
      <c r="CB970" s="45"/>
      <c r="CC970" s="45"/>
      <c r="CD970" s="463"/>
      <c r="CE970">
        <v>0</v>
      </c>
      <c r="CF970">
        <v>0</v>
      </c>
      <c r="CG970">
        <v>0</v>
      </c>
      <c r="CH970">
        <v>0</v>
      </c>
      <c r="CI970">
        <v>0</v>
      </c>
      <c r="CJ970">
        <v>0</v>
      </c>
      <c r="CK970">
        <v>0</v>
      </c>
      <c r="CL970">
        <v>0</v>
      </c>
      <c r="CM970">
        <v>0</v>
      </c>
      <c r="CN970">
        <v>0</v>
      </c>
      <c r="CO970">
        <v>0</v>
      </c>
      <c r="CP970">
        <v>0</v>
      </c>
      <c r="CQ970">
        <v>0</v>
      </c>
      <c r="CR970">
        <v>0</v>
      </c>
      <c r="CS970">
        <v>0</v>
      </c>
      <c r="CT970">
        <v>0</v>
      </c>
      <c r="CU970">
        <v>0</v>
      </c>
      <c r="CV970">
        <v>0</v>
      </c>
      <c r="CW970">
        <v>0</v>
      </c>
      <c r="CX970">
        <v>0</v>
      </c>
      <c r="CY970">
        <v>0</v>
      </c>
      <c r="CZ970">
        <v>0</v>
      </c>
      <c r="DA970">
        <v>0</v>
      </c>
      <c r="DB970">
        <v>0</v>
      </c>
      <c r="DC970">
        <v>0</v>
      </c>
      <c r="DD970">
        <v>0</v>
      </c>
      <c r="DE970">
        <v>0</v>
      </c>
      <c r="DF970">
        <v>0</v>
      </c>
      <c r="DG970">
        <v>0</v>
      </c>
      <c r="DH970">
        <v>0</v>
      </c>
      <c r="DI970">
        <v>0</v>
      </c>
      <c r="DJ970">
        <v>0</v>
      </c>
      <c r="DK970">
        <v>0</v>
      </c>
      <c r="DL970">
        <v>0</v>
      </c>
      <c r="DM970">
        <v>0</v>
      </c>
      <c r="DN970">
        <v>0</v>
      </c>
      <c r="DO970">
        <v>0</v>
      </c>
      <c r="DP970">
        <v>0</v>
      </c>
      <c r="DQ970">
        <v>0</v>
      </c>
      <c r="DR970">
        <v>0</v>
      </c>
      <c r="DS970">
        <v>0</v>
      </c>
      <c r="DT970">
        <v>0</v>
      </c>
      <c r="DU970">
        <v>0</v>
      </c>
    </row>
    <row r="971" spans="2:125">
      <c r="B971" s="136">
        <v>962</v>
      </c>
      <c r="C971" s="138">
        <v>1</v>
      </c>
      <c r="D971" s="474">
        <v>2837.5163072265977</v>
      </c>
      <c r="E971" s="127">
        <v>262.1572670549254</v>
      </c>
      <c r="F971" s="447">
        <v>0.38739050740287512</v>
      </c>
      <c r="G971" s="127">
        <v>96.163614544680257</v>
      </c>
      <c r="H971" s="132">
        <v>59.223581716830196</v>
      </c>
      <c r="I971" s="456"/>
      <c r="J971" s="45"/>
      <c r="K971" s="45">
        <v>430</v>
      </c>
      <c r="L971" s="463"/>
      <c r="M971" s="456">
        <v>27.935686111450195</v>
      </c>
      <c r="N971" s="457"/>
      <c r="O971" s="456"/>
      <c r="P971" s="46"/>
      <c r="Q971" s="463">
        <v>64.484992980957031</v>
      </c>
      <c r="R971" s="449"/>
      <c r="S971" s="463"/>
      <c r="T971" s="480"/>
      <c r="U971" s="468"/>
      <c r="V971" s="449"/>
      <c r="W971" s="45">
        <v>1215.8463134765625</v>
      </c>
      <c r="X971" s="463">
        <v>105.28675079345703</v>
      </c>
      <c r="Y971" s="449"/>
      <c r="Z971" s="45"/>
      <c r="AA971" s="468">
        <v>0.37584949526326022</v>
      </c>
      <c r="AB971" s="456"/>
      <c r="AC971" s="46"/>
      <c r="AD971" s="46"/>
      <c r="AE971" s="46"/>
      <c r="AF971" s="46"/>
      <c r="AG971" s="46"/>
      <c r="AH971" s="46"/>
      <c r="AI971" s="457"/>
      <c r="AJ971" s="138"/>
      <c r="AK971" s="745"/>
      <c r="AL971" s="54"/>
      <c r="AM971" s="468"/>
      <c r="AN971" s="449"/>
      <c r="AO971" s="45"/>
      <c r="AP971" s="45"/>
      <c r="AQ971" s="45"/>
      <c r="AR971" s="45"/>
      <c r="AS971" s="45"/>
      <c r="AT971" s="45"/>
      <c r="AU971" s="463"/>
      <c r="AV971" s="449"/>
      <c r="AW971" s="45"/>
      <c r="AX971" s="45"/>
      <c r="AY971" s="45"/>
      <c r="AZ971" s="45"/>
      <c r="BA971" s="45"/>
      <c r="BB971" s="45"/>
      <c r="BC971" s="463"/>
      <c r="BD971" s="456"/>
      <c r="BE971" s="46"/>
      <c r="BF971" s="46"/>
      <c r="BG971" s="46"/>
      <c r="BH971" s="46"/>
      <c r="BI971" s="46"/>
      <c r="BJ971" s="457"/>
      <c r="BK971" s="449">
        <v>0</v>
      </c>
      <c r="BL971" s="45"/>
      <c r="BM971" s="45"/>
      <c r="BN971" s="45"/>
      <c r="BO971" s="45"/>
      <c r="BP971" s="45"/>
      <c r="BQ971" s="45"/>
      <c r="BR971" s="45"/>
      <c r="BS971" s="45"/>
      <c r="BT971" s="45"/>
      <c r="BU971" s="45"/>
      <c r="BV971" s="45"/>
      <c r="BW971" s="45"/>
      <c r="BX971" s="45"/>
      <c r="BY971" s="45"/>
      <c r="BZ971" s="45"/>
      <c r="CA971" s="45"/>
      <c r="CB971" s="45"/>
      <c r="CC971" s="45"/>
      <c r="CD971" s="463"/>
      <c r="CE971">
        <v>0</v>
      </c>
      <c r="CF971">
        <v>0</v>
      </c>
      <c r="CG971">
        <v>0</v>
      </c>
      <c r="CH971">
        <v>0</v>
      </c>
      <c r="CI971">
        <v>0</v>
      </c>
      <c r="CJ971">
        <v>0</v>
      </c>
      <c r="CK971">
        <v>0</v>
      </c>
      <c r="CL971">
        <v>0</v>
      </c>
      <c r="CM971">
        <v>0</v>
      </c>
      <c r="CN971">
        <v>0</v>
      </c>
      <c r="CO971">
        <v>0</v>
      </c>
      <c r="CP971">
        <v>0</v>
      </c>
      <c r="CQ971">
        <v>0</v>
      </c>
      <c r="CR971">
        <v>0</v>
      </c>
      <c r="CS971">
        <v>0</v>
      </c>
      <c r="CT971">
        <v>0</v>
      </c>
      <c r="CU971">
        <v>0</v>
      </c>
      <c r="CV971">
        <v>0</v>
      </c>
      <c r="CW971">
        <v>0</v>
      </c>
      <c r="CX971">
        <v>0</v>
      </c>
      <c r="CY971">
        <v>0</v>
      </c>
      <c r="CZ971">
        <v>0</v>
      </c>
      <c r="DA971">
        <v>0</v>
      </c>
      <c r="DB971">
        <v>0</v>
      </c>
      <c r="DC971">
        <v>0</v>
      </c>
      <c r="DD971">
        <v>0</v>
      </c>
      <c r="DE971">
        <v>0</v>
      </c>
      <c r="DF971">
        <v>0</v>
      </c>
      <c r="DG971">
        <v>0</v>
      </c>
      <c r="DH971">
        <v>0</v>
      </c>
      <c r="DI971">
        <v>0</v>
      </c>
      <c r="DJ971">
        <v>0</v>
      </c>
      <c r="DK971">
        <v>0</v>
      </c>
      <c r="DL971">
        <v>0</v>
      </c>
      <c r="DM971">
        <v>0</v>
      </c>
      <c r="DN971">
        <v>0</v>
      </c>
      <c r="DO971">
        <v>0</v>
      </c>
      <c r="DP971">
        <v>0</v>
      </c>
      <c r="DQ971">
        <v>0</v>
      </c>
      <c r="DR971">
        <v>0</v>
      </c>
      <c r="DS971">
        <v>0</v>
      </c>
      <c r="DT971">
        <v>0</v>
      </c>
      <c r="DU971">
        <v>0</v>
      </c>
    </row>
    <row r="972" spans="2:125">
      <c r="B972" s="136">
        <v>963</v>
      </c>
      <c r="C972" s="138">
        <v>1</v>
      </c>
      <c r="D972" s="474">
        <v>3784.0606968128964</v>
      </c>
      <c r="E972" s="127">
        <v>235.64725833495504</v>
      </c>
      <c r="F972" s="447">
        <v>0.38079573715712234</v>
      </c>
      <c r="G972" s="127">
        <v>125.77414825938408</v>
      </c>
      <c r="H972" s="132">
        <v>60.687704571504192</v>
      </c>
      <c r="I972" s="456"/>
      <c r="J972" s="45"/>
      <c r="K972" s="45">
        <v>520</v>
      </c>
      <c r="L972" s="463"/>
      <c r="M972" s="456">
        <v>29.599010467529297</v>
      </c>
      <c r="N972" s="457"/>
      <c r="O972" s="456"/>
      <c r="P972" s="46"/>
      <c r="Q972" s="463">
        <v>74.924407958984375</v>
      </c>
      <c r="R972" s="449"/>
      <c r="S972" s="463"/>
      <c r="T972" s="480"/>
      <c r="U972" s="468"/>
      <c r="V972" s="449"/>
      <c r="W972" s="45">
        <v>1424.8980712890625</v>
      </c>
      <c r="X972" s="463">
        <v>120.89791107177734</v>
      </c>
      <c r="Y972" s="449"/>
      <c r="Z972" s="45"/>
      <c r="AA972" s="468">
        <v>0.37217644762759317</v>
      </c>
      <c r="AB972" s="456"/>
      <c r="AC972" s="46"/>
      <c r="AD972" s="46"/>
      <c r="AE972" s="46"/>
      <c r="AF972" s="46"/>
      <c r="AG972" s="46"/>
      <c r="AH972" s="46"/>
      <c r="AI972" s="457"/>
      <c r="AJ972" s="138"/>
      <c r="AK972" s="745"/>
      <c r="AL972" s="54"/>
      <c r="AM972" s="468"/>
      <c r="AN972" s="449"/>
      <c r="AO972" s="45"/>
      <c r="AP972" s="45"/>
      <c r="AQ972" s="45"/>
      <c r="AR972" s="45"/>
      <c r="AS972" s="45"/>
      <c r="AT972" s="45"/>
      <c r="AU972" s="463"/>
      <c r="AV972" s="449"/>
      <c r="AW972" s="45"/>
      <c r="AX972" s="45"/>
      <c r="AY972" s="45"/>
      <c r="AZ972" s="45"/>
      <c r="BA972" s="45"/>
      <c r="BB972" s="45"/>
      <c r="BC972" s="463"/>
      <c r="BD972" s="456"/>
      <c r="BE972" s="46"/>
      <c r="BF972" s="46"/>
      <c r="BG972" s="46"/>
      <c r="BH972" s="46"/>
      <c r="BI972" s="46"/>
      <c r="BJ972" s="457"/>
      <c r="BK972" s="449">
        <v>0</v>
      </c>
      <c r="BL972" s="45"/>
      <c r="BM972" s="45"/>
      <c r="BN972" s="45"/>
      <c r="BO972" s="45"/>
      <c r="BP972" s="45"/>
      <c r="BQ972" s="45"/>
      <c r="BR972" s="45"/>
      <c r="BS972" s="45"/>
      <c r="BT972" s="45"/>
      <c r="BU972" s="45"/>
      <c r="BV972" s="45"/>
      <c r="BW972" s="45"/>
      <c r="BX972" s="45"/>
      <c r="BY972" s="45"/>
      <c r="BZ972" s="45"/>
      <c r="CA972" s="45"/>
      <c r="CB972" s="45"/>
      <c r="CC972" s="45"/>
      <c r="CD972" s="463"/>
      <c r="CE972">
        <v>0</v>
      </c>
      <c r="CF972">
        <v>0</v>
      </c>
      <c r="CG972">
        <v>0</v>
      </c>
      <c r="CH972">
        <v>0</v>
      </c>
      <c r="CI972">
        <v>0</v>
      </c>
      <c r="CJ972">
        <v>0</v>
      </c>
      <c r="CK972">
        <v>0</v>
      </c>
      <c r="CL972">
        <v>0</v>
      </c>
      <c r="CM972">
        <v>0</v>
      </c>
      <c r="CN972">
        <v>0</v>
      </c>
      <c r="CO972">
        <v>0</v>
      </c>
      <c r="CP972">
        <v>0</v>
      </c>
      <c r="CQ972">
        <v>0</v>
      </c>
      <c r="CR972">
        <v>0</v>
      </c>
      <c r="CS972">
        <v>0</v>
      </c>
      <c r="CT972">
        <v>0</v>
      </c>
      <c r="CU972">
        <v>0</v>
      </c>
      <c r="CV972">
        <v>0</v>
      </c>
      <c r="CW972">
        <v>0</v>
      </c>
      <c r="CX972">
        <v>0</v>
      </c>
      <c r="CY972">
        <v>0</v>
      </c>
      <c r="CZ972">
        <v>0</v>
      </c>
      <c r="DA972">
        <v>0</v>
      </c>
      <c r="DB972">
        <v>0</v>
      </c>
      <c r="DC972">
        <v>0</v>
      </c>
      <c r="DD972">
        <v>0</v>
      </c>
      <c r="DE972">
        <v>0</v>
      </c>
      <c r="DF972">
        <v>0</v>
      </c>
      <c r="DG972">
        <v>0</v>
      </c>
      <c r="DH972">
        <v>0</v>
      </c>
      <c r="DI972">
        <v>0</v>
      </c>
      <c r="DJ972">
        <v>0</v>
      </c>
      <c r="DK972">
        <v>0</v>
      </c>
      <c r="DL972">
        <v>0</v>
      </c>
      <c r="DM972">
        <v>0</v>
      </c>
      <c r="DN972">
        <v>0</v>
      </c>
      <c r="DO972">
        <v>0</v>
      </c>
      <c r="DP972">
        <v>0</v>
      </c>
      <c r="DQ972">
        <v>0</v>
      </c>
      <c r="DR972">
        <v>0</v>
      </c>
      <c r="DS972">
        <v>0</v>
      </c>
      <c r="DT972">
        <v>0</v>
      </c>
      <c r="DU972">
        <v>0</v>
      </c>
    </row>
    <row r="973" spans="2:125">
      <c r="B973" s="136">
        <v>964</v>
      </c>
      <c r="C973" s="138">
        <v>1</v>
      </c>
      <c r="D973" s="474">
        <v>3109.7078745375593</v>
      </c>
      <c r="E973" s="127">
        <v>263.59302702975822</v>
      </c>
      <c r="F973" s="447">
        <v>0.4350591831350149</v>
      </c>
      <c r="G973" s="127">
        <v>108.04373447703661</v>
      </c>
      <c r="H973" s="132">
        <v>53.647770703582431</v>
      </c>
      <c r="I973" s="456"/>
      <c r="J973" s="45"/>
      <c r="K973" s="45">
        <v>450</v>
      </c>
      <c r="L973" s="463"/>
      <c r="M973" s="456">
        <v>35.915847778320313</v>
      </c>
      <c r="N973" s="457"/>
      <c r="O973" s="456"/>
      <c r="P973" s="46"/>
      <c r="Q973" s="463">
        <v>61.572216033935547</v>
      </c>
      <c r="R973" s="449"/>
      <c r="S973" s="463"/>
      <c r="T973" s="480"/>
      <c r="U973" s="468"/>
      <c r="V973" s="449"/>
      <c r="W973" s="45">
        <v>1496.6116943359375</v>
      </c>
      <c r="X973" s="463">
        <v>125.80571746826172</v>
      </c>
      <c r="Y973" s="449"/>
      <c r="Z973" s="45"/>
      <c r="AA973" s="468">
        <v>0.42422177170526382</v>
      </c>
      <c r="AB973" s="456"/>
      <c r="AC973" s="46"/>
      <c r="AD973" s="46"/>
      <c r="AE973" s="46"/>
      <c r="AF973" s="46"/>
      <c r="AG973" s="46"/>
      <c r="AH973" s="46"/>
      <c r="AI973" s="457"/>
      <c r="AJ973" s="138"/>
      <c r="AK973" s="745"/>
      <c r="AL973" s="54"/>
      <c r="AM973" s="468"/>
      <c r="AN973" s="449"/>
      <c r="AO973" s="45"/>
      <c r="AP973" s="45"/>
      <c r="AQ973" s="45"/>
      <c r="AR973" s="45"/>
      <c r="AS973" s="45"/>
      <c r="AT973" s="45"/>
      <c r="AU973" s="463"/>
      <c r="AV973" s="449"/>
      <c r="AW973" s="45"/>
      <c r="AX973" s="45"/>
      <c r="AY973" s="45"/>
      <c r="AZ973" s="45"/>
      <c r="BA973" s="45"/>
      <c r="BB973" s="45"/>
      <c r="BC973" s="463"/>
      <c r="BD973" s="456"/>
      <c r="BE973" s="46"/>
      <c r="BF973" s="46"/>
      <c r="BG973" s="46"/>
      <c r="BH973" s="46"/>
      <c r="BI973" s="46"/>
      <c r="BJ973" s="457"/>
      <c r="BK973" s="449">
        <v>0</v>
      </c>
      <c r="BL973" s="45"/>
      <c r="BM973" s="45"/>
      <c r="BN973" s="45"/>
      <c r="BO973" s="45"/>
      <c r="BP973" s="45"/>
      <c r="BQ973" s="45"/>
      <c r="BR973" s="45"/>
      <c r="BS973" s="45"/>
      <c r="BT973" s="45"/>
      <c r="BU973" s="45"/>
      <c r="BV973" s="45"/>
      <c r="BW973" s="45"/>
      <c r="BX973" s="45"/>
      <c r="BY973" s="45"/>
      <c r="BZ973" s="45"/>
      <c r="CA973" s="45"/>
      <c r="CB973" s="45"/>
      <c r="CC973" s="45"/>
      <c r="CD973" s="463"/>
      <c r="CE973">
        <v>0</v>
      </c>
      <c r="CF973">
        <v>0</v>
      </c>
      <c r="CG973">
        <v>0</v>
      </c>
      <c r="CH973">
        <v>0</v>
      </c>
      <c r="CI973">
        <v>0</v>
      </c>
      <c r="CJ973">
        <v>0</v>
      </c>
      <c r="CK973">
        <v>0</v>
      </c>
      <c r="CL973">
        <v>0</v>
      </c>
      <c r="CM973">
        <v>0</v>
      </c>
      <c r="CN973">
        <v>0</v>
      </c>
      <c r="CO973">
        <v>0</v>
      </c>
      <c r="CP973">
        <v>0</v>
      </c>
      <c r="CQ973">
        <v>0</v>
      </c>
      <c r="CR973">
        <v>0</v>
      </c>
      <c r="CS973">
        <v>0</v>
      </c>
      <c r="CT973">
        <v>0</v>
      </c>
      <c r="CU973">
        <v>0</v>
      </c>
      <c r="CV973">
        <v>0</v>
      </c>
      <c r="CW973">
        <v>0</v>
      </c>
      <c r="CX973">
        <v>0</v>
      </c>
      <c r="CY973">
        <v>0</v>
      </c>
      <c r="CZ973">
        <v>0</v>
      </c>
      <c r="DA973">
        <v>0</v>
      </c>
      <c r="DB973">
        <v>0</v>
      </c>
      <c r="DC973">
        <v>0</v>
      </c>
      <c r="DD973">
        <v>0</v>
      </c>
      <c r="DE973">
        <v>0</v>
      </c>
      <c r="DF973">
        <v>0</v>
      </c>
      <c r="DG973">
        <v>0</v>
      </c>
      <c r="DH973">
        <v>0</v>
      </c>
      <c r="DI973">
        <v>0</v>
      </c>
      <c r="DJ973">
        <v>0</v>
      </c>
      <c r="DK973">
        <v>0</v>
      </c>
      <c r="DL973">
        <v>0</v>
      </c>
      <c r="DM973">
        <v>0</v>
      </c>
      <c r="DN973">
        <v>0</v>
      </c>
      <c r="DO973">
        <v>0</v>
      </c>
      <c r="DP973">
        <v>0</v>
      </c>
      <c r="DQ973">
        <v>0</v>
      </c>
      <c r="DR973">
        <v>0</v>
      </c>
      <c r="DS973">
        <v>0</v>
      </c>
      <c r="DT973">
        <v>0</v>
      </c>
      <c r="DU973">
        <v>0</v>
      </c>
    </row>
    <row r="974" spans="2:125">
      <c r="B974" s="136">
        <v>965</v>
      </c>
      <c r="C974" s="138">
        <v>1</v>
      </c>
      <c r="D974" s="474">
        <v>3784.7845740119965</v>
      </c>
      <c r="E974" s="127">
        <v>224.81903448804337</v>
      </c>
      <c r="F974" s="447">
        <v>0.39742502667694524</v>
      </c>
      <c r="G974" s="127">
        <v>116.80363698875276</v>
      </c>
      <c r="H974" s="132">
        <v>62.608791300806374</v>
      </c>
      <c r="I974" s="456"/>
      <c r="J974" s="45"/>
      <c r="K974" s="45">
        <v>510</v>
      </c>
      <c r="L974" s="463"/>
      <c r="M974" s="456">
        <v>30.459739685058594</v>
      </c>
      <c r="N974" s="457"/>
      <c r="O974" s="456"/>
      <c r="P974" s="46"/>
      <c r="Q974" s="463">
        <v>74.938735961914063</v>
      </c>
      <c r="R974" s="449"/>
      <c r="S974" s="463"/>
      <c r="T974" s="480"/>
      <c r="U974" s="468"/>
      <c r="V974" s="449"/>
      <c r="W974" s="45">
        <v>1453.9361572265625</v>
      </c>
      <c r="X974" s="463">
        <v>122.93900299072266</v>
      </c>
      <c r="Y974" s="449"/>
      <c r="Z974" s="45"/>
      <c r="AA974" s="468">
        <v>0.38871951124027337</v>
      </c>
      <c r="AB974" s="456"/>
      <c r="AC974" s="46"/>
      <c r="AD974" s="46"/>
      <c r="AE974" s="46"/>
      <c r="AF974" s="46"/>
      <c r="AG974" s="46"/>
      <c r="AH974" s="46"/>
      <c r="AI974" s="457"/>
      <c r="AJ974" s="138"/>
      <c r="AK974" s="745"/>
      <c r="AL974" s="54"/>
      <c r="AM974" s="468"/>
      <c r="AN974" s="449"/>
      <c r="AO974" s="45"/>
      <c r="AP974" s="45"/>
      <c r="AQ974" s="45"/>
      <c r="AR974" s="45"/>
      <c r="AS974" s="45"/>
      <c r="AT974" s="45"/>
      <c r="AU974" s="463"/>
      <c r="AV974" s="449"/>
      <c r="AW974" s="45"/>
      <c r="AX974" s="45"/>
      <c r="AY974" s="45"/>
      <c r="AZ974" s="45"/>
      <c r="BA974" s="45"/>
      <c r="BB974" s="45"/>
      <c r="BC974" s="463"/>
      <c r="BD974" s="456"/>
      <c r="BE974" s="46"/>
      <c r="BF974" s="46"/>
      <c r="BG974" s="46"/>
      <c r="BH974" s="46"/>
      <c r="BI974" s="46"/>
      <c r="BJ974" s="457"/>
      <c r="BK974" s="449">
        <v>0</v>
      </c>
      <c r="BL974" s="45"/>
      <c r="BM974" s="45"/>
      <c r="BN974" s="45"/>
      <c r="BO974" s="45"/>
      <c r="BP974" s="45"/>
      <c r="BQ974" s="45"/>
      <c r="BR974" s="45"/>
      <c r="BS974" s="45"/>
      <c r="BT974" s="45"/>
      <c r="BU974" s="45"/>
      <c r="BV974" s="45"/>
      <c r="BW974" s="45"/>
      <c r="BX974" s="45"/>
      <c r="BY974" s="45"/>
      <c r="BZ974" s="45"/>
      <c r="CA974" s="45"/>
      <c r="CB974" s="45"/>
      <c r="CC974" s="45"/>
      <c r="CD974" s="463"/>
      <c r="CE974">
        <v>0</v>
      </c>
      <c r="CF974">
        <v>0</v>
      </c>
      <c r="CG974">
        <v>0</v>
      </c>
      <c r="CH974">
        <v>0</v>
      </c>
      <c r="CI974">
        <v>0</v>
      </c>
      <c r="CJ974">
        <v>0</v>
      </c>
      <c r="CK974">
        <v>0</v>
      </c>
      <c r="CL974">
        <v>0</v>
      </c>
      <c r="CM974">
        <v>0</v>
      </c>
      <c r="CN974">
        <v>0</v>
      </c>
      <c r="CO974">
        <v>0</v>
      </c>
      <c r="CP974">
        <v>0</v>
      </c>
      <c r="CQ974">
        <v>0</v>
      </c>
      <c r="CR974">
        <v>0</v>
      </c>
      <c r="CS974">
        <v>0</v>
      </c>
      <c r="CT974">
        <v>0</v>
      </c>
      <c r="CU974">
        <v>0</v>
      </c>
      <c r="CV974">
        <v>0</v>
      </c>
      <c r="CW974">
        <v>0</v>
      </c>
      <c r="CX974">
        <v>0</v>
      </c>
      <c r="CY974">
        <v>0</v>
      </c>
      <c r="CZ974">
        <v>0</v>
      </c>
      <c r="DA974">
        <v>0</v>
      </c>
      <c r="DB974">
        <v>0</v>
      </c>
      <c r="DC974">
        <v>0</v>
      </c>
      <c r="DD974">
        <v>0</v>
      </c>
      <c r="DE974">
        <v>0</v>
      </c>
      <c r="DF974">
        <v>0</v>
      </c>
      <c r="DG974">
        <v>0</v>
      </c>
      <c r="DH974">
        <v>0</v>
      </c>
      <c r="DI974">
        <v>0</v>
      </c>
      <c r="DJ974">
        <v>0</v>
      </c>
      <c r="DK974">
        <v>0</v>
      </c>
      <c r="DL974">
        <v>0</v>
      </c>
      <c r="DM974">
        <v>0</v>
      </c>
      <c r="DN974">
        <v>0</v>
      </c>
      <c r="DO974">
        <v>0</v>
      </c>
      <c r="DP974">
        <v>0</v>
      </c>
      <c r="DQ974">
        <v>0</v>
      </c>
      <c r="DR974">
        <v>0</v>
      </c>
      <c r="DS974">
        <v>0</v>
      </c>
      <c r="DT974">
        <v>0</v>
      </c>
      <c r="DU974">
        <v>0</v>
      </c>
    </row>
    <row r="975" spans="2:125">
      <c r="B975" s="136">
        <v>966</v>
      </c>
      <c r="C975" s="138">
        <v>1</v>
      </c>
      <c r="D975" s="474">
        <v>3108.5106731685128</v>
      </c>
      <c r="E975" s="127">
        <v>173.11417391825972</v>
      </c>
      <c r="F975" s="447">
        <v>0.39192938100487784</v>
      </c>
      <c r="G975" s="127">
        <v>113.34481489091453</v>
      </c>
      <c r="H975" s="132">
        <v>59.439032768271254</v>
      </c>
      <c r="I975" s="456"/>
      <c r="J975" s="45"/>
      <c r="K975" s="45">
        <v>480</v>
      </c>
      <c r="L975" s="463"/>
      <c r="M975" s="456">
        <v>29.961109161376953</v>
      </c>
      <c r="N975" s="457"/>
      <c r="O975" s="456"/>
      <c r="P975" s="46"/>
      <c r="Q975" s="463">
        <v>69.722579956054687</v>
      </c>
      <c r="R975" s="449"/>
      <c r="S975" s="463"/>
      <c r="T975" s="480"/>
      <c r="U975" s="468"/>
      <c r="V975" s="449"/>
      <c r="W975" s="45">
        <v>1371.4564208984375</v>
      </c>
      <c r="X975" s="463">
        <v>116.83796691894531</v>
      </c>
      <c r="Y975" s="449"/>
      <c r="Z975" s="45"/>
      <c r="AA975" s="468">
        <v>0.38136529065011476</v>
      </c>
      <c r="AB975" s="456"/>
      <c r="AC975" s="46"/>
      <c r="AD975" s="46"/>
      <c r="AE975" s="46"/>
      <c r="AF975" s="46"/>
      <c r="AG975" s="46"/>
      <c r="AH975" s="46"/>
      <c r="AI975" s="457"/>
      <c r="AJ975" s="138"/>
      <c r="AK975" s="745"/>
      <c r="AL975" s="54"/>
      <c r="AM975" s="468"/>
      <c r="AN975" s="449"/>
      <c r="AO975" s="45"/>
      <c r="AP975" s="45"/>
      <c r="AQ975" s="45"/>
      <c r="AR975" s="45"/>
      <c r="AS975" s="45"/>
      <c r="AT975" s="45"/>
      <c r="AU975" s="463"/>
      <c r="AV975" s="449"/>
      <c r="AW975" s="45"/>
      <c r="AX975" s="45"/>
      <c r="AY975" s="45"/>
      <c r="AZ975" s="45"/>
      <c r="BA975" s="45"/>
      <c r="BB975" s="45"/>
      <c r="BC975" s="463"/>
      <c r="BD975" s="456"/>
      <c r="BE975" s="46"/>
      <c r="BF975" s="46"/>
      <c r="BG975" s="46"/>
      <c r="BH975" s="46"/>
      <c r="BI975" s="46"/>
      <c r="BJ975" s="457"/>
      <c r="BK975" s="449">
        <v>0</v>
      </c>
      <c r="BL975" s="45"/>
      <c r="BM975" s="45"/>
      <c r="BN975" s="45"/>
      <c r="BO975" s="45"/>
      <c r="BP975" s="45"/>
      <c r="BQ975" s="45"/>
      <c r="BR975" s="45"/>
      <c r="BS975" s="45"/>
      <c r="BT975" s="45"/>
      <c r="BU975" s="45"/>
      <c r="BV975" s="45"/>
      <c r="BW975" s="45"/>
      <c r="BX975" s="45"/>
      <c r="BY975" s="45"/>
      <c r="BZ975" s="45"/>
      <c r="CA975" s="45"/>
      <c r="CB975" s="45"/>
      <c r="CC975" s="45"/>
      <c r="CD975" s="463"/>
      <c r="CE975">
        <v>0</v>
      </c>
      <c r="CF975">
        <v>0</v>
      </c>
      <c r="CG975">
        <v>0</v>
      </c>
      <c r="CH975">
        <v>0</v>
      </c>
      <c r="CI975">
        <v>0</v>
      </c>
      <c r="CJ975">
        <v>0</v>
      </c>
      <c r="CK975">
        <v>0</v>
      </c>
      <c r="CL975">
        <v>0</v>
      </c>
      <c r="CM975">
        <v>0</v>
      </c>
      <c r="CN975">
        <v>0</v>
      </c>
      <c r="CO975">
        <v>0</v>
      </c>
      <c r="CP975">
        <v>0</v>
      </c>
      <c r="CQ975">
        <v>0</v>
      </c>
      <c r="CR975">
        <v>0</v>
      </c>
      <c r="CS975">
        <v>0</v>
      </c>
      <c r="CT975">
        <v>0</v>
      </c>
      <c r="CU975">
        <v>0</v>
      </c>
      <c r="CV975">
        <v>0</v>
      </c>
      <c r="CW975">
        <v>0</v>
      </c>
      <c r="CX975">
        <v>0</v>
      </c>
      <c r="CY975">
        <v>0</v>
      </c>
      <c r="CZ975">
        <v>0</v>
      </c>
      <c r="DA975">
        <v>0</v>
      </c>
      <c r="DB975">
        <v>0</v>
      </c>
      <c r="DC975">
        <v>0</v>
      </c>
      <c r="DD975">
        <v>0</v>
      </c>
      <c r="DE975">
        <v>0</v>
      </c>
      <c r="DF975">
        <v>0</v>
      </c>
      <c r="DG975">
        <v>0</v>
      </c>
      <c r="DH975">
        <v>0</v>
      </c>
      <c r="DI975">
        <v>0</v>
      </c>
      <c r="DJ975">
        <v>0</v>
      </c>
      <c r="DK975">
        <v>0</v>
      </c>
      <c r="DL975">
        <v>0</v>
      </c>
      <c r="DM975">
        <v>0</v>
      </c>
      <c r="DN975">
        <v>0</v>
      </c>
      <c r="DO975">
        <v>0</v>
      </c>
      <c r="DP975">
        <v>0</v>
      </c>
      <c r="DQ975">
        <v>0</v>
      </c>
      <c r="DR975">
        <v>0</v>
      </c>
      <c r="DS975">
        <v>0</v>
      </c>
      <c r="DT975">
        <v>0</v>
      </c>
      <c r="DU975">
        <v>0</v>
      </c>
    </row>
    <row r="976" spans="2:125">
      <c r="B976" s="136">
        <v>967</v>
      </c>
      <c r="C976" s="138">
        <v>1</v>
      </c>
      <c r="D976" s="474">
        <v>3425.4894844086457</v>
      </c>
      <c r="E976" s="127">
        <v>267.98020867317337</v>
      </c>
      <c r="F976" s="447">
        <v>0.38938622970159598</v>
      </c>
      <c r="G976" s="127">
        <v>112.24671745991947</v>
      </c>
      <c r="H976" s="132">
        <v>58.159009370204046</v>
      </c>
      <c r="I976" s="456"/>
      <c r="J976" s="45"/>
      <c r="K976" s="45">
        <v>470</v>
      </c>
      <c r="L976" s="463"/>
      <c r="M976" s="456">
        <v>29.6143798828125</v>
      </c>
      <c r="N976" s="457"/>
      <c r="O976" s="456"/>
      <c r="P976" s="46"/>
      <c r="Q976" s="463">
        <v>67.824691772460938</v>
      </c>
      <c r="R976" s="449"/>
      <c r="S976" s="463"/>
      <c r="T976" s="480"/>
      <c r="U976" s="468"/>
      <c r="V976" s="449"/>
      <c r="W976" s="45">
        <v>1333.6876220703125</v>
      </c>
      <c r="X976" s="463">
        <v>114.04344940185547</v>
      </c>
      <c r="Y976" s="449"/>
      <c r="Z976" s="45"/>
      <c r="AA976" s="468">
        <v>0.3798145393655819</v>
      </c>
      <c r="AB976" s="456"/>
      <c r="AC976" s="46"/>
      <c r="AD976" s="46"/>
      <c r="AE976" s="46"/>
      <c r="AF976" s="46"/>
      <c r="AG976" s="46"/>
      <c r="AH976" s="46"/>
      <c r="AI976" s="457"/>
      <c r="AJ976" s="138"/>
      <c r="AK976" s="745"/>
      <c r="AL976" s="54"/>
      <c r="AM976" s="468"/>
      <c r="AN976" s="449"/>
      <c r="AO976" s="45"/>
      <c r="AP976" s="45"/>
      <c r="AQ976" s="45"/>
      <c r="AR976" s="45"/>
      <c r="AS976" s="45"/>
      <c r="AT976" s="45"/>
      <c r="AU976" s="463"/>
      <c r="AV976" s="449"/>
      <c r="AW976" s="45"/>
      <c r="AX976" s="45"/>
      <c r="AY976" s="45"/>
      <c r="AZ976" s="45"/>
      <c r="BA976" s="45"/>
      <c r="BB976" s="45"/>
      <c r="BC976" s="463"/>
      <c r="BD976" s="456"/>
      <c r="BE976" s="46"/>
      <c r="BF976" s="46"/>
      <c r="BG976" s="46"/>
      <c r="BH976" s="46"/>
      <c r="BI976" s="46"/>
      <c r="BJ976" s="457"/>
      <c r="BK976" s="449">
        <v>0</v>
      </c>
      <c r="BL976" s="45"/>
      <c r="BM976" s="45"/>
      <c r="BN976" s="45"/>
      <c r="BO976" s="45"/>
      <c r="BP976" s="45"/>
      <c r="BQ976" s="45"/>
      <c r="BR976" s="45"/>
      <c r="BS976" s="45"/>
      <c r="BT976" s="45"/>
      <c r="BU976" s="45"/>
      <c r="BV976" s="45"/>
      <c r="BW976" s="45"/>
      <c r="BX976" s="45"/>
      <c r="BY976" s="45"/>
      <c r="BZ976" s="45"/>
      <c r="CA976" s="45"/>
      <c r="CB976" s="45"/>
      <c r="CC976" s="45"/>
      <c r="CD976" s="463"/>
      <c r="CE976">
        <v>0</v>
      </c>
      <c r="CF976">
        <v>0</v>
      </c>
      <c r="CG976">
        <v>0</v>
      </c>
      <c r="CH976">
        <v>0</v>
      </c>
      <c r="CI976">
        <v>0</v>
      </c>
      <c r="CJ976">
        <v>0</v>
      </c>
      <c r="CK976">
        <v>0</v>
      </c>
      <c r="CL976">
        <v>0</v>
      </c>
      <c r="CM976">
        <v>0</v>
      </c>
      <c r="CN976">
        <v>0</v>
      </c>
      <c r="CO976">
        <v>0</v>
      </c>
      <c r="CP976">
        <v>0</v>
      </c>
      <c r="CQ976">
        <v>0</v>
      </c>
      <c r="CR976">
        <v>0</v>
      </c>
      <c r="CS976">
        <v>0</v>
      </c>
      <c r="CT976">
        <v>0</v>
      </c>
      <c r="CU976">
        <v>0</v>
      </c>
      <c r="CV976">
        <v>0</v>
      </c>
      <c r="CW976">
        <v>0</v>
      </c>
      <c r="CX976">
        <v>0</v>
      </c>
      <c r="CY976">
        <v>0</v>
      </c>
      <c r="CZ976">
        <v>0</v>
      </c>
      <c r="DA976">
        <v>0</v>
      </c>
      <c r="DB976">
        <v>0</v>
      </c>
      <c r="DC976">
        <v>0</v>
      </c>
      <c r="DD976">
        <v>0</v>
      </c>
      <c r="DE976">
        <v>0</v>
      </c>
      <c r="DF976">
        <v>0</v>
      </c>
      <c r="DG976">
        <v>0</v>
      </c>
      <c r="DH976">
        <v>0</v>
      </c>
      <c r="DI976">
        <v>0</v>
      </c>
      <c r="DJ976">
        <v>0</v>
      </c>
      <c r="DK976">
        <v>0</v>
      </c>
      <c r="DL976">
        <v>0</v>
      </c>
      <c r="DM976">
        <v>0</v>
      </c>
      <c r="DN976">
        <v>0</v>
      </c>
      <c r="DO976">
        <v>0</v>
      </c>
      <c r="DP976">
        <v>0</v>
      </c>
      <c r="DQ976">
        <v>0</v>
      </c>
      <c r="DR976">
        <v>0</v>
      </c>
      <c r="DS976">
        <v>0</v>
      </c>
      <c r="DT976">
        <v>0</v>
      </c>
      <c r="DU976">
        <v>0</v>
      </c>
    </row>
    <row r="977" spans="2:125">
      <c r="B977" s="136">
        <v>968</v>
      </c>
      <c r="C977" s="138">
        <v>1</v>
      </c>
      <c r="D977" s="474">
        <v>4199.2031606067376</v>
      </c>
      <c r="E977" s="127">
        <v>176.83535865069567</v>
      </c>
      <c r="F977" s="447">
        <v>0.44402302036434671</v>
      </c>
      <c r="G977" s="127">
        <v>135.48006623014604</v>
      </c>
      <c r="H977" s="132">
        <v>64.55269830232308</v>
      </c>
      <c r="I977" s="456"/>
      <c r="J977" s="45"/>
      <c r="K977" s="45">
        <v>580</v>
      </c>
      <c r="L977" s="463"/>
      <c r="M977" s="456">
        <v>38.695228576660156</v>
      </c>
      <c r="N977" s="457"/>
      <c r="O977" s="456"/>
      <c r="P977" s="46"/>
      <c r="Q977" s="463">
        <v>83.14422607421875</v>
      </c>
      <c r="R977" s="449"/>
      <c r="S977" s="463"/>
      <c r="T977" s="480"/>
      <c r="U977" s="468"/>
      <c r="V977" s="449"/>
      <c r="W977" s="45">
        <v>1930.8349609375</v>
      </c>
      <c r="X977" s="463">
        <v>157.92684936523437</v>
      </c>
      <c r="Y977" s="449"/>
      <c r="Z977" s="45"/>
      <c r="AA977" s="468">
        <v>0.43595471332811564</v>
      </c>
      <c r="AB977" s="456"/>
      <c r="AC977" s="46"/>
      <c r="AD977" s="46"/>
      <c r="AE977" s="46"/>
      <c r="AF977" s="46"/>
      <c r="AG977" s="46"/>
      <c r="AH977" s="46"/>
      <c r="AI977" s="457"/>
      <c r="AJ977" s="138"/>
      <c r="AK977" s="745"/>
      <c r="AL977" s="54"/>
      <c r="AM977" s="468"/>
      <c r="AN977" s="449"/>
      <c r="AO977" s="45"/>
      <c r="AP977" s="45"/>
      <c r="AQ977" s="45"/>
      <c r="AR977" s="45"/>
      <c r="AS977" s="45"/>
      <c r="AT977" s="45"/>
      <c r="AU977" s="463"/>
      <c r="AV977" s="449"/>
      <c r="AW977" s="45"/>
      <c r="AX977" s="45"/>
      <c r="AY977" s="45"/>
      <c r="AZ977" s="45"/>
      <c r="BA977" s="45"/>
      <c r="BB977" s="45"/>
      <c r="BC977" s="463"/>
      <c r="BD977" s="456"/>
      <c r="BE977" s="46"/>
      <c r="BF977" s="46"/>
      <c r="BG977" s="46"/>
      <c r="BH977" s="46"/>
      <c r="BI977" s="46"/>
      <c r="BJ977" s="457"/>
      <c r="BK977" s="449">
        <v>0</v>
      </c>
      <c r="BL977" s="45"/>
      <c r="BM977" s="45"/>
      <c r="BN977" s="45"/>
      <c r="BO977" s="45"/>
      <c r="BP977" s="45"/>
      <c r="BQ977" s="45"/>
      <c r="BR977" s="45"/>
      <c r="BS977" s="45"/>
      <c r="BT977" s="45"/>
      <c r="BU977" s="45"/>
      <c r="BV977" s="45"/>
      <c r="BW977" s="45"/>
      <c r="BX977" s="45"/>
      <c r="BY977" s="45"/>
      <c r="BZ977" s="45"/>
      <c r="CA977" s="45"/>
      <c r="CB977" s="45"/>
      <c r="CC977" s="45"/>
      <c r="CD977" s="463"/>
      <c r="CE977">
        <v>0</v>
      </c>
      <c r="CF977">
        <v>0</v>
      </c>
      <c r="CG977">
        <v>0</v>
      </c>
      <c r="CH977">
        <v>0</v>
      </c>
      <c r="CI977">
        <v>0</v>
      </c>
      <c r="CJ977">
        <v>0</v>
      </c>
      <c r="CK977">
        <v>0</v>
      </c>
      <c r="CL977">
        <v>0</v>
      </c>
      <c r="CM977">
        <v>0</v>
      </c>
      <c r="CN977">
        <v>0</v>
      </c>
      <c r="CO977">
        <v>0</v>
      </c>
      <c r="CP977">
        <v>0</v>
      </c>
      <c r="CQ977">
        <v>0</v>
      </c>
      <c r="CR977">
        <v>0</v>
      </c>
      <c r="CS977">
        <v>0</v>
      </c>
      <c r="CT977">
        <v>0</v>
      </c>
      <c r="CU977">
        <v>0</v>
      </c>
      <c r="CV977">
        <v>0</v>
      </c>
      <c r="CW977">
        <v>0</v>
      </c>
      <c r="CX977">
        <v>0</v>
      </c>
      <c r="CY977">
        <v>0</v>
      </c>
      <c r="CZ977">
        <v>0</v>
      </c>
      <c r="DA977">
        <v>0</v>
      </c>
      <c r="DB977">
        <v>0</v>
      </c>
      <c r="DC977">
        <v>0</v>
      </c>
      <c r="DD977">
        <v>0</v>
      </c>
      <c r="DE977">
        <v>0</v>
      </c>
      <c r="DF977">
        <v>0</v>
      </c>
      <c r="DG977">
        <v>0</v>
      </c>
      <c r="DH977">
        <v>0</v>
      </c>
      <c r="DI977">
        <v>0</v>
      </c>
      <c r="DJ977">
        <v>0</v>
      </c>
      <c r="DK977">
        <v>0</v>
      </c>
      <c r="DL977">
        <v>0</v>
      </c>
      <c r="DM977">
        <v>0</v>
      </c>
      <c r="DN977">
        <v>0</v>
      </c>
      <c r="DO977">
        <v>0</v>
      </c>
      <c r="DP977">
        <v>0</v>
      </c>
      <c r="DQ977">
        <v>0</v>
      </c>
      <c r="DR977">
        <v>0</v>
      </c>
      <c r="DS977">
        <v>0</v>
      </c>
      <c r="DT977">
        <v>0</v>
      </c>
      <c r="DU977">
        <v>0</v>
      </c>
    </row>
    <row r="978" spans="2:125">
      <c r="B978" s="136">
        <v>969</v>
      </c>
      <c r="C978" s="138">
        <v>1</v>
      </c>
      <c r="D978" s="474">
        <v>3964.5456104291407</v>
      </c>
      <c r="E978" s="127">
        <v>260.86720942956657</v>
      </c>
      <c r="F978" s="447">
        <v>0.39523832276936749</v>
      </c>
      <c r="G978" s="127">
        <v>141.32868048219589</v>
      </c>
      <c r="H978" s="132">
        <v>65.790504448242615</v>
      </c>
      <c r="I978" s="456"/>
      <c r="J978" s="45"/>
      <c r="K978" s="45">
        <v>600</v>
      </c>
      <c r="L978" s="463"/>
      <c r="M978" s="456">
        <v>31.879901885986328</v>
      </c>
      <c r="N978" s="457"/>
      <c r="O978" s="456"/>
      <c r="P978" s="46"/>
      <c r="Q978" s="463">
        <v>86.712478637695312</v>
      </c>
      <c r="R978" s="449"/>
      <c r="S978" s="463"/>
      <c r="T978" s="480"/>
      <c r="U978" s="468"/>
      <c r="V978" s="449"/>
      <c r="W978" s="45">
        <v>1667.821044921875</v>
      </c>
      <c r="X978" s="463">
        <v>138.87065124511719</v>
      </c>
      <c r="Y978" s="449"/>
      <c r="Z978" s="45"/>
      <c r="AA978" s="468">
        <v>0.38693856544816835</v>
      </c>
      <c r="AB978" s="456"/>
      <c r="AC978" s="46"/>
      <c r="AD978" s="46"/>
      <c r="AE978" s="46"/>
      <c r="AF978" s="46"/>
      <c r="AG978" s="46"/>
      <c r="AH978" s="46"/>
      <c r="AI978" s="457"/>
      <c r="AJ978" s="138"/>
      <c r="AK978" s="745"/>
      <c r="AL978" s="54"/>
      <c r="AM978" s="468"/>
      <c r="AN978" s="449"/>
      <c r="AO978" s="45"/>
      <c r="AP978" s="45"/>
      <c r="AQ978" s="45"/>
      <c r="AR978" s="45"/>
      <c r="AS978" s="45"/>
      <c r="AT978" s="45"/>
      <c r="AU978" s="463"/>
      <c r="AV978" s="449"/>
      <c r="AW978" s="45"/>
      <c r="AX978" s="45"/>
      <c r="AY978" s="45"/>
      <c r="AZ978" s="45"/>
      <c r="BA978" s="45"/>
      <c r="BB978" s="45"/>
      <c r="BC978" s="463"/>
      <c r="BD978" s="456"/>
      <c r="BE978" s="46"/>
      <c r="BF978" s="46"/>
      <c r="BG978" s="46"/>
      <c r="BH978" s="46"/>
      <c r="BI978" s="46"/>
      <c r="BJ978" s="457"/>
      <c r="BK978" s="449">
        <v>0</v>
      </c>
      <c r="BL978" s="45"/>
      <c r="BM978" s="45"/>
      <c r="BN978" s="45"/>
      <c r="BO978" s="45"/>
      <c r="BP978" s="45"/>
      <c r="BQ978" s="45"/>
      <c r="BR978" s="45"/>
      <c r="BS978" s="45"/>
      <c r="BT978" s="45"/>
      <c r="BU978" s="45"/>
      <c r="BV978" s="45"/>
      <c r="BW978" s="45"/>
      <c r="BX978" s="45"/>
      <c r="BY978" s="45"/>
      <c r="BZ978" s="45"/>
      <c r="CA978" s="45"/>
      <c r="CB978" s="45"/>
      <c r="CC978" s="45"/>
      <c r="CD978" s="463"/>
      <c r="CE978">
        <v>0</v>
      </c>
      <c r="CF978">
        <v>0</v>
      </c>
      <c r="CG978">
        <v>0</v>
      </c>
      <c r="CH978">
        <v>0</v>
      </c>
      <c r="CI978">
        <v>0</v>
      </c>
      <c r="CJ978">
        <v>0</v>
      </c>
      <c r="CK978">
        <v>0</v>
      </c>
      <c r="CL978">
        <v>0</v>
      </c>
      <c r="CM978">
        <v>0</v>
      </c>
      <c r="CN978">
        <v>0</v>
      </c>
      <c r="CO978">
        <v>0</v>
      </c>
      <c r="CP978">
        <v>0</v>
      </c>
      <c r="CQ978">
        <v>0</v>
      </c>
      <c r="CR978">
        <v>0</v>
      </c>
      <c r="CS978">
        <v>0</v>
      </c>
      <c r="CT978">
        <v>0</v>
      </c>
      <c r="CU978">
        <v>0</v>
      </c>
      <c r="CV978">
        <v>0</v>
      </c>
      <c r="CW978">
        <v>0</v>
      </c>
      <c r="CX978">
        <v>0</v>
      </c>
      <c r="CY978">
        <v>0</v>
      </c>
      <c r="CZ978">
        <v>0</v>
      </c>
      <c r="DA978">
        <v>0</v>
      </c>
      <c r="DB978">
        <v>0</v>
      </c>
      <c r="DC978">
        <v>0</v>
      </c>
      <c r="DD978">
        <v>0</v>
      </c>
      <c r="DE978">
        <v>0</v>
      </c>
      <c r="DF978">
        <v>0</v>
      </c>
      <c r="DG978">
        <v>0</v>
      </c>
      <c r="DH978">
        <v>0</v>
      </c>
      <c r="DI978">
        <v>0</v>
      </c>
      <c r="DJ978">
        <v>0</v>
      </c>
      <c r="DK978">
        <v>0</v>
      </c>
      <c r="DL978">
        <v>0</v>
      </c>
      <c r="DM978">
        <v>0</v>
      </c>
      <c r="DN978">
        <v>0</v>
      </c>
      <c r="DO978">
        <v>0</v>
      </c>
      <c r="DP978">
        <v>0</v>
      </c>
      <c r="DQ978">
        <v>0</v>
      </c>
      <c r="DR978">
        <v>0</v>
      </c>
      <c r="DS978">
        <v>0</v>
      </c>
      <c r="DT978">
        <v>0</v>
      </c>
      <c r="DU978">
        <v>0</v>
      </c>
    </row>
    <row r="979" spans="2:125">
      <c r="B979" s="136">
        <v>970</v>
      </c>
      <c r="C979" s="138">
        <v>1</v>
      </c>
      <c r="D979" s="474">
        <v>3210.8552463702376</v>
      </c>
      <c r="E979" s="127">
        <v>155.47450241331615</v>
      </c>
      <c r="F979" s="447">
        <v>0.39179354559878476</v>
      </c>
      <c r="G979" s="127">
        <v>110.13165121515144</v>
      </c>
      <c r="H979" s="132">
        <v>54.975917098371461</v>
      </c>
      <c r="I979" s="456"/>
      <c r="J979" s="45"/>
      <c r="K979" s="45">
        <v>450</v>
      </c>
      <c r="L979" s="463"/>
      <c r="M979" s="456">
        <v>30.208621978759766</v>
      </c>
      <c r="N979" s="457"/>
      <c r="O979" s="456"/>
      <c r="P979" s="46"/>
      <c r="Q979" s="463">
        <v>63.574939727783203</v>
      </c>
      <c r="R979" s="449"/>
      <c r="S979" s="463"/>
      <c r="T979" s="480"/>
      <c r="U979" s="468"/>
      <c r="V979" s="449"/>
      <c r="W979" s="45">
        <v>1304.817626953125</v>
      </c>
      <c r="X979" s="463">
        <v>111.87411499023437</v>
      </c>
      <c r="Y979" s="449"/>
      <c r="Z979" s="45"/>
      <c r="AA979" s="468">
        <v>0.38156702699471645</v>
      </c>
      <c r="AB979" s="456"/>
      <c r="AC979" s="46"/>
      <c r="AD979" s="46"/>
      <c r="AE979" s="46"/>
      <c r="AF979" s="46"/>
      <c r="AG979" s="46"/>
      <c r="AH979" s="46"/>
      <c r="AI979" s="457"/>
      <c r="AJ979" s="138"/>
      <c r="AK979" s="745"/>
      <c r="AL979" s="54"/>
      <c r="AM979" s="468"/>
      <c r="AN979" s="449"/>
      <c r="AO979" s="45"/>
      <c r="AP979" s="45"/>
      <c r="AQ979" s="45"/>
      <c r="AR979" s="45"/>
      <c r="AS979" s="45"/>
      <c r="AT979" s="45"/>
      <c r="AU979" s="463"/>
      <c r="AV979" s="449"/>
      <c r="AW979" s="45"/>
      <c r="AX979" s="45"/>
      <c r="AY979" s="45"/>
      <c r="AZ979" s="45"/>
      <c r="BA979" s="45"/>
      <c r="BB979" s="45"/>
      <c r="BC979" s="463"/>
      <c r="BD979" s="456"/>
      <c r="BE979" s="46"/>
      <c r="BF979" s="46"/>
      <c r="BG979" s="46"/>
      <c r="BH979" s="46"/>
      <c r="BI979" s="46"/>
      <c r="BJ979" s="457"/>
      <c r="BK979" s="449">
        <v>0</v>
      </c>
      <c r="BL979" s="45"/>
      <c r="BM979" s="45"/>
      <c r="BN979" s="45"/>
      <c r="BO979" s="45"/>
      <c r="BP979" s="45"/>
      <c r="BQ979" s="45"/>
      <c r="BR979" s="45"/>
      <c r="BS979" s="45"/>
      <c r="BT979" s="45"/>
      <c r="BU979" s="45"/>
      <c r="BV979" s="45"/>
      <c r="BW979" s="45"/>
      <c r="BX979" s="45"/>
      <c r="BY979" s="45"/>
      <c r="BZ979" s="45"/>
      <c r="CA979" s="45"/>
      <c r="CB979" s="45"/>
      <c r="CC979" s="45"/>
      <c r="CD979" s="463"/>
      <c r="CE979">
        <v>0</v>
      </c>
      <c r="CF979">
        <v>0</v>
      </c>
      <c r="CG979">
        <v>0</v>
      </c>
      <c r="CH979">
        <v>0</v>
      </c>
      <c r="CI979">
        <v>0</v>
      </c>
      <c r="CJ979">
        <v>0</v>
      </c>
      <c r="CK979">
        <v>0</v>
      </c>
      <c r="CL979">
        <v>0</v>
      </c>
      <c r="CM979">
        <v>0</v>
      </c>
      <c r="CN979">
        <v>0</v>
      </c>
      <c r="CO979">
        <v>0</v>
      </c>
      <c r="CP979">
        <v>0</v>
      </c>
      <c r="CQ979">
        <v>0</v>
      </c>
      <c r="CR979">
        <v>0</v>
      </c>
      <c r="CS979">
        <v>0</v>
      </c>
      <c r="CT979">
        <v>0</v>
      </c>
      <c r="CU979">
        <v>0</v>
      </c>
      <c r="CV979">
        <v>0</v>
      </c>
      <c r="CW979">
        <v>0</v>
      </c>
      <c r="CX979">
        <v>0</v>
      </c>
      <c r="CY979">
        <v>0</v>
      </c>
      <c r="CZ979">
        <v>0</v>
      </c>
      <c r="DA979">
        <v>0</v>
      </c>
      <c r="DB979">
        <v>0</v>
      </c>
      <c r="DC979">
        <v>0</v>
      </c>
      <c r="DD979">
        <v>0</v>
      </c>
      <c r="DE979">
        <v>0</v>
      </c>
      <c r="DF979">
        <v>0</v>
      </c>
      <c r="DG979">
        <v>0</v>
      </c>
      <c r="DH979">
        <v>0</v>
      </c>
      <c r="DI979">
        <v>0</v>
      </c>
      <c r="DJ979">
        <v>0</v>
      </c>
      <c r="DK979">
        <v>0</v>
      </c>
      <c r="DL979">
        <v>0</v>
      </c>
      <c r="DM979">
        <v>0</v>
      </c>
      <c r="DN979">
        <v>0</v>
      </c>
      <c r="DO979">
        <v>0</v>
      </c>
      <c r="DP979">
        <v>0</v>
      </c>
      <c r="DQ979">
        <v>0</v>
      </c>
      <c r="DR979">
        <v>0</v>
      </c>
      <c r="DS979">
        <v>0</v>
      </c>
      <c r="DT979">
        <v>0</v>
      </c>
      <c r="DU979">
        <v>0</v>
      </c>
    </row>
    <row r="980" spans="2:125">
      <c r="B980" s="136">
        <v>971</v>
      </c>
      <c r="C980" s="138">
        <v>1</v>
      </c>
      <c r="D980" s="474">
        <v>3469.9959756414305</v>
      </c>
      <c r="E980" s="127">
        <v>261.18032865069398</v>
      </c>
      <c r="F980" s="447">
        <v>0.40004445273491124</v>
      </c>
      <c r="G980" s="127">
        <v>106.98342177727118</v>
      </c>
      <c r="H980" s="132">
        <v>66.061652281445191</v>
      </c>
      <c r="I980" s="456"/>
      <c r="J980" s="45"/>
      <c r="K980" s="45">
        <v>490</v>
      </c>
      <c r="L980" s="463"/>
      <c r="M980" s="456">
        <v>29.493627548217773</v>
      </c>
      <c r="N980" s="457"/>
      <c r="O980" s="456"/>
      <c r="P980" s="46"/>
      <c r="Q980" s="463">
        <v>77.204795837402344</v>
      </c>
      <c r="R980" s="449"/>
      <c r="S980" s="463"/>
      <c r="T980" s="480"/>
      <c r="U980" s="468"/>
      <c r="V980" s="449"/>
      <c r="W980" s="45">
        <v>1428.34326171875</v>
      </c>
      <c r="X980" s="463">
        <v>121.02280426025391</v>
      </c>
      <c r="Y980" s="449"/>
      <c r="Z980" s="45"/>
      <c r="AA980" s="468">
        <v>0.39053409903814706</v>
      </c>
      <c r="AB980" s="456"/>
      <c r="AC980" s="46"/>
      <c r="AD980" s="46"/>
      <c r="AE980" s="46"/>
      <c r="AF980" s="46"/>
      <c r="AG980" s="46"/>
      <c r="AH980" s="46"/>
      <c r="AI980" s="457"/>
      <c r="AJ980" s="138"/>
      <c r="AK980" s="745"/>
      <c r="AL980" s="54"/>
      <c r="AM980" s="468"/>
      <c r="AN980" s="449"/>
      <c r="AO980" s="45"/>
      <c r="AP980" s="45"/>
      <c r="AQ980" s="45"/>
      <c r="AR980" s="45"/>
      <c r="AS980" s="45"/>
      <c r="AT980" s="45"/>
      <c r="AU980" s="463"/>
      <c r="AV980" s="449"/>
      <c r="AW980" s="45"/>
      <c r="AX980" s="45"/>
      <c r="AY980" s="45"/>
      <c r="AZ980" s="45"/>
      <c r="BA980" s="45"/>
      <c r="BB980" s="45"/>
      <c r="BC980" s="463"/>
      <c r="BD980" s="456"/>
      <c r="BE980" s="46"/>
      <c r="BF980" s="46"/>
      <c r="BG980" s="46"/>
      <c r="BH980" s="46"/>
      <c r="BI980" s="46"/>
      <c r="BJ980" s="457"/>
      <c r="BK980" s="449">
        <v>0</v>
      </c>
      <c r="BL980" s="45"/>
      <c r="BM980" s="45"/>
      <c r="BN980" s="45"/>
      <c r="BO980" s="45"/>
      <c r="BP980" s="45"/>
      <c r="BQ980" s="45"/>
      <c r="BR980" s="45"/>
      <c r="BS980" s="45"/>
      <c r="BT980" s="45"/>
      <c r="BU980" s="45"/>
      <c r="BV980" s="45"/>
      <c r="BW980" s="45"/>
      <c r="BX980" s="45"/>
      <c r="BY980" s="45"/>
      <c r="BZ980" s="45"/>
      <c r="CA980" s="45"/>
      <c r="CB980" s="45"/>
      <c r="CC980" s="45"/>
      <c r="CD980" s="463"/>
      <c r="CE980">
        <v>0</v>
      </c>
      <c r="CF980">
        <v>0</v>
      </c>
      <c r="CG980">
        <v>0</v>
      </c>
      <c r="CH980">
        <v>0</v>
      </c>
      <c r="CI980">
        <v>0</v>
      </c>
      <c r="CJ980">
        <v>0</v>
      </c>
      <c r="CK980">
        <v>0</v>
      </c>
      <c r="CL980">
        <v>0</v>
      </c>
      <c r="CM980">
        <v>0</v>
      </c>
      <c r="CN980">
        <v>0</v>
      </c>
      <c r="CO980">
        <v>0</v>
      </c>
      <c r="CP980">
        <v>0</v>
      </c>
      <c r="CQ980">
        <v>0</v>
      </c>
      <c r="CR980">
        <v>0</v>
      </c>
      <c r="CS980">
        <v>0</v>
      </c>
      <c r="CT980">
        <v>0</v>
      </c>
      <c r="CU980">
        <v>0</v>
      </c>
      <c r="CV980">
        <v>0</v>
      </c>
      <c r="CW980">
        <v>0</v>
      </c>
      <c r="CX980">
        <v>0</v>
      </c>
      <c r="CY980">
        <v>0</v>
      </c>
      <c r="CZ980">
        <v>0</v>
      </c>
      <c r="DA980">
        <v>0</v>
      </c>
      <c r="DB980">
        <v>0</v>
      </c>
      <c r="DC980">
        <v>0</v>
      </c>
      <c r="DD980">
        <v>0</v>
      </c>
      <c r="DE980">
        <v>0</v>
      </c>
      <c r="DF980">
        <v>0</v>
      </c>
      <c r="DG980">
        <v>0</v>
      </c>
      <c r="DH980">
        <v>0</v>
      </c>
      <c r="DI980">
        <v>0</v>
      </c>
      <c r="DJ980">
        <v>0</v>
      </c>
      <c r="DK980">
        <v>0</v>
      </c>
      <c r="DL980">
        <v>0</v>
      </c>
      <c r="DM980">
        <v>0</v>
      </c>
      <c r="DN980">
        <v>0</v>
      </c>
      <c r="DO980">
        <v>0</v>
      </c>
      <c r="DP980">
        <v>0</v>
      </c>
      <c r="DQ980">
        <v>0</v>
      </c>
      <c r="DR980">
        <v>0</v>
      </c>
      <c r="DS980">
        <v>0</v>
      </c>
      <c r="DT980">
        <v>0</v>
      </c>
      <c r="DU980">
        <v>0</v>
      </c>
    </row>
    <row r="981" spans="2:125">
      <c r="B981" s="136">
        <v>972</v>
      </c>
      <c r="C981" s="138">
        <v>1</v>
      </c>
      <c r="D981" s="474">
        <v>2723.4927433828229</v>
      </c>
      <c r="E981" s="127">
        <v>221.3389461985274</v>
      </c>
      <c r="F981" s="447">
        <v>0.47764911629240281</v>
      </c>
      <c r="G981" s="127">
        <v>102.12601850687976</v>
      </c>
      <c r="H981" s="132">
        <v>47.106906092223113</v>
      </c>
      <c r="I981" s="456"/>
      <c r="J981" s="45"/>
      <c r="K981" s="45">
        <v>410</v>
      </c>
      <c r="L981" s="463"/>
      <c r="M981" s="456">
        <v>44.167465209960938</v>
      </c>
      <c r="N981" s="457"/>
      <c r="O981" s="456"/>
      <c r="P981" s="46"/>
      <c r="Q981" s="463">
        <v>53.925159454345703</v>
      </c>
      <c r="R981" s="449"/>
      <c r="S981" s="463"/>
      <c r="T981" s="480"/>
      <c r="U981" s="468"/>
      <c r="V981" s="449"/>
      <c r="W981" s="45">
        <v>1663.40478515625</v>
      </c>
      <c r="X981" s="463">
        <v>137.79037475585937</v>
      </c>
      <c r="Y981" s="449"/>
      <c r="Z981" s="45"/>
      <c r="AA981" s="468">
        <v>0.46496210531732302</v>
      </c>
      <c r="AB981" s="456"/>
      <c r="AC981" s="46"/>
      <c r="AD981" s="46"/>
      <c r="AE981" s="46"/>
      <c r="AF981" s="46"/>
      <c r="AG981" s="46"/>
      <c r="AH981" s="46"/>
      <c r="AI981" s="457"/>
      <c r="AJ981" s="138"/>
      <c r="AK981" s="745"/>
      <c r="AL981" s="54"/>
      <c r="AM981" s="468"/>
      <c r="AN981" s="449"/>
      <c r="AO981" s="45"/>
      <c r="AP981" s="45"/>
      <c r="AQ981" s="45"/>
      <c r="AR981" s="45"/>
      <c r="AS981" s="45"/>
      <c r="AT981" s="45"/>
      <c r="AU981" s="463"/>
      <c r="AV981" s="449"/>
      <c r="AW981" s="45"/>
      <c r="AX981" s="45"/>
      <c r="AY981" s="45"/>
      <c r="AZ981" s="45"/>
      <c r="BA981" s="45"/>
      <c r="BB981" s="45"/>
      <c r="BC981" s="463"/>
      <c r="BD981" s="456"/>
      <c r="BE981" s="46"/>
      <c r="BF981" s="46"/>
      <c r="BG981" s="46"/>
      <c r="BH981" s="46"/>
      <c r="BI981" s="46"/>
      <c r="BJ981" s="457"/>
      <c r="BK981" s="449">
        <v>0</v>
      </c>
      <c r="BL981" s="45"/>
      <c r="BM981" s="45"/>
      <c r="BN981" s="45"/>
      <c r="BO981" s="45"/>
      <c r="BP981" s="45"/>
      <c r="BQ981" s="45"/>
      <c r="BR981" s="45"/>
      <c r="BS981" s="45"/>
      <c r="BT981" s="45"/>
      <c r="BU981" s="45"/>
      <c r="BV981" s="45"/>
      <c r="BW981" s="45"/>
      <c r="BX981" s="45"/>
      <c r="BY981" s="45"/>
      <c r="BZ981" s="45"/>
      <c r="CA981" s="45"/>
      <c r="CB981" s="45"/>
      <c r="CC981" s="45"/>
      <c r="CD981" s="463"/>
      <c r="CE981">
        <v>0</v>
      </c>
      <c r="CF981">
        <v>0</v>
      </c>
      <c r="CG981">
        <v>0</v>
      </c>
      <c r="CH981">
        <v>0</v>
      </c>
      <c r="CI981">
        <v>0</v>
      </c>
      <c r="CJ981">
        <v>0</v>
      </c>
      <c r="CK981">
        <v>0</v>
      </c>
      <c r="CL981">
        <v>0</v>
      </c>
      <c r="CM981">
        <v>0</v>
      </c>
      <c r="CN981">
        <v>0</v>
      </c>
      <c r="CO981">
        <v>0</v>
      </c>
      <c r="CP981">
        <v>0</v>
      </c>
      <c r="CQ981">
        <v>0</v>
      </c>
      <c r="CR981">
        <v>0</v>
      </c>
      <c r="CS981">
        <v>0</v>
      </c>
      <c r="CT981">
        <v>0</v>
      </c>
      <c r="CU981">
        <v>0</v>
      </c>
      <c r="CV981">
        <v>0</v>
      </c>
      <c r="CW981">
        <v>0</v>
      </c>
      <c r="CX981">
        <v>0</v>
      </c>
      <c r="CY981">
        <v>0</v>
      </c>
      <c r="CZ981">
        <v>0</v>
      </c>
      <c r="DA981">
        <v>0</v>
      </c>
      <c r="DB981">
        <v>0</v>
      </c>
      <c r="DC981">
        <v>0</v>
      </c>
      <c r="DD981">
        <v>0</v>
      </c>
      <c r="DE981">
        <v>0</v>
      </c>
      <c r="DF981">
        <v>0</v>
      </c>
      <c r="DG981">
        <v>0</v>
      </c>
      <c r="DH981">
        <v>0</v>
      </c>
      <c r="DI981">
        <v>0</v>
      </c>
      <c r="DJ981">
        <v>0</v>
      </c>
      <c r="DK981">
        <v>0</v>
      </c>
      <c r="DL981">
        <v>0</v>
      </c>
      <c r="DM981">
        <v>0</v>
      </c>
      <c r="DN981">
        <v>0</v>
      </c>
      <c r="DO981">
        <v>0</v>
      </c>
      <c r="DP981">
        <v>0</v>
      </c>
      <c r="DQ981">
        <v>0</v>
      </c>
      <c r="DR981">
        <v>0</v>
      </c>
      <c r="DS981">
        <v>0</v>
      </c>
      <c r="DT981">
        <v>0</v>
      </c>
      <c r="DU981">
        <v>0</v>
      </c>
    </row>
    <row r="982" spans="2:125">
      <c r="B982" s="136">
        <v>973</v>
      </c>
      <c r="C982" s="138">
        <v>1</v>
      </c>
      <c r="D982" s="474">
        <v>4304.6527159096586</v>
      </c>
      <c r="E982" s="127">
        <v>263.46874662698895</v>
      </c>
      <c r="F982" s="447">
        <v>0.37608919591481488</v>
      </c>
      <c r="G982" s="127">
        <v>143.80079507934664</v>
      </c>
      <c r="H982" s="132">
        <v>64.338661292486023</v>
      </c>
      <c r="I982" s="456"/>
      <c r="J982" s="45"/>
      <c r="K982" s="45">
        <v>590</v>
      </c>
      <c r="L982" s="463"/>
      <c r="M982" s="456">
        <v>29.975336074829102</v>
      </c>
      <c r="N982" s="457"/>
      <c r="O982" s="456"/>
      <c r="P982" s="46"/>
      <c r="Q982" s="463">
        <v>85.232124328613281</v>
      </c>
      <c r="R982" s="449"/>
      <c r="S982" s="463"/>
      <c r="T982" s="480"/>
      <c r="U982" s="468"/>
      <c r="V982" s="449"/>
      <c r="W982" s="45">
        <v>1566.6151123046875</v>
      </c>
      <c r="X982" s="463">
        <v>131.49714660644531</v>
      </c>
      <c r="Y982" s="449"/>
      <c r="Z982" s="45"/>
      <c r="AA982" s="468">
        <v>0.36853416509941406</v>
      </c>
      <c r="AB982" s="456"/>
      <c r="AC982" s="46"/>
      <c r="AD982" s="46"/>
      <c r="AE982" s="46"/>
      <c r="AF982" s="46"/>
      <c r="AG982" s="46"/>
      <c r="AH982" s="46"/>
      <c r="AI982" s="457"/>
      <c r="AJ982" s="138"/>
      <c r="AK982" s="745"/>
      <c r="AL982" s="54"/>
      <c r="AM982" s="468"/>
      <c r="AN982" s="449"/>
      <c r="AO982" s="45"/>
      <c r="AP982" s="45"/>
      <c r="AQ982" s="45"/>
      <c r="AR982" s="45"/>
      <c r="AS982" s="45"/>
      <c r="AT982" s="45"/>
      <c r="AU982" s="463"/>
      <c r="AV982" s="449"/>
      <c r="AW982" s="45"/>
      <c r="AX982" s="45"/>
      <c r="AY982" s="45"/>
      <c r="AZ982" s="45"/>
      <c r="BA982" s="45"/>
      <c r="BB982" s="45"/>
      <c r="BC982" s="463"/>
      <c r="BD982" s="456"/>
      <c r="BE982" s="46"/>
      <c r="BF982" s="46"/>
      <c r="BG982" s="46"/>
      <c r="BH982" s="46"/>
      <c r="BI982" s="46"/>
      <c r="BJ982" s="457"/>
      <c r="BK982" s="449">
        <v>0</v>
      </c>
      <c r="BL982" s="45"/>
      <c r="BM982" s="45"/>
      <c r="BN982" s="45"/>
      <c r="BO982" s="45"/>
      <c r="BP982" s="45"/>
      <c r="BQ982" s="45"/>
      <c r="BR982" s="45"/>
      <c r="BS982" s="45"/>
      <c r="BT982" s="45"/>
      <c r="BU982" s="45"/>
      <c r="BV982" s="45"/>
      <c r="BW982" s="45"/>
      <c r="BX982" s="45"/>
      <c r="BY982" s="45"/>
      <c r="BZ982" s="45"/>
      <c r="CA982" s="45"/>
      <c r="CB982" s="45"/>
      <c r="CC982" s="45"/>
      <c r="CD982" s="463"/>
      <c r="CE982">
        <v>0</v>
      </c>
      <c r="CF982">
        <v>0</v>
      </c>
      <c r="CG982">
        <v>0</v>
      </c>
      <c r="CH982">
        <v>0</v>
      </c>
      <c r="CI982">
        <v>0</v>
      </c>
      <c r="CJ982">
        <v>0</v>
      </c>
      <c r="CK982">
        <v>0</v>
      </c>
      <c r="CL982">
        <v>0</v>
      </c>
      <c r="CM982">
        <v>0</v>
      </c>
      <c r="CN982">
        <v>0</v>
      </c>
      <c r="CO982">
        <v>0</v>
      </c>
      <c r="CP982">
        <v>0</v>
      </c>
      <c r="CQ982">
        <v>0</v>
      </c>
      <c r="CR982">
        <v>0</v>
      </c>
      <c r="CS982">
        <v>0</v>
      </c>
      <c r="CT982">
        <v>0</v>
      </c>
      <c r="CU982">
        <v>0</v>
      </c>
      <c r="CV982">
        <v>0</v>
      </c>
      <c r="CW982">
        <v>0</v>
      </c>
      <c r="CX982">
        <v>0</v>
      </c>
      <c r="CY982">
        <v>0</v>
      </c>
      <c r="CZ982">
        <v>0</v>
      </c>
      <c r="DA982">
        <v>0</v>
      </c>
      <c r="DB982">
        <v>0</v>
      </c>
      <c r="DC982">
        <v>0</v>
      </c>
      <c r="DD982">
        <v>0</v>
      </c>
      <c r="DE982">
        <v>0</v>
      </c>
      <c r="DF982">
        <v>0</v>
      </c>
      <c r="DG982">
        <v>0</v>
      </c>
      <c r="DH982">
        <v>0</v>
      </c>
      <c r="DI982">
        <v>0</v>
      </c>
      <c r="DJ982">
        <v>0</v>
      </c>
      <c r="DK982">
        <v>0</v>
      </c>
      <c r="DL982">
        <v>0</v>
      </c>
      <c r="DM982">
        <v>0</v>
      </c>
      <c r="DN982">
        <v>0</v>
      </c>
      <c r="DO982">
        <v>0</v>
      </c>
      <c r="DP982">
        <v>0</v>
      </c>
      <c r="DQ982">
        <v>0</v>
      </c>
      <c r="DR982">
        <v>0</v>
      </c>
      <c r="DS982">
        <v>0</v>
      </c>
      <c r="DT982">
        <v>0</v>
      </c>
      <c r="DU982">
        <v>0</v>
      </c>
    </row>
    <row r="983" spans="2:125">
      <c r="B983" s="136">
        <v>974</v>
      </c>
      <c r="C983" s="138">
        <v>1</v>
      </c>
      <c r="D983" s="474">
        <v>3259.6718606024433</v>
      </c>
      <c r="E983" s="127">
        <v>278.82283661222681</v>
      </c>
      <c r="F983" s="447">
        <v>0.3891896430199237</v>
      </c>
      <c r="G983" s="127">
        <v>118.25538701671464</v>
      </c>
      <c r="H983" s="132">
        <v>53.664599828742247</v>
      </c>
      <c r="I983" s="456"/>
      <c r="J983" s="45"/>
      <c r="K983" s="45">
        <v>470</v>
      </c>
      <c r="L983" s="463"/>
      <c r="M983" s="456">
        <v>30.707784652709961</v>
      </c>
      <c r="N983" s="457"/>
      <c r="O983" s="456"/>
      <c r="P983" s="46"/>
      <c r="Q983" s="463">
        <v>64.54150390625</v>
      </c>
      <c r="R983" s="449"/>
      <c r="S983" s="463"/>
      <c r="T983" s="480"/>
      <c r="U983" s="468"/>
      <c r="V983" s="449"/>
      <c r="W983" s="45">
        <v>1342.567626953125</v>
      </c>
      <c r="X983" s="463">
        <v>114.69886016845703</v>
      </c>
      <c r="Y983" s="449"/>
      <c r="Z983" s="45"/>
      <c r="AA983" s="468">
        <v>0.37913225250260352</v>
      </c>
      <c r="AB983" s="456"/>
      <c r="AC983" s="46"/>
      <c r="AD983" s="46"/>
      <c r="AE983" s="46"/>
      <c r="AF983" s="46"/>
      <c r="AG983" s="46"/>
      <c r="AH983" s="46"/>
      <c r="AI983" s="457"/>
      <c r="AJ983" s="138"/>
      <c r="AK983" s="745"/>
      <c r="AL983" s="54"/>
      <c r="AM983" s="468"/>
      <c r="AN983" s="449"/>
      <c r="AO983" s="45"/>
      <c r="AP983" s="45"/>
      <c r="AQ983" s="45"/>
      <c r="AR983" s="45"/>
      <c r="AS983" s="45"/>
      <c r="AT983" s="45"/>
      <c r="AU983" s="463"/>
      <c r="AV983" s="449"/>
      <c r="AW983" s="45"/>
      <c r="AX983" s="45"/>
      <c r="AY983" s="45"/>
      <c r="AZ983" s="45"/>
      <c r="BA983" s="45"/>
      <c r="BB983" s="45"/>
      <c r="BC983" s="463"/>
      <c r="BD983" s="456"/>
      <c r="BE983" s="46"/>
      <c r="BF983" s="46"/>
      <c r="BG983" s="46"/>
      <c r="BH983" s="46"/>
      <c r="BI983" s="46"/>
      <c r="BJ983" s="457"/>
      <c r="BK983" s="449">
        <v>0</v>
      </c>
      <c r="BL983" s="45"/>
      <c r="BM983" s="45"/>
      <c r="BN983" s="45"/>
      <c r="BO983" s="45"/>
      <c r="BP983" s="45"/>
      <c r="BQ983" s="45"/>
      <c r="BR983" s="45"/>
      <c r="BS983" s="45"/>
      <c r="BT983" s="45"/>
      <c r="BU983" s="45"/>
      <c r="BV983" s="45"/>
      <c r="BW983" s="45"/>
      <c r="BX983" s="45"/>
      <c r="BY983" s="45"/>
      <c r="BZ983" s="45"/>
      <c r="CA983" s="45"/>
      <c r="CB983" s="45"/>
      <c r="CC983" s="45"/>
      <c r="CD983" s="463"/>
      <c r="CE983">
        <v>0</v>
      </c>
      <c r="CF983">
        <v>0</v>
      </c>
      <c r="CG983">
        <v>0</v>
      </c>
      <c r="CH983">
        <v>0</v>
      </c>
      <c r="CI983">
        <v>0</v>
      </c>
      <c r="CJ983">
        <v>0</v>
      </c>
      <c r="CK983">
        <v>0</v>
      </c>
      <c r="CL983">
        <v>0</v>
      </c>
      <c r="CM983">
        <v>0</v>
      </c>
      <c r="CN983">
        <v>0</v>
      </c>
      <c r="CO983">
        <v>0</v>
      </c>
      <c r="CP983">
        <v>0</v>
      </c>
      <c r="CQ983">
        <v>0</v>
      </c>
      <c r="CR983">
        <v>0</v>
      </c>
      <c r="CS983">
        <v>0</v>
      </c>
      <c r="CT983">
        <v>0</v>
      </c>
      <c r="CU983">
        <v>0</v>
      </c>
      <c r="CV983">
        <v>0</v>
      </c>
      <c r="CW983">
        <v>0</v>
      </c>
      <c r="CX983">
        <v>0</v>
      </c>
      <c r="CY983">
        <v>0</v>
      </c>
      <c r="CZ983">
        <v>0</v>
      </c>
      <c r="DA983">
        <v>0</v>
      </c>
      <c r="DB983">
        <v>0</v>
      </c>
      <c r="DC983">
        <v>0</v>
      </c>
      <c r="DD983">
        <v>0</v>
      </c>
      <c r="DE983">
        <v>0</v>
      </c>
      <c r="DF983">
        <v>0</v>
      </c>
      <c r="DG983">
        <v>0</v>
      </c>
      <c r="DH983">
        <v>0</v>
      </c>
      <c r="DI983">
        <v>0</v>
      </c>
      <c r="DJ983">
        <v>0</v>
      </c>
      <c r="DK983">
        <v>0</v>
      </c>
      <c r="DL983">
        <v>0</v>
      </c>
      <c r="DM983">
        <v>0</v>
      </c>
      <c r="DN983">
        <v>0</v>
      </c>
      <c r="DO983">
        <v>0</v>
      </c>
      <c r="DP983">
        <v>0</v>
      </c>
      <c r="DQ983">
        <v>0</v>
      </c>
      <c r="DR983">
        <v>0</v>
      </c>
      <c r="DS983">
        <v>0</v>
      </c>
      <c r="DT983">
        <v>0</v>
      </c>
      <c r="DU983">
        <v>0</v>
      </c>
    </row>
    <row r="984" spans="2:125">
      <c r="B984" s="136">
        <v>975</v>
      </c>
      <c r="C984" s="138">
        <v>1</v>
      </c>
      <c r="D984" s="474">
        <v>3307.07608197851</v>
      </c>
      <c r="E984" s="127">
        <v>284.76245459583828</v>
      </c>
      <c r="F984" s="447">
        <v>0.42450580076847066</v>
      </c>
      <c r="G984" s="127">
        <v>116.29992555664651</v>
      </c>
      <c r="H984" s="132">
        <v>55.08876368191352</v>
      </c>
      <c r="I984" s="456"/>
      <c r="J984" s="45"/>
      <c r="K984" s="45">
        <v>480</v>
      </c>
      <c r="L984" s="463"/>
      <c r="M984" s="456">
        <v>35.03863525390625</v>
      </c>
      <c r="N984" s="457"/>
      <c r="O984" s="456"/>
      <c r="P984" s="46"/>
      <c r="Q984" s="463">
        <v>65.480110168457031</v>
      </c>
      <c r="R984" s="449"/>
      <c r="S984" s="463"/>
      <c r="T984" s="480"/>
      <c r="U984" s="468"/>
      <c r="V984" s="449"/>
      <c r="W984" s="45">
        <v>1524.7408447265625</v>
      </c>
      <c r="X984" s="463">
        <v>127.97601318359375</v>
      </c>
      <c r="Y984" s="449"/>
      <c r="Z984" s="45"/>
      <c r="AA984" s="468">
        <v>0.41437899534120232</v>
      </c>
      <c r="AB984" s="456"/>
      <c r="AC984" s="46"/>
      <c r="AD984" s="46"/>
      <c r="AE984" s="46"/>
      <c r="AF984" s="46"/>
      <c r="AG984" s="46"/>
      <c r="AH984" s="46"/>
      <c r="AI984" s="457"/>
      <c r="AJ984" s="138"/>
      <c r="AK984" s="745"/>
      <c r="AL984" s="54"/>
      <c r="AM984" s="468"/>
      <c r="AN984" s="449"/>
      <c r="AO984" s="45"/>
      <c r="AP984" s="45"/>
      <c r="AQ984" s="45"/>
      <c r="AR984" s="45"/>
      <c r="AS984" s="45"/>
      <c r="AT984" s="45"/>
      <c r="AU984" s="463"/>
      <c r="AV984" s="449"/>
      <c r="AW984" s="45"/>
      <c r="AX984" s="45"/>
      <c r="AY984" s="45"/>
      <c r="AZ984" s="45"/>
      <c r="BA984" s="45"/>
      <c r="BB984" s="45"/>
      <c r="BC984" s="463"/>
      <c r="BD984" s="456"/>
      <c r="BE984" s="46"/>
      <c r="BF984" s="46"/>
      <c r="BG984" s="46"/>
      <c r="BH984" s="46"/>
      <c r="BI984" s="46"/>
      <c r="BJ984" s="457"/>
      <c r="BK984" s="449">
        <v>0</v>
      </c>
      <c r="BL984" s="45"/>
      <c r="BM984" s="45"/>
      <c r="BN984" s="45"/>
      <c r="BO984" s="45"/>
      <c r="BP984" s="45"/>
      <c r="BQ984" s="45"/>
      <c r="BR984" s="45"/>
      <c r="BS984" s="45"/>
      <c r="BT984" s="45"/>
      <c r="BU984" s="45"/>
      <c r="BV984" s="45"/>
      <c r="BW984" s="45"/>
      <c r="BX984" s="45"/>
      <c r="BY984" s="45"/>
      <c r="BZ984" s="45"/>
      <c r="CA984" s="45"/>
      <c r="CB984" s="45"/>
      <c r="CC984" s="45"/>
      <c r="CD984" s="463"/>
      <c r="CE984">
        <v>0</v>
      </c>
      <c r="CF984">
        <v>0</v>
      </c>
      <c r="CG984">
        <v>0</v>
      </c>
      <c r="CH984">
        <v>0</v>
      </c>
      <c r="CI984">
        <v>0</v>
      </c>
      <c r="CJ984">
        <v>0</v>
      </c>
      <c r="CK984">
        <v>0</v>
      </c>
      <c r="CL984">
        <v>0</v>
      </c>
      <c r="CM984">
        <v>0</v>
      </c>
      <c r="CN984">
        <v>0</v>
      </c>
      <c r="CO984">
        <v>0</v>
      </c>
      <c r="CP984">
        <v>0</v>
      </c>
      <c r="CQ984">
        <v>0</v>
      </c>
      <c r="CR984">
        <v>0</v>
      </c>
      <c r="CS984">
        <v>0</v>
      </c>
      <c r="CT984">
        <v>0</v>
      </c>
      <c r="CU984">
        <v>0</v>
      </c>
      <c r="CV984">
        <v>0</v>
      </c>
      <c r="CW984">
        <v>0</v>
      </c>
      <c r="CX984">
        <v>0</v>
      </c>
      <c r="CY984">
        <v>0</v>
      </c>
      <c r="CZ984">
        <v>0</v>
      </c>
      <c r="DA984">
        <v>0</v>
      </c>
      <c r="DB984">
        <v>0</v>
      </c>
      <c r="DC984">
        <v>0</v>
      </c>
      <c r="DD984">
        <v>0</v>
      </c>
      <c r="DE984">
        <v>0</v>
      </c>
      <c r="DF984">
        <v>0</v>
      </c>
      <c r="DG984">
        <v>0</v>
      </c>
      <c r="DH984">
        <v>0</v>
      </c>
      <c r="DI984">
        <v>0</v>
      </c>
      <c r="DJ984">
        <v>0</v>
      </c>
      <c r="DK984">
        <v>0</v>
      </c>
      <c r="DL984">
        <v>0</v>
      </c>
      <c r="DM984">
        <v>0</v>
      </c>
      <c r="DN984">
        <v>0</v>
      </c>
      <c r="DO984">
        <v>0</v>
      </c>
      <c r="DP984">
        <v>0</v>
      </c>
      <c r="DQ984">
        <v>0</v>
      </c>
      <c r="DR984">
        <v>0</v>
      </c>
      <c r="DS984">
        <v>0</v>
      </c>
      <c r="DT984">
        <v>0</v>
      </c>
      <c r="DU984">
        <v>0</v>
      </c>
    </row>
    <row r="985" spans="2:125">
      <c r="B985" s="136">
        <v>976</v>
      </c>
      <c r="C985" s="138">
        <v>1</v>
      </c>
      <c r="D985" s="474">
        <v>3254.6211668415108</v>
      </c>
      <c r="E985" s="127">
        <v>212.26663849464899</v>
      </c>
      <c r="F985" s="447">
        <v>0.42856919732674453</v>
      </c>
      <c r="G985" s="127">
        <v>104.70834654740212</v>
      </c>
      <c r="H985" s="132">
        <v>63.59840467858568</v>
      </c>
      <c r="I985" s="456"/>
      <c r="J985" s="45"/>
      <c r="K985" s="45">
        <v>480</v>
      </c>
      <c r="L985" s="463"/>
      <c r="M985" s="456">
        <v>33.028820037841797</v>
      </c>
      <c r="N985" s="457"/>
      <c r="O985" s="456"/>
      <c r="P985" s="46"/>
      <c r="Q985" s="463">
        <v>72.849533081054688</v>
      </c>
      <c r="R985" s="449"/>
      <c r="S985" s="463"/>
      <c r="T985" s="480"/>
      <c r="U985" s="468"/>
      <c r="V985" s="449"/>
      <c r="W985" s="45">
        <v>1527.527587890625</v>
      </c>
      <c r="X985" s="463">
        <v>128.16912841796875</v>
      </c>
      <c r="Y985" s="449"/>
      <c r="Z985" s="45"/>
      <c r="AA985" s="468">
        <v>0.41825420758582954</v>
      </c>
      <c r="AB985" s="456"/>
      <c r="AC985" s="46"/>
      <c r="AD985" s="46"/>
      <c r="AE985" s="46"/>
      <c r="AF985" s="46"/>
      <c r="AG985" s="46"/>
      <c r="AH985" s="46"/>
      <c r="AI985" s="457"/>
      <c r="AJ985" s="138"/>
      <c r="AK985" s="745"/>
      <c r="AL985" s="54"/>
      <c r="AM985" s="468"/>
      <c r="AN985" s="449"/>
      <c r="AO985" s="45"/>
      <c r="AP985" s="45"/>
      <c r="AQ985" s="45"/>
      <c r="AR985" s="45"/>
      <c r="AS985" s="45"/>
      <c r="AT985" s="45"/>
      <c r="AU985" s="463"/>
      <c r="AV985" s="449"/>
      <c r="AW985" s="45"/>
      <c r="AX985" s="45"/>
      <c r="AY985" s="45"/>
      <c r="AZ985" s="45"/>
      <c r="BA985" s="45"/>
      <c r="BB985" s="45"/>
      <c r="BC985" s="463"/>
      <c r="BD985" s="456"/>
      <c r="BE985" s="46"/>
      <c r="BF985" s="46"/>
      <c r="BG985" s="46"/>
      <c r="BH985" s="46"/>
      <c r="BI985" s="46"/>
      <c r="BJ985" s="457"/>
      <c r="BK985" s="449">
        <v>0</v>
      </c>
      <c r="BL985" s="45"/>
      <c r="BM985" s="45"/>
      <c r="BN985" s="45"/>
      <c r="BO985" s="45"/>
      <c r="BP985" s="45"/>
      <c r="BQ985" s="45"/>
      <c r="BR985" s="45"/>
      <c r="BS985" s="45"/>
      <c r="BT985" s="45"/>
      <c r="BU985" s="45"/>
      <c r="BV985" s="45"/>
      <c r="BW985" s="45"/>
      <c r="BX985" s="45"/>
      <c r="BY985" s="45"/>
      <c r="BZ985" s="45"/>
      <c r="CA985" s="45"/>
      <c r="CB985" s="45"/>
      <c r="CC985" s="45"/>
      <c r="CD985" s="463"/>
      <c r="CE985">
        <v>0</v>
      </c>
      <c r="CF985">
        <v>0</v>
      </c>
      <c r="CG985">
        <v>0</v>
      </c>
      <c r="CH985">
        <v>0</v>
      </c>
      <c r="CI985">
        <v>0</v>
      </c>
      <c r="CJ985">
        <v>0</v>
      </c>
      <c r="CK985">
        <v>0</v>
      </c>
      <c r="CL985">
        <v>0</v>
      </c>
      <c r="CM985">
        <v>0</v>
      </c>
      <c r="CN985">
        <v>0</v>
      </c>
      <c r="CO985">
        <v>0</v>
      </c>
      <c r="CP985">
        <v>0</v>
      </c>
      <c r="CQ985">
        <v>0</v>
      </c>
      <c r="CR985">
        <v>0</v>
      </c>
      <c r="CS985">
        <v>0</v>
      </c>
      <c r="CT985">
        <v>0</v>
      </c>
      <c r="CU985">
        <v>0</v>
      </c>
      <c r="CV985">
        <v>0</v>
      </c>
      <c r="CW985">
        <v>0</v>
      </c>
      <c r="CX985">
        <v>0</v>
      </c>
      <c r="CY985">
        <v>0</v>
      </c>
      <c r="CZ985">
        <v>0</v>
      </c>
      <c r="DA985">
        <v>0</v>
      </c>
      <c r="DB985">
        <v>0</v>
      </c>
      <c r="DC985">
        <v>0</v>
      </c>
      <c r="DD985">
        <v>0</v>
      </c>
      <c r="DE985">
        <v>0</v>
      </c>
      <c r="DF985">
        <v>0</v>
      </c>
      <c r="DG985">
        <v>0</v>
      </c>
      <c r="DH985">
        <v>0</v>
      </c>
      <c r="DI985">
        <v>0</v>
      </c>
      <c r="DJ985">
        <v>0</v>
      </c>
      <c r="DK985">
        <v>0</v>
      </c>
      <c r="DL985">
        <v>0</v>
      </c>
      <c r="DM985">
        <v>0</v>
      </c>
      <c r="DN985">
        <v>0</v>
      </c>
      <c r="DO985">
        <v>0</v>
      </c>
      <c r="DP985">
        <v>0</v>
      </c>
      <c r="DQ985">
        <v>0</v>
      </c>
      <c r="DR985">
        <v>0</v>
      </c>
      <c r="DS985">
        <v>0</v>
      </c>
      <c r="DT985">
        <v>0</v>
      </c>
      <c r="DU985">
        <v>0</v>
      </c>
    </row>
    <row r="986" spans="2:125">
      <c r="B986" s="136">
        <v>977</v>
      </c>
      <c r="C986" s="138">
        <v>1</v>
      </c>
      <c r="D986" s="474">
        <v>2724.4024761708361</v>
      </c>
      <c r="E986" s="127">
        <v>274.51911138980677</v>
      </c>
      <c r="F986" s="447">
        <v>0.45404015028687722</v>
      </c>
      <c r="G986" s="127">
        <v>95.926612299601473</v>
      </c>
      <c r="H986" s="132">
        <v>49.288525488042083</v>
      </c>
      <c r="I986" s="456"/>
      <c r="J986" s="45"/>
      <c r="K986" s="45">
        <v>400</v>
      </c>
      <c r="L986" s="463"/>
      <c r="M986" s="456">
        <v>38.293304443359375</v>
      </c>
      <c r="N986" s="457"/>
      <c r="O986" s="456"/>
      <c r="P986" s="46"/>
      <c r="Q986" s="463">
        <v>53.943172454833984</v>
      </c>
      <c r="R986" s="449"/>
      <c r="S986" s="463"/>
      <c r="T986" s="480"/>
      <c r="U986" s="468"/>
      <c r="V986" s="449"/>
      <c r="W986" s="45">
        <v>1452.745849609375</v>
      </c>
      <c r="X986" s="463">
        <v>122.40712738037109</v>
      </c>
      <c r="Y986" s="449"/>
      <c r="Z986" s="45"/>
      <c r="AA986" s="468">
        <v>0.44153069057825206</v>
      </c>
      <c r="AB986" s="456"/>
      <c r="AC986" s="46"/>
      <c r="AD986" s="46"/>
      <c r="AE986" s="46"/>
      <c r="AF986" s="46"/>
      <c r="AG986" s="46"/>
      <c r="AH986" s="46"/>
      <c r="AI986" s="457"/>
      <c r="AJ986" s="138"/>
      <c r="AK986" s="745"/>
      <c r="AL986" s="54"/>
      <c r="AM986" s="468"/>
      <c r="AN986" s="449"/>
      <c r="AO986" s="45"/>
      <c r="AP986" s="45"/>
      <c r="AQ986" s="45"/>
      <c r="AR986" s="45"/>
      <c r="AS986" s="45"/>
      <c r="AT986" s="45"/>
      <c r="AU986" s="463"/>
      <c r="AV986" s="449"/>
      <c r="AW986" s="45"/>
      <c r="AX986" s="45"/>
      <c r="AY986" s="45"/>
      <c r="AZ986" s="45"/>
      <c r="BA986" s="45"/>
      <c r="BB986" s="45"/>
      <c r="BC986" s="463"/>
      <c r="BD986" s="456"/>
      <c r="BE986" s="46"/>
      <c r="BF986" s="46"/>
      <c r="BG986" s="46"/>
      <c r="BH986" s="46"/>
      <c r="BI986" s="46"/>
      <c r="BJ986" s="457"/>
      <c r="BK986" s="449">
        <v>0</v>
      </c>
      <c r="BL986" s="45"/>
      <c r="BM986" s="45"/>
      <c r="BN986" s="45"/>
      <c r="BO986" s="45"/>
      <c r="BP986" s="45"/>
      <c r="BQ986" s="45"/>
      <c r="BR986" s="45"/>
      <c r="BS986" s="45"/>
      <c r="BT986" s="45"/>
      <c r="BU986" s="45"/>
      <c r="BV986" s="45"/>
      <c r="BW986" s="45"/>
      <c r="BX986" s="45"/>
      <c r="BY986" s="45"/>
      <c r="BZ986" s="45"/>
      <c r="CA986" s="45"/>
      <c r="CB986" s="45"/>
      <c r="CC986" s="45"/>
      <c r="CD986" s="463"/>
      <c r="CE986">
        <v>0</v>
      </c>
      <c r="CF986">
        <v>0</v>
      </c>
      <c r="CG986">
        <v>0</v>
      </c>
      <c r="CH986">
        <v>0</v>
      </c>
      <c r="CI986">
        <v>0</v>
      </c>
      <c r="CJ986">
        <v>0</v>
      </c>
      <c r="CK986">
        <v>0</v>
      </c>
      <c r="CL986">
        <v>0</v>
      </c>
      <c r="CM986">
        <v>0</v>
      </c>
      <c r="CN986">
        <v>0</v>
      </c>
      <c r="CO986">
        <v>0</v>
      </c>
      <c r="CP986">
        <v>0</v>
      </c>
      <c r="CQ986">
        <v>0</v>
      </c>
      <c r="CR986">
        <v>0</v>
      </c>
      <c r="CS986">
        <v>0</v>
      </c>
      <c r="CT986">
        <v>0</v>
      </c>
      <c r="CU986">
        <v>0</v>
      </c>
      <c r="CV986">
        <v>0</v>
      </c>
      <c r="CW986">
        <v>0</v>
      </c>
      <c r="CX986">
        <v>0</v>
      </c>
      <c r="CY986">
        <v>0</v>
      </c>
      <c r="CZ986">
        <v>0</v>
      </c>
      <c r="DA986">
        <v>0</v>
      </c>
      <c r="DB986">
        <v>0</v>
      </c>
      <c r="DC986">
        <v>0</v>
      </c>
      <c r="DD986">
        <v>0</v>
      </c>
      <c r="DE986">
        <v>0</v>
      </c>
      <c r="DF986">
        <v>0</v>
      </c>
      <c r="DG986">
        <v>0</v>
      </c>
      <c r="DH986">
        <v>0</v>
      </c>
      <c r="DI986">
        <v>0</v>
      </c>
      <c r="DJ986">
        <v>0</v>
      </c>
      <c r="DK986">
        <v>0</v>
      </c>
      <c r="DL986">
        <v>0</v>
      </c>
      <c r="DM986">
        <v>0</v>
      </c>
      <c r="DN986">
        <v>0</v>
      </c>
      <c r="DO986">
        <v>0</v>
      </c>
      <c r="DP986">
        <v>0</v>
      </c>
      <c r="DQ986">
        <v>0</v>
      </c>
      <c r="DR986">
        <v>0</v>
      </c>
      <c r="DS986">
        <v>0</v>
      </c>
      <c r="DT986">
        <v>0</v>
      </c>
      <c r="DU986">
        <v>0</v>
      </c>
    </row>
    <row r="987" spans="2:125">
      <c r="B987" s="136">
        <v>978</v>
      </c>
      <c r="C987" s="138">
        <v>1</v>
      </c>
      <c r="D987" s="474">
        <v>3100.1843965179364</v>
      </c>
      <c r="E987" s="127">
        <v>234.69191973720834</v>
      </c>
      <c r="F987" s="447">
        <v>0.45658038649282601</v>
      </c>
      <c r="G987" s="127">
        <v>128.58874078808685</v>
      </c>
      <c r="H987" s="132">
        <v>55.329547253990704</v>
      </c>
      <c r="I987" s="456"/>
      <c r="J987" s="45"/>
      <c r="K987" s="45">
        <v>520</v>
      </c>
      <c r="L987" s="463"/>
      <c r="M987" s="456">
        <v>41.866851806640625</v>
      </c>
      <c r="N987" s="457"/>
      <c r="O987" s="456"/>
      <c r="P987" s="46"/>
      <c r="Q987" s="463">
        <v>69.294654846191406</v>
      </c>
      <c r="R987" s="449"/>
      <c r="S987" s="463"/>
      <c r="T987" s="480"/>
      <c r="U987" s="468"/>
      <c r="V987" s="449"/>
      <c r="W987" s="45">
        <v>1863.773681640625</v>
      </c>
      <c r="X987" s="463">
        <v>152.81088256835937</v>
      </c>
      <c r="Y987" s="449"/>
      <c r="Z987" s="45"/>
      <c r="AA987" s="468">
        <v>0.44557084532869634</v>
      </c>
      <c r="AB987" s="456"/>
      <c r="AC987" s="46"/>
      <c r="AD987" s="46"/>
      <c r="AE987" s="46"/>
      <c r="AF987" s="46"/>
      <c r="AG987" s="46"/>
      <c r="AH987" s="46"/>
      <c r="AI987" s="457"/>
      <c r="AJ987" s="138"/>
      <c r="AK987" s="745"/>
      <c r="AL987" s="54"/>
      <c r="AM987" s="468"/>
      <c r="AN987" s="449"/>
      <c r="AO987" s="45"/>
      <c r="AP987" s="45"/>
      <c r="AQ987" s="45"/>
      <c r="AR987" s="45"/>
      <c r="AS987" s="45"/>
      <c r="AT987" s="45"/>
      <c r="AU987" s="463"/>
      <c r="AV987" s="449"/>
      <c r="AW987" s="45"/>
      <c r="AX987" s="45"/>
      <c r="AY987" s="45"/>
      <c r="AZ987" s="45"/>
      <c r="BA987" s="45"/>
      <c r="BB987" s="45"/>
      <c r="BC987" s="463"/>
      <c r="BD987" s="456"/>
      <c r="BE987" s="46"/>
      <c r="BF987" s="46"/>
      <c r="BG987" s="46"/>
      <c r="BH987" s="46"/>
      <c r="BI987" s="46"/>
      <c r="BJ987" s="457"/>
      <c r="BK987" s="449">
        <v>0</v>
      </c>
      <c r="BL987" s="45"/>
      <c r="BM987" s="45"/>
      <c r="BN987" s="45"/>
      <c r="BO987" s="45"/>
      <c r="BP987" s="45"/>
      <c r="BQ987" s="45"/>
      <c r="BR987" s="45"/>
      <c r="BS987" s="45"/>
      <c r="BT987" s="45"/>
      <c r="BU987" s="45"/>
      <c r="BV987" s="45"/>
      <c r="BW987" s="45"/>
      <c r="BX987" s="45"/>
      <c r="BY987" s="45"/>
      <c r="BZ987" s="45"/>
      <c r="CA987" s="45"/>
      <c r="CB987" s="45"/>
      <c r="CC987" s="45"/>
      <c r="CD987" s="463"/>
      <c r="CE987">
        <v>0</v>
      </c>
      <c r="CF987">
        <v>0</v>
      </c>
      <c r="CG987">
        <v>0</v>
      </c>
      <c r="CH987">
        <v>0</v>
      </c>
      <c r="CI987">
        <v>0</v>
      </c>
      <c r="CJ987">
        <v>0</v>
      </c>
      <c r="CK987">
        <v>0</v>
      </c>
      <c r="CL987">
        <v>0</v>
      </c>
      <c r="CM987">
        <v>0</v>
      </c>
      <c r="CN987">
        <v>0</v>
      </c>
      <c r="CO987">
        <v>0</v>
      </c>
      <c r="CP987">
        <v>0</v>
      </c>
      <c r="CQ987">
        <v>0</v>
      </c>
      <c r="CR987">
        <v>0</v>
      </c>
      <c r="CS987">
        <v>0</v>
      </c>
      <c r="CT987">
        <v>0</v>
      </c>
      <c r="CU987">
        <v>0</v>
      </c>
      <c r="CV987">
        <v>0</v>
      </c>
      <c r="CW987">
        <v>0</v>
      </c>
      <c r="CX987">
        <v>0</v>
      </c>
      <c r="CY987">
        <v>0</v>
      </c>
      <c r="CZ987">
        <v>0</v>
      </c>
      <c r="DA987">
        <v>0</v>
      </c>
      <c r="DB987">
        <v>0</v>
      </c>
      <c r="DC987">
        <v>0</v>
      </c>
      <c r="DD987">
        <v>0</v>
      </c>
      <c r="DE987">
        <v>0</v>
      </c>
      <c r="DF987">
        <v>0</v>
      </c>
      <c r="DG987">
        <v>0</v>
      </c>
      <c r="DH987">
        <v>0</v>
      </c>
      <c r="DI987">
        <v>0</v>
      </c>
      <c r="DJ987">
        <v>0</v>
      </c>
      <c r="DK987">
        <v>0</v>
      </c>
      <c r="DL987">
        <v>0</v>
      </c>
      <c r="DM987">
        <v>0</v>
      </c>
      <c r="DN987">
        <v>0</v>
      </c>
      <c r="DO987">
        <v>0</v>
      </c>
      <c r="DP987">
        <v>0</v>
      </c>
      <c r="DQ987">
        <v>0</v>
      </c>
      <c r="DR987">
        <v>0</v>
      </c>
      <c r="DS987">
        <v>0</v>
      </c>
      <c r="DT987">
        <v>0</v>
      </c>
      <c r="DU987">
        <v>0</v>
      </c>
    </row>
    <row r="988" spans="2:125">
      <c r="B988" s="136">
        <v>979</v>
      </c>
      <c r="C988" s="138">
        <v>1</v>
      </c>
      <c r="D988" s="474">
        <v>2989.5725757093273</v>
      </c>
      <c r="E988" s="127">
        <v>187.30908680779118</v>
      </c>
      <c r="F988" s="447">
        <v>0.44619119898878246</v>
      </c>
      <c r="G988" s="127">
        <v>105.208587035485</v>
      </c>
      <c r="H988" s="132">
        <v>52.085812082515957</v>
      </c>
      <c r="I988" s="456"/>
      <c r="J988" s="45"/>
      <c r="K988" s="45">
        <v>430</v>
      </c>
      <c r="L988" s="463"/>
      <c r="M988" s="456">
        <v>37.44598388671875</v>
      </c>
      <c r="N988" s="457"/>
      <c r="O988" s="456"/>
      <c r="P988" s="46"/>
      <c r="Q988" s="463">
        <v>59.19354248046875</v>
      </c>
      <c r="R988" s="449"/>
      <c r="S988" s="463"/>
      <c r="T988" s="480"/>
      <c r="U988" s="468"/>
      <c r="V988" s="449"/>
      <c r="W988" s="45">
        <v>1515.160400390625</v>
      </c>
      <c r="X988" s="463">
        <v>127.09197235107422</v>
      </c>
      <c r="Y988" s="449"/>
      <c r="Z988" s="45"/>
      <c r="AA988" s="468">
        <v>0.43484381633769342</v>
      </c>
      <c r="AB988" s="456"/>
      <c r="AC988" s="46"/>
      <c r="AD988" s="46"/>
      <c r="AE988" s="46"/>
      <c r="AF988" s="46"/>
      <c r="AG988" s="46"/>
      <c r="AH988" s="46"/>
      <c r="AI988" s="457"/>
      <c r="AJ988" s="138"/>
      <c r="AK988" s="745"/>
      <c r="AL988" s="54"/>
      <c r="AM988" s="468"/>
      <c r="AN988" s="449"/>
      <c r="AO988" s="45"/>
      <c r="AP988" s="45"/>
      <c r="AQ988" s="45"/>
      <c r="AR988" s="45"/>
      <c r="AS988" s="45"/>
      <c r="AT988" s="45"/>
      <c r="AU988" s="463"/>
      <c r="AV988" s="449"/>
      <c r="AW988" s="45"/>
      <c r="AX988" s="45"/>
      <c r="AY988" s="45"/>
      <c r="AZ988" s="45"/>
      <c r="BA988" s="45"/>
      <c r="BB988" s="45"/>
      <c r="BC988" s="463"/>
      <c r="BD988" s="456"/>
      <c r="BE988" s="46"/>
      <c r="BF988" s="46"/>
      <c r="BG988" s="46"/>
      <c r="BH988" s="46"/>
      <c r="BI988" s="46"/>
      <c r="BJ988" s="457"/>
      <c r="BK988" s="449">
        <v>0</v>
      </c>
      <c r="BL988" s="45"/>
      <c r="BM988" s="45"/>
      <c r="BN988" s="45"/>
      <c r="BO988" s="45"/>
      <c r="BP988" s="45"/>
      <c r="BQ988" s="45"/>
      <c r="BR988" s="45"/>
      <c r="BS988" s="45"/>
      <c r="BT988" s="45"/>
      <c r="BU988" s="45"/>
      <c r="BV988" s="45"/>
      <c r="BW988" s="45"/>
      <c r="BX988" s="45"/>
      <c r="BY988" s="45"/>
      <c r="BZ988" s="45"/>
      <c r="CA988" s="45"/>
      <c r="CB988" s="45"/>
      <c r="CC988" s="45"/>
      <c r="CD988" s="463"/>
      <c r="CE988">
        <v>0</v>
      </c>
      <c r="CF988">
        <v>0</v>
      </c>
      <c r="CG988">
        <v>0</v>
      </c>
      <c r="CH988">
        <v>0</v>
      </c>
      <c r="CI988">
        <v>0</v>
      </c>
      <c r="CJ988">
        <v>0</v>
      </c>
      <c r="CK988">
        <v>0</v>
      </c>
      <c r="CL988">
        <v>0</v>
      </c>
      <c r="CM988">
        <v>0</v>
      </c>
      <c r="CN988">
        <v>0</v>
      </c>
      <c r="CO988">
        <v>0</v>
      </c>
      <c r="CP988">
        <v>0</v>
      </c>
      <c r="CQ988">
        <v>0</v>
      </c>
      <c r="CR988">
        <v>0</v>
      </c>
      <c r="CS988">
        <v>0</v>
      </c>
      <c r="CT988">
        <v>0</v>
      </c>
      <c r="CU988">
        <v>0</v>
      </c>
      <c r="CV988">
        <v>0</v>
      </c>
      <c r="CW988">
        <v>0</v>
      </c>
      <c r="CX988">
        <v>0</v>
      </c>
      <c r="CY988">
        <v>0</v>
      </c>
      <c r="CZ988">
        <v>0</v>
      </c>
      <c r="DA988">
        <v>0</v>
      </c>
      <c r="DB988">
        <v>0</v>
      </c>
      <c r="DC988">
        <v>0</v>
      </c>
      <c r="DD988">
        <v>0</v>
      </c>
      <c r="DE988">
        <v>0</v>
      </c>
      <c r="DF988">
        <v>0</v>
      </c>
      <c r="DG988">
        <v>0</v>
      </c>
      <c r="DH988">
        <v>0</v>
      </c>
      <c r="DI988">
        <v>0</v>
      </c>
      <c r="DJ988">
        <v>0</v>
      </c>
      <c r="DK988">
        <v>0</v>
      </c>
      <c r="DL988">
        <v>0</v>
      </c>
      <c r="DM988">
        <v>0</v>
      </c>
      <c r="DN988">
        <v>0</v>
      </c>
      <c r="DO988">
        <v>0</v>
      </c>
      <c r="DP988">
        <v>0</v>
      </c>
      <c r="DQ988">
        <v>0</v>
      </c>
      <c r="DR988">
        <v>0</v>
      </c>
      <c r="DS988">
        <v>0</v>
      </c>
      <c r="DT988">
        <v>0</v>
      </c>
      <c r="DU988">
        <v>0</v>
      </c>
    </row>
    <row r="989" spans="2:125">
      <c r="B989" s="136">
        <v>980</v>
      </c>
      <c r="C989" s="138">
        <v>1</v>
      </c>
      <c r="D989" s="474">
        <v>3846.9384635998604</v>
      </c>
      <c r="E989" s="127">
        <v>247.94807810207837</v>
      </c>
      <c r="F989" s="447">
        <v>0.40125368278580942</v>
      </c>
      <c r="G989" s="127">
        <v>123.36043738920266</v>
      </c>
      <c r="H989" s="132">
        <v>67.737336096967937</v>
      </c>
      <c r="I989" s="456"/>
      <c r="J989" s="45"/>
      <c r="K989" s="45">
        <v>550</v>
      </c>
      <c r="L989" s="463"/>
      <c r="M989" s="456">
        <v>30.780014038085938</v>
      </c>
      <c r="N989" s="457"/>
      <c r="O989" s="456"/>
      <c r="P989" s="46"/>
      <c r="Q989" s="463">
        <v>84.617408752441406</v>
      </c>
      <c r="R989" s="449"/>
      <c r="S989" s="463"/>
      <c r="T989" s="480"/>
      <c r="U989" s="468"/>
      <c r="V989" s="449"/>
      <c r="W989" s="45">
        <v>1577.23388671875</v>
      </c>
      <c r="X989" s="463">
        <v>132.08773803710937</v>
      </c>
      <c r="Y989" s="449"/>
      <c r="Z989" s="45"/>
      <c r="AA989" s="468">
        <v>0.39266891493256639</v>
      </c>
      <c r="AB989" s="456"/>
      <c r="AC989" s="46"/>
      <c r="AD989" s="46"/>
      <c r="AE989" s="46"/>
      <c r="AF989" s="46"/>
      <c r="AG989" s="46"/>
      <c r="AH989" s="46"/>
      <c r="AI989" s="457"/>
      <c r="AJ989" s="138"/>
      <c r="AK989" s="745"/>
      <c r="AL989" s="54"/>
      <c r="AM989" s="468"/>
      <c r="AN989" s="449"/>
      <c r="AO989" s="45"/>
      <c r="AP989" s="45"/>
      <c r="AQ989" s="45"/>
      <c r="AR989" s="45"/>
      <c r="AS989" s="45"/>
      <c r="AT989" s="45"/>
      <c r="AU989" s="463"/>
      <c r="AV989" s="449"/>
      <c r="AW989" s="45"/>
      <c r="AX989" s="45"/>
      <c r="AY989" s="45"/>
      <c r="AZ989" s="45"/>
      <c r="BA989" s="45"/>
      <c r="BB989" s="45"/>
      <c r="BC989" s="463"/>
      <c r="BD989" s="456"/>
      <c r="BE989" s="46"/>
      <c r="BF989" s="46"/>
      <c r="BG989" s="46"/>
      <c r="BH989" s="46"/>
      <c r="BI989" s="46"/>
      <c r="BJ989" s="457"/>
      <c r="BK989" s="449">
        <v>0</v>
      </c>
      <c r="BL989" s="45"/>
      <c r="BM989" s="45"/>
      <c r="BN989" s="45"/>
      <c r="BO989" s="45"/>
      <c r="BP989" s="45"/>
      <c r="BQ989" s="45"/>
      <c r="BR989" s="45"/>
      <c r="BS989" s="45"/>
      <c r="BT989" s="45"/>
      <c r="BU989" s="45"/>
      <c r="BV989" s="45"/>
      <c r="BW989" s="45"/>
      <c r="BX989" s="45"/>
      <c r="BY989" s="45"/>
      <c r="BZ989" s="45"/>
      <c r="CA989" s="45"/>
      <c r="CB989" s="45"/>
      <c r="CC989" s="45"/>
      <c r="CD989" s="463"/>
      <c r="CE989">
        <v>0</v>
      </c>
      <c r="CF989">
        <v>0</v>
      </c>
      <c r="CG989">
        <v>0</v>
      </c>
      <c r="CH989">
        <v>0</v>
      </c>
      <c r="CI989">
        <v>0</v>
      </c>
      <c r="CJ989">
        <v>0</v>
      </c>
      <c r="CK989">
        <v>0</v>
      </c>
      <c r="CL989">
        <v>0</v>
      </c>
      <c r="CM989">
        <v>0</v>
      </c>
      <c r="CN989">
        <v>0</v>
      </c>
      <c r="CO989">
        <v>0</v>
      </c>
      <c r="CP989">
        <v>0</v>
      </c>
      <c r="CQ989">
        <v>0</v>
      </c>
      <c r="CR989">
        <v>0</v>
      </c>
      <c r="CS989">
        <v>0</v>
      </c>
      <c r="CT989">
        <v>0</v>
      </c>
      <c r="CU989">
        <v>0</v>
      </c>
      <c r="CV989">
        <v>0</v>
      </c>
      <c r="CW989">
        <v>0</v>
      </c>
      <c r="CX989">
        <v>0</v>
      </c>
      <c r="CY989">
        <v>0</v>
      </c>
      <c r="CZ989">
        <v>0</v>
      </c>
      <c r="DA989">
        <v>0</v>
      </c>
      <c r="DB989">
        <v>0</v>
      </c>
      <c r="DC989">
        <v>0</v>
      </c>
      <c r="DD989">
        <v>0</v>
      </c>
      <c r="DE989">
        <v>0</v>
      </c>
      <c r="DF989">
        <v>0</v>
      </c>
      <c r="DG989">
        <v>0</v>
      </c>
      <c r="DH989">
        <v>0</v>
      </c>
      <c r="DI989">
        <v>0</v>
      </c>
      <c r="DJ989">
        <v>0</v>
      </c>
      <c r="DK989">
        <v>0</v>
      </c>
      <c r="DL989">
        <v>0</v>
      </c>
      <c r="DM989">
        <v>0</v>
      </c>
      <c r="DN989">
        <v>0</v>
      </c>
      <c r="DO989">
        <v>0</v>
      </c>
      <c r="DP989">
        <v>0</v>
      </c>
      <c r="DQ989">
        <v>0</v>
      </c>
      <c r="DR989">
        <v>0</v>
      </c>
      <c r="DS989">
        <v>0</v>
      </c>
      <c r="DT989">
        <v>0</v>
      </c>
      <c r="DU989">
        <v>0</v>
      </c>
    </row>
    <row r="990" spans="2:125">
      <c r="B990" s="136">
        <v>981</v>
      </c>
      <c r="C990" s="138">
        <v>1</v>
      </c>
      <c r="D990" s="474">
        <v>3805.9179233089262</v>
      </c>
      <c r="E990" s="127">
        <v>294.24480440916062</v>
      </c>
      <c r="F990" s="447">
        <v>0.44833206203651516</v>
      </c>
      <c r="G990" s="127">
        <v>158.23067596428857</v>
      </c>
      <c r="H990" s="132">
        <v>52.934813929527316</v>
      </c>
      <c r="I990" s="456"/>
      <c r="J990" s="45"/>
      <c r="K990" s="45">
        <v>610</v>
      </c>
      <c r="L990" s="463"/>
      <c r="M990" s="456">
        <v>44.432537078857422</v>
      </c>
      <c r="N990" s="457"/>
      <c r="O990" s="456"/>
      <c r="P990" s="46"/>
      <c r="Q990" s="463">
        <v>75.357177734375</v>
      </c>
      <c r="R990" s="449"/>
      <c r="S990" s="463"/>
      <c r="T990" s="480"/>
      <c r="U990" s="468"/>
      <c r="V990" s="449"/>
      <c r="W990" s="45">
        <v>2094.355712890625</v>
      </c>
      <c r="X990" s="463">
        <v>169.95045471191406</v>
      </c>
      <c r="Y990" s="449"/>
      <c r="Z990" s="45"/>
      <c r="AA990" s="468">
        <v>0.43940737108805689</v>
      </c>
      <c r="AB990" s="456"/>
      <c r="AC990" s="46"/>
      <c r="AD990" s="46"/>
      <c r="AE990" s="46"/>
      <c r="AF990" s="46"/>
      <c r="AG990" s="46"/>
      <c r="AH990" s="46"/>
      <c r="AI990" s="457"/>
      <c r="AJ990" s="138"/>
      <c r="AK990" s="745"/>
      <c r="AL990" s="54"/>
      <c r="AM990" s="468"/>
      <c r="AN990" s="449"/>
      <c r="AO990" s="45"/>
      <c r="AP990" s="45"/>
      <c r="AQ990" s="45"/>
      <c r="AR990" s="45"/>
      <c r="AS990" s="45"/>
      <c r="AT990" s="45"/>
      <c r="AU990" s="463"/>
      <c r="AV990" s="449"/>
      <c r="AW990" s="45"/>
      <c r="AX990" s="45"/>
      <c r="AY990" s="45"/>
      <c r="AZ990" s="45"/>
      <c r="BA990" s="45"/>
      <c r="BB990" s="45"/>
      <c r="BC990" s="463"/>
      <c r="BD990" s="456"/>
      <c r="BE990" s="46"/>
      <c r="BF990" s="46"/>
      <c r="BG990" s="46"/>
      <c r="BH990" s="46"/>
      <c r="BI990" s="46"/>
      <c r="BJ990" s="457"/>
      <c r="BK990" s="449">
        <v>0</v>
      </c>
      <c r="BL990" s="45"/>
      <c r="BM990" s="45"/>
      <c r="BN990" s="45"/>
      <c r="BO990" s="45"/>
      <c r="BP990" s="45"/>
      <c r="BQ990" s="45"/>
      <c r="BR990" s="45"/>
      <c r="BS990" s="45"/>
      <c r="BT990" s="45"/>
      <c r="BU990" s="45"/>
      <c r="BV990" s="45"/>
      <c r="BW990" s="45"/>
      <c r="BX990" s="45"/>
      <c r="BY990" s="45"/>
      <c r="BZ990" s="45"/>
      <c r="CA990" s="45"/>
      <c r="CB990" s="45"/>
      <c r="CC990" s="45"/>
      <c r="CD990" s="463"/>
      <c r="CE990">
        <v>0</v>
      </c>
      <c r="CF990">
        <v>0</v>
      </c>
      <c r="CG990">
        <v>0</v>
      </c>
      <c r="CH990">
        <v>0</v>
      </c>
      <c r="CI990">
        <v>0</v>
      </c>
      <c r="CJ990">
        <v>0</v>
      </c>
      <c r="CK990">
        <v>0</v>
      </c>
      <c r="CL990">
        <v>0</v>
      </c>
      <c r="CM990">
        <v>0</v>
      </c>
      <c r="CN990">
        <v>0</v>
      </c>
      <c r="CO990">
        <v>0</v>
      </c>
      <c r="CP990">
        <v>0</v>
      </c>
      <c r="CQ990">
        <v>0</v>
      </c>
      <c r="CR990">
        <v>0</v>
      </c>
      <c r="CS990">
        <v>0</v>
      </c>
      <c r="CT990">
        <v>0</v>
      </c>
      <c r="CU990">
        <v>0</v>
      </c>
      <c r="CV990">
        <v>0</v>
      </c>
      <c r="CW990">
        <v>0</v>
      </c>
      <c r="CX990">
        <v>0</v>
      </c>
      <c r="CY990">
        <v>0</v>
      </c>
      <c r="CZ990">
        <v>0</v>
      </c>
      <c r="DA990">
        <v>0</v>
      </c>
      <c r="DB990">
        <v>0</v>
      </c>
      <c r="DC990">
        <v>0</v>
      </c>
      <c r="DD990">
        <v>0</v>
      </c>
      <c r="DE990">
        <v>0</v>
      </c>
      <c r="DF990">
        <v>0</v>
      </c>
      <c r="DG990">
        <v>0</v>
      </c>
      <c r="DH990">
        <v>0</v>
      </c>
      <c r="DI990">
        <v>0</v>
      </c>
      <c r="DJ990">
        <v>0</v>
      </c>
      <c r="DK990">
        <v>0</v>
      </c>
      <c r="DL990">
        <v>0</v>
      </c>
      <c r="DM990">
        <v>0</v>
      </c>
      <c r="DN990">
        <v>0</v>
      </c>
      <c r="DO990">
        <v>0</v>
      </c>
      <c r="DP990">
        <v>0</v>
      </c>
      <c r="DQ990">
        <v>0</v>
      </c>
      <c r="DR990">
        <v>0</v>
      </c>
      <c r="DS990">
        <v>0</v>
      </c>
      <c r="DT990">
        <v>0</v>
      </c>
      <c r="DU990">
        <v>0</v>
      </c>
    </row>
    <row r="991" spans="2:125">
      <c r="B991" s="136">
        <v>982</v>
      </c>
      <c r="C991" s="138">
        <v>1</v>
      </c>
      <c r="D991" s="474">
        <v>3389.9633959007842</v>
      </c>
      <c r="E991" s="127">
        <v>279.52764074012293</v>
      </c>
      <c r="F991" s="447">
        <v>0.4636643164485274</v>
      </c>
      <c r="G991" s="127">
        <v>112.77003451474606</v>
      </c>
      <c r="H991" s="132">
        <v>57.442646431542165</v>
      </c>
      <c r="I991" s="456"/>
      <c r="J991" s="45"/>
      <c r="K991" s="45">
        <v>480</v>
      </c>
      <c r="L991" s="463"/>
      <c r="M991" s="456">
        <v>40.738292694091797</v>
      </c>
      <c r="N991" s="457"/>
      <c r="O991" s="456"/>
      <c r="P991" s="46"/>
      <c r="Q991" s="463">
        <v>67.12127685546875</v>
      </c>
      <c r="R991" s="449"/>
      <c r="S991" s="463"/>
      <c r="T991" s="480"/>
      <c r="U991" s="468"/>
      <c r="V991" s="449"/>
      <c r="W991" s="45">
        <v>1770.5936279296875</v>
      </c>
      <c r="X991" s="463">
        <v>145.85908508300781</v>
      </c>
      <c r="Y991" s="449"/>
      <c r="Z991" s="45"/>
      <c r="AA991" s="468">
        <v>0.45355409332033242</v>
      </c>
      <c r="AB991" s="456"/>
      <c r="AC991" s="46"/>
      <c r="AD991" s="46"/>
      <c r="AE991" s="46"/>
      <c r="AF991" s="46"/>
      <c r="AG991" s="46"/>
      <c r="AH991" s="46"/>
      <c r="AI991" s="457"/>
      <c r="AJ991" s="138"/>
      <c r="AK991" s="745"/>
      <c r="AL991" s="54"/>
      <c r="AM991" s="468"/>
      <c r="AN991" s="449"/>
      <c r="AO991" s="45"/>
      <c r="AP991" s="45"/>
      <c r="AQ991" s="45"/>
      <c r="AR991" s="45"/>
      <c r="AS991" s="45"/>
      <c r="AT991" s="45"/>
      <c r="AU991" s="463"/>
      <c r="AV991" s="449"/>
      <c r="AW991" s="45"/>
      <c r="AX991" s="45"/>
      <c r="AY991" s="45"/>
      <c r="AZ991" s="45"/>
      <c r="BA991" s="45"/>
      <c r="BB991" s="45"/>
      <c r="BC991" s="463"/>
      <c r="BD991" s="456"/>
      <c r="BE991" s="46"/>
      <c r="BF991" s="46"/>
      <c r="BG991" s="46"/>
      <c r="BH991" s="46"/>
      <c r="BI991" s="46"/>
      <c r="BJ991" s="457"/>
      <c r="BK991" s="449">
        <v>0</v>
      </c>
      <c r="BL991" s="45"/>
      <c r="BM991" s="45"/>
      <c r="BN991" s="45"/>
      <c r="BO991" s="45"/>
      <c r="BP991" s="45"/>
      <c r="BQ991" s="45"/>
      <c r="BR991" s="45"/>
      <c r="BS991" s="45"/>
      <c r="BT991" s="45"/>
      <c r="BU991" s="45"/>
      <c r="BV991" s="45"/>
      <c r="BW991" s="45"/>
      <c r="BX991" s="45"/>
      <c r="BY991" s="45"/>
      <c r="BZ991" s="45"/>
      <c r="CA991" s="45"/>
      <c r="CB991" s="45"/>
      <c r="CC991" s="45"/>
      <c r="CD991" s="463"/>
      <c r="CE991">
        <v>0</v>
      </c>
      <c r="CF991">
        <v>0</v>
      </c>
      <c r="CG991">
        <v>0</v>
      </c>
      <c r="CH991">
        <v>0</v>
      </c>
      <c r="CI991">
        <v>0</v>
      </c>
      <c r="CJ991">
        <v>0</v>
      </c>
      <c r="CK991">
        <v>0</v>
      </c>
      <c r="CL991">
        <v>0</v>
      </c>
      <c r="CM991">
        <v>0</v>
      </c>
      <c r="CN991">
        <v>0</v>
      </c>
      <c r="CO991">
        <v>0</v>
      </c>
      <c r="CP991">
        <v>0</v>
      </c>
      <c r="CQ991">
        <v>0</v>
      </c>
      <c r="CR991">
        <v>0</v>
      </c>
      <c r="CS991">
        <v>0</v>
      </c>
      <c r="CT991">
        <v>0</v>
      </c>
      <c r="CU991">
        <v>0</v>
      </c>
      <c r="CV991">
        <v>0</v>
      </c>
      <c r="CW991">
        <v>0</v>
      </c>
      <c r="CX991">
        <v>0</v>
      </c>
      <c r="CY991">
        <v>0</v>
      </c>
      <c r="CZ991">
        <v>0</v>
      </c>
      <c r="DA991">
        <v>0</v>
      </c>
      <c r="DB991">
        <v>0</v>
      </c>
      <c r="DC991">
        <v>0</v>
      </c>
      <c r="DD991">
        <v>0</v>
      </c>
      <c r="DE991">
        <v>0</v>
      </c>
      <c r="DF991">
        <v>0</v>
      </c>
      <c r="DG991">
        <v>0</v>
      </c>
      <c r="DH991">
        <v>0</v>
      </c>
      <c r="DI991">
        <v>0</v>
      </c>
      <c r="DJ991">
        <v>0</v>
      </c>
      <c r="DK991">
        <v>0</v>
      </c>
      <c r="DL991">
        <v>0</v>
      </c>
      <c r="DM991">
        <v>0</v>
      </c>
      <c r="DN991">
        <v>0</v>
      </c>
      <c r="DO991">
        <v>0</v>
      </c>
      <c r="DP991">
        <v>0</v>
      </c>
      <c r="DQ991">
        <v>0</v>
      </c>
      <c r="DR991">
        <v>0</v>
      </c>
      <c r="DS991">
        <v>0</v>
      </c>
      <c r="DT991">
        <v>0</v>
      </c>
      <c r="DU991">
        <v>0</v>
      </c>
    </row>
    <row r="992" spans="2:125">
      <c r="B992" s="136">
        <v>983</v>
      </c>
      <c r="C992" s="138">
        <v>1</v>
      </c>
      <c r="D992" s="474">
        <v>3276.8326486361111</v>
      </c>
      <c r="E992" s="127">
        <v>232.57961632913046</v>
      </c>
      <c r="F992" s="447">
        <v>0.36326832445951424</v>
      </c>
      <c r="G992" s="127">
        <v>110.56716392572254</v>
      </c>
      <c r="H992" s="132">
        <v>56.048554419782512</v>
      </c>
      <c r="I992" s="456"/>
      <c r="J992" s="45"/>
      <c r="K992" s="45">
        <v>450</v>
      </c>
      <c r="L992" s="463"/>
      <c r="M992" s="456">
        <v>27.390401840209961</v>
      </c>
      <c r="N992" s="457"/>
      <c r="O992" s="456"/>
      <c r="P992" s="46"/>
      <c r="Q992" s="463">
        <v>64.88128662109375</v>
      </c>
      <c r="R992" s="449"/>
      <c r="S992" s="463"/>
      <c r="T992" s="480"/>
      <c r="U992" s="468"/>
      <c r="V992" s="449"/>
      <c r="W992" s="45">
        <v>1204.1978759765625</v>
      </c>
      <c r="X992" s="463">
        <v>104.56079864501953</v>
      </c>
      <c r="Y992" s="449"/>
      <c r="Z992" s="45"/>
      <c r="AA992" s="468">
        <v>0.35342181414028273</v>
      </c>
      <c r="AB992" s="456"/>
      <c r="AC992" s="46"/>
      <c r="AD992" s="46"/>
      <c r="AE992" s="46"/>
      <c r="AF992" s="46"/>
      <c r="AG992" s="46"/>
      <c r="AH992" s="46"/>
      <c r="AI992" s="457"/>
      <c r="AJ992" s="138"/>
      <c r="AK992" s="745"/>
      <c r="AL992" s="54"/>
      <c r="AM992" s="468"/>
      <c r="AN992" s="449"/>
      <c r="AO992" s="45"/>
      <c r="AP992" s="45"/>
      <c r="AQ992" s="45"/>
      <c r="AR992" s="45"/>
      <c r="AS992" s="45"/>
      <c r="AT992" s="45"/>
      <c r="AU992" s="463"/>
      <c r="AV992" s="449"/>
      <c r="AW992" s="45"/>
      <c r="AX992" s="45"/>
      <c r="AY992" s="45"/>
      <c r="AZ992" s="45"/>
      <c r="BA992" s="45"/>
      <c r="BB992" s="45"/>
      <c r="BC992" s="463"/>
      <c r="BD992" s="456"/>
      <c r="BE992" s="46"/>
      <c r="BF992" s="46"/>
      <c r="BG992" s="46"/>
      <c r="BH992" s="46"/>
      <c r="BI992" s="46"/>
      <c r="BJ992" s="457"/>
      <c r="BK992" s="449">
        <v>0</v>
      </c>
      <c r="BL992" s="45"/>
      <c r="BM992" s="45"/>
      <c r="BN992" s="45"/>
      <c r="BO992" s="45"/>
      <c r="BP992" s="45"/>
      <c r="BQ992" s="45"/>
      <c r="BR992" s="45"/>
      <c r="BS992" s="45"/>
      <c r="BT992" s="45"/>
      <c r="BU992" s="45"/>
      <c r="BV992" s="45"/>
      <c r="BW992" s="45"/>
      <c r="BX992" s="45"/>
      <c r="BY992" s="45"/>
      <c r="BZ992" s="45"/>
      <c r="CA992" s="45"/>
      <c r="CB992" s="45"/>
      <c r="CC992" s="45"/>
      <c r="CD992" s="463"/>
      <c r="CE992">
        <v>0</v>
      </c>
      <c r="CF992">
        <v>0</v>
      </c>
      <c r="CG992">
        <v>0</v>
      </c>
      <c r="CH992">
        <v>0</v>
      </c>
      <c r="CI992">
        <v>0</v>
      </c>
      <c r="CJ992">
        <v>0</v>
      </c>
      <c r="CK992">
        <v>0</v>
      </c>
      <c r="CL992">
        <v>0</v>
      </c>
      <c r="CM992">
        <v>0</v>
      </c>
      <c r="CN992">
        <v>0</v>
      </c>
      <c r="CO992">
        <v>0</v>
      </c>
      <c r="CP992">
        <v>0</v>
      </c>
      <c r="CQ992">
        <v>0</v>
      </c>
      <c r="CR992">
        <v>0</v>
      </c>
      <c r="CS992">
        <v>0</v>
      </c>
      <c r="CT992">
        <v>0</v>
      </c>
      <c r="CU992">
        <v>0</v>
      </c>
      <c r="CV992">
        <v>0</v>
      </c>
      <c r="CW992">
        <v>0</v>
      </c>
      <c r="CX992">
        <v>0</v>
      </c>
      <c r="CY992">
        <v>0</v>
      </c>
      <c r="CZ992">
        <v>0</v>
      </c>
      <c r="DA992">
        <v>0</v>
      </c>
      <c r="DB992">
        <v>0</v>
      </c>
      <c r="DC992">
        <v>0</v>
      </c>
      <c r="DD992">
        <v>0</v>
      </c>
      <c r="DE992">
        <v>0</v>
      </c>
      <c r="DF992">
        <v>0</v>
      </c>
      <c r="DG992">
        <v>0</v>
      </c>
      <c r="DH992">
        <v>0</v>
      </c>
      <c r="DI992">
        <v>0</v>
      </c>
      <c r="DJ992">
        <v>0</v>
      </c>
      <c r="DK992">
        <v>0</v>
      </c>
      <c r="DL992">
        <v>0</v>
      </c>
      <c r="DM992">
        <v>0</v>
      </c>
      <c r="DN992">
        <v>0</v>
      </c>
      <c r="DO992">
        <v>0</v>
      </c>
      <c r="DP992">
        <v>0</v>
      </c>
      <c r="DQ992">
        <v>0</v>
      </c>
      <c r="DR992">
        <v>0</v>
      </c>
      <c r="DS992">
        <v>0</v>
      </c>
      <c r="DT992">
        <v>0</v>
      </c>
      <c r="DU992">
        <v>0</v>
      </c>
    </row>
    <row r="993" spans="2:125">
      <c r="B993" s="136">
        <v>984</v>
      </c>
      <c r="C993" s="138">
        <v>1</v>
      </c>
      <c r="D993" s="474">
        <v>3734.0309066377558</v>
      </c>
      <c r="E993" s="127">
        <v>206.76515633414994</v>
      </c>
      <c r="F993" s="447">
        <v>0.43367080882974995</v>
      </c>
      <c r="G993" s="127">
        <v>119.04294409426205</v>
      </c>
      <c r="H993" s="132">
        <v>61.405484506651042</v>
      </c>
      <c r="I993" s="456"/>
      <c r="J993" s="45"/>
      <c r="K993" s="45">
        <v>510</v>
      </c>
      <c r="L993" s="463"/>
      <c r="M993" s="456">
        <v>35.735137939453125</v>
      </c>
      <c r="N993" s="457"/>
      <c r="O993" s="456"/>
      <c r="P993" s="46"/>
      <c r="Q993" s="463">
        <v>73.933815002441406</v>
      </c>
      <c r="R993" s="449"/>
      <c r="S993" s="463"/>
      <c r="T993" s="480"/>
      <c r="U993" s="468"/>
      <c r="V993" s="449"/>
      <c r="W993" s="45">
        <v>1668.1156005859375</v>
      </c>
      <c r="X993" s="463">
        <v>138.54734802246094</v>
      </c>
      <c r="Y993" s="449"/>
      <c r="Z993" s="45"/>
      <c r="AA993" s="468">
        <v>0.42465282879194793</v>
      </c>
      <c r="AB993" s="456"/>
      <c r="AC993" s="46"/>
      <c r="AD993" s="46"/>
      <c r="AE993" s="46"/>
      <c r="AF993" s="46"/>
      <c r="AG993" s="46"/>
      <c r="AH993" s="46"/>
      <c r="AI993" s="457"/>
      <c r="AJ993" s="138"/>
      <c r="AK993" s="745"/>
      <c r="AL993" s="54"/>
      <c r="AM993" s="468"/>
      <c r="AN993" s="449"/>
      <c r="AO993" s="45"/>
      <c r="AP993" s="45"/>
      <c r="AQ993" s="45"/>
      <c r="AR993" s="45"/>
      <c r="AS993" s="45"/>
      <c r="AT993" s="45"/>
      <c r="AU993" s="463"/>
      <c r="AV993" s="449"/>
      <c r="AW993" s="45"/>
      <c r="AX993" s="45"/>
      <c r="AY993" s="45"/>
      <c r="AZ993" s="45"/>
      <c r="BA993" s="45"/>
      <c r="BB993" s="45"/>
      <c r="BC993" s="463"/>
      <c r="BD993" s="456"/>
      <c r="BE993" s="46"/>
      <c r="BF993" s="46"/>
      <c r="BG993" s="46"/>
      <c r="BH993" s="46"/>
      <c r="BI993" s="46"/>
      <c r="BJ993" s="457"/>
      <c r="BK993" s="449">
        <v>0</v>
      </c>
      <c r="BL993" s="45"/>
      <c r="BM993" s="45"/>
      <c r="BN993" s="45"/>
      <c r="BO993" s="45"/>
      <c r="BP993" s="45"/>
      <c r="BQ993" s="45"/>
      <c r="BR993" s="45"/>
      <c r="BS993" s="45"/>
      <c r="BT993" s="45"/>
      <c r="BU993" s="45"/>
      <c r="BV993" s="45"/>
      <c r="BW993" s="45"/>
      <c r="BX993" s="45"/>
      <c r="BY993" s="45"/>
      <c r="BZ993" s="45"/>
      <c r="CA993" s="45"/>
      <c r="CB993" s="45"/>
      <c r="CC993" s="45"/>
      <c r="CD993" s="463"/>
      <c r="CE993">
        <v>0</v>
      </c>
      <c r="CF993">
        <v>0</v>
      </c>
      <c r="CG993">
        <v>0</v>
      </c>
      <c r="CH993">
        <v>0</v>
      </c>
      <c r="CI993">
        <v>0</v>
      </c>
      <c r="CJ993">
        <v>0</v>
      </c>
      <c r="CK993">
        <v>0</v>
      </c>
      <c r="CL993">
        <v>0</v>
      </c>
      <c r="CM993">
        <v>0</v>
      </c>
      <c r="CN993">
        <v>0</v>
      </c>
      <c r="CO993">
        <v>0</v>
      </c>
      <c r="CP993">
        <v>0</v>
      </c>
      <c r="CQ993">
        <v>0</v>
      </c>
      <c r="CR993">
        <v>0</v>
      </c>
      <c r="CS993">
        <v>0</v>
      </c>
      <c r="CT993">
        <v>0</v>
      </c>
      <c r="CU993">
        <v>0</v>
      </c>
      <c r="CV993">
        <v>0</v>
      </c>
      <c r="CW993">
        <v>0</v>
      </c>
      <c r="CX993">
        <v>0</v>
      </c>
      <c r="CY993">
        <v>0</v>
      </c>
      <c r="CZ993">
        <v>0</v>
      </c>
      <c r="DA993">
        <v>0</v>
      </c>
      <c r="DB993">
        <v>0</v>
      </c>
      <c r="DC993">
        <v>0</v>
      </c>
      <c r="DD993">
        <v>0</v>
      </c>
      <c r="DE993">
        <v>0</v>
      </c>
      <c r="DF993">
        <v>0</v>
      </c>
      <c r="DG993">
        <v>0</v>
      </c>
      <c r="DH993">
        <v>0</v>
      </c>
      <c r="DI993">
        <v>0</v>
      </c>
      <c r="DJ993">
        <v>0</v>
      </c>
      <c r="DK993">
        <v>0</v>
      </c>
      <c r="DL993">
        <v>0</v>
      </c>
      <c r="DM993">
        <v>0</v>
      </c>
      <c r="DN993">
        <v>0</v>
      </c>
      <c r="DO993">
        <v>0</v>
      </c>
      <c r="DP993">
        <v>0</v>
      </c>
      <c r="DQ993">
        <v>0</v>
      </c>
      <c r="DR993">
        <v>0</v>
      </c>
      <c r="DS993">
        <v>0</v>
      </c>
      <c r="DT993">
        <v>0</v>
      </c>
      <c r="DU993">
        <v>0</v>
      </c>
    </row>
    <row r="994" spans="2:125">
      <c r="B994" s="136">
        <v>985</v>
      </c>
      <c r="C994" s="138">
        <v>1</v>
      </c>
      <c r="D994" s="474">
        <v>4750.4896604079713</v>
      </c>
      <c r="E994" s="127">
        <v>192.90356249895473</v>
      </c>
      <c r="F994" s="447">
        <v>0.37951435516020388</v>
      </c>
      <c r="G994" s="127">
        <v>161.96322472450581</v>
      </c>
      <c r="H994" s="132">
        <v>66.672819368484426</v>
      </c>
      <c r="I994" s="456"/>
      <c r="J994" s="45"/>
      <c r="K994" s="45">
        <v>660</v>
      </c>
      <c r="L994" s="463"/>
      <c r="M994" s="456">
        <v>32.204280853271484</v>
      </c>
      <c r="N994" s="457"/>
      <c r="O994" s="456"/>
      <c r="P994" s="46"/>
      <c r="Q994" s="463">
        <v>90</v>
      </c>
      <c r="R994" s="449"/>
      <c r="S994" s="463"/>
      <c r="T994" s="480"/>
      <c r="U994" s="468"/>
      <c r="V994" s="449"/>
      <c r="W994" s="45">
        <v>1743.8526611328125</v>
      </c>
      <c r="X994" s="463">
        <v>144.67367553710937</v>
      </c>
      <c r="Y994" s="449"/>
      <c r="Z994" s="45"/>
      <c r="AA994" s="468">
        <v>0.3726539493003993</v>
      </c>
      <c r="AB994" s="456"/>
      <c r="AC994" s="46"/>
      <c r="AD994" s="46"/>
      <c r="AE994" s="46"/>
      <c r="AF994" s="46"/>
      <c r="AG994" s="46"/>
      <c r="AH994" s="46"/>
      <c r="AI994" s="457"/>
      <c r="AJ994" s="138"/>
      <c r="AK994" s="745"/>
      <c r="AL994" s="54"/>
      <c r="AM994" s="468"/>
      <c r="AN994" s="449"/>
      <c r="AO994" s="45"/>
      <c r="AP994" s="45"/>
      <c r="AQ994" s="45"/>
      <c r="AR994" s="45"/>
      <c r="AS994" s="45"/>
      <c r="AT994" s="45"/>
      <c r="AU994" s="463"/>
      <c r="AV994" s="449"/>
      <c r="AW994" s="45"/>
      <c r="AX994" s="45"/>
      <c r="AY994" s="45"/>
      <c r="AZ994" s="45"/>
      <c r="BA994" s="45"/>
      <c r="BB994" s="45"/>
      <c r="BC994" s="463"/>
      <c r="BD994" s="456"/>
      <c r="BE994" s="46"/>
      <c r="BF994" s="46"/>
      <c r="BG994" s="46"/>
      <c r="BH994" s="46"/>
      <c r="BI994" s="46"/>
      <c r="BJ994" s="457"/>
      <c r="BK994" s="449">
        <v>0</v>
      </c>
      <c r="BL994" s="45"/>
      <c r="BM994" s="45"/>
      <c r="BN994" s="45"/>
      <c r="BO994" s="45"/>
      <c r="BP994" s="45"/>
      <c r="BQ994" s="45"/>
      <c r="BR994" s="45"/>
      <c r="BS994" s="45"/>
      <c r="BT994" s="45"/>
      <c r="BU994" s="45"/>
      <c r="BV994" s="45"/>
      <c r="BW994" s="45"/>
      <c r="BX994" s="45"/>
      <c r="BY994" s="45"/>
      <c r="BZ994" s="45"/>
      <c r="CA994" s="45"/>
      <c r="CB994" s="45"/>
      <c r="CC994" s="45"/>
      <c r="CD994" s="463"/>
      <c r="CE994">
        <v>0</v>
      </c>
      <c r="CF994">
        <v>0</v>
      </c>
      <c r="CG994">
        <v>0</v>
      </c>
      <c r="CH994">
        <v>0</v>
      </c>
      <c r="CI994">
        <v>0</v>
      </c>
      <c r="CJ994">
        <v>0</v>
      </c>
      <c r="CK994">
        <v>0</v>
      </c>
      <c r="CL994">
        <v>0</v>
      </c>
      <c r="CM994">
        <v>0</v>
      </c>
      <c r="CN994">
        <v>0</v>
      </c>
      <c r="CO994">
        <v>0</v>
      </c>
      <c r="CP994">
        <v>0</v>
      </c>
      <c r="CQ994">
        <v>0</v>
      </c>
      <c r="CR994">
        <v>0</v>
      </c>
      <c r="CS994">
        <v>0</v>
      </c>
      <c r="CT994">
        <v>0</v>
      </c>
      <c r="CU994">
        <v>0</v>
      </c>
      <c r="CV994">
        <v>0</v>
      </c>
      <c r="CW994">
        <v>0</v>
      </c>
      <c r="CX994">
        <v>0</v>
      </c>
      <c r="CY994">
        <v>0</v>
      </c>
      <c r="CZ994">
        <v>0</v>
      </c>
      <c r="DA994">
        <v>0</v>
      </c>
      <c r="DB994">
        <v>0</v>
      </c>
      <c r="DC994">
        <v>0</v>
      </c>
      <c r="DD994">
        <v>0</v>
      </c>
      <c r="DE994">
        <v>0</v>
      </c>
      <c r="DF994">
        <v>0</v>
      </c>
      <c r="DG994">
        <v>0</v>
      </c>
      <c r="DH994">
        <v>0</v>
      </c>
      <c r="DI994">
        <v>0</v>
      </c>
      <c r="DJ994">
        <v>0</v>
      </c>
      <c r="DK994">
        <v>0</v>
      </c>
      <c r="DL994">
        <v>0</v>
      </c>
      <c r="DM994">
        <v>0</v>
      </c>
      <c r="DN994">
        <v>0</v>
      </c>
      <c r="DO994">
        <v>0</v>
      </c>
      <c r="DP994">
        <v>0</v>
      </c>
      <c r="DQ994">
        <v>0</v>
      </c>
      <c r="DR994">
        <v>0</v>
      </c>
      <c r="DS994">
        <v>0</v>
      </c>
      <c r="DT994">
        <v>0</v>
      </c>
      <c r="DU994">
        <v>0</v>
      </c>
    </row>
    <row r="995" spans="2:125">
      <c r="B995" s="136">
        <v>986</v>
      </c>
      <c r="C995" s="138">
        <v>1</v>
      </c>
      <c r="D995" s="474">
        <v>3806.4557073168216</v>
      </c>
      <c r="E995" s="127">
        <v>248.0583515458982</v>
      </c>
      <c r="F995" s="447">
        <v>0.40235976164989523</v>
      </c>
      <c r="G995" s="127">
        <v>122.04750358547854</v>
      </c>
      <c r="H995" s="132">
        <v>61.822574918739633</v>
      </c>
      <c r="I995" s="456"/>
      <c r="J995" s="45"/>
      <c r="K995" s="45">
        <v>520</v>
      </c>
      <c r="L995" s="463"/>
      <c r="M995" s="456">
        <v>31.657121658325195</v>
      </c>
      <c r="N995" s="457"/>
      <c r="O995" s="456"/>
      <c r="P995" s="46"/>
      <c r="Q995" s="463">
        <v>75.367828369140625</v>
      </c>
      <c r="R995" s="449"/>
      <c r="S995" s="463"/>
      <c r="T995" s="480"/>
      <c r="U995" s="468"/>
      <c r="V995" s="449"/>
      <c r="W995" s="45">
        <v>1514.9671630859375</v>
      </c>
      <c r="X995" s="463">
        <v>127.43741607666016</v>
      </c>
      <c r="Y995" s="449"/>
      <c r="Z995" s="45"/>
      <c r="AA995" s="468">
        <v>0.3936778807154937</v>
      </c>
      <c r="AB995" s="456"/>
      <c r="AC995" s="46"/>
      <c r="AD995" s="46"/>
      <c r="AE995" s="46"/>
      <c r="AF995" s="46"/>
      <c r="AG995" s="46"/>
      <c r="AH995" s="46"/>
      <c r="AI995" s="457"/>
      <c r="AJ995" s="138"/>
      <c r="AK995" s="745"/>
      <c r="AL995" s="54"/>
      <c r="AM995" s="468"/>
      <c r="AN995" s="449"/>
      <c r="AO995" s="45"/>
      <c r="AP995" s="45"/>
      <c r="AQ995" s="45"/>
      <c r="AR995" s="45"/>
      <c r="AS995" s="45"/>
      <c r="AT995" s="45"/>
      <c r="AU995" s="463"/>
      <c r="AV995" s="449"/>
      <c r="AW995" s="45"/>
      <c r="AX995" s="45"/>
      <c r="AY995" s="45"/>
      <c r="AZ995" s="45"/>
      <c r="BA995" s="45"/>
      <c r="BB995" s="45"/>
      <c r="BC995" s="463"/>
      <c r="BD995" s="456"/>
      <c r="BE995" s="46"/>
      <c r="BF995" s="46"/>
      <c r="BG995" s="46"/>
      <c r="BH995" s="46"/>
      <c r="BI995" s="46"/>
      <c r="BJ995" s="457"/>
      <c r="BK995" s="449">
        <v>0</v>
      </c>
      <c r="BL995" s="45"/>
      <c r="BM995" s="45"/>
      <c r="BN995" s="45"/>
      <c r="BO995" s="45"/>
      <c r="BP995" s="45"/>
      <c r="BQ995" s="45"/>
      <c r="BR995" s="45"/>
      <c r="BS995" s="45"/>
      <c r="BT995" s="45"/>
      <c r="BU995" s="45"/>
      <c r="BV995" s="45"/>
      <c r="BW995" s="45"/>
      <c r="BX995" s="45"/>
      <c r="BY995" s="45"/>
      <c r="BZ995" s="45"/>
      <c r="CA995" s="45"/>
      <c r="CB995" s="45"/>
      <c r="CC995" s="45"/>
      <c r="CD995" s="463"/>
      <c r="CE995">
        <v>0</v>
      </c>
      <c r="CF995">
        <v>0</v>
      </c>
      <c r="CG995">
        <v>0</v>
      </c>
      <c r="CH995">
        <v>0</v>
      </c>
      <c r="CI995">
        <v>0</v>
      </c>
      <c r="CJ995">
        <v>0</v>
      </c>
      <c r="CK995">
        <v>0</v>
      </c>
      <c r="CL995">
        <v>0</v>
      </c>
      <c r="CM995">
        <v>0</v>
      </c>
      <c r="CN995">
        <v>0</v>
      </c>
      <c r="CO995">
        <v>0</v>
      </c>
      <c r="CP995">
        <v>0</v>
      </c>
      <c r="CQ995">
        <v>0</v>
      </c>
      <c r="CR995">
        <v>0</v>
      </c>
      <c r="CS995">
        <v>0</v>
      </c>
      <c r="CT995">
        <v>0</v>
      </c>
      <c r="CU995">
        <v>0</v>
      </c>
      <c r="CV995">
        <v>0</v>
      </c>
      <c r="CW995">
        <v>0</v>
      </c>
      <c r="CX995">
        <v>0</v>
      </c>
      <c r="CY995">
        <v>0</v>
      </c>
      <c r="CZ995">
        <v>0</v>
      </c>
      <c r="DA995">
        <v>0</v>
      </c>
      <c r="DB995">
        <v>0</v>
      </c>
      <c r="DC995">
        <v>0</v>
      </c>
      <c r="DD995">
        <v>0</v>
      </c>
      <c r="DE995">
        <v>0</v>
      </c>
      <c r="DF995">
        <v>0</v>
      </c>
      <c r="DG995">
        <v>0</v>
      </c>
      <c r="DH995">
        <v>0</v>
      </c>
      <c r="DI995">
        <v>0</v>
      </c>
      <c r="DJ995">
        <v>0</v>
      </c>
      <c r="DK995">
        <v>0</v>
      </c>
      <c r="DL995">
        <v>0</v>
      </c>
      <c r="DM995">
        <v>0</v>
      </c>
      <c r="DN995">
        <v>0</v>
      </c>
      <c r="DO995">
        <v>0</v>
      </c>
      <c r="DP995">
        <v>0</v>
      </c>
      <c r="DQ995">
        <v>0</v>
      </c>
      <c r="DR995">
        <v>0</v>
      </c>
      <c r="DS995">
        <v>0</v>
      </c>
      <c r="DT995">
        <v>0</v>
      </c>
      <c r="DU995">
        <v>0</v>
      </c>
    </row>
    <row r="996" spans="2:125">
      <c r="B996" s="136">
        <v>987</v>
      </c>
      <c r="C996" s="138">
        <v>1</v>
      </c>
      <c r="D996" s="474">
        <v>3307.2924410837982</v>
      </c>
      <c r="E996" s="127">
        <v>263.97599885491877</v>
      </c>
      <c r="F996" s="447">
        <v>0.4123486735344376</v>
      </c>
      <c r="G996" s="127">
        <v>138.04303913290784</v>
      </c>
      <c r="H996" s="132">
        <v>56.522071678860897</v>
      </c>
      <c r="I996" s="456"/>
      <c r="J996" s="45"/>
      <c r="K996" s="45">
        <v>550</v>
      </c>
      <c r="L996" s="463"/>
      <c r="M996" s="456">
        <v>35.217048645019531</v>
      </c>
      <c r="N996" s="457"/>
      <c r="O996" s="456"/>
      <c r="P996" s="46"/>
      <c r="Q996" s="463">
        <v>73.359733581542969</v>
      </c>
      <c r="R996" s="449"/>
      <c r="S996" s="463"/>
      <c r="T996" s="480"/>
      <c r="U996" s="468"/>
      <c r="V996" s="449"/>
      <c r="W996" s="45">
        <v>1655.9007568359375</v>
      </c>
      <c r="X996" s="463">
        <v>137.814208984375</v>
      </c>
      <c r="Y996" s="449"/>
      <c r="Z996" s="45"/>
      <c r="AA996" s="468">
        <v>0.4022960476892935</v>
      </c>
      <c r="AB996" s="456"/>
      <c r="AC996" s="46"/>
      <c r="AD996" s="46"/>
      <c r="AE996" s="46"/>
      <c r="AF996" s="46"/>
      <c r="AG996" s="46"/>
      <c r="AH996" s="46"/>
      <c r="AI996" s="457"/>
      <c r="AJ996" s="138"/>
      <c r="AK996" s="745"/>
      <c r="AL996" s="54"/>
      <c r="AM996" s="468"/>
      <c r="AN996" s="449"/>
      <c r="AO996" s="45"/>
      <c r="AP996" s="45"/>
      <c r="AQ996" s="45"/>
      <c r="AR996" s="45"/>
      <c r="AS996" s="45"/>
      <c r="AT996" s="45"/>
      <c r="AU996" s="463"/>
      <c r="AV996" s="449"/>
      <c r="AW996" s="45"/>
      <c r="AX996" s="45"/>
      <c r="AY996" s="45"/>
      <c r="AZ996" s="45"/>
      <c r="BA996" s="45"/>
      <c r="BB996" s="45"/>
      <c r="BC996" s="463"/>
      <c r="BD996" s="456"/>
      <c r="BE996" s="46"/>
      <c r="BF996" s="46"/>
      <c r="BG996" s="46"/>
      <c r="BH996" s="46"/>
      <c r="BI996" s="46"/>
      <c r="BJ996" s="457"/>
      <c r="BK996" s="449">
        <v>0</v>
      </c>
      <c r="BL996" s="45"/>
      <c r="BM996" s="45"/>
      <c r="BN996" s="45"/>
      <c r="BO996" s="45"/>
      <c r="BP996" s="45"/>
      <c r="BQ996" s="45"/>
      <c r="BR996" s="45"/>
      <c r="BS996" s="45"/>
      <c r="BT996" s="45"/>
      <c r="BU996" s="45"/>
      <c r="BV996" s="45"/>
      <c r="BW996" s="45"/>
      <c r="BX996" s="45"/>
      <c r="BY996" s="45"/>
      <c r="BZ996" s="45"/>
      <c r="CA996" s="45"/>
      <c r="CB996" s="45"/>
      <c r="CC996" s="45"/>
      <c r="CD996" s="463"/>
      <c r="CE996">
        <v>0</v>
      </c>
      <c r="CF996">
        <v>0</v>
      </c>
      <c r="CG996">
        <v>0</v>
      </c>
      <c r="CH996">
        <v>0</v>
      </c>
      <c r="CI996">
        <v>0</v>
      </c>
      <c r="CJ996">
        <v>0</v>
      </c>
      <c r="CK996">
        <v>0</v>
      </c>
      <c r="CL996">
        <v>0</v>
      </c>
      <c r="CM996">
        <v>0</v>
      </c>
      <c r="CN996">
        <v>0</v>
      </c>
      <c r="CO996">
        <v>0</v>
      </c>
      <c r="CP996">
        <v>0</v>
      </c>
      <c r="CQ996">
        <v>0</v>
      </c>
      <c r="CR996">
        <v>0</v>
      </c>
      <c r="CS996">
        <v>0</v>
      </c>
      <c r="CT996">
        <v>0</v>
      </c>
      <c r="CU996">
        <v>0</v>
      </c>
      <c r="CV996">
        <v>0</v>
      </c>
      <c r="CW996">
        <v>0</v>
      </c>
      <c r="CX996">
        <v>0</v>
      </c>
      <c r="CY996">
        <v>0</v>
      </c>
      <c r="CZ996">
        <v>0</v>
      </c>
      <c r="DA996">
        <v>0</v>
      </c>
      <c r="DB996">
        <v>0</v>
      </c>
      <c r="DC996">
        <v>0</v>
      </c>
      <c r="DD996">
        <v>0</v>
      </c>
      <c r="DE996">
        <v>0</v>
      </c>
      <c r="DF996">
        <v>0</v>
      </c>
      <c r="DG996">
        <v>0</v>
      </c>
      <c r="DH996">
        <v>0</v>
      </c>
      <c r="DI996">
        <v>0</v>
      </c>
      <c r="DJ996">
        <v>0</v>
      </c>
      <c r="DK996">
        <v>0</v>
      </c>
      <c r="DL996">
        <v>0</v>
      </c>
      <c r="DM996">
        <v>0</v>
      </c>
      <c r="DN996">
        <v>0</v>
      </c>
      <c r="DO996">
        <v>0</v>
      </c>
      <c r="DP996">
        <v>0</v>
      </c>
      <c r="DQ996">
        <v>0</v>
      </c>
      <c r="DR996">
        <v>0</v>
      </c>
      <c r="DS996">
        <v>0</v>
      </c>
      <c r="DT996">
        <v>0</v>
      </c>
      <c r="DU996">
        <v>0</v>
      </c>
    </row>
    <row r="997" spans="2:125">
      <c r="B997" s="136">
        <v>988</v>
      </c>
      <c r="C997" s="138">
        <v>1</v>
      </c>
      <c r="D997" s="474">
        <v>2826.0072756065565</v>
      </c>
      <c r="E997" s="127">
        <v>236.08017575375891</v>
      </c>
      <c r="F997" s="447">
        <v>0.45946565946231466</v>
      </c>
      <c r="G997" s="127">
        <v>102.60792429052839</v>
      </c>
      <c r="H997" s="132">
        <v>49.380958669839195</v>
      </c>
      <c r="I997" s="456"/>
      <c r="J997" s="45"/>
      <c r="K997" s="45">
        <v>420</v>
      </c>
      <c r="L997" s="463"/>
      <c r="M997" s="456">
        <v>39.996112823486328</v>
      </c>
      <c r="N997" s="457"/>
      <c r="O997" s="456"/>
      <c r="P997" s="46"/>
      <c r="Q997" s="463">
        <v>55.954944610595703</v>
      </c>
      <c r="R997" s="449"/>
      <c r="S997" s="463"/>
      <c r="T997" s="480"/>
      <c r="U997" s="468"/>
      <c r="V997" s="449"/>
      <c r="W997" s="45">
        <v>1553.45068359375</v>
      </c>
      <c r="X997" s="463">
        <v>129.81680297851563</v>
      </c>
      <c r="Y997" s="449"/>
      <c r="Z997" s="45"/>
      <c r="AA997" s="468">
        <v>0.4473675613843795</v>
      </c>
      <c r="AB997" s="456"/>
      <c r="AC997" s="46"/>
      <c r="AD997" s="46"/>
      <c r="AE997" s="46"/>
      <c r="AF997" s="46"/>
      <c r="AG997" s="46"/>
      <c r="AH997" s="46"/>
      <c r="AI997" s="457"/>
      <c r="AJ997" s="138"/>
      <c r="AK997" s="745"/>
      <c r="AL997" s="54"/>
      <c r="AM997" s="468"/>
      <c r="AN997" s="449"/>
      <c r="AO997" s="45"/>
      <c r="AP997" s="45"/>
      <c r="AQ997" s="45"/>
      <c r="AR997" s="45"/>
      <c r="AS997" s="45"/>
      <c r="AT997" s="45"/>
      <c r="AU997" s="463"/>
      <c r="AV997" s="449"/>
      <c r="AW997" s="45"/>
      <c r="AX997" s="45"/>
      <c r="AY997" s="45"/>
      <c r="AZ997" s="45"/>
      <c r="BA997" s="45"/>
      <c r="BB997" s="45"/>
      <c r="BC997" s="463"/>
      <c r="BD997" s="456"/>
      <c r="BE997" s="46"/>
      <c r="BF997" s="46"/>
      <c r="BG997" s="46"/>
      <c r="BH997" s="46"/>
      <c r="BI997" s="46"/>
      <c r="BJ997" s="457"/>
      <c r="BK997" s="449">
        <v>0</v>
      </c>
      <c r="BL997" s="45"/>
      <c r="BM997" s="45"/>
      <c r="BN997" s="45"/>
      <c r="BO997" s="45"/>
      <c r="BP997" s="45"/>
      <c r="BQ997" s="45"/>
      <c r="BR997" s="45"/>
      <c r="BS997" s="45"/>
      <c r="BT997" s="45"/>
      <c r="BU997" s="45"/>
      <c r="BV997" s="45"/>
      <c r="BW997" s="45"/>
      <c r="BX997" s="45"/>
      <c r="BY997" s="45"/>
      <c r="BZ997" s="45"/>
      <c r="CA997" s="45"/>
      <c r="CB997" s="45"/>
      <c r="CC997" s="45"/>
      <c r="CD997" s="463"/>
      <c r="CE997">
        <v>0</v>
      </c>
      <c r="CF997">
        <v>0</v>
      </c>
      <c r="CG997">
        <v>0</v>
      </c>
      <c r="CH997">
        <v>0</v>
      </c>
      <c r="CI997">
        <v>0</v>
      </c>
      <c r="CJ997">
        <v>0</v>
      </c>
      <c r="CK997">
        <v>0</v>
      </c>
      <c r="CL997">
        <v>0</v>
      </c>
      <c r="CM997">
        <v>0</v>
      </c>
      <c r="CN997">
        <v>0</v>
      </c>
      <c r="CO997">
        <v>0</v>
      </c>
      <c r="CP997">
        <v>0</v>
      </c>
      <c r="CQ997">
        <v>0</v>
      </c>
      <c r="CR997">
        <v>0</v>
      </c>
      <c r="CS997">
        <v>0</v>
      </c>
      <c r="CT997">
        <v>0</v>
      </c>
      <c r="CU997">
        <v>0</v>
      </c>
      <c r="CV997">
        <v>0</v>
      </c>
      <c r="CW997">
        <v>0</v>
      </c>
      <c r="CX997">
        <v>0</v>
      </c>
      <c r="CY997">
        <v>0</v>
      </c>
      <c r="CZ997">
        <v>0</v>
      </c>
      <c r="DA997">
        <v>0</v>
      </c>
      <c r="DB997">
        <v>0</v>
      </c>
      <c r="DC997">
        <v>0</v>
      </c>
      <c r="DD997">
        <v>0</v>
      </c>
      <c r="DE997">
        <v>0</v>
      </c>
      <c r="DF997">
        <v>0</v>
      </c>
      <c r="DG997">
        <v>0</v>
      </c>
      <c r="DH997">
        <v>0</v>
      </c>
      <c r="DI997">
        <v>0</v>
      </c>
      <c r="DJ997">
        <v>0</v>
      </c>
      <c r="DK997">
        <v>0</v>
      </c>
      <c r="DL997">
        <v>0</v>
      </c>
      <c r="DM997">
        <v>0</v>
      </c>
      <c r="DN997">
        <v>0</v>
      </c>
      <c r="DO997">
        <v>0</v>
      </c>
      <c r="DP997">
        <v>0</v>
      </c>
      <c r="DQ997">
        <v>0</v>
      </c>
      <c r="DR997">
        <v>0</v>
      </c>
      <c r="DS997">
        <v>0</v>
      </c>
      <c r="DT997">
        <v>0</v>
      </c>
      <c r="DU997">
        <v>0</v>
      </c>
    </row>
    <row r="998" spans="2:125">
      <c r="B998" s="136">
        <v>989</v>
      </c>
      <c r="C998" s="138">
        <v>1</v>
      </c>
      <c r="D998" s="474">
        <v>3442.5834764870187</v>
      </c>
      <c r="E998" s="127">
        <v>259.74914803733321</v>
      </c>
      <c r="F998" s="447">
        <v>0.38391223412031855</v>
      </c>
      <c r="G998" s="127">
        <v>136.15127829940062</v>
      </c>
      <c r="H998" s="132">
        <v>59.309002710488926</v>
      </c>
      <c r="I998" s="456"/>
      <c r="J998" s="45"/>
      <c r="K998" s="45">
        <v>550</v>
      </c>
      <c r="L998" s="463"/>
      <c r="M998" s="456">
        <v>30.952339172363281</v>
      </c>
      <c r="N998" s="457"/>
      <c r="O998" s="456"/>
      <c r="P998" s="46"/>
      <c r="Q998" s="463">
        <v>76.151771545410156</v>
      </c>
      <c r="R998" s="449"/>
      <c r="S998" s="463"/>
      <c r="T998" s="480"/>
      <c r="U998" s="468"/>
      <c r="V998" s="449"/>
      <c r="W998" s="45">
        <v>1505.9931640625</v>
      </c>
      <c r="X998" s="463">
        <v>126.90984344482422</v>
      </c>
      <c r="Y998" s="449"/>
      <c r="Z998" s="45"/>
      <c r="AA998" s="468">
        <v>0.37441987325075649</v>
      </c>
      <c r="AB998" s="456"/>
      <c r="AC998" s="46"/>
      <c r="AD998" s="46"/>
      <c r="AE998" s="46"/>
      <c r="AF998" s="46"/>
      <c r="AG998" s="46"/>
      <c r="AH998" s="46"/>
      <c r="AI998" s="457"/>
      <c r="AJ998" s="138"/>
      <c r="AK998" s="745"/>
      <c r="AL998" s="54"/>
      <c r="AM998" s="468"/>
      <c r="AN998" s="449"/>
      <c r="AO998" s="45"/>
      <c r="AP998" s="45"/>
      <c r="AQ998" s="45"/>
      <c r="AR998" s="45"/>
      <c r="AS998" s="45"/>
      <c r="AT998" s="45"/>
      <c r="AU998" s="463"/>
      <c r="AV998" s="449"/>
      <c r="AW998" s="45"/>
      <c r="AX998" s="45"/>
      <c r="AY998" s="45"/>
      <c r="AZ998" s="45"/>
      <c r="BA998" s="45"/>
      <c r="BB998" s="45"/>
      <c r="BC998" s="463"/>
      <c r="BD998" s="456"/>
      <c r="BE998" s="46"/>
      <c r="BF998" s="46"/>
      <c r="BG998" s="46"/>
      <c r="BH998" s="46"/>
      <c r="BI998" s="46"/>
      <c r="BJ998" s="457"/>
      <c r="BK998" s="449">
        <v>0</v>
      </c>
      <c r="BL998" s="45"/>
      <c r="BM998" s="45"/>
      <c r="BN998" s="45"/>
      <c r="BO998" s="45"/>
      <c r="BP998" s="45"/>
      <c r="BQ998" s="45"/>
      <c r="BR998" s="45"/>
      <c r="BS998" s="45"/>
      <c r="BT998" s="45"/>
      <c r="BU998" s="45"/>
      <c r="BV998" s="45"/>
      <c r="BW998" s="45"/>
      <c r="BX998" s="45"/>
      <c r="BY998" s="45"/>
      <c r="BZ998" s="45"/>
      <c r="CA998" s="45"/>
      <c r="CB998" s="45"/>
      <c r="CC998" s="45"/>
      <c r="CD998" s="463"/>
      <c r="CE998">
        <v>0</v>
      </c>
      <c r="CF998">
        <v>0</v>
      </c>
      <c r="CG998">
        <v>0</v>
      </c>
      <c r="CH998">
        <v>0</v>
      </c>
      <c r="CI998">
        <v>0</v>
      </c>
      <c r="CJ998">
        <v>0</v>
      </c>
      <c r="CK998">
        <v>0</v>
      </c>
      <c r="CL998">
        <v>0</v>
      </c>
      <c r="CM998">
        <v>0</v>
      </c>
      <c r="CN998">
        <v>0</v>
      </c>
      <c r="CO998">
        <v>0</v>
      </c>
      <c r="CP998">
        <v>0</v>
      </c>
      <c r="CQ998">
        <v>0</v>
      </c>
      <c r="CR998">
        <v>0</v>
      </c>
      <c r="CS998">
        <v>0</v>
      </c>
      <c r="CT998">
        <v>0</v>
      </c>
      <c r="CU998">
        <v>0</v>
      </c>
      <c r="CV998">
        <v>0</v>
      </c>
      <c r="CW998">
        <v>0</v>
      </c>
      <c r="CX998">
        <v>0</v>
      </c>
      <c r="CY998">
        <v>0</v>
      </c>
      <c r="CZ998">
        <v>0</v>
      </c>
      <c r="DA998">
        <v>0</v>
      </c>
      <c r="DB998">
        <v>0</v>
      </c>
      <c r="DC998">
        <v>0</v>
      </c>
      <c r="DD998">
        <v>0</v>
      </c>
      <c r="DE998">
        <v>0</v>
      </c>
      <c r="DF998">
        <v>0</v>
      </c>
      <c r="DG998">
        <v>0</v>
      </c>
      <c r="DH998">
        <v>0</v>
      </c>
      <c r="DI998">
        <v>0</v>
      </c>
      <c r="DJ998">
        <v>0</v>
      </c>
      <c r="DK998">
        <v>0</v>
      </c>
      <c r="DL998">
        <v>0</v>
      </c>
      <c r="DM998">
        <v>0</v>
      </c>
      <c r="DN998">
        <v>0</v>
      </c>
      <c r="DO998">
        <v>0</v>
      </c>
      <c r="DP998">
        <v>0</v>
      </c>
      <c r="DQ998">
        <v>0</v>
      </c>
      <c r="DR998">
        <v>0</v>
      </c>
      <c r="DS998">
        <v>0</v>
      </c>
      <c r="DT998">
        <v>0</v>
      </c>
      <c r="DU998">
        <v>0</v>
      </c>
    </row>
    <row r="999" spans="2:125">
      <c r="B999" s="136">
        <v>990</v>
      </c>
      <c r="C999" s="138">
        <v>1</v>
      </c>
      <c r="D999" s="474">
        <v>2725.0643564999136</v>
      </c>
      <c r="E999" s="127">
        <v>214.55396114643105</v>
      </c>
      <c r="F999" s="447">
        <v>0.36893963914110828</v>
      </c>
      <c r="G999" s="127">
        <v>102.9450010635196</v>
      </c>
      <c r="H999" s="132">
        <v>46.845974173425496</v>
      </c>
      <c r="I999" s="456"/>
      <c r="J999" s="45"/>
      <c r="K999" s="45">
        <v>400</v>
      </c>
      <c r="L999" s="463"/>
      <c r="M999" s="456">
        <v>29.329807281494141</v>
      </c>
      <c r="N999" s="457"/>
      <c r="O999" s="456"/>
      <c r="P999" s="46"/>
      <c r="Q999" s="463">
        <v>53.956275939941406</v>
      </c>
      <c r="R999" s="449"/>
      <c r="S999" s="463"/>
      <c r="T999" s="480"/>
      <c r="U999" s="468"/>
      <c r="V999" s="449"/>
      <c r="W999" s="45">
        <v>1109.2327880859375</v>
      </c>
      <c r="X999" s="463">
        <v>97.437873840332031</v>
      </c>
      <c r="Y999" s="449"/>
      <c r="Z999" s="45"/>
      <c r="AA999" s="468">
        <v>0.35705779396354714</v>
      </c>
      <c r="AB999" s="456"/>
      <c r="AC999" s="46"/>
      <c r="AD999" s="46"/>
      <c r="AE999" s="46"/>
      <c r="AF999" s="46"/>
      <c r="AG999" s="46"/>
      <c r="AH999" s="46"/>
      <c r="AI999" s="457"/>
      <c r="AJ999" s="138"/>
      <c r="AK999" s="745"/>
      <c r="AL999" s="54"/>
      <c r="AM999" s="468"/>
      <c r="AN999" s="449"/>
      <c r="AO999" s="45"/>
      <c r="AP999" s="45"/>
      <c r="AQ999" s="45"/>
      <c r="AR999" s="45"/>
      <c r="AS999" s="45"/>
      <c r="AT999" s="45"/>
      <c r="AU999" s="463"/>
      <c r="AV999" s="449"/>
      <c r="AW999" s="45"/>
      <c r="AX999" s="45"/>
      <c r="AY999" s="45"/>
      <c r="AZ999" s="45"/>
      <c r="BA999" s="45"/>
      <c r="BB999" s="45"/>
      <c r="BC999" s="463"/>
      <c r="BD999" s="456"/>
      <c r="BE999" s="46"/>
      <c r="BF999" s="46"/>
      <c r="BG999" s="46"/>
      <c r="BH999" s="46"/>
      <c r="BI999" s="46"/>
      <c r="BJ999" s="457"/>
      <c r="BK999" s="449">
        <v>0</v>
      </c>
      <c r="BL999" s="45"/>
      <c r="BM999" s="45"/>
      <c r="BN999" s="45"/>
      <c r="BO999" s="45"/>
      <c r="BP999" s="45"/>
      <c r="BQ999" s="45"/>
      <c r="BR999" s="45"/>
      <c r="BS999" s="45"/>
      <c r="BT999" s="45"/>
      <c r="BU999" s="45"/>
      <c r="BV999" s="45"/>
      <c r="BW999" s="45"/>
      <c r="BX999" s="45"/>
      <c r="BY999" s="45"/>
      <c r="BZ999" s="45"/>
      <c r="CA999" s="45"/>
      <c r="CB999" s="45"/>
      <c r="CC999" s="45"/>
      <c r="CD999" s="463"/>
      <c r="CE999">
        <v>0</v>
      </c>
      <c r="CF999">
        <v>0</v>
      </c>
      <c r="CG999">
        <v>0</v>
      </c>
      <c r="CH999">
        <v>0</v>
      </c>
      <c r="CI999">
        <v>0</v>
      </c>
      <c r="CJ999">
        <v>0</v>
      </c>
      <c r="CK999">
        <v>0</v>
      </c>
      <c r="CL999">
        <v>0</v>
      </c>
      <c r="CM999">
        <v>0</v>
      </c>
      <c r="CN999">
        <v>0</v>
      </c>
      <c r="CO999">
        <v>0</v>
      </c>
      <c r="CP999">
        <v>0</v>
      </c>
      <c r="CQ999">
        <v>0</v>
      </c>
      <c r="CR999">
        <v>0</v>
      </c>
      <c r="CS999">
        <v>0</v>
      </c>
      <c r="CT999">
        <v>0</v>
      </c>
      <c r="CU999">
        <v>0</v>
      </c>
      <c r="CV999">
        <v>0</v>
      </c>
      <c r="CW999">
        <v>0</v>
      </c>
      <c r="CX999">
        <v>0</v>
      </c>
      <c r="CY999">
        <v>0</v>
      </c>
      <c r="CZ999">
        <v>0</v>
      </c>
      <c r="DA999">
        <v>0</v>
      </c>
      <c r="DB999">
        <v>0</v>
      </c>
      <c r="DC999">
        <v>0</v>
      </c>
      <c r="DD999">
        <v>0</v>
      </c>
      <c r="DE999">
        <v>0</v>
      </c>
      <c r="DF999">
        <v>0</v>
      </c>
      <c r="DG999">
        <v>0</v>
      </c>
      <c r="DH999">
        <v>0</v>
      </c>
      <c r="DI999">
        <v>0</v>
      </c>
      <c r="DJ999">
        <v>0</v>
      </c>
      <c r="DK999">
        <v>0</v>
      </c>
      <c r="DL999">
        <v>0</v>
      </c>
      <c r="DM999">
        <v>0</v>
      </c>
      <c r="DN999">
        <v>0</v>
      </c>
      <c r="DO999">
        <v>0</v>
      </c>
      <c r="DP999">
        <v>0</v>
      </c>
      <c r="DQ999">
        <v>0</v>
      </c>
      <c r="DR999">
        <v>0</v>
      </c>
      <c r="DS999">
        <v>0</v>
      </c>
      <c r="DT999">
        <v>0</v>
      </c>
      <c r="DU999">
        <v>0</v>
      </c>
    </row>
    <row r="1000" spans="2:125">
      <c r="B1000" s="136">
        <v>991</v>
      </c>
      <c r="C1000" s="138">
        <v>1</v>
      </c>
      <c r="D1000" s="474">
        <v>3309.9284566717079</v>
      </c>
      <c r="E1000" s="127">
        <v>221.89084956616253</v>
      </c>
      <c r="F1000" s="447">
        <v>0.48151207584865952</v>
      </c>
      <c r="G1000" s="127">
        <v>126.63088138304907</v>
      </c>
      <c r="H1000" s="132">
        <v>52.240478360380585</v>
      </c>
      <c r="I1000" s="456"/>
      <c r="J1000" s="45"/>
      <c r="K1000" s="45">
        <v>510</v>
      </c>
      <c r="L1000" s="463"/>
      <c r="M1000" s="456">
        <v>48.172031402587891</v>
      </c>
      <c r="N1000" s="457"/>
      <c r="O1000" s="456"/>
      <c r="P1000" s="46"/>
      <c r="Q1000" s="463">
        <v>65.536582946777344</v>
      </c>
      <c r="R1000" s="449"/>
      <c r="S1000" s="463"/>
      <c r="T1000" s="480"/>
      <c r="U1000" s="468"/>
      <c r="V1000" s="449"/>
      <c r="W1000" s="45">
        <v>2050.582763671875</v>
      </c>
      <c r="X1000" s="463">
        <v>166.35249328613281</v>
      </c>
      <c r="Y1000" s="449"/>
      <c r="Z1000" s="45"/>
      <c r="AA1000" s="468">
        <v>0.47104954109290964</v>
      </c>
      <c r="AB1000" s="456"/>
      <c r="AC1000" s="46"/>
      <c r="AD1000" s="46"/>
      <c r="AE1000" s="46"/>
      <c r="AF1000" s="46"/>
      <c r="AG1000" s="46"/>
      <c r="AH1000" s="46"/>
      <c r="AI1000" s="457"/>
      <c r="AJ1000" s="138"/>
      <c r="AK1000" s="745"/>
      <c r="AL1000" s="54"/>
      <c r="AM1000" s="468"/>
      <c r="AN1000" s="449"/>
      <c r="AO1000" s="45"/>
      <c r="AP1000" s="45"/>
      <c r="AQ1000" s="45"/>
      <c r="AR1000" s="45"/>
      <c r="AS1000" s="45"/>
      <c r="AT1000" s="45"/>
      <c r="AU1000" s="463"/>
      <c r="AV1000" s="449"/>
      <c r="AW1000" s="45"/>
      <c r="AX1000" s="45"/>
      <c r="AY1000" s="45"/>
      <c r="AZ1000" s="45"/>
      <c r="BA1000" s="45"/>
      <c r="BB1000" s="45"/>
      <c r="BC1000" s="463"/>
      <c r="BD1000" s="456"/>
      <c r="BE1000" s="46"/>
      <c r="BF1000" s="46"/>
      <c r="BG1000" s="46"/>
      <c r="BH1000" s="46"/>
      <c r="BI1000" s="46"/>
      <c r="BJ1000" s="457"/>
      <c r="BK1000" s="449">
        <v>0</v>
      </c>
      <c r="BL1000" s="45"/>
      <c r="BM1000" s="45"/>
      <c r="BN1000" s="45"/>
      <c r="BO1000" s="45"/>
      <c r="BP1000" s="45"/>
      <c r="BQ1000" s="45"/>
      <c r="BR1000" s="45"/>
      <c r="BS1000" s="45"/>
      <c r="BT1000" s="45"/>
      <c r="BU1000" s="45"/>
      <c r="BV1000" s="45"/>
      <c r="BW1000" s="45"/>
      <c r="BX1000" s="45"/>
      <c r="BY1000" s="45"/>
      <c r="BZ1000" s="45"/>
      <c r="CA1000" s="45"/>
      <c r="CB1000" s="45"/>
      <c r="CC1000" s="45"/>
      <c r="CD1000" s="463"/>
      <c r="CE1000">
        <v>0</v>
      </c>
      <c r="CF1000">
        <v>0</v>
      </c>
      <c r="CG1000">
        <v>0</v>
      </c>
      <c r="CH1000">
        <v>0</v>
      </c>
      <c r="CI1000">
        <v>0</v>
      </c>
      <c r="CJ1000">
        <v>0</v>
      </c>
      <c r="CK1000">
        <v>0</v>
      </c>
      <c r="CL1000">
        <v>0</v>
      </c>
      <c r="CM1000">
        <v>0</v>
      </c>
      <c r="CN1000">
        <v>0</v>
      </c>
      <c r="CO1000">
        <v>0</v>
      </c>
      <c r="CP1000">
        <v>0</v>
      </c>
      <c r="CQ1000">
        <v>0</v>
      </c>
      <c r="CR1000">
        <v>0</v>
      </c>
      <c r="CS1000">
        <v>0</v>
      </c>
      <c r="CT1000">
        <v>0</v>
      </c>
      <c r="CU1000">
        <v>0</v>
      </c>
      <c r="CV1000">
        <v>0</v>
      </c>
      <c r="CW1000">
        <v>0</v>
      </c>
      <c r="CX1000">
        <v>0</v>
      </c>
      <c r="CY1000">
        <v>0</v>
      </c>
      <c r="CZ1000">
        <v>0</v>
      </c>
      <c r="DA1000">
        <v>0</v>
      </c>
      <c r="DB1000">
        <v>0</v>
      </c>
      <c r="DC1000">
        <v>0</v>
      </c>
      <c r="DD1000">
        <v>0</v>
      </c>
      <c r="DE1000">
        <v>0</v>
      </c>
      <c r="DF1000">
        <v>0</v>
      </c>
      <c r="DG1000">
        <v>0</v>
      </c>
      <c r="DH1000">
        <v>0</v>
      </c>
      <c r="DI1000">
        <v>0</v>
      </c>
      <c r="DJ1000">
        <v>0</v>
      </c>
      <c r="DK1000">
        <v>0</v>
      </c>
      <c r="DL1000">
        <v>0</v>
      </c>
      <c r="DM1000">
        <v>0</v>
      </c>
      <c r="DN1000">
        <v>0</v>
      </c>
      <c r="DO1000">
        <v>0</v>
      </c>
      <c r="DP1000">
        <v>0</v>
      </c>
      <c r="DQ1000">
        <v>0</v>
      </c>
      <c r="DR1000">
        <v>0</v>
      </c>
      <c r="DS1000">
        <v>0</v>
      </c>
      <c r="DT1000">
        <v>0</v>
      </c>
      <c r="DU1000">
        <v>0</v>
      </c>
    </row>
    <row r="1001" spans="2:125">
      <c r="B1001" s="136">
        <v>992</v>
      </c>
      <c r="C1001" s="138">
        <v>1</v>
      </c>
      <c r="D1001" s="474">
        <v>3409.8938005844748</v>
      </c>
      <c r="E1001" s="127">
        <v>189.96599745793557</v>
      </c>
      <c r="F1001" s="447">
        <v>0.38581516765531804</v>
      </c>
      <c r="G1001" s="127">
        <v>108.66075411395919</v>
      </c>
      <c r="H1001" s="132">
        <v>58.755423512039293</v>
      </c>
      <c r="I1001" s="456"/>
      <c r="J1001" s="45"/>
      <c r="K1001" s="45">
        <v>460</v>
      </c>
      <c r="L1001" s="463"/>
      <c r="M1001" s="456">
        <v>28.972808837890625</v>
      </c>
      <c r="N1001" s="457"/>
      <c r="O1001" s="456"/>
      <c r="P1001" s="46"/>
      <c r="Q1001" s="463">
        <v>67.515899658203125</v>
      </c>
      <c r="R1001" s="449"/>
      <c r="S1001" s="463"/>
      <c r="T1001" s="480"/>
      <c r="U1001" s="468"/>
      <c r="V1001" s="449"/>
      <c r="W1001" s="45">
        <v>1302.2266845703125</v>
      </c>
      <c r="X1001" s="463">
        <v>111.72621917724609</v>
      </c>
      <c r="Y1001" s="449"/>
      <c r="Z1001" s="45"/>
      <c r="AA1001" s="468">
        <v>0.37622064499085889</v>
      </c>
      <c r="AB1001" s="456"/>
      <c r="AC1001" s="46"/>
      <c r="AD1001" s="46"/>
      <c r="AE1001" s="46"/>
      <c r="AF1001" s="46"/>
      <c r="AG1001" s="46"/>
      <c r="AH1001" s="46"/>
      <c r="AI1001" s="457"/>
      <c r="AJ1001" s="138"/>
      <c r="AK1001" s="745"/>
      <c r="AL1001" s="54"/>
      <c r="AM1001" s="468"/>
      <c r="AN1001" s="449"/>
      <c r="AO1001" s="45"/>
      <c r="AP1001" s="45"/>
      <c r="AQ1001" s="45"/>
      <c r="AR1001" s="45"/>
      <c r="AS1001" s="45"/>
      <c r="AT1001" s="45"/>
      <c r="AU1001" s="463"/>
      <c r="AV1001" s="449"/>
      <c r="AW1001" s="45"/>
      <c r="AX1001" s="45"/>
      <c r="AY1001" s="45"/>
      <c r="AZ1001" s="45"/>
      <c r="BA1001" s="45"/>
      <c r="BB1001" s="45"/>
      <c r="BC1001" s="463"/>
      <c r="BD1001" s="456"/>
      <c r="BE1001" s="46"/>
      <c r="BF1001" s="46"/>
      <c r="BG1001" s="46"/>
      <c r="BH1001" s="46"/>
      <c r="BI1001" s="46"/>
      <c r="BJ1001" s="457"/>
      <c r="BK1001" s="449">
        <v>0</v>
      </c>
      <c r="BL1001" s="45"/>
      <c r="BM1001" s="45"/>
      <c r="BN1001" s="45"/>
      <c r="BO1001" s="45"/>
      <c r="BP1001" s="45"/>
      <c r="BQ1001" s="45"/>
      <c r="BR1001" s="45"/>
      <c r="BS1001" s="45"/>
      <c r="BT1001" s="45"/>
      <c r="BU1001" s="45"/>
      <c r="BV1001" s="45"/>
      <c r="BW1001" s="45"/>
      <c r="BX1001" s="45"/>
      <c r="BY1001" s="45"/>
      <c r="BZ1001" s="45"/>
      <c r="CA1001" s="45"/>
      <c r="CB1001" s="45"/>
      <c r="CC1001" s="45"/>
      <c r="CD1001" s="463"/>
      <c r="CE1001">
        <v>0</v>
      </c>
      <c r="CF1001">
        <v>0</v>
      </c>
      <c r="CG1001">
        <v>0</v>
      </c>
      <c r="CH1001">
        <v>0</v>
      </c>
      <c r="CI1001">
        <v>0</v>
      </c>
      <c r="CJ1001">
        <v>0</v>
      </c>
      <c r="CK1001">
        <v>0</v>
      </c>
      <c r="CL1001">
        <v>0</v>
      </c>
      <c r="CM1001">
        <v>0</v>
      </c>
      <c r="CN1001">
        <v>0</v>
      </c>
      <c r="CO1001">
        <v>0</v>
      </c>
      <c r="CP1001">
        <v>0</v>
      </c>
      <c r="CQ1001">
        <v>0</v>
      </c>
      <c r="CR1001">
        <v>0</v>
      </c>
      <c r="CS1001">
        <v>0</v>
      </c>
      <c r="CT1001">
        <v>0</v>
      </c>
      <c r="CU1001">
        <v>0</v>
      </c>
      <c r="CV1001">
        <v>0</v>
      </c>
      <c r="CW1001">
        <v>0</v>
      </c>
      <c r="CX1001">
        <v>0</v>
      </c>
      <c r="CY1001">
        <v>0</v>
      </c>
      <c r="CZ1001">
        <v>0</v>
      </c>
      <c r="DA1001">
        <v>0</v>
      </c>
      <c r="DB1001">
        <v>0</v>
      </c>
      <c r="DC1001">
        <v>0</v>
      </c>
      <c r="DD1001">
        <v>0</v>
      </c>
      <c r="DE1001">
        <v>0</v>
      </c>
      <c r="DF1001">
        <v>0</v>
      </c>
      <c r="DG1001">
        <v>0</v>
      </c>
      <c r="DH1001">
        <v>0</v>
      </c>
      <c r="DI1001">
        <v>0</v>
      </c>
      <c r="DJ1001">
        <v>0</v>
      </c>
      <c r="DK1001">
        <v>0</v>
      </c>
      <c r="DL1001">
        <v>0</v>
      </c>
      <c r="DM1001">
        <v>0</v>
      </c>
      <c r="DN1001">
        <v>0</v>
      </c>
      <c r="DO1001">
        <v>0</v>
      </c>
      <c r="DP1001">
        <v>0</v>
      </c>
      <c r="DQ1001">
        <v>0</v>
      </c>
      <c r="DR1001">
        <v>0</v>
      </c>
      <c r="DS1001">
        <v>0</v>
      </c>
      <c r="DT1001">
        <v>0</v>
      </c>
      <c r="DU1001">
        <v>0</v>
      </c>
    </row>
    <row r="1002" spans="2:125">
      <c r="B1002" s="136">
        <v>993</v>
      </c>
      <c r="C1002" s="138">
        <v>1</v>
      </c>
      <c r="D1002" s="474">
        <v>3114.0143474171491</v>
      </c>
      <c r="E1002" s="127">
        <v>196.95880860259342</v>
      </c>
      <c r="F1002" s="447">
        <v>0.35725731063693844</v>
      </c>
      <c r="G1002" s="127">
        <v>107.89269484719384</v>
      </c>
      <c r="H1002" s="132">
        <v>53.772921846447993</v>
      </c>
      <c r="I1002" s="456"/>
      <c r="J1002" s="45"/>
      <c r="K1002" s="45">
        <v>440</v>
      </c>
      <c r="L1002" s="463"/>
      <c r="M1002" s="456">
        <v>27.45549201965332</v>
      </c>
      <c r="N1002" s="457"/>
      <c r="O1002" s="456"/>
      <c r="P1002" s="46"/>
      <c r="Q1002" s="463">
        <v>61.657485961914063</v>
      </c>
      <c r="R1002" s="449"/>
      <c r="S1002" s="463"/>
      <c r="T1002" s="480"/>
      <c r="U1002" s="468"/>
      <c r="V1002" s="449"/>
      <c r="W1002" s="45">
        <v>1157.7139892578125</v>
      </c>
      <c r="X1002" s="463">
        <v>101.12577819824219</v>
      </c>
      <c r="Y1002" s="449"/>
      <c r="Z1002" s="45"/>
      <c r="AA1002" s="468">
        <v>0.34693457521364118</v>
      </c>
      <c r="AB1002" s="456"/>
      <c r="AC1002" s="46"/>
      <c r="AD1002" s="46"/>
      <c r="AE1002" s="46"/>
      <c r="AF1002" s="46"/>
      <c r="AG1002" s="46"/>
      <c r="AH1002" s="46"/>
      <c r="AI1002" s="457"/>
      <c r="AJ1002" s="138"/>
      <c r="AK1002" s="745"/>
      <c r="AL1002" s="54"/>
      <c r="AM1002" s="468"/>
      <c r="AN1002" s="449"/>
      <c r="AO1002" s="45"/>
      <c r="AP1002" s="45"/>
      <c r="AQ1002" s="45"/>
      <c r="AR1002" s="45"/>
      <c r="AS1002" s="45"/>
      <c r="AT1002" s="45"/>
      <c r="AU1002" s="463"/>
      <c r="AV1002" s="449"/>
      <c r="AW1002" s="45"/>
      <c r="AX1002" s="45"/>
      <c r="AY1002" s="45"/>
      <c r="AZ1002" s="45"/>
      <c r="BA1002" s="45"/>
      <c r="BB1002" s="45"/>
      <c r="BC1002" s="463"/>
      <c r="BD1002" s="456"/>
      <c r="BE1002" s="46"/>
      <c r="BF1002" s="46"/>
      <c r="BG1002" s="46"/>
      <c r="BH1002" s="46"/>
      <c r="BI1002" s="46"/>
      <c r="BJ1002" s="457"/>
      <c r="BK1002" s="449">
        <v>0</v>
      </c>
      <c r="BL1002" s="45"/>
      <c r="BM1002" s="45"/>
      <c r="BN1002" s="45"/>
      <c r="BO1002" s="45"/>
      <c r="BP1002" s="45"/>
      <c r="BQ1002" s="45"/>
      <c r="BR1002" s="45"/>
      <c r="BS1002" s="45"/>
      <c r="BT1002" s="45"/>
      <c r="BU1002" s="45"/>
      <c r="BV1002" s="45"/>
      <c r="BW1002" s="45"/>
      <c r="BX1002" s="45"/>
      <c r="BY1002" s="45"/>
      <c r="BZ1002" s="45"/>
      <c r="CA1002" s="45"/>
      <c r="CB1002" s="45"/>
      <c r="CC1002" s="45"/>
      <c r="CD1002" s="463"/>
      <c r="CE1002">
        <v>0</v>
      </c>
      <c r="CF1002">
        <v>0</v>
      </c>
      <c r="CG1002">
        <v>0</v>
      </c>
      <c r="CH1002">
        <v>0</v>
      </c>
      <c r="CI1002">
        <v>0</v>
      </c>
      <c r="CJ1002">
        <v>0</v>
      </c>
      <c r="CK1002">
        <v>0</v>
      </c>
      <c r="CL1002">
        <v>0</v>
      </c>
      <c r="CM1002">
        <v>0</v>
      </c>
      <c r="CN1002">
        <v>0</v>
      </c>
      <c r="CO1002">
        <v>0</v>
      </c>
      <c r="CP1002">
        <v>0</v>
      </c>
      <c r="CQ1002">
        <v>0</v>
      </c>
      <c r="CR1002">
        <v>0</v>
      </c>
      <c r="CS1002">
        <v>0</v>
      </c>
      <c r="CT1002">
        <v>0</v>
      </c>
      <c r="CU1002">
        <v>0</v>
      </c>
      <c r="CV1002">
        <v>0</v>
      </c>
      <c r="CW1002">
        <v>0</v>
      </c>
      <c r="CX1002">
        <v>0</v>
      </c>
      <c r="CY1002">
        <v>0</v>
      </c>
      <c r="CZ1002">
        <v>0</v>
      </c>
      <c r="DA1002">
        <v>0</v>
      </c>
      <c r="DB1002">
        <v>0</v>
      </c>
      <c r="DC1002">
        <v>0</v>
      </c>
      <c r="DD1002">
        <v>0</v>
      </c>
      <c r="DE1002">
        <v>0</v>
      </c>
      <c r="DF1002">
        <v>0</v>
      </c>
      <c r="DG1002">
        <v>0</v>
      </c>
      <c r="DH1002">
        <v>0</v>
      </c>
      <c r="DI1002">
        <v>0</v>
      </c>
      <c r="DJ1002">
        <v>0</v>
      </c>
      <c r="DK1002">
        <v>0</v>
      </c>
      <c r="DL1002">
        <v>0</v>
      </c>
      <c r="DM1002">
        <v>0</v>
      </c>
      <c r="DN1002">
        <v>0</v>
      </c>
      <c r="DO1002">
        <v>0</v>
      </c>
      <c r="DP1002">
        <v>0</v>
      </c>
      <c r="DQ1002">
        <v>0</v>
      </c>
      <c r="DR1002">
        <v>0</v>
      </c>
      <c r="DS1002">
        <v>0</v>
      </c>
      <c r="DT1002">
        <v>0</v>
      </c>
      <c r="DU1002">
        <v>0</v>
      </c>
    </row>
    <row r="1003" spans="2:125">
      <c r="B1003" s="136">
        <v>994</v>
      </c>
      <c r="C1003" s="138">
        <v>1</v>
      </c>
      <c r="D1003" s="474">
        <v>3106.6698085813523</v>
      </c>
      <c r="E1003" s="127">
        <v>268.65336118896084</v>
      </c>
      <c r="F1003" s="447">
        <v>0.40596595155977316</v>
      </c>
      <c r="G1003" s="127">
        <v>98.663370104699041</v>
      </c>
      <c r="H1003" s="132">
        <v>56.112593692917585</v>
      </c>
      <c r="I1003" s="456"/>
      <c r="J1003" s="45"/>
      <c r="K1003" s="45">
        <v>420</v>
      </c>
      <c r="L1003" s="463"/>
      <c r="M1003" s="456">
        <v>30.484825134277344</v>
      </c>
      <c r="N1003" s="457"/>
      <c r="O1003" s="456"/>
      <c r="P1003" s="46"/>
      <c r="Q1003" s="463">
        <v>61.512065887451172</v>
      </c>
      <c r="R1003" s="449"/>
      <c r="S1003" s="463"/>
      <c r="T1003" s="480"/>
      <c r="U1003" s="468"/>
      <c r="V1003" s="449"/>
      <c r="W1003" s="45">
        <v>1280.708251953125</v>
      </c>
      <c r="X1003" s="463">
        <v>109.99113464355469</v>
      </c>
      <c r="Y1003" s="449"/>
      <c r="Z1003" s="45"/>
      <c r="AA1003" s="468">
        <v>0.3953052373314016</v>
      </c>
      <c r="AB1003" s="456"/>
      <c r="AC1003" s="46"/>
      <c r="AD1003" s="46"/>
      <c r="AE1003" s="46"/>
      <c r="AF1003" s="46"/>
      <c r="AG1003" s="46"/>
      <c r="AH1003" s="46"/>
      <c r="AI1003" s="457"/>
      <c r="AJ1003" s="138"/>
      <c r="AK1003" s="745"/>
      <c r="AL1003" s="54"/>
      <c r="AM1003" s="468"/>
      <c r="AN1003" s="449"/>
      <c r="AO1003" s="45"/>
      <c r="AP1003" s="45"/>
      <c r="AQ1003" s="45"/>
      <c r="AR1003" s="45"/>
      <c r="AS1003" s="45"/>
      <c r="AT1003" s="45"/>
      <c r="AU1003" s="463"/>
      <c r="AV1003" s="449"/>
      <c r="AW1003" s="45"/>
      <c r="AX1003" s="45"/>
      <c r="AY1003" s="45"/>
      <c r="AZ1003" s="45"/>
      <c r="BA1003" s="45"/>
      <c r="BB1003" s="45"/>
      <c r="BC1003" s="463"/>
      <c r="BD1003" s="456"/>
      <c r="BE1003" s="46"/>
      <c r="BF1003" s="46"/>
      <c r="BG1003" s="46"/>
      <c r="BH1003" s="46"/>
      <c r="BI1003" s="46"/>
      <c r="BJ1003" s="457"/>
      <c r="BK1003" s="449">
        <v>0</v>
      </c>
      <c r="BL1003" s="45"/>
      <c r="BM1003" s="45"/>
      <c r="BN1003" s="45"/>
      <c r="BO1003" s="45"/>
      <c r="BP1003" s="45"/>
      <c r="BQ1003" s="45"/>
      <c r="BR1003" s="45"/>
      <c r="BS1003" s="45"/>
      <c r="BT1003" s="45"/>
      <c r="BU1003" s="45"/>
      <c r="BV1003" s="45"/>
      <c r="BW1003" s="45"/>
      <c r="BX1003" s="45"/>
      <c r="BY1003" s="45"/>
      <c r="BZ1003" s="45"/>
      <c r="CA1003" s="45"/>
      <c r="CB1003" s="45"/>
      <c r="CC1003" s="45"/>
      <c r="CD1003" s="463"/>
      <c r="CE1003">
        <v>0</v>
      </c>
      <c r="CF1003">
        <v>0</v>
      </c>
      <c r="CG1003">
        <v>0</v>
      </c>
      <c r="CH1003">
        <v>0</v>
      </c>
      <c r="CI1003">
        <v>0</v>
      </c>
      <c r="CJ1003">
        <v>0</v>
      </c>
      <c r="CK1003">
        <v>0</v>
      </c>
      <c r="CL1003">
        <v>0</v>
      </c>
      <c r="CM1003">
        <v>0</v>
      </c>
      <c r="CN1003">
        <v>0</v>
      </c>
      <c r="CO1003">
        <v>0</v>
      </c>
      <c r="CP1003">
        <v>0</v>
      </c>
      <c r="CQ1003">
        <v>0</v>
      </c>
      <c r="CR1003">
        <v>0</v>
      </c>
      <c r="CS1003">
        <v>0</v>
      </c>
      <c r="CT1003">
        <v>0</v>
      </c>
      <c r="CU1003">
        <v>0</v>
      </c>
      <c r="CV1003">
        <v>0</v>
      </c>
      <c r="CW1003">
        <v>0</v>
      </c>
      <c r="CX1003">
        <v>0</v>
      </c>
      <c r="CY1003">
        <v>0</v>
      </c>
      <c r="CZ1003">
        <v>0</v>
      </c>
      <c r="DA1003">
        <v>0</v>
      </c>
      <c r="DB1003">
        <v>0</v>
      </c>
      <c r="DC1003">
        <v>0</v>
      </c>
      <c r="DD1003">
        <v>0</v>
      </c>
      <c r="DE1003">
        <v>0</v>
      </c>
      <c r="DF1003">
        <v>0</v>
      </c>
      <c r="DG1003">
        <v>0</v>
      </c>
      <c r="DH1003">
        <v>0</v>
      </c>
      <c r="DI1003">
        <v>0</v>
      </c>
      <c r="DJ1003">
        <v>0</v>
      </c>
      <c r="DK1003">
        <v>0</v>
      </c>
      <c r="DL1003">
        <v>0</v>
      </c>
      <c r="DM1003">
        <v>0</v>
      </c>
      <c r="DN1003">
        <v>0</v>
      </c>
      <c r="DO1003">
        <v>0</v>
      </c>
      <c r="DP1003">
        <v>0</v>
      </c>
      <c r="DQ1003">
        <v>0</v>
      </c>
      <c r="DR1003">
        <v>0</v>
      </c>
      <c r="DS1003">
        <v>0</v>
      </c>
      <c r="DT1003">
        <v>0</v>
      </c>
      <c r="DU1003">
        <v>0</v>
      </c>
    </row>
    <row r="1004" spans="2:125">
      <c r="B1004" s="136">
        <v>995</v>
      </c>
      <c r="C1004" s="138">
        <v>1</v>
      </c>
      <c r="D1004" s="474">
        <v>3534.8306917530672</v>
      </c>
      <c r="E1004" s="127">
        <v>185.38568014529653</v>
      </c>
      <c r="F1004" s="447">
        <v>0.46524677976386974</v>
      </c>
      <c r="G1004" s="127">
        <v>108.99042456160431</v>
      </c>
      <c r="H1004" s="132">
        <v>66.513170003330643</v>
      </c>
      <c r="I1004" s="456"/>
      <c r="J1004" s="45"/>
      <c r="K1004" s="45">
        <v>510</v>
      </c>
      <c r="L1004" s="463"/>
      <c r="M1004" s="456">
        <v>38.986061096191406</v>
      </c>
      <c r="N1004" s="457"/>
      <c r="O1004" s="456"/>
      <c r="P1004" s="46"/>
      <c r="Q1004" s="463">
        <v>78.493484497070313</v>
      </c>
      <c r="R1004" s="449"/>
      <c r="S1004" s="463"/>
      <c r="T1004" s="480"/>
      <c r="U1004" s="468"/>
      <c r="V1004" s="449"/>
      <c r="W1004" s="45">
        <v>1857.231689453125</v>
      </c>
      <c r="X1004" s="463">
        <v>152.27711486816406</v>
      </c>
      <c r="Y1004" s="449"/>
      <c r="Z1004" s="45"/>
      <c r="AA1004" s="468">
        <v>0.45554194844753193</v>
      </c>
      <c r="AB1004" s="456"/>
      <c r="AC1004" s="46"/>
      <c r="AD1004" s="46"/>
      <c r="AE1004" s="46"/>
      <c r="AF1004" s="46"/>
      <c r="AG1004" s="46"/>
      <c r="AH1004" s="46"/>
      <c r="AI1004" s="457"/>
      <c r="AJ1004" s="138"/>
      <c r="AK1004" s="745"/>
      <c r="AL1004" s="54"/>
      <c r="AM1004" s="468"/>
      <c r="AN1004" s="449"/>
      <c r="AO1004" s="45"/>
      <c r="AP1004" s="45"/>
      <c r="AQ1004" s="45"/>
      <c r="AR1004" s="45"/>
      <c r="AS1004" s="45"/>
      <c r="AT1004" s="45"/>
      <c r="AU1004" s="463"/>
      <c r="AV1004" s="449"/>
      <c r="AW1004" s="45"/>
      <c r="AX1004" s="45"/>
      <c r="AY1004" s="45"/>
      <c r="AZ1004" s="45"/>
      <c r="BA1004" s="45"/>
      <c r="BB1004" s="45"/>
      <c r="BC1004" s="463"/>
      <c r="BD1004" s="456"/>
      <c r="BE1004" s="46"/>
      <c r="BF1004" s="46"/>
      <c r="BG1004" s="46"/>
      <c r="BH1004" s="46"/>
      <c r="BI1004" s="46"/>
      <c r="BJ1004" s="457"/>
      <c r="BK1004" s="449">
        <v>0</v>
      </c>
      <c r="BL1004" s="45"/>
      <c r="BM1004" s="45"/>
      <c r="BN1004" s="45"/>
      <c r="BO1004" s="45"/>
      <c r="BP1004" s="45"/>
      <c r="BQ1004" s="45"/>
      <c r="BR1004" s="45"/>
      <c r="BS1004" s="45"/>
      <c r="BT1004" s="45"/>
      <c r="BU1004" s="45"/>
      <c r="BV1004" s="45"/>
      <c r="BW1004" s="45"/>
      <c r="BX1004" s="45"/>
      <c r="BY1004" s="45"/>
      <c r="BZ1004" s="45"/>
      <c r="CA1004" s="45"/>
      <c r="CB1004" s="45"/>
      <c r="CC1004" s="45"/>
      <c r="CD1004" s="463"/>
      <c r="CE1004">
        <v>0</v>
      </c>
      <c r="CF1004">
        <v>0</v>
      </c>
      <c r="CG1004">
        <v>0</v>
      </c>
      <c r="CH1004">
        <v>0</v>
      </c>
      <c r="CI1004">
        <v>0</v>
      </c>
      <c r="CJ1004">
        <v>0</v>
      </c>
      <c r="CK1004">
        <v>0</v>
      </c>
      <c r="CL1004">
        <v>0</v>
      </c>
      <c r="CM1004">
        <v>0</v>
      </c>
      <c r="CN1004">
        <v>0</v>
      </c>
      <c r="CO1004">
        <v>0</v>
      </c>
      <c r="CP1004">
        <v>0</v>
      </c>
      <c r="CQ1004">
        <v>0</v>
      </c>
      <c r="CR1004">
        <v>0</v>
      </c>
      <c r="CS1004">
        <v>0</v>
      </c>
      <c r="CT1004">
        <v>0</v>
      </c>
      <c r="CU1004">
        <v>0</v>
      </c>
      <c r="CV1004">
        <v>0</v>
      </c>
      <c r="CW1004">
        <v>0</v>
      </c>
      <c r="CX1004">
        <v>0</v>
      </c>
      <c r="CY1004">
        <v>0</v>
      </c>
      <c r="CZ1004">
        <v>0</v>
      </c>
      <c r="DA1004">
        <v>0</v>
      </c>
      <c r="DB1004">
        <v>0</v>
      </c>
      <c r="DC1004">
        <v>0</v>
      </c>
      <c r="DD1004">
        <v>0</v>
      </c>
      <c r="DE1004">
        <v>0</v>
      </c>
      <c r="DF1004">
        <v>0</v>
      </c>
      <c r="DG1004">
        <v>0</v>
      </c>
      <c r="DH1004">
        <v>0</v>
      </c>
      <c r="DI1004">
        <v>0</v>
      </c>
      <c r="DJ1004">
        <v>0</v>
      </c>
      <c r="DK1004">
        <v>0</v>
      </c>
      <c r="DL1004">
        <v>0</v>
      </c>
      <c r="DM1004">
        <v>0</v>
      </c>
      <c r="DN1004">
        <v>0</v>
      </c>
      <c r="DO1004">
        <v>0</v>
      </c>
      <c r="DP1004">
        <v>0</v>
      </c>
      <c r="DQ1004">
        <v>0</v>
      </c>
      <c r="DR1004">
        <v>0</v>
      </c>
      <c r="DS1004">
        <v>0</v>
      </c>
      <c r="DT1004">
        <v>0</v>
      </c>
      <c r="DU1004">
        <v>0</v>
      </c>
    </row>
    <row r="1005" spans="2:125">
      <c r="B1005" s="136">
        <v>996</v>
      </c>
      <c r="C1005" s="138">
        <v>1</v>
      </c>
      <c r="D1005" s="474">
        <v>3270.2711981737207</v>
      </c>
      <c r="E1005" s="127">
        <v>229.17344869930093</v>
      </c>
      <c r="F1005" s="447">
        <v>0.3973615403615014</v>
      </c>
      <c r="G1005" s="127">
        <v>118.13248841359787</v>
      </c>
      <c r="H1005" s="132">
        <v>53.902153864757587</v>
      </c>
      <c r="I1005" s="456"/>
      <c r="J1005" s="45"/>
      <c r="K1005" s="45">
        <v>470</v>
      </c>
      <c r="L1005" s="463"/>
      <c r="M1005" s="456">
        <v>31.685081481933594</v>
      </c>
      <c r="N1005" s="457"/>
      <c r="O1005" s="456"/>
      <c r="P1005" s="46"/>
      <c r="Q1005" s="463">
        <v>64.751373291015625</v>
      </c>
      <c r="R1005" s="449"/>
      <c r="S1005" s="463"/>
      <c r="T1005" s="480"/>
      <c r="U1005" s="468"/>
      <c r="V1005" s="449"/>
      <c r="W1005" s="45">
        <v>1384.2833251953125</v>
      </c>
      <c r="X1005" s="463">
        <v>117.74483489990234</v>
      </c>
      <c r="Y1005" s="449"/>
      <c r="Z1005" s="45"/>
      <c r="AA1005" s="468">
        <v>0.38728677016335106</v>
      </c>
      <c r="AB1005" s="456"/>
      <c r="AC1005" s="46"/>
      <c r="AD1005" s="46"/>
      <c r="AE1005" s="46"/>
      <c r="AF1005" s="46"/>
      <c r="AG1005" s="46"/>
      <c r="AH1005" s="46"/>
      <c r="AI1005" s="457"/>
      <c r="AJ1005" s="138"/>
      <c r="AK1005" s="745"/>
      <c r="AL1005" s="54"/>
      <c r="AM1005" s="468"/>
      <c r="AN1005" s="449"/>
      <c r="AO1005" s="45"/>
      <c r="AP1005" s="45"/>
      <c r="AQ1005" s="45"/>
      <c r="AR1005" s="45"/>
      <c r="AS1005" s="45"/>
      <c r="AT1005" s="45"/>
      <c r="AU1005" s="463"/>
      <c r="AV1005" s="449"/>
      <c r="AW1005" s="45"/>
      <c r="AX1005" s="45"/>
      <c r="AY1005" s="45"/>
      <c r="AZ1005" s="45"/>
      <c r="BA1005" s="45"/>
      <c r="BB1005" s="45"/>
      <c r="BC1005" s="463"/>
      <c r="BD1005" s="456"/>
      <c r="BE1005" s="46"/>
      <c r="BF1005" s="46"/>
      <c r="BG1005" s="46"/>
      <c r="BH1005" s="46"/>
      <c r="BI1005" s="46"/>
      <c r="BJ1005" s="457"/>
      <c r="BK1005" s="449">
        <v>0</v>
      </c>
      <c r="BL1005" s="45"/>
      <c r="BM1005" s="45"/>
      <c r="BN1005" s="45"/>
      <c r="BO1005" s="45"/>
      <c r="BP1005" s="45"/>
      <c r="BQ1005" s="45"/>
      <c r="BR1005" s="45"/>
      <c r="BS1005" s="45"/>
      <c r="BT1005" s="45"/>
      <c r="BU1005" s="45"/>
      <c r="BV1005" s="45"/>
      <c r="BW1005" s="45"/>
      <c r="BX1005" s="45"/>
      <c r="BY1005" s="45"/>
      <c r="BZ1005" s="45"/>
      <c r="CA1005" s="45"/>
      <c r="CB1005" s="45"/>
      <c r="CC1005" s="45"/>
      <c r="CD1005" s="463"/>
      <c r="CE1005">
        <v>0</v>
      </c>
      <c r="CF1005">
        <v>0</v>
      </c>
      <c r="CG1005">
        <v>0</v>
      </c>
      <c r="CH1005">
        <v>0</v>
      </c>
      <c r="CI1005">
        <v>0</v>
      </c>
      <c r="CJ1005">
        <v>0</v>
      </c>
      <c r="CK1005">
        <v>0</v>
      </c>
      <c r="CL1005">
        <v>0</v>
      </c>
      <c r="CM1005">
        <v>0</v>
      </c>
      <c r="CN1005">
        <v>0</v>
      </c>
      <c r="CO1005">
        <v>0</v>
      </c>
      <c r="CP1005">
        <v>0</v>
      </c>
      <c r="CQ1005">
        <v>0</v>
      </c>
      <c r="CR1005">
        <v>0</v>
      </c>
      <c r="CS1005">
        <v>0</v>
      </c>
      <c r="CT1005">
        <v>0</v>
      </c>
      <c r="CU1005">
        <v>0</v>
      </c>
      <c r="CV1005">
        <v>0</v>
      </c>
      <c r="CW1005">
        <v>0</v>
      </c>
      <c r="CX1005">
        <v>0</v>
      </c>
      <c r="CY1005">
        <v>0</v>
      </c>
      <c r="CZ1005">
        <v>0</v>
      </c>
      <c r="DA1005">
        <v>0</v>
      </c>
      <c r="DB1005">
        <v>0</v>
      </c>
      <c r="DC1005">
        <v>0</v>
      </c>
      <c r="DD1005">
        <v>0</v>
      </c>
      <c r="DE1005">
        <v>0</v>
      </c>
      <c r="DF1005">
        <v>0</v>
      </c>
      <c r="DG1005">
        <v>0</v>
      </c>
      <c r="DH1005">
        <v>0</v>
      </c>
      <c r="DI1005">
        <v>0</v>
      </c>
      <c r="DJ1005">
        <v>0</v>
      </c>
      <c r="DK1005">
        <v>0</v>
      </c>
      <c r="DL1005">
        <v>0</v>
      </c>
      <c r="DM1005">
        <v>0</v>
      </c>
      <c r="DN1005">
        <v>0</v>
      </c>
      <c r="DO1005">
        <v>0</v>
      </c>
      <c r="DP1005">
        <v>0</v>
      </c>
      <c r="DQ1005">
        <v>0</v>
      </c>
      <c r="DR1005">
        <v>0</v>
      </c>
      <c r="DS1005">
        <v>0</v>
      </c>
      <c r="DT1005">
        <v>0</v>
      </c>
      <c r="DU1005">
        <v>0</v>
      </c>
    </row>
    <row r="1006" spans="2:125">
      <c r="B1006" s="136">
        <v>997</v>
      </c>
      <c r="C1006" s="138">
        <v>1</v>
      </c>
      <c r="D1006" s="474">
        <v>3356.271878663908</v>
      </c>
      <c r="E1006" s="127">
        <v>245.04082586314334</v>
      </c>
      <c r="F1006" s="447">
        <v>0.43486043537994989</v>
      </c>
      <c r="G1006" s="127">
        <v>138.4133501041494</v>
      </c>
      <c r="H1006" s="132">
        <v>49.55102523631173</v>
      </c>
      <c r="I1006" s="456"/>
      <c r="J1006" s="45"/>
      <c r="K1006" s="45">
        <v>530</v>
      </c>
      <c r="L1006" s="463"/>
      <c r="M1006" s="456">
        <v>39.984493255615234</v>
      </c>
      <c r="N1006" s="457"/>
      <c r="O1006" s="456"/>
      <c r="P1006" s="46"/>
      <c r="Q1006" s="463">
        <v>66.454185485839844</v>
      </c>
      <c r="R1006" s="449"/>
      <c r="S1006" s="463"/>
      <c r="T1006" s="480"/>
      <c r="U1006" s="468"/>
      <c r="V1006" s="449"/>
      <c r="W1006" s="45">
        <v>1752.8560791015625</v>
      </c>
      <c r="X1006" s="463">
        <v>144.78857421875</v>
      </c>
      <c r="Y1006" s="449"/>
      <c r="Z1006" s="45"/>
      <c r="AA1006" s="468">
        <v>0.42482036415633573</v>
      </c>
      <c r="AB1006" s="456"/>
      <c r="AC1006" s="46"/>
      <c r="AD1006" s="46"/>
      <c r="AE1006" s="46"/>
      <c r="AF1006" s="46"/>
      <c r="AG1006" s="46"/>
      <c r="AH1006" s="46"/>
      <c r="AI1006" s="457"/>
      <c r="AJ1006" s="138"/>
      <c r="AK1006" s="745"/>
      <c r="AL1006" s="54"/>
      <c r="AM1006" s="468"/>
      <c r="AN1006" s="449"/>
      <c r="AO1006" s="45"/>
      <c r="AP1006" s="45"/>
      <c r="AQ1006" s="45"/>
      <c r="AR1006" s="45"/>
      <c r="AS1006" s="45"/>
      <c r="AT1006" s="45"/>
      <c r="AU1006" s="463"/>
      <c r="AV1006" s="449"/>
      <c r="AW1006" s="45"/>
      <c r="AX1006" s="45"/>
      <c r="AY1006" s="45"/>
      <c r="AZ1006" s="45"/>
      <c r="BA1006" s="45"/>
      <c r="BB1006" s="45"/>
      <c r="BC1006" s="463"/>
      <c r="BD1006" s="456"/>
      <c r="BE1006" s="46"/>
      <c r="BF1006" s="46"/>
      <c r="BG1006" s="46"/>
      <c r="BH1006" s="46"/>
      <c r="BI1006" s="46"/>
      <c r="BJ1006" s="457"/>
      <c r="BK1006" s="449">
        <v>0</v>
      </c>
      <c r="BL1006" s="45"/>
      <c r="BM1006" s="45"/>
      <c r="BN1006" s="45"/>
      <c r="BO1006" s="45"/>
      <c r="BP1006" s="45"/>
      <c r="BQ1006" s="45"/>
      <c r="BR1006" s="45"/>
      <c r="BS1006" s="45"/>
      <c r="BT1006" s="45"/>
      <c r="BU1006" s="45"/>
      <c r="BV1006" s="45"/>
      <c r="BW1006" s="45"/>
      <c r="BX1006" s="45"/>
      <c r="BY1006" s="45"/>
      <c r="BZ1006" s="45"/>
      <c r="CA1006" s="45"/>
      <c r="CB1006" s="45"/>
      <c r="CC1006" s="45"/>
      <c r="CD1006" s="463"/>
      <c r="CE1006">
        <v>0</v>
      </c>
      <c r="CF1006">
        <v>0</v>
      </c>
      <c r="CG1006">
        <v>0</v>
      </c>
      <c r="CH1006">
        <v>0</v>
      </c>
      <c r="CI1006">
        <v>0</v>
      </c>
      <c r="CJ1006">
        <v>0</v>
      </c>
      <c r="CK1006">
        <v>0</v>
      </c>
      <c r="CL1006">
        <v>0</v>
      </c>
      <c r="CM1006">
        <v>0</v>
      </c>
      <c r="CN1006">
        <v>0</v>
      </c>
      <c r="CO1006">
        <v>0</v>
      </c>
      <c r="CP1006">
        <v>0</v>
      </c>
      <c r="CQ1006">
        <v>0</v>
      </c>
      <c r="CR1006">
        <v>0</v>
      </c>
      <c r="CS1006">
        <v>0</v>
      </c>
      <c r="CT1006">
        <v>0</v>
      </c>
      <c r="CU1006">
        <v>0</v>
      </c>
      <c r="CV1006">
        <v>0</v>
      </c>
      <c r="CW1006">
        <v>0</v>
      </c>
      <c r="CX1006">
        <v>0</v>
      </c>
      <c r="CY1006">
        <v>0</v>
      </c>
      <c r="CZ1006">
        <v>0</v>
      </c>
      <c r="DA1006">
        <v>0</v>
      </c>
      <c r="DB1006">
        <v>0</v>
      </c>
      <c r="DC1006">
        <v>0</v>
      </c>
      <c r="DD1006">
        <v>0</v>
      </c>
      <c r="DE1006">
        <v>0</v>
      </c>
      <c r="DF1006">
        <v>0</v>
      </c>
      <c r="DG1006">
        <v>0</v>
      </c>
      <c r="DH1006">
        <v>0</v>
      </c>
      <c r="DI1006">
        <v>0</v>
      </c>
      <c r="DJ1006">
        <v>0</v>
      </c>
      <c r="DK1006">
        <v>0</v>
      </c>
      <c r="DL1006">
        <v>0</v>
      </c>
      <c r="DM1006">
        <v>0</v>
      </c>
      <c r="DN1006">
        <v>0</v>
      </c>
      <c r="DO1006">
        <v>0</v>
      </c>
      <c r="DP1006">
        <v>0</v>
      </c>
      <c r="DQ1006">
        <v>0</v>
      </c>
      <c r="DR1006">
        <v>0</v>
      </c>
      <c r="DS1006">
        <v>0</v>
      </c>
      <c r="DT1006">
        <v>0</v>
      </c>
      <c r="DU1006">
        <v>0</v>
      </c>
    </row>
    <row r="1007" spans="2:125">
      <c r="B1007" s="136">
        <v>998</v>
      </c>
      <c r="C1007" s="138">
        <v>1</v>
      </c>
      <c r="D1007" s="474">
        <v>4433.5551554124804</v>
      </c>
      <c r="E1007" s="127">
        <v>215.54195843755707</v>
      </c>
      <c r="F1007" s="447">
        <v>0.35254478758456398</v>
      </c>
      <c r="G1007" s="127">
        <v>182.71084326172536</v>
      </c>
      <c r="H1007" s="132">
        <v>57.817525485113109</v>
      </c>
      <c r="I1007" s="456"/>
      <c r="J1007" s="45"/>
      <c r="K1007" s="45">
        <v>690</v>
      </c>
      <c r="L1007" s="463"/>
      <c r="M1007" s="456">
        <v>30.933588027954102</v>
      </c>
      <c r="N1007" s="457"/>
      <c r="O1007" s="456"/>
      <c r="P1007" s="46"/>
      <c r="Q1007" s="463">
        <v>87.784393310546875</v>
      </c>
      <c r="R1007" s="449"/>
      <c r="S1007" s="463"/>
      <c r="T1007" s="480"/>
      <c r="U1007" s="468"/>
      <c r="V1007" s="449"/>
      <c r="W1007" s="45">
        <v>1677.3624267578125</v>
      </c>
      <c r="X1007" s="463">
        <v>139.94554138183594</v>
      </c>
      <c r="Y1007" s="449"/>
      <c r="Z1007" s="45"/>
      <c r="AA1007" s="468">
        <v>0.34531562393864351</v>
      </c>
      <c r="AB1007" s="456"/>
      <c r="AC1007" s="46"/>
      <c r="AD1007" s="46"/>
      <c r="AE1007" s="46"/>
      <c r="AF1007" s="46"/>
      <c r="AG1007" s="46"/>
      <c r="AH1007" s="46"/>
      <c r="AI1007" s="457"/>
      <c r="AJ1007" s="138"/>
      <c r="AK1007" s="745"/>
      <c r="AL1007" s="54"/>
      <c r="AM1007" s="468"/>
      <c r="AN1007" s="449"/>
      <c r="AO1007" s="45"/>
      <c r="AP1007" s="45"/>
      <c r="AQ1007" s="45"/>
      <c r="AR1007" s="45"/>
      <c r="AS1007" s="45"/>
      <c r="AT1007" s="45"/>
      <c r="AU1007" s="463"/>
      <c r="AV1007" s="449"/>
      <c r="AW1007" s="45"/>
      <c r="AX1007" s="45"/>
      <c r="AY1007" s="45"/>
      <c r="AZ1007" s="45"/>
      <c r="BA1007" s="45"/>
      <c r="BB1007" s="45"/>
      <c r="BC1007" s="463"/>
      <c r="BD1007" s="456"/>
      <c r="BE1007" s="46"/>
      <c r="BF1007" s="46"/>
      <c r="BG1007" s="46"/>
      <c r="BH1007" s="46"/>
      <c r="BI1007" s="46"/>
      <c r="BJ1007" s="457"/>
      <c r="BK1007" s="449">
        <v>0</v>
      </c>
      <c r="BL1007" s="45"/>
      <c r="BM1007" s="45"/>
      <c r="BN1007" s="45"/>
      <c r="BO1007" s="45"/>
      <c r="BP1007" s="45"/>
      <c r="BQ1007" s="45"/>
      <c r="BR1007" s="45"/>
      <c r="BS1007" s="45"/>
      <c r="BT1007" s="45"/>
      <c r="BU1007" s="45"/>
      <c r="BV1007" s="45"/>
      <c r="BW1007" s="45"/>
      <c r="BX1007" s="45"/>
      <c r="BY1007" s="45"/>
      <c r="BZ1007" s="45"/>
      <c r="CA1007" s="45"/>
      <c r="CB1007" s="45"/>
      <c r="CC1007" s="45"/>
      <c r="CD1007" s="463"/>
      <c r="CE1007">
        <v>0</v>
      </c>
      <c r="CF1007">
        <v>0</v>
      </c>
      <c r="CG1007">
        <v>0</v>
      </c>
      <c r="CH1007">
        <v>0</v>
      </c>
      <c r="CI1007">
        <v>0</v>
      </c>
      <c r="CJ1007">
        <v>0</v>
      </c>
      <c r="CK1007">
        <v>0</v>
      </c>
      <c r="CL1007">
        <v>0</v>
      </c>
      <c r="CM1007">
        <v>0</v>
      </c>
      <c r="CN1007">
        <v>0</v>
      </c>
      <c r="CO1007">
        <v>0</v>
      </c>
      <c r="CP1007">
        <v>0</v>
      </c>
      <c r="CQ1007">
        <v>0</v>
      </c>
      <c r="CR1007">
        <v>0</v>
      </c>
      <c r="CS1007">
        <v>0</v>
      </c>
      <c r="CT1007">
        <v>0</v>
      </c>
      <c r="CU1007">
        <v>0</v>
      </c>
      <c r="CV1007">
        <v>0</v>
      </c>
      <c r="CW1007">
        <v>0</v>
      </c>
      <c r="CX1007">
        <v>0</v>
      </c>
      <c r="CY1007">
        <v>0</v>
      </c>
      <c r="CZ1007">
        <v>0</v>
      </c>
      <c r="DA1007">
        <v>0</v>
      </c>
      <c r="DB1007">
        <v>0</v>
      </c>
      <c r="DC1007">
        <v>0</v>
      </c>
      <c r="DD1007">
        <v>0</v>
      </c>
      <c r="DE1007">
        <v>0</v>
      </c>
      <c r="DF1007">
        <v>0</v>
      </c>
      <c r="DG1007">
        <v>0</v>
      </c>
      <c r="DH1007">
        <v>0</v>
      </c>
      <c r="DI1007">
        <v>0</v>
      </c>
      <c r="DJ1007">
        <v>0</v>
      </c>
      <c r="DK1007">
        <v>0</v>
      </c>
      <c r="DL1007">
        <v>0</v>
      </c>
      <c r="DM1007">
        <v>0</v>
      </c>
      <c r="DN1007">
        <v>0</v>
      </c>
      <c r="DO1007">
        <v>0</v>
      </c>
      <c r="DP1007">
        <v>0</v>
      </c>
      <c r="DQ1007">
        <v>0</v>
      </c>
      <c r="DR1007">
        <v>0</v>
      </c>
      <c r="DS1007">
        <v>0</v>
      </c>
      <c r="DT1007">
        <v>0</v>
      </c>
      <c r="DU1007">
        <v>0</v>
      </c>
    </row>
    <row r="1008" spans="2:125">
      <c r="B1008" s="136">
        <v>999</v>
      </c>
      <c r="C1008" s="138">
        <v>1</v>
      </c>
      <c r="D1008" s="474">
        <v>2936.3957319489227</v>
      </c>
      <c r="E1008" s="127">
        <v>202.67719301050528</v>
      </c>
      <c r="F1008" s="447">
        <v>0.41956238955183572</v>
      </c>
      <c r="G1008" s="127">
        <v>99.338191363103647</v>
      </c>
      <c r="H1008" s="132">
        <v>52.742342311079383</v>
      </c>
      <c r="I1008" s="456"/>
      <c r="J1008" s="45"/>
      <c r="K1008" s="45">
        <v>420</v>
      </c>
      <c r="L1008" s="463"/>
      <c r="M1008" s="456">
        <v>32.813888549804687</v>
      </c>
      <c r="N1008" s="457"/>
      <c r="O1008" s="456"/>
      <c r="P1008" s="46"/>
      <c r="Q1008" s="463">
        <v>58.140636444091797</v>
      </c>
      <c r="R1008" s="449"/>
      <c r="S1008" s="463"/>
      <c r="T1008" s="480"/>
      <c r="U1008" s="468"/>
      <c r="V1008" s="449"/>
      <c r="W1008" s="45">
        <v>1322.348876953125</v>
      </c>
      <c r="X1008" s="463">
        <v>112.98966979980469</v>
      </c>
      <c r="Y1008" s="449"/>
      <c r="Z1008" s="45"/>
      <c r="AA1008" s="468">
        <v>0.40819088147214155</v>
      </c>
      <c r="AB1008" s="456"/>
      <c r="AC1008" s="46"/>
      <c r="AD1008" s="46"/>
      <c r="AE1008" s="46"/>
      <c r="AF1008" s="46"/>
      <c r="AG1008" s="46"/>
      <c r="AH1008" s="46"/>
      <c r="AI1008" s="457"/>
      <c r="AJ1008" s="138"/>
      <c r="AK1008" s="745"/>
      <c r="AL1008" s="54"/>
      <c r="AM1008" s="468"/>
      <c r="AN1008" s="449"/>
      <c r="AO1008" s="45"/>
      <c r="AP1008" s="45"/>
      <c r="AQ1008" s="45"/>
      <c r="AR1008" s="45"/>
      <c r="AS1008" s="45"/>
      <c r="AT1008" s="45"/>
      <c r="AU1008" s="463"/>
      <c r="AV1008" s="449"/>
      <c r="AW1008" s="45"/>
      <c r="AX1008" s="45"/>
      <c r="AY1008" s="45"/>
      <c r="AZ1008" s="45"/>
      <c r="BA1008" s="45"/>
      <c r="BB1008" s="45"/>
      <c r="BC1008" s="463"/>
      <c r="BD1008" s="456"/>
      <c r="BE1008" s="46"/>
      <c r="BF1008" s="46"/>
      <c r="BG1008" s="46"/>
      <c r="BH1008" s="46"/>
      <c r="BI1008" s="46"/>
      <c r="BJ1008" s="457"/>
      <c r="BK1008" s="449">
        <v>0</v>
      </c>
      <c r="BL1008" s="45"/>
      <c r="BM1008" s="45"/>
      <c r="BN1008" s="45"/>
      <c r="BO1008" s="45"/>
      <c r="BP1008" s="45"/>
      <c r="BQ1008" s="45"/>
      <c r="BR1008" s="45"/>
      <c r="BS1008" s="45"/>
      <c r="BT1008" s="45"/>
      <c r="BU1008" s="45"/>
      <c r="BV1008" s="45"/>
      <c r="BW1008" s="45"/>
      <c r="BX1008" s="45"/>
      <c r="BY1008" s="45"/>
      <c r="BZ1008" s="45"/>
      <c r="CA1008" s="45"/>
      <c r="CB1008" s="45"/>
      <c r="CC1008" s="45"/>
      <c r="CD1008" s="463"/>
      <c r="CE1008">
        <v>0</v>
      </c>
      <c r="CF1008">
        <v>0</v>
      </c>
      <c r="CG1008">
        <v>0</v>
      </c>
      <c r="CH1008">
        <v>0</v>
      </c>
      <c r="CI1008">
        <v>0</v>
      </c>
      <c r="CJ1008">
        <v>0</v>
      </c>
      <c r="CK1008">
        <v>0</v>
      </c>
      <c r="CL1008">
        <v>0</v>
      </c>
      <c r="CM1008">
        <v>0</v>
      </c>
      <c r="CN1008">
        <v>0</v>
      </c>
      <c r="CO1008">
        <v>0</v>
      </c>
      <c r="CP1008">
        <v>0</v>
      </c>
      <c r="CQ1008">
        <v>0</v>
      </c>
      <c r="CR1008">
        <v>0</v>
      </c>
      <c r="CS1008">
        <v>0</v>
      </c>
      <c r="CT1008">
        <v>0</v>
      </c>
      <c r="CU1008">
        <v>0</v>
      </c>
      <c r="CV1008">
        <v>0</v>
      </c>
      <c r="CW1008">
        <v>0</v>
      </c>
      <c r="CX1008">
        <v>0</v>
      </c>
      <c r="CY1008">
        <v>0</v>
      </c>
      <c r="CZ1008">
        <v>0</v>
      </c>
      <c r="DA1008">
        <v>0</v>
      </c>
      <c r="DB1008">
        <v>0</v>
      </c>
      <c r="DC1008">
        <v>0</v>
      </c>
      <c r="DD1008">
        <v>0</v>
      </c>
      <c r="DE1008">
        <v>0</v>
      </c>
      <c r="DF1008">
        <v>0</v>
      </c>
      <c r="DG1008">
        <v>0</v>
      </c>
      <c r="DH1008">
        <v>0</v>
      </c>
      <c r="DI1008">
        <v>0</v>
      </c>
      <c r="DJ1008">
        <v>0</v>
      </c>
      <c r="DK1008">
        <v>0</v>
      </c>
      <c r="DL1008">
        <v>0</v>
      </c>
      <c r="DM1008">
        <v>0</v>
      </c>
      <c r="DN1008">
        <v>0</v>
      </c>
      <c r="DO1008">
        <v>0</v>
      </c>
      <c r="DP1008">
        <v>0</v>
      </c>
      <c r="DQ1008">
        <v>0</v>
      </c>
      <c r="DR1008">
        <v>0</v>
      </c>
      <c r="DS1008">
        <v>0</v>
      </c>
      <c r="DT1008">
        <v>0</v>
      </c>
      <c r="DU1008">
        <v>0</v>
      </c>
    </row>
    <row r="1009" spans="2:125" ht="15.75" thickBot="1">
      <c r="B1009" s="136">
        <v>1000</v>
      </c>
      <c r="C1009" s="1011">
        <v>1</v>
      </c>
      <c r="D1009" s="475">
        <v>3246.3462456463035</v>
      </c>
      <c r="E1009" s="476">
        <v>229.22158287541572</v>
      </c>
      <c r="F1009" s="477">
        <v>0.44359030759400508</v>
      </c>
      <c r="G1009" s="476">
        <v>116.82755277985306</v>
      </c>
      <c r="H1009" s="478">
        <v>53.809003387798477</v>
      </c>
      <c r="I1009" s="458"/>
      <c r="J1009" s="465"/>
      <c r="K1009" s="465">
        <v>480</v>
      </c>
      <c r="L1009" s="466"/>
      <c r="M1009" s="458">
        <v>38.332550048828125</v>
      </c>
      <c r="N1009" s="460"/>
      <c r="O1009" s="458"/>
      <c r="P1009" s="459"/>
      <c r="Q1009" s="466">
        <v>64.277656555175781</v>
      </c>
      <c r="R1009" s="464"/>
      <c r="S1009" s="466"/>
      <c r="T1009" s="481"/>
      <c r="U1009" s="470"/>
      <c r="V1009" s="464"/>
      <c r="W1009" s="465">
        <v>1636.5743408203125</v>
      </c>
      <c r="X1009" s="466">
        <v>136.10739135742187</v>
      </c>
      <c r="Y1009" s="464"/>
      <c r="Z1009" s="465"/>
      <c r="AA1009" s="470">
        <v>0.43315648335319723</v>
      </c>
      <c r="AB1009" s="458"/>
      <c r="AC1009" s="459"/>
      <c r="AD1009" s="459"/>
      <c r="AE1009" s="459"/>
      <c r="AF1009" s="459"/>
      <c r="AG1009" s="459"/>
      <c r="AH1009" s="459"/>
      <c r="AI1009" s="460"/>
      <c r="AJ1009" s="748"/>
      <c r="AK1009" s="746"/>
      <c r="AL1009" s="469"/>
      <c r="AM1009" s="470"/>
      <c r="AN1009" s="464"/>
      <c r="AO1009" s="465"/>
      <c r="AP1009" s="465"/>
      <c r="AQ1009" s="465"/>
      <c r="AR1009" s="465"/>
      <c r="AS1009" s="465"/>
      <c r="AT1009" s="465"/>
      <c r="AU1009" s="466"/>
      <c r="AV1009" s="464"/>
      <c r="AW1009" s="465"/>
      <c r="AX1009" s="465"/>
      <c r="AY1009" s="465"/>
      <c r="AZ1009" s="465"/>
      <c r="BA1009" s="465"/>
      <c r="BB1009" s="465"/>
      <c r="BC1009" s="466"/>
      <c r="BD1009" s="458"/>
      <c r="BE1009" s="459"/>
      <c r="BF1009" s="459"/>
      <c r="BG1009" s="459"/>
      <c r="BH1009" s="459"/>
      <c r="BI1009" s="459"/>
      <c r="BJ1009" s="460"/>
      <c r="BK1009" s="464">
        <v>0</v>
      </c>
      <c r="BL1009" s="465"/>
      <c r="BM1009" s="465"/>
      <c r="BN1009" s="465"/>
      <c r="BO1009" s="465"/>
      <c r="BP1009" s="465"/>
      <c r="BQ1009" s="465"/>
      <c r="BR1009" s="465"/>
      <c r="BS1009" s="465"/>
      <c r="BT1009" s="465"/>
      <c r="BU1009" s="465"/>
      <c r="BV1009" s="465"/>
      <c r="BW1009" s="465"/>
      <c r="BX1009" s="465"/>
      <c r="BY1009" s="465"/>
      <c r="BZ1009" s="465"/>
      <c r="CA1009" s="465"/>
      <c r="CB1009" s="465"/>
      <c r="CC1009" s="465"/>
      <c r="CD1009" s="466"/>
      <c r="CE1009">
        <v>0</v>
      </c>
      <c r="CF1009">
        <v>0</v>
      </c>
      <c r="CG1009">
        <v>0</v>
      </c>
      <c r="CH1009">
        <v>0</v>
      </c>
      <c r="CI1009">
        <v>0</v>
      </c>
      <c r="CJ1009">
        <v>0</v>
      </c>
      <c r="CK1009">
        <v>0</v>
      </c>
      <c r="CL1009">
        <v>0</v>
      </c>
      <c r="CM1009">
        <v>0</v>
      </c>
      <c r="CN1009">
        <v>0</v>
      </c>
      <c r="CO1009">
        <v>0</v>
      </c>
      <c r="CP1009">
        <v>0</v>
      </c>
      <c r="CQ1009">
        <v>0</v>
      </c>
      <c r="CR1009">
        <v>0</v>
      </c>
      <c r="CS1009">
        <v>0</v>
      </c>
      <c r="CT1009">
        <v>0</v>
      </c>
      <c r="CU1009">
        <v>0</v>
      </c>
      <c r="CV1009">
        <v>0</v>
      </c>
      <c r="CW1009">
        <v>0</v>
      </c>
      <c r="CX1009">
        <v>0</v>
      </c>
      <c r="CY1009">
        <v>0</v>
      </c>
      <c r="CZ1009">
        <v>0</v>
      </c>
      <c r="DA1009">
        <v>0</v>
      </c>
      <c r="DB1009">
        <v>0</v>
      </c>
      <c r="DC1009">
        <v>0</v>
      </c>
      <c r="DD1009">
        <v>0</v>
      </c>
      <c r="DE1009">
        <v>0</v>
      </c>
      <c r="DF1009">
        <v>0</v>
      </c>
      <c r="DG1009">
        <v>0</v>
      </c>
      <c r="DH1009">
        <v>0</v>
      </c>
      <c r="DI1009">
        <v>0</v>
      </c>
      <c r="DJ1009">
        <v>0</v>
      </c>
      <c r="DK1009">
        <v>0</v>
      </c>
      <c r="DL1009">
        <v>0</v>
      </c>
      <c r="DM1009">
        <v>0</v>
      </c>
      <c r="DN1009">
        <v>0</v>
      </c>
      <c r="DO1009">
        <v>0</v>
      </c>
      <c r="DP1009">
        <v>0</v>
      </c>
      <c r="DQ1009">
        <v>0</v>
      </c>
      <c r="DR1009">
        <v>0</v>
      </c>
      <c r="DS1009">
        <v>0</v>
      </c>
      <c r="DT1009">
        <v>0</v>
      </c>
      <c r="DU1009">
        <v>0</v>
      </c>
    </row>
  </sheetData>
  <mergeCells count="19">
    <mergeCell ref="D2:L2"/>
    <mergeCell ref="E3:AM3"/>
    <mergeCell ref="T8:U8"/>
    <mergeCell ref="V8:X8"/>
    <mergeCell ref="Y8:AA8"/>
    <mergeCell ref="I8:L8"/>
    <mergeCell ref="M8:N8"/>
    <mergeCell ref="O8:Q8"/>
    <mergeCell ref="R8:S8"/>
    <mergeCell ref="AB8:AI8"/>
    <mergeCell ref="B3:D3"/>
    <mergeCell ref="AN7:BI7"/>
    <mergeCell ref="BK8:CD8"/>
    <mergeCell ref="D8:H8"/>
    <mergeCell ref="AN8:AU8"/>
    <mergeCell ref="CF8:CG8"/>
    <mergeCell ref="AV8:BC8"/>
    <mergeCell ref="BD8:BJ8"/>
    <mergeCell ref="AK8:AM8"/>
  </mergeCells>
  <dataValidations count="1">
    <dataValidation type="list" allowBlank="1" showInputMessage="1" showErrorMessage="1" sqref="Q2">
      <formula1>"ON, OFF"</formula1>
    </dataValidation>
  </dataValidation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sheetPr codeName="Sheet14"/>
  <dimension ref="B1:CF32"/>
  <sheetViews>
    <sheetView zoomScale="75" zoomScaleNormal="75" workbookViewId="0"/>
  </sheetViews>
  <sheetFormatPr defaultRowHeight="15"/>
  <cols>
    <col min="1" max="1" width="2.7109375" customWidth="1"/>
    <col min="2" max="2" width="8.42578125" customWidth="1"/>
    <col min="3" max="3" width="7" bestFit="1" customWidth="1"/>
    <col min="4" max="4" width="8.28515625" customWidth="1"/>
    <col min="5" max="5" width="6.28515625" bestFit="1" customWidth="1"/>
    <col min="6" max="6" width="5.7109375" bestFit="1" customWidth="1"/>
    <col min="7" max="7" width="5.140625" bestFit="1" customWidth="1"/>
    <col min="8" max="8" width="7" bestFit="1" customWidth="1"/>
    <col min="9" max="9" width="6.85546875" bestFit="1" customWidth="1"/>
    <col min="10" max="10" width="5.140625" bestFit="1" customWidth="1"/>
    <col min="11" max="11" width="5.42578125" bestFit="1" customWidth="1"/>
    <col min="12" max="12" width="6" bestFit="1" customWidth="1"/>
    <col min="13" max="13" width="6.28515625" bestFit="1" customWidth="1"/>
    <col min="14" max="14" width="6.42578125" bestFit="1" customWidth="1"/>
    <col min="15" max="15" width="11" bestFit="1" customWidth="1"/>
    <col min="16" max="16" width="7.7109375" bestFit="1" customWidth="1"/>
    <col min="17" max="17" width="9.42578125" bestFit="1" customWidth="1"/>
    <col min="18" max="18" width="8.5703125" bestFit="1" customWidth="1"/>
    <col min="19" max="19" width="8.28515625" bestFit="1" customWidth="1"/>
    <col min="20" max="20" width="8.5703125" bestFit="1" customWidth="1"/>
    <col min="21" max="21" width="9.5703125" customWidth="1"/>
    <col min="22" max="22" width="8.5703125" bestFit="1" customWidth="1"/>
    <col min="23" max="23" width="8.7109375" bestFit="1" customWidth="1"/>
    <col min="24" max="24" width="5.28515625" bestFit="1" customWidth="1"/>
    <col min="25" max="25" width="5.85546875" bestFit="1" customWidth="1"/>
    <col min="26" max="27" width="7.5703125" bestFit="1" customWidth="1"/>
    <col min="28" max="28" width="6.28515625" bestFit="1" customWidth="1"/>
    <col min="29" max="29" width="8.5703125" bestFit="1" customWidth="1"/>
    <col min="30" max="30" width="6.28515625" bestFit="1" customWidth="1"/>
    <col min="31" max="31" width="6.42578125" bestFit="1" customWidth="1"/>
    <col min="32" max="32" width="6.5703125" customWidth="1"/>
    <col min="33" max="33" width="7.5703125" bestFit="1" customWidth="1"/>
    <col min="34" max="34" width="7.28515625" customWidth="1"/>
    <col min="35" max="35" width="6.28515625" bestFit="1" customWidth="1"/>
    <col min="36" max="36" width="9.140625" bestFit="1" customWidth="1"/>
    <col min="37" max="37" width="7.140625" bestFit="1" customWidth="1"/>
    <col min="38" max="38" width="6.42578125" bestFit="1" customWidth="1"/>
    <col min="39" max="39" width="10" bestFit="1" customWidth="1"/>
    <col min="40" max="40" width="6.28515625" bestFit="1" customWidth="1"/>
    <col min="41" max="41" width="8.5703125" bestFit="1" customWidth="1"/>
    <col min="42" max="42" width="6.28515625" bestFit="1" customWidth="1"/>
    <col min="43" max="43" width="5.140625" bestFit="1" customWidth="1"/>
    <col min="44" max="44" width="5.28515625" bestFit="1" customWidth="1"/>
    <col min="45" max="45" width="7.5703125" bestFit="1" customWidth="1"/>
    <col min="46" max="46" width="6" bestFit="1" customWidth="1"/>
    <col min="47" max="48" width="6.28515625" bestFit="1" customWidth="1"/>
    <col min="49" max="49" width="8.5703125" bestFit="1" customWidth="1"/>
    <col min="50" max="50" width="6.28515625" bestFit="1" customWidth="1"/>
    <col min="51" max="51" width="5.140625" bestFit="1" customWidth="1"/>
    <col min="52" max="52" width="5.28515625" bestFit="1" customWidth="1"/>
    <col min="53" max="53" width="7.5703125" bestFit="1" customWidth="1"/>
    <col min="54" max="54" width="6" bestFit="1" customWidth="1"/>
    <col min="55" max="56" width="6.28515625" bestFit="1" customWidth="1"/>
    <col min="57" max="57" width="8.5703125" bestFit="1" customWidth="1"/>
    <col min="58" max="58" width="6.28515625" bestFit="1" customWidth="1"/>
    <col min="59" max="59" width="5.140625" bestFit="1" customWidth="1"/>
    <col min="60" max="60" width="5.28515625" bestFit="1" customWidth="1"/>
    <col min="61" max="61" width="7.5703125" bestFit="1" customWidth="1"/>
    <col min="62" max="62" width="8.140625" bestFit="1" customWidth="1"/>
    <col min="63" max="63" width="12.7109375" bestFit="1" customWidth="1"/>
    <col min="64" max="64" width="11" bestFit="1" customWidth="1"/>
    <col min="65" max="65" width="3.42578125" customWidth="1"/>
    <col min="66" max="66" width="3.85546875" customWidth="1"/>
    <col min="67" max="67" width="3.42578125" customWidth="1"/>
    <col min="76" max="76" width="2.7109375" customWidth="1"/>
  </cols>
  <sheetData>
    <row r="1" spans="2:84" s="1" customFormat="1" ht="15.75" thickBot="1">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c r="AK1" s="49"/>
      <c r="AL1" s="49"/>
      <c r="AM1" s="49"/>
      <c r="AN1" s="49"/>
      <c r="AO1" s="49"/>
      <c r="AP1" s="49"/>
      <c r="AQ1" s="49"/>
      <c r="AR1" s="49"/>
      <c r="AS1" s="49"/>
      <c r="AT1" s="49"/>
      <c r="AU1" s="49"/>
      <c r="AV1" s="49"/>
      <c r="AW1" s="49"/>
      <c r="AX1" s="49"/>
      <c r="AY1" s="49"/>
      <c r="AZ1" s="49"/>
      <c r="BA1" s="49"/>
      <c r="BB1" s="49"/>
      <c r="BC1" s="49"/>
      <c r="BD1" s="49"/>
      <c r="BE1" s="49"/>
      <c r="BF1" s="49"/>
      <c r="BG1" s="49"/>
      <c r="BH1" s="49"/>
      <c r="BI1" s="49"/>
      <c r="BJ1" s="49"/>
      <c r="BK1" s="49"/>
    </row>
    <row r="2" spans="2:84" s="1" customFormat="1" ht="16.5" thickBot="1">
      <c r="C2"/>
      <c r="D2" s="1611" t="s">
        <v>1183</v>
      </c>
      <c r="E2" s="1602"/>
      <c r="F2" s="1602"/>
      <c r="G2" s="1602"/>
      <c r="H2" s="1602"/>
      <c r="I2" s="1602"/>
      <c r="J2" s="1602"/>
      <c r="K2" s="1602"/>
      <c r="L2" s="1602"/>
      <c r="M2" s="1602"/>
      <c r="N2" s="1602"/>
      <c r="O2" s="1603"/>
      <c r="P2" s="809" t="s">
        <v>1167</v>
      </c>
      <c r="Q2" s="810" t="s">
        <v>1327</v>
      </c>
      <c r="R2" s="1612" t="s">
        <v>1238</v>
      </c>
      <c r="S2" s="1613"/>
      <c r="T2" s="810">
        <v>1</v>
      </c>
      <c r="U2" s="3"/>
      <c r="V2" s="2"/>
    </row>
    <row r="3" spans="2:84" s="1" customFormat="1" ht="16.5" thickBot="1">
      <c r="F3" s="805"/>
      <c r="G3" s="806"/>
      <c r="H3" s="1604" t="s">
        <v>1239</v>
      </c>
      <c r="I3" s="1589"/>
      <c r="J3" s="1589"/>
      <c r="K3" s="1589"/>
      <c r="L3" s="1589"/>
      <c r="M3" s="1589"/>
      <c r="N3" s="1589"/>
      <c r="O3" s="1589"/>
      <c r="P3" s="1589"/>
      <c r="Q3" s="1589"/>
      <c r="R3" s="1589"/>
      <c r="S3" s="1589"/>
      <c r="T3" s="1589"/>
      <c r="U3" s="1589"/>
      <c r="V3" s="1589"/>
      <c r="W3" s="1589"/>
      <c r="X3" s="1589"/>
      <c r="Y3" s="1589"/>
      <c r="Z3" s="1589"/>
      <c r="AA3" s="1589"/>
      <c r="AB3" s="1589"/>
      <c r="AC3" s="1589"/>
      <c r="AD3" s="1589"/>
      <c r="AE3" s="1589"/>
      <c r="AF3" s="1589"/>
      <c r="AG3" s="1589"/>
      <c r="AH3" s="1589"/>
      <c r="AI3" s="1589"/>
      <c r="AJ3" s="1589"/>
      <c r="AK3" s="1589"/>
      <c r="AL3" s="1589"/>
      <c r="AM3" s="1589"/>
      <c r="AN3" s="1589"/>
      <c r="AO3" s="1589"/>
      <c r="AP3" s="1589"/>
      <c r="AQ3" s="1589"/>
      <c r="AR3" s="1589"/>
      <c r="AS3" s="1589"/>
      <c r="AT3" s="1589"/>
      <c r="AU3" s="1589"/>
      <c r="AV3" s="1589"/>
      <c r="AW3" s="1589"/>
      <c r="AX3" s="1589"/>
      <c r="AY3" s="1589"/>
      <c r="AZ3" s="1589"/>
      <c r="BA3" s="1589"/>
      <c r="BB3" s="1589"/>
      <c r="BC3" s="1589"/>
      <c r="BD3" s="1589"/>
      <c r="BE3" s="1589"/>
      <c r="BF3" s="1589"/>
      <c r="BG3" s="1589"/>
      <c r="BH3" s="1589"/>
      <c r="BI3" s="1589"/>
      <c r="BJ3" s="1589"/>
      <c r="BK3" s="1590"/>
    </row>
    <row r="4" spans="2:84" s="1" customFormat="1" ht="15.75" thickBot="1">
      <c r="B4" s="1608" t="s">
        <v>1940</v>
      </c>
      <c r="C4" s="1609"/>
      <c r="D4" s="1610"/>
      <c r="E4" s="805"/>
      <c r="F4" s="805"/>
      <c r="G4" s="806"/>
      <c r="H4" s="811" t="s">
        <v>890</v>
      </c>
      <c r="I4" s="812">
        <f t="shared" ref="I4:AM4" si="0">MIN(I10:I29)</f>
        <v>0</v>
      </c>
      <c r="J4" s="813">
        <f t="shared" si="0"/>
        <v>0</v>
      </c>
      <c r="K4" s="72">
        <f t="shared" si="0"/>
        <v>540</v>
      </c>
      <c r="L4" s="73">
        <f t="shared" si="0"/>
        <v>0</v>
      </c>
      <c r="M4" s="72">
        <f t="shared" si="0"/>
        <v>34.190292358398437</v>
      </c>
      <c r="N4" s="73">
        <f t="shared" si="0"/>
        <v>0</v>
      </c>
      <c r="O4" s="72">
        <f t="shared" si="0"/>
        <v>0</v>
      </c>
      <c r="P4" s="813">
        <f t="shared" si="0"/>
        <v>0</v>
      </c>
      <c r="Q4" s="73">
        <f t="shared" si="0"/>
        <v>79.09344482421875</v>
      </c>
      <c r="R4" s="811">
        <f t="shared" si="0"/>
        <v>0</v>
      </c>
      <c r="S4" s="813">
        <f t="shared" si="0"/>
        <v>0</v>
      </c>
      <c r="T4" s="40">
        <f t="shared" si="0"/>
        <v>0</v>
      </c>
      <c r="U4" s="41">
        <f t="shared" si="0"/>
        <v>0</v>
      </c>
      <c r="V4" s="42">
        <f t="shared" si="0"/>
        <v>0</v>
      </c>
      <c r="W4" s="39">
        <f t="shared" si="0"/>
        <v>1670.5064697265625</v>
      </c>
      <c r="X4" s="43">
        <f t="shared" si="0"/>
        <v>138.83184814453125</v>
      </c>
      <c r="Y4" s="42">
        <f t="shared" si="0"/>
        <v>0</v>
      </c>
      <c r="Z4" s="44">
        <f t="shared" si="0"/>
        <v>0</v>
      </c>
      <c r="AA4" s="749">
        <f t="shared" si="0"/>
        <v>0.41363696474660033</v>
      </c>
      <c r="AB4" s="758">
        <f t="shared" si="0"/>
        <v>0</v>
      </c>
      <c r="AC4" s="759">
        <f t="shared" si="0"/>
        <v>0</v>
      </c>
      <c r="AD4" s="759">
        <f t="shared" si="0"/>
        <v>0</v>
      </c>
      <c r="AE4" s="759">
        <f t="shared" si="0"/>
        <v>0</v>
      </c>
      <c r="AF4" s="759">
        <f t="shared" si="0"/>
        <v>0</v>
      </c>
      <c r="AG4" s="759">
        <f t="shared" si="0"/>
        <v>0</v>
      </c>
      <c r="AH4" s="759">
        <f t="shared" si="0"/>
        <v>0</v>
      </c>
      <c r="AI4" s="760">
        <f t="shared" si="0"/>
        <v>0</v>
      </c>
      <c r="AJ4" s="749">
        <f t="shared" si="0"/>
        <v>0</v>
      </c>
      <c r="AK4" s="758">
        <f t="shared" si="0"/>
        <v>0</v>
      </c>
      <c r="AL4" s="759">
        <f t="shared" si="0"/>
        <v>0</v>
      </c>
      <c r="AM4" s="760">
        <f t="shared" si="0"/>
        <v>0</v>
      </c>
      <c r="AN4" s="946"/>
      <c r="AO4" s="947"/>
      <c r="AP4" s="947"/>
      <c r="AQ4" s="947"/>
      <c r="AR4" s="947"/>
      <c r="AS4" s="947"/>
      <c r="AT4" s="947"/>
      <c r="AU4" s="947"/>
      <c r="AV4" s="947"/>
      <c r="AW4" s="947"/>
      <c r="AX4" s="947"/>
      <c r="AY4" s="947"/>
      <c r="AZ4" s="947"/>
      <c r="BA4" s="947"/>
      <c r="BB4" s="947"/>
      <c r="BC4" s="947"/>
      <c r="BD4" s="947"/>
      <c r="BE4" s="947"/>
      <c r="BF4" s="947"/>
      <c r="BG4" s="947"/>
      <c r="BH4" s="947"/>
      <c r="BI4" s="947"/>
      <c r="BJ4" s="947"/>
      <c r="BK4" s="948"/>
    </row>
    <row r="5" spans="2:84" s="1" customFormat="1" ht="15.75" thickBot="1">
      <c r="D5" s="805"/>
      <c r="E5" s="805"/>
      <c r="F5" s="805"/>
      <c r="G5" s="806"/>
      <c r="H5" s="22" t="s">
        <v>891</v>
      </c>
      <c r="I5" s="70">
        <f t="shared" ref="I5:AM5" si="1">MAX(I10:I29)</f>
        <v>0</v>
      </c>
      <c r="J5" s="17">
        <f t="shared" si="1"/>
        <v>0</v>
      </c>
      <c r="K5" s="16">
        <f t="shared" si="1"/>
        <v>540</v>
      </c>
      <c r="L5" s="63">
        <f t="shared" si="1"/>
        <v>0</v>
      </c>
      <c r="M5" s="16">
        <f t="shared" si="1"/>
        <v>34.190292358398437</v>
      </c>
      <c r="N5" s="63">
        <f t="shared" si="1"/>
        <v>0</v>
      </c>
      <c r="O5" s="16">
        <f t="shared" si="1"/>
        <v>0</v>
      </c>
      <c r="P5" s="17">
        <f t="shared" si="1"/>
        <v>0</v>
      </c>
      <c r="Q5" s="63">
        <f t="shared" si="1"/>
        <v>79.09344482421875</v>
      </c>
      <c r="R5" s="22">
        <f t="shared" si="1"/>
        <v>0</v>
      </c>
      <c r="S5" s="17">
        <f t="shared" si="1"/>
        <v>0</v>
      </c>
      <c r="T5" s="20">
        <f t="shared" si="1"/>
        <v>0</v>
      </c>
      <c r="U5" s="21">
        <f t="shared" si="1"/>
        <v>0</v>
      </c>
      <c r="V5" s="16">
        <f t="shared" si="1"/>
        <v>0</v>
      </c>
      <c r="W5" s="19">
        <f t="shared" si="1"/>
        <v>1670.5064697265625</v>
      </c>
      <c r="X5" s="18">
        <f t="shared" si="1"/>
        <v>138.83184814453125</v>
      </c>
      <c r="Y5" s="16">
        <f t="shared" si="1"/>
        <v>0</v>
      </c>
      <c r="Z5" s="22">
        <f t="shared" si="1"/>
        <v>0</v>
      </c>
      <c r="AA5" s="750">
        <f t="shared" si="1"/>
        <v>0.41363696474660033</v>
      </c>
      <c r="AB5" s="30">
        <f t="shared" si="1"/>
        <v>0</v>
      </c>
      <c r="AC5" s="756">
        <f t="shared" si="1"/>
        <v>0</v>
      </c>
      <c r="AD5" s="756">
        <f t="shared" si="1"/>
        <v>0</v>
      </c>
      <c r="AE5" s="756">
        <f t="shared" si="1"/>
        <v>0</v>
      </c>
      <c r="AF5" s="756">
        <f t="shared" si="1"/>
        <v>0</v>
      </c>
      <c r="AG5" s="756">
        <f t="shared" si="1"/>
        <v>0</v>
      </c>
      <c r="AH5" s="756">
        <f t="shared" si="1"/>
        <v>0</v>
      </c>
      <c r="AI5" s="757">
        <f t="shared" si="1"/>
        <v>0</v>
      </c>
      <c r="AJ5" s="750">
        <f t="shared" si="1"/>
        <v>0</v>
      </c>
      <c r="AK5" s="30">
        <f t="shared" si="1"/>
        <v>0</v>
      </c>
      <c r="AL5" s="756">
        <f t="shared" si="1"/>
        <v>0</v>
      </c>
      <c r="AM5" s="757">
        <f t="shared" si="1"/>
        <v>0</v>
      </c>
      <c r="AN5" s="949"/>
      <c r="AO5" s="950"/>
      <c r="AP5" s="950"/>
      <c r="AQ5" s="950"/>
      <c r="AR5" s="950"/>
      <c r="AS5" s="950"/>
      <c r="AT5" s="950"/>
      <c r="AU5" s="950"/>
      <c r="AV5" s="950"/>
      <c r="AW5" s="950"/>
      <c r="AX5" s="950"/>
      <c r="AY5" s="950"/>
      <c r="AZ5" s="950"/>
      <c r="BA5" s="950"/>
      <c r="BB5" s="950"/>
      <c r="BC5" s="950"/>
      <c r="BD5" s="950"/>
      <c r="BE5" s="950"/>
      <c r="BF5" s="950"/>
      <c r="BG5" s="950"/>
      <c r="BH5" s="950"/>
      <c r="BI5" s="950"/>
      <c r="BJ5" s="950"/>
      <c r="BK5" s="951"/>
    </row>
    <row r="6" spans="2:84" s="1" customFormat="1" ht="15.75" thickBot="1">
      <c r="D6" s="805"/>
      <c r="E6" s="805"/>
      <c r="F6" s="805"/>
      <c r="G6" s="806"/>
      <c r="H6" s="12" t="s">
        <v>3</v>
      </c>
      <c r="I6" s="71" t="e">
        <f t="shared" ref="I6:AM6" si="2">AVERAGE(I10:I29)</f>
        <v>#DIV/0!</v>
      </c>
      <c r="J6" s="8" t="e">
        <f t="shared" si="2"/>
        <v>#DIV/0!</v>
      </c>
      <c r="K6" s="6">
        <f t="shared" si="2"/>
        <v>540</v>
      </c>
      <c r="L6" s="64" t="e">
        <f t="shared" si="2"/>
        <v>#DIV/0!</v>
      </c>
      <c r="M6" s="6">
        <f t="shared" si="2"/>
        <v>34.190292358398437</v>
      </c>
      <c r="N6" s="64" t="e">
        <f t="shared" si="2"/>
        <v>#DIV/0!</v>
      </c>
      <c r="O6" s="6" t="e">
        <f t="shared" si="2"/>
        <v>#DIV/0!</v>
      </c>
      <c r="P6" s="8" t="e">
        <f t="shared" si="2"/>
        <v>#DIV/0!</v>
      </c>
      <c r="Q6" s="64">
        <f t="shared" si="2"/>
        <v>79.09344482421875</v>
      </c>
      <c r="R6" s="12" t="e">
        <f t="shared" si="2"/>
        <v>#DIV/0!</v>
      </c>
      <c r="S6" s="8" t="e">
        <f t="shared" si="2"/>
        <v>#DIV/0!</v>
      </c>
      <c r="T6" s="10" t="e">
        <f t="shared" si="2"/>
        <v>#DIV/0!</v>
      </c>
      <c r="U6" s="13" t="e">
        <f t="shared" si="2"/>
        <v>#DIV/0!</v>
      </c>
      <c r="V6" s="6" t="e">
        <f t="shared" si="2"/>
        <v>#DIV/0!</v>
      </c>
      <c r="W6" s="9">
        <f t="shared" si="2"/>
        <v>1670.5064697265625</v>
      </c>
      <c r="X6" s="11">
        <f t="shared" si="2"/>
        <v>138.83184814453125</v>
      </c>
      <c r="Y6" s="6" t="e">
        <f t="shared" si="2"/>
        <v>#DIV/0!</v>
      </c>
      <c r="Z6" s="12" t="e">
        <f t="shared" si="2"/>
        <v>#DIV/0!</v>
      </c>
      <c r="AA6" s="751">
        <f t="shared" si="2"/>
        <v>0.41363696474660033</v>
      </c>
      <c r="AB6" s="758" t="e">
        <f t="shared" si="2"/>
        <v>#DIV/0!</v>
      </c>
      <c r="AC6" s="759" t="e">
        <f t="shared" si="2"/>
        <v>#DIV/0!</v>
      </c>
      <c r="AD6" s="759" t="e">
        <f t="shared" si="2"/>
        <v>#DIV/0!</v>
      </c>
      <c r="AE6" s="759" t="e">
        <f t="shared" si="2"/>
        <v>#DIV/0!</v>
      </c>
      <c r="AF6" s="759" t="e">
        <f t="shared" si="2"/>
        <v>#DIV/0!</v>
      </c>
      <c r="AG6" s="759" t="e">
        <f t="shared" si="2"/>
        <v>#DIV/0!</v>
      </c>
      <c r="AH6" s="759" t="e">
        <f t="shared" si="2"/>
        <v>#DIV/0!</v>
      </c>
      <c r="AI6" s="760" t="e">
        <f t="shared" si="2"/>
        <v>#DIV/0!</v>
      </c>
      <c r="AJ6" s="751" t="e">
        <f t="shared" si="2"/>
        <v>#DIV/0!</v>
      </c>
      <c r="AK6" s="758" t="e">
        <f t="shared" si="2"/>
        <v>#DIV/0!</v>
      </c>
      <c r="AL6" s="759" t="e">
        <f t="shared" si="2"/>
        <v>#DIV/0!</v>
      </c>
      <c r="AM6" s="760" t="e">
        <f t="shared" si="2"/>
        <v>#DIV/0!</v>
      </c>
      <c r="AN6" s="952"/>
      <c r="AO6" s="953"/>
      <c r="AP6" s="953"/>
      <c r="AQ6" s="953"/>
      <c r="AR6" s="953"/>
      <c r="AS6" s="953"/>
      <c r="AT6" s="953"/>
      <c r="AU6" s="953"/>
      <c r="AV6" s="953"/>
      <c r="AW6" s="953"/>
      <c r="AX6" s="953"/>
      <c r="AY6" s="953"/>
      <c r="AZ6" s="953"/>
      <c r="BA6" s="953"/>
      <c r="BB6" s="953"/>
      <c r="BC6" s="953"/>
      <c r="BD6" s="953"/>
      <c r="BE6" s="953"/>
      <c r="BF6" s="953"/>
      <c r="BG6" s="953"/>
      <c r="BH6" s="953"/>
      <c r="BI6" s="953"/>
      <c r="BJ6" s="953"/>
      <c r="BK6" s="954"/>
    </row>
    <row r="7" spans="2:84" s="1" customFormat="1" ht="16.5" thickBot="1">
      <c r="D7" s="807"/>
      <c r="E7" s="807"/>
      <c r="F7" s="807"/>
      <c r="G7" s="808"/>
      <c r="H7" s="61" t="s">
        <v>892</v>
      </c>
      <c r="I7" s="61" t="e">
        <f t="shared" ref="I7:AM7" si="3">STDEV(I10:I29)/I6</f>
        <v>#DIV/0!</v>
      </c>
      <c r="J7" s="74" t="e">
        <f t="shared" si="3"/>
        <v>#DIV/0!</v>
      </c>
      <c r="K7" s="50" t="e">
        <f t="shared" si="3"/>
        <v>#DIV/0!</v>
      </c>
      <c r="L7" s="65" t="e">
        <f t="shared" si="3"/>
        <v>#DIV/0!</v>
      </c>
      <c r="M7" s="50" t="e">
        <f t="shared" si="3"/>
        <v>#DIV/0!</v>
      </c>
      <c r="N7" s="65" t="e">
        <f t="shared" si="3"/>
        <v>#DIV/0!</v>
      </c>
      <c r="O7" s="50" t="e">
        <f t="shared" si="3"/>
        <v>#DIV/0!</v>
      </c>
      <c r="P7" s="51" t="e">
        <f t="shared" si="3"/>
        <v>#DIV/0!</v>
      </c>
      <c r="Q7" s="65" t="e">
        <f t="shared" si="3"/>
        <v>#DIV/0!</v>
      </c>
      <c r="R7" s="61" t="e">
        <f t="shared" si="3"/>
        <v>#DIV/0!</v>
      </c>
      <c r="S7" s="51" t="e">
        <f t="shared" si="3"/>
        <v>#DIV/0!</v>
      </c>
      <c r="T7" s="30" t="e">
        <f t="shared" si="3"/>
        <v>#DIV/0!</v>
      </c>
      <c r="U7" s="31" t="e">
        <f t="shared" si="3"/>
        <v>#DIV/0!</v>
      </c>
      <c r="V7" s="27" t="e">
        <f t="shared" si="3"/>
        <v>#DIV/0!</v>
      </c>
      <c r="W7" s="29" t="e">
        <f t="shared" si="3"/>
        <v>#DIV/0!</v>
      </c>
      <c r="X7" s="28" t="e">
        <f t="shared" si="3"/>
        <v>#DIV/0!</v>
      </c>
      <c r="Y7" s="484" t="e">
        <f t="shared" si="3"/>
        <v>#DIV/0!</v>
      </c>
      <c r="Z7" s="133" t="e">
        <f t="shared" si="3"/>
        <v>#DIV/0!</v>
      </c>
      <c r="AA7" s="752" t="e">
        <f t="shared" si="3"/>
        <v>#DIV/0!</v>
      </c>
      <c r="AB7" s="30" t="e">
        <f t="shared" si="3"/>
        <v>#DIV/0!</v>
      </c>
      <c r="AC7" s="756" t="e">
        <f t="shared" si="3"/>
        <v>#DIV/0!</v>
      </c>
      <c r="AD7" s="756" t="e">
        <f t="shared" si="3"/>
        <v>#DIV/0!</v>
      </c>
      <c r="AE7" s="756" t="e">
        <f t="shared" si="3"/>
        <v>#DIV/0!</v>
      </c>
      <c r="AF7" s="756" t="e">
        <f t="shared" si="3"/>
        <v>#DIV/0!</v>
      </c>
      <c r="AG7" s="756" t="e">
        <f t="shared" si="3"/>
        <v>#DIV/0!</v>
      </c>
      <c r="AH7" s="756" t="e">
        <f t="shared" si="3"/>
        <v>#DIV/0!</v>
      </c>
      <c r="AI7" s="757" t="e">
        <f t="shared" si="3"/>
        <v>#DIV/0!</v>
      </c>
      <c r="AJ7" s="752" t="e">
        <f t="shared" si="3"/>
        <v>#DIV/0!</v>
      </c>
      <c r="AK7" s="30" t="e">
        <f t="shared" si="3"/>
        <v>#DIV/0!</v>
      </c>
      <c r="AL7" s="756" t="e">
        <f t="shared" si="3"/>
        <v>#DIV/0!</v>
      </c>
      <c r="AM7" s="757" t="e">
        <f t="shared" si="3"/>
        <v>#DIV/0!</v>
      </c>
      <c r="AN7" s="1604" t="s">
        <v>895</v>
      </c>
      <c r="AO7" s="1589"/>
      <c r="AP7" s="1589"/>
      <c r="AQ7" s="1589"/>
      <c r="AR7" s="1589"/>
      <c r="AS7" s="1589"/>
      <c r="AT7" s="1589"/>
      <c r="AU7" s="1589"/>
      <c r="AV7" s="1589"/>
      <c r="AW7" s="1589"/>
      <c r="AX7" s="1589"/>
      <c r="AY7" s="1589"/>
      <c r="AZ7" s="1589"/>
      <c r="BA7" s="1589"/>
      <c r="BB7" s="1589"/>
      <c r="BC7" s="1589"/>
      <c r="BD7" s="1589"/>
      <c r="BE7" s="1589"/>
      <c r="BF7" s="1589"/>
      <c r="BG7" s="1589"/>
      <c r="BH7" s="1589"/>
      <c r="BI7" s="1590"/>
      <c r="BJ7" s="4" t="s">
        <v>98</v>
      </c>
      <c r="BK7" s="52">
        <f>COUNTIF($BK$10:$BK$29,"=0")</f>
        <v>1</v>
      </c>
    </row>
    <row r="8" spans="2:84" s="1" customFormat="1" ht="15.75" thickBot="1">
      <c r="C8" s="1594" t="s">
        <v>1187</v>
      </c>
      <c r="D8" s="1595"/>
      <c r="E8" s="1595"/>
      <c r="F8" s="1595"/>
      <c r="G8" s="1596"/>
      <c r="H8" s="4" t="s">
        <v>1185</v>
      </c>
      <c r="I8" s="1594" t="s">
        <v>8</v>
      </c>
      <c r="J8" s="1595"/>
      <c r="K8" s="1595"/>
      <c r="L8" s="1596"/>
      <c r="M8" s="1594" t="s">
        <v>9</v>
      </c>
      <c r="N8" s="1596"/>
      <c r="O8" s="1594" t="s">
        <v>40</v>
      </c>
      <c r="P8" s="1595"/>
      <c r="Q8" s="1596"/>
      <c r="R8" s="1605" t="s">
        <v>10</v>
      </c>
      <c r="S8" s="1606"/>
      <c r="T8" s="1605" t="s">
        <v>11</v>
      </c>
      <c r="U8" s="1606"/>
      <c r="V8" s="1594" t="s">
        <v>12</v>
      </c>
      <c r="W8" s="1595"/>
      <c r="X8" s="1596"/>
      <c r="Y8" s="1594" t="s">
        <v>13</v>
      </c>
      <c r="Z8" s="1595"/>
      <c r="AA8" s="1596"/>
      <c r="AB8" s="1594" t="s">
        <v>888</v>
      </c>
      <c r="AC8" s="1595"/>
      <c r="AD8" s="1595"/>
      <c r="AE8" s="1595"/>
      <c r="AF8" s="1595"/>
      <c r="AG8" s="1595"/>
      <c r="AH8" s="1595"/>
      <c r="AI8" s="1596"/>
      <c r="AJ8" s="955" t="s">
        <v>37</v>
      </c>
      <c r="AK8" s="1594" t="s">
        <v>14</v>
      </c>
      <c r="AL8" s="1595"/>
      <c r="AM8" s="1596"/>
      <c r="AN8" s="1594" t="s">
        <v>1162</v>
      </c>
      <c r="AO8" s="1595"/>
      <c r="AP8" s="1595"/>
      <c r="AQ8" s="1595"/>
      <c r="AR8" s="1595"/>
      <c r="AS8" s="1595"/>
      <c r="AT8" s="1595"/>
      <c r="AU8" s="1596"/>
      <c r="AV8" s="1594" t="s">
        <v>1240</v>
      </c>
      <c r="AW8" s="1595"/>
      <c r="AX8" s="1595"/>
      <c r="AY8" s="1595"/>
      <c r="AZ8" s="1595"/>
      <c r="BA8" s="1595"/>
      <c r="BB8" s="1595"/>
      <c r="BC8" s="1596"/>
      <c r="BD8" s="1594" t="s">
        <v>1241</v>
      </c>
      <c r="BE8" s="1595"/>
      <c r="BF8" s="1595"/>
      <c r="BG8" s="1595"/>
      <c r="BH8" s="1595"/>
      <c r="BI8" s="1596"/>
      <c r="BJ8" s="123" t="s">
        <v>99</v>
      </c>
      <c r="BK8" s="50">
        <f>BK7/COUNTIF($BK$10:$BK$29,"&lt;&gt;12")</f>
        <v>0.05</v>
      </c>
      <c r="BP8" s="1594" t="s">
        <v>1242</v>
      </c>
      <c r="BQ8" s="1595"/>
      <c r="BR8" s="1595"/>
      <c r="BS8" s="1595"/>
      <c r="BT8" s="1595"/>
      <c r="BU8" s="1595"/>
      <c r="BV8" s="1595"/>
      <c r="BW8" s="1596"/>
      <c r="BY8" s="1594" t="s">
        <v>1538</v>
      </c>
      <c r="BZ8" s="1595"/>
      <c r="CA8" s="1595"/>
      <c r="CB8" s="1595"/>
      <c r="CC8" s="1595"/>
      <c r="CD8" s="1595"/>
      <c r="CE8" s="1595"/>
      <c r="CF8" s="1596"/>
    </row>
    <row r="9" spans="2:84" s="1" customFormat="1" ht="15.75" thickBot="1">
      <c r="B9" s="1170"/>
      <c r="C9" s="56" t="s">
        <v>15</v>
      </c>
      <c r="D9" s="55" t="s">
        <v>16</v>
      </c>
      <c r="E9" s="55" t="s">
        <v>17</v>
      </c>
      <c r="F9" s="55" t="s">
        <v>18</v>
      </c>
      <c r="G9" s="58" t="s">
        <v>36</v>
      </c>
      <c r="H9" s="956" t="s">
        <v>1186</v>
      </c>
      <c r="I9" s="957" t="s">
        <v>19</v>
      </c>
      <c r="J9" s="958" t="s">
        <v>28</v>
      </c>
      <c r="K9" s="959" t="s">
        <v>20</v>
      </c>
      <c r="L9" s="960" t="s">
        <v>21</v>
      </c>
      <c r="M9" s="957" t="s">
        <v>22</v>
      </c>
      <c r="N9" s="960" t="s">
        <v>23</v>
      </c>
      <c r="O9" s="957" t="s">
        <v>41</v>
      </c>
      <c r="P9" s="959" t="s">
        <v>38</v>
      </c>
      <c r="Q9" s="960" t="s">
        <v>39</v>
      </c>
      <c r="R9" s="961" t="s">
        <v>24</v>
      </c>
      <c r="S9" s="962" t="s">
        <v>25</v>
      </c>
      <c r="T9" s="963" t="s">
        <v>24</v>
      </c>
      <c r="U9" s="964" t="s">
        <v>25</v>
      </c>
      <c r="V9" s="961" t="s">
        <v>26</v>
      </c>
      <c r="W9" s="958" t="s">
        <v>896</v>
      </c>
      <c r="X9" s="960" t="s">
        <v>27</v>
      </c>
      <c r="Y9" s="961" t="s">
        <v>29</v>
      </c>
      <c r="Z9" s="965" t="s">
        <v>30</v>
      </c>
      <c r="AA9" s="966" t="s">
        <v>31</v>
      </c>
      <c r="AB9" s="957" t="s">
        <v>894</v>
      </c>
      <c r="AC9" s="959" t="s">
        <v>24</v>
      </c>
      <c r="AD9" s="959" t="s">
        <v>32</v>
      </c>
      <c r="AE9" s="959" t="s">
        <v>33</v>
      </c>
      <c r="AF9" s="959" t="s">
        <v>34</v>
      </c>
      <c r="AG9" s="959" t="s">
        <v>1046</v>
      </c>
      <c r="AH9" s="959" t="s">
        <v>1047</v>
      </c>
      <c r="AI9" s="967" t="s">
        <v>893</v>
      </c>
      <c r="AJ9" s="125" t="s">
        <v>35</v>
      </c>
      <c r="AK9" s="958" t="s">
        <v>42</v>
      </c>
      <c r="AL9" s="968" t="s">
        <v>43</v>
      </c>
      <c r="AM9" s="969" t="s">
        <v>44</v>
      </c>
      <c r="AN9" s="957" t="s">
        <v>894</v>
      </c>
      <c r="AO9" s="959" t="s">
        <v>24</v>
      </c>
      <c r="AP9" s="959" t="s">
        <v>32</v>
      </c>
      <c r="AQ9" s="959" t="s">
        <v>33</v>
      </c>
      <c r="AR9" s="959" t="s">
        <v>34</v>
      </c>
      <c r="AS9" s="959" t="s">
        <v>1046</v>
      </c>
      <c r="AT9" s="959" t="s">
        <v>1047</v>
      </c>
      <c r="AU9" s="967" t="s">
        <v>893</v>
      </c>
      <c r="AV9" s="957" t="s">
        <v>894</v>
      </c>
      <c r="AW9" s="959" t="s">
        <v>24</v>
      </c>
      <c r="AX9" s="959" t="s">
        <v>32</v>
      </c>
      <c r="AY9" s="959" t="s">
        <v>33</v>
      </c>
      <c r="AZ9" s="959" t="s">
        <v>34</v>
      </c>
      <c r="BA9" s="959" t="s">
        <v>1046</v>
      </c>
      <c r="BB9" s="959" t="s">
        <v>1047</v>
      </c>
      <c r="BC9" s="967" t="s">
        <v>893</v>
      </c>
      <c r="BD9" s="957" t="s">
        <v>894</v>
      </c>
      <c r="BE9" s="959" t="s">
        <v>24</v>
      </c>
      <c r="BF9" s="959" t="s">
        <v>32</v>
      </c>
      <c r="BG9" s="959" t="s">
        <v>33</v>
      </c>
      <c r="BH9" s="959" t="s">
        <v>34</v>
      </c>
      <c r="BI9" s="959" t="s">
        <v>1046</v>
      </c>
      <c r="BJ9" s="960" t="s">
        <v>1047</v>
      </c>
      <c r="BK9" s="967" t="s">
        <v>1184</v>
      </c>
      <c r="BL9" s="967" t="s">
        <v>1821</v>
      </c>
      <c r="BO9" s="970"/>
      <c r="BP9" s="957" t="s">
        <v>894</v>
      </c>
      <c r="BQ9" s="959" t="s">
        <v>24</v>
      </c>
      <c r="BR9" s="959" t="s">
        <v>32</v>
      </c>
      <c r="BS9" s="959" t="s">
        <v>33</v>
      </c>
      <c r="BT9" s="959" t="s">
        <v>34</v>
      </c>
      <c r="BU9" s="959" t="s">
        <v>1046</v>
      </c>
      <c r="BV9" s="959" t="s">
        <v>1047</v>
      </c>
      <c r="BW9" s="967" t="s">
        <v>893</v>
      </c>
      <c r="BY9" s="957" t="s">
        <v>894</v>
      </c>
      <c r="BZ9" s="959" t="s">
        <v>24</v>
      </c>
      <c r="CA9" s="959" t="s">
        <v>32</v>
      </c>
      <c r="CB9" s="959" t="s">
        <v>33</v>
      </c>
      <c r="CC9" s="959" t="s">
        <v>34</v>
      </c>
      <c r="CD9" s="959" t="s">
        <v>1046</v>
      </c>
      <c r="CE9" s="959" t="s">
        <v>1047</v>
      </c>
      <c r="CF9" s="967" t="s">
        <v>893</v>
      </c>
    </row>
    <row r="10" spans="2:84" ht="15.75" thickBot="1">
      <c r="C10" s="814">
        <f>'DS Analysis'!AB9</f>
        <v>3998.5446231999995</v>
      </c>
      <c r="D10" s="815">
        <f>'DS Analysis'!AC9</f>
        <v>200</v>
      </c>
      <c r="E10" s="816">
        <f>'DS Analysis'!AD9</f>
        <v>0.42200000762939455</v>
      </c>
      <c r="F10" s="815">
        <f>'DS Analysis'!AE9</f>
        <v>125.4</v>
      </c>
      <c r="G10" s="817">
        <f>'DS Analysis'!AF9</f>
        <v>63.779527559055119</v>
      </c>
      <c r="H10" s="971">
        <v>1</v>
      </c>
      <c r="I10" s="972"/>
      <c r="J10" s="973"/>
      <c r="K10" s="973">
        <v>540</v>
      </c>
      <c r="L10" s="974"/>
      <c r="M10" s="975">
        <v>34.190292358398437</v>
      </c>
      <c r="N10" s="974"/>
      <c r="O10" s="975"/>
      <c r="P10" s="976"/>
      <c r="Q10" s="974">
        <v>79.09344482421875</v>
      </c>
      <c r="R10" s="977"/>
      <c r="S10" s="974"/>
      <c r="T10" s="978"/>
      <c r="U10" s="979"/>
      <c r="V10" s="975"/>
      <c r="W10" s="980">
        <v>1670.5064697265625</v>
      </c>
      <c r="X10" s="974">
        <v>138.83184814453125</v>
      </c>
      <c r="Y10" s="977"/>
      <c r="Z10" s="973"/>
      <c r="AA10" s="979">
        <v>0.41363696474660033</v>
      </c>
      <c r="AB10" s="972"/>
      <c r="AC10" s="976"/>
      <c r="AD10" s="976"/>
      <c r="AE10" s="976"/>
      <c r="AF10" s="976"/>
      <c r="AG10" s="976"/>
      <c r="AH10" s="976"/>
      <c r="AI10" s="981"/>
      <c r="AJ10" s="982"/>
      <c r="AK10" s="983"/>
      <c r="AL10" s="984"/>
      <c r="AM10" s="979"/>
      <c r="AN10" s="975"/>
      <c r="AO10" s="980"/>
      <c r="AP10" s="980"/>
      <c r="AQ10" s="980"/>
      <c r="AR10" s="980"/>
      <c r="AS10" s="980"/>
      <c r="AT10" s="980"/>
      <c r="AU10" s="974"/>
      <c r="AV10" s="975"/>
      <c r="AW10" s="980"/>
      <c r="AX10" s="980"/>
      <c r="AY10" s="980"/>
      <c r="AZ10" s="980"/>
      <c r="BA10" s="980"/>
      <c r="BB10" s="980"/>
      <c r="BC10" s="974"/>
      <c r="BD10" s="972"/>
      <c r="BE10" s="976"/>
      <c r="BF10" s="976"/>
      <c r="BG10" s="976"/>
      <c r="BH10" s="976"/>
      <c r="BI10" s="976"/>
      <c r="BJ10" s="981"/>
      <c r="BK10" s="975">
        <v>0</v>
      </c>
      <c r="BL10" s="975"/>
      <c r="BM10" s="947"/>
      <c r="BN10" s="947"/>
      <c r="BO10" s="985"/>
      <c r="BP10" s="978"/>
      <c r="BQ10" s="984"/>
      <c r="BR10" s="984"/>
      <c r="BS10" s="984"/>
      <c r="BT10" s="984"/>
      <c r="BU10" s="984"/>
      <c r="BV10" s="984"/>
      <c r="BW10" s="979"/>
      <c r="BY10" s="975"/>
      <c r="BZ10" s="980"/>
      <c r="CA10" s="980"/>
      <c r="CB10" s="980"/>
      <c r="CC10" s="980"/>
      <c r="CD10" s="980"/>
      <c r="CE10" s="980"/>
      <c r="CF10" s="974"/>
    </row>
    <row r="11" spans="2:84">
      <c r="H11" s="986">
        <v>2</v>
      </c>
      <c r="I11" s="987"/>
      <c r="J11" s="988"/>
      <c r="K11" s="988"/>
      <c r="L11" s="132"/>
      <c r="M11" s="474"/>
      <c r="N11" s="132"/>
      <c r="O11" s="474"/>
      <c r="P11" s="989"/>
      <c r="Q11" s="132"/>
      <c r="R11" s="990"/>
      <c r="S11" s="132"/>
      <c r="T11" s="991"/>
      <c r="U11" s="992"/>
      <c r="V11" s="474"/>
      <c r="W11" s="127"/>
      <c r="X11" s="132"/>
      <c r="Y11" s="990"/>
      <c r="Z11" s="988"/>
      <c r="AA11" s="992"/>
      <c r="AB11" s="987"/>
      <c r="AC11" s="989"/>
      <c r="AD11" s="989"/>
      <c r="AE11" s="989"/>
      <c r="AF11" s="989"/>
      <c r="AG11" s="989"/>
      <c r="AH11" s="989"/>
      <c r="AI11" s="993"/>
      <c r="AJ11" s="994"/>
      <c r="AK11" s="995"/>
      <c r="AL11" s="447"/>
      <c r="AM11" s="992"/>
      <c r="AN11" s="474"/>
      <c r="AO11" s="127"/>
      <c r="AP11" s="127"/>
      <c r="AQ11" s="127"/>
      <c r="AR11" s="127"/>
      <c r="AS11" s="127"/>
      <c r="AT11" s="127"/>
      <c r="AU11" s="132"/>
      <c r="AV11" s="474"/>
      <c r="AW11" s="127"/>
      <c r="AX11" s="127"/>
      <c r="AY11" s="127"/>
      <c r="AZ11" s="127"/>
      <c r="BA11" s="127"/>
      <c r="BB11" s="127"/>
      <c r="BC11" s="132"/>
      <c r="BD11" s="987"/>
      <c r="BE11" s="989"/>
      <c r="BF11" s="989"/>
      <c r="BG11" s="989"/>
      <c r="BH11" s="989"/>
      <c r="BI11" s="989"/>
      <c r="BJ11" s="993"/>
      <c r="BK11" s="474"/>
      <c r="BL11" s="474"/>
      <c r="BM11" s="950"/>
      <c r="BN11" s="950"/>
      <c r="BO11" s="996"/>
      <c r="BP11" s="991"/>
      <c r="BQ11" s="447"/>
      <c r="BR11" s="447"/>
      <c r="BS11" s="447"/>
      <c r="BT11" s="447"/>
      <c r="BU11" s="447"/>
      <c r="BV11" s="447"/>
      <c r="BW11" s="992"/>
      <c r="BY11" s="474"/>
      <c r="BZ11" s="127"/>
      <c r="CA11" s="127"/>
      <c r="CB11" s="127"/>
      <c r="CC11" s="127"/>
      <c r="CD11" s="127"/>
      <c r="CE11" s="127"/>
      <c r="CF11" s="132"/>
    </row>
    <row r="12" spans="2:84">
      <c r="H12" s="986">
        <v>3</v>
      </c>
      <c r="I12" s="987"/>
      <c r="J12" s="988"/>
      <c r="K12" s="988"/>
      <c r="L12" s="132"/>
      <c r="M12" s="474"/>
      <c r="N12" s="132"/>
      <c r="O12" s="474"/>
      <c r="P12" s="989"/>
      <c r="Q12" s="132"/>
      <c r="R12" s="990"/>
      <c r="S12" s="132"/>
      <c r="T12" s="991"/>
      <c r="U12" s="992"/>
      <c r="V12" s="474"/>
      <c r="W12" s="127"/>
      <c r="X12" s="132"/>
      <c r="Y12" s="990"/>
      <c r="Z12" s="988"/>
      <c r="AA12" s="992"/>
      <c r="AB12" s="987"/>
      <c r="AC12" s="989"/>
      <c r="AD12" s="989"/>
      <c r="AE12" s="989"/>
      <c r="AF12" s="989"/>
      <c r="AG12" s="989"/>
      <c r="AH12" s="989"/>
      <c r="AI12" s="993"/>
      <c r="AJ12" s="994"/>
      <c r="AK12" s="995"/>
      <c r="AL12" s="447"/>
      <c r="AM12" s="992"/>
      <c r="AN12" s="474"/>
      <c r="AO12" s="127"/>
      <c r="AP12" s="127"/>
      <c r="AQ12" s="127"/>
      <c r="AR12" s="127"/>
      <c r="AS12" s="127"/>
      <c r="AT12" s="127"/>
      <c r="AU12" s="132"/>
      <c r="AV12" s="474"/>
      <c r="AW12" s="127"/>
      <c r="AX12" s="127"/>
      <c r="AY12" s="127"/>
      <c r="AZ12" s="127"/>
      <c r="BA12" s="127"/>
      <c r="BB12" s="127"/>
      <c r="BC12" s="132"/>
      <c r="BD12" s="987"/>
      <c r="BE12" s="989"/>
      <c r="BF12" s="989"/>
      <c r="BG12" s="989"/>
      <c r="BH12" s="989"/>
      <c r="BI12" s="989"/>
      <c r="BJ12" s="993"/>
      <c r="BK12" s="474"/>
      <c r="BL12" s="474"/>
      <c r="BM12" s="950"/>
      <c r="BN12" s="950"/>
      <c r="BO12" s="996"/>
      <c r="BP12" s="991"/>
      <c r="BQ12" s="447"/>
      <c r="BR12" s="447"/>
      <c r="BS12" s="447"/>
      <c r="BT12" s="447"/>
      <c r="BU12" s="447"/>
      <c r="BV12" s="447"/>
      <c r="BW12" s="992"/>
      <c r="BY12" s="474"/>
      <c r="BZ12" s="127"/>
      <c r="CA12" s="127"/>
      <c r="CB12" s="127"/>
      <c r="CC12" s="127"/>
      <c r="CD12" s="127"/>
      <c r="CE12" s="127"/>
      <c r="CF12" s="132"/>
    </row>
    <row r="13" spans="2:84">
      <c r="H13" s="986">
        <v>4</v>
      </c>
      <c r="I13" s="987"/>
      <c r="J13" s="988"/>
      <c r="K13" s="988"/>
      <c r="L13" s="132"/>
      <c r="M13" s="474"/>
      <c r="N13" s="132"/>
      <c r="O13" s="474"/>
      <c r="P13" s="989"/>
      <c r="Q13" s="132"/>
      <c r="R13" s="990"/>
      <c r="S13" s="132"/>
      <c r="T13" s="991"/>
      <c r="U13" s="992"/>
      <c r="V13" s="474"/>
      <c r="W13" s="127"/>
      <c r="X13" s="132"/>
      <c r="Y13" s="990"/>
      <c r="Z13" s="988"/>
      <c r="AA13" s="992"/>
      <c r="AB13" s="987"/>
      <c r="AC13" s="989"/>
      <c r="AD13" s="989"/>
      <c r="AE13" s="989"/>
      <c r="AF13" s="989"/>
      <c r="AG13" s="989"/>
      <c r="AH13" s="989"/>
      <c r="AI13" s="993"/>
      <c r="AJ13" s="994"/>
      <c r="AK13" s="995"/>
      <c r="AL13" s="447"/>
      <c r="AM13" s="992"/>
      <c r="AN13" s="474"/>
      <c r="AO13" s="127"/>
      <c r="AP13" s="127"/>
      <c r="AQ13" s="127"/>
      <c r="AR13" s="127"/>
      <c r="AS13" s="127"/>
      <c r="AT13" s="127"/>
      <c r="AU13" s="132"/>
      <c r="AV13" s="474"/>
      <c r="AW13" s="127"/>
      <c r="AX13" s="127"/>
      <c r="AY13" s="127"/>
      <c r="AZ13" s="127"/>
      <c r="BA13" s="127"/>
      <c r="BB13" s="127"/>
      <c r="BC13" s="132"/>
      <c r="BD13" s="987"/>
      <c r="BE13" s="989"/>
      <c r="BF13" s="989"/>
      <c r="BG13" s="989"/>
      <c r="BH13" s="989"/>
      <c r="BI13" s="989"/>
      <c r="BJ13" s="993"/>
      <c r="BK13" s="474"/>
      <c r="BL13" s="474"/>
      <c r="BM13" s="950"/>
      <c r="BN13" s="950"/>
      <c r="BO13" s="996"/>
      <c r="BP13" s="991"/>
      <c r="BQ13" s="447"/>
      <c r="BR13" s="447"/>
      <c r="BS13" s="447"/>
      <c r="BT13" s="447"/>
      <c r="BU13" s="447"/>
      <c r="BV13" s="447"/>
      <c r="BW13" s="992"/>
      <c r="BY13" s="474"/>
      <c r="BZ13" s="127"/>
      <c r="CA13" s="127"/>
      <c r="CB13" s="127"/>
      <c r="CC13" s="127"/>
      <c r="CD13" s="127"/>
      <c r="CE13" s="127"/>
      <c r="CF13" s="132"/>
    </row>
    <row r="14" spans="2:84">
      <c r="H14" s="986">
        <v>5</v>
      </c>
      <c r="I14" s="987"/>
      <c r="J14" s="988"/>
      <c r="K14" s="988"/>
      <c r="L14" s="132"/>
      <c r="M14" s="474"/>
      <c r="N14" s="132"/>
      <c r="O14" s="474"/>
      <c r="P14" s="989"/>
      <c r="Q14" s="132"/>
      <c r="R14" s="990"/>
      <c r="S14" s="132"/>
      <c r="T14" s="991"/>
      <c r="U14" s="992"/>
      <c r="V14" s="474"/>
      <c r="W14" s="127"/>
      <c r="X14" s="132"/>
      <c r="Y14" s="990"/>
      <c r="Z14" s="988"/>
      <c r="AA14" s="992"/>
      <c r="AB14" s="987"/>
      <c r="AC14" s="989"/>
      <c r="AD14" s="989"/>
      <c r="AE14" s="989"/>
      <c r="AF14" s="989"/>
      <c r="AG14" s="989"/>
      <c r="AH14" s="989"/>
      <c r="AI14" s="993"/>
      <c r="AJ14" s="994"/>
      <c r="AK14" s="995"/>
      <c r="AL14" s="447"/>
      <c r="AM14" s="992"/>
      <c r="AN14" s="474"/>
      <c r="AO14" s="127"/>
      <c r="AP14" s="127"/>
      <c r="AQ14" s="127"/>
      <c r="AR14" s="127"/>
      <c r="AS14" s="127"/>
      <c r="AT14" s="127"/>
      <c r="AU14" s="132"/>
      <c r="AV14" s="474"/>
      <c r="AW14" s="127"/>
      <c r="AX14" s="127"/>
      <c r="AY14" s="127"/>
      <c r="AZ14" s="127"/>
      <c r="BA14" s="127"/>
      <c r="BB14" s="127"/>
      <c r="BC14" s="132"/>
      <c r="BD14" s="987"/>
      <c r="BE14" s="989"/>
      <c r="BF14" s="989"/>
      <c r="BG14" s="989"/>
      <c r="BH14" s="989"/>
      <c r="BI14" s="989"/>
      <c r="BJ14" s="993"/>
      <c r="BK14" s="474"/>
      <c r="BL14" s="474"/>
      <c r="BM14" s="950"/>
      <c r="BN14" s="950"/>
      <c r="BO14" s="996"/>
      <c r="BP14" s="991"/>
      <c r="BQ14" s="447"/>
      <c r="BR14" s="447"/>
      <c r="BS14" s="447"/>
      <c r="BT14" s="447"/>
      <c r="BU14" s="447"/>
      <c r="BV14" s="447"/>
      <c r="BW14" s="992"/>
      <c r="BY14" s="474"/>
      <c r="BZ14" s="127"/>
      <c r="CA14" s="127"/>
      <c r="CB14" s="127"/>
      <c r="CC14" s="127"/>
      <c r="CD14" s="127"/>
      <c r="CE14" s="127"/>
      <c r="CF14" s="132"/>
    </row>
    <row r="15" spans="2:84">
      <c r="H15" s="986">
        <v>6</v>
      </c>
      <c r="I15" s="987"/>
      <c r="J15" s="988"/>
      <c r="K15" s="988"/>
      <c r="L15" s="132"/>
      <c r="M15" s="474"/>
      <c r="N15" s="132"/>
      <c r="O15" s="474"/>
      <c r="P15" s="989"/>
      <c r="Q15" s="132"/>
      <c r="R15" s="990"/>
      <c r="S15" s="132"/>
      <c r="T15" s="991"/>
      <c r="U15" s="992"/>
      <c r="V15" s="474"/>
      <c r="W15" s="127"/>
      <c r="X15" s="132"/>
      <c r="Y15" s="990"/>
      <c r="Z15" s="988"/>
      <c r="AA15" s="992"/>
      <c r="AB15" s="987"/>
      <c r="AC15" s="989"/>
      <c r="AD15" s="989"/>
      <c r="AE15" s="989"/>
      <c r="AF15" s="989"/>
      <c r="AG15" s="989"/>
      <c r="AH15" s="989"/>
      <c r="AI15" s="993"/>
      <c r="AJ15" s="994"/>
      <c r="AK15" s="995"/>
      <c r="AL15" s="447"/>
      <c r="AM15" s="992"/>
      <c r="AN15" s="474"/>
      <c r="AO15" s="127"/>
      <c r="AP15" s="127"/>
      <c r="AQ15" s="127"/>
      <c r="AR15" s="127"/>
      <c r="AS15" s="127"/>
      <c r="AT15" s="127"/>
      <c r="AU15" s="132"/>
      <c r="AV15" s="474"/>
      <c r="AW15" s="127"/>
      <c r="AX15" s="127"/>
      <c r="AY15" s="127"/>
      <c r="AZ15" s="127"/>
      <c r="BA15" s="127"/>
      <c r="BB15" s="127"/>
      <c r="BC15" s="132"/>
      <c r="BD15" s="987"/>
      <c r="BE15" s="989"/>
      <c r="BF15" s="989"/>
      <c r="BG15" s="989"/>
      <c r="BH15" s="989"/>
      <c r="BI15" s="989"/>
      <c r="BJ15" s="993"/>
      <c r="BK15" s="474"/>
      <c r="BL15" s="474"/>
      <c r="BM15" s="950"/>
      <c r="BN15" s="950"/>
      <c r="BO15" s="996"/>
      <c r="BP15" s="991"/>
      <c r="BQ15" s="447"/>
      <c r="BR15" s="447"/>
      <c r="BS15" s="447"/>
      <c r="BT15" s="447"/>
      <c r="BU15" s="447"/>
      <c r="BV15" s="447"/>
      <c r="BW15" s="992"/>
      <c r="BY15" s="474"/>
      <c r="BZ15" s="127"/>
      <c r="CA15" s="127"/>
      <c r="CB15" s="127"/>
      <c r="CC15" s="127"/>
      <c r="CD15" s="127"/>
      <c r="CE15" s="127"/>
      <c r="CF15" s="132"/>
    </row>
    <row r="16" spans="2:84">
      <c r="H16" s="986">
        <v>7</v>
      </c>
      <c r="I16" s="987"/>
      <c r="J16" s="988"/>
      <c r="K16" s="988"/>
      <c r="L16" s="132"/>
      <c r="M16" s="474"/>
      <c r="N16" s="132"/>
      <c r="O16" s="474"/>
      <c r="P16" s="989"/>
      <c r="Q16" s="132"/>
      <c r="R16" s="990"/>
      <c r="S16" s="132"/>
      <c r="T16" s="991"/>
      <c r="U16" s="992"/>
      <c r="V16" s="474"/>
      <c r="W16" s="127"/>
      <c r="X16" s="132"/>
      <c r="Y16" s="990"/>
      <c r="Z16" s="988"/>
      <c r="AA16" s="992"/>
      <c r="AB16" s="987"/>
      <c r="AC16" s="989"/>
      <c r="AD16" s="989"/>
      <c r="AE16" s="989"/>
      <c r="AF16" s="989"/>
      <c r="AG16" s="989"/>
      <c r="AH16" s="989"/>
      <c r="AI16" s="993"/>
      <c r="AJ16" s="994"/>
      <c r="AK16" s="995"/>
      <c r="AL16" s="447"/>
      <c r="AM16" s="992"/>
      <c r="AN16" s="474"/>
      <c r="AO16" s="127"/>
      <c r="AP16" s="127"/>
      <c r="AQ16" s="127"/>
      <c r="AR16" s="127"/>
      <c r="AS16" s="127"/>
      <c r="AT16" s="127"/>
      <c r="AU16" s="132"/>
      <c r="AV16" s="474"/>
      <c r="AW16" s="127"/>
      <c r="AX16" s="127"/>
      <c r="AY16" s="127"/>
      <c r="AZ16" s="127"/>
      <c r="BA16" s="127"/>
      <c r="BB16" s="127"/>
      <c r="BC16" s="132"/>
      <c r="BD16" s="987"/>
      <c r="BE16" s="989"/>
      <c r="BF16" s="989"/>
      <c r="BG16" s="989"/>
      <c r="BH16" s="989"/>
      <c r="BI16" s="989"/>
      <c r="BJ16" s="993"/>
      <c r="BK16" s="474"/>
      <c r="BL16" s="474"/>
      <c r="BM16" s="950"/>
      <c r="BN16" s="950"/>
      <c r="BO16" s="996"/>
      <c r="BP16" s="991"/>
      <c r="BQ16" s="447"/>
      <c r="BR16" s="447"/>
      <c r="BS16" s="447"/>
      <c r="BT16" s="447"/>
      <c r="BU16" s="447"/>
      <c r="BV16" s="447"/>
      <c r="BW16" s="992"/>
      <c r="BY16" s="474"/>
      <c r="BZ16" s="127"/>
      <c r="CA16" s="127"/>
      <c r="CB16" s="127"/>
      <c r="CC16" s="127"/>
      <c r="CD16" s="127"/>
      <c r="CE16" s="127"/>
      <c r="CF16" s="132"/>
    </row>
    <row r="17" spans="8:84">
      <c r="H17" s="986">
        <v>8</v>
      </c>
      <c r="I17" s="987"/>
      <c r="J17" s="988"/>
      <c r="K17" s="988"/>
      <c r="L17" s="132"/>
      <c r="M17" s="474"/>
      <c r="N17" s="132"/>
      <c r="O17" s="474"/>
      <c r="P17" s="989"/>
      <c r="Q17" s="132"/>
      <c r="R17" s="990"/>
      <c r="S17" s="132"/>
      <c r="T17" s="991"/>
      <c r="U17" s="992"/>
      <c r="V17" s="474"/>
      <c r="W17" s="127"/>
      <c r="X17" s="132"/>
      <c r="Y17" s="990"/>
      <c r="Z17" s="988"/>
      <c r="AA17" s="992"/>
      <c r="AB17" s="987"/>
      <c r="AC17" s="989"/>
      <c r="AD17" s="989"/>
      <c r="AE17" s="989"/>
      <c r="AF17" s="989"/>
      <c r="AG17" s="989"/>
      <c r="AH17" s="989"/>
      <c r="AI17" s="993"/>
      <c r="AJ17" s="994"/>
      <c r="AK17" s="995"/>
      <c r="AL17" s="447"/>
      <c r="AM17" s="992"/>
      <c r="AN17" s="474"/>
      <c r="AO17" s="127"/>
      <c r="AP17" s="127"/>
      <c r="AQ17" s="127"/>
      <c r="AR17" s="127"/>
      <c r="AS17" s="127"/>
      <c r="AT17" s="127"/>
      <c r="AU17" s="132"/>
      <c r="AV17" s="474"/>
      <c r="AW17" s="127"/>
      <c r="AX17" s="127"/>
      <c r="AY17" s="127"/>
      <c r="AZ17" s="127"/>
      <c r="BA17" s="127"/>
      <c r="BB17" s="127"/>
      <c r="BC17" s="132"/>
      <c r="BD17" s="987"/>
      <c r="BE17" s="989"/>
      <c r="BF17" s="989"/>
      <c r="BG17" s="989"/>
      <c r="BH17" s="989"/>
      <c r="BI17" s="989"/>
      <c r="BJ17" s="993"/>
      <c r="BK17" s="474"/>
      <c r="BL17" s="474"/>
      <c r="BM17" s="950"/>
      <c r="BN17" s="950"/>
      <c r="BO17" s="996"/>
      <c r="BP17" s="991"/>
      <c r="BQ17" s="447"/>
      <c r="BR17" s="447"/>
      <c r="BS17" s="447"/>
      <c r="BT17" s="447"/>
      <c r="BU17" s="447"/>
      <c r="BV17" s="447"/>
      <c r="BW17" s="992"/>
      <c r="BY17" s="474"/>
      <c r="BZ17" s="127"/>
      <c r="CA17" s="127"/>
      <c r="CB17" s="127"/>
      <c r="CC17" s="127"/>
      <c r="CD17" s="127"/>
      <c r="CE17" s="127"/>
      <c r="CF17" s="132"/>
    </row>
    <row r="18" spans="8:84">
      <c r="H18" s="986">
        <v>9</v>
      </c>
      <c r="I18" s="987"/>
      <c r="J18" s="988"/>
      <c r="K18" s="988"/>
      <c r="L18" s="132"/>
      <c r="M18" s="474"/>
      <c r="N18" s="132"/>
      <c r="O18" s="474"/>
      <c r="P18" s="989"/>
      <c r="Q18" s="132"/>
      <c r="R18" s="990"/>
      <c r="S18" s="132"/>
      <c r="T18" s="991"/>
      <c r="U18" s="992"/>
      <c r="V18" s="474"/>
      <c r="W18" s="127"/>
      <c r="X18" s="132"/>
      <c r="Y18" s="990"/>
      <c r="Z18" s="988"/>
      <c r="AA18" s="992"/>
      <c r="AB18" s="987"/>
      <c r="AC18" s="989"/>
      <c r="AD18" s="989"/>
      <c r="AE18" s="989"/>
      <c r="AF18" s="989"/>
      <c r="AG18" s="989"/>
      <c r="AH18" s="989"/>
      <c r="AI18" s="993"/>
      <c r="AJ18" s="994"/>
      <c r="AK18" s="995"/>
      <c r="AL18" s="447"/>
      <c r="AM18" s="992"/>
      <c r="AN18" s="474"/>
      <c r="AO18" s="127"/>
      <c r="AP18" s="127"/>
      <c r="AQ18" s="127"/>
      <c r="AR18" s="127"/>
      <c r="AS18" s="127"/>
      <c r="AT18" s="127"/>
      <c r="AU18" s="132"/>
      <c r="AV18" s="474"/>
      <c r="AW18" s="127"/>
      <c r="AX18" s="127"/>
      <c r="AY18" s="127"/>
      <c r="AZ18" s="127"/>
      <c r="BA18" s="127"/>
      <c r="BB18" s="127"/>
      <c r="BC18" s="132"/>
      <c r="BD18" s="987"/>
      <c r="BE18" s="989"/>
      <c r="BF18" s="989"/>
      <c r="BG18" s="989"/>
      <c r="BH18" s="989"/>
      <c r="BI18" s="989"/>
      <c r="BJ18" s="993"/>
      <c r="BK18" s="474"/>
      <c r="BL18" s="474"/>
      <c r="BM18" s="950"/>
      <c r="BN18" s="950"/>
      <c r="BO18" s="996"/>
      <c r="BP18" s="991"/>
      <c r="BQ18" s="447"/>
      <c r="BR18" s="447"/>
      <c r="BS18" s="447"/>
      <c r="BT18" s="447"/>
      <c r="BU18" s="447"/>
      <c r="BV18" s="447"/>
      <c r="BW18" s="992"/>
      <c r="BY18" s="474"/>
      <c r="BZ18" s="127"/>
      <c r="CA18" s="127"/>
      <c r="CB18" s="127"/>
      <c r="CC18" s="127"/>
      <c r="CD18" s="127"/>
      <c r="CE18" s="127"/>
      <c r="CF18" s="132"/>
    </row>
    <row r="19" spans="8:84">
      <c r="H19" s="986">
        <v>10</v>
      </c>
      <c r="I19" s="987"/>
      <c r="J19" s="988"/>
      <c r="K19" s="988"/>
      <c r="L19" s="132"/>
      <c r="M19" s="474"/>
      <c r="N19" s="132"/>
      <c r="O19" s="474"/>
      <c r="P19" s="989"/>
      <c r="Q19" s="132"/>
      <c r="R19" s="990"/>
      <c r="S19" s="132"/>
      <c r="T19" s="991"/>
      <c r="U19" s="992"/>
      <c r="V19" s="474"/>
      <c r="W19" s="127"/>
      <c r="X19" s="132"/>
      <c r="Y19" s="990"/>
      <c r="Z19" s="988"/>
      <c r="AA19" s="992"/>
      <c r="AB19" s="987"/>
      <c r="AC19" s="989"/>
      <c r="AD19" s="989"/>
      <c r="AE19" s="989"/>
      <c r="AF19" s="989"/>
      <c r="AG19" s="989"/>
      <c r="AH19" s="989"/>
      <c r="AI19" s="993"/>
      <c r="AJ19" s="994"/>
      <c r="AK19" s="995"/>
      <c r="AL19" s="447"/>
      <c r="AM19" s="992"/>
      <c r="AN19" s="474"/>
      <c r="AO19" s="127"/>
      <c r="AP19" s="127"/>
      <c r="AQ19" s="127"/>
      <c r="AR19" s="127"/>
      <c r="AS19" s="127"/>
      <c r="AT19" s="127"/>
      <c r="AU19" s="132"/>
      <c r="AV19" s="474"/>
      <c r="AW19" s="127"/>
      <c r="AX19" s="127"/>
      <c r="AY19" s="127"/>
      <c r="AZ19" s="127"/>
      <c r="BA19" s="127"/>
      <c r="BB19" s="127"/>
      <c r="BC19" s="132"/>
      <c r="BD19" s="987"/>
      <c r="BE19" s="989"/>
      <c r="BF19" s="989"/>
      <c r="BG19" s="989"/>
      <c r="BH19" s="989"/>
      <c r="BI19" s="989"/>
      <c r="BJ19" s="993"/>
      <c r="BK19" s="474"/>
      <c r="BL19" s="474"/>
      <c r="BM19" s="950"/>
      <c r="BN19" s="950"/>
      <c r="BO19" s="996"/>
      <c r="BP19" s="991"/>
      <c r="BQ19" s="447"/>
      <c r="BR19" s="447"/>
      <c r="BS19" s="447"/>
      <c r="BT19" s="447"/>
      <c r="BU19" s="447"/>
      <c r="BV19" s="447"/>
      <c r="BW19" s="992"/>
      <c r="BY19" s="474"/>
      <c r="BZ19" s="127"/>
      <c r="CA19" s="127"/>
      <c r="CB19" s="127"/>
      <c r="CC19" s="127"/>
      <c r="CD19" s="127"/>
      <c r="CE19" s="127"/>
      <c r="CF19" s="132"/>
    </row>
    <row r="20" spans="8:84">
      <c r="H20" s="986">
        <v>11</v>
      </c>
      <c r="I20" s="987"/>
      <c r="J20" s="988"/>
      <c r="K20" s="988"/>
      <c r="L20" s="132"/>
      <c r="M20" s="474"/>
      <c r="N20" s="132"/>
      <c r="O20" s="474"/>
      <c r="P20" s="989"/>
      <c r="Q20" s="132"/>
      <c r="R20" s="990"/>
      <c r="S20" s="132"/>
      <c r="T20" s="991"/>
      <c r="U20" s="992"/>
      <c r="V20" s="474"/>
      <c r="W20" s="127"/>
      <c r="X20" s="132"/>
      <c r="Y20" s="990"/>
      <c r="Z20" s="988"/>
      <c r="AA20" s="992"/>
      <c r="AB20" s="987"/>
      <c r="AC20" s="989"/>
      <c r="AD20" s="989"/>
      <c r="AE20" s="989"/>
      <c r="AF20" s="989"/>
      <c r="AG20" s="989"/>
      <c r="AH20" s="989"/>
      <c r="AI20" s="993"/>
      <c r="AJ20" s="994"/>
      <c r="AK20" s="995"/>
      <c r="AL20" s="447"/>
      <c r="AM20" s="992"/>
      <c r="AN20" s="474"/>
      <c r="AO20" s="127"/>
      <c r="AP20" s="127"/>
      <c r="AQ20" s="127"/>
      <c r="AR20" s="127"/>
      <c r="AS20" s="127"/>
      <c r="AT20" s="127"/>
      <c r="AU20" s="132"/>
      <c r="AV20" s="474"/>
      <c r="AW20" s="127"/>
      <c r="AX20" s="127"/>
      <c r="AY20" s="127"/>
      <c r="AZ20" s="127"/>
      <c r="BA20" s="127"/>
      <c r="BB20" s="127"/>
      <c r="BC20" s="132"/>
      <c r="BD20" s="987"/>
      <c r="BE20" s="989"/>
      <c r="BF20" s="989"/>
      <c r="BG20" s="989"/>
      <c r="BH20" s="989"/>
      <c r="BI20" s="989"/>
      <c r="BJ20" s="993"/>
      <c r="BK20" s="474"/>
      <c r="BL20" s="474"/>
      <c r="BM20" s="950"/>
      <c r="BN20" s="950"/>
      <c r="BO20" s="996"/>
      <c r="BP20" s="991"/>
      <c r="BQ20" s="447"/>
      <c r="BR20" s="447"/>
      <c r="BS20" s="447"/>
      <c r="BT20" s="447"/>
      <c r="BU20" s="447"/>
      <c r="BV20" s="447"/>
      <c r="BW20" s="992"/>
      <c r="BY20" s="474"/>
      <c r="BZ20" s="127"/>
      <c r="CA20" s="127"/>
      <c r="CB20" s="127"/>
      <c r="CC20" s="127"/>
      <c r="CD20" s="127"/>
      <c r="CE20" s="127"/>
      <c r="CF20" s="132"/>
    </row>
    <row r="21" spans="8:84">
      <c r="H21" s="986">
        <v>12</v>
      </c>
      <c r="I21" s="987"/>
      <c r="J21" s="988"/>
      <c r="K21" s="988"/>
      <c r="L21" s="132"/>
      <c r="M21" s="474"/>
      <c r="N21" s="132"/>
      <c r="O21" s="474"/>
      <c r="P21" s="989"/>
      <c r="Q21" s="132"/>
      <c r="R21" s="990"/>
      <c r="S21" s="132"/>
      <c r="T21" s="991"/>
      <c r="U21" s="992"/>
      <c r="V21" s="474"/>
      <c r="W21" s="127"/>
      <c r="X21" s="132"/>
      <c r="Y21" s="990"/>
      <c r="Z21" s="988"/>
      <c r="AA21" s="992"/>
      <c r="AB21" s="987"/>
      <c r="AC21" s="989"/>
      <c r="AD21" s="989"/>
      <c r="AE21" s="989"/>
      <c r="AF21" s="989"/>
      <c r="AG21" s="989"/>
      <c r="AH21" s="989"/>
      <c r="AI21" s="993"/>
      <c r="AJ21" s="994"/>
      <c r="AK21" s="995"/>
      <c r="AL21" s="447"/>
      <c r="AM21" s="992"/>
      <c r="AN21" s="474"/>
      <c r="AO21" s="127"/>
      <c r="AP21" s="127"/>
      <c r="AQ21" s="127"/>
      <c r="AR21" s="127"/>
      <c r="AS21" s="127"/>
      <c r="AT21" s="127"/>
      <c r="AU21" s="132"/>
      <c r="AV21" s="474"/>
      <c r="AW21" s="127"/>
      <c r="AX21" s="127"/>
      <c r="AY21" s="127"/>
      <c r="AZ21" s="127"/>
      <c r="BA21" s="127"/>
      <c r="BB21" s="127"/>
      <c r="BC21" s="132"/>
      <c r="BD21" s="987"/>
      <c r="BE21" s="989"/>
      <c r="BF21" s="989"/>
      <c r="BG21" s="989"/>
      <c r="BH21" s="989"/>
      <c r="BI21" s="989"/>
      <c r="BJ21" s="993"/>
      <c r="BK21" s="474"/>
      <c r="BL21" s="474"/>
      <c r="BM21" s="950"/>
      <c r="BN21" s="950"/>
      <c r="BO21" s="996"/>
      <c r="BP21" s="991"/>
      <c r="BQ21" s="447"/>
      <c r="BR21" s="447"/>
      <c r="BS21" s="447"/>
      <c r="BT21" s="447"/>
      <c r="BU21" s="447"/>
      <c r="BV21" s="447"/>
      <c r="BW21" s="992"/>
      <c r="BY21" s="474"/>
      <c r="BZ21" s="127"/>
      <c r="CA21" s="127"/>
      <c r="CB21" s="127"/>
      <c r="CC21" s="127"/>
      <c r="CD21" s="127"/>
      <c r="CE21" s="127"/>
      <c r="CF21" s="132"/>
    </row>
    <row r="22" spans="8:84">
      <c r="H22" s="986">
        <v>13</v>
      </c>
      <c r="I22" s="987"/>
      <c r="J22" s="988"/>
      <c r="K22" s="988"/>
      <c r="L22" s="132"/>
      <c r="M22" s="474"/>
      <c r="N22" s="132"/>
      <c r="O22" s="474"/>
      <c r="P22" s="989"/>
      <c r="Q22" s="132"/>
      <c r="R22" s="990"/>
      <c r="S22" s="132"/>
      <c r="T22" s="991"/>
      <c r="U22" s="992"/>
      <c r="V22" s="474"/>
      <c r="W22" s="127"/>
      <c r="X22" s="132"/>
      <c r="Y22" s="990"/>
      <c r="Z22" s="988"/>
      <c r="AA22" s="992"/>
      <c r="AB22" s="987"/>
      <c r="AC22" s="989"/>
      <c r="AD22" s="989"/>
      <c r="AE22" s="989"/>
      <c r="AF22" s="989"/>
      <c r="AG22" s="989"/>
      <c r="AH22" s="989"/>
      <c r="AI22" s="993"/>
      <c r="AJ22" s="994"/>
      <c r="AK22" s="995"/>
      <c r="AL22" s="447"/>
      <c r="AM22" s="992"/>
      <c r="AN22" s="474"/>
      <c r="AO22" s="127"/>
      <c r="AP22" s="127"/>
      <c r="AQ22" s="127"/>
      <c r="AR22" s="127"/>
      <c r="AS22" s="127"/>
      <c r="AT22" s="127"/>
      <c r="AU22" s="132"/>
      <c r="AV22" s="474"/>
      <c r="AW22" s="127"/>
      <c r="AX22" s="127"/>
      <c r="AY22" s="127"/>
      <c r="AZ22" s="127"/>
      <c r="BA22" s="127"/>
      <c r="BB22" s="127"/>
      <c r="BC22" s="132"/>
      <c r="BD22" s="987"/>
      <c r="BE22" s="989"/>
      <c r="BF22" s="989"/>
      <c r="BG22" s="989"/>
      <c r="BH22" s="989"/>
      <c r="BI22" s="989"/>
      <c r="BJ22" s="993"/>
      <c r="BK22" s="474"/>
      <c r="BL22" s="474"/>
      <c r="BM22" s="950"/>
      <c r="BN22" s="950"/>
      <c r="BO22" s="996"/>
      <c r="BP22" s="991"/>
      <c r="BQ22" s="447"/>
      <c r="BR22" s="447"/>
      <c r="BS22" s="447"/>
      <c r="BT22" s="447"/>
      <c r="BU22" s="447"/>
      <c r="BV22" s="447"/>
      <c r="BW22" s="992"/>
      <c r="BY22" s="474"/>
      <c r="BZ22" s="127"/>
      <c r="CA22" s="127"/>
      <c r="CB22" s="127"/>
      <c r="CC22" s="127"/>
      <c r="CD22" s="127"/>
      <c r="CE22" s="127"/>
      <c r="CF22" s="132"/>
    </row>
    <row r="23" spans="8:84">
      <c r="H23" s="986">
        <v>14</v>
      </c>
      <c r="I23" s="987"/>
      <c r="J23" s="988"/>
      <c r="K23" s="988"/>
      <c r="L23" s="132"/>
      <c r="M23" s="474"/>
      <c r="N23" s="132"/>
      <c r="O23" s="474"/>
      <c r="P23" s="989"/>
      <c r="Q23" s="132"/>
      <c r="R23" s="990"/>
      <c r="S23" s="132"/>
      <c r="T23" s="991"/>
      <c r="U23" s="992"/>
      <c r="V23" s="474"/>
      <c r="W23" s="127"/>
      <c r="X23" s="132"/>
      <c r="Y23" s="990"/>
      <c r="Z23" s="988"/>
      <c r="AA23" s="992"/>
      <c r="AB23" s="987"/>
      <c r="AC23" s="989"/>
      <c r="AD23" s="989"/>
      <c r="AE23" s="989"/>
      <c r="AF23" s="989"/>
      <c r="AG23" s="989"/>
      <c r="AH23" s="989"/>
      <c r="AI23" s="993"/>
      <c r="AJ23" s="994"/>
      <c r="AK23" s="995"/>
      <c r="AL23" s="447"/>
      <c r="AM23" s="992"/>
      <c r="AN23" s="474"/>
      <c r="AO23" s="127"/>
      <c r="AP23" s="127"/>
      <c r="AQ23" s="127"/>
      <c r="AR23" s="127"/>
      <c r="AS23" s="127"/>
      <c r="AT23" s="127"/>
      <c r="AU23" s="132"/>
      <c r="AV23" s="474"/>
      <c r="AW23" s="127"/>
      <c r="AX23" s="127"/>
      <c r="AY23" s="127"/>
      <c r="AZ23" s="127"/>
      <c r="BA23" s="127"/>
      <c r="BB23" s="127"/>
      <c r="BC23" s="132"/>
      <c r="BD23" s="987"/>
      <c r="BE23" s="989"/>
      <c r="BF23" s="989"/>
      <c r="BG23" s="989"/>
      <c r="BH23" s="989"/>
      <c r="BI23" s="989"/>
      <c r="BJ23" s="993"/>
      <c r="BK23" s="474"/>
      <c r="BL23" s="474"/>
      <c r="BM23" s="950"/>
      <c r="BN23" s="950"/>
      <c r="BO23" s="996"/>
      <c r="BP23" s="991"/>
      <c r="BQ23" s="447"/>
      <c r="BR23" s="447"/>
      <c r="BS23" s="447"/>
      <c r="BT23" s="447"/>
      <c r="BU23" s="447"/>
      <c r="BV23" s="447"/>
      <c r="BW23" s="992"/>
      <c r="BY23" s="474"/>
      <c r="BZ23" s="127"/>
      <c r="CA23" s="127"/>
      <c r="CB23" s="127"/>
      <c r="CC23" s="127"/>
      <c r="CD23" s="127"/>
      <c r="CE23" s="127"/>
      <c r="CF23" s="132"/>
    </row>
    <row r="24" spans="8:84">
      <c r="H24" s="986">
        <v>15</v>
      </c>
      <c r="I24" s="987"/>
      <c r="J24" s="988"/>
      <c r="K24" s="988"/>
      <c r="L24" s="132"/>
      <c r="M24" s="474"/>
      <c r="N24" s="132"/>
      <c r="O24" s="474"/>
      <c r="P24" s="989"/>
      <c r="Q24" s="132"/>
      <c r="R24" s="990"/>
      <c r="S24" s="132"/>
      <c r="T24" s="991"/>
      <c r="U24" s="992"/>
      <c r="V24" s="474"/>
      <c r="W24" s="127"/>
      <c r="X24" s="132"/>
      <c r="Y24" s="990"/>
      <c r="Z24" s="988"/>
      <c r="AA24" s="992"/>
      <c r="AB24" s="987"/>
      <c r="AC24" s="989"/>
      <c r="AD24" s="989"/>
      <c r="AE24" s="989"/>
      <c r="AF24" s="989"/>
      <c r="AG24" s="989"/>
      <c r="AH24" s="989"/>
      <c r="AI24" s="993"/>
      <c r="AJ24" s="994"/>
      <c r="AK24" s="995"/>
      <c r="AL24" s="447"/>
      <c r="AM24" s="992"/>
      <c r="AN24" s="474"/>
      <c r="AO24" s="127"/>
      <c r="AP24" s="127"/>
      <c r="AQ24" s="127"/>
      <c r="AR24" s="127"/>
      <c r="AS24" s="127"/>
      <c r="AT24" s="127"/>
      <c r="AU24" s="132"/>
      <c r="AV24" s="474"/>
      <c r="AW24" s="127"/>
      <c r="AX24" s="127"/>
      <c r="AY24" s="127"/>
      <c r="AZ24" s="127"/>
      <c r="BA24" s="127"/>
      <c r="BB24" s="127"/>
      <c r="BC24" s="132"/>
      <c r="BD24" s="987"/>
      <c r="BE24" s="989"/>
      <c r="BF24" s="989"/>
      <c r="BG24" s="989"/>
      <c r="BH24" s="989"/>
      <c r="BI24" s="989"/>
      <c r="BJ24" s="993"/>
      <c r="BK24" s="474"/>
      <c r="BL24" s="474"/>
      <c r="BM24" s="950"/>
      <c r="BN24" s="950"/>
      <c r="BO24" s="996"/>
      <c r="BP24" s="991"/>
      <c r="BQ24" s="447"/>
      <c r="BR24" s="447"/>
      <c r="BS24" s="447"/>
      <c r="BT24" s="447"/>
      <c r="BU24" s="447"/>
      <c r="BV24" s="447"/>
      <c r="BW24" s="992"/>
      <c r="BY24" s="474"/>
      <c r="BZ24" s="127"/>
      <c r="CA24" s="127"/>
      <c r="CB24" s="127"/>
      <c r="CC24" s="127"/>
      <c r="CD24" s="127"/>
      <c r="CE24" s="127"/>
      <c r="CF24" s="132"/>
    </row>
    <row r="25" spans="8:84">
      <c r="H25" s="986">
        <v>16</v>
      </c>
      <c r="I25" s="987"/>
      <c r="J25" s="988"/>
      <c r="K25" s="988"/>
      <c r="L25" s="132"/>
      <c r="M25" s="474"/>
      <c r="N25" s="132"/>
      <c r="O25" s="474"/>
      <c r="P25" s="989"/>
      <c r="Q25" s="132"/>
      <c r="R25" s="990"/>
      <c r="S25" s="132"/>
      <c r="T25" s="991"/>
      <c r="U25" s="992"/>
      <c r="V25" s="474"/>
      <c r="W25" s="127"/>
      <c r="X25" s="132"/>
      <c r="Y25" s="990"/>
      <c r="Z25" s="988"/>
      <c r="AA25" s="992"/>
      <c r="AB25" s="987"/>
      <c r="AC25" s="989"/>
      <c r="AD25" s="989"/>
      <c r="AE25" s="989"/>
      <c r="AF25" s="989"/>
      <c r="AG25" s="989"/>
      <c r="AH25" s="989"/>
      <c r="AI25" s="993"/>
      <c r="AJ25" s="994"/>
      <c r="AK25" s="995"/>
      <c r="AL25" s="447"/>
      <c r="AM25" s="992"/>
      <c r="AN25" s="474"/>
      <c r="AO25" s="127"/>
      <c r="AP25" s="127"/>
      <c r="AQ25" s="127"/>
      <c r="AR25" s="127"/>
      <c r="AS25" s="127"/>
      <c r="AT25" s="127"/>
      <c r="AU25" s="132"/>
      <c r="AV25" s="474"/>
      <c r="AW25" s="127"/>
      <c r="AX25" s="127"/>
      <c r="AY25" s="127"/>
      <c r="AZ25" s="127"/>
      <c r="BA25" s="127"/>
      <c r="BB25" s="127"/>
      <c r="BC25" s="132"/>
      <c r="BD25" s="987"/>
      <c r="BE25" s="989"/>
      <c r="BF25" s="989"/>
      <c r="BG25" s="989"/>
      <c r="BH25" s="989"/>
      <c r="BI25" s="989"/>
      <c r="BJ25" s="993"/>
      <c r="BK25" s="474"/>
      <c r="BL25" s="474"/>
      <c r="BM25" s="950"/>
      <c r="BN25" s="950"/>
      <c r="BO25" s="996"/>
      <c r="BP25" s="991"/>
      <c r="BQ25" s="447"/>
      <c r="BR25" s="447"/>
      <c r="BS25" s="447"/>
      <c r="BT25" s="447"/>
      <c r="BU25" s="447"/>
      <c r="BV25" s="447"/>
      <c r="BW25" s="992"/>
      <c r="BY25" s="474"/>
      <c r="BZ25" s="127"/>
      <c r="CA25" s="127"/>
      <c r="CB25" s="127"/>
      <c r="CC25" s="127"/>
      <c r="CD25" s="127"/>
      <c r="CE25" s="127"/>
      <c r="CF25" s="132"/>
    </row>
    <row r="26" spans="8:84">
      <c r="H26" s="986">
        <v>17</v>
      </c>
      <c r="I26" s="987"/>
      <c r="J26" s="988"/>
      <c r="K26" s="988"/>
      <c r="L26" s="132"/>
      <c r="M26" s="474"/>
      <c r="N26" s="132"/>
      <c r="O26" s="474"/>
      <c r="P26" s="989"/>
      <c r="Q26" s="132"/>
      <c r="R26" s="990"/>
      <c r="S26" s="132"/>
      <c r="T26" s="991"/>
      <c r="U26" s="992"/>
      <c r="V26" s="474"/>
      <c r="W26" s="127"/>
      <c r="X26" s="132"/>
      <c r="Y26" s="990"/>
      <c r="Z26" s="988"/>
      <c r="AA26" s="992"/>
      <c r="AB26" s="987"/>
      <c r="AC26" s="989"/>
      <c r="AD26" s="989"/>
      <c r="AE26" s="989"/>
      <c r="AF26" s="989"/>
      <c r="AG26" s="989"/>
      <c r="AH26" s="989"/>
      <c r="AI26" s="993"/>
      <c r="AJ26" s="994"/>
      <c r="AK26" s="995"/>
      <c r="AL26" s="447"/>
      <c r="AM26" s="992"/>
      <c r="AN26" s="474"/>
      <c r="AO26" s="127"/>
      <c r="AP26" s="127"/>
      <c r="AQ26" s="127"/>
      <c r="AR26" s="127"/>
      <c r="AS26" s="127"/>
      <c r="AT26" s="127"/>
      <c r="AU26" s="132"/>
      <c r="AV26" s="474"/>
      <c r="AW26" s="127"/>
      <c r="AX26" s="127"/>
      <c r="AY26" s="127"/>
      <c r="AZ26" s="127"/>
      <c r="BA26" s="127"/>
      <c r="BB26" s="127"/>
      <c r="BC26" s="132"/>
      <c r="BD26" s="987"/>
      <c r="BE26" s="989"/>
      <c r="BF26" s="989"/>
      <c r="BG26" s="989"/>
      <c r="BH26" s="989"/>
      <c r="BI26" s="989"/>
      <c r="BJ26" s="993"/>
      <c r="BK26" s="474"/>
      <c r="BL26" s="474"/>
      <c r="BM26" s="950"/>
      <c r="BN26" s="950"/>
      <c r="BO26" s="996"/>
      <c r="BP26" s="991"/>
      <c r="BQ26" s="447"/>
      <c r="BR26" s="447"/>
      <c r="BS26" s="447"/>
      <c r="BT26" s="447"/>
      <c r="BU26" s="447"/>
      <c r="BV26" s="447"/>
      <c r="BW26" s="992"/>
      <c r="BY26" s="474" t="e">
        <v>#N/A</v>
      </c>
      <c r="BZ26" s="127" t="e">
        <v>#N/A</v>
      </c>
      <c r="CA26" s="127" t="e">
        <v>#N/A</v>
      </c>
      <c r="CB26" s="127" t="e">
        <v>#N/A</v>
      </c>
      <c r="CC26" s="127" t="e">
        <v>#N/A</v>
      </c>
      <c r="CD26" s="127" t="e">
        <v>#N/A</v>
      </c>
      <c r="CE26" s="127" t="e">
        <v>#N/A</v>
      </c>
      <c r="CF26" s="132" t="e">
        <v>#N/A</v>
      </c>
    </row>
    <row r="27" spans="8:84">
      <c r="H27" s="986">
        <v>18</v>
      </c>
      <c r="I27" s="987"/>
      <c r="J27" s="988"/>
      <c r="K27" s="988"/>
      <c r="L27" s="132"/>
      <c r="M27" s="474"/>
      <c r="N27" s="132"/>
      <c r="O27" s="474"/>
      <c r="P27" s="989"/>
      <c r="Q27" s="132"/>
      <c r="R27" s="990"/>
      <c r="S27" s="132"/>
      <c r="T27" s="991"/>
      <c r="U27" s="992"/>
      <c r="V27" s="474"/>
      <c r="W27" s="127"/>
      <c r="X27" s="132"/>
      <c r="Y27" s="990"/>
      <c r="Z27" s="988"/>
      <c r="AA27" s="992"/>
      <c r="AB27" s="987"/>
      <c r="AC27" s="989"/>
      <c r="AD27" s="989"/>
      <c r="AE27" s="989"/>
      <c r="AF27" s="989"/>
      <c r="AG27" s="989"/>
      <c r="AH27" s="989"/>
      <c r="AI27" s="993"/>
      <c r="AJ27" s="994"/>
      <c r="AK27" s="995"/>
      <c r="AL27" s="447"/>
      <c r="AM27" s="992"/>
      <c r="AN27" s="474"/>
      <c r="AO27" s="127"/>
      <c r="AP27" s="127"/>
      <c r="AQ27" s="127"/>
      <c r="AR27" s="127"/>
      <c r="AS27" s="127"/>
      <c r="AT27" s="127"/>
      <c r="AU27" s="132"/>
      <c r="AV27" s="474"/>
      <c r="AW27" s="127"/>
      <c r="AX27" s="127"/>
      <c r="AY27" s="127"/>
      <c r="AZ27" s="127"/>
      <c r="BA27" s="127"/>
      <c r="BB27" s="127"/>
      <c r="BC27" s="132"/>
      <c r="BD27" s="987"/>
      <c r="BE27" s="989"/>
      <c r="BF27" s="989"/>
      <c r="BG27" s="989"/>
      <c r="BH27" s="989"/>
      <c r="BI27" s="989"/>
      <c r="BJ27" s="993"/>
      <c r="BK27" s="474"/>
      <c r="BL27" s="474"/>
      <c r="BM27" s="950"/>
      <c r="BN27" s="950"/>
      <c r="BO27" s="996"/>
      <c r="BP27" s="991"/>
      <c r="BQ27" s="447"/>
      <c r="BR27" s="447"/>
      <c r="BS27" s="447"/>
      <c r="BT27" s="447"/>
      <c r="BU27" s="447"/>
      <c r="BV27" s="447"/>
      <c r="BW27" s="992"/>
      <c r="BY27" s="474" t="e">
        <v>#N/A</v>
      </c>
      <c r="BZ27" s="127" t="e">
        <v>#N/A</v>
      </c>
      <c r="CA27" s="127" t="e">
        <v>#N/A</v>
      </c>
      <c r="CB27" s="127" t="e">
        <v>#N/A</v>
      </c>
      <c r="CC27" s="127" t="e">
        <v>#N/A</v>
      </c>
      <c r="CD27" s="127" t="e">
        <v>#N/A</v>
      </c>
      <c r="CE27" s="127" t="e">
        <v>#N/A</v>
      </c>
      <c r="CF27" s="132" t="e">
        <v>#N/A</v>
      </c>
    </row>
    <row r="28" spans="8:84">
      <c r="H28" s="986">
        <v>19</v>
      </c>
      <c r="I28" s="987"/>
      <c r="J28" s="988"/>
      <c r="K28" s="988"/>
      <c r="L28" s="132"/>
      <c r="M28" s="474"/>
      <c r="N28" s="132"/>
      <c r="O28" s="474"/>
      <c r="P28" s="989"/>
      <c r="Q28" s="132"/>
      <c r="R28" s="990"/>
      <c r="S28" s="132"/>
      <c r="T28" s="991"/>
      <c r="U28" s="992"/>
      <c r="V28" s="474"/>
      <c r="W28" s="127"/>
      <c r="X28" s="132"/>
      <c r="Y28" s="990"/>
      <c r="Z28" s="988"/>
      <c r="AA28" s="992"/>
      <c r="AB28" s="987"/>
      <c r="AC28" s="989"/>
      <c r="AD28" s="989"/>
      <c r="AE28" s="989"/>
      <c r="AF28" s="989"/>
      <c r="AG28" s="989"/>
      <c r="AH28" s="989"/>
      <c r="AI28" s="993"/>
      <c r="AJ28" s="994"/>
      <c r="AK28" s="995"/>
      <c r="AL28" s="447"/>
      <c r="AM28" s="992"/>
      <c r="AN28" s="474"/>
      <c r="AO28" s="127"/>
      <c r="AP28" s="127"/>
      <c r="AQ28" s="127"/>
      <c r="AR28" s="127"/>
      <c r="AS28" s="127"/>
      <c r="AT28" s="127"/>
      <c r="AU28" s="132"/>
      <c r="AV28" s="474"/>
      <c r="AW28" s="127"/>
      <c r="AX28" s="127"/>
      <c r="AY28" s="127"/>
      <c r="AZ28" s="127"/>
      <c r="BA28" s="127"/>
      <c r="BB28" s="127"/>
      <c r="BC28" s="132"/>
      <c r="BD28" s="987"/>
      <c r="BE28" s="989"/>
      <c r="BF28" s="989"/>
      <c r="BG28" s="989"/>
      <c r="BH28" s="989"/>
      <c r="BI28" s="989"/>
      <c r="BJ28" s="993"/>
      <c r="BK28" s="474"/>
      <c r="BL28" s="474"/>
      <c r="BM28" s="950"/>
      <c r="BN28" s="950"/>
      <c r="BO28" s="996"/>
      <c r="BP28" s="991"/>
      <c r="BQ28" s="447"/>
      <c r="BR28" s="447"/>
      <c r="BS28" s="447"/>
      <c r="BT28" s="447"/>
      <c r="BU28" s="447"/>
      <c r="BV28" s="447"/>
      <c r="BW28" s="992"/>
      <c r="BY28" s="474" t="e">
        <v>#N/A</v>
      </c>
      <c r="BZ28" s="127" t="e">
        <v>#N/A</v>
      </c>
      <c r="CA28" s="127" t="e">
        <v>#N/A</v>
      </c>
      <c r="CB28" s="127" t="e">
        <v>#N/A</v>
      </c>
      <c r="CC28" s="127" t="e">
        <v>#N/A</v>
      </c>
      <c r="CD28" s="127" t="e">
        <v>#N/A</v>
      </c>
      <c r="CE28" s="127" t="e">
        <v>#N/A</v>
      </c>
      <c r="CF28" s="132" t="e">
        <v>#N/A</v>
      </c>
    </row>
    <row r="29" spans="8:84" ht="15.75" thickBot="1">
      <c r="H29" s="997">
        <v>20</v>
      </c>
      <c r="I29" s="998"/>
      <c r="J29" s="999"/>
      <c r="K29" s="999"/>
      <c r="L29" s="478"/>
      <c r="M29" s="475"/>
      <c r="N29" s="478"/>
      <c r="O29" s="475"/>
      <c r="P29" s="1000"/>
      <c r="Q29" s="478"/>
      <c r="R29" s="1001"/>
      <c r="S29" s="478"/>
      <c r="T29" s="1002"/>
      <c r="U29" s="1003"/>
      <c r="V29" s="475"/>
      <c r="W29" s="476"/>
      <c r="X29" s="478"/>
      <c r="Y29" s="1001"/>
      <c r="Z29" s="999"/>
      <c r="AA29" s="1003"/>
      <c r="AB29" s="998"/>
      <c r="AC29" s="1000"/>
      <c r="AD29" s="1000"/>
      <c r="AE29" s="1000"/>
      <c r="AF29" s="1000"/>
      <c r="AG29" s="1000"/>
      <c r="AH29" s="1000"/>
      <c r="AI29" s="1004"/>
      <c r="AJ29" s="1005"/>
      <c r="AK29" s="1006"/>
      <c r="AL29" s="477"/>
      <c r="AM29" s="1003"/>
      <c r="AN29" s="475"/>
      <c r="AO29" s="476"/>
      <c r="AP29" s="476"/>
      <c r="AQ29" s="476"/>
      <c r="AR29" s="476"/>
      <c r="AS29" s="476"/>
      <c r="AT29" s="476"/>
      <c r="AU29" s="478"/>
      <c r="AV29" s="475"/>
      <c r="AW29" s="476"/>
      <c r="AX29" s="476"/>
      <c r="AY29" s="476"/>
      <c r="AZ29" s="476"/>
      <c r="BA29" s="476"/>
      <c r="BB29" s="476"/>
      <c r="BC29" s="478"/>
      <c r="BD29" s="998"/>
      <c r="BE29" s="1000"/>
      <c r="BF29" s="1000"/>
      <c r="BG29" s="1000"/>
      <c r="BH29" s="1000"/>
      <c r="BI29" s="1000"/>
      <c r="BJ29" s="1004"/>
      <c r="BK29" s="475"/>
      <c r="BL29" s="475"/>
      <c r="BM29" s="953"/>
      <c r="BN29" s="953"/>
      <c r="BO29" s="1007"/>
      <c r="BP29" s="1002"/>
      <c r="BQ29" s="477"/>
      <c r="BR29" s="477"/>
      <c r="BS29" s="477"/>
      <c r="BT29" s="477"/>
      <c r="BU29" s="477"/>
      <c r="BV29" s="477"/>
      <c r="BW29" s="1003"/>
      <c r="BY29" s="475" t="e">
        <v>#N/A</v>
      </c>
      <c r="BZ29" s="476" t="e">
        <v>#N/A</v>
      </c>
      <c r="CA29" s="476" t="e">
        <v>#N/A</v>
      </c>
      <c r="CB29" s="476" t="e">
        <v>#N/A</v>
      </c>
      <c r="CC29" s="476" t="e">
        <v>#N/A</v>
      </c>
      <c r="CD29" s="476" t="e">
        <v>#N/A</v>
      </c>
      <c r="CE29" s="476" t="e">
        <v>#N/A</v>
      </c>
      <c r="CF29" s="478" t="e">
        <v>#N/A</v>
      </c>
    </row>
    <row r="32" spans="8:84" ht="14.25" customHeight="1"/>
  </sheetData>
  <mergeCells count="20">
    <mergeCell ref="BY8:CF8"/>
    <mergeCell ref="BP8:BW8"/>
    <mergeCell ref="AN8:AU8"/>
    <mergeCell ref="AV8:BC8"/>
    <mergeCell ref="AN7:BI7"/>
    <mergeCell ref="BD8:BI8"/>
    <mergeCell ref="D2:O2"/>
    <mergeCell ref="C8:G8"/>
    <mergeCell ref="Y8:AA8"/>
    <mergeCell ref="AB8:AI8"/>
    <mergeCell ref="AK8:AM8"/>
    <mergeCell ref="I8:L8"/>
    <mergeCell ref="M8:N8"/>
    <mergeCell ref="O8:Q8"/>
    <mergeCell ref="R8:S8"/>
    <mergeCell ref="T8:U8"/>
    <mergeCell ref="V8:X8"/>
    <mergeCell ref="R2:S2"/>
    <mergeCell ref="H3:BK3"/>
    <mergeCell ref="B4:D4"/>
  </mergeCells>
  <dataValidations count="1">
    <dataValidation type="list" allowBlank="1" showInputMessage="1" showErrorMessage="1" sqref="Q2">
      <formula1>"ON, OFF"</formula1>
    </dataValidation>
  </dataValidation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sheetPr codeName="Sheet10"/>
  <dimension ref="B1:BI3425"/>
  <sheetViews>
    <sheetView topLeftCell="A13" zoomScale="75" zoomScaleNormal="75" workbookViewId="0">
      <selection activeCell="N9" sqref="N9:R1008"/>
    </sheetView>
  </sheetViews>
  <sheetFormatPr defaultRowHeight="12.75"/>
  <cols>
    <col min="1" max="1" width="3.28515625" style="76" customWidth="1"/>
    <col min="2" max="2" width="26.42578125" style="76" customWidth="1"/>
    <col min="3" max="3" width="8.140625" style="76" customWidth="1"/>
    <col min="4" max="4" width="3.28515625" style="76" customWidth="1"/>
    <col min="5" max="5" width="5.42578125" style="76" customWidth="1"/>
    <col min="6" max="7" width="6.28515625" style="76" customWidth="1"/>
    <col min="8" max="8" width="6.85546875" style="76" customWidth="1"/>
    <col min="9" max="9" width="8" style="76" bestFit="1" customWidth="1"/>
    <col min="10" max="10" width="7.7109375" style="76" customWidth="1"/>
    <col min="11" max="11" width="6" style="76" customWidth="1"/>
    <col min="12" max="12" width="7.28515625" style="885" customWidth="1"/>
    <col min="13" max="13" width="5.42578125" style="76" customWidth="1"/>
    <col min="14" max="14" width="7.5703125" style="76" customWidth="1"/>
    <col min="15" max="15" width="6.28515625" style="76" customWidth="1"/>
    <col min="16" max="16" width="6.85546875" style="76" customWidth="1"/>
    <col min="17" max="17" width="8" style="76" bestFit="1" customWidth="1"/>
    <col min="18" max="18" width="8" style="76" customWidth="1"/>
    <col min="19" max="20" width="6" style="76" customWidth="1"/>
    <col min="21" max="21" width="6.85546875" style="76" bestFit="1" customWidth="1"/>
    <col min="22" max="22" width="6.140625" style="76" customWidth="1"/>
    <col min="23" max="23" width="5.85546875" style="76" customWidth="1"/>
    <col min="24" max="26" width="5.7109375" style="76" customWidth="1"/>
    <col min="27" max="29" width="6.28515625" style="76" customWidth="1"/>
    <col min="30" max="30" width="6.42578125" style="76" customWidth="1"/>
    <col min="31" max="31" width="8" style="76" bestFit="1" customWidth="1"/>
    <col min="32" max="32" width="7.7109375" style="76" customWidth="1"/>
    <col min="33" max="33" width="6" style="76" customWidth="1"/>
    <col min="34" max="34" width="6.5703125" style="76" customWidth="1"/>
    <col min="35" max="35" width="6.5703125" style="76" bestFit="1" customWidth="1"/>
    <col min="36" max="36" width="8.28515625" style="76" customWidth="1"/>
    <col min="37" max="37" width="11.7109375" style="76" customWidth="1"/>
    <col min="38" max="38" width="10.42578125" style="76" bestFit="1" customWidth="1"/>
    <col min="39" max="40" width="6.85546875" style="76" customWidth="1"/>
    <col min="41" max="41" width="8.28515625" style="76" customWidth="1"/>
    <col min="42" max="44" width="6.85546875" style="76" customWidth="1"/>
    <col min="45" max="45" width="6.85546875" style="76" bestFit="1" customWidth="1"/>
    <col min="46" max="46" width="6.85546875" style="76" customWidth="1"/>
    <col min="47" max="47" width="6.85546875" style="76" bestFit="1" customWidth="1"/>
    <col min="48" max="49" width="6" style="76" bestFit="1" customWidth="1"/>
    <col min="50" max="50" width="7" style="76" bestFit="1" customWidth="1"/>
    <col min="51" max="51" width="7" style="76" customWidth="1"/>
    <col min="52" max="52" width="8.140625" style="76" bestFit="1" customWidth="1"/>
    <col min="53" max="53" width="6.7109375" style="76" customWidth="1"/>
    <col min="54" max="54" width="11.42578125" style="76" customWidth="1"/>
    <col min="55" max="55" width="19.5703125" style="76" bestFit="1" customWidth="1"/>
    <col min="56" max="56" width="7" style="76" customWidth="1"/>
    <col min="57" max="57" width="9.140625" style="76"/>
    <col min="58" max="58" width="23.140625" style="76" bestFit="1" customWidth="1"/>
    <col min="59" max="59" width="6.28515625" style="76" bestFit="1" customWidth="1"/>
    <col min="60" max="60" width="3.28515625" style="76" customWidth="1"/>
    <col min="61" max="61" width="23" style="76" customWidth="1"/>
    <col min="62" max="16384" width="9.140625" style="76"/>
  </cols>
  <sheetData>
    <row r="1" spans="2:61" ht="6.75" customHeight="1" thickBot="1"/>
    <row r="2" spans="2:61" ht="13.5" thickBot="1">
      <c r="B2" s="1643" t="s">
        <v>1027</v>
      </c>
      <c r="C2" s="1644"/>
      <c r="E2" s="1645">
        <v>40234</v>
      </c>
      <c r="F2" s="1646"/>
      <c r="I2" s="1304" t="s">
        <v>1891</v>
      </c>
      <c r="J2" s="1295"/>
      <c r="K2" s="88"/>
      <c r="L2" s="1297"/>
      <c r="M2" s="88"/>
      <c r="N2" s="88"/>
      <c r="O2" s="88"/>
      <c r="P2" s="590"/>
      <c r="Q2" s="590"/>
      <c r="R2" s="590"/>
      <c r="S2" s="590"/>
      <c r="Y2" s="1494" t="s">
        <v>1026</v>
      </c>
      <c r="Z2" s="1495"/>
      <c r="AA2" s="1496"/>
      <c r="AB2" s="438">
        <f>IF(OR('Donor Sample'!O25="IN",'Donor Sample'!P25="LB"),1,0)</f>
        <v>0</v>
      </c>
      <c r="AD2" s="1295"/>
      <c r="AE2" s="1295"/>
      <c r="AF2" s="1295"/>
      <c r="AG2" s="1295"/>
      <c r="AH2" s="1295"/>
      <c r="AI2" s="1295"/>
    </row>
    <row r="3" spans="2:61" ht="13.5" thickBot="1">
      <c r="L3" s="1290">
        <f ca="1">MIN(L9:L1008)</f>
        <v>16.426469104239004</v>
      </c>
      <c r="AD3" s="88"/>
      <c r="AE3" s="88"/>
      <c r="AF3" s="1298" t="s">
        <v>1825</v>
      </c>
      <c r="AG3" s="88"/>
      <c r="AH3" s="88"/>
      <c r="AI3" s="88"/>
    </row>
    <row r="4" spans="2:61" ht="15.75" customHeight="1" thickBot="1">
      <c r="B4" s="1614" t="s">
        <v>1025</v>
      </c>
      <c r="C4" s="1615"/>
      <c r="E4" s="1614" t="s">
        <v>1024</v>
      </c>
      <c r="F4" s="1622"/>
      <c r="G4" s="1622"/>
      <c r="H4" s="1622"/>
      <c r="I4" s="1622"/>
      <c r="J4" s="1622"/>
      <c r="K4" s="1615"/>
      <c r="L4" s="1290">
        <f ca="1">MAX(L9:L1008)</f>
        <v>45.71502263585279</v>
      </c>
      <c r="M4" s="1614" t="s">
        <v>1023</v>
      </c>
      <c r="N4" s="1622"/>
      <c r="O4" s="1622"/>
      <c r="P4" s="1622"/>
      <c r="Q4" s="1622"/>
      <c r="R4" s="1622"/>
      <c r="S4" s="1622"/>
      <c r="T4" s="1622"/>
      <c r="U4" s="1615"/>
      <c r="W4" s="1614" t="s">
        <v>1022</v>
      </c>
      <c r="X4" s="1622"/>
      <c r="Y4" s="1622"/>
      <c r="Z4" s="1622"/>
      <c r="AA4" s="1622"/>
      <c r="AB4" s="1622"/>
      <c r="AC4" s="1622"/>
      <c r="AD4" s="1622"/>
      <c r="AE4" s="1622"/>
      <c r="AF4" s="1622"/>
      <c r="AG4" s="1622"/>
      <c r="AH4" s="1622"/>
      <c r="AI4" s="1615"/>
      <c r="AK4" s="1614" t="s">
        <v>1231</v>
      </c>
      <c r="AL4" s="1622"/>
      <c r="AM4" s="1622"/>
      <c r="AN4" s="1622"/>
      <c r="AO4" s="1622"/>
      <c r="AP4" s="1622"/>
      <c r="AQ4" s="1622"/>
      <c r="AR4" s="1622"/>
      <c r="AS4" s="1622"/>
      <c r="AT4" s="1615"/>
      <c r="AV4" s="1625" t="s">
        <v>1229</v>
      </c>
      <c r="AW4" s="1626"/>
      <c r="AX4" s="1626"/>
      <c r="AY4" s="1626"/>
      <c r="AZ4" s="1627"/>
      <c r="BA4" s="88"/>
      <c r="BB4" s="1625" t="s">
        <v>1230</v>
      </c>
      <c r="BC4" s="1626"/>
      <c r="BD4" s="1626"/>
      <c r="BE4" s="1626"/>
      <c r="BF4" s="1626"/>
      <c r="BG4" s="1626"/>
      <c r="BH4" s="1626"/>
      <c r="BI4" s="1627"/>
    </row>
    <row r="5" spans="2:61" ht="6.75" customHeight="1" thickBot="1">
      <c r="BB5" s="1"/>
      <c r="BC5" s="1"/>
      <c r="BD5" s="1"/>
    </row>
    <row r="6" spans="2:61" ht="15.75" customHeight="1" thickBot="1">
      <c r="B6" s="1623" t="s">
        <v>1021</v>
      </c>
      <c r="C6" s="1624"/>
      <c r="E6" s="436" t="s">
        <v>970</v>
      </c>
      <c r="F6" s="435">
        <f t="shared" ref="F6:K6" ca="1" si="0">AVERAGE(F9:F1009)</f>
        <v>3383.2901970360754</v>
      </c>
      <c r="G6" s="433">
        <f t="shared" ca="1" si="0"/>
        <v>238.49798633093252</v>
      </c>
      <c r="H6" s="434">
        <f t="shared" ca="1" si="0"/>
        <v>0.4125022659369324</v>
      </c>
      <c r="I6" s="437">
        <f t="shared" ca="1" si="0"/>
        <v>121.29778487006544</v>
      </c>
      <c r="J6" s="433">
        <f t="shared" ca="1" si="0"/>
        <v>56.241435431513445</v>
      </c>
      <c r="K6" s="432">
        <f t="shared" ca="1" si="0"/>
        <v>3.7309237122417924</v>
      </c>
      <c r="L6" s="432">
        <f t="shared" ref="L6" ca="1" si="1">AVERAGE(L9:L1009)</f>
        <v>27.604692416598226</v>
      </c>
      <c r="M6" s="436" t="s">
        <v>970</v>
      </c>
      <c r="N6" s="435">
        <f t="shared" ref="N6:S6" si="2">AVERAGE(N9:N1009)</f>
        <v>3349.8220985395296</v>
      </c>
      <c r="O6" s="433">
        <f t="shared" si="2"/>
        <v>240.37156307133478</v>
      </c>
      <c r="P6" s="434">
        <f t="shared" si="2"/>
        <v>0.41553159276517343</v>
      </c>
      <c r="Q6" s="437">
        <f t="shared" si="2"/>
        <v>120.39027112452742</v>
      </c>
      <c r="R6" s="433">
        <f t="shared" si="2"/>
        <v>55.883216349341616</v>
      </c>
      <c r="S6" s="432">
        <f t="shared" si="2"/>
        <v>3.7548189695239054</v>
      </c>
      <c r="T6" s="1200"/>
      <c r="U6" s="1200"/>
      <c r="AA6" s="436" t="s">
        <v>970</v>
      </c>
      <c r="AB6" s="435">
        <f t="shared" ref="AB6:AG6" si="3">AVERAGE(AB9:AB1009)</f>
        <v>3713.5434499199996</v>
      </c>
      <c r="AC6" s="433">
        <f t="shared" si="3"/>
        <v>200</v>
      </c>
      <c r="AD6" s="434">
        <f t="shared" si="3"/>
        <v>0.38017999877929681</v>
      </c>
      <c r="AE6" s="433" t="e">
        <f t="shared" si="3"/>
        <v>#VALUE!</v>
      </c>
      <c r="AF6" s="433">
        <f t="shared" si="3"/>
        <v>63.488188976377984</v>
      </c>
      <c r="AG6" s="432" t="e">
        <f t="shared" si="3"/>
        <v>#DIV/0!</v>
      </c>
      <c r="AH6" s="1200"/>
      <c r="AK6" s="389" t="s">
        <v>1014</v>
      </c>
      <c r="AL6" s="1494" t="s">
        <v>1020</v>
      </c>
      <c r="AM6" s="1495"/>
      <c r="AN6" s="1495"/>
      <c r="AO6" s="1495"/>
      <c r="AP6" s="1495"/>
      <c r="AQ6" s="1495"/>
      <c r="AR6" s="1495"/>
      <c r="AS6" s="1495"/>
      <c r="AT6" s="1496"/>
      <c r="AV6" s="1594" t="s">
        <v>1219</v>
      </c>
      <c r="AW6" s="1595"/>
      <c r="AX6" s="1595"/>
      <c r="AY6" s="1596"/>
      <c r="AZ6" s="840" t="s">
        <v>1220</v>
      </c>
      <c r="BB6" s="1199" t="s">
        <v>943</v>
      </c>
      <c r="BC6" s="921" t="s">
        <v>1226</v>
      </c>
      <c r="BD6" s="840" t="s">
        <v>1227</v>
      </c>
      <c r="BE6" s="840" t="s">
        <v>1512</v>
      </c>
      <c r="BF6" s="1494" t="s">
        <v>1514</v>
      </c>
      <c r="BG6" s="1496"/>
      <c r="BH6" s="1618" t="s">
        <v>1536</v>
      </c>
      <c r="BI6" s="1619"/>
    </row>
    <row r="7" spans="2:61" ht="15.75" thickBot="1">
      <c r="B7" s="369" t="s">
        <v>66</v>
      </c>
      <c r="C7" s="405">
        <f>'Donor Sample'!D7</f>
        <v>3300</v>
      </c>
      <c r="E7" s="430" t="s">
        <v>968</v>
      </c>
      <c r="F7" s="291">
        <f t="shared" ref="F7:K7" ca="1" si="4">STDEV(F9:F1009)</f>
        <v>467.36988599705825</v>
      </c>
      <c r="G7" s="290">
        <f t="shared" ca="1" si="4"/>
        <v>33.930684897908172</v>
      </c>
      <c r="H7" s="429">
        <f t="shared" ca="1" si="4"/>
        <v>3.8755633254064559E-2</v>
      </c>
      <c r="I7" s="431">
        <f t="shared" ca="1" si="4"/>
        <v>19.897938371603647</v>
      </c>
      <c r="J7" s="290">
        <f t="shared" ca="1" si="4"/>
        <v>5.7379184316966008</v>
      </c>
      <c r="K7" s="428">
        <f t="shared" ca="1" si="4"/>
        <v>3.5309414987687462</v>
      </c>
      <c r="L7" s="428">
        <f t="shared" ref="L7" ca="1" si="5">STDEV(L9:L1009)</f>
        <v>6.2736207457460704</v>
      </c>
      <c r="M7" s="430" t="s">
        <v>968</v>
      </c>
      <c r="N7" s="291">
        <f t="shared" ref="N7:S7" si="6">STDEV(N9:N1009)</f>
        <v>461.92843598159101</v>
      </c>
      <c r="O7" s="290">
        <f t="shared" si="6"/>
        <v>34.699707411270794</v>
      </c>
      <c r="P7" s="429">
        <f t="shared" si="6"/>
        <v>3.8805379096635999E-2</v>
      </c>
      <c r="Q7" s="431">
        <f t="shared" si="6"/>
        <v>19.902049270823774</v>
      </c>
      <c r="R7" s="290">
        <f t="shared" si="6"/>
        <v>5.7789369282056731</v>
      </c>
      <c r="S7" s="428">
        <f t="shared" si="6"/>
        <v>3.4947582291165551</v>
      </c>
      <c r="T7" s="1616" t="s">
        <v>1543</v>
      </c>
      <c r="U7" s="1617"/>
      <c r="AA7" s="430" t="s">
        <v>968</v>
      </c>
      <c r="AB7" s="291">
        <f t="shared" ref="AB7:AG7" si="7">STDEV(AB9:AB1009)</f>
        <v>666.47340695902335</v>
      </c>
      <c r="AC7" s="290">
        <f t="shared" si="7"/>
        <v>0</v>
      </c>
      <c r="AD7" s="429">
        <f t="shared" si="7"/>
        <v>2.9022937092513797E-2</v>
      </c>
      <c r="AE7" s="290" t="e">
        <f t="shared" si="7"/>
        <v>#VALUE!</v>
      </c>
      <c r="AF7" s="290">
        <f t="shared" si="7"/>
        <v>3.0927319391035226</v>
      </c>
      <c r="AG7" s="428" t="e">
        <f t="shared" si="7"/>
        <v>#DIV/0!</v>
      </c>
      <c r="AH7" s="1616" t="s">
        <v>1543</v>
      </c>
      <c r="AI7" s="1617"/>
      <c r="AK7" s="386" t="s">
        <v>1005</v>
      </c>
      <c r="AL7" s="427" t="s">
        <v>1004</v>
      </c>
      <c r="AM7" s="383" t="s">
        <v>955</v>
      </c>
      <c r="AN7" s="382" t="s">
        <v>1003</v>
      </c>
      <c r="AO7" s="382" t="s">
        <v>1002</v>
      </c>
      <c r="AP7" s="382" t="s">
        <v>1001</v>
      </c>
      <c r="AQ7" s="382" t="s">
        <v>1000</v>
      </c>
      <c r="AR7" s="382" t="s">
        <v>999</v>
      </c>
      <c r="AS7" s="381" t="s">
        <v>998</v>
      </c>
      <c r="AT7" s="381" t="s">
        <v>1019</v>
      </c>
      <c r="AV7" s="901" t="s">
        <v>953</v>
      </c>
      <c r="AW7" s="902"/>
      <c r="AX7" s="902"/>
      <c r="AY7" s="903"/>
      <c r="AZ7" s="922">
        <v>1</v>
      </c>
      <c r="BB7" s="925" t="s">
        <v>947</v>
      </c>
      <c r="BC7" s="881" t="s">
        <v>1228</v>
      </c>
      <c r="BD7" s="925" t="s">
        <v>1220</v>
      </c>
      <c r="BE7" s="925" t="s">
        <v>1513</v>
      </c>
      <c r="BF7" s="925" t="s">
        <v>1513</v>
      </c>
      <c r="BG7" s="925" t="s">
        <v>1390</v>
      </c>
      <c r="BH7" s="1620" t="s">
        <v>1537</v>
      </c>
      <c r="BI7" s="1621"/>
    </row>
    <row r="8" spans="2:61" ht="15.75" customHeight="1" thickBot="1">
      <c r="B8" s="388" t="s">
        <v>67</v>
      </c>
      <c r="C8" s="400">
        <f>'Donor Sample'!D8</f>
        <v>510</v>
      </c>
      <c r="E8" s="353" t="s">
        <v>62</v>
      </c>
      <c r="F8" s="426" t="s">
        <v>15</v>
      </c>
      <c r="G8" s="383" t="s">
        <v>16</v>
      </c>
      <c r="H8" s="383" t="s">
        <v>17</v>
      </c>
      <c r="I8" s="383" t="s">
        <v>1017</v>
      </c>
      <c r="J8" s="383" t="s">
        <v>1016</v>
      </c>
      <c r="K8" s="381" t="s">
        <v>1015</v>
      </c>
      <c r="L8" s="1291" t="s">
        <v>1822</v>
      </c>
      <c r="M8" s="353" t="s">
        <v>62</v>
      </c>
      <c r="N8" s="426" t="s">
        <v>15</v>
      </c>
      <c r="O8" s="383" t="s">
        <v>16</v>
      </c>
      <c r="P8" s="383" t="s">
        <v>17</v>
      </c>
      <c r="Q8" s="383" t="s">
        <v>1017</v>
      </c>
      <c r="R8" s="383" t="s">
        <v>1016</v>
      </c>
      <c r="S8" s="381" t="s">
        <v>1015</v>
      </c>
      <c r="T8" s="424" t="s">
        <v>1478</v>
      </c>
      <c r="U8" s="424" t="s">
        <v>1542</v>
      </c>
      <c r="W8" s="353" t="s">
        <v>62</v>
      </c>
      <c r="X8" s="425" t="s">
        <v>966</v>
      </c>
      <c r="Y8" s="425" t="s">
        <v>36</v>
      </c>
      <c r="Z8" s="425" t="s">
        <v>1018</v>
      </c>
      <c r="AA8" s="424" t="s">
        <v>15</v>
      </c>
      <c r="AB8" s="423" t="s">
        <v>15</v>
      </c>
      <c r="AC8" s="382" t="s">
        <v>16</v>
      </c>
      <c r="AD8" s="383" t="s">
        <v>17</v>
      </c>
      <c r="AE8" s="383" t="s">
        <v>1017</v>
      </c>
      <c r="AF8" s="383" t="s">
        <v>1016</v>
      </c>
      <c r="AG8" s="381" t="s">
        <v>1015</v>
      </c>
      <c r="AH8" s="424" t="s">
        <v>1478</v>
      </c>
      <c r="AI8" s="424" t="s">
        <v>1542</v>
      </c>
      <c r="AJ8" s="1216"/>
      <c r="AK8" s="379" t="s">
        <v>91</v>
      </c>
      <c r="AL8" s="422">
        <v>36</v>
      </c>
      <c r="AM8" s="421">
        <v>7</v>
      </c>
      <c r="AN8" s="421">
        <v>34</v>
      </c>
      <c r="AO8" s="421">
        <v>7</v>
      </c>
      <c r="AP8" s="421">
        <v>9</v>
      </c>
      <c r="AQ8" s="421">
        <v>2</v>
      </c>
      <c r="AR8" s="421">
        <v>4</v>
      </c>
      <c r="AS8" s="420">
        <v>1</v>
      </c>
      <c r="AT8" s="419">
        <f t="shared" ref="AT8:AT15" si="8">SUM(AL8:AS8)</f>
        <v>100</v>
      </c>
      <c r="AV8" s="904" t="s">
        <v>1045</v>
      </c>
      <c r="AW8" s="905"/>
      <c r="AX8" s="905"/>
      <c r="AY8" s="906"/>
      <c r="AZ8" s="923">
        <f>SUM(AM28:AN28)</f>
        <v>0.43</v>
      </c>
      <c r="BB8" s="914">
        <v>1</v>
      </c>
      <c r="BC8" s="915" t="str">
        <f>IF('Configs &amp; Procedures'!H44="","All Types",'Configs &amp; Procedures'!H44)</f>
        <v>All Types</v>
      </c>
      <c r="BD8" s="1189">
        <f>SUMPRODUCT(($AV$7:$AV$17=BC8)*($AZ$7:$AZ$17))</f>
        <v>1</v>
      </c>
      <c r="BE8" s="1164">
        <f>LOOKUP($BC8,$BF$8:$BF$20,$BG$8:$BG$20)</f>
        <v>0</v>
      </c>
      <c r="BF8" s="1189" t="s">
        <v>1223</v>
      </c>
      <c r="BG8" s="1192">
        <v>9</v>
      </c>
      <c r="BH8" s="1195" t="s">
        <v>1517</v>
      </c>
      <c r="BI8" s="1189" t="str">
        <f>"key_blood_type_"&amp;BH8&amp;"="&amp;$BE8</f>
        <v>key_blood_type_a=0</v>
      </c>
    </row>
    <row r="9" spans="2:61" ht="15">
      <c r="B9" s="388" t="s">
        <v>68</v>
      </c>
      <c r="C9" s="400">
        <f>'Donor Sample'!D9</f>
        <v>2500</v>
      </c>
      <c r="E9" s="411">
        <v>1</v>
      </c>
      <c r="F9" s="418">
        <f t="shared" ref="F9:F72" ca="1" si="9">NORMINV(NORMDIST($C$9,$C$7,$C$8,1)+RAND()*(NORMDIST($C$10,$C$7,$C$8,1)-NORMDIST($C$9,$C$7,$C$8,1)),$C$7,$C$8)</f>
        <v>3049.6481280861021</v>
      </c>
      <c r="G9" s="417">
        <f t="shared" ref="G9:G72" ca="1" si="10">NORMINV(NORMDIST($C$13,$C$11,$C$12,1)+RAND()*(NORMDIST($C$14,$C$11,$C$12,1)-NORMDIST($C$13,$C$11,$C$12,1)),$C$11,$C$12)</f>
        <v>219.69301040120973</v>
      </c>
      <c r="H9" s="416">
        <f t="shared" ref="H9:H72" ca="1" si="11">NORMINV(NORMDIST($C$17,$C$15,$C$16,1)+RAND()*(NORMDIST($C$18,$C$15,$C$16,1)-NORMDIST($C$17,$C$15,$C$16,1)),$C$15,$C$16)/100</f>
        <v>0.35140514077779045</v>
      </c>
      <c r="I9" s="415">
        <f ca="1">F9/($C$32+(RAND()-0.5)*$C$31)</f>
        <v>120.24899991438367</v>
      </c>
      <c r="J9" s="415">
        <f ca="1">IF(AI9&lt;=$C$33,((F9-604-14.6*I9)/0.006012)^(1/3),((F9-183-15*I9)/0.005835)^(1/3))</f>
        <v>48.59736368522978</v>
      </c>
      <c r="K9" s="414">
        <f ca="1">$C$23/($C$24+RAND())</f>
        <v>1.6343451615372215</v>
      </c>
      <c r="L9" s="1290">
        <f ca="1">704*I9/J9^2</f>
        <v>35.845010485872045</v>
      </c>
      <c r="M9" s="411">
        <v>1</v>
      </c>
      <c r="N9" s="304">
        <f>IF(AI9&gt;$C$33,183+0.005835*R9^3+15*Q9,604+0.006012*R9^3+14.6*Q9)</f>
        <v>4341.3767886030382</v>
      </c>
      <c r="O9" s="303">
        <v>267.50485350374407</v>
      </c>
      <c r="P9" s="302">
        <v>0.42352092010448561</v>
      </c>
      <c r="Q9" s="413">
        <v>176.92845292710274</v>
      </c>
      <c r="R9" s="413">
        <v>57.688606312250407</v>
      </c>
      <c r="S9" s="412">
        <v>1.4075175992557951</v>
      </c>
      <c r="T9" s="784">
        <f>HLOOKUP(U9,$AL$32:$AT$34,3)</f>
        <v>256</v>
      </c>
      <c r="U9" s="1219">
        <v>0.8942534327507019</v>
      </c>
      <c r="V9" s="798">
        <f>IF(AI9&gt;$C$33,183+0.005835*R9^3+15*Q9,604+0.006012*R9^3+14.6*Q9)</f>
        <v>4341.3767886030382</v>
      </c>
      <c r="W9" s="411">
        <v>1</v>
      </c>
      <c r="X9" s="410">
        <f>IF('Donor Sample'!N26="",,IF('Donor Sample'!N26="F",1,0))</f>
        <v>0</v>
      </c>
      <c r="Y9" s="410">
        <f>IF('Donor Sample'!O26="","",'Donor Sample'!O26)</f>
        <v>162</v>
      </c>
      <c r="Z9" s="1293">
        <f>IF(AND('Donor Sample'!O26="",'Donor Sample'!P26="",'Donor Sample'!Q26=""),"",IF('Donor Sample'!P26="",ROUND(AA9/($C$32+($AI9-0.5)*$C$31),0),'Donor Sample'!P26))</f>
        <v>57</v>
      </c>
      <c r="AA9" s="297" t="str">
        <f>IF('Donor Sample'!Q26="","",'Donor Sample'!Q26)</f>
        <v/>
      </c>
      <c r="AB9" s="1294">
        <f t="shared" ref="AB9:AB72" si="12">IF(AND(Y9="",Z9="",AA9=""),"",IF(AA9="",IF(X9=0,604+IF($AB$2=1,0.006012,0.0003669)*Y9^3+IF($AB$2=1,14.6,32.187)*Z9,183+IF($AB$2=1,0.005835,0.0003561)*Y9^3+IF($AB$2=1,15,33.069)*Z9),AA9))</f>
        <v>3998.5446231999995</v>
      </c>
      <c r="AC9" s="409">
        <f>IF('Donor Sample'!R26="","",'Donor Sample'!R26)</f>
        <v>200</v>
      </c>
      <c r="AD9" s="408">
        <f>IF('Donor Sample'!S26="","",'Donor Sample'!S26/100)</f>
        <v>0.42200000762939455</v>
      </c>
      <c r="AE9" s="407">
        <f>IF($AB$2=1,Z9,2.2*Z9)</f>
        <v>125.4</v>
      </c>
      <c r="AF9" s="407">
        <f>IF(AND(Y9="",AA9=""),"",IF(AA9="",IF($AB$2=1,Y9,Y9/2.54),IF(AI9&lt;=$C$33,((AB9-604-14.6*Z9)/0.006012)^(1/3),((AB9-183-15*Z9)/0.005835)^(1/3))))</f>
        <v>63.779527559055119</v>
      </c>
      <c r="AG9" s="406" t="str">
        <f>IF('Donor Sample'!T26="","",'Donor Sample'!T26)</f>
        <v/>
      </c>
      <c r="AH9" s="784">
        <f>HLOOKUP(AI9,$AL$32:$AT$34,3)</f>
        <v>64</v>
      </c>
      <c r="AI9" s="1219">
        <v>0.46020430326461792</v>
      </c>
      <c r="AJ9" s="1216"/>
      <c r="AK9" s="374" t="s">
        <v>92</v>
      </c>
      <c r="AL9" s="404">
        <v>33</v>
      </c>
      <c r="AM9" s="403">
        <v>8</v>
      </c>
      <c r="AN9" s="403">
        <v>35</v>
      </c>
      <c r="AO9" s="403">
        <v>8</v>
      </c>
      <c r="AP9" s="403">
        <v>9</v>
      </c>
      <c r="AQ9" s="403">
        <v>2</v>
      </c>
      <c r="AR9" s="403">
        <v>4</v>
      </c>
      <c r="AS9" s="402">
        <v>1</v>
      </c>
      <c r="AT9" s="401">
        <f t="shared" si="8"/>
        <v>100</v>
      </c>
      <c r="AV9" s="907" t="s">
        <v>955</v>
      </c>
      <c r="AW9" s="908"/>
      <c r="AX9" s="908"/>
      <c r="AY9" s="909"/>
      <c r="AZ9" s="923">
        <f>AN28</f>
        <v>7.0000000000000007E-2</v>
      </c>
      <c r="BB9" s="916">
        <v>2</v>
      </c>
      <c r="BC9" s="917" t="str">
        <f>IF('Configs &amp; Procedures'!H45="","All Types",'Configs &amp; Procedures'!H45)</f>
        <v>All Types</v>
      </c>
      <c r="BD9" s="1190">
        <f t="shared" ref="BD9:BD27" si="13">SUMPRODUCT(($AV$7:$AV$17=BC9)*($AZ$7:$AZ$17))</f>
        <v>1</v>
      </c>
      <c r="BE9" s="1165">
        <f t="shared" ref="BE9:BE27" si="14">LOOKUP($BC9,$BF$8:$BF$20,$BG$8:$BG$20)</f>
        <v>0</v>
      </c>
      <c r="BF9" s="1190" t="s">
        <v>958</v>
      </c>
      <c r="BG9" s="1193">
        <v>10</v>
      </c>
      <c r="BH9" s="1196" t="s">
        <v>1518</v>
      </c>
      <c r="BI9" s="1190" t="str">
        <f t="shared" ref="BI9:BI27" si="15">"key_blood_type_"&amp;BH9&amp;"="&amp;$BE9</f>
        <v>key_blood_type_b=0</v>
      </c>
    </row>
    <row r="10" spans="2:61" ht="15.75" thickBot="1">
      <c r="B10" s="342" t="s">
        <v>70</v>
      </c>
      <c r="C10" s="395">
        <f>'Donor Sample'!D10</f>
        <v>7000</v>
      </c>
      <c r="E10" s="299">
        <v>2</v>
      </c>
      <c r="F10" s="308">
        <f t="shared" ca="1" si="9"/>
        <v>3315.5768436418075</v>
      </c>
      <c r="G10" s="307">
        <f t="shared" ca="1" si="10"/>
        <v>219.52239280945525</v>
      </c>
      <c r="H10" s="306">
        <f t="shared" ca="1" si="11"/>
        <v>0.39457500050317473</v>
      </c>
      <c r="I10" s="305">
        <f t="shared" ref="I10:I73" ca="1" si="16">F10/($C$32+(RAND()-0.5)*$C$31)</f>
        <v>103.26769579692844</v>
      </c>
      <c r="J10" s="305">
        <f t="shared" ref="J10:J73" ca="1" si="17">IF(AI10&lt;=$C$33,((F10-604-14.6*I10)/0.006012)^(1/3),((F10-183-15*I10)/0.005835)^(1/3))</f>
        <v>64.743774712410925</v>
      </c>
      <c r="K10" s="292">
        <f t="shared" ref="K10:K72" ca="1" si="18">$C$23/($C$24+RAND())</f>
        <v>7.7521445045970152</v>
      </c>
      <c r="L10" s="1290">
        <f t="shared" ref="L10:L73" ca="1" si="19">704*I10/J10^2</f>
        <v>17.343674471448729</v>
      </c>
      <c r="M10" s="299">
        <v>2</v>
      </c>
      <c r="N10" s="304">
        <f t="shared" ref="N10:N73" si="20">IF(AI10&gt;$C$33,183+0.005835*R10^3+15*Q10,604+0.006012*R10^3+14.6*Q10)</f>
        <v>3307.8189778216956</v>
      </c>
      <c r="O10" s="303">
        <v>230.29538795536163</v>
      </c>
      <c r="P10" s="302">
        <v>0.37147826428715047</v>
      </c>
      <c r="Q10" s="301">
        <v>121.88789310354548</v>
      </c>
      <c r="R10" s="301">
        <v>60.568100223081231</v>
      </c>
      <c r="S10" s="300">
        <v>1.6897866892992091</v>
      </c>
      <c r="T10" s="891">
        <f t="shared" ref="T10:T73" si="21">HLOOKUP(U10,$AL$32:$AT$34,3)</f>
        <v>256</v>
      </c>
      <c r="U10" s="1220">
        <v>0.86623203754425049</v>
      </c>
      <c r="V10" s="798">
        <f t="shared" ref="V10:V18" si="22">IF(AI10&gt;$C$33,183+0.005835*R10^3+15*Q10,604+0.006012*R10^3+14.6*Q10)</f>
        <v>3307.8189778216956</v>
      </c>
      <c r="W10" s="299">
        <v>2</v>
      </c>
      <c r="X10" s="298">
        <f>IF('Donor Sample'!N27="",,IF('Donor Sample'!N27="F",1,0))</f>
        <v>0</v>
      </c>
      <c r="Y10" s="298">
        <f>IF('Donor Sample'!O27="","",'Donor Sample'!O27)</f>
        <v>174</v>
      </c>
      <c r="Z10" s="298">
        <f>IF(AND('Donor Sample'!O27="",'Donor Sample'!P27="",'Donor Sample'!Q27=""),"",IF('Donor Sample'!P27="",ROUND(AA10/($C$32+($AI10-0.5)*$C$31),0),'Donor Sample'!P27))</f>
        <v>67</v>
      </c>
      <c r="AA10" s="297" t="str">
        <f>IF('Donor Sample'!Q27="","",'Donor Sample'!Q27)</f>
        <v/>
      </c>
      <c r="AB10" s="296">
        <f t="shared" si="12"/>
        <v>4693.3670055999992</v>
      </c>
      <c r="AC10" s="295">
        <f>IF('Donor Sample'!R27="","",'Donor Sample'!R27)</f>
        <v>200</v>
      </c>
      <c r="AD10" s="294">
        <f>IF('Donor Sample'!S27="","",'Donor Sample'!S27/100)</f>
        <v>0.45799999237060546</v>
      </c>
      <c r="AE10" s="293">
        <f t="shared" ref="AE10:AE73" si="23">IF($AB$2=1,Z10,2.2*Z10)</f>
        <v>147.4</v>
      </c>
      <c r="AF10" s="293">
        <f t="shared" ref="AF10:AF73" si="24">IF(AND(Y10="",AA10=""),"",IF(AA10="",IF($AB$2=1,Y10,Y10/2.54),IF(AI10&lt;=$C$33,((AB10-604-14.6*Z10)/0.006012)^(1/3),((AB10-183-15*Z10)/0.005835)^(1/3))))</f>
        <v>68.503937007874015</v>
      </c>
      <c r="AG10" s="292" t="str">
        <f>IF('Donor Sample'!T27="","",'Donor Sample'!T27)</f>
        <v/>
      </c>
      <c r="AH10" s="891">
        <f t="shared" ref="AH10:AH73" si="25">HLOOKUP(AI10,$AL$32:$AT$34,3)</f>
        <v>32</v>
      </c>
      <c r="AI10" s="1220">
        <v>0.77238333225250244</v>
      </c>
      <c r="AJ10" s="1216"/>
      <c r="AK10" s="374" t="s">
        <v>93</v>
      </c>
      <c r="AL10" s="404">
        <v>30</v>
      </c>
      <c r="AM10" s="403">
        <v>13</v>
      </c>
      <c r="AN10" s="403">
        <v>33</v>
      </c>
      <c r="AO10" s="403">
        <v>14</v>
      </c>
      <c r="AP10" s="403">
        <v>5</v>
      </c>
      <c r="AQ10" s="403">
        <v>2</v>
      </c>
      <c r="AR10" s="403">
        <v>2</v>
      </c>
      <c r="AS10" s="402">
        <v>1</v>
      </c>
      <c r="AT10" s="401">
        <f t="shared" si="8"/>
        <v>100</v>
      </c>
      <c r="AV10" s="904" t="s">
        <v>954</v>
      </c>
      <c r="AW10" s="905"/>
      <c r="AX10" s="905"/>
      <c r="AY10" s="906"/>
      <c r="AZ10" s="923">
        <f>SUM(AM28:AP28)</f>
        <v>0.84000000000000008</v>
      </c>
      <c r="BB10" s="916">
        <v>3</v>
      </c>
      <c r="BC10" s="918" t="str">
        <f>IF('Configs &amp; Procedures'!H46="","All Types",'Configs &amp; Procedures'!H46)</f>
        <v>All Types</v>
      </c>
      <c r="BD10" s="1190">
        <f t="shared" si="13"/>
        <v>1</v>
      </c>
      <c r="BE10" s="1165">
        <f t="shared" si="14"/>
        <v>0</v>
      </c>
      <c r="BF10" s="1190" t="str">
        <f>"AB-/AB+"</f>
        <v>AB-/AB+</v>
      </c>
      <c r="BG10" s="1193">
        <v>12</v>
      </c>
      <c r="BH10" s="1197" t="s">
        <v>1519</v>
      </c>
      <c r="BI10" s="1190" t="str">
        <f t="shared" si="15"/>
        <v>key_blood_type_c=0</v>
      </c>
    </row>
    <row r="11" spans="2:61" ht="15">
      <c r="B11" s="369" t="s">
        <v>72</v>
      </c>
      <c r="C11" s="405">
        <f>'Donor Sample'!D11</f>
        <v>240</v>
      </c>
      <c r="E11" s="299">
        <v>3</v>
      </c>
      <c r="F11" s="308">
        <f t="shared" ca="1" si="9"/>
        <v>3658.3367296809288</v>
      </c>
      <c r="G11" s="307">
        <f t="shared" ca="1" si="10"/>
        <v>241.54652349918643</v>
      </c>
      <c r="H11" s="306">
        <f t="shared" ca="1" si="11"/>
        <v>0.38910805122242087</v>
      </c>
      <c r="I11" s="305">
        <f t="shared" ca="1" si="16"/>
        <v>135.53000224822321</v>
      </c>
      <c r="J11" s="305">
        <f t="shared" ca="1" si="17"/>
        <v>56.347817390350549</v>
      </c>
      <c r="K11" s="292">
        <f t="shared" ca="1" si="18"/>
        <v>1.4125845245764783</v>
      </c>
      <c r="L11" s="1290">
        <f t="shared" ca="1" si="19"/>
        <v>30.050652587996378</v>
      </c>
      <c r="M11" s="299">
        <v>3</v>
      </c>
      <c r="N11" s="304">
        <f t="shared" si="20"/>
        <v>3381.7485058254742</v>
      </c>
      <c r="O11" s="303">
        <v>279.34865299337969</v>
      </c>
      <c r="P11" s="302">
        <v>0.39020496849021163</v>
      </c>
      <c r="Q11" s="301">
        <v>118.96592787719747</v>
      </c>
      <c r="R11" s="301">
        <v>55.734292968750616</v>
      </c>
      <c r="S11" s="300">
        <v>1.437973493488331</v>
      </c>
      <c r="T11" s="891">
        <f t="shared" si="21"/>
        <v>4</v>
      </c>
      <c r="U11" s="1220">
        <v>0.38431721925735474</v>
      </c>
      <c r="V11" s="798">
        <f t="shared" si="22"/>
        <v>3381.7485058254742</v>
      </c>
      <c r="W11" s="299">
        <v>3</v>
      </c>
      <c r="X11" s="298">
        <f>IF('Donor Sample'!N28="",,IF('Donor Sample'!N28="F",1,0))</f>
        <v>1</v>
      </c>
      <c r="Y11" s="298">
        <f>IF('Donor Sample'!O28="","",'Donor Sample'!O28)</f>
        <v>161</v>
      </c>
      <c r="Z11" s="298">
        <f>IF(AND('Donor Sample'!O28="",'Donor Sample'!P28="",'Donor Sample'!Q28=""),"",IF('Donor Sample'!P28="",ROUND(AA11/($C$32+($AI11-0.5)*$C$31),0),'Donor Sample'!P28))</f>
        <v>65</v>
      </c>
      <c r="AA11" s="297" t="str">
        <f>IF('Donor Sample'!Q28="","",'Donor Sample'!Q28)</f>
        <v/>
      </c>
      <c r="AB11" s="296">
        <f t="shared" si="12"/>
        <v>3818.5903641</v>
      </c>
      <c r="AC11" s="295">
        <f>IF('Donor Sample'!R28="","",'Donor Sample'!R28)</f>
        <v>200</v>
      </c>
      <c r="AD11" s="294">
        <f>IF('Donor Sample'!S28="","",'Donor Sample'!S28/100)</f>
        <v>0.39200000762939452</v>
      </c>
      <c r="AE11" s="293">
        <f t="shared" si="23"/>
        <v>143</v>
      </c>
      <c r="AF11" s="293">
        <f t="shared" si="24"/>
        <v>63.385826771653541</v>
      </c>
      <c r="AG11" s="292" t="str">
        <f>IF('Donor Sample'!T28="","",'Donor Sample'!T28)</f>
        <v/>
      </c>
      <c r="AH11" s="891">
        <f t="shared" si="25"/>
        <v>2</v>
      </c>
      <c r="AI11" s="1220">
        <v>0.35385161638259888</v>
      </c>
      <c r="AJ11" s="1216"/>
      <c r="AK11" s="374" t="s">
        <v>94</v>
      </c>
      <c r="AL11" s="404">
        <v>32</v>
      </c>
      <c r="AM11" s="403">
        <v>8</v>
      </c>
      <c r="AN11" s="403">
        <v>34</v>
      </c>
      <c r="AO11" s="403">
        <v>8</v>
      </c>
      <c r="AP11" s="403">
        <v>10</v>
      </c>
      <c r="AQ11" s="403">
        <v>3</v>
      </c>
      <c r="AR11" s="403">
        <v>4</v>
      </c>
      <c r="AS11" s="402">
        <v>1</v>
      </c>
      <c r="AT11" s="401">
        <f t="shared" si="8"/>
        <v>100</v>
      </c>
      <c r="AV11" s="907" t="s">
        <v>1221</v>
      </c>
      <c r="AW11" s="908"/>
      <c r="AX11" s="908"/>
      <c r="AY11" s="909"/>
      <c r="AZ11" s="923">
        <f>SUM(AM28:AN28)+SUM(AQ28:AR28)</f>
        <v>0.54</v>
      </c>
      <c r="BB11" s="916">
        <v>4</v>
      </c>
      <c r="BC11" s="917" t="str">
        <f>IF('Configs &amp; Procedures'!H47="","All Types",'Configs &amp; Procedures'!H47)</f>
        <v>All Types</v>
      </c>
      <c r="BD11" s="1190">
        <f t="shared" si="13"/>
        <v>1</v>
      </c>
      <c r="BE11" s="1165">
        <f t="shared" si="14"/>
        <v>0</v>
      </c>
      <c r="BF11" s="1190" t="s">
        <v>953</v>
      </c>
      <c r="BG11" s="1193">
        <v>0</v>
      </c>
      <c r="BH11" s="1196" t="s">
        <v>1520</v>
      </c>
      <c r="BI11" s="1190" t="str">
        <f t="shared" si="15"/>
        <v>key_blood_type_d=0</v>
      </c>
    </row>
    <row r="12" spans="2:61" ht="15">
      <c r="B12" s="388" t="s">
        <v>73</v>
      </c>
      <c r="C12" s="400">
        <f>'Donor Sample'!D12</f>
        <v>35</v>
      </c>
      <c r="E12" s="299">
        <v>4</v>
      </c>
      <c r="F12" s="308">
        <f t="shared" ca="1" si="9"/>
        <v>2962.2427120971206</v>
      </c>
      <c r="G12" s="307">
        <f t="shared" ca="1" si="10"/>
        <v>271.008832025</v>
      </c>
      <c r="H12" s="306">
        <f t="shared" ca="1" si="11"/>
        <v>0.3529115843621573</v>
      </c>
      <c r="I12" s="305">
        <f t="shared" ca="1" si="16"/>
        <v>95.265758807585541</v>
      </c>
      <c r="J12" s="305">
        <f t="shared" ca="1" si="17"/>
        <v>54.390549355163913</v>
      </c>
      <c r="K12" s="292">
        <f t="shared" ca="1" si="18"/>
        <v>4.6742266093052347</v>
      </c>
      <c r="L12" s="1290">
        <f t="shared" ca="1" si="19"/>
        <v>22.670578350754184</v>
      </c>
      <c r="M12" s="299">
        <v>4</v>
      </c>
      <c r="N12" s="304">
        <f t="shared" si="20"/>
        <v>2746.6331062342888</v>
      </c>
      <c r="O12" s="303">
        <v>295.80378160653174</v>
      </c>
      <c r="P12" s="302">
        <v>0.39298479328654135</v>
      </c>
      <c r="Q12" s="301">
        <v>97.343730007556729</v>
      </c>
      <c r="R12" s="301">
        <v>49.323663717747337</v>
      </c>
      <c r="S12" s="300">
        <v>2.1337679383358279</v>
      </c>
      <c r="T12" s="891">
        <f t="shared" si="21"/>
        <v>16</v>
      </c>
      <c r="U12" s="1220">
        <v>0.96549868583679199</v>
      </c>
      <c r="V12" s="798">
        <f t="shared" si="22"/>
        <v>2746.6331062342888</v>
      </c>
      <c r="W12" s="299">
        <v>4</v>
      </c>
      <c r="X12" s="298">
        <f>IF('Donor Sample'!N29="",,IF('Donor Sample'!N29="F",1,0))</f>
        <v>0</v>
      </c>
      <c r="Y12" s="298">
        <f>IF('Donor Sample'!O29="","",'Donor Sample'!O29)</f>
        <v>175</v>
      </c>
      <c r="Z12" s="298">
        <f>IF(AND('Donor Sample'!O29="",'Donor Sample'!P29="",'Donor Sample'!Q29=""),"",IF('Donor Sample'!P29="",ROUND(AA12/($C$32+($AI12-0.5)*$C$31),0),'Donor Sample'!P29))</f>
        <v>75</v>
      </c>
      <c r="AA12" s="297" t="str">
        <f>IF('Donor Sample'!Q29="","",'Donor Sample'!Q29)</f>
        <v/>
      </c>
      <c r="AB12" s="296">
        <f t="shared" si="12"/>
        <v>4984.3796874999998</v>
      </c>
      <c r="AC12" s="295">
        <f>IF('Donor Sample'!R29="","",'Donor Sample'!R29)</f>
        <v>200</v>
      </c>
      <c r="AD12" s="294">
        <f>IF('Donor Sample'!S29="","",'Donor Sample'!S29/100)</f>
        <v>0.38299999237060545</v>
      </c>
      <c r="AE12" s="407">
        <f t="shared" si="23"/>
        <v>165</v>
      </c>
      <c r="AF12" s="293">
        <f t="shared" si="24"/>
        <v>68.897637795275585</v>
      </c>
      <c r="AG12" s="292" t="str">
        <f>IF('Donor Sample'!T29="","",'Donor Sample'!T29)</f>
        <v/>
      </c>
      <c r="AH12" s="891">
        <f t="shared" si="25"/>
        <v>64</v>
      </c>
      <c r="AI12" s="1220">
        <v>0.49293065071105957</v>
      </c>
      <c r="AJ12" s="1216"/>
      <c r="AK12" s="367" t="s">
        <v>1012</v>
      </c>
      <c r="AL12" s="399">
        <v>29</v>
      </c>
      <c r="AM12" s="398">
        <v>1</v>
      </c>
      <c r="AN12" s="398">
        <v>37</v>
      </c>
      <c r="AO12" s="398">
        <v>1</v>
      </c>
      <c r="AP12" s="398">
        <v>21</v>
      </c>
      <c r="AQ12" s="398">
        <v>1</v>
      </c>
      <c r="AR12" s="398">
        <v>9</v>
      </c>
      <c r="AS12" s="397">
        <v>1</v>
      </c>
      <c r="AT12" s="396">
        <f t="shared" si="8"/>
        <v>100</v>
      </c>
      <c r="AV12" s="904" t="s">
        <v>1222</v>
      </c>
      <c r="AW12" s="905"/>
      <c r="AX12" s="905"/>
      <c r="AY12" s="906"/>
      <c r="AZ12" s="923">
        <f>SUM(AM28:AR28)</f>
        <v>0.95000000000000007</v>
      </c>
      <c r="BB12" s="916">
        <v>5</v>
      </c>
      <c r="BC12" s="918" t="str">
        <f>IF('Configs &amp; Procedures'!H48="","All Types",'Configs &amp; Procedures'!H48)</f>
        <v>All Types</v>
      </c>
      <c r="BD12" s="1190">
        <f t="shared" si="13"/>
        <v>1</v>
      </c>
      <c r="BE12" s="1165">
        <f t="shared" si="14"/>
        <v>0</v>
      </c>
      <c r="BF12" s="1190" t="s">
        <v>1224</v>
      </c>
      <c r="BG12" s="1193">
        <v>11</v>
      </c>
      <c r="BH12" s="1197" t="s">
        <v>1521</v>
      </c>
      <c r="BI12" s="1190" t="str">
        <f t="shared" si="15"/>
        <v>key_blood_type_e=0</v>
      </c>
    </row>
    <row r="13" spans="2:61" ht="15">
      <c r="B13" s="388" t="s">
        <v>75</v>
      </c>
      <c r="C13" s="400">
        <f>'Donor Sample'!D13</f>
        <v>150</v>
      </c>
      <c r="E13" s="299">
        <v>5</v>
      </c>
      <c r="F13" s="308">
        <f t="shared" ca="1" si="9"/>
        <v>3294.6406396445036</v>
      </c>
      <c r="G13" s="307">
        <f t="shared" ca="1" si="10"/>
        <v>248.39634586626875</v>
      </c>
      <c r="H13" s="306">
        <f t="shared" ca="1" si="11"/>
        <v>0.42197395084171652</v>
      </c>
      <c r="I13" s="305">
        <f t="shared" ca="1" si="16"/>
        <v>102.25729261940667</v>
      </c>
      <c r="J13" s="305">
        <f t="shared" ca="1" si="17"/>
        <v>58.403800956984888</v>
      </c>
      <c r="K13" s="292">
        <f t="shared" ca="1" si="18"/>
        <v>5.2515666800427079</v>
      </c>
      <c r="L13" s="1290">
        <f t="shared" ca="1" si="19"/>
        <v>21.104969304322875</v>
      </c>
      <c r="M13" s="299">
        <v>5</v>
      </c>
      <c r="N13" s="304">
        <f t="shared" si="20"/>
        <v>3010.7253588597814</v>
      </c>
      <c r="O13" s="303">
        <v>210.54040896717163</v>
      </c>
      <c r="P13" s="302">
        <v>0.39428863324990038</v>
      </c>
      <c r="Q13" s="301">
        <v>110.57360352160107</v>
      </c>
      <c r="R13" s="301">
        <v>50.890044817207809</v>
      </c>
      <c r="S13" s="300">
        <v>1.7327069705841727</v>
      </c>
      <c r="T13" s="891">
        <f t="shared" si="21"/>
        <v>64</v>
      </c>
      <c r="U13" s="1220">
        <v>0.50314325094223022</v>
      </c>
      <c r="V13" s="798">
        <f t="shared" si="22"/>
        <v>3010.7253588597814</v>
      </c>
      <c r="W13" s="299">
        <v>5</v>
      </c>
      <c r="X13" s="298">
        <f>IF('Donor Sample'!N30="",,IF('Donor Sample'!N30="F",1,0))</f>
        <v>0</v>
      </c>
      <c r="Y13" s="298">
        <f>IF('Donor Sample'!O30="","",'Donor Sample'!O30)</f>
        <v>158</v>
      </c>
      <c r="Z13" s="298">
        <f>IF(AND('Donor Sample'!O30="",'Donor Sample'!P30="",'Donor Sample'!Q30=""),"",IF('Donor Sample'!P30="",ROUND(AA13/($C$32+($AI13-0.5)*$C$31),0),'Donor Sample'!P30))</f>
        <v>52</v>
      </c>
      <c r="AA13" s="297" t="str">
        <f>IF('Donor Sample'!Q30="","",'Donor Sample'!Q30)</f>
        <v/>
      </c>
      <c r="AB13" s="296">
        <f t="shared" si="12"/>
        <v>3724.8920728000003</v>
      </c>
      <c r="AC13" s="295">
        <f>IF('Donor Sample'!R30="","",'Donor Sample'!R30)</f>
        <v>200</v>
      </c>
      <c r="AD13" s="294">
        <f>IF('Donor Sample'!S30="","",'Donor Sample'!S30/100)</f>
        <v>0.43099998474121093</v>
      </c>
      <c r="AE13" s="293">
        <f t="shared" si="23"/>
        <v>114.4</v>
      </c>
      <c r="AF13" s="293">
        <f t="shared" si="24"/>
        <v>62.204724409448815</v>
      </c>
      <c r="AG13" s="292" t="str">
        <f>IF('Donor Sample'!T30="","",'Donor Sample'!T30)</f>
        <v/>
      </c>
      <c r="AH13" s="891">
        <f t="shared" si="25"/>
        <v>2</v>
      </c>
      <c r="AI13" s="1220">
        <v>0.11274188756942749</v>
      </c>
      <c r="AJ13" s="1216"/>
      <c r="AK13" s="367" t="s">
        <v>971</v>
      </c>
      <c r="AL13" s="399">
        <v>42.4</v>
      </c>
      <c r="AM13" s="398">
        <v>9.8000000000000007</v>
      </c>
      <c r="AN13" s="398">
        <v>32.9</v>
      </c>
      <c r="AO13" s="398">
        <v>8.8000000000000007</v>
      </c>
      <c r="AP13" s="398">
        <v>3.5</v>
      </c>
      <c r="AQ13" s="398">
        <v>1.2</v>
      </c>
      <c r="AR13" s="398">
        <v>0.2</v>
      </c>
      <c r="AS13" s="397">
        <v>1.2</v>
      </c>
      <c r="AT13" s="396">
        <f t="shared" si="8"/>
        <v>100</v>
      </c>
      <c r="AV13" s="907" t="s">
        <v>956</v>
      </c>
      <c r="AW13" s="908"/>
      <c r="AX13" s="908"/>
      <c r="AY13" s="909"/>
      <c r="AZ13" s="923">
        <f>AN28+AP28</f>
        <v>0.14000000000000001</v>
      </c>
      <c r="BB13" s="916">
        <v>6</v>
      </c>
      <c r="BC13" s="917" t="str">
        <f>IF('Configs &amp; Procedures'!H49="","All Types",'Configs &amp; Procedures'!H49)</f>
        <v>All Types</v>
      </c>
      <c r="BD13" s="1190">
        <f t="shared" si="13"/>
        <v>1</v>
      </c>
      <c r="BE13" s="1165">
        <f t="shared" si="14"/>
        <v>0</v>
      </c>
      <c r="BF13" s="1190" t="s">
        <v>955</v>
      </c>
      <c r="BG13" s="1193">
        <v>2</v>
      </c>
      <c r="BH13" s="1196" t="s">
        <v>1522</v>
      </c>
      <c r="BI13" s="1190" t="str">
        <f t="shared" si="15"/>
        <v>key_blood_type_f=0</v>
      </c>
    </row>
    <row r="14" spans="2:61" ht="15.75" thickBot="1">
      <c r="B14" s="342" t="s">
        <v>77</v>
      </c>
      <c r="C14" s="395">
        <f>'Donor Sample'!D14</f>
        <v>500</v>
      </c>
      <c r="E14" s="299">
        <v>6</v>
      </c>
      <c r="F14" s="308">
        <f t="shared" ca="1" si="9"/>
        <v>3087.2427596098169</v>
      </c>
      <c r="G14" s="307">
        <f t="shared" ca="1" si="10"/>
        <v>153.7938655947566</v>
      </c>
      <c r="H14" s="306">
        <f t="shared" ca="1" si="11"/>
        <v>0.39215216475348713</v>
      </c>
      <c r="I14" s="305">
        <f t="shared" ca="1" si="16"/>
        <v>104.40050515182351</v>
      </c>
      <c r="J14" s="305">
        <f t="shared" ca="1" si="17"/>
        <v>54.233277154053646</v>
      </c>
      <c r="K14" s="292">
        <f t="shared" ca="1" si="18"/>
        <v>6.4425048954003037</v>
      </c>
      <c r="L14" s="1290">
        <f t="shared" ca="1" si="19"/>
        <v>24.988694207064711</v>
      </c>
      <c r="M14" s="299">
        <v>6</v>
      </c>
      <c r="N14" s="304">
        <f t="shared" si="20"/>
        <v>2932.1449079114068</v>
      </c>
      <c r="O14" s="303">
        <v>305.71515783637625</v>
      </c>
      <c r="P14" s="302">
        <v>0.37658710245120963</v>
      </c>
      <c r="Q14" s="301">
        <v>117.26146468729418</v>
      </c>
      <c r="R14" s="301">
        <v>46.796913783101651</v>
      </c>
      <c r="S14" s="300">
        <v>1.5266849621250309</v>
      </c>
      <c r="T14" s="891">
        <f t="shared" si="21"/>
        <v>16</v>
      </c>
      <c r="U14" s="1220">
        <v>0.98414266109466553</v>
      </c>
      <c r="V14" s="798">
        <f t="shared" si="22"/>
        <v>2932.1449079114068</v>
      </c>
      <c r="W14" s="299">
        <v>6</v>
      </c>
      <c r="X14" s="298">
        <f>IF('Donor Sample'!N31="",,IF('Donor Sample'!N31="F",1,0))</f>
        <v>0</v>
      </c>
      <c r="Y14" s="298">
        <f>IF('Donor Sample'!O31="","",'Donor Sample'!O31)</f>
        <v>167</v>
      </c>
      <c r="Z14" s="298">
        <f>IF(AND('Donor Sample'!O31="",'Donor Sample'!P31="",'Donor Sample'!Q31=""),"",IF('Donor Sample'!P31="",ROUND(AA14/($C$32+($AI14-0.5)*$C$31),0),'Donor Sample'!P31))</f>
        <v>58</v>
      </c>
      <c r="AA14" s="297" t="str">
        <f>IF('Donor Sample'!Q31="","",'Donor Sample'!Q31)</f>
        <v/>
      </c>
      <c r="AB14" s="296">
        <f t="shared" si="12"/>
        <v>4179.6691746999995</v>
      </c>
      <c r="AC14" s="295">
        <f>IF('Donor Sample'!R31="","",'Donor Sample'!R31)</f>
        <v>200</v>
      </c>
      <c r="AD14" s="294">
        <f>IF('Donor Sample'!S31="","",'Donor Sample'!S31/100)</f>
        <v>0.435</v>
      </c>
      <c r="AE14" s="293">
        <f t="shared" si="23"/>
        <v>127.60000000000001</v>
      </c>
      <c r="AF14" s="293">
        <f t="shared" si="24"/>
        <v>65.748031496062993</v>
      </c>
      <c r="AG14" s="292" t="str">
        <f>IF('Donor Sample'!T31="","",'Donor Sample'!T31)</f>
        <v/>
      </c>
      <c r="AH14" s="891">
        <f t="shared" si="25"/>
        <v>2</v>
      </c>
      <c r="AI14" s="1220">
        <v>7.966315746307373E-2</v>
      </c>
      <c r="AJ14" s="1216"/>
      <c r="AK14" s="361" t="s">
        <v>1009</v>
      </c>
      <c r="AL14" s="394">
        <v>30</v>
      </c>
      <c r="AM14" s="393">
        <v>10</v>
      </c>
      <c r="AN14" s="393">
        <v>38</v>
      </c>
      <c r="AO14" s="393">
        <v>10</v>
      </c>
      <c r="AP14" s="393">
        <v>7</v>
      </c>
      <c r="AQ14" s="393">
        <v>1</v>
      </c>
      <c r="AR14" s="393">
        <v>3</v>
      </c>
      <c r="AS14" s="392">
        <v>1</v>
      </c>
      <c r="AT14" s="391">
        <f t="shared" si="8"/>
        <v>100</v>
      </c>
      <c r="AV14" s="904" t="s">
        <v>1223</v>
      </c>
      <c r="AW14" s="905"/>
      <c r="AX14" s="905"/>
      <c r="AY14" s="906"/>
      <c r="AZ14" s="923">
        <f>SUM(AO28:AP28)</f>
        <v>0.41000000000000003</v>
      </c>
      <c r="BB14" s="916">
        <v>7</v>
      </c>
      <c r="BC14" s="918" t="str">
        <f>IF('Configs &amp; Procedures'!H50="","All Types",'Configs &amp; Procedures'!H50)</f>
        <v>All Types</v>
      </c>
      <c r="BD14" s="1190">
        <f t="shared" si="13"/>
        <v>1</v>
      </c>
      <c r="BE14" s="1165">
        <f t="shared" si="14"/>
        <v>0</v>
      </c>
      <c r="BF14" s="1190" t="s">
        <v>956</v>
      </c>
      <c r="BG14" s="1193">
        <v>5</v>
      </c>
      <c r="BH14" s="1197" t="s">
        <v>1523</v>
      </c>
      <c r="BI14" s="1190" t="str">
        <f t="shared" si="15"/>
        <v>key_blood_type_g=0</v>
      </c>
    </row>
    <row r="15" spans="2:61" ht="15.75" thickBot="1">
      <c r="B15" s="369" t="s">
        <v>81</v>
      </c>
      <c r="C15" s="390">
        <f>'Donor Sample'!D15</f>
        <v>40</v>
      </c>
      <c r="E15" s="299">
        <v>7</v>
      </c>
      <c r="F15" s="308">
        <f t="shared" ca="1" si="9"/>
        <v>3253.6398327358361</v>
      </c>
      <c r="G15" s="307">
        <f t="shared" ca="1" si="10"/>
        <v>295.76808045290045</v>
      </c>
      <c r="H15" s="306">
        <f t="shared" ca="1" si="11"/>
        <v>0.3896890847190197</v>
      </c>
      <c r="I15" s="305">
        <f t="shared" ca="1" si="16"/>
        <v>109.47830718302343</v>
      </c>
      <c r="J15" s="305">
        <f t="shared" ca="1" si="17"/>
        <v>62.557051453678838</v>
      </c>
      <c r="K15" s="292">
        <f t="shared" ca="1" si="18"/>
        <v>2.442903806182847</v>
      </c>
      <c r="L15" s="1290">
        <f t="shared" ca="1" si="19"/>
        <v>19.694646560351114</v>
      </c>
      <c r="M15" s="299">
        <v>7</v>
      </c>
      <c r="N15" s="304">
        <f t="shared" si="20"/>
        <v>3457.9085739926268</v>
      </c>
      <c r="O15" s="303">
        <v>261.03353273779476</v>
      </c>
      <c r="P15" s="302">
        <v>0.42554539244822104</v>
      </c>
      <c r="Q15" s="301">
        <v>113.26467440946632</v>
      </c>
      <c r="R15" s="301">
        <v>64.639719692981913</v>
      </c>
      <c r="S15" s="300">
        <v>7.7157805397270947</v>
      </c>
      <c r="T15" s="891">
        <f t="shared" si="21"/>
        <v>64</v>
      </c>
      <c r="U15" s="1220">
        <v>0.44684511423110962</v>
      </c>
      <c r="V15" s="798">
        <f t="shared" si="22"/>
        <v>3457.9085739926268</v>
      </c>
      <c r="W15" s="299">
        <v>7</v>
      </c>
      <c r="X15" s="298">
        <f>IF('Donor Sample'!N32="",,IF('Donor Sample'!N32="F",1,0))</f>
        <v>1</v>
      </c>
      <c r="Y15" s="298">
        <f>IF('Donor Sample'!O32="","",'Donor Sample'!O32)</f>
        <v>164</v>
      </c>
      <c r="Z15" s="298">
        <f>IF(AND('Donor Sample'!O32="",'Donor Sample'!P32="",'Donor Sample'!Q32=""),"",IF('Donor Sample'!P32="",ROUND(AA15/($C$32+($AI15-0.5)*$C$31),0),'Donor Sample'!P32))</f>
        <v>72</v>
      </c>
      <c r="AA15" s="297" t="str">
        <f>IF('Donor Sample'!Q32="","",'Donor Sample'!Q32)</f>
        <v/>
      </c>
      <c r="AB15" s="296">
        <f t="shared" si="12"/>
        <v>4134.7051584000001</v>
      </c>
      <c r="AC15" s="295">
        <f>IF('Donor Sample'!R32="","",'Donor Sample'!R32)</f>
        <v>200</v>
      </c>
      <c r="AD15" s="294">
        <f>IF('Donor Sample'!S32="","",'Donor Sample'!S32/100)</f>
        <v>0.36299999237060548</v>
      </c>
      <c r="AE15" s="407">
        <f t="shared" si="23"/>
        <v>158.4</v>
      </c>
      <c r="AF15" s="293">
        <f t="shared" si="24"/>
        <v>64.566929133858267</v>
      </c>
      <c r="AG15" s="292" t="str">
        <f>IF('Donor Sample'!T32="","",'Donor Sample'!T32)</f>
        <v/>
      </c>
      <c r="AH15" s="891">
        <f>HLOOKUP(AI15,$AL$32:$AT$34,3)</f>
        <v>256</v>
      </c>
      <c r="AI15" s="1220">
        <v>0.88733440637588501</v>
      </c>
      <c r="AJ15" s="1216"/>
      <c r="AK15" s="76" t="s">
        <v>1934</v>
      </c>
      <c r="AL15" s="1361">
        <f>'Donor Sample'!Y15</f>
        <v>31</v>
      </c>
      <c r="AM15" s="1361">
        <f>'Donor Sample'!Z15</f>
        <v>9</v>
      </c>
      <c r="AN15" s="1361">
        <f>'Donor Sample'!AA15</f>
        <v>35.5</v>
      </c>
      <c r="AO15" s="1361">
        <f>'Donor Sample'!AB15</f>
        <v>10.5</v>
      </c>
      <c r="AP15" s="1361">
        <f>'Donor Sample'!AC15</f>
        <v>8</v>
      </c>
      <c r="AQ15" s="1361">
        <f>'Donor Sample'!AD15</f>
        <v>1.5</v>
      </c>
      <c r="AR15" s="1361">
        <f>'Donor Sample'!AE15</f>
        <v>3.5</v>
      </c>
      <c r="AS15" s="1361">
        <f>'Donor Sample'!AF15</f>
        <v>1</v>
      </c>
      <c r="AT15" s="391">
        <f t="shared" si="8"/>
        <v>100</v>
      </c>
      <c r="AV15" s="907" t="s">
        <v>958</v>
      </c>
      <c r="AW15" s="908"/>
      <c r="AX15" s="908"/>
      <c r="AY15" s="909"/>
      <c r="AZ15" s="923">
        <f>SUM(AO28:AT28)</f>
        <v>0.57000000000000006</v>
      </c>
      <c r="BB15" s="916">
        <v>8</v>
      </c>
      <c r="BC15" s="917" t="str">
        <f>IF('Configs &amp; Procedures'!H51="","All Types",'Configs &amp; Procedures'!H51)</f>
        <v>All Types</v>
      </c>
      <c r="BD15" s="1190">
        <f t="shared" si="13"/>
        <v>1</v>
      </c>
      <c r="BE15" s="1165">
        <f t="shared" si="14"/>
        <v>0</v>
      </c>
      <c r="BF15" s="1190" t="s">
        <v>1045</v>
      </c>
      <c r="BG15" s="1193">
        <v>1</v>
      </c>
      <c r="BH15" s="1196" t="s">
        <v>1524</v>
      </c>
      <c r="BI15" s="1190" t="str">
        <f t="shared" si="15"/>
        <v>key_blood_type_h=0</v>
      </c>
    </row>
    <row r="16" spans="2:61" ht="15.75" thickBot="1">
      <c r="B16" s="388" t="s">
        <v>86</v>
      </c>
      <c r="C16" s="387">
        <f>'Donor Sample'!D16</f>
        <v>4.8</v>
      </c>
      <c r="E16" s="299">
        <v>8</v>
      </c>
      <c r="F16" s="308">
        <f t="shared" ca="1" si="9"/>
        <v>3411.1158039388652</v>
      </c>
      <c r="G16" s="307">
        <f t="shared" ca="1" si="10"/>
        <v>207.41194007205732</v>
      </c>
      <c r="H16" s="306">
        <f t="shared" ca="1" si="11"/>
        <v>0.44326333123181172</v>
      </c>
      <c r="I16" s="305">
        <f t="shared" ca="1" si="16"/>
        <v>142.41428646732402</v>
      </c>
      <c r="J16" s="305">
        <f t="shared" ca="1" si="17"/>
        <v>57.198003282063212</v>
      </c>
      <c r="K16" s="292">
        <f t="shared" ca="1" si="18"/>
        <v>2.4698108749493244</v>
      </c>
      <c r="L16" s="1290">
        <f t="shared" ca="1" si="19"/>
        <v>30.64534258975219</v>
      </c>
      <c r="M16" s="299">
        <v>8</v>
      </c>
      <c r="N16" s="304">
        <f t="shared" si="20"/>
        <v>3125.363201896751</v>
      </c>
      <c r="O16" s="303">
        <v>249.25627484050872</v>
      </c>
      <c r="P16" s="302">
        <v>0.35937727864177765</v>
      </c>
      <c r="Q16" s="301">
        <v>100.18448462616587</v>
      </c>
      <c r="R16" s="301">
        <v>62.71911431378885</v>
      </c>
      <c r="S16" s="300">
        <v>2.7356261512052615</v>
      </c>
      <c r="T16" s="891">
        <f t="shared" si="21"/>
        <v>32</v>
      </c>
      <c r="U16" s="1220">
        <v>0.77913570404052734</v>
      </c>
      <c r="V16" s="798">
        <f t="shared" si="22"/>
        <v>3125.363201896751</v>
      </c>
      <c r="W16" s="299">
        <v>8</v>
      </c>
      <c r="X16" s="298">
        <f>IF('Donor Sample'!N33="",,IF('Donor Sample'!N33="F",1,0))</f>
        <v>0</v>
      </c>
      <c r="Y16" s="298">
        <f>IF('Donor Sample'!O33="","",'Donor Sample'!O33)</f>
        <v>174</v>
      </c>
      <c r="Z16" s="298">
        <f>IF(AND('Donor Sample'!O33="",'Donor Sample'!P33="",'Donor Sample'!Q33=""),"",IF('Donor Sample'!P33="",ROUND(AA16/($C$32+($AI16-0.5)*$C$31),0),'Donor Sample'!P33))</f>
        <v>53</v>
      </c>
      <c r="AA16" s="297" t="str">
        <f>IF('Donor Sample'!Q33="","",'Donor Sample'!Q33)</f>
        <v/>
      </c>
      <c r="AB16" s="296">
        <f t="shared" si="12"/>
        <v>4242.7490055999997</v>
      </c>
      <c r="AC16" s="295">
        <f>IF('Donor Sample'!R33="","",'Donor Sample'!R33)</f>
        <v>200</v>
      </c>
      <c r="AD16" s="294">
        <f>IF('Donor Sample'!S33="","",'Donor Sample'!S33/100)</f>
        <v>0.35700000762939454</v>
      </c>
      <c r="AE16" s="293">
        <f t="shared" si="23"/>
        <v>116.60000000000001</v>
      </c>
      <c r="AF16" s="293">
        <f t="shared" si="24"/>
        <v>68.503937007874015</v>
      </c>
      <c r="AG16" s="292" t="str">
        <f>IF('Donor Sample'!T33="","",'Donor Sample'!T33)</f>
        <v/>
      </c>
      <c r="AH16" s="891">
        <f t="shared" si="25"/>
        <v>32</v>
      </c>
      <c r="AI16" s="1220">
        <v>0.77651548385620117</v>
      </c>
      <c r="AJ16" s="1216"/>
      <c r="AK16" s="389" t="s">
        <v>1014</v>
      </c>
      <c r="AL16" s="1494" t="s">
        <v>1480</v>
      </c>
      <c r="AM16" s="1495"/>
      <c r="AN16" s="1495"/>
      <c r="AO16" s="1495"/>
      <c r="AP16" s="1495"/>
      <c r="AQ16" s="1495"/>
      <c r="AR16" s="1495"/>
      <c r="AS16" s="1495"/>
      <c r="AT16" s="1496"/>
      <c r="AV16" s="904" t="s">
        <v>1224</v>
      </c>
      <c r="AW16" s="905"/>
      <c r="AX16" s="905"/>
      <c r="AY16" s="906"/>
      <c r="AZ16" s="923">
        <f>SUM(AQ28:AR28)</f>
        <v>0.11</v>
      </c>
      <c r="BB16" s="916">
        <v>9</v>
      </c>
      <c r="BC16" s="918" t="str">
        <f>IF('Configs &amp; Procedures'!H52="","All Types",'Configs &amp; Procedures'!H52)</f>
        <v>All Types</v>
      </c>
      <c r="BD16" s="1190">
        <f t="shared" si="13"/>
        <v>1</v>
      </c>
      <c r="BE16" s="1165">
        <f t="shared" si="14"/>
        <v>0</v>
      </c>
      <c r="BF16" s="1190" t="s">
        <v>1515</v>
      </c>
      <c r="BG16" s="1193">
        <v>4</v>
      </c>
      <c r="BH16" s="1197" t="s">
        <v>1525</v>
      </c>
      <c r="BI16" s="1190" t="str">
        <f t="shared" si="15"/>
        <v>key_blood_type_i=0</v>
      </c>
    </row>
    <row r="17" spans="2:61" ht="15.75" thickBot="1">
      <c r="B17" s="388" t="s">
        <v>87</v>
      </c>
      <c r="C17" s="387">
        <f>'Donor Sample'!D17</f>
        <v>35</v>
      </c>
      <c r="E17" s="299">
        <v>9</v>
      </c>
      <c r="F17" s="308">
        <f t="shared" ca="1" si="9"/>
        <v>3498.8129056404878</v>
      </c>
      <c r="G17" s="307">
        <f t="shared" ca="1" si="10"/>
        <v>243.6815498895827</v>
      </c>
      <c r="H17" s="306">
        <f t="shared" ca="1" si="11"/>
        <v>0.46391088087393972</v>
      </c>
      <c r="I17" s="305">
        <f t="shared" ca="1" si="16"/>
        <v>133.04865336880806</v>
      </c>
      <c r="J17" s="305">
        <f t="shared" ca="1" si="17"/>
        <v>60.933127667469016</v>
      </c>
      <c r="K17" s="292">
        <f t="shared" ca="1" si="18"/>
        <v>2.4889587485713776</v>
      </c>
      <c r="L17" s="1290">
        <f t="shared" ca="1" si="19"/>
        <v>25.22761535958227</v>
      </c>
      <c r="M17" s="299">
        <v>9</v>
      </c>
      <c r="N17" s="304">
        <f t="shared" si="20"/>
        <v>3065.3937161517088</v>
      </c>
      <c r="O17" s="303">
        <v>290.61727792263423</v>
      </c>
      <c r="P17" s="302">
        <v>0.42054410418026494</v>
      </c>
      <c r="Q17" s="301">
        <v>109.26259751856466</v>
      </c>
      <c r="R17" s="301">
        <v>59.730530983766045</v>
      </c>
      <c r="S17" s="300">
        <v>2.2839019236822957</v>
      </c>
      <c r="T17" s="891">
        <f t="shared" si="21"/>
        <v>2</v>
      </c>
      <c r="U17" s="1220">
        <v>0.30857008695602417</v>
      </c>
      <c r="V17" s="798">
        <f t="shared" si="22"/>
        <v>3065.3937161517088</v>
      </c>
      <c r="W17" s="299">
        <v>9</v>
      </c>
      <c r="X17" s="298">
        <f>IF('Donor Sample'!N34="",,IF('Donor Sample'!N34="F",1,0))</f>
        <v>0</v>
      </c>
      <c r="Y17" s="298">
        <f>IF('Donor Sample'!O34="","",'Donor Sample'!O34)</f>
        <v>164</v>
      </c>
      <c r="Z17" s="298">
        <f>IF(AND('Donor Sample'!O34="",'Donor Sample'!P34="",'Donor Sample'!Q34=""),"",IF('Donor Sample'!P34="",ROUND(AA17/($C$32+($AI17-0.5)*$C$31),0),'Donor Sample'!P34))</f>
        <v>70</v>
      </c>
      <c r="AA17" s="297" t="str">
        <f>IF('Donor Sample'!Q34="","",'Donor Sample'!Q34)</f>
        <v/>
      </c>
      <c r="AB17" s="296">
        <f t="shared" si="12"/>
        <v>4475.4653535999996</v>
      </c>
      <c r="AC17" s="295">
        <f>IF('Donor Sample'!R34="","",'Donor Sample'!R34)</f>
        <v>200</v>
      </c>
      <c r="AD17" s="294">
        <f>IF('Donor Sample'!S34="","",'Donor Sample'!S34/100)</f>
        <v>0.42599998474121092</v>
      </c>
      <c r="AE17" s="293">
        <f t="shared" si="23"/>
        <v>154</v>
      </c>
      <c r="AF17" s="293">
        <f t="shared" si="24"/>
        <v>64.566929133858267</v>
      </c>
      <c r="AG17" s="292" t="str">
        <f>IF('Donor Sample'!T34="","",'Donor Sample'!T34)</f>
        <v/>
      </c>
      <c r="AH17" s="891">
        <f t="shared" si="25"/>
        <v>256</v>
      </c>
      <c r="AI17" s="1220">
        <v>0.85988777875900269</v>
      </c>
      <c r="AJ17" s="1216"/>
      <c r="AK17" s="386" t="s">
        <v>1005</v>
      </c>
      <c r="AL17" s="385" t="s">
        <v>62</v>
      </c>
      <c r="AM17" s="384" t="s">
        <v>1004</v>
      </c>
      <c r="AN17" s="383" t="s">
        <v>955</v>
      </c>
      <c r="AO17" s="382" t="s">
        <v>1003</v>
      </c>
      <c r="AP17" s="382" t="s">
        <v>1002</v>
      </c>
      <c r="AQ17" s="382" t="s">
        <v>1001</v>
      </c>
      <c r="AR17" s="382" t="s">
        <v>1000</v>
      </c>
      <c r="AS17" s="382" t="s">
        <v>999</v>
      </c>
      <c r="AT17" s="381" t="s">
        <v>998</v>
      </c>
      <c r="AV17" s="910" t="s">
        <v>1225</v>
      </c>
      <c r="AW17" s="911"/>
      <c r="AX17" s="911"/>
      <c r="AY17" s="912"/>
      <c r="AZ17" s="924">
        <f>SUM(AS28:AT28)</f>
        <v>0.05</v>
      </c>
      <c r="BB17" s="916">
        <v>10</v>
      </c>
      <c r="BC17" s="917" t="str">
        <f>IF('Configs &amp; Procedures'!H53="","All Types",'Configs &amp; Procedures'!H53)</f>
        <v>All Types</v>
      </c>
      <c r="BD17" s="1190">
        <f t="shared" si="13"/>
        <v>1</v>
      </c>
      <c r="BE17" s="1165">
        <f t="shared" si="14"/>
        <v>0</v>
      </c>
      <c r="BF17" s="1190" t="s">
        <v>954</v>
      </c>
      <c r="BG17" s="1193">
        <v>3</v>
      </c>
      <c r="BH17" s="1196" t="s">
        <v>1526</v>
      </c>
      <c r="BI17" s="1190" t="str">
        <f t="shared" si="15"/>
        <v>key_blood_type_j=0</v>
      </c>
    </row>
    <row r="18" spans="2:61" ht="13.5" thickBot="1">
      <c r="B18" s="342" t="s">
        <v>88</v>
      </c>
      <c r="C18" s="380">
        <f>'Donor Sample'!D18</f>
        <v>55</v>
      </c>
      <c r="E18" s="299">
        <v>10</v>
      </c>
      <c r="F18" s="308">
        <f t="shared" ca="1" si="9"/>
        <v>2611.3057502648107</v>
      </c>
      <c r="G18" s="307">
        <f t="shared" ca="1" si="10"/>
        <v>273.76354950743894</v>
      </c>
      <c r="H18" s="306">
        <f t="shared" ca="1" si="11"/>
        <v>0.44507480181240844</v>
      </c>
      <c r="I18" s="305">
        <f t="shared" ca="1" si="16"/>
        <v>102.08254359305862</v>
      </c>
      <c r="J18" s="305">
        <f t="shared" ca="1" si="17"/>
        <v>44.136310407489582</v>
      </c>
      <c r="K18" s="292">
        <f t="shared" ca="1" si="18"/>
        <v>1.3462030455281733</v>
      </c>
      <c r="L18" s="1290">
        <f t="shared" ca="1" si="19"/>
        <v>36.891990772155602</v>
      </c>
      <c r="M18" s="299">
        <v>10</v>
      </c>
      <c r="N18" s="304">
        <f t="shared" si="20"/>
        <v>3493.1384580657614</v>
      </c>
      <c r="O18" s="303">
        <v>200.38983654072598</v>
      </c>
      <c r="P18" s="302">
        <v>0.37676768946122335</v>
      </c>
      <c r="Q18" s="301">
        <v>130.56378651106007</v>
      </c>
      <c r="R18" s="301">
        <v>54.680336408826257</v>
      </c>
      <c r="S18" s="300">
        <v>3.1016537565928584</v>
      </c>
      <c r="T18" s="891">
        <f t="shared" si="21"/>
        <v>2</v>
      </c>
      <c r="U18" s="1220">
        <v>7.8848481178283691E-2</v>
      </c>
      <c r="V18" s="798">
        <f t="shared" si="22"/>
        <v>3493.1384580657614</v>
      </c>
      <c r="W18" s="299">
        <v>10</v>
      </c>
      <c r="X18" s="298">
        <f>IF('Donor Sample'!N35="",,IF('Donor Sample'!N35="F",1,0))</f>
        <v>0</v>
      </c>
      <c r="Y18" s="298">
        <f>IF('Donor Sample'!O35="","",'Donor Sample'!O35)</f>
        <v>170</v>
      </c>
      <c r="Z18" s="298">
        <f>IF(AND('Donor Sample'!O35="",'Donor Sample'!P35="",'Donor Sample'!Q35=""),"",IF('Donor Sample'!P35="",ROUND(AA18/($C$32+($AI18-0.5)*$C$31),0),'Donor Sample'!P35))</f>
        <v>85</v>
      </c>
      <c r="AA18" s="297" t="str">
        <f>IF('Donor Sample'!Q35="","",'Donor Sample'!Q35)</f>
        <v/>
      </c>
      <c r="AB18" s="296">
        <f t="shared" si="12"/>
        <v>5142.4746999999998</v>
      </c>
      <c r="AC18" s="295">
        <f>IF('Donor Sample'!R35="","",'Donor Sample'!R35)</f>
        <v>200</v>
      </c>
      <c r="AD18" s="294">
        <f>IF('Donor Sample'!S35="","",'Donor Sample'!S35/100)</f>
        <v>0.43</v>
      </c>
      <c r="AE18" s="407">
        <f t="shared" si="23"/>
        <v>187.00000000000003</v>
      </c>
      <c r="AF18" s="293">
        <f t="shared" si="24"/>
        <v>66.929133858267718</v>
      </c>
      <c r="AG18" s="292" t="str">
        <f>IF('Donor Sample'!T35="","",'Donor Sample'!T35)</f>
        <v/>
      </c>
      <c r="AH18" s="891">
        <f t="shared" si="25"/>
        <v>2</v>
      </c>
      <c r="AI18" s="1220">
        <v>0.29452431201934814</v>
      </c>
      <c r="AJ18" s="1216"/>
      <c r="AK18" s="379" t="s">
        <v>91</v>
      </c>
      <c r="AL18" s="378">
        <v>1</v>
      </c>
      <c r="AM18" s="377">
        <f t="shared" ref="AM18:AM24" si="26">AL8/100</f>
        <v>0.36</v>
      </c>
      <c r="AN18" s="376">
        <f t="shared" ref="AN18:AT24" si="27">AM18+AM8/100</f>
        <v>0.43</v>
      </c>
      <c r="AO18" s="376">
        <f t="shared" si="27"/>
        <v>0.77</v>
      </c>
      <c r="AP18" s="376">
        <f t="shared" si="27"/>
        <v>0.84000000000000008</v>
      </c>
      <c r="AQ18" s="376">
        <f t="shared" si="27"/>
        <v>0.93</v>
      </c>
      <c r="AR18" s="376">
        <f t="shared" si="27"/>
        <v>0.95000000000000007</v>
      </c>
      <c r="AS18" s="376">
        <f t="shared" si="27"/>
        <v>0.9900000000000001</v>
      </c>
      <c r="AT18" s="375">
        <f t="shared" si="27"/>
        <v>1</v>
      </c>
      <c r="BB18" s="916">
        <v>11</v>
      </c>
      <c r="BC18" s="918" t="str">
        <f>IF('Configs &amp; Procedures'!H54="","All Types",'Configs &amp; Procedures'!H54)</f>
        <v>All Types</v>
      </c>
      <c r="BD18" s="1190">
        <f t="shared" si="13"/>
        <v>1</v>
      </c>
      <c r="BE18" s="1165">
        <f t="shared" si="14"/>
        <v>0</v>
      </c>
      <c r="BF18" s="1190" t="s">
        <v>1516</v>
      </c>
      <c r="BG18" s="1193">
        <v>8</v>
      </c>
      <c r="BH18" s="1197" t="s">
        <v>1527</v>
      </c>
      <c r="BI18" s="1190" t="str">
        <f t="shared" si="15"/>
        <v>key_blood_type_k=0</v>
      </c>
    </row>
    <row r="19" spans="2:61">
      <c r="E19" s="299">
        <v>11</v>
      </c>
      <c r="F19" s="308">
        <f t="shared" ca="1" si="9"/>
        <v>3440.1798671836823</v>
      </c>
      <c r="G19" s="307">
        <f t="shared" ca="1" si="10"/>
        <v>315.2313420841553</v>
      </c>
      <c r="H19" s="306">
        <f t="shared" ca="1" si="11"/>
        <v>0.43574259217003136</v>
      </c>
      <c r="I19" s="305">
        <f t="shared" ca="1" si="16"/>
        <v>113.63323488013556</v>
      </c>
      <c r="J19" s="305">
        <f t="shared" ca="1" si="17"/>
        <v>58.067846812556169</v>
      </c>
      <c r="K19" s="292">
        <f t="shared" ca="1" si="18"/>
        <v>5.533252995910467</v>
      </c>
      <c r="L19" s="1290">
        <f t="shared" ca="1" si="19"/>
        <v>23.725019850113299</v>
      </c>
      <c r="M19" s="299">
        <v>11</v>
      </c>
      <c r="N19" s="304">
        <f t="shared" si="20"/>
        <v>4312.6135756477179</v>
      </c>
      <c r="O19" s="303">
        <v>284.24309387330044</v>
      </c>
      <c r="P19" s="302">
        <v>0.45887268357101318</v>
      </c>
      <c r="Q19" s="301">
        <v>146.13953705945852</v>
      </c>
      <c r="R19" s="301">
        <v>63.986008622824805</v>
      </c>
      <c r="S19" s="300">
        <v>1.9844041983989238</v>
      </c>
      <c r="T19" s="891">
        <f t="shared" si="21"/>
        <v>256</v>
      </c>
      <c r="U19" s="1220">
        <v>0.87976866960525513</v>
      </c>
      <c r="W19" s="299">
        <v>11</v>
      </c>
      <c r="X19" s="298">
        <f>IF('Donor Sample'!N36="",,IF('Donor Sample'!N36="F",1,0))</f>
        <v>0</v>
      </c>
      <c r="Y19" s="298">
        <f>IF('Donor Sample'!O36="","",'Donor Sample'!O36)</f>
        <v>171</v>
      </c>
      <c r="Z19" s="298">
        <f>IF(AND('Donor Sample'!O36="",'Donor Sample'!P36="",'Donor Sample'!Q36=""),"",IF('Donor Sample'!P36="",ROUND(AA19/($C$32+($AI19-0.5)*$C$31),0),'Donor Sample'!P36))</f>
        <v>62</v>
      </c>
      <c r="AA19" s="297" t="str">
        <f>IF('Donor Sample'!Q36="","",'Donor Sample'!Q36)</f>
        <v/>
      </c>
      <c r="AB19" s="296">
        <f t="shared" si="12"/>
        <v>4434.1714158999994</v>
      </c>
      <c r="AC19" s="295">
        <f>IF('Donor Sample'!R36="","",'Donor Sample'!R36)</f>
        <v>200</v>
      </c>
      <c r="AD19" s="294">
        <f>IF('Donor Sample'!S36="","",'Donor Sample'!S36/100)</f>
        <v>0.37299999237060549</v>
      </c>
      <c r="AE19" s="293">
        <f t="shared" si="23"/>
        <v>136.4</v>
      </c>
      <c r="AF19" s="293">
        <f t="shared" si="24"/>
        <v>67.322834645669289</v>
      </c>
      <c r="AG19" s="292" t="str">
        <f>IF('Donor Sample'!T36="","",'Donor Sample'!T36)</f>
        <v/>
      </c>
      <c r="AH19" s="891">
        <f t="shared" si="25"/>
        <v>2</v>
      </c>
      <c r="AI19" s="1220">
        <v>0.12385445833206177</v>
      </c>
      <c r="AJ19" s="1216"/>
      <c r="AK19" s="374" t="s">
        <v>92</v>
      </c>
      <c r="AL19" s="373">
        <v>2</v>
      </c>
      <c r="AM19" s="372">
        <f t="shared" si="26"/>
        <v>0.33</v>
      </c>
      <c r="AN19" s="371">
        <f t="shared" si="27"/>
        <v>0.41000000000000003</v>
      </c>
      <c r="AO19" s="371">
        <f t="shared" si="27"/>
        <v>0.76</v>
      </c>
      <c r="AP19" s="371">
        <f t="shared" si="27"/>
        <v>0.84</v>
      </c>
      <c r="AQ19" s="371">
        <f t="shared" si="27"/>
        <v>0.92999999999999994</v>
      </c>
      <c r="AR19" s="371">
        <f t="shared" si="27"/>
        <v>0.95</v>
      </c>
      <c r="AS19" s="371">
        <f t="shared" si="27"/>
        <v>0.99</v>
      </c>
      <c r="AT19" s="370">
        <f t="shared" si="27"/>
        <v>1</v>
      </c>
      <c r="BB19" s="916">
        <v>12</v>
      </c>
      <c r="BC19" s="917" t="str">
        <f>IF('Configs &amp; Procedures'!H55="","All Types",'Configs &amp; Procedures'!H55)</f>
        <v>All Types</v>
      </c>
      <c r="BD19" s="1190">
        <f t="shared" si="13"/>
        <v>1</v>
      </c>
      <c r="BE19" s="1165">
        <f t="shared" si="14"/>
        <v>0</v>
      </c>
      <c r="BF19" s="1190" t="s">
        <v>1222</v>
      </c>
      <c r="BG19" s="1193">
        <v>7</v>
      </c>
      <c r="BH19" s="1196" t="s">
        <v>1528</v>
      </c>
      <c r="BI19" s="1190" t="str">
        <f t="shared" si="15"/>
        <v>key_blood_type_l=0</v>
      </c>
    </row>
    <row r="20" spans="2:61" ht="15.75" thickBot="1">
      <c r="E20" s="299">
        <v>12</v>
      </c>
      <c r="F20" s="308">
        <f t="shared" ca="1" si="9"/>
        <v>3189.5011878459231</v>
      </c>
      <c r="G20" s="307">
        <f t="shared" ca="1" si="10"/>
        <v>238.91965738049038</v>
      </c>
      <c r="H20" s="306">
        <f t="shared" ca="1" si="11"/>
        <v>0.49582731553055726</v>
      </c>
      <c r="I20" s="305">
        <f t="shared" ca="1" si="16"/>
        <v>111.24763835409064</v>
      </c>
      <c r="J20" s="305">
        <f t="shared" ca="1" si="17"/>
        <v>54.276416336414243</v>
      </c>
      <c r="K20" s="292">
        <f t="shared" ca="1" si="18"/>
        <v>1.7707668544569846</v>
      </c>
      <c r="L20" s="1290">
        <f t="shared" ca="1" si="19"/>
        <v>26.585273289383775</v>
      </c>
      <c r="M20" s="299">
        <v>12</v>
      </c>
      <c r="N20" s="304">
        <f t="shared" si="20"/>
        <v>3373.2887589575871</v>
      </c>
      <c r="O20" s="303">
        <v>274.45360205160222</v>
      </c>
      <c r="P20" s="302">
        <v>0.40761251940226445</v>
      </c>
      <c r="Q20" s="301">
        <v>122.65179258886755</v>
      </c>
      <c r="R20" s="301">
        <v>54.599838475208628</v>
      </c>
      <c r="S20" s="300">
        <v>1.5234271349066644</v>
      </c>
      <c r="T20" s="891">
        <f t="shared" si="21"/>
        <v>64</v>
      </c>
      <c r="U20" s="1220">
        <v>0.57924199104309082</v>
      </c>
      <c r="W20" s="299">
        <v>12</v>
      </c>
      <c r="X20" s="298">
        <f>IF('Donor Sample'!N37="",,IF('Donor Sample'!N37="F",1,0))</f>
        <v>0</v>
      </c>
      <c r="Y20" s="298">
        <f>IF('Donor Sample'!O37="","",'Donor Sample'!O37)</f>
        <v>170</v>
      </c>
      <c r="Z20" s="298">
        <f>IF(AND('Donor Sample'!O37="",'Donor Sample'!P37="",'Donor Sample'!Q37=""),"",IF('Donor Sample'!P37="",ROUND(AA20/($C$32+($AI20-0.5)*$C$31),0),'Donor Sample'!P37))</f>
        <v>53</v>
      </c>
      <c r="AA20" s="297" t="str">
        <f>IF('Donor Sample'!Q37="","",'Donor Sample'!Q37)</f>
        <v/>
      </c>
      <c r="AB20" s="296">
        <f t="shared" si="12"/>
        <v>4112.4906999999994</v>
      </c>
      <c r="AC20" s="295">
        <f>IF('Donor Sample'!R37="","",'Donor Sample'!R37)</f>
        <v>200</v>
      </c>
      <c r="AD20" s="294">
        <f>IF('Donor Sample'!S37="","",'Donor Sample'!S37/100)</f>
        <v>0.36599998474121093</v>
      </c>
      <c r="AE20" s="293">
        <f t="shared" si="23"/>
        <v>116.60000000000001</v>
      </c>
      <c r="AF20" s="293">
        <f t="shared" si="24"/>
        <v>66.929133858267718</v>
      </c>
      <c r="AG20" s="292" t="str">
        <f>IF('Donor Sample'!T37="","",'Donor Sample'!T37)</f>
        <v/>
      </c>
      <c r="AH20" s="891">
        <f t="shared" si="25"/>
        <v>64</v>
      </c>
      <c r="AI20" s="1220">
        <v>0.6736447811126709</v>
      </c>
      <c r="AJ20" s="1216"/>
      <c r="AK20" s="374" t="s">
        <v>93</v>
      </c>
      <c r="AL20" s="373">
        <v>3</v>
      </c>
      <c r="AM20" s="372">
        <f t="shared" si="26"/>
        <v>0.3</v>
      </c>
      <c r="AN20" s="371">
        <f t="shared" si="27"/>
        <v>0.43</v>
      </c>
      <c r="AO20" s="371">
        <f t="shared" si="27"/>
        <v>0.76</v>
      </c>
      <c r="AP20" s="371">
        <f t="shared" si="27"/>
        <v>0.9</v>
      </c>
      <c r="AQ20" s="371">
        <f t="shared" si="27"/>
        <v>0.95000000000000007</v>
      </c>
      <c r="AR20" s="371">
        <f t="shared" si="27"/>
        <v>0.97000000000000008</v>
      </c>
      <c r="AS20" s="371">
        <f t="shared" si="27"/>
        <v>0.9900000000000001</v>
      </c>
      <c r="AT20" s="370">
        <f t="shared" si="27"/>
        <v>1</v>
      </c>
      <c r="AZ20" s="1"/>
      <c r="BA20" s="1"/>
      <c r="BB20" s="916">
        <v>13</v>
      </c>
      <c r="BC20" s="918" t="str">
        <f>IF('Configs &amp; Procedures'!H56="","All Types",'Configs &amp; Procedures'!H56)</f>
        <v>All Types</v>
      </c>
      <c r="BD20" s="1190">
        <f t="shared" si="13"/>
        <v>1</v>
      </c>
      <c r="BE20" s="1165">
        <f t="shared" si="14"/>
        <v>0</v>
      </c>
      <c r="BF20" s="1190" t="s">
        <v>1221</v>
      </c>
      <c r="BG20" s="1193">
        <v>6</v>
      </c>
      <c r="BH20" s="1197" t="s">
        <v>1529</v>
      </c>
      <c r="BI20" s="1190" t="str">
        <f t="shared" si="15"/>
        <v>key_blood_type_m=0</v>
      </c>
    </row>
    <row r="21" spans="2:61" ht="15.75" thickBot="1">
      <c r="B21" s="1614" t="s">
        <v>1013</v>
      </c>
      <c r="C21" s="1615"/>
      <c r="E21" s="299">
        <v>13</v>
      </c>
      <c r="F21" s="308">
        <f t="shared" ca="1" si="9"/>
        <v>3067.73934996049</v>
      </c>
      <c r="G21" s="307">
        <f t="shared" ca="1" si="10"/>
        <v>250.67134223831403</v>
      </c>
      <c r="H21" s="306">
        <f t="shared" ca="1" si="11"/>
        <v>0.44820088972477984</v>
      </c>
      <c r="I21" s="305">
        <f t="shared" ca="1" si="16"/>
        <v>113.96728642224809</v>
      </c>
      <c r="J21" s="305">
        <f t="shared" ca="1" si="17"/>
        <v>51.049388849998813</v>
      </c>
      <c r="K21" s="292">
        <f t="shared" ca="1" si="18"/>
        <v>3.2191839743667003</v>
      </c>
      <c r="L21" s="1290">
        <f t="shared" ca="1" si="19"/>
        <v>30.787311976116296</v>
      </c>
      <c r="M21" s="299">
        <v>13</v>
      </c>
      <c r="N21" s="304">
        <f t="shared" si="20"/>
        <v>3676.6084095009837</v>
      </c>
      <c r="O21" s="303">
        <v>208.57887074588646</v>
      </c>
      <c r="P21" s="302">
        <v>0.39968675047037583</v>
      </c>
      <c r="Q21" s="301">
        <v>117.14860597920134</v>
      </c>
      <c r="R21" s="301">
        <v>60.964650347362166</v>
      </c>
      <c r="S21" s="300">
        <v>3.1133505071744425</v>
      </c>
      <c r="T21" s="891">
        <f t="shared" si="21"/>
        <v>256</v>
      </c>
      <c r="U21" s="1220">
        <v>0.86162036657333374</v>
      </c>
      <c r="W21" s="299">
        <v>13</v>
      </c>
      <c r="X21" s="298">
        <f>IF('Donor Sample'!N38="",,IF('Donor Sample'!N38="F",1,0))</f>
        <v>0</v>
      </c>
      <c r="Y21" s="298">
        <f>IF('Donor Sample'!O38="","",'Donor Sample'!O38)</f>
        <v>170</v>
      </c>
      <c r="Z21" s="298">
        <f>IF(AND('Donor Sample'!O38="",'Donor Sample'!P38="",'Donor Sample'!Q38=""),"",IF('Donor Sample'!P38="",ROUND(AA21/($C$32+($AI21-0.5)*$C$31),0),'Donor Sample'!P38))</f>
        <v>65</v>
      </c>
      <c r="AA21" s="297" t="str">
        <f>IF('Donor Sample'!Q38="","",'Donor Sample'!Q38)</f>
        <v/>
      </c>
      <c r="AB21" s="296">
        <f t="shared" si="12"/>
        <v>4498.7346999999991</v>
      </c>
      <c r="AC21" s="295">
        <f>IF('Donor Sample'!R38="","",'Donor Sample'!R38)</f>
        <v>200</v>
      </c>
      <c r="AD21" s="294">
        <f>IF('Donor Sample'!S38="","",'Donor Sample'!S38/100)</f>
        <v>0.39900001525878909</v>
      </c>
      <c r="AE21" s="407">
        <f t="shared" si="23"/>
        <v>143</v>
      </c>
      <c r="AF21" s="293">
        <f t="shared" si="24"/>
        <v>66.929133858267718</v>
      </c>
      <c r="AG21" s="292" t="str">
        <f>IF('Donor Sample'!T38="","",'Donor Sample'!T38)</f>
        <v/>
      </c>
      <c r="AH21" s="891">
        <f t="shared" si="25"/>
        <v>64</v>
      </c>
      <c r="AI21" s="1220">
        <v>0.59843152761459351</v>
      </c>
      <c r="AJ21" s="1216"/>
      <c r="AK21" s="374" t="s">
        <v>94</v>
      </c>
      <c r="AL21" s="373">
        <v>4</v>
      </c>
      <c r="AM21" s="372">
        <f t="shared" si="26"/>
        <v>0.32</v>
      </c>
      <c r="AN21" s="371">
        <f t="shared" si="27"/>
        <v>0.4</v>
      </c>
      <c r="AO21" s="371">
        <f t="shared" si="27"/>
        <v>0.74</v>
      </c>
      <c r="AP21" s="371">
        <f t="shared" si="27"/>
        <v>0.82</v>
      </c>
      <c r="AQ21" s="371">
        <f t="shared" si="27"/>
        <v>0.91999999999999993</v>
      </c>
      <c r="AR21" s="371">
        <f t="shared" si="27"/>
        <v>0.95</v>
      </c>
      <c r="AS21" s="371">
        <f t="shared" si="27"/>
        <v>0.99</v>
      </c>
      <c r="AT21" s="370">
        <f t="shared" si="27"/>
        <v>1</v>
      </c>
      <c r="AZ21" s="1"/>
      <c r="BA21" s="1"/>
      <c r="BB21" s="919">
        <v>14</v>
      </c>
      <c r="BC21" s="917" t="str">
        <f>IF('Configs &amp; Procedures'!H57="","All Types",'Configs &amp; Procedures'!H57)</f>
        <v>All Types</v>
      </c>
      <c r="BD21" s="1190">
        <f t="shared" si="13"/>
        <v>1</v>
      </c>
      <c r="BE21" s="1165">
        <f t="shared" si="14"/>
        <v>0</v>
      </c>
      <c r="BH21" s="1196" t="s">
        <v>1481</v>
      </c>
      <c r="BI21" s="1190" t="str">
        <f t="shared" si="15"/>
        <v>key_blood_type_n=0</v>
      </c>
    </row>
    <row r="22" spans="2:61" ht="13.5" thickBot="1">
      <c r="E22" s="299">
        <v>14</v>
      </c>
      <c r="F22" s="308">
        <f t="shared" ca="1" si="9"/>
        <v>3685.995979124109</v>
      </c>
      <c r="G22" s="307">
        <f t="shared" ca="1" si="10"/>
        <v>245.05557489052669</v>
      </c>
      <c r="H22" s="306">
        <f t="shared" ca="1" si="11"/>
        <v>0.38313754798751498</v>
      </c>
      <c r="I22" s="305">
        <f t="shared" ca="1" si="16"/>
        <v>145.80621744579636</v>
      </c>
      <c r="J22" s="305">
        <f t="shared" ca="1" si="17"/>
        <v>54.124286184265202</v>
      </c>
      <c r="K22" s="292">
        <f t="shared" ca="1" si="18"/>
        <v>2.9494536663916069</v>
      </c>
      <c r="L22" s="1290">
        <f t="shared" ca="1" si="19"/>
        <v>35.04001950004303</v>
      </c>
      <c r="M22" s="299">
        <v>14</v>
      </c>
      <c r="N22" s="304">
        <f t="shared" si="20"/>
        <v>2833.962394684072</v>
      </c>
      <c r="O22" s="303">
        <v>241.21899223205659</v>
      </c>
      <c r="P22" s="302">
        <v>0.40450380120696994</v>
      </c>
      <c r="Q22" s="301">
        <v>98.698821882548913</v>
      </c>
      <c r="R22" s="301">
        <v>50.817340198392202</v>
      </c>
      <c r="S22" s="300">
        <v>4.3250853639466653</v>
      </c>
      <c r="T22" s="891">
        <f t="shared" si="21"/>
        <v>32</v>
      </c>
      <c r="U22" s="1220">
        <v>0.80959022045135498</v>
      </c>
      <c r="W22" s="299">
        <v>14</v>
      </c>
      <c r="X22" s="298">
        <f>IF('Donor Sample'!N39="",,IF('Donor Sample'!N39="F",1,0))</f>
        <v>0</v>
      </c>
      <c r="Y22" s="298">
        <f>IF('Donor Sample'!O39="","",'Donor Sample'!O39)</f>
        <v>165</v>
      </c>
      <c r="Z22" s="298">
        <f>IF(AND('Donor Sample'!O39="",'Donor Sample'!P39="",'Donor Sample'!Q39=""),"",IF('Donor Sample'!P39="",ROUND(AA22/($C$32+($AI22-0.5)*$C$31),0),'Donor Sample'!P39))</f>
        <v>64</v>
      </c>
      <c r="AA22" s="297" t="str">
        <f>IF('Donor Sample'!Q39="","",'Donor Sample'!Q39)</f>
        <v/>
      </c>
      <c r="AB22" s="296">
        <f t="shared" si="12"/>
        <v>4312.1286624999993</v>
      </c>
      <c r="AC22" s="295">
        <f>IF('Donor Sample'!R39="","",'Donor Sample'!R39)</f>
        <v>200</v>
      </c>
      <c r="AD22" s="294">
        <f>IF('Donor Sample'!S39="","",'Donor Sample'!S39/100)</f>
        <v>0.39299999237060546</v>
      </c>
      <c r="AE22" s="293">
        <f t="shared" si="23"/>
        <v>140.80000000000001</v>
      </c>
      <c r="AF22" s="293">
        <f t="shared" si="24"/>
        <v>64.960629921259837</v>
      </c>
      <c r="AG22" s="292" t="str">
        <f>IF('Donor Sample'!T39="","",'Donor Sample'!T39)</f>
        <v/>
      </c>
      <c r="AH22" s="891">
        <f t="shared" si="25"/>
        <v>2</v>
      </c>
      <c r="AI22" s="1220">
        <v>3.9098143577575684E-2</v>
      </c>
      <c r="AJ22" s="1216"/>
      <c r="AK22" s="367" t="s">
        <v>1012</v>
      </c>
      <c r="AL22" s="366">
        <v>5</v>
      </c>
      <c r="AM22" s="365">
        <f t="shared" si="26"/>
        <v>0.28999999999999998</v>
      </c>
      <c r="AN22" s="364">
        <f t="shared" si="27"/>
        <v>0.3</v>
      </c>
      <c r="AO22" s="364">
        <f t="shared" si="27"/>
        <v>0.66999999999999993</v>
      </c>
      <c r="AP22" s="364">
        <f t="shared" si="27"/>
        <v>0.67999999999999994</v>
      </c>
      <c r="AQ22" s="364">
        <f t="shared" si="27"/>
        <v>0.8899999999999999</v>
      </c>
      <c r="AR22" s="364">
        <f t="shared" si="27"/>
        <v>0.89999999999999991</v>
      </c>
      <c r="AS22" s="364">
        <f t="shared" si="27"/>
        <v>0.98999999999999988</v>
      </c>
      <c r="AT22" s="363">
        <f t="shared" si="27"/>
        <v>0.99999999999999989</v>
      </c>
      <c r="BB22" s="916">
        <v>15</v>
      </c>
      <c r="BC22" s="917" t="str">
        <f>IF('Configs &amp; Procedures'!H58="","All Types",'Configs &amp; Procedures'!H58)</f>
        <v>All Types</v>
      </c>
      <c r="BD22" s="1190">
        <f t="shared" si="13"/>
        <v>1</v>
      </c>
      <c r="BE22" s="1165">
        <f t="shared" si="14"/>
        <v>0</v>
      </c>
      <c r="BH22" s="1196" t="s">
        <v>1530</v>
      </c>
      <c r="BI22" s="1190" t="str">
        <f t="shared" si="15"/>
        <v>key_blood_type_o=0</v>
      </c>
    </row>
    <row r="23" spans="2:61">
      <c r="B23" s="369" t="s">
        <v>1011</v>
      </c>
      <c r="C23" s="368">
        <v>1.3069999999999999</v>
      </c>
      <c r="E23" s="299">
        <v>15</v>
      </c>
      <c r="F23" s="308">
        <f t="shared" ca="1" si="9"/>
        <v>2822.2539223102167</v>
      </c>
      <c r="G23" s="307">
        <f t="shared" ca="1" si="10"/>
        <v>229.92786469597155</v>
      </c>
      <c r="H23" s="306">
        <f t="shared" ca="1" si="11"/>
        <v>0.40081454474561762</v>
      </c>
      <c r="I23" s="305">
        <f t="shared" ca="1" si="16"/>
        <v>105.27386324455691</v>
      </c>
      <c r="J23" s="305">
        <f t="shared" ca="1" si="17"/>
        <v>48.390898639939998</v>
      </c>
      <c r="K23" s="292">
        <f t="shared" ca="1" si="18"/>
        <v>1.7212584610041552</v>
      </c>
      <c r="L23" s="1290">
        <f t="shared" ca="1" si="19"/>
        <v>31.649426531703071</v>
      </c>
      <c r="M23" s="299">
        <v>15</v>
      </c>
      <c r="N23" s="304">
        <f t="shared" si="20"/>
        <v>2914.9021719927937</v>
      </c>
      <c r="O23" s="303">
        <v>227.24901676610608</v>
      </c>
      <c r="P23" s="302">
        <v>0.40038148082404185</v>
      </c>
      <c r="Q23" s="301">
        <v>112.94808667115765</v>
      </c>
      <c r="R23" s="301">
        <v>47.927239021359398</v>
      </c>
      <c r="S23" s="300">
        <v>3.2259146931943099</v>
      </c>
      <c r="T23" s="891">
        <f t="shared" si="21"/>
        <v>64</v>
      </c>
      <c r="U23" s="1220">
        <v>0.76786571741104126</v>
      </c>
      <c r="W23" s="299">
        <v>15</v>
      </c>
      <c r="X23" s="298">
        <f>IF('Donor Sample'!N40="",,IF('Donor Sample'!N40="F",1,0))</f>
        <v>0</v>
      </c>
      <c r="Y23" s="298">
        <f>IF('Donor Sample'!O40="","",'Donor Sample'!O40)</f>
        <v>170</v>
      </c>
      <c r="Z23" s="298">
        <f>IF(AND('Donor Sample'!O40="",'Donor Sample'!P40="",'Donor Sample'!Q40=""),"",IF('Donor Sample'!P40="",ROUND(AA23/($C$32+($AI23-0.5)*$C$31),0),'Donor Sample'!P40))</f>
        <v>57</v>
      </c>
      <c r="AA23" s="297" t="str">
        <f>IF('Donor Sample'!Q40="","",'Donor Sample'!Q40)</f>
        <v/>
      </c>
      <c r="AB23" s="296">
        <f t="shared" si="12"/>
        <v>4241.2386999999999</v>
      </c>
      <c r="AC23" s="295">
        <f>IF('Donor Sample'!R40="","",'Donor Sample'!R40)</f>
        <v>200</v>
      </c>
      <c r="AD23" s="294">
        <f>IF('Donor Sample'!S40="","",'Donor Sample'!S40/100)</f>
        <v>0.44400001525878907</v>
      </c>
      <c r="AE23" s="293">
        <f t="shared" si="23"/>
        <v>125.4</v>
      </c>
      <c r="AF23" s="293">
        <f t="shared" si="24"/>
        <v>66.929133858267718</v>
      </c>
      <c r="AG23" s="292" t="str">
        <f>IF('Donor Sample'!T40="","",'Donor Sample'!T40)</f>
        <v/>
      </c>
      <c r="AH23" s="891">
        <f t="shared" si="25"/>
        <v>2</v>
      </c>
      <c r="AI23" s="1220">
        <v>0.25951772928237915</v>
      </c>
      <c r="AJ23" s="1216"/>
      <c r="AK23" s="367" t="s">
        <v>971</v>
      </c>
      <c r="AL23" s="366">
        <v>6</v>
      </c>
      <c r="AM23" s="365">
        <f t="shared" si="26"/>
        <v>0.42399999999999999</v>
      </c>
      <c r="AN23" s="364">
        <f t="shared" si="27"/>
        <v>0.52200000000000002</v>
      </c>
      <c r="AO23" s="364">
        <f t="shared" si="27"/>
        <v>0.85099999999999998</v>
      </c>
      <c r="AP23" s="364">
        <f t="shared" si="27"/>
        <v>0.93899999999999995</v>
      </c>
      <c r="AQ23" s="364">
        <f t="shared" si="27"/>
        <v>0.97399999999999998</v>
      </c>
      <c r="AR23" s="364">
        <f t="shared" si="27"/>
        <v>0.98599999999999999</v>
      </c>
      <c r="AS23" s="364">
        <f t="shared" si="27"/>
        <v>0.98799999999999999</v>
      </c>
      <c r="AT23" s="363">
        <f t="shared" si="27"/>
        <v>1</v>
      </c>
      <c r="BB23" s="916">
        <v>16</v>
      </c>
      <c r="BC23" s="917" t="str">
        <f>IF('Configs &amp; Procedures'!H59="","All Types",'Configs &amp; Procedures'!H59)</f>
        <v>All Types</v>
      </c>
      <c r="BD23" s="1190">
        <f t="shared" si="13"/>
        <v>1</v>
      </c>
      <c r="BE23" s="1165">
        <f t="shared" si="14"/>
        <v>0</v>
      </c>
      <c r="BH23" s="1196" t="s">
        <v>1531</v>
      </c>
      <c r="BI23" s="1190" t="str">
        <f t="shared" si="15"/>
        <v>key_blood_type_p=0</v>
      </c>
    </row>
    <row r="24" spans="2:61" ht="13.5" thickBot="1">
      <c r="B24" s="342" t="s">
        <v>1010</v>
      </c>
      <c r="C24" s="362">
        <v>6.1199999999999997E-2</v>
      </c>
      <c r="E24" s="299">
        <v>16</v>
      </c>
      <c r="F24" s="308">
        <f t="shared" ca="1" si="9"/>
        <v>2651.6987139134321</v>
      </c>
      <c r="G24" s="307">
        <f t="shared" ca="1" si="10"/>
        <v>247.45895633440873</v>
      </c>
      <c r="H24" s="306">
        <f t="shared" ca="1" si="11"/>
        <v>0.39110360285832452</v>
      </c>
      <c r="I24" s="305">
        <f t="shared" ca="1" si="16"/>
        <v>84.531943962166039</v>
      </c>
      <c r="J24" s="305">
        <f t="shared" ca="1" si="17"/>
        <v>51.339537104000946</v>
      </c>
      <c r="K24" s="292">
        <f t="shared" ca="1" si="18"/>
        <v>1.5710742070478227</v>
      </c>
      <c r="L24" s="1290">
        <f t="shared" ca="1" si="19"/>
        <v>22.578215735226248</v>
      </c>
      <c r="M24" s="299">
        <v>16</v>
      </c>
      <c r="N24" s="304">
        <f t="shared" si="20"/>
        <v>3662.3529822495707</v>
      </c>
      <c r="O24" s="303">
        <v>243.93035461955034</v>
      </c>
      <c r="P24" s="302">
        <v>0.37847420259748793</v>
      </c>
      <c r="Q24" s="301">
        <v>153.04785344655119</v>
      </c>
      <c r="R24" s="301">
        <v>51.555754954382557</v>
      </c>
      <c r="S24" s="300">
        <v>1.2724115219255088</v>
      </c>
      <c r="T24" s="891">
        <f t="shared" si="21"/>
        <v>256</v>
      </c>
      <c r="U24" s="1220">
        <v>0.92398405075073242</v>
      </c>
      <c r="W24" s="299">
        <v>16</v>
      </c>
      <c r="X24" s="298">
        <f>IF('Donor Sample'!N41="",,IF('Donor Sample'!N41="F",1,0))</f>
        <v>0</v>
      </c>
      <c r="Y24" s="298">
        <f>IF('Donor Sample'!O41="","",'Donor Sample'!O41)</f>
        <v>170</v>
      </c>
      <c r="Z24" s="298">
        <f>IF(AND('Donor Sample'!O41="",'Donor Sample'!P41="",'Donor Sample'!Q41=""),"",IF('Donor Sample'!P41="",ROUND(AA24/($C$32+($AI24-0.5)*$C$31),0),'Donor Sample'!P41))</f>
        <v>59</v>
      </c>
      <c r="AA24" s="297" t="str">
        <f>IF('Donor Sample'!Q41="","",'Donor Sample'!Q41)</f>
        <v/>
      </c>
      <c r="AB24" s="296">
        <f t="shared" si="12"/>
        <v>4305.6126999999997</v>
      </c>
      <c r="AC24" s="295">
        <f>IF('Donor Sample'!R41="","",'Donor Sample'!R41)</f>
        <v>200</v>
      </c>
      <c r="AD24" s="294">
        <f>IF('Donor Sample'!S41="","",'Donor Sample'!S41/100)</f>
        <v>0.42</v>
      </c>
      <c r="AE24" s="407">
        <f t="shared" si="23"/>
        <v>129.80000000000001</v>
      </c>
      <c r="AF24" s="293">
        <f t="shared" si="24"/>
        <v>66.929133858267718</v>
      </c>
      <c r="AG24" s="292" t="str">
        <f>IF('Donor Sample'!T41="","",'Donor Sample'!T41)</f>
        <v/>
      </c>
      <c r="AH24" s="891">
        <f t="shared" si="25"/>
        <v>4</v>
      </c>
      <c r="AI24" s="1220">
        <v>0.40850067138671875</v>
      </c>
      <c r="AJ24" s="1216"/>
      <c r="AK24" s="361" t="s">
        <v>1009</v>
      </c>
      <c r="AL24" s="360">
        <v>7</v>
      </c>
      <c r="AM24" s="359">
        <f t="shared" si="26"/>
        <v>0.3</v>
      </c>
      <c r="AN24" s="358">
        <f t="shared" si="27"/>
        <v>0.4</v>
      </c>
      <c r="AO24" s="358">
        <f t="shared" si="27"/>
        <v>0.78</v>
      </c>
      <c r="AP24" s="358">
        <f t="shared" si="27"/>
        <v>0.88</v>
      </c>
      <c r="AQ24" s="358">
        <f t="shared" si="27"/>
        <v>0.95</v>
      </c>
      <c r="AR24" s="358">
        <f t="shared" si="27"/>
        <v>0.96</v>
      </c>
      <c r="AS24" s="358">
        <f t="shared" si="27"/>
        <v>0.99</v>
      </c>
      <c r="AT24" s="357">
        <f t="shared" si="27"/>
        <v>1</v>
      </c>
      <c r="BB24" s="916">
        <v>17</v>
      </c>
      <c r="BC24" s="917" t="str">
        <f>IF('Configs &amp; Procedures'!H60="","All Types",'Configs &amp; Procedures'!H60)</f>
        <v>All Types</v>
      </c>
      <c r="BD24" s="1190">
        <f t="shared" si="13"/>
        <v>1</v>
      </c>
      <c r="BE24" s="1165">
        <f t="shared" si="14"/>
        <v>0</v>
      </c>
      <c r="BH24" s="1196" t="s">
        <v>1532</v>
      </c>
      <c r="BI24" s="1190" t="str">
        <f t="shared" si="15"/>
        <v>key_blood_type_q=0</v>
      </c>
    </row>
    <row r="25" spans="2:61" ht="13.5" thickBot="1">
      <c r="E25" s="299">
        <v>17</v>
      </c>
      <c r="F25" s="308">
        <f t="shared" ca="1" si="9"/>
        <v>3802.355629147225</v>
      </c>
      <c r="G25" s="307">
        <f t="shared" ca="1" si="10"/>
        <v>174.74346678744331</v>
      </c>
      <c r="H25" s="306">
        <f t="shared" ca="1" si="11"/>
        <v>0.41732659528010557</v>
      </c>
      <c r="I25" s="305">
        <f t="shared" ca="1" si="16"/>
        <v>129.39302111006529</v>
      </c>
      <c r="J25" s="305">
        <f t="shared" ca="1" si="17"/>
        <v>60.163202475038858</v>
      </c>
      <c r="K25" s="292">
        <f t="shared" ca="1" si="18"/>
        <v>2.5238109055811022</v>
      </c>
      <c r="L25" s="1290">
        <f t="shared" ca="1" si="19"/>
        <v>25.166430473186608</v>
      </c>
      <c r="M25" s="299">
        <v>17</v>
      </c>
      <c r="N25" s="304">
        <f t="shared" si="20"/>
        <v>2801.8383457768264</v>
      </c>
      <c r="O25" s="303">
        <v>267.02607407414024</v>
      </c>
      <c r="P25" s="302">
        <v>0.3969076534586462</v>
      </c>
      <c r="Q25" s="301">
        <v>100.19449791388278</v>
      </c>
      <c r="R25" s="301">
        <v>49.631324087541849</v>
      </c>
      <c r="S25" s="300">
        <v>4.0806015293054836</v>
      </c>
      <c r="T25" s="891">
        <f t="shared" si="21"/>
        <v>2</v>
      </c>
      <c r="U25" s="1220">
        <v>5.0294578075408936E-2</v>
      </c>
      <c r="W25" s="299">
        <v>17</v>
      </c>
      <c r="X25" s="298">
        <f>IF('Donor Sample'!N42="",,IF('Donor Sample'!N42="F",1,0))</f>
        <v>0</v>
      </c>
      <c r="Y25" s="298">
        <f>IF('Donor Sample'!O42="","",'Donor Sample'!O42)</f>
        <v>164</v>
      </c>
      <c r="Z25" s="298">
        <f>IF(AND('Donor Sample'!O42="",'Donor Sample'!P42="",'Donor Sample'!Q42=""),"",IF('Donor Sample'!P42="",ROUND(AA25/($C$32+($AI25-0.5)*$C$31),0),'Donor Sample'!P42))</f>
        <v>65</v>
      </c>
      <c r="AA25" s="297" t="str">
        <f>IF('Donor Sample'!Q42="","",'Donor Sample'!Q42)</f>
        <v/>
      </c>
      <c r="AB25" s="296">
        <f t="shared" si="12"/>
        <v>4314.5303535999992</v>
      </c>
      <c r="AC25" s="295">
        <f>IF('Donor Sample'!R42="","",'Donor Sample'!R42)</f>
        <v>200</v>
      </c>
      <c r="AD25" s="294">
        <f>IF('Donor Sample'!S42="","",'Donor Sample'!S42/100)</f>
        <v>0.41099998474121091</v>
      </c>
      <c r="AE25" s="293">
        <f t="shared" si="23"/>
        <v>143</v>
      </c>
      <c r="AF25" s="293">
        <f t="shared" si="24"/>
        <v>64.566929133858267</v>
      </c>
      <c r="AG25" s="292" t="str">
        <f>IF('Donor Sample'!T42="","",'Donor Sample'!T42)</f>
        <v/>
      </c>
      <c r="AH25" s="891">
        <f t="shared" si="25"/>
        <v>2</v>
      </c>
      <c r="AI25" s="1220">
        <v>0.21832674741744995</v>
      </c>
      <c r="AJ25" s="1216"/>
      <c r="AK25" s="76" t="s">
        <v>1934</v>
      </c>
      <c r="AL25" s="885">
        <v>8</v>
      </c>
      <c r="AM25" s="1362">
        <f>AL15/100</f>
        <v>0.31</v>
      </c>
      <c r="AN25" s="1362">
        <f>AM15/100+AM25</f>
        <v>0.4</v>
      </c>
      <c r="AO25" s="1362">
        <f t="shared" ref="AO25:AT25" si="28">AN15/100+AN25</f>
        <v>0.755</v>
      </c>
      <c r="AP25" s="1362">
        <f t="shared" si="28"/>
        <v>0.86</v>
      </c>
      <c r="AQ25" s="1362">
        <f t="shared" si="28"/>
        <v>0.94</v>
      </c>
      <c r="AR25" s="1362">
        <f t="shared" si="28"/>
        <v>0.95499999999999996</v>
      </c>
      <c r="AS25" s="1362">
        <f t="shared" si="28"/>
        <v>0.99</v>
      </c>
      <c r="AT25" s="357">
        <f t="shared" si="28"/>
        <v>1</v>
      </c>
      <c r="BB25" s="916">
        <v>18</v>
      </c>
      <c r="BC25" s="917" t="str">
        <f>IF('Configs &amp; Procedures'!H61="","All Types",'Configs &amp; Procedures'!H61)</f>
        <v>All Types</v>
      </c>
      <c r="BD25" s="1190">
        <f t="shared" si="13"/>
        <v>1</v>
      </c>
      <c r="BE25" s="1165">
        <f t="shared" si="14"/>
        <v>0</v>
      </c>
      <c r="BH25" s="1196" t="s">
        <v>1533</v>
      </c>
      <c r="BI25" s="1190" t="str">
        <f t="shared" si="15"/>
        <v>key_blood_type_r=0</v>
      </c>
    </row>
    <row r="26" spans="2:61" ht="13.5" thickBot="1">
      <c r="B26" s="356" t="s">
        <v>1008</v>
      </c>
      <c r="C26" s="81"/>
      <c r="E26" s="299">
        <v>18</v>
      </c>
      <c r="F26" s="308">
        <f t="shared" ca="1" si="9"/>
        <v>3298.5619492386186</v>
      </c>
      <c r="G26" s="307">
        <f t="shared" ca="1" si="10"/>
        <v>241.33325562935377</v>
      </c>
      <c r="H26" s="306">
        <f t="shared" ca="1" si="11"/>
        <v>0.49457320744810923</v>
      </c>
      <c r="I26" s="305">
        <f t="shared" ca="1" si="16"/>
        <v>113.73692724301058</v>
      </c>
      <c r="J26" s="305">
        <f t="shared" ca="1" si="17"/>
        <v>62.279086306280021</v>
      </c>
      <c r="K26" s="292">
        <f t="shared" ca="1" si="18"/>
        <v>2.6310798870739447</v>
      </c>
      <c r="L26" s="1290">
        <f t="shared" ca="1" si="19"/>
        <v>20.643802015218963</v>
      </c>
      <c r="M26" s="299">
        <v>18</v>
      </c>
      <c r="N26" s="304">
        <f t="shared" si="20"/>
        <v>3273.3447608643601</v>
      </c>
      <c r="O26" s="303">
        <v>282.28544150540489</v>
      </c>
      <c r="P26" s="302">
        <v>0.36216768503804092</v>
      </c>
      <c r="Q26" s="301">
        <v>132.5407304119019</v>
      </c>
      <c r="R26" s="301">
        <v>57.377852359485665</v>
      </c>
      <c r="S26" s="300">
        <v>1.3018868634005538</v>
      </c>
      <c r="T26" s="891">
        <f t="shared" si="21"/>
        <v>32</v>
      </c>
      <c r="U26" s="1220">
        <v>0.82486641407012939</v>
      </c>
      <c r="W26" s="299">
        <v>18</v>
      </c>
      <c r="X26" s="298">
        <f>IF('Donor Sample'!N43="",,IF('Donor Sample'!N43="F",1,0))</f>
        <v>0</v>
      </c>
      <c r="Y26" s="298">
        <f>IF('Donor Sample'!O43="","",'Donor Sample'!O43)</f>
        <v>165</v>
      </c>
      <c r="Z26" s="298">
        <f>IF(AND('Donor Sample'!O43="",'Donor Sample'!P43="",'Donor Sample'!Q43=""),"",IF('Donor Sample'!P43="",ROUND(AA26/($C$32+($AI26-0.5)*$C$31),0),'Donor Sample'!P43))</f>
        <v>62</v>
      </c>
      <c r="AA26" s="297" t="str">
        <f>IF('Donor Sample'!Q43="","",'Donor Sample'!Q43)</f>
        <v/>
      </c>
      <c r="AB26" s="296">
        <f t="shared" si="12"/>
        <v>4247.7546624999995</v>
      </c>
      <c r="AC26" s="295">
        <f>IF('Donor Sample'!R43="","",'Donor Sample'!R43)</f>
        <v>200</v>
      </c>
      <c r="AD26" s="294">
        <f>IF('Donor Sample'!S43="","",'Donor Sample'!S43/100)</f>
        <v>0.42900001525878906</v>
      </c>
      <c r="AE26" s="293">
        <f t="shared" si="23"/>
        <v>136.4</v>
      </c>
      <c r="AF26" s="293">
        <f t="shared" si="24"/>
        <v>64.960629921259837</v>
      </c>
      <c r="AG26" s="292" t="str">
        <f>IF('Donor Sample'!T43="","",'Donor Sample'!T43)</f>
        <v/>
      </c>
      <c r="AH26" s="891">
        <f t="shared" si="25"/>
        <v>16</v>
      </c>
      <c r="AI26" s="1220">
        <v>0.95602381229400635</v>
      </c>
      <c r="AJ26" s="1216"/>
      <c r="AK26" s="1634" t="s">
        <v>1218</v>
      </c>
      <c r="AL26" s="1635"/>
      <c r="AM26" s="1635"/>
      <c r="AN26" s="1635"/>
      <c r="AO26" s="1635"/>
      <c r="AP26" s="1635"/>
      <c r="AQ26" s="1635"/>
      <c r="AR26" s="1635"/>
      <c r="AS26" s="1635"/>
      <c r="AT26" s="1636"/>
      <c r="BB26" s="916">
        <v>19</v>
      </c>
      <c r="BC26" s="917" t="str">
        <f>IF('Configs &amp; Procedures'!H62="","All Types",'Configs &amp; Procedures'!H62)</f>
        <v>All Types</v>
      </c>
      <c r="BD26" s="1190">
        <f t="shared" si="13"/>
        <v>1</v>
      </c>
      <c r="BE26" s="1165">
        <f t="shared" si="14"/>
        <v>0</v>
      </c>
      <c r="BH26" s="1196" t="s">
        <v>1534</v>
      </c>
      <c r="BI26" s="1190" t="str">
        <f t="shared" si="15"/>
        <v>key_blood_type_s=0</v>
      </c>
    </row>
    <row r="27" spans="2:61" ht="13.5" thickBot="1">
      <c r="B27" s="355" t="s">
        <v>1007</v>
      </c>
      <c r="C27" s="121"/>
      <c r="E27" s="299">
        <v>19</v>
      </c>
      <c r="F27" s="308">
        <f t="shared" ca="1" si="9"/>
        <v>3594.2978541580533</v>
      </c>
      <c r="G27" s="307">
        <f t="shared" ca="1" si="10"/>
        <v>285.70307299297451</v>
      </c>
      <c r="H27" s="306">
        <f t="shared" ca="1" si="11"/>
        <v>0.51377472496990073</v>
      </c>
      <c r="I27" s="305">
        <f t="shared" ca="1" si="16"/>
        <v>141.43720334049959</v>
      </c>
      <c r="J27" s="305">
        <f t="shared" ca="1" si="17"/>
        <v>53.59079021979047</v>
      </c>
      <c r="K27" s="292">
        <f t="shared" ca="1" si="18"/>
        <v>2.1596925390591619</v>
      </c>
      <c r="L27" s="1290">
        <f t="shared" ca="1" si="19"/>
        <v>34.670172112062694</v>
      </c>
      <c r="M27" s="299">
        <v>19</v>
      </c>
      <c r="N27" s="304">
        <f t="shared" si="20"/>
        <v>3194.9367940664192</v>
      </c>
      <c r="O27" s="303">
        <v>223.71282932551662</v>
      </c>
      <c r="P27" s="302">
        <v>0.41133339897201338</v>
      </c>
      <c r="Q27" s="301">
        <v>100.13331529900334</v>
      </c>
      <c r="R27" s="301">
        <v>57.265152884758812</v>
      </c>
      <c r="S27" s="300">
        <v>1.7561007045918897</v>
      </c>
      <c r="T27" s="891">
        <f t="shared" si="21"/>
        <v>2</v>
      </c>
      <c r="U27" s="1220">
        <v>0.22814065217971802</v>
      </c>
      <c r="W27" s="299">
        <v>19</v>
      </c>
      <c r="X27" s="298">
        <f>IF('Donor Sample'!N44="",,IF('Donor Sample'!N44="F",1,0))</f>
        <v>0</v>
      </c>
      <c r="Y27" s="298">
        <f>IF('Donor Sample'!O44="","",'Donor Sample'!O44)</f>
        <v>170</v>
      </c>
      <c r="Z27" s="298">
        <f>IF(AND('Donor Sample'!O44="",'Donor Sample'!P44="",'Donor Sample'!Q44=""),"",IF('Donor Sample'!P44="",ROUND(AA27/($C$32+($AI27-0.5)*$C$31),0),'Donor Sample'!P44))</f>
        <v>70</v>
      </c>
      <c r="AA27" s="297" t="str">
        <f>IF('Donor Sample'!Q44="","",'Donor Sample'!Q44)</f>
        <v/>
      </c>
      <c r="AB27" s="296">
        <f t="shared" si="12"/>
        <v>4659.6696999999995</v>
      </c>
      <c r="AC27" s="295">
        <f>IF('Donor Sample'!R44="","",'Donor Sample'!R44)</f>
        <v>200</v>
      </c>
      <c r="AD27" s="294">
        <f>IF('Donor Sample'!S44="","",'Donor Sample'!S44/100)</f>
        <v>0.4</v>
      </c>
      <c r="AE27" s="407">
        <f t="shared" si="23"/>
        <v>154</v>
      </c>
      <c r="AF27" s="293">
        <f t="shared" si="24"/>
        <v>66.929133858267718</v>
      </c>
      <c r="AG27" s="292" t="str">
        <f>IF('Donor Sample'!T44="","",'Donor Sample'!T44)</f>
        <v/>
      </c>
      <c r="AH27" s="891">
        <f t="shared" si="25"/>
        <v>4</v>
      </c>
      <c r="AI27" s="1220">
        <v>0.42890673875808716</v>
      </c>
      <c r="AJ27" s="1216"/>
      <c r="AK27" s="353" t="s">
        <v>1005</v>
      </c>
      <c r="AL27" s="352" t="s">
        <v>62</v>
      </c>
      <c r="AM27" s="351" t="s">
        <v>1004</v>
      </c>
      <c r="AN27" s="350" t="s">
        <v>955</v>
      </c>
      <c r="AO27" s="349" t="s">
        <v>1003</v>
      </c>
      <c r="AP27" s="349" t="s">
        <v>1002</v>
      </c>
      <c r="AQ27" s="349" t="s">
        <v>1001</v>
      </c>
      <c r="AR27" s="349" t="s">
        <v>1000</v>
      </c>
      <c r="AS27" s="349" t="s">
        <v>999</v>
      </c>
      <c r="AT27" s="348" t="s">
        <v>998</v>
      </c>
      <c r="BB27" s="920">
        <v>20</v>
      </c>
      <c r="BC27" s="926" t="str">
        <f>IF('Configs &amp; Procedures'!H63="","All Types",'Configs &amp; Procedures'!H63)</f>
        <v>All Types</v>
      </c>
      <c r="BD27" s="1191">
        <f t="shared" si="13"/>
        <v>1</v>
      </c>
      <c r="BE27" s="1166">
        <f t="shared" si="14"/>
        <v>0</v>
      </c>
      <c r="BH27" s="1198" t="s">
        <v>1535</v>
      </c>
      <c r="BI27" s="1191" t="str">
        <f t="shared" si="15"/>
        <v>key_blood_type_t=0</v>
      </c>
    </row>
    <row r="28" spans="2:61" ht="13.5" thickBot="1">
      <c r="E28" s="299">
        <v>20</v>
      </c>
      <c r="F28" s="308">
        <f t="shared" ca="1" si="9"/>
        <v>3886.4882355334739</v>
      </c>
      <c r="G28" s="307">
        <f t="shared" ca="1" si="10"/>
        <v>215.91771161780321</v>
      </c>
      <c r="H28" s="306">
        <f t="shared" ca="1" si="11"/>
        <v>0.42213103190931278</v>
      </c>
      <c r="I28" s="305">
        <f t="shared" ca="1" si="16"/>
        <v>127.85781291705311</v>
      </c>
      <c r="J28" s="305">
        <f t="shared" ca="1" si="17"/>
        <v>61.752893923556485</v>
      </c>
      <c r="K28" s="292">
        <f t="shared" ca="1" si="18"/>
        <v>1.6583789610258346</v>
      </c>
      <c r="L28" s="1290">
        <f t="shared" ca="1" si="19"/>
        <v>23.603983423470076</v>
      </c>
      <c r="M28" s="299">
        <v>20</v>
      </c>
      <c r="N28" s="304">
        <f t="shared" si="20"/>
        <v>3009.2906269313776</v>
      </c>
      <c r="O28" s="303">
        <v>227.41225190820433</v>
      </c>
      <c r="P28" s="302">
        <v>0.44547530725522205</v>
      </c>
      <c r="Q28" s="301">
        <v>110.35151036149745</v>
      </c>
      <c r="R28" s="301">
        <v>50.928719010419663</v>
      </c>
      <c r="S28" s="300">
        <v>2.9826514303146618</v>
      </c>
      <c r="T28" s="891">
        <f t="shared" si="21"/>
        <v>2</v>
      </c>
      <c r="U28" s="1220">
        <v>0.27484869956970215</v>
      </c>
      <c r="W28" s="299">
        <v>20</v>
      </c>
      <c r="X28" s="298">
        <f>IF('Donor Sample'!N45="",,IF('Donor Sample'!N45="F",1,0))</f>
        <v>0</v>
      </c>
      <c r="Y28" s="298">
        <f>IF('Donor Sample'!O45="","",'Donor Sample'!O45)</f>
        <v>159</v>
      </c>
      <c r="Z28" s="298">
        <f>IF(AND('Donor Sample'!O45="",'Donor Sample'!P45="",'Donor Sample'!Q45=""),"",IF('Donor Sample'!P45="",ROUND(AA28/($C$32+($AI28-0.5)*$C$31),0),'Donor Sample'!P45))</f>
        <v>62</v>
      </c>
      <c r="AA28" s="297" t="str">
        <f>IF('Donor Sample'!Q45="","",'Donor Sample'!Q45)</f>
        <v/>
      </c>
      <c r="AB28" s="296">
        <f t="shared" si="12"/>
        <v>4074.4142250999994</v>
      </c>
      <c r="AC28" s="295">
        <f>IF('Donor Sample'!R45="","",'Donor Sample'!R45)</f>
        <v>200</v>
      </c>
      <c r="AD28" s="294">
        <f>IF('Donor Sample'!S45="","",'Donor Sample'!S45/100)</f>
        <v>0.43099998474121093</v>
      </c>
      <c r="AE28" s="293">
        <f t="shared" si="23"/>
        <v>136.4</v>
      </c>
      <c r="AF28" s="293">
        <f t="shared" si="24"/>
        <v>62.598425196850393</v>
      </c>
      <c r="AG28" s="292" t="str">
        <f>IF('Donor Sample'!T45="","",'Donor Sample'!T45)</f>
        <v/>
      </c>
      <c r="AH28" s="891">
        <f t="shared" si="25"/>
        <v>4</v>
      </c>
      <c r="AI28" s="1220">
        <v>0.38983559608459473</v>
      </c>
      <c r="AJ28" s="1216"/>
      <c r="AK28" s="347" t="str">
        <f>IF(AL28=1,AK18,IF(AL28=2,AK19,IF(AL28=3,AK20,IF(AL28=4,AK21,IF(AL28=5,AK22,IF(AL28=6,AK23,IF(AL28=7,AK24,AK25)))))))</f>
        <v>USA</v>
      </c>
      <c r="AL28" s="346">
        <f>IF(AP36=1,AP37,AP38)</f>
        <v>1</v>
      </c>
      <c r="AM28" s="354">
        <f>IF($AL28=1,AL8/100,IF($AL28=2,AL9/100,IF($AL28=3,AL10/100,IF($AL28=4,AL11/100,IF($AL28=5,AL12/100,IF($AL28=6,AL13/100,IF($AL28=7,AL14/100,AL15/100)))))))</f>
        <v>0.36</v>
      </c>
      <c r="AN28" s="354">
        <f t="shared" ref="AN28:AT28" si="29">IF($AL28=1,AM8/100,IF($AL28=2,AM9/100,IF($AL28=3,AM10/100,IF($AL28=4,AM11/100,IF($AL28=5,AM12/100,IF($AL28=6,AM13/100,IF($AL28=7,AM14/100,AM15/100)))))))</f>
        <v>7.0000000000000007E-2</v>
      </c>
      <c r="AO28" s="354">
        <f t="shared" si="29"/>
        <v>0.34</v>
      </c>
      <c r="AP28" s="354">
        <f t="shared" si="29"/>
        <v>7.0000000000000007E-2</v>
      </c>
      <c r="AQ28" s="354">
        <f t="shared" si="29"/>
        <v>0.09</v>
      </c>
      <c r="AR28" s="354">
        <f t="shared" si="29"/>
        <v>0.02</v>
      </c>
      <c r="AS28" s="354">
        <f t="shared" si="29"/>
        <v>0.04</v>
      </c>
      <c r="AT28" s="354">
        <f t="shared" si="29"/>
        <v>0.01</v>
      </c>
    </row>
    <row r="29" spans="2:61" ht="13.5" thickBot="1">
      <c r="E29" s="299">
        <v>21</v>
      </c>
      <c r="F29" s="308">
        <f t="shared" ca="1" si="9"/>
        <v>2559.1521959236638</v>
      </c>
      <c r="G29" s="307">
        <f t="shared" ca="1" si="10"/>
        <v>198.36106910478574</v>
      </c>
      <c r="H29" s="306">
        <f t="shared" ca="1" si="11"/>
        <v>0.43090577042206563</v>
      </c>
      <c r="I29" s="305">
        <f t="shared" ca="1" si="16"/>
        <v>97.361835262940829</v>
      </c>
      <c r="J29" s="305">
        <f t="shared" ca="1" si="17"/>
        <v>44.608516114931383</v>
      </c>
      <c r="K29" s="292">
        <f t="shared" ca="1" si="18"/>
        <v>6.9368650425628271</v>
      </c>
      <c r="L29" s="1290">
        <f t="shared" ca="1" si="19"/>
        <v>34.444973674809127</v>
      </c>
      <c r="M29" s="299">
        <v>21</v>
      </c>
      <c r="N29" s="304">
        <f t="shared" si="20"/>
        <v>3157.3958975704754</v>
      </c>
      <c r="O29" s="303">
        <v>209.6312903263277</v>
      </c>
      <c r="P29" s="302">
        <v>0.43142041881420184</v>
      </c>
      <c r="Q29" s="301">
        <v>111.68488153604676</v>
      </c>
      <c r="R29" s="301">
        <v>53.542133862875772</v>
      </c>
      <c r="S29" s="300">
        <v>3.4894378638191013</v>
      </c>
      <c r="T29" s="891">
        <f t="shared" si="21"/>
        <v>2</v>
      </c>
      <c r="U29" s="1220">
        <v>5.2632272243499756E-2</v>
      </c>
      <c r="W29" s="299">
        <v>21</v>
      </c>
      <c r="X29" s="298">
        <f>IF('Donor Sample'!N46="",,IF('Donor Sample'!N46="F",1,0))</f>
        <v>0</v>
      </c>
      <c r="Y29" s="298">
        <f>IF('Donor Sample'!O46="","",'Donor Sample'!O46)</f>
        <v>177</v>
      </c>
      <c r="Z29" s="298">
        <f>IF(AND('Donor Sample'!O46="",'Donor Sample'!P46="",'Donor Sample'!Q46=""),"",IF('Donor Sample'!P46="",ROUND(AA29/($C$32+($AI29-0.5)*$C$31),0),'Donor Sample'!P46))</f>
        <v>61</v>
      </c>
      <c r="AA29" s="297" t="str">
        <f>IF('Donor Sample'!Q46="","",'Donor Sample'!Q46)</f>
        <v/>
      </c>
      <c r="AB29" s="296">
        <f t="shared" si="12"/>
        <v>4601.9529876999995</v>
      </c>
      <c r="AC29" s="295">
        <f>IF('Donor Sample'!R46="","",'Donor Sample'!R46)</f>
        <v>200</v>
      </c>
      <c r="AD29" s="294">
        <f>IF('Donor Sample'!S46="","",'Donor Sample'!S46/100)</f>
        <v>0.41400001525878904</v>
      </c>
      <c r="AE29" s="293">
        <f t="shared" si="23"/>
        <v>134.20000000000002</v>
      </c>
      <c r="AF29" s="293">
        <f t="shared" si="24"/>
        <v>69.685039370078741</v>
      </c>
      <c r="AG29" s="292" t="str">
        <f>IF('Donor Sample'!T46="","",'Donor Sample'!T46)</f>
        <v/>
      </c>
      <c r="AH29" s="891">
        <f t="shared" si="25"/>
        <v>2</v>
      </c>
      <c r="AI29" s="1220">
        <v>5.5816113948822021E-2</v>
      </c>
      <c r="AJ29" s="1216"/>
    </row>
    <row r="30" spans="2:61" ht="13.5" thickBot="1">
      <c r="B30" s="1614" t="s">
        <v>1006</v>
      </c>
      <c r="C30" s="1615"/>
      <c r="E30" s="299">
        <v>22</v>
      </c>
      <c r="F30" s="308">
        <f t="shared" ca="1" si="9"/>
        <v>2865.2863231997053</v>
      </c>
      <c r="G30" s="307">
        <f t="shared" ca="1" si="10"/>
        <v>198.28498647913045</v>
      </c>
      <c r="H30" s="306">
        <f t="shared" ca="1" si="11"/>
        <v>0.4054731189221103</v>
      </c>
      <c r="I30" s="305">
        <f t="shared" ca="1" si="16"/>
        <v>112.91616447355521</v>
      </c>
      <c r="J30" s="305">
        <f t="shared" ca="1" si="17"/>
        <v>46.710237438379501</v>
      </c>
      <c r="K30" s="292">
        <f t="shared" ca="1" si="18"/>
        <v>1.9559206284664674</v>
      </c>
      <c r="L30" s="1290">
        <f t="shared" ca="1" si="19"/>
        <v>36.433813170796846</v>
      </c>
      <c r="M30" s="299">
        <v>22</v>
      </c>
      <c r="N30" s="304">
        <f t="shared" si="20"/>
        <v>3185.7895793993839</v>
      </c>
      <c r="O30" s="303">
        <v>249.90206864641831</v>
      </c>
      <c r="P30" s="302">
        <v>0.36226635577107674</v>
      </c>
      <c r="Q30" s="301">
        <v>109.41324937787232</v>
      </c>
      <c r="R30" s="301">
        <v>54.707192423920119</v>
      </c>
      <c r="S30" s="300">
        <v>4.8096417470515851</v>
      </c>
      <c r="T30" s="891">
        <f t="shared" si="21"/>
        <v>256</v>
      </c>
      <c r="U30" s="1220">
        <v>0.90305840969085693</v>
      </c>
      <c r="W30" s="299">
        <v>22</v>
      </c>
      <c r="X30" s="298">
        <f>IF('Donor Sample'!N47="",,IF('Donor Sample'!N47="F",1,0))</f>
        <v>0</v>
      </c>
      <c r="Y30" s="298">
        <f>IF('Donor Sample'!O47="","",'Donor Sample'!O47)</f>
        <v>181</v>
      </c>
      <c r="Z30" s="298">
        <f>IF(AND('Donor Sample'!O47="",'Donor Sample'!P47="",'Donor Sample'!Q47=""),"",IF('Donor Sample'!P47="",ROUND(AA30/($C$32+($AI30-0.5)*$C$31),0),'Donor Sample'!P47))</f>
        <v>84</v>
      </c>
      <c r="AA30" s="297" t="str">
        <f>IF('Donor Sample'!Q47="","",'Donor Sample'!Q47)</f>
        <v/>
      </c>
      <c r="AB30" s="296">
        <f t="shared" si="12"/>
        <v>5483.3299728999991</v>
      </c>
      <c r="AC30" s="295">
        <f>IF('Donor Sample'!R47="","",'Donor Sample'!R47)</f>
        <v>200</v>
      </c>
      <c r="AD30" s="294">
        <f>IF('Donor Sample'!S47="","",'Donor Sample'!S47/100)</f>
        <v>0.42</v>
      </c>
      <c r="AE30" s="407">
        <f t="shared" si="23"/>
        <v>184.8</v>
      </c>
      <c r="AF30" s="293">
        <f t="shared" si="24"/>
        <v>71.259842519685037</v>
      </c>
      <c r="AG30" s="292" t="str">
        <f>IF('Donor Sample'!T47="","",'Donor Sample'!T47)</f>
        <v/>
      </c>
      <c r="AH30" s="891">
        <f t="shared" si="25"/>
        <v>2</v>
      </c>
      <c r="AI30" s="1220">
        <v>0.34907329082489014</v>
      </c>
      <c r="AJ30" s="1216"/>
      <c r="AK30" s="1632" t="s">
        <v>1539</v>
      </c>
      <c r="AL30" s="1637"/>
      <c r="AM30" s="1637"/>
      <c r="AN30" s="1637"/>
      <c r="AO30" s="1637"/>
      <c r="AP30" s="1637"/>
      <c r="AQ30" s="1637"/>
      <c r="AR30" s="1637"/>
      <c r="AS30" s="1637"/>
      <c r="AT30" s="1633"/>
    </row>
    <row r="31" spans="2:61" ht="13.5" thickBot="1">
      <c r="B31" s="785" t="s">
        <v>1823</v>
      </c>
      <c r="C31" s="786">
        <v>8.6999999999999993</v>
      </c>
      <c r="E31" s="299">
        <v>23</v>
      </c>
      <c r="F31" s="308">
        <f t="shared" ca="1" si="9"/>
        <v>2734.1613129010284</v>
      </c>
      <c r="G31" s="307">
        <f t="shared" ca="1" si="10"/>
        <v>249.21938714776672</v>
      </c>
      <c r="H31" s="306">
        <f t="shared" ca="1" si="11"/>
        <v>0.43461119707913154</v>
      </c>
      <c r="I31" s="305">
        <f t="shared" ca="1" si="16"/>
        <v>92.679600979891873</v>
      </c>
      <c r="J31" s="305">
        <f t="shared" ca="1" si="17"/>
        <v>58.37941097492817</v>
      </c>
      <c r="K31" s="292">
        <f t="shared" ca="1" si="18"/>
        <v>3.4135341293484847</v>
      </c>
      <c r="L31" s="1290">
        <f t="shared" ca="1" si="19"/>
        <v>19.144207675352192</v>
      </c>
      <c r="M31" s="299">
        <v>23</v>
      </c>
      <c r="N31" s="304">
        <f t="shared" si="20"/>
        <v>3358.6743403396963</v>
      </c>
      <c r="O31" s="303">
        <v>285.03816747943114</v>
      </c>
      <c r="P31" s="302">
        <v>0.4381769606078777</v>
      </c>
      <c r="Q31" s="301">
        <v>123.1417011217039</v>
      </c>
      <c r="R31" s="301">
        <v>61.063105319972451</v>
      </c>
      <c r="S31" s="300">
        <v>2.453300080840795</v>
      </c>
      <c r="T31" s="891">
        <f t="shared" si="21"/>
        <v>16</v>
      </c>
      <c r="U31" s="1220">
        <v>0.9879494309425354</v>
      </c>
      <c r="W31" s="299">
        <v>23</v>
      </c>
      <c r="X31" s="298">
        <f>IF('Donor Sample'!N48="",,IF('Donor Sample'!N48="F",1,0))</f>
        <v>0</v>
      </c>
      <c r="Y31" s="298">
        <f>IF('Donor Sample'!O48="","",'Donor Sample'!O48)</f>
        <v>176</v>
      </c>
      <c r="Z31" s="298">
        <f>IF(AND('Donor Sample'!O48="",'Donor Sample'!P48="",'Donor Sample'!Q48=""),"",IF('Donor Sample'!P48="",ROUND(AA31/($C$32+($AI31-0.5)*$C$31),0),'Donor Sample'!P48))</f>
        <v>81</v>
      </c>
      <c r="AA31" s="297" t="str">
        <f>IF('Donor Sample'!Q48="","",'Donor Sample'!Q48)</f>
        <v/>
      </c>
      <c r="AB31" s="296">
        <f t="shared" si="12"/>
        <v>5211.4036144000002</v>
      </c>
      <c r="AC31" s="295">
        <f>IF('Donor Sample'!R48="","",'Donor Sample'!R48)</f>
        <v>200</v>
      </c>
      <c r="AD31" s="294">
        <f>IF('Donor Sample'!S48="","",'Donor Sample'!S48/100)</f>
        <v>0.39900001525878909</v>
      </c>
      <c r="AE31" s="293">
        <f t="shared" si="23"/>
        <v>178.20000000000002</v>
      </c>
      <c r="AF31" s="293">
        <f t="shared" si="24"/>
        <v>69.29133858267717</v>
      </c>
      <c r="AG31" s="292" t="str">
        <f>IF('Donor Sample'!T48="","",'Donor Sample'!T48)</f>
        <v/>
      </c>
      <c r="AH31" s="891">
        <f t="shared" si="25"/>
        <v>32</v>
      </c>
      <c r="AI31" s="1220">
        <v>0.78320556879043579</v>
      </c>
      <c r="AJ31" s="1216"/>
      <c r="AK31" s="353" t="s">
        <v>1005</v>
      </c>
      <c r="AL31" s="352" t="s">
        <v>62</v>
      </c>
      <c r="AM31" s="351" t="s">
        <v>1004</v>
      </c>
      <c r="AN31" s="350" t="s">
        <v>955</v>
      </c>
      <c r="AO31" s="349" t="s">
        <v>1003</v>
      </c>
      <c r="AP31" s="349" t="s">
        <v>1002</v>
      </c>
      <c r="AQ31" s="349" t="s">
        <v>1001</v>
      </c>
      <c r="AR31" s="349" t="s">
        <v>1000</v>
      </c>
      <c r="AS31" s="349" t="s">
        <v>999</v>
      </c>
      <c r="AT31" s="348" t="s">
        <v>998</v>
      </c>
    </row>
    <row r="32" spans="2:61" ht="13.5" thickBot="1">
      <c r="B32" s="785" t="s">
        <v>1824</v>
      </c>
      <c r="C32" s="786">
        <v>28.1</v>
      </c>
      <c r="E32" s="299">
        <v>24</v>
      </c>
      <c r="F32" s="308">
        <f t="shared" ca="1" si="9"/>
        <v>2662.9829125620067</v>
      </c>
      <c r="G32" s="307">
        <f t="shared" ca="1" si="10"/>
        <v>255.27185300075834</v>
      </c>
      <c r="H32" s="306">
        <f t="shared" ca="1" si="11"/>
        <v>0.38127919009006966</v>
      </c>
      <c r="I32" s="305">
        <f t="shared" ca="1" si="16"/>
        <v>109.69502903040404</v>
      </c>
      <c r="J32" s="305">
        <f t="shared" ca="1" si="17"/>
        <v>52.296400434497272</v>
      </c>
      <c r="K32" s="292">
        <f t="shared" ca="1" si="18"/>
        <v>6.3751227519870683</v>
      </c>
      <c r="L32" s="1290">
        <f t="shared" ca="1" si="19"/>
        <v>28.236834723450709</v>
      </c>
      <c r="M32" s="299">
        <v>24</v>
      </c>
      <c r="N32" s="304">
        <f t="shared" si="20"/>
        <v>3808.2488003954995</v>
      </c>
      <c r="O32" s="303">
        <v>218.41746051672595</v>
      </c>
      <c r="P32" s="302">
        <v>0.52107988293785634</v>
      </c>
      <c r="Q32" s="301">
        <v>149.96236641641349</v>
      </c>
      <c r="R32" s="301">
        <v>61.778811362920102</v>
      </c>
      <c r="S32" s="300">
        <v>1.3743146775266708</v>
      </c>
      <c r="T32" s="891">
        <f t="shared" si="21"/>
        <v>2</v>
      </c>
      <c r="U32" s="1220">
        <v>0.26226806640625</v>
      </c>
      <c r="W32" s="299">
        <v>24</v>
      </c>
      <c r="X32" s="298">
        <f>IF('Donor Sample'!N49="",,IF('Donor Sample'!N49="F",1,0))</f>
        <v>0</v>
      </c>
      <c r="Y32" s="298">
        <f>IF('Donor Sample'!O49="","",'Donor Sample'!O49)</f>
        <v>172</v>
      </c>
      <c r="Z32" s="298">
        <f>IF(AND('Donor Sample'!O49="",'Donor Sample'!P49="",'Donor Sample'!Q49=""),"",IF('Donor Sample'!P49="",ROUND(AA32/($C$32+($AI32-0.5)*$C$31),0),'Donor Sample'!P49))</f>
        <v>72</v>
      </c>
      <c r="AA32" s="297" t="str">
        <f>IF('Donor Sample'!Q49="","",'Donor Sample'!Q49)</f>
        <v/>
      </c>
      <c r="AB32" s="296">
        <f t="shared" si="12"/>
        <v>4788.4155711999992</v>
      </c>
      <c r="AC32" s="295">
        <f>IF('Donor Sample'!R49="","",'Donor Sample'!R49)</f>
        <v>200</v>
      </c>
      <c r="AD32" s="294">
        <f>IF('Donor Sample'!S49="","",'Donor Sample'!S49/100)</f>
        <v>0.41299999237060547</v>
      </c>
      <c r="AE32" s="293">
        <f t="shared" si="23"/>
        <v>158.4</v>
      </c>
      <c r="AF32" s="293">
        <f t="shared" si="24"/>
        <v>67.71653543307086</v>
      </c>
      <c r="AG32" s="292" t="str">
        <f>IF('Donor Sample'!T49="","",'Donor Sample'!T49)</f>
        <v/>
      </c>
      <c r="AH32" s="891">
        <f t="shared" si="25"/>
        <v>16</v>
      </c>
      <c r="AI32" s="1220">
        <v>0.97659730911254883</v>
      </c>
      <c r="AJ32" s="1216"/>
      <c r="AK32" s="347" t="str">
        <f>AK28</f>
        <v>USA</v>
      </c>
      <c r="AL32" s="346">
        <v>0</v>
      </c>
      <c r="AM32" s="345">
        <f>AM28</f>
        <v>0.36</v>
      </c>
      <c r="AN32" s="344">
        <f t="shared" ref="AN32:AT32" si="30">AN28+AM32</f>
        <v>0.43</v>
      </c>
      <c r="AO32" s="344">
        <f t="shared" si="30"/>
        <v>0.77</v>
      </c>
      <c r="AP32" s="344">
        <f t="shared" si="30"/>
        <v>0.84000000000000008</v>
      </c>
      <c r="AQ32" s="344">
        <f t="shared" si="30"/>
        <v>0.93</v>
      </c>
      <c r="AR32" s="344">
        <f t="shared" si="30"/>
        <v>0.95000000000000007</v>
      </c>
      <c r="AS32" s="344">
        <f t="shared" si="30"/>
        <v>0.9900000000000001</v>
      </c>
      <c r="AT32" s="343">
        <f t="shared" si="30"/>
        <v>1</v>
      </c>
    </row>
    <row r="33" spans="2:55" ht="13.5" customHeight="1" thickBot="1">
      <c r="B33" s="342" t="s">
        <v>997</v>
      </c>
      <c r="C33" s="1296">
        <v>0.76800000000000002</v>
      </c>
      <c r="E33" s="299">
        <v>25</v>
      </c>
      <c r="F33" s="308">
        <f t="shared" ca="1" si="9"/>
        <v>3696.6568849918945</v>
      </c>
      <c r="G33" s="307">
        <f t="shared" ca="1" si="10"/>
        <v>214.70624968494275</v>
      </c>
      <c r="H33" s="306">
        <f t="shared" ca="1" si="11"/>
        <v>0.46540373004251329</v>
      </c>
      <c r="I33" s="305">
        <f t="shared" ca="1" si="16"/>
        <v>121.51279163665599</v>
      </c>
      <c r="J33" s="305">
        <f t="shared" ca="1" si="17"/>
        <v>60.306124525719071</v>
      </c>
      <c r="K33" s="292">
        <f t="shared" ca="1" si="18"/>
        <v>4.3085782432297473</v>
      </c>
      <c r="L33" s="1290">
        <f t="shared" ca="1" si="19"/>
        <v>23.521868479360055</v>
      </c>
      <c r="M33" s="299">
        <v>25</v>
      </c>
      <c r="N33" s="304">
        <f t="shared" si="20"/>
        <v>3866.805828084317</v>
      </c>
      <c r="O33" s="303">
        <v>154.62561399428597</v>
      </c>
      <c r="P33" s="302">
        <v>0.45761067923041282</v>
      </c>
      <c r="Q33" s="301">
        <v>149.17315755709538</v>
      </c>
      <c r="R33" s="301">
        <v>56.509388423326563</v>
      </c>
      <c r="S33" s="300">
        <v>3.7918448564834883</v>
      </c>
      <c r="T33" s="891">
        <f t="shared" si="21"/>
        <v>64</v>
      </c>
      <c r="U33" s="1220">
        <v>0.5398370623588562</v>
      </c>
      <c r="W33" s="299">
        <v>25</v>
      </c>
      <c r="X33" s="298">
        <f>IF('Donor Sample'!N50="",,IF('Donor Sample'!N50="F",1,0))</f>
        <v>0</v>
      </c>
      <c r="Y33" s="298">
        <f>IF('Donor Sample'!O50="","",'Donor Sample'!O50)</f>
        <v>164</v>
      </c>
      <c r="Z33" s="298">
        <f>IF(AND('Donor Sample'!O50="",'Donor Sample'!P50="",'Donor Sample'!Q50=""),"",IF('Donor Sample'!P50="",ROUND(AA33/($C$32+($AI33-0.5)*$C$31),0),'Donor Sample'!P50))</f>
        <v>56</v>
      </c>
      <c r="AA33" s="297" t="str">
        <f>IF('Donor Sample'!Q50="","",'Donor Sample'!Q50)</f>
        <v/>
      </c>
      <c r="AB33" s="296">
        <f t="shared" si="12"/>
        <v>4024.8473535999997</v>
      </c>
      <c r="AC33" s="295">
        <f>IF('Donor Sample'!R50="","",'Donor Sample'!R50)</f>
        <v>200</v>
      </c>
      <c r="AD33" s="294">
        <f>IF('Donor Sample'!S50="","",'Donor Sample'!S50/100)</f>
        <v>0.37400001525878906</v>
      </c>
      <c r="AE33" s="407">
        <f t="shared" si="23"/>
        <v>123.20000000000002</v>
      </c>
      <c r="AF33" s="293">
        <f t="shared" si="24"/>
        <v>64.566929133858267</v>
      </c>
      <c r="AG33" s="292" t="str">
        <f>IF('Donor Sample'!T50="","",'Donor Sample'!T50)</f>
        <v/>
      </c>
      <c r="AH33" s="891">
        <f t="shared" si="25"/>
        <v>64</v>
      </c>
      <c r="AI33" s="1220">
        <v>0.59655636548995972</v>
      </c>
      <c r="AJ33" s="1216"/>
      <c r="AK33" s="1632" t="s">
        <v>1540</v>
      </c>
      <c r="AL33" s="1633"/>
      <c r="AM33" s="544">
        <v>2</v>
      </c>
      <c r="AN33" s="1215">
        <v>4</v>
      </c>
      <c r="AO33" s="1215">
        <v>64</v>
      </c>
      <c r="AP33" s="1215">
        <v>32</v>
      </c>
      <c r="AQ33" s="1215">
        <v>256</v>
      </c>
      <c r="AR33" s="1215">
        <v>128</v>
      </c>
      <c r="AS33" s="1215">
        <v>16</v>
      </c>
      <c r="AT33" s="837">
        <v>8</v>
      </c>
    </row>
    <row r="34" spans="2:55" ht="13.5" thickBot="1">
      <c r="E34" s="299">
        <v>26</v>
      </c>
      <c r="F34" s="308">
        <f t="shared" ca="1" si="9"/>
        <v>3540.9239268794781</v>
      </c>
      <c r="G34" s="307">
        <f t="shared" ca="1" si="10"/>
        <v>252.88532834921699</v>
      </c>
      <c r="H34" s="306">
        <f t="shared" ca="1" si="11"/>
        <v>0.38667604878312573</v>
      </c>
      <c r="I34" s="305">
        <f t="shared" ca="1" si="16"/>
        <v>122.46388125499828</v>
      </c>
      <c r="J34" s="305">
        <f t="shared" ca="1" si="17"/>
        <v>57.600671272853035</v>
      </c>
      <c r="K34" s="292">
        <f t="shared" ca="1" si="18"/>
        <v>3.4834158704699578</v>
      </c>
      <c r="L34" s="1290">
        <f t="shared" ca="1" si="19"/>
        <v>25.985171604350374</v>
      </c>
      <c r="M34" s="299">
        <v>26</v>
      </c>
      <c r="N34" s="304">
        <f t="shared" si="20"/>
        <v>3993.2341484215422</v>
      </c>
      <c r="O34" s="303">
        <v>245.71208050181173</v>
      </c>
      <c r="P34" s="302">
        <v>0.44520726404253141</v>
      </c>
      <c r="Q34" s="301">
        <v>157.8263402632256</v>
      </c>
      <c r="R34" s="301">
        <v>56.510983196176745</v>
      </c>
      <c r="S34" s="300">
        <v>1.6963282580620596</v>
      </c>
      <c r="T34" s="891">
        <f t="shared" si="21"/>
        <v>2</v>
      </c>
      <c r="U34" s="1220">
        <v>0.3430553674697876</v>
      </c>
      <c r="W34" s="299">
        <v>26</v>
      </c>
      <c r="X34" s="298">
        <f>IF('Donor Sample'!N51="",,IF('Donor Sample'!N51="F",1,0))</f>
        <v>0</v>
      </c>
      <c r="Y34" s="298">
        <f>IF('Donor Sample'!O51="","",'Donor Sample'!O51)</f>
        <v>168</v>
      </c>
      <c r="Z34" s="298">
        <f>IF(AND('Donor Sample'!O51="",'Donor Sample'!P51="",'Donor Sample'!Q51=""),"",IF('Donor Sample'!P51="",ROUND(AA34/($C$32+($AI34-0.5)*$C$31),0),'Donor Sample'!P51))</f>
        <v>64</v>
      </c>
      <c r="AA34" s="297" t="str">
        <f>IF('Donor Sample'!Q51="","",'Donor Sample'!Q51)</f>
        <v/>
      </c>
      <c r="AB34" s="296">
        <f t="shared" si="12"/>
        <v>4403.6727807999996</v>
      </c>
      <c r="AC34" s="295">
        <f>IF('Donor Sample'!R51="","",'Donor Sample'!R51)</f>
        <v>200</v>
      </c>
      <c r="AD34" s="294">
        <f>IF('Donor Sample'!S51="","",'Donor Sample'!S51/100)</f>
        <v>0.39299999237060546</v>
      </c>
      <c r="AE34" s="293">
        <f t="shared" si="23"/>
        <v>140.80000000000001</v>
      </c>
      <c r="AF34" s="293">
        <f t="shared" si="24"/>
        <v>66.141732283464563</v>
      </c>
      <c r="AG34" s="292" t="str">
        <f>IF('Donor Sample'!T51="","",'Donor Sample'!T51)</f>
        <v/>
      </c>
      <c r="AH34" s="891">
        <f t="shared" si="25"/>
        <v>2</v>
      </c>
      <c r="AI34" s="1220">
        <v>7.3776364326477051E-2</v>
      </c>
      <c r="AJ34" s="1216"/>
      <c r="AK34" s="347" t="s">
        <v>1541</v>
      </c>
      <c r="AL34" s="544">
        <v>2</v>
      </c>
      <c r="AM34" s="1215">
        <v>4</v>
      </c>
      <c r="AN34" s="1215">
        <v>64</v>
      </c>
      <c r="AO34" s="1215">
        <v>32</v>
      </c>
      <c r="AP34" s="1215">
        <v>256</v>
      </c>
      <c r="AQ34" s="1215">
        <v>128</v>
      </c>
      <c r="AR34" s="1215">
        <v>16</v>
      </c>
      <c r="AS34" s="837">
        <v>8</v>
      </c>
    </row>
    <row r="35" spans="2:55" ht="13.5" thickBot="1">
      <c r="B35" s="340" t="s">
        <v>995</v>
      </c>
      <c r="C35" s="339"/>
      <c r="E35" s="299">
        <v>27</v>
      </c>
      <c r="F35" s="308">
        <f t="shared" ca="1" si="9"/>
        <v>2750.1400163889739</v>
      </c>
      <c r="G35" s="307">
        <f t="shared" ca="1" si="10"/>
        <v>278.64681962783357</v>
      </c>
      <c r="H35" s="306">
        <f t="shared" ca="1" si="11"/>
        <v>0.40110165807104431</v>
      </c>
      <c r="I35" s="305">
        <f t="shared" ca="1" si="16"/>
        <v>106.72419096558048</v>
      </c>
      <c r="J35" s="305">
        <f t="shared" ca="1" si="17"/>
        <v>54.914489426858303</v>
      </c>
      <c r="K35" s="292">
        <f t="shared" ca="1" si="18"/>
        <v>18.261995401322519</v>
      </c>
      <c r="L35" s="1290">
        <f t="shared" ca="1" si="19"/>
        <v>24.915042383629366</v>
      </c>
      <c r="M35" s="299">
        <v>27</v>
      </c>
      <c r="N35" s="304">
        <f t="shared" si="20"/>
        <v>3393.4607015861748</v>
      </c>
      <c r="O35" s="303">
        <v>263.94369924463678</v>
      </c>
      <c r="P35" s="302">
        <v>0.389466474203645</v>
      </c>
      <c r="Q35" s="301">
        <v>110.67974280434316</v>
      </c>
      <c r="R35" s="301">
        <v>64.286776959360111</v>
      </c>
      <c r="S35" s="300">
        <v>1.9733734373962015</v>
      </c>
      <c r="T35" s="891">
        <f t="shared" si="21"/>
        <v>2</v>
      </c>
      <c r="U35" s="1220">
        <v>0.21312457323074341</v>
      </c>
      <c r="W35" s="299">
        <v>27</v>
      </c>
      <c r="X35" s="298">
        <f>IF('Donor Sample'!N52="",,IF('Donor Sample'!N52="F",1,0))</f>
        <v>0</v>
      </c>
      <c r="Y35" s="298">
        <f>IF('Donor Sample'!O52="","",'Donor Sample'!O52)</f>
        <v>174</v>
      </c>
      <c r="Z35" s="298">
        <f>IF(AND('Donor Sample'!O52="",'Donor Sample'!P52="",'Donor Sample'!Q52=""),"",IF('Donor Sample'!P52="",ROUND(AA35/($C$32+($AI35-0.5)*$C$31),0),'Donor Sample'!P52))</f>
        <v>82</v>
      </c>
      <c r="AA35" s="297" t="str">
        <f>IF('Donor Sample'!Q52="","",'Donor Sample'!Q52)</f>
        <v/>
      </c>
      <c r="AB35" s="296">
        <f t="shared" si="12"/>
        <v>5176.1720055999995</v>
      </c>
      <c r="AC35" s="295">
        <f>IF('Donor Sample'!R52="","",'Donor Sample'!R52)</f>
        <v>200</v>
      </c>
      <c r="AD35" s="294">
        <f>IF('Donor Sample'!S52="","",'Donor Sample'!S52/100)</f>
        <v>0.41400001525878904</v>
      </c>
      <c r="AE35" s="293">
        <f t="shared" si="23"/>
        <v>180.4</v>
      </c>
      <c r="AF35" s="293">
        <f t="shared" si="24"/>
        <v>68.503937007874015</v>
      </c>
      <c r="AG35" s="292" t="str">
        <f>IF('Donor Sample'!T52="","",'Donor Sample'!T52)</f>
        <v/>
      </c>
      <c r="AH35" s="891">
        <f t="shared" si="25"/>
        <v>32</v>
      </c>
      <c r="AI35" s="1220">
        <v>0.81832486391067505</v>
      </c>
      <c r="AJ35" s="1216"/>
      <c r="AL35" s="1217"/>
      <c r="AM35" s="1217"/>
      <c r="AN35" s="1217"/>
    </row>
    <row r="36" spans="2:55" ht="13.5" thickBot="1">
      <c r="B36" s="336" t="s">
        <v>993</v>
      </c>
      <c r="C36" s="335"/>
      <c r="E36" s="299">
        <v>28</v>
      </c>
      <c r="F36" s="308">
        <f t="shared" ca="1" si="9"/>
        <v>3022.2158953149183</v>
      </c>
      <c r="G36" s="307">
        <f t="shared" ca="1" si="10"/>
        <v>204.65688262998773</v>
      </c>
      <c r="H36" s="306">
        <f t="shared" ca="1" si="11"/>
        <v>0.36354171677694924</v>
      </c>
      <c r="I36" s="305">
        <f t="shared" ca="1" si="16"/>
        <v>120.83707665173253</v>
      </c>
      <c r="J36" s="305">
        <f t="shared" ca="1" si="17"/>
        <v>47.736626532462395</v>
      </c>
      <c r="K36" s="292">
        <f t="shared" ca="1" si="18"/>
        <v>1.2643647848001123</v>
      </c>
      <c r="L36" s="1290">
        <f t="shared" ca="1" si="19"/>
        <v>37.330982441622503</v>
      </c>
      <c r="M36" s="299">
        <v>28</v>
      </c>
      <c r="N36" s="304">
        <f t="shared" si="20"/>
        <v>3558.1861553248318</v>
      </c>
      <c r="O36" s="303">
        <v>199.1041460570967</v>
      </c>
      <c r="P36" s="302">
        <v>0.4267183594734662</v>
      </c>
      <c r="Q36" s="301">
        <v>119.42537946675773</v>
      </c>
      <c r="R36" s="301">
        <v>58.612599529690804</v>
      </c>
      <c r="S36" s="300">
        <v>21.071946855676327</v>
      </c>
      <c r="T36" s="891">
        <f t="shared" si="21"/>
        <v>2</v>
      </c>
      <c r="U36" s="1220">
        <v>0.20124459266662598</v>
      </c>
      <c r="W36" s="299">
        <v>28</v>
      </c>
      <c r="X36" s="298">
        <f>IF('Donor Sample'!N53="",,IF('Donor Sample'!N53="F",1,0))</f>
        <v>1</v>
      </c>
      <c r="Y36" s="298">
        <f>IF('Donor Sample'!O53="","",'Donor Sample'!O53)</f>
        <v>166</v>
      </c>
      <c r="Z36" s="298">
        <f>IF(AND('Donor Sample'!O53="",'Donor Sample'!P53="",'Donor Sample'!Q53=""),"",IF('Donor Sample'!P53="",ROUND(AA36/($C$32+($AI36-0.5)*$C$31),0),'Donor Sample'!P53))</f>
        <v>57</v>
      </c>
      <c r="AA36" s="297" t="str">
        <f>IF('Donor Sample'!Q53="","",'Donor Sample'!Q53)</f>
        <v/>
      </c>
      <c r="AB36" s="296">
        <f t="shared" si="12"/>
        <v>3696.8398056000001</v>
      </c>
      <c r="AC36" s="295">
        <f>IF('Donor Sample'!R53="","",'Donor Sample'!R53)</f>
        <v>200</v>
      </c>
      <c r="AD36" s="294">
        <f>IF('Donor Sample'!S53="","",'Donor Sample'!S53/100)</f>
        <v>0.37799999237060544</v>
      </c>
      <c r="AE36" s="407">
        <f t="shared" si="23"/>
        <v>125.4</v>
      </c>
      <c r="AF36" s="293">
        <f t="shared" si="24"/>
        <v>65.354330708661422</v>
      </c>
      <c r="AG36" s="292" t="str">
        <f>IF('Donor Sample'!T53="","",'Donor Sample'!T53)</f>
        <v/>
      </c>
      <c r="AH36" s="891">
        <f t="shared" si="25"/>
        <v>64</v>
      </c>
      <c r="AI36" s="1220">
        <v>0.49355387687683105</v>
      </c>
      <c r="AJ36" s="1216"/>
      <c r="AK36" s="1640" t="s">
        <v>996</v>
      </c>
      <c r="AL36" s="1641"/>
      <c r="AM36" s="1641"/>
      <c r="AN36" s="1641"/>
      <c r="AO36" s="1642"/>
      <c r="AP36" s="341">
        <f>IF('Donor Sample'!E2="Statistical",1,2)</f>
        <v>1</v>
      </c>
    </row>
    <row r="37" spans="2:55">
      <c r="B37" s="336" t="s">
        <v>1049</v>
      </c>
      <c r="C37" s="335"/>
      <c r="E37" s="299">
        <v>29</v>
      </c>
      <c r="F37" s="308">
        <f t="shared" ca="1" si="9"/>
        <v>2755.1913490795005</v>
      </c>
      <c r="G37" s="307">
        <f t="shared" ca="1" si="10"/>
        <v>232.21635352200485</v>
      </c>
      <c r="H37" s="306">
        <f t="shared" ca="1" si="11"/>
        <v>0.45462647071207807</v>
      </c>
      <c r="I37" s="305">
        <f t="shared" ca="1" si="16"/>
        <v>94.389660713178458</v>
      </c>
      <c r="J37" s="305">
        <f t="shared" ca="1" si="17"/>
        <v>50.474574317553525</v>
      </c>
      <c r="K37" s="292">
        <f t="shared" ca="1" si="18"/>
        <v>2.5273019660225962</v>
      </c>
      <c r="L37" s="1290">
        <f t="shared" ca="1" si="19"/>
        <v>26.082652435488292</v>
      </c>
      <c r="M37" s="299">
        <v>29</v>
      </c>
      <c r="N37" s="304">
        <f t="shared" si="20"/>
        <v>3454.2054034029225</v>
      </c>
      <c r="O37" s="303">
        <v>294.68269627372592</v>
      </c>
      <c r="P37" s="302">
        <v>0.36687322258488875</v>
      </c>
      <c r="Q37" s="301">
        <v>112.18617720595506</v>
      </c>
      <c r="R37" s="301">
        <v>58.640210126461447</v>
      </c>
      <c r="S37" s="300">
        <v>3.3173618806114962</v>
      </c>
      <c r="T37" s="891">
        <f t="shared" si="21"/>
        <v>2</v>
      </c>
      <c r="U37" s="1220">
        <v>0.12940162420272827</v>
      </c>
      <c r="W37" s="299">
        <v>29</v>
      </c>
      <c r="X37" s="298">
        <f>IF('Donor Sample'!N54="",,IF('Donor Sample'!N54="F",1,0))</f>
        <v>1</v>
      </c>
      <c r="Y37" s="298">
        <f>IF('Donor Sample'!O54="","",'Donor Sample'!O54)</f>
        <v>167</v>
      </c>
      <c r="Z37" s="298">
        <f>IF(AND('Donor Sample'!O54="",'Donor Sample'!P54="",'Donor Sample'!Q54=""),"",IF('Donor Sample'!P54="",ROUND(AA37/($C$32+($AI37-0.5)*$C$31),0),'Donor Sample'!P54))</f>
        <v>75</v>
      </c>
      <c r="AA37" s="297" t="str">
        <f>IF('Donor Sample'!Q54="","",'Donor Sample'!Q54)</f>
        <v/>
      </c>
      <c r="AB37" s="296">
        <f t="shared" si="12"/>
        <v>4321.6975743000003</v>
      </c>
      <c r="AC37" s="295">
        <f>IF('Donor Sample'!R54="","",'Donor Sample'!R54)</f>
        <v>200</v>
      </c>
      <c r="AD37" s="294">
        <f>IF('Donor Sample'!S54="","",'Donor Sample'!S54/100)</f>
        <v>0.39299999237060546</v>
      </c>
      <c r="AE37" s="293">
        <f t="shared" si="23"/>
        <v>165</v>
      </c>
      <c r="AF37" s="293">
        <f t="shared" si="24"/>
        <v>65.748031496062993</v>
      </c>
      <c r="AG37" s="292" t="str">
        <f>IF('Donor Sample'!T54="","",'Donor Sample'!T54)</f>
        <v/>
      </c>
      <c r="AH37" s="891">
        <f t="shared" si="25"/>
        <v>4</v>
      </c>
      <c r="AI37" s="1220">
        <v>0.42874330282211304</v>
      </c>
      <c r="AJ37" s="1216"/>
      <c r="AK37" s="1183" t="s">
        <v>994</v>
      </c>
      <c r="AL37" s="1184"/>
      <c r="AM37" s="1184"/>
      <c r="AN37" s="1184"/>
      <c r="AO37" s="1185"/>
      <c r="AP37" s="338">
        <f>IF('Donor Sample'!D21="USA",1,IF('Donor Sample'!D21="Germany",2,IF('Donor Sample'!D21="France",3,IF('Donor Sample'!D21="S. Europe",4,IF('DS Analysis'!D21="Asia",5,IF('Donor Sample'!D21="Australia",6,IF('Donor Sample'!D21="Canada",7,8)))))))</f>
        <v>1</v>
      </c>
    </row>
    <row r="38" spans="2:55" ht="13.5" thickBot="1">
      <c r="B38" s="334" t="s">
        <v>991</v>
      </c>
      <c r="C38" s="179"/>
      <c r="E38" s="299">
        <v>30</v>
      </c>
      <c r="F38" s="308">
        <f t="shared" ca="1" si="9"/>
        <v>3304.3496301204909</v>
      </c>
      <c r="G38" s="307">
        <f t="shared" ca="1" si="10"/>
        <v>310.90700035844145</v>
      </c>
      <c r="H38" s="306">
        <f t="shared" ca="1" si="11"/>
        <v>0.37323651387680479</v>
      </c>
      <c r="I38" s="305">
        <f t="shared" ca="1" si="16"/>
        <v>116.14677112888852</v>
      </c>
      <c r="J38" s="305">
        <f t="shared" ca="1" si="17"/>
        <v>55.079802766861256</v>
      </c>
      <c r="K38" s="292">
        <f t="shared" ca="1" si="18"/>
        <v>1.8103664234569765</v>
      </c>
      <c r="L38" s="1290">
        <f t="shared" ca="1" si="19"/>
        <v>26.95225129418689</v>
      </c>
      <c r="M38" s="299">
        <v>30</v>
      </c>
      <c r="N38" s="304">
        <f t="shared" si="20"/>
        <v>3603.0248849213262</v>
      </c>
      <c r="O38" s="303">
        <v>198.44440050575056</v>
      </c>
      <c r="P38" s="302">
        <v>0.39614854406597144</v>
      </c>
      <c r="Q38" s="301">
        <v>150.15246256231677</v>
      </c>
      <c r="R38" s="301">
        <v>51.197503082635357</v>
      </c>
      <c r="S38" s="300">
        <v>5.8561465508930954</v>
      </c>
      <c r="T38" s="891">
        <f t="shared" si="21"/>
        <v>64</v>
      </c>
      <c r="U38" s="1220">
        <v>0.60487926006317139</v>
      </c>
      <c r="W38" s="299">
        <v>30</v>
      </c>
      <c r="X38" s="298">
        <f>IF('Donor Sample'!N55="",,IF('Donor Sample'!N55="F",1,0))</f>
        <v>1</v>
      </c>
      <c r="Y38" s="298">
        <f>IF('Donor Sample'!O55="","",'Donor Sample'!O55)</f>
        <v>165</v>
      </c>
      <c r="Z38" s="298">
        <f>IF(AND('Donor Sample'!O55="",'Donor Sample'!P55="",'Donor Sample'!Q55=""),"",IF('Donor Sample'!P55="",ROUND(AA38/($C$32+($AI38-0.5)*$C$31),0),'Donor Sample'!P55))</f>
        <v>58</v>
      </c>
      <c r="AA38" s="297" t="str">
        <f>IF('Donor Sample'!Q55="","",'Donor Sample'!Q55)</f>
        <v/>
      </c>
      <c r="AB38" s="296">
        <f t="shared" si="12"/>
        <v>3700.6477125000001</v>
      </c>
      <c r="AC38" s="295">
        <f>IF('Donor Sample'!R55="","",'Donor Sample'!R55)</f>
        <v>200</v>
      </c>
      <c r="AD38" s="294">
        <f>IF('Donor Sample'!S55="","",'Donor Sample'!S55/100)</f>
        <v>0.37099998474121093</v>
      </c>
      <c r="AE38" s="293">
        <f t="shared" si="23"/>
        <v>127.60000000000001</v>
      </c>
      <c r="AF38" s="293">
        <f t="shared" si="24"/>
        <v>64.960629921259837</v>
      </c>
      <c r="AG38" s="292" t="str">
        <f>IF('Donor Sample'!T55="","",'Donor Sample'!T55)</f>
        <v/>
      </c>
      <c r="AH38" s="891">
        <f t="shared" si="25"/>
        <v>64</v>
      </c>
      <c r="AI38" s="1220">
        <v>0.67804563045501709</v>
      </c>
      <c r="AJ38" s="1216"/>
      <c r="AK38" s="1186" t="s">
        <v>992</v>
      </c>
      <c r="AL38" s="1187"/>
      <c r="AM38" s="1187"/>
      <c r="AN38" s="1187"/>
      <c r="AO38" s="1188"/>
      <c r="AP38" s="337">
        <f>IF('Donor Sample'!T20="USA",1,IF('Donor Sample'!T20="Germany",2,IF('Donor Sample'!T20="France",3,IF('Donor Sample'!T20="S. Europe",4,IF('DS Analysis'!Z17="Asia",5,IF('Donor Sample'!T20="Australia",6,IF('Donor Sample'!T20="Canada",7,8)))))))</f>
        <v>1</v>
      </c>
    </row>
    <row r="39" spans="2:55" ht="15.75" customHeight="1" thickBot="1">
      <c r="E39" s="299">
        <v>31</v>
      </c>
      <c r="F39" s="308">
        <f t="shared" ca="1" si="9"/>
        <v>3847.2526403965885</v>
      </c>
      <c r="G39" s="307">
        <f t="shared" ca="1" si="10"/>
        <v>186.88802213459527</v>
      </c>
      <c r="H39" s="306">
        <f t="shared" ca="1" si="11"/>
        <v>0.3659619450155891</v>
      </c>
      <c r="I39" s="305">
        <f t="shared" ca="1" si="16"/>
        <v>121.74265156133464</v>
      </c>
      <c r="J39" s="305">
        <f t="shared" ca="1" si="17"/>
        <v>68.042005376697787</v>
      </c>
      <c r="K39" s="292">
        <f t="shared" ca="1" si="18"/>
        <v>2.7835029317693274</v>
      </c>
      <c r="L39" s="1290">
        <f t="shared" ca="1" si="19"/>
        <v>18.51233521615756</v>
      </c>
      <c r="M39" s="299">
        <v>31</v>
      </c>
      <c r="N39" s="304">
        <f t="shared" si="20"/>
        <v>2967.1874691940757</v>
      </c>
      <c r="O39" s="303">
        <v>227.64268674198877</v>
      </c>
      <c r="P39" s="302">
        <v>0.3972494387772933</v>
      </c>
      <c r="Q39" s="301">
        <v>119.47069992479292</v>
      </c>
      <c r="R39" s="301">
        <v>55.399876741685411</v>
      </c>
      <c r="S39" s="300">
        <v>2.5557982121208438</v>
      </c>
      <c r="T39" s="891">
        <f t="shared" si="21"/>
        <v>64</v>
      </c>
      <c r="U39" s="1220">
        <v>0.58610016107559204</v>
      </c>
      <c r="W39" s="299">
        <v>31</v>
      </c>
      <c r="X39" s="298">
        <f>IF('Donor Sample'!N56="",,IF('Donor Sample'!N56="F",1,0))</f>
        <v>0</v>
      </c>
      <c r="Y39" s="298">
        <f>IF('Donor Sample'!O56="","",'Donor Sample'!O56)</f>
        <v>167</v>
      </c>
      <c r="Z39" s="298">
        <f>IF(AND('Donor Sample'!O56="",'Donor Sample'!P56="",'Donor Sample'!Q56=""),"",IF('Donor Sample'!P56="",ROUND(AA39/($C$32+($AI39-0.5)*$C$31),0),'Donor Sample'!P56))</f>
        <v>49</v>
      </c>
      <c r="AA39" s="297" t="str">
        <f>IF('Donor Sample'!Q56="","",'Donor Sample'!Q56)</f>
        <v/>
      </c>
      <c r="AB39" s="296">
        <f t="shared" si="12"/>
        <v>3889.9861746999995</v>
      </c>
      <c r="AC39" s="295">
        <f>IF('Donor Sample'!R56="","",'Donor Sample'!R56)</f>
        <v>200</v>
      </c>
      <c r="AD39" s="294">
        <f>IF('Donor Sample'!S56="","",'Donor Sample'!S56/100)</f>
        <v>0.42499999999999999</v>
      </c>
      <c r="AE39" s="407">
        <f t="shared" si="23"/>
        <v>107.80000000000001</v>
      </c>
      <c r="AF39" s="293">
        <f t="shared" si="24"/>
        <v>65.748031496062993</v>
      </c>
      <c r="AG39" s="292" t="str">
        <f>IF('Donor Sample'!T56="","",'Donor Sample'!T56)</f>
        <v/>
      </c>
      <c r="AH39" s="891">
        <f t="shared" si="25"/>
        <v>16</v>
      </c>
      <c r="AI39" s="1220">
        <v>0.95302683115005493</v>
      </c>
      <c r="AJ39" s="1216"/>
    </row>
    <row r="40" spans="2:55" ht="13.5" thickBot="1">
      <c r="E40" s="299">
        <v>32</v>
      </c>
      <c r="F40" s="308">
        <f t="shared" ca="1" si="9"/>
        <v>3174.4608487063369</v>
      </c>
      <c r="G40" s="307">
        <f t="shared" ca="1" si="10"/>
        <v>220.41608259655834</v>
      </c>
      <c r="H40" s="306">
        <f t="shared" ca="1" si="11"/>
        <v>0.38480693859170417</v>
      </c>
      <c r="I40" s="305">
        <f t="shared" ca="1" si="16"/>
        <v>132.95191188107847</v>
      </c>
      <c r="J40" s="305">
        <f t="shared" ca="1" si="17"/>
        <v>47.129633615124618</v>
      </c>
      <c r="K40" s="292">
        <f t="shared" ca="1" si="18"/>
        <v>1.2672328236881121</v>
      </c>
      <c r="L40" s="1290">
        <f t="shared" ca="1" si="19"/>
        <v>42.138504555884637</v>
      </c>
      <c r="M40" s="299">
        <v>32</v>
      </c>
      <c r="N40" s="304">
        <f t="shared" si="20"/>
        <v>3006.4684268868659</v>
      </c>
      <c r="O40" s="303">
        <v>196.84438874578521</v>
      </c>
      <c r="P40" s="302">
        <v>0.44535562622836539</v>
      </c>
      <c r="Q40" s="301">
        <v>106.61797959857071</v>
      </c>
      <c r="R40" s="301">
        <v>52.010468173743064</v>
      </c>
      <c r="S40" s="300">
        <v>1.8078320913737043</v>
      </c>
      <c r="T40" s="891">
        <f t="shared" si="21"/>
        <v>256</v>
      </c>
      <c r="U40" s="1220">
        <v>0.85697603225708008</v>
      </c>
      <c r="W40" s="299">
        <v>32</v>
      </c>
      <c r="X40" s="298">
        <f>IF('Donor Sample'!N57="",,IF('Donor Sample'!N57="F",1,0))</f>
        <v>0</v>
      </c>
      <c r="Y40" s="298">
        <f>IF('Donor Sample'!O57="","",'Donor Sample'!O57)</f>
        <v>173</v>
      </c>
      <c r="Z40" s="298">
        <f>IF(AND('Donor Sample'!O57="",'Donor Sample'!P57="",'Donor Sample'!Q57=""),"",IF('Donor Sample'!P57="",ROUND(AA40/($C$32+($AI40-0.5)*$C$31),0),'Donor Sample'!P57))</f>
        <v>61</v>
      </c>
      <c r="AA40" s="297" t="str">
        <f>IF('Donor Sample'!Q57="","",'Donor Sample'!Q57)</f>
        <v/>
      </c>
      <c r="AB40" s="296">
        <f t="shared" si="12"/>
        <v>4467.1113673</v>
      </c>
      <c r="AC40" s="295">
        <f>IF('Donor Sample'!R57="","",'Donor Sample'!R57)</f>
        <v>200</v>
      </c>
      <c r="AD40" s="294">
        <f>IF('Donor Sample'!S57="","",'Donor Sample'!S57/100)</f>
        <v>0.37599998474121094</v>
      </c>
      <c r="AE40" s="293">
        <f t="shared" si="23"/>
        <v>134.20000000000002</v>
      </c>
      <c r="AF40" s="293">
        <f t="shared" si="24"/>
        <v>68.110236220472444</v>
      </c>
      <c r="AG40" s="292" t="str">
        <f>IF('Donor Sample'!T57="","",'Donor Sample'!T57)</f>
        <v/>
      </c>
      <c r="AH40" s="891">
        <f t="shared" si="25"/>
        <v>64</v>
      </c>
      <c r="AI40" s="1220">
        <v>0.49691867828369141</v>
      </c>
      <c r="AJ40" s="1216"/>
      <c r="AK40" s="1614" t="s">
        <v>8</v>
      </c>
      <c r="AL40" s="1622"/>
      <c r="AM40" s="1622"/>
      <c r="AN40" s="1622"/>
      <c r="AO40" s="1622"/>
      <c r="AP40" s="1622"/>
      <c r="AQ40" s="1622"/>
      <c r="AR40" s="1622"/>
      <c r="AS40" s="1622"/>
      <c r="AT40" s="1622"/>
      <c r="AU40" s="1622"/>
      <c r="AV40" s="1622"/>
      <c r="AW40" s="1622"/>
      <c r="AX40" s="1622"/>
      <c r="AY40" s="1622"/>
      <c r="AZ40" s="1622"/>
      <c r="BA40" s="1622"/>
      <c r="BB40" s="1615"/>
    </row>
    <row r="41" spans="2:55" ht="15.75" customHeight="1" thickBot="1">
      <c r="B41" s="1614" t="s">
        <v>1552</v>
      </c>
      <c r="C41" s="1615"/>
      <c r="E41" s="299">
        <v>33</v>
      </c>
      <c r="F41" s="308">
        <f t="shared" ca="1" si="9"/>
        <v>4046.7084791392722</v>
      </c>
      <c r="G41" s="307">
        <f t="shared" ca="1" si="10"/>
        <v>250.96079584202971</v>
      </c>
      <c r="H41" s="306">
        <f t="shared" ca="1" si="11"/>
        <v>0.42977568653550796</v>
      </c>
      <c r="I41" s="305">
        <f t="shared" ca="1" si="16"/>
        <v>135.15413715807173</v>
      </c>
      <c r="J41" s="305">
        <f t="shared" ca="1" si="17"/>
        <v>62.52390234679288</v>
      </c>
      <c r="K41" s="292">
        <f t="shared" ca="1" si="18"/>
        <v>3.0124622779128929</v>
      </c>
      <c r="L41" s="1290">
        <f t="shared" ca="1" si="19"/>
        <v>24.339399055110587</v>
      </c>
      <c r="M41" s="299">
        <v>33</v>
      </c>
      <c r="N41" s="304">
        <f t="shared" si="20"/>
        <v>3684.3706579265836</v>
      </c>
      <c r="O41" s="303">
        <v>219.48585560724439</v>
      </c>
      <c r="P41" s="302">
        <v>0.44749548226128766</v>
      </c>
      <c r="Q41" s="301">
        <v>137.87436462258756</v>
      </c>
      <c r="R41" s="301">
        <v>56.204369216615298</v>
      </c>
      <c r="S41" s="300">
        <v>5.6924091158173624</v>
      </c>
      <c r="T41" s="891">
        <f t="shared" si="21"/>
        <v>2</v>
      </c>
      <c r="U41" s="1220">
        <v>8.8232696056365967E-2</v>
      </c>
      <c r="W41" s="299">
        <v>33</v>
      </c>
      <c r="X41" s="298">
        <f>IF('Donor Sample'!N58="",,IF('Donor Sample'!N58="F",1,0))</f>
        <v>0</v>
      </c>
      <c r="Y41" s="298">
        <f>IF('Donor Sample'!O58="","",'Donor Sample'!O58)</f>
        <v>162</v>
      </c>
      <c r="Z41" s="298">
        <f>IF(AND('Donor Sample'!O58="",'Donor Sample'!P58="",'Donor Sample'!Q58=""),"",IF('Donor Sample'!P58="",ROUND(AA41/($C$32+($AI41-0.5)*$C$31),0),'Donor Sample'!P58))</f>
        <v>57</v>
      </c>
      <c r="AA41" s="297" t="str">
        <f>IF('Donor Sample'!Q58="","",'Donor Sample'!Q58)</f>
        <v/>
      </c>
      <c r="AB41" s="296">
        <f t="shared" si="12"/>
        <v>3998.5446231999995</v>
      </c>
      <c r="AC41" s="295">
        <f>IF('Donor Sample'!R58="","",'Donor Sample'!R58)</f>
        <v>200</v>
      </c>
      <c r="AD41" s="294">
        <f>IF('Donor Sample'!S58="","",'Donor Sample'!S58/100)</f>
        <v>0.40200000762939453</v>
      </c>
      <c r="AE41" s="293">
        <f t="shared" si="23"/>
        <v>125.4</v>
      </c>
      <c r="AF41" s="293">
        <f t="shared" si="24"/>
        <v>63.779527559055119</v>
      </c>
      <c r="AG41" s="292" t="str">
        <f>IF('Donor Sample'!T58="","",'Donor Sample'!T58)</f>
        <v/>
      </c>
      <c r="AH41" s="891">
        <f t="shared" si="25"/>
        <v>64</v>
      </c>
      <c r="AI41" s="1220">
        <v>0.44623678922653198</v>
      </c>
      <c r="AJ41" s="1216"/>
    </row>
    <row r="42" spans="2:55" ht="13.5" thickBot="1">
      <c r="E42" s="299">
        <v>34</v>
      </c>
      <c r="F42" s="308">
        <f t="shared" ca="1" si="9"/>
        <v>2766.5767558502866</v>
      </c>
      <c r="G42" s="307">
        <f t="shared" ca="1" si="10"/>
        <v>276.12919614887812</v>
      </c>
      <c r="H42" s="306">
        <f t="shared" ca="1" si="11"/>
        <v>0.41581368848480799</v>
      </c>
      <c r="I42" s="305">
        <f t="shared" ca="1" si="16"/>
        <v>96.335504979154962</v>
      </c>
      <c r="J42" s="305">
        <f t="shared" ca="1" si="17"/>
        <v>58.001115018618385</v>
      </c>
      <c r="K42" s="292">
        <f t="shared" ca="1" si="18"/>
        <v>3.085539131980906</v>
      </c>
      <c r="L42" s="1290">
        <f t="shared" ca="1" si="19"/>
        <v>20.159806173421767</v>
      </c>
      <c r="M42" s="299">
        <v>34</v>
      </c>
      <c r="N42" s="304">
        <f t="shared" si="20"/>
        <v>3640.0156001913615</v>
      </c>
      <c r="O42" s="303">
        <v>272.42904069301693</v>
      </c>
      <c r="P42" s="302">
        <v>0.44662029943149434</v>
      </c>
      <c r="Q42" s="301">
        <v>140.1270875214301</v>
      </c>
      <c r="R42" s="301">
        <v>61.467349582079109</v>
      </c>
      <c r="S42" s="300">
        <v>3.6379176133597513</v>
      </c>
      <c r="T42" s="891">
        <f t="shared" si="21"/>
        <v>2</v>
      </c>
      <c r="U42" s="1220">
        <v>0.2003098726272583</v>
      </c>
      <c r="W42" s="299">
        <v>34</v>
      </c>
      <c r="X42" s="298">
        <f>IF('Donor Sample'!N59="",,IF('Donor Sample'!N59="F",1,0))</f>
        <v>0</v>
      </c>
      <c r="Y42" s="298">
        <f>IF('Donor Sample'!O59="","",'Donor Sample'!O59)</f>
        <v>161</v>
      </c>
      <c r="Z42" s="298">
        <f>IF(AND('Donor Sample'!O59="",'Donor Sample'!P59="",'Donor Sample'!Q59=""),"",IF('Donor Sample'!P59="",ROUND(AA42/($C$32+($AI42-0.5)*$C$31),0),'Donor Sample'!P59))</f>
        <v>56</v>
      </c>
      <c r="AA42" s="297" t="str">
        <f>IF('Donor Sample'!Q59="","",'Donor Sample'!Q59)</f>
        <v/>
      </c>
      <c r="AB42" s="296">
        <f t="shared" si="12"/>
        <v>3937.6487988999997</v>
      </c>
      <c r="AC42" s="295">
        <f>IF('Donor Sample'!R59="","",'Donor Sample'!R59)</f>
        <v>200</v>
      </c>
      <c r="AD42" s="294">
        <f>IF('Donor Sample'!S59="","",'Donor Sample'!S59/100)</f>
        <v>0.38200000762939451</v>
      </c>
      <c r="AE42" s="407">
        <f t="shared" si="23"/>
        <v>123.20000000000002</v>
      </c>
      <c r="AF42" s="293">
        <f t="shared" si="24"/>
        <v>63.385826771653541</v>
      </c>
      <c r="AG42" s="292" t="str">
        <f>IF('Donor Sample'!T59="","",'Donor Sample'!T59)</f>
        <v/>
      </c>
      <c r="AH42" s="891">
        <f t="shared" si="25"/>
        <v>32</v>
      </c>
      <c r="AI42" s="1220">
        <v>0.79280149936676025</v>
      </c>
      <c r="AJ42" s="1216"/>
      <c r="AK42" s="913" t="s">
        <v>943</v>
      </c>
      <c r="AL42" s="1494" t="s">
        <v>8</v>
      </c>
      <c r="AM42" s="1495"/>
      <c r="AN42" s="1495"/>
      <c r="AO42" s="1496"/>
      <c r="AP42" s="1494" t="s">
        <v>990</v>
      </c>
      <c r="AQ42" s="1495"/>
      <c r="AR42" s="1495"/>
      <c r="AS42" s="1495"/>
      <c r="AT42" s="1495"/>
      <c r="AU42" s="1495"/>
      <c r="AV42" s="1495"/>
      <c r="AW42" s="1495"/>
      <c r="AX42" s="1496"/>
      <c r="AY42" s="1494" t="s">
        <v>1482</v>
      </c>
      <c r="AZ42" s="1495"/>
      <c r="BA42" s="1495"/>
      <c r="BB42" s="1496"/>
    </row>
    <row r="43" spans="2:55" ht="13.5" thickBot="1">
      <c r="B43" s="1623" t="s">
        <v>1021</v>
      </c>
      <c r="C43" s="1624"/>
      <c r="E43" s="299">
        <v>35</v>
      </c>
      <c r="F43" s="308">
        <f t="shared" ca="1" si="9"/>
        <v>3528.66368920682</v>
      </c>
      <c r="G43" s="307">
        <f t="shared" ca="1" si="10"/>
        <v>258.31112982019613</v>
      </c>
      <c r="H43" s="306">
        <f t="shared" ca="1" si="11"/>
        <v>0.40773927249990755</v>
      </c>
      <c r="I43" s="305">
        <f t="shared" ca="1" si="16"/>
        <v>121.88138551667538</v>
      </c>
      <c r="J43" s="305">
        <f t="shared" ca="1" si="17"/>
        <v>57.537839262883686</v>
      </c>
      <c r="K43" s="292">
        <f t="shared" ca="1" si="18"/>
        <v>4.5359782102543642</v>
      </c>
      <c r="L43" s="1290">
        <f t="shared" ca="1" si="19"/>
        <v>25.918087060370585</v>
      </c>
      <c r="M43" s="299">
        <v>35</v>
      </c>
      <c r="N43" s="304">
        <f t="shared" si="20"/>
        <v>4159.318072661832</v>
      </c>
      <c r="O43" s="303">
        <v>204.66503811720952</v>
      </c>
      <c r="P43" s="302">
        <v>0.42537945322367976</v>
      </c>
      <c r="Q43" s="301">
        <v>164.62260311285851</v>
      </c>
      <c r="R43" s="301">
        <v>57.648705769214203</v>
      </c>
      <c r="S43" s="300">
        <v>1.6610980691904282</v>
      </c>
      <c r="T43" s="891">
        <f t="shared" si="21"/>
        <v>64</v>
      </c>
      <c r="U43" s="1220">
        <v>0.6340368390083313</v>
      </c>
      <c r="W43" s="299">
        <v>35</v>
      </c>
      <c r="X43" s="298">
        <f>IF('Donor Sample'!N60="",,IF('Donor Sample'!N60="F",1,0))</f>
        <v>0</v>
      </c>
      <c r="Y43" s="298">
        <f>IF('Donor Sample'!O60="","",'Donor Sample'!O60)</f>
        <v>162</v>
      </c>
      <c r="Z43" s="298">
        <f>IF(AND('Donor Sample'!O60="",'Donor Sample'!P60="",'Donor Sample'!Q60=""),"",IF('Donor Sample'!P60="",ROUND(AA43/($C$32+($AI43-0.5)*$C$31),0),'Donor Sample'!P60))</f>
        <v>59</v>
      </c>
      <c r="AA43" s="297" t="str">
        <f>IF('Donor Sample'!Q60="","",'Donor Sample'!Q60)</f>
        <v/>
      </c>
      <c r="AB43" s="296">
        <f t="shared" si="12"/>
        <v>4062.9186231999997</v>
      </c>
      <c r="AC43" s="295">
        <f>IF('Donor Sample'!R60="","",'Donor Sample'!R60)</f>
        <v>200</v>
      </c>
      <c r="AD43" s="294">
        <f>IF('Donor Sample'!S60="","",'Donor Sample'!S60/100)</f>
        <v>0.42299999237060548</v>
      </c>
      <c r="AE43" s="293">
        <f t="shared" si="23"/>
        <v>129.80000000000001</v>
      </c>
      <c r="AF43" s="293">
        <f t="shared" si="24"/>
        <v>63.779527559055119</v>
      </c>
      <c r="AG43" s="292" t="str">
        <f>IF('Donor Sample'!T60="","",'Donor Sample'!T60)</f>
        <v/>
      </c>
      <c r="AH43" s="891">
        <f t="shared" si="25"/>
        <v>2</v>
      </c>
      <c r="AI43" s="1220">
        <v>0.35705024003982544</v>
      </c>
      <c r="AJ43" s="1216"/>
      <c r="AK43" s="881" t="s">
        <v>947</v>
      </c>
      <c r="AL43" s="333" t="s">
        <v>19</v>
      </c>
      <c r="AM43" s="332" t="s">
        <v>988</v>
      </c>
      <c r="AN43" s="332" t="s">
        <v>949</v>
      </c>
      <c r="AO43" s="847" t="s">
        <v>950</v>
      </c>
      <c r="AP43" s="333" t="s">
        <v>29</v>
      </c>
      <c r="AQ43" s="332" t="s">
        <v>988</v>
      </c>
      <c r="AR43" s="331" t="s">
        <v>949</v>
      </c>
      <c r="AS43" s="330" t="s">
        <v>29</v>
      </c>
      <c r="AT43" s="329" t="s">
        <v>989</v>
      </c>
      <c r="AU43" s="332" t="s">
        <v>19</v>
      </c>
      <c r="AV43" s="848" t="s">
        <v>1044</v>
      </c>
      <c r="AW43" s="328" t="s">
        <v>988</v>
      </c>
      <c r="AX43" s="328" t="s">
        <v>949</v>
      </c>
      <c r="AY43" s="1163" t="s">
        <v>989</v>
      </c>
      <c r="AZ43" s="1620" t="s">
        <v>1484</v>
      </c>
      <c r="BA43" s="1621"/>
      <c r="BB43" s="328" t="s">
        <v>1483</v>
      </c>
      <c r="BC43" s="328" t="s">
        <v>1735</v>
      </c>
    </row>
    <row r="44" spans="2:55">
      <c r="B44" s="369" t="s">
        <v>66</v>
      </c>
      <c r="C44" s="405">
        <v>3300</v>
      </c>
      <c r="E44" s="299">
        <v>36</v>
      </c>
      <c r="F44" s="308">
        <f t="shared" ca="1" si="9"/>
        <v>3635.5649946199783</v>
      </c>
      <c r="G44" s="307">
        <f t="shared" ca="1" si="10"/>
        <v>196.68274718705879</v>
      </c>
      <c r="H44" s="306">
        <f t="shared" ca="1" si="11"/>
        <v>0.3804216680430757</v>
      </c>
      <c r="I44" s="305">
        <f t="shared" ca="1" si="16"/>
        <v>119.95169545047921</v>
      </c>
      <c r="J44" s="305">
        <f t="shared" ca="1" si="17"/>
        <v>59.716483581368657</v>
      </c>
      <c r="K44" s="292">
        <f t="shared" ca="1" si="18"/>
        <v>5.290851485052527</v>
      </c>
      <c r="L44" s="1290">
        <f t="shared" ca="1" si="19"/>
        <v>23.680485246394891</v>
      </c>
      <c r="M44" s="299">
        <v>36</v>
      </c>
      <c r="N44" s="304">
        <f t="shared" si="20"/>
        <v>3862.6606879435221</v>
      </c>
      <c r="O44" s="303">
        <v>292.69817678151924</v>
      </c>
      <c r="P44" s="302">
        <v>0.3832639677306337</v>
      </c>
      <c r="Q44" s="301">
        <v>126.26844125540158</v>
      </c>
      <c r="R44" s="301">
        <v>61.743838629226268</v>
      </c>
      <c r="S44" s="300">
        <v>6.1167321691781495</v>
      </c>
      <c r="T44" s="891">
        <f t="shared" si="21"/>
        <v>64</v>
      </c>
      <c r="U44" s="1220">
        <v>0.4604804515838623</v>
      </c>
      <c r="W44" s="299">
        <v>36</v>
      </c>
      <c r="X44" s="298">
        <f>IF('Donor Sample'!N61="",,IF('Donor Sample'!N61="F",1,0))</f>
        <v>0</v>
      </c>
      <c r="Y44" s="298">
        <f>IF('Donor Sample'!O61="","",'Donor Sample'!O61)</f>
        <v>170</v>
      </c>
      <c r="Z44" s="298">
        <f>IF(AND('Donor Sample'!O61="",'Donor Sample'!P61="",'Donor Sample'!Q61=""),"",IF('Donor Sample'!P61="",ROUND(AA44/($C$32+($AI44-0.5)*$C$31),0),'Donor Sample'!P61))</f>
        <v>91</v>
      </c>
      <c r="AA44" s="297" t="str">
        <f>IF('Donor Sample'!Q61="","",'Donor Sample'!Q61)</f>
        <v/>
      </c>
      <c r="AB44" s="296">
        <f t="shared" si="12"/>
        <v>5335.5967000000001</v>
      </c>
      <c r="AC44" s="295">
        <f>IF('Donor Sample'!R61="","",'Donor Sample'!R61)</f>
        <v>200</v>
      </c>
      <c r="AD44" s="294">
        <f>IF('Donor Sample'!S61="","",'Donor Sample'!S61/100)</f>
        <v>0.41099998474121091</v>
      </c>
      <c r="AE44" s="293">
        <f t="shared" si="23"/>
        <v>200.20000000000002</v>
      </c>
      <c r="AF44" s="293">
        <f t="shared" si="24"/>
        <v>66.929133858267718</v>
      </c>
      <c r="AG44" s="292" t="str">
        <f>IF('Donor Sample'!T61="","",'Donor Sample'!T61)</f>
        <v/>
      </c>
      <c r="AH44" s="891">
        <f t="shared" si="25"/>
        <v>2</v>
      </c>
      <c r="AI44" s="1220">
        <v>0.28997540473937988</v>
      </c>
      <c r="AJ44" s="1216"/>
      <c r="AK44" s="327">
        <v>1</v>
      </c>
      <c r="AL44" s="326">
        <f>IF(AP44="","0",IF(AP44=1,$AU$44,0)+IF(AP44=2,$AU$45,0)+IF(AP44=3,$AU$46,0)+IF(AP44=4,$AU$47,0)+IF(AP44=5,$AU$48,0)+IF(AP44=6,$AU$49,0)+IF(AP44=7,$AU$50,0)+IF(AP44=8,$AU$51,0)+IF(AP44=9,$AU$52,0)+IF(AP44=10,$AU$53,0))</f>
        <v>0</v>
      </c>
      <c r="AM44" s="325">
        <f t="shared" ref="AM44:AM63" si="31">IF(AQ44="","0",IF(AQ44=1,$AW$44,0)+IF(AQ44=2,$AW$45,0)+IF(AQ44=3,$AW$46,0)+IF(AQ44=4,$AW$47,0)+IF(AQ44=5,$AW$48,0)+IF(AQ44=6,$AW$49,0))</f>
        <v>0</v>
      </c>
      <c r="AN44" s="439">
        <f t="shared" ref="AN44:AN63" si="32">IF(AR44="","0",IF(AR44=1,$AX$44,0)+IF(AR44=2,$AX$45,0)+IF(AR44=3,$AX$46,0))</f>
        <v>0</v>
      </c>
      <c r="AO44" s="440">
        <f>IF(AL44="","0",IF('Configs &amp; Procedures'!G44="",100000*AL44/$AU$57,'Configs &amp; Procedures'!G44))</f>
        <v>120</v>
      </c>
      <c r="AP44" s="325">
        <f>IF('Configs &amp; Procedures'!D44="",0,'Configs &amp; Procedures'!D44)</f>
        <v>0</v>
      </c>
      <c r="AQ44" s="439">
        <f>IF('Configs &amp; Procedures'!E44="",0,IF('Configs &amp; Procedures'!E44="A",7,IF('Configs &amp; Procedures'!E44="M",8,'Configs &amp; Procedures'!E44)))</f>
        <v>7</v>
      </c>
      <c r="AR44" s="440">
        <f>IF('Configs &amp; Procedures'!F44="",0,'Configs &amp; Procedures'!F44)</f>
        <v>0</v>
      </c>
      <c r="AS44" s="324">
        <f>IF('Configs &amp; Procedures'!L43="","",'Configs &amp; Procedures'!L43)</f>
        <v>2.5</v>
      </c>
      <c r="AT44" s="882">
        <f>IF('Configs &amp; Procedures'!M43="","",'Configs &amp; Procedures'!M43/100)</f>
        <v>0.95</v>
      </c>
      <c r="AU44" s="1129">
        <f>IF(AS44="",0,IF($AU$55=1,AS44,ROUND(AS44/(1-NORMSINV(AT44+0.0001)*$AU$56),1)))</f>
        <v>2.5</v>
      </c>
      <c r="AV44" s="440">
        <f>IF('Configs &amp; Procedures'!K43&gt;0,'Configs &amp; Procedures'!K43,ROUND(AU44*100000000000/'Configs &amp; Procedures'!$L$21/1000000,0))</f>
        <v>161</v>
      </c>
      <c r="AW44" s="323">
        <f>IF('Configs &amp; Procedures'!L53="","0",'Configs &amp; Procedures'!L53)</f>
        <v>250</v>
      </c>
      <c r="AX44" s="1148">
        <f>IF('Configs &amp; Procedures'!L59="","0",'Configs &amp; Procedures'!L59)</f>
        <v>180</v>
      </c>
      <c r="AY44" s="1154">
        <f>VLOOKUP(AP44,$AZ$44:$BA$54,2)</f>
        <v>0</v>
      </c>
      <c r="AZ44" s="1151">
        <v>0</v>
      </c>
      <c r="BA44" s="440">
        <v>0</v>
      </c>
      <c r="BB44" s="1164">
        <f>TRUNC(AL44/'Configs &amp; Procedures'!$K$65)</f>
        <v>0</v>
      </c>
      <c r="BC44" s="1164">
        <f>AP44+AQ44+AR44</f>
        <v>7</v>
      </c>
    </row>
    <row r="45" spans="2:55">
      <c r="B45" s="388" t="s">
        <v>67</v>
      </c>
      <c r="C45" s="400">
        <v>510</v>
      </c>
      <c r="E45" s="299">
        <v>37</v>
      </c>
      <c r="F45" s="308">
        <f t="shared" ca="1" si="9"/>
        <v>3247.7925875194633</v>
      </c>
      <c r="G45" s="307">
        <f t="shared" ca="1" si="10"/>
        <v>234.11591611584871</v>
      </c>
      <c r="H45" s="306">
        <f t="shared" ca="1" si="11"/>
        <v>0.39723064233395505</v>
      </c>
      <c r="I45" s="305">
        <f t="shared" ca="1" si="16"/>
        <v>129.62791849908243</v>
      </c>
      <c r="J45" s="305">
        <f t="shared" ca="1" si="17"/>
        <v>49.993899842016148</v>
      </c>
      <c r="K45" s="292">
        <f t="shared" ca="1" si="18"/>
        <v>2.0592966741885945</v>
      </c>
      <c r="L45" s="1290">
        <f t="shared" ca="1" si="19"/>
        <v>36.512130496441117</v>
      </c>
      <c r="M45" s="299">
        <v>37</v>
      </c>
      <c r="N45" s="304">
        <f t="shared" si="20"/>
        <v>3567.9534439825356</v>
      </c>
      <c r="O45" s="303">
        <v>285.30285364593806</v>
      </c>
      <c r="P45" s="302">
        <v>0.38012669842331176</v>
      </c>
      <c r="Q45" s="301">
        <v>130.90501966847972</v>
      </c>
      <c r="R45" s="301">
        <v>55.945789358639814</v>
      </c>
      <c r="S45" s="300">
        <v>1.6040910177884915</v>
      </c>
      <c r="T45" s="891">
        <f t="shared" si="21"/>
        <v>2</v>
      </c>
      <c r="U45" s="1220">
        <v>0.28577607870101929</v>
      </c>
      <c r="W45" s="299">
        <v>37</v>
      </c>
      <c r="X45" s="298">
        <f>IF('Donor Sample'!N62="",,IF('Donor Sample'!N62="F",1,0))</f>
        <v>0</v>
      </c>
      <c r="Y45" s="298">
        <f>IF('Donor Sample'!O62="","",'Donor Sample'!O62)</f>
        <v>173</v>
      </c>
      <c r="Z45" s="298">
        <f>IF(AND('Donor Sample'!O62="",'Donor Sample'!P62="",'Donor Sample'!Q62=""),"",IF('Donor Sample'!P62="",ROUND(AA45/($C$32+($AI45-0.5)*$C$31),0),'Donor Sample'!P62))</f>
        <v>61</v>
      </c>
      <c r="AA45" s="297" t="str">
        <f>IF('Donor Sample'!Q62="","",'Donor Sample'!Q62)</f>
        <v/>
      </c>
      <c r="AB45" s="296">
        <f t="shared" si="12"/>
        <v>4467.1113673</v>
      </c>
      <c r="AC45" s="295">
        <f>IF('Donor Sample'!R62="","",'Donor Sample'!R62)</f>
        <v>200</v>
      </c>
      <c r="AD45" s="294">
        <f>IF('Donor Sample'!S62="","",'Donor Sample'!S62/100)</f>
        <v>0.41799999237060548</v>
      </c>
      <c r="AE45" s="407">
        <f t="shared" si="23"/>
        <v>134.20000000000002</v>
      </c>
      <c r="AF45" s="293">
        <f t="shared" si="24"/>
        <v>68.110236220472444</v>
      </c>
      <c r="AG45" s="292" t="str">
        <f>IF('Donor Sample'!T62="","",'Donor Sample'!T62)</f>
        <v/>
      </c>
      <c r="AH45" s="891">
        <f t="shared" si="25"/>
        <v>2</v>
      </c>
      <c r="AI45" s="1220">
        <v>0.30168575048446655</v>
      </c>
      <c r="AJ45" s="1216"/>
      <c r="AK45" s="317">
        <v>2</v>
      </c>
      <c r="AL45" s="313">
        <f t="shared" ref="AL45:AL63" si="33">IF(AP45="","0",IF(AP45=1,$AU$44,0)+IF(AP45=2,$AU$45,0)+IF(AP45=3,$AU$46,0)+IF(AP45=4,$AU$47,0)+IF(AP45=5,$AU$48,0)+IF(AP45=6,$AU$49,0)+IF(AP45=7,$AU$50,0)+IF(AP45=8,$AU$51,0)+IF(AP45=9,$AU$52,0)+IF(AP45=10,$AU$53,0))</f>
        <v>0</v>
      </c>
      <c r="AM45" s="441">
        <f t="shared" si="31"/>
        <v>0</v>
      </c>
      <c r="AN45" s="312">
        <f t="shared" si="32"/>
        <v>0</v>
      </c>
      <c r="AO45" s="442">
        <f>IF(AL45="","0",IF('Configs &amp; Procedures'!G45="",100000*AL45/$AU$57,'Configs &amp; Procedures'!G45))</f>
        <v>0</v>
      </c>
      <c r="AP45" s="441">
        <f>IF('Configs &amp; Procedures'!D45="",0,'Configs &amp; Procedures'!D45)</f>
        <v>0</v>
      </c>
      <c r="AQ45" s="312">
        <f>IF('Configs &amp; Procedures'!E45="",0,IF('Configs &amp; Procedures'!E45="A",7,IF('Configs &amp; Procedures'!E45="M",8,'Configs &amp; Procedures'!E45)))</f>
        <v>0</v>
      </c>
      <c r="AR45" s="442">
        <f>IF('Configs &amp; Procedures'!F45="",0,'Configs &amp; Procedures'!F45)</f>
        <v>0</v>
      </c>
      <c r="AS45" s="320">
        <f>IF('Configs &amp; Procedures'!L44="","",'Configs &amp; Procedures'!L44)</f>
        <v>3.2</v>
      </c>
      <c r="AT45" s="883">
        <f>IF('Configs &amp; Procedures'!M44="","",'Configs &amp; Procedures'!M44/100)</f>
        <v>0.5</v>
      </c>
      <c r="AU45" s="1130">
        <f t="shared" ref="AU45:AU53" si="34">IF(AS45="",0,IF($AU$55=1,AS45,ROUND(AS45/(1-NORMSINV(AT45+0.0001)*$AU$56),1)))</f>
        <v>3.2</v>
      </c>
      <c r="AV45" s="442">
        <f>IF('Configs &amp; Procedures'!K44&gt;0,'Configs &amp; Procedures'!K44,ROUND(AU45*100000000000/'Configs &amp; Procedures'!$L$21/1000000,0))</f>
        <v>206</v>
      </c>
      <c r="AW45" s="322">
        <f>IF('Configs &amp; Procedures'!L54="","0",'Configs &amp; Procedures'!L54)</f>
        <v>300</v>
      </c>
      <c r="AX45" s="1149">
        <f>IF('Configs &amp; Procedures'!L60="","0",'Configs &amp; Procedures'!L60)</f>
        <v>360</v>
      </c>
      <c r="AY45" s="1155">
        <f t="shared" ref="AY45:AY63" si="35">VLOOKUP(AP45,$AZ$44:$BA$54,2)</f>
        <v>0</v>
      </c>
      <c r="AZ45" s="1152">
        <f t="shared" ref="AZ45:AZ54" si="36">AK44</f>
        <v>1</v>
      </c>
      <c r="BA45" s="1146">
        <f t="shared" ref="BA45:BA54" si="37">AT44</f>
        <v>0.95</v>
      </c>
      <c r="BB45" s="1165">
        <f>TRUNC(AL45/'Configs &amp; Procedures'!$K$65)</f>
        <v>0</v>
      </c>
      <c r="BC45" s="1165">
        <f t="shared" ref="BC45:BC63" si="38">AP45+AQ45+AR45</f>
        <v>0</v>
      </c>
    </row>
    <row r="46" spans="2:55" ht="13.5" thickBot="1">
      <c r="B46" s="388" t="s">
        <v>68</v>
      </c>
      <c r="C46" s="400">
        <v>2500</v>
      </c>
      <c r="E46" s="299">
        <v>38</v>
      </c>
      <c r="F46" s="308">
        <f t="shared" ca="1" si="9"/>
        <v>3244.669731865994</v>
      </c>
      <c r="G46" s="307">
        <f t="shared" ca="1" si="10"/>
        <v>243.90292719734336</v>
      </c>
      <c r="H46" s="306">
        <f t="shared" ca="1" si="11"/>
        <v>0.44031918728414637</v>
      </c>
      <c r="I46" s="305">
        <f t="shared" ca="1" si="16"/>
        <v>123.06235688024003</v>
      </c>
      <c r="J46" s="305">
        <f t="shared" ca="1" si="17"/>
        <v>59.283333019714128</v>
      </c>
      <c r="K46" s="292">
        <f t="shared" ca="1" si="18"/>
        <v>2.4670981242303531</v>
      </c>
      <c r="L46" s="1290">
        <f t="shared" ca="1" si="19"/>
        <v>24.650893337396191</v>
      </c>
      <c r="M46" s="299">
        <v>38</v>
      </c>
      <c r="N46" s="304">
        <f t="shared" si="20"/>
        <v>3287.8896804172082</v>
      </c>
      <c r="O46" s="303">
        <v>259.12392594121343</v>
      </c>
      <c r="P46" s="302">
        <v>0.4323027702699262</v>
      </c>
      <c r="Q46" s="301">
        <v>137.00342845973151</v>
      </c>
      <c r="R46" s="301">
        <v>56.453886311273031</v>
      </c>
      <c r="S46" s="300">
        <v>1.6505811553178742</v>
      </c>
      <c r="T46" s="891">
        <f t="shared" si="21"/>
        <v>32</v>
      </c>
      <c r="U46" s="1220">
        <v>0.83350980281829834</v>
      </c>
      <c r="W46" s="299">
        <v>38</v>
      </c>
      <c r="X46" s="298">
        <f>IF('Donor Sample'!N63="",,IF('Donor Sample'!N63="F",1,0))</f>
        <v>1</v>
      </c>
      <c r="Y46" s="298">
        <f>IF('Donor Sample'!O63="","",'Donor Sample'!O63)</f>
        <v>161</v>
      </c>
      <c r="Z46" s="298">
        <f>IF(AND('Donor Sample'!O63="",'Donor Sample'!P63="",'Donor Sample'!Q63=""),"",IF('Donor Sample'!P63="",ROUND(AA46/($C$32+($AI46-0.5)*$C$31),0),'Donor Sample'!P63))</f>
        <v>62</v>
      </c>
      <c r="AA46" s="297" t="str">
        <f>IF('Donor Sample'!Q63="","",'Donor Sample'!Q63)</f>
        <v/>
      </c>
      <c r="AB46" s="296">
        <f t="shared" si="12"/>
        <v>3719.3833641000001</v>
      </c>
      <c r="AC46" s="295">
        <f>IF('Donor Sample'!R63="","",'Donor Sample'!R63)</f>
        <v>200</v>
      </c>
      <c r="AD46" s="294">
        <f>IF('Donor Sample'!S63="","",'Donor Sample'!S63/100)</f>
        <v>0.37299999237060549</v>
      </c>
      <c r="AE46" s="293">
        <f t="shared" si="23"/>
        <v>136.4</v>
      </c>
      <c r="AF46" s="293">
        <f t="shared" si="24"/>
        <v>63.385826771653541</v>
      </c>
      <c r="AG46" s="292" t="str">
        <f>IF('Donor Sample'!T63="","",'Donor Sample'!T63)</f>
        <v/>
      </c>
      <c r="AH46" s="891">
        <f t="shared" si="25"/>
        <v>32</v>
      </c>
      <c r="AI46" s="1220">
        <v>0.77259719371795654</v>
      </c>
      <c r="AJ46" s="1216"/>
      <c r="AK46" s="317">
        <v>3</v>
      </c>
      <c r="AL46" s="313">
        <f t="shared" si="33"/>
        <v>0</v>
      </c>
      <c r="AM46" s="441">
        <f t="shared" si="31"/>
        <v>0</v>
      </c>
      <c r="AN46" s="312">
        <f t="shared" si="32"/>
        <v>0</v>
      </c>
      <c r="AO46" s="442">
        <f>IF(AL46="","0",IF('Configs &amp; Procedures'!G46="",100000*AL46/$AU$57,'Configs &amp; Procedures'!G46))</f>
        <v>0</v>
      </c>
      <c r="AP46" s="441">
        <f>IF('Configs &amp; Procedures'!D46="",0,'Configs &amp; Procedures'!D46)</f>
        <v>0</v>
      </c>
      <c r="AQ46" s="312">
        <f>IF('Configs &amp; Procedures'!E46="",0,IF('Configs &amp; Procedures'!E46="A",7,IF('Configs &amp; Procedures'!E46="M",8,'Configs &amp; Procedures'!E46)))</f>
        <v>0</v>
      </c>
      <c r="AR46" s="442">
        <f>IF('Configs &amp; Procedures'!F46="",0,'Configs &amp; Procedures'!F46)</f>
        <v>0</v>
      </c>
      <c r="AS46" s="320">
        <f>IF('Configs &amp; Procedures'!L45="","",'Configs &amp; Procedures'!L45)</f>
        <v>4</v>
      </c>
      <c r="AT46" s="883">
        <f>IF('Configs &amp; Procedures'!M45="","",'Configs &amp; Procedures'!M45/100)</f>
        <v>0.8</v>
      </c>
      <c r="AU46" s="1130">
        <f t="shared" si="34"/>
        <v>4</v>
      </c>
      <c r="AV46" s="442">
        <f>IF('Configs &amp; Procedures'!K45&gt;0,'Configs &amp; Procedures'!K45,ROUND(AU46*100000000000/'Configs &amp; Procedures'!$L$21/1000000,0))</f>
        <v>258</v>
      </c>
      <c r="AW46" s="322">
        <f>IF('Configs &amp; Procedures'!L55="","0",'Configs &amp; Procedures'!L55)</f>
        <v>350</v>
      </c>
      <c r="AX46" s="1150" t="str">
        <f>IF('Configs &amp; Procedures'!L61="","0",'Configs &amp; Procedures'!L61)</f>
        <v>0</v>
      </c>
      <c r="AY46" s="1155">
        <f t="shared" si="35"/>
        <v>0</v>
      </c>
      <c r="AZ46" s="1152">
        <f t="shared" si="36"/>
        <v>2</v>
      </c>
      <c r="BA46" s="1146">
        <f t="shared" si="37"/>
        <v>0.5</v>
      </c>
      <c r="BB46" s="1165">
        <f>TRUNC(AL46/'Configs &amp; Procedures'!$K$65)</f>
        <v>0</v>
      </c>
      <c r="BC46" s="1165">
        <f t="shared" si="38"/>
        <v>0</v>
      </c>
    </row>
    <row r="47" spans="2:55" ht="13.5" thickBot="1">
      <c r="B47" s="342" t="s">
        <v>70</v>
      </c>
      <c r="C47" s="395">
        <v>7000</v>
      </c>
      <c r="E47" s="299">
        <v>39</v>
      </c>
      <c r="F47" s="308">
        <f t="shared" ca="1" si="9"/>
        <v>3469.894966460859</v>
      </c>
      <c r="G47" s="307">
        <f t="shared" ca="1" si="10"/>
        <v>283.0067696328469</v>
      </c>
      <c r="H47" s="306">
        <f t="shared" ca="1" si="11"/>
        <v>0.43659215309089999</v>
      </c>
      <c r="I47" s="305">
        <f t="shared" ca="1" si="16"/>
        <v>108.32003294107042</v>
      </c>
      <c r="J47" s="305">
        <f t="shared" ca="1" si="17"/>
        <v>59.780972533272426</v>
      </c>
      <c r="K47" s="292">
        <f t="shared" ca="1" si="18"/>
        <v>1.2876326862847722</v>
      </c>
      <c r="L47" s="1290">
        <f t="shared" ca="1" si="19"/>
        <v>21.338087446210491</v>
      </c>
      <c r="M47" s="299">
        <v>39</v>
      </c>
      <c r="N47" s="304">
        <f t="shared" si="20"/>
        <v>3304.585950387413</v>
      </c>
      <c r="O47" s="303">
        <v>270.57876082289454</v>
      </c>
      <c r="P47" s="302">
        <v>0.39732073964811759</v>
      </c>
      <c r="Q47" s="301">
        <v>119.22833792124636</v>
      </c>
      <c r="R47" s="301">
        <v>54.24942425761958</v>
      </c>
      <c r="S47" s="300">
        <v>2.0803723706836146</v>
      </c>
      <c r="T47" s="891">
        <f t="shared" si="21"/>
        <v>2</v>
      </c>
      <c r="U47" s="1220">
        <v>0.30694681406021118</v>
      </c>
      <c r="W47" s="299">
        <v>39</v>
      </c>
      <c r="X47" s="298">
        <f>IF('Donor Sample'!N64="",,IF('Donor Sample'!N64="F",1,0))</f>
        <v>0</v>
      </c>
      <c r="Y47" s="298">
        <f>IF('Donor Sample'!O64="","",'Donor Sample'!O64)</f>
        <v>168</v>
      </c>
      <c r="Z47" s="298">
        <f>IF(AND('Donor Sample'!O64="",'Donor Sample'!P64="",'Donor Sample'!Q64=""),"",IF('Donor Sample'!P64="",ROUND(AA47/($C$32+($AI47-0.5)*$C$31),0),'Donor Sample'!P64))</f>
        <v>55</v>
      </c>
      <c r="AA47" s="297" t="str">
        <f>IF('Donor Sample'!Q64="","",'Donor Sample'!Q64)</f>
        <v/>
      </c>
      <c r="AB47" s="296">
        <f t="shared" si="12"/>
        <v>4113.9897807999996</v>
      </c>
      <c r="AC47" s="295">
        <f>IF('Donor Sample'!R64="","",'Donor Sample'!R64)</f>
        <v>200</v>
      </c>
      <c r="AD47" s="294">
        <f>IF('Donor Sample'!S64="","",'Donor Sample'!S64/100)</f>
        <v>0.39099998474121095</v>
      </c>
      <c r="AE47" s="293">
        <f t="shared" si="23"/>
        <v>121.00000000000001</v>
      </c>
      <c r="AF47" s="293">
        <f t="shared" si="24"/>
        <v>66.141732283464563</v>
      </c>
      <c r="AG47" s="292" t="str">
        <f>IF('Donor Sample'!T64="","",'Donor Sample'!T64)</f>
        <v/>
      </c>
      <c r="AH47" s="891">
        <f t="shared" si="25"/>
        <v>2</v>
      </c>
      <c r="AI47" s="1220">
        <v>2.9235422611236572E-2</v>
      </c>
      <c r="AJ47" s="1216"/>
      <c r="AK47" s="317">
        <v>4</v>
      </c>
      <c r="AL47" s="313">
        <f t="shared" si="33"/>
        <v>0</v>
      </c>
      <c r="AM47" s="441">
        <f t="shared" si="31"/>
        <v>0</v>
      </c>
      <c r="AN47" s="312">
        <f t="shared" si="32"/>
        <v>0</v>
      </c>
      <c r="AO47" s="442">
        <f>IF(AL47="","0",IF('Configs &amp; Procedures'!G47="",100000*AL47/$AU$57,'Configs &amp; Procedures'!G47))</f>
        <v>0</v>
      </c>
      <c r="AP47" s="441">
        <f>IF('Configs &amp; Procedures'!D47="",0,'Configs &amp; Procedures'!D47)</f>
        <v>0</v>
      </c>
      <c r="AQ47" s="312">
        <f>IF('Configs &amp; Procedures'!E47="",0,IF('Configs &amp; Procedures'!E47="A",7,IF('Configs &amp; Procedures'!E47="M",8,'Configs &amp; Procedures'!E47)))</f>
        <v>0</v>
      </c>
      <c r="AR47" s="442">
        <f>IF('Configs &amp; Procedures'!F47="",0,'Configs &amp; Procedures'!F47)</f>
        <v>0</v>
      </c>
      <c r="AS47" s="320">
        <f>IF('Configs &amp; Procedures'!L46="","",'Configs &amp; Procedures'!L46)</f>
        <v>5.5</v>
      </c>
      <c r="AT47" s="883">
        <f>IF('Configs &amp; Procedures'!M46="","",'Configs &amp; Procedures'!M46/100)</f>
        <v>0.95</v>
      </c>
      <c r="AU47" s="1130">
        <f t="shared" si="34"/>
        <v>5.5</v>
      </c>
      <c r="AV47" s="442">
        <f>IF('Configs &amp; Procedures'!K46&gt;0,'Configs &amp; Procedures'!K46,ROUND(AU47*100000000000/'Configs &amp; Procedures'!$L$21/1000000,0))</f>
        <v>355</v>
      </c>
      <c r="AW47" s="322">
        <f>IF('Configs &amp; Procedures'!L56="","0",'Configs &amp; Procedures'!L56)</f>
        <v>400</v>
      </c>
      <c r="AY47" s="1155">
        <f t="shared" si="35"/>
        <v>0</v>
      </c>
      <c r="AZ47" s="1152">
        <f t="shared" si="36"/>
        <v>3</v>
      </c>
      <c r="BA47" s="1146">
        <f t="shared" si="37"/>
        <v>0.8</v>
      </c>
      <c r="BB47" s="1165">
        <f>TRUNC(AL47/'Configs &amp; Procedures'!$K$65)</f>
        <v>0</v>
      </c>
      <c r="BC47" s="1165">
        <f t="shared" si="38"/>
        <v>0</v>
      </c>
    </row>
    <row r="48" spans="2:55">
      <c r="B48" s="369" t="s">
        <v>72</v>
      </c>
      <c r="C48" s="405">
        <v>240</v>
      </c>
      <c r="E48" s="299">
        <v>40</v>
      </c>
      <c r="F48" s="308">
        <f t="shared" ca="1" si="9"/>
        <v>3785.9227757176559</v>
      </c>
      <c r="G48" s="307">
        <f t="shared" ca="1" si="10"/>
        <v>230.5076755949741</v>
      </c>
      <c r="H48" s="306">
        <f t="shared" ca="1" si="11"/>
        <v>0.38269990125072034</v>
      </c>
      <c r="I48" s="305">
        <f t="shared" ca="1" si="16"/>
        <v>143.50502285918247</v>
      </c>
      <c r="J48" s="305">
        <f t="shared" ca="1" si="17"/>
        <v>56.541867861452644</v>
      </c>
      <c r="K48" s="292">
        <f t="shared" ca="1" si="18"/>
        <v>2.4586297841266767</v>
      </c>
      <c r="L48" s="1290">
        <f t="shared" ca="1" si="19"/>
        <v>31.600900518128224</v>
      </c>
      <c r="M48" s="299">
        <v>40</v>
      </c>
      <c r="N48" s="304">
        <f t="shared" si="20"/>
        <v>4472.4918489805486</v>
      </c>
      <c r="O48" s="303">
        <v>194.82966473990274</v>
      </c>
      <c r="P48" s="302">
        <v>0.44229564624299544</v>
      </c>
      <c r="Q48" s="301">
        <v>139.27366819317859</v>
      </c>
      <c r="R48" s="301">
        <v>67.330725697362539</v>
      </c>
      <c r="S48" s="300">
        <v>1.8001809692172093</v>
      </c>
      <c r="T48" s="891">
        <f t="shared" si="21"/>
        <v>16</v>
      </c>
      <c r="U48" s="1220">
        <v>0.97422122955322266</v>
      </c>
      <c r="W48" s="299">
        <v>40</v>
      </c>
      <c r="X48" s="298">
        <f>IF('Donor Sample'!N65="",,IF('Donor Sample'!N65="F",1,0))</f>
        <v>1</v>
      </c>
      <c r="Y48" s="298">
        <f>IF('Donor Sample'!O65="","",'Donor Sample'!O65)</f>
        <v>166</v>
      </c>
      <c r="Z48" s="298">
        <f>IF(AND('Donor Sample'!O65="",'Donor Sample'!P65="",'Donor Sample'!Q65=""),"",IF('Donor Sample'!P65="",ROUND(AA48/($C$32+($AI48-0.5)*$C$31),0),'Donor Sample'!P65))</f>
        <v>54</v>
      </c>
      <c r="AA48" s="297" t="str">
        <f>IF('Donor Sample'!Q65="","",'Donor Sample'!Q65)</f>
        <v/>
      </c>
      <c r="AB48" s="296">
        <f t="shared" si="12"/>
        <v>3597.6328056000002</v>
      </c>
      <c r="AC48" s="295">
        <f>IF('Donor Sample'!R65="","",'Donor Sample'!R65)</f>
        <v>200</v>
      </c>
      <c r="AD48" s="294">
        <f>IF('Donor Sample'!S65="","",'Donor Sample'!S65/100)</f>
        <v>0.42599998474121092</v>
      </c>
      <c r="AE48" s="407">
        <f t="shared" si="23"/>
        <v>118.80000000000001</v>
      </c>
      <c r="AF48" s="293">
        <f t="shared" si="24"/>
        <v>65.354330708661422</v>
      </c>
      <c r="AG48" s="292" t="str">
        <f>IF('Donor Sample'!T65="","",'Donor Sample'!T65)</f>
        <v/>
      </c>
      <c r="AH48" s="891">
        <f t="shared" si="25"/>
        <v>64</v>
      </c>
      <c r="AI48" s="1220">
        <v>0.68870306015014648</v>
      </c>
      <c r="AJ48" s="1216"/>
      <c r="AK48" s="317">
        <v>5</v>
      </c>
      <c r="AL48" s="313">
        <f t="shared" si="33"/>
        <v>0</v>
      </c>
      <c r="AM48" s="441">
        <f t="shared" si="31"/>
        <v>0</v>
      </c>
      <c r="AN48" s="312">
        <f t="shared" si="32"/>
        <v>0</v>
      </c>
      <c r="AO48" s="442">
        <f>IF(AL48="","0",IF('Configs &amp; Procedures'!G48="",100000*AL48/$AU$57,'Configs &amp; Procedures'!G48))</f>
        <v>0</v>
      </c>
      <c r="AP48" s="441">
        <f>IF('Configs &amp; Procedures'!D48="",0,'Configs &amp; Procedures'!D48)</f>
        <v>0</v>
      </c>
      <c r="AQ48" s="312">
        <f>IF('Configs &amp; Procedures'!E48="",0,IF('Configs &amp; Procedures'!E48="A",7,IF('Configs &amp; Procedures'!E48="M",8,'Configs &amp; Procedures'!E48)))</f>
        <v>0</v>
      </c>
      <c r="AR48" s="442">
        <f>IF('Configs &amp; Procedures'!F48="",0,'Configs &amp; Procedures'!F48)</f>
        <v>0</v>
      </c>
      <c r="AS48" s="320">
        <f>IF('Configs &amp; Procedures'!L47="","",'Configs &amp; Procedures'!L47)</f>
        <v>9.6</v>
      </c>
      <c r="AT48" s="883">
        <f>IF('Configs &amp; Procedures'!M47="","",'Configs &amp; Procedures'!M47/100)</f>
        <v>0.65</v>
      </c>
      <c r="AU48" s="1130">
        <f>IF(AS48="",0,IF($AU$55=1,AS48,ROUND(AS48/(1-NORMSINV(AT48+0.0001)*$AU$56),1)))</f>
        <v>9.6</v>
      </c>
      <c r="AV48" s="442">
        <f>IF('Configs &amp; Procedures'!K47&gt;0,'Configs &amp; Procedures'!K47,ROUND(AU48*100000000000/'Configs &amp; Procedures'!$L$21/1000000,0))</f>
        <v>619</v>
      </c>
      <c r="AW48" s="322">
        <f>IF('Configs &amp; Procedures'!L57="","0",'Configs &amp; Procedures'!L57)</f>
        <v>450</v>
      </c>
      <c r="AY48" s="1155">
        <f t="shared" si="35"/>
        <v>0</v>
      </c>
      <c r="AZ48" s="1152">
        <f t="shared" si="36"/>
        <v>4</v>
      </c>
      <c r="BA48" s="1146">
        <f t="shared" si="37"/>
        <v>0.95</v>
      </c>
      <c r="BB48" s="1165">
        <f>TRUNC(AL48/'Configs &amp; Procedures'!$K$65)</f>
        <v>0</v>
      </c>
      <c r="BC48" s="1165">
        <f t="shared" si="38"/>
        <v>0</v>
      </c>
    </row>
    <row r="49" spans="2:55" ht="13.5" thickBot="1">
      <c r="B49" s="388" t="s">
        <v>73</v>
      </c>
      <c r="C49" s="400">
        <v>35</v>
      </c>
      <c r="E49" s="299">
        <v>41</v>
      </c>
      <c r="F49" s="308">
        <f t="shared" ca="1" si="9"/>
        <v>2572.0280893734052</v>
      </c>
      <c r="G49" s="307">
        <f t="shared" ca="1" si="10"/>
        <v>233.95947116337695</v>
      </c>
      <c r="H49" s="306">
        <f t="shared" ca="1" si="11"/>
        <v>0.39407409911548597</v>
      </c>
      <c r="I49" s="305">
        <f t="shared" ca="1" si="16"/>
        <v>92.232776098913916</v>
      </c>
      <c r="J49" s="305">
        <f t="shared" ca="1" si="17"/>
        <v>46.930766229465412</v>
      </c>
      <c r="K49" s="292">
        <f t="shared" ca="1" si="18"/>
        <v>1.558384774107314</v>
      </c>
      <c r="L49" s="1290">
        <f t="shared" ca="1" si="19"/>
        <v>29.481029809847659</v>
      </c>
      <c r="M49" s="299">
        <v>41</v>
      </c>
      <c r="N49" s="304">
        <f t="shared" si="20"/>
        <v>3902.605816399524</v>
      </c>
      <c r="O49" s="303">
        <v>210.21999741771106</v>
      </c>
      <c r="P49" s="302">
        <v>0.44572017835828631</v>
      </c>
      <c r="Q49" s="301">
        <v>127.43817494033424</v>
      </c>
      <c r="R49" s="301">
        <v>62.074632432717884</v>
      </c>
      <c r="S49" s="300">
        <v>1.6772501158167303</v>
      </c>
      <c r="T49" s="891">
        <f t="shared" si="21"/>
        <v>4</v>
      </c>
      <c r="U49" s="1220">
        <v>0.39714163541793823</v>
      </c>
      <c r="W49" s="299">
        <v>41</v>
      </c>
      <c r="X49" s="298">
        <f>IF('Donor Sample'!N66="",,IF('Donor Sample'!N66="F",1,0))</f>
        <v>0</v>
      </c>
      <c r="Y49" s="298">
        <f>IF('Donor Sample'!O66="","",'Donor Sample'!O66)</f>
        <v>172</v>
      </c>
      <c r="Z49" s="298">
        <f>IF(AND('Donor Sample'!O66="",'Donor Sample'!P66="",'Donor Sample'!Q66=""),"",IF('Donor Sample'!P66="",ROUND(AA49/($C$32+($AI49-0.5)*$C$31),0),'Donor Sample'!P66))</f>
        <v>71</v>
      </c>
      <c r="AA49" s="297" t="str">
        <f>IF('Donor Sample'!Q66="","",'Donor Sample'!Q66)</f>
        <v/>
      </c>
      <c r="AB49" s="296">
        <f t="shared" si="12"/>
        <v>4756.2285711999994</v>
      </c>
      <c r="AC49" s="295">
        <f>IF('Donor Sample'!R66="","",'Donor Sample'!R66)</f>
        <v>200</v>
      </c>
      <c r="AD49" s="294">
        <f>IF('Donor Sample'!S66="","",'Donor Sample'!S66/100)</f>
        <v>0.37900001525878907</v>
      </c>
      <c r="AE49" s="293">
        <f t="shared" si="23"/>
        <v>156.20000000000002</v>
      </c>
      <c r="AF49" s="293">
        <f t="shared" si="24"/>
        <v>67.71653543307086</v>
      </c>
      <c r="AG49" s="292" t="str">
        <f>IF('Donor Sample'!T66="","",'Donor Sample'!T66)</f>
        <v/>
      </c>
      <c r="AH49" s="891">
        <f t="shared" si="25"/>
        <v>2</v>
      </c>
      <c r="AI49" s="1220">
        <v>0.10965317487716675</v>
      </c>
      <c r="AJ49" s="1216"/>
      <c r="AK49" s="317">
        <v>6</v>
      </c>
      <c r="AL49" s="313">
        <f t="shared" si="33"/>
        <v>0</v>
      </c>
      <c r="AM49" s="441">
        <f t="shared" si="31"/>
        <v>0</v>
      </c>
      <c r="AN49" s="312">
        <f t="shared" si="32"/>
        <v>0</v>
      </c>
      <c r="AO49" s="442">
        <f>IF(AL49="","0",IF('Configs &amp; Procedures'!G49="",100000*AL49/$AU$57,'Configs &amp; Procedures'!G49))</f>
        <v>0</v>
      </c>
      <c r="AP49" s="441">
        <f>IF('Configs &amp; Procedures'!D49="",0,'Configs &amp; Procedures'!D49)</f>
        <v>0</v>
      </c>
      <c r="AQ49" s="312">
        <f>IF('Configs &amp; Procedures'!E49="",0,IF('Configs &amp; Procedures'!E49="A",7,IF('Configs &amp; Procedures'!E49="M",8,'Configs &amp; Procedures'!E49)))</f>
        <v>0</v>
      </c>
      <c r="AR49" s="442">
        <f>IF('Configs &amp; Procedures'!F49="",0,'Configs &amp; Procedures'!F49)</f>
        <v>0</v>
      </c>
      <c r="AS49" s="320">
        <f>IF('Configs &amp; Procedures'!L48="","",'Configs &amp; Procedures'!L48)</f>
        <v>11</v>
      </c>
      <c r="AT49" s="883">
        <f>IF('Configs &amp; Procedures'!M48="","",'Configs &amp; Procedures'!M48/100)</f>
        <v>0.8</v>
      </c>
      <c r="AU49" s="1130">
        <f t="shared" si="34"/>
        <v>11</v>
      </c>
      <c r="AV49" s="442">
        <f>IF('Configs &amp; Procedures'!K48&gt;0,'Configs &amp; Procedures'!K48,ROUND(AU49*100000000000/'Configs &amp; Procedures'!$L$21/1000000,0))</f>
        <v>710</v>
      </c>
      <c r="AW49" s="321">
        <f>IF('Configs &amp; Procedures'!L58="","0",'Configs &amp; Procedures'!L58)</f>
        <v>500</v>
      </c>
      <c r="AY49" s="1155">
        <f t="shared" si="35"/>
        <v>0</v>
      </c>
      <c r="AZ49" s="1152">
        <f t="shared" si="36"/>
        <v>5</v>
      </c>
      <c r="BA49" s="1146">
        <f t="shared" si="37"/>
        <v>0.65</v>
      </c>
      <c r="BB49" s="1165">
        <f>TRUNC(AL49/'Configs &amp; Procedures'!$K$65)</f>
        <v>0</v>
      </c>
      <c r="BC49" s="1165">
        <f t="shared" si="38"/>
        <v>0</v>
      </c>
    </row>
    <row r="50" spans="2:55">
      <c r="B50" s="388" t="s">
        <v>75</v>
      </c>
      <c r="C50" s="400">
        <v>150</v>
      </c>
      <c r="E50" s="299">
        <v>42</v>
      </c>
      <c r="F50" s="308">
        <f t="shared" ca="1" si="9"/>
        <v>3450.2968118362182</v>
      </c>
      <c r="G50" s="307">
        <f t="shared" ca="1" si="10"/>
        <v>210.18135985683227</v>
      </c>
      <c r="H50" s="306">
        <f t="shared" ca="1" si="11"/>
        <v>0.37184452547844488</v>
      </c>
      <c r="I50" s="305">
        <f t="shared" ca="1" si="16"/>
        <v>137.86265856038997</v>
      </c>
      <c r="J50" s="305">
        <f t="shared" ca="1" si="17"/>
        <v>51.756220872040075</v>
      </c>
      <c r="K50" s="292">
        <f t="shared" ca="1" si="18"/>
        <v>4.5157941075277961</v>
      </c>
      <c r="L50" s="1290">
        <f t="shared" ca="1" si="19"/>
        <v>36.232157307110164</v>
      </c>
      <c r="M50" s="299">
        <v>42</v>
      </c>
      <c r="N50" s="304">
        <f t="shared" si="20"/>
        <v>3886.1864860301662</v>
      </c>
      <c r="O50" s="303">
        <v>233.38873800745588</v>
      </c>
      <c r="P50" s="302">
        <v>0.38883681048940588</v>
      </c>
      <c r="Q50" s="301">
        <v>140.60186272612324</v>
      </c>
      <c r="R50" s="301">
        <v>58.914834502829251</v>
      </c>
      <c r="S50" s="300">
        <v>1.5561651225065869</v>
      </c>
      <c r="T50" s="891">
        <f t="shared" si="21"/>
        <v>32</v>
      </c>
      <c r="U50" s="1220">
        <v>0.7916494607925415</v>
      </c>
      <c r="W50" s="299">
        <v>42</v>
      </c>
      <c r="X50" s="298">
        <f>IF('Donor Sample'!N67="",,IF('Donor Sample'!N67="F",1,0))</f>
        <v>0</v>
      </c>
      <c r="Y50" s="298">
        <f>IF('Donor Sample'!O67="","",'Donor Sample'!O67)</f>
        <v>169</v>
      </c>
      <c r="Z50" s="298">
        <f>IF(AND('Donor Sample'!O67="",'Donor Sample'!P67="",'Donor Sample'!Q67=""),"",IF('Donor Sample'!P67="",ROUND(AA50/($C$32+($AI50-0.5)*$C$31),0),'Donor Sample'!P67))</f>
        <v>65</v>
      </c>
      <c r="AA50" s="297" t="str">
        <f>IF('Donor Sample'!Q67="","",'Donor Sample'!Q67)</f>
        <v/>
      </c>
      <c r="AB50" s="296">
        <f t="shared" si="12"/>
        <v>4467.1112220999994</v>
      </c>
      <c r="AC50" s="295">
        <f>IF('Donor Sample'!R67="","",'Donor Sample'!R67)</f>
        <v>200</v>
      </c>
      <c r="AD50" s="294">
        <f>IF('Donor Sample'!S67="","",'Donor Sample'!S67/100)</f>
        <v>0.44200000762939451</v>
      </c>
      <c r="AE50" s="293">
        <f t="shared" si="23"/>
        <v>143</v>
      </c>
      <c r="AF50" s="293">
        <f t="shared" si="24"/>
        <v>66.535433070866148</v>
      </c>
      <c r="AG50" s="292" t="str">
        <f>IF('Donor Sample'!T67="","",'Donor Sample'!T67)</f>
        <v/>
      </c>
      <c r="AH50" s="891">
        <f t="shared" si="25"/>
        <v>64</v>
      </c>
      <c r="AI50" s="1220">
        <v>0.58624374866485596</v>
      </c>
      <c r="AJ50" s="1216"/>
      <c r="AK50" s="317">
        <v>7</v>
      </c>
      <c r="AL50" s="313">
        <f t="shared" si="33"/>
        <v>0</v>
      </c>
      <c r="AM50" s="441">
        <f t="shared" si="31"/>
        <v>0</v>
      </c>
      <c r="AN50" s="312">
        <f t="shared" si="32"/>
        <v>0</v>
      </c>
      <c r="AO50" s="442">
        <f>IF(AL50="","0",IF('Configs &amp; Procedures'!G50="",100000*AL50/$AU$57,'Configs &amp; Procedures'!G50))</f>
        <v>0</v>
      </c>
      <c r="AP50" s="441">
        <f>IF('Configs &amp; Procedures'!D50="",0,'Configs &amp; Procedures'!D50)</f>
        <v>0</v>
      </c>
      <c r="AQ50" s="312">
        <f>IF('Configs &amp; Procedures'!E50="",0,IF('Configs &amp; Procedures'!E50="A",7,IF('Configs &amp; Procedures'!E50="M",8,'Configs &amp; Procedures'!E50)))</f>
        <v>0</v>
      </c>
      <c r="AR50" s="442">
        <f>IF('Configs &amp; Procedures'!F50="",0,'Configs &amp; Procedures'!F50)</f>
        <v>0</v>
      </c>
      <c r="AS50" s="320" t="str">
        <f>IF('Configs &amp; Procedures'!L49="","",'Configs &amp; Procedures'!L49)</f>
        <v/>
      </c>
      <c r="AT50" s="883" t="str">
        <f>IF('Configs &amp; Procedures'!M49="","",'Configs &amp; Procedures'!M49/100)</f>
        <v/>
      </c>
      <c r="AU50" s="1130">
        <f>IF(AS50="",0,IF($AU$55=1,AS50,ROUND(AS50/(1-NORMSINV(AT50+0.0001)*$AU$56),1)))</f>
        <v>0</v>
      </c>
      <c r="AV50" s="442">
        <f>IF('Configs &amp; Procedures'!K49&gt;0,'Configs &amp; Procedures'!K49,ROUND(AU50*100000000000/'Configs &amp; Procedures'!$L$21/1000000,0))</f>
        <v>0</v>
      </c>
      <c r="AY50" s="1155">
        <f t="shared" si="35"/>
        <v>0</v>
      </c>
      <c r="AZ50" s="1152">
        <f t="shared" si="36"/>
        <v>6</v>
      </c>
      <c r="BA50" s="1146">
        <f t="shared" si="37"/>
        <v>0.8</v>
      </c>
      <c r="BB50" s="1165">
        <f>TRUNC(AL50/'Configs &amp; Procedures'!$K$65)</f>
        <v>0</v>
      </c>
      <c r="BC50" s="1165">
        <f t="shared" si="38"/>
        <v>0</v>
      </c>
    </row>
    <row r="51" spans="2:55" ht="13.5" thickBot="1">
      <c r="B51" s="342" t="s">
        <v>77</v>
      </c>
      <c r="C51" s="395">
        <v>500</v>
      </c>
      <c r="E51" s="299">
        <v>43</v>
      </c>
      <c r="F51" s="308">
        <f t="shared" ca="1" si="9"/>
        <v>4064.3243433742491</v>
      </c>
      <c r="G51" s="307">
        <f t="shared" ca="1" si="10"/>
        <v>184.81960709696989</v>
      </c>
      <c r="H51" s="306">
        <f t="shared" ca="1" si="11"/>
        <v>0.47879076053097963</v>
      </c>
      <c r="I51" s="305">
        <f t="shared" ca="1" si="16"/>
        <v>164.98784028420391</v>
      </c>
      <c r="J51" s="305">
        <f t="shared" ca="1" si="17"/>
        <v>55.92384541204688</v>
      </c>
      <c r="K51" s="292">
        <f t="shared" ca="1" si="18"/>
        <v>3.7313688373675511</v>
      </c>
      <c r="L51" s="1290">
        <f t="shared" ca="1" si="19"/>
        <v>37.139028891907785</v>
      </c>
      <c r="M51" s="299">
        <v>43</v>
      </c>
      <c r="N51" s="304">
        <f t="shared" si="20"/>
        <v>3516.0830437563827</v>
      </c>
      <c r="O51" s="303">
        <v>189.93974567633512</v>
      </c>
      <c r="P51" s="302">
        <v>0.39057153849815518</v>
      </c>
      <c r="Q51" s="301">
        <v>124.13882972258038</v>
      </c>
      <c r="R51" s="301">
        <v>56.764825767465908</v>
      </c>
      <c r="S51" s="300">
        <v>9.6993290206724083</v>
      </c>
      <c r="T51" s="891">
        <f t="shared" si="21"/>
        <v>32</v>
      </c>
      <c r="U51" s="1220">
        <v>0.80581885576248169</v>
      </c>
      <c r="W51" s="299">
        <v>43</v>
      </c>
      <c r="X51" s="298">
        <f>IF('Donor Sample'!N68="",,IF('Donor Sample'!N68="F",1,0))</f>
        <v>0</v>
      </c>
      <c r="Y51" s="298">
        <f>IF('Donor Sample'!O68="","",'Donor Sample'!O68)</f>
        <v>165</v>
      </c>
      <c r="Z51" s="298">
        <f>IF(AND('Donor Sample'!O68="",'Donor Sample'!P68="",'Donor Sample'!Q68=""),"",IF('Donor Sample'!P68="",ROUND(AA51/($C$32+($AI51-0.5)*$C$31),0),'Donor Sample'!P68))</f>
        <v>72</v>
      </c>
      <c r="AA51" s="297" t="str">
        <f>IF('Donor Sample'!Q68="","",'Donor Sample'!Q68)</f>
        <v/>
      </c>
      <c r="AB51" s="296">
        <f t="shared" si="12"/>
        <v>4569.6246625000003</v>
      </c>
      <c r="AC51" s="295">
        <f>IF('Donor Sample'!R68="","",'Donor Sample'!R68)</f>
        <v>200</v>
      </c>
      <c r="AD51" s="294">
        <f>IF('Donor Sample'!S68="","",'Donor Sample'!S68/100)</f>
        <v>0.38599998474121094</v>
      </c>
      <c r="AE51" s="407">
        <f t="shared" si="23"/>
        <v>158.4</v>
      </c>
      <c r="AF51" s="293">
        <f t="shared" si="24"/>
        <v>64.960629921259837</v>
      </c>
      <c r="AG51" s="292" t="str">
        <f>IF('Donor Sample'!T68="","",'Donor Sample'!T68)</f>
        <v/>
      </c>
      <c r="AH51" s="891">
        <f t="shared" si="25"/>
        <v>2</v>
      </c>
      <c r="AI51" s="1220">
        <v>0.12564927339553833</v>
      </c>
      <c r="AJ51" s="1216"/>
      <c r="AK51" s="317">
        <v>8</v>
      </c>
      <c r="AL51" s="313">
        <f t="shared" si="33"/>
        <v>0</v>
      </c>
      <c r="AM51" s="441">
        <f t="shared" si="31"/>
        <v>0</v>
      </c>
      <c r="AN51" s="312">
        <f t="shared" si="32"/>
        <v>0</v>
      </c>
      <c r="AO51" s="442">
        <f>IF(AL51="","0",IF('Configs &amp; Procedures'!G51="",100000*AL51/$AU$57,'Configs &amp; Procedures'!G51))</f>
        <v>0</v>
      </c>
      <c r="AP51" s="441">
        <f>IF('Configs &amp; Procedures'!D51="",0,'Configs &amp; Procedures'!D51)</f>
        <v>0</v>
      </c>
      <c r="AQ51" s="312">
        <f>IF('Configs &amp; Procedures'!E51="",0,IF('Configs &amp; Procedures'!E51="A",7,IF('Configs &amp; Procedures'!E51="M",8,'Configs &amp; Procedures'!E51)))</f>
        <v>0</v>
      </c>
      <c r="AR51" s="442">
        <f>IF('Configs &amp; Procedures'!F51="",0,'Configs &amp; Procedures'!F51)</f>
        <v>0</v>
      </c>
      <c r="AS51" s="320" t="str">
        <f>IF('Configs &amp; Procedures'!L50="","",'Configs &amp; Procedures'!L50)</f>
        <v/>
      </c>
      <c r="AT51" s="883" t="str">
        <f>IF('Configs &amp; Procedures'!M50="","",'Configs &amp; Procedures'!M50/100)</f>
        <v/>
      </c>
      <c r="AU51" s="1130">
        <f t="shared" si="34"/>
        <v>0</v>
      </c>
      <c r="AV51" s="442">
        <f>IF('Configs &amp; Procedures'!K50&gt;0,'Configs &amp; Procedures'!K50,ROUND(AU51*100000000000/'Configs &amp; Procedures'!$L$21/1000000,0))</f>
        <v>0</v>
      </c>
      <c r="AY51" s="1155">
        <f t="shared" si="35"/>
        <v>0</v>
      </c>
      <c r="AZ51" s="1152">
        <f t="shared" si="36"/>
        <v>7</v>
      </c>
      <c r="BA51" s="1146" t="str">
        <f t="shared" si="37"/>
        <v/>
      </c>
      <c r="BB51" s="1165">
        <f>TRUNC(AL51/'Configs &amp; Procedures'!$K$65)</f>
        <v>0</v>
      </c>
      <c r="BC51" s="1165">
        <f t="shared" si="38"/>
        <v>0</v>
      </c>
    </row>
    <row r="52" spans="2:55">
      <c r="B52" s="369" t="s">
        <v>81</v>
      </c>
      <c r="C52" s="390">
        <v>40</v>
      </c>
      <c r="E52" s="299">
        <v>44</v>
      </c>
      <c r="F52" s="308">
        <f t="shared" ca="1" si="9"/>
        <v>3888.4291485397653</v>
      </c>
      <c r="G52" s="307">
        <f t="shared" ca="1" si="10"/>
        <v>168.50444439280591</v>
      </c>
      <c r="H52" s="306">
        <f t="shared" ca="1" si="11"/>
        <v>0.4686435918279292</v>
      </c>
      <c r="I52" s="305">
        <f t="shared" ca="1" si="16"/>
        <v>161.01713077730551</v>
      </c>
      <c r="J52" s="305">
        <f t="shared" ca="1" si="17"/>
        <v>53.74986446405638</v>
      </c>
      <c r="K52" s="292">
        <f t="shared" ca="1" si="18"/>
        <v>13.037731360600279</v>
      </c>
      <c r="L52" s="1290">
        <f t="shared" ca="1" si="19"/>
        <v>39.236476104767455</v>
      </c>
      <c r="M52" s="299">
        <v>44</v>
      </c>
      <c r="N52" s="304">
        <f t="shared" si="20"/>
        <v>3374.3145395534757</v>
      </c>
      <c r="O52" s="303">
        <v>206.24444964613593</v>
      </c>
      <c r="P52" s="302">
        <v>0.46190660362388797</v>
      </c>
      <c r="Q52" s="301">
        <v>130.61615716350695</v>
      </c>
      <c r="R52" s="301">
        <v>52.36615853161139</v>
      </c>
      <c r="S52" s="300">
        <v>2.1771748325985993</v>
      </c>
      <c r="T52" s="891">
        <f t="shared" si="21"/>
        <v>64</v>
      </c>
      <c r="U52" s="1220">
        <v>0.60773205757141113</v>
      </c>
      <c r="W52" s="299">
        <v>44</v>
      </c>
      <c r="X52" s="298">
        <f>IF('Donor Sample'!N69="",,IF('Donor Sample'!N69="F",1,0))</f>
        <v>1</v>
      </c>
      <c r="Y52" s="298">
        <f>IF('Donor Sample'!O69="","",'Donor Sample'!O69)</f>
        <v>160</v>
      </c>
      <c r="Z52" s="298">
        <f>IF(AND('Donor Sample'!O69="",'Donor Sample'!P69="",'Donor Sample'!Q69=""),"",IF('Donor Sample'!P69="",ROUND(AA52/($C$32+($AI52-0.5)*$C$31),0),'Donor Sample'!P69))</f>
        <v>58</v>
      </c>
      <c r="AA52" s="297" t="str">
        <f>IF('Donor Sample'!Q69="","",'Donor Sample'!Q69)</f>
        <v/>
      </c>
      <c r="AB52" s="296">
        <f t="shared" si="12"/>
        <v>3559.5875999999998</v>
      </c>
      <c r="AC52" s="295">
        <f>IF('Donor Sample'!R69="","",'Donor Sample'!R69)</f>
        <v>200</v>
      </c>
      <c r="AD52" s="294">
        <f>IF('Donor Sample'!S69="","",'Donor Sample'!S69/100)</f>
        <v>0.35599998474121092</v>
      </c>
      <c r="AE52" s="293">
        <f t="shared" si="23"/>
        <v>127.60000000000001</v>
      </c>
      <c r="AF52" s="293">
        <f t="shared" si="24"/>
        <v>62.99212598425197</v>
      </c>
      <c r="AG52" s="292" t="str">
        <f>IF('Donor Sample'!T69="","",'Donor Sample'!T69)</f>
        <v/>
      </c>
      <c r="AH52" s="891">
        <f t="shared" si="25"/>
        <v>2</v>
      </c>
      <c r="AI52" s="1220">
        <v>3.7400960922241211E-2</v>
      </c>
      <c r="AJ52" s="1216"/>
      <c r="AK52" s="317">
        <v>9</v>
      </c>
      <c r="AL52" s="313">
        <f t="shared" si="33"/>
        <v>0</v>
      </c>
      <c r="AM52" s="441">
        <f t="shared" si="31"/>
        <v>0</v>
      </c>
      <c r="AN52" s="312">
        <f t="shared" si="32"/>
        <v>0</v>
      </c>
      <c r="AO52" s="442">
        <f>IF(AL52="","0",IF('Configs &amp; Procedures'!G52="",100000*AL52/$AU$57,'Configs &amp; Procedures'!G52))</f>
        <v>0</v>
      </c>
      <c r="AP52" s="441">
        <f>IF('Configs &amp; Procedures'!D52="",0,'Configs &amp; Procedures'!D52)</f>
        <v>0</v>
      </c>
      <c r="AQ52" s="312">
        <f>IF('Configs &amp; Procedures'!E52="",0,IF('Configs &amp; Procedures'!E52="A",7,IF('Configs &amp; Procedures'!E52="M",8,'Configs &amp; Procedures'!E52)))</f>
        <v>0</v>
      </c>
      <c r="AR52" s="442">
        <f>IF('Configs &amp; Procedures'!F52="",0,'Configs &amp; Procedures'!F52)</f>
        <v>0</v>
      </c>
      <c r="AS52" s="320" t="str">
        <f>IF('Configs &amp; Procedures'!L51="","",'Configs &amp; Procedures'!L51)</f>
        <v/>
      </c>
      <c r="AT52" s="883" t="str">
        <f>IF('Configs &amp; Procedures'!M51="","",'Configs &amp; Procedures'!M51/100)</f>
        <v/>
      </c>
      <c r="AU52" s="1130">
        <f t="shared" si="34"/>
        <v>0</v>
      </c>
      <c r="AV52" s="442">
        <f>IF('Configs &amp; Procedures'!K51&gt;0,'Configs &amp; Procedures'!K51,ROUND(AU52*100000000000/'Configs &amp; Procedures'!$L$21/1000000,0))</f>
        <v>0</v>
      </c>
      <c r="AY52" s="1155">
        <f t="shared" si="35"/>
        <v>0</v>
      </c>
      <c r="AZ52" s="1152">
        <f t="shared" si="36"/>
        <v>8</v>
      </c>
      <c r="BA52" s="1146" t="str">
        <f t="shared" si="37"/>
        <v/>
      </c>
      <c r="BB52" s="1165">
        <f>TRUNC(AL52/'Configs &amp; Procedures'!$K$65)</f>
        <v>0</v>
      </c>
      <c r="BC52" s="1165">
        <f t="shared" si="38"/>
        <v>0</v>
      </c>
    </row>
    <row r="53" spans="2:55" ht="13.5" thickBot="1">
      <c r="B53" s="388" t="s">
        <v>86</v>
      </c>
      <c r="C53" s="387">
        <v>4.8</v>
      </c>
      <c r="E53" s="299">
        <v>45</v>
      </c>
      <c r="F53" s="308">
        <f t="shared" ca="1" si="9"/>
        <v>3102.4237710562106</v>
      </c>
      <c r="G53" s="307">
        <f t="shared" ca="1" si="10"/>
        <v>224.4673317922757</v>
      </c>
      <c r="H53" s="306">
        <f t="shared" ca="1" si="11"/>
        <v>0.35986968568376282</v>
      </c>
      <c r="I53" s="305">
        <f t="shared" ca="1" si="16"/>
        <v>113.14019693669172</v>
      </c>
      <c r="J53" s="305">
        <f t="shared" ca="1" si="17"/>
        <v>52.025446157381957</v>
      </c>
      <c r="K53" s="292">
        <f t="shared" ca="1" si="18"/>
        <v>1.6690678860638608</v>
      </c>
      <c r="L53" s="1290">
        <f t="shared" ca="1" si="19"/>
        <v>29.427811323229381</v>
      </c>
      <c r="M53" s="299">
        <v>45</v>
      </c>
      <c r="N53" s="304">
        <f t="shared" si="20"/>
        <v>2894.7281135796957</v>
      </c>
      <c r="O53" s="303">
        <v>303.76009722184722</v>
      </c>
      <c r="P53" s="302">
        <v>0.4521118007614307</v>
      </c>
      <c r="Q53" s="301">
        <v>114.62578229686818</v>
      </c>
      <c r="R53" s="301">
        <v>46.823840655170898</v>
      </c>
      <c r="S53" s="300">
        <v>1.9850646027763772</v>
      </c>
      <c r="T53" s="891">
        <f t="shared" si="21"/>
        <v>2</v>
      </c>
      <c r="U53" s="1220">
        <v>0.3562282919883728</v>
      </c>
      <c r="W53" s="299">
        <v>45</v>
      </c>
      <c r="X53" s="298">
        <f>IF('Donor Sample'!N70="",,IF('Donor Sample'!N70="F",1,0))</f>
        <v>1</v>
      </c>
      <c r="Y53" s="298">
        <f>IF('Donor Sample'!O70="","",'Donor Sample'!O70)</f>
        <v>164</v>
      </c>
      <c r="Z53" s="298">
        <f>IF(AND('Donor Sample'!O70="",'Donor Sample'!P70="",'Donor Sample'!Q70=""),"",IF('Donor Sample'!P70="",ROUND(AA53/($C$32+($AI53-0.5)*$C$31),0),'Donor Sample'!P70))</f>
        <v>57</v>
      </c>
      <c r="AA53" s="297" t="str">
        <f>IF('Donor Sample'!Q70="","",'Donor Sample'!Q70)</f>
        <v/>
      </c>
      <c r="AB53" s="296">
        <f t="shared" si="12"/>
        <v>3638.6701584000002</v>
      </c>
      <c r="AC53" s="295">
        <f>IF('Donor Sample'!R70="","",'Donor Sample'!R70)</f>
        <v>200</v>
      </c>
      <c r="AD53" s="294">
        <f>IF('Donor Sample'!S70="","",'Donor Sample'!S70/100)</f>
        <v>0.33599998474121096</v>
      </c>
      <c r="AE53" s="293">
        <f t="shared" si="23"/>
        <v>125.4</v>
      </c>
      <c r="AF53" s="293">
        <f t="shared" si="24"/>
        <v>64.566929133858267</v>
      </c>
      <c r="AG53" s="292" t="str">
        <f>IF('Donor Sample'!T70="","",'Donor Sample'!T70)</f>
        <v/>
      </c>
      <c r="AH53" s="891">
        <f t="shared" si="25"/>
        <v>4</v>
      </c>
      <c r="AI53" s="1220">
        <v>0.39974111318588257</v>
      </c>
      <c r="AJ53" s="1216"/>
      <c r="AK53" s="317">
        <v>10</v>
      </c>
      <c r="AL53" s="313">
        <f t="shared" si="33"/>
        <v>0</v>
      </c>
      <c r="AM53" s="441">
        <f t="shared" si="31"/>
        <v>0</v>
      </c>
      <c r="AN53" s="312">
        <f t="shared" si="32"/>
        <v>0</v>
      </c>
      <c r="AO53" s="442">
        <f>IF(AL53="","0",IF('Configs &amp; Procedures'!G53="",100000*AL53/$AU$57,'Configs &amp; Procedures'!G53))</f>
        <v>0</v>
      </c>
      <c r="AP53" s="441">
        <f>IF('Configs &amp; Procedures'!D53="",0,'Configs &amp; Procedures'!D53)</f>
        <v>0</v>
      </c>
      <c r="AQ53" s="312">
        <f>IF('Configs &amp; Procedures'!E53="",0,IF('Configs &amp; Procedures'!E53="A",7,IF('Configs &amp; Procedures'!E53="M",8,'Configs &amp; Procedures'!E53)))</f>
        <v>0</v>
      </c>
      <c r="AR53" s="442">
        <f>IF('Configs &amp; Procedures'!F53="",0,'Configs &amp; Procedures'!F53)</f>
        <v>0</v>
      </c>
      <c r="AS53" s="319" t="str">
        <f>IF('Configs &amp; Procedures'!L52="","",'Configs &amp; Procedures'!L52)</f>
        <v/>
      </c>
      <c r="AT53" s="884" t="str">
        <f>IF('Configs &amp; Procedures'!M52="","",'Configs &amp; Procedures'!M52/100)</f>
        <v/>
      </c>
      <c r="AU53" s="1131">
        <f t="shared" si="34"/>
        <v>0</v>
      </c>
      <c r="AV53" s="444">
        <f>IF('Configs &amp; Procedures'!K52&gt;0,'Configs &amp; Procedures'!K52,ROUND(AU53*100000000000/'Configs &amp; Procedures'!$L$21/1000000,0))</f>
        <v>0</v>
      </c>
      <c r="AY53" s="1155">
        <f t="shared" si="35"/>
        <v>0</v>
      </c>
      <c r="AZ53" s="1152">
        <f t="shared" si="36"/>
        <v>9</v>
      </c>
      <c r="BA53" s="1146" t="str">
        <f t="shared" si="37"/>
        <v/>
      </c>
      <c r="BB53" s="1165">
        <f>TRUNC(AL53/'Configs &amp; Procedures'!$K$65)</f>
        <v>0</v>
      </c>
      <c r="BC53" s="1165">
        <f t="shared" si="38"/>
        <v>0</v>
      </c>
    </row>
    <row r="54" spans="2:55" ht="13.5" thickBot="1">
      <c r="B54" s="388" t="s">
        <v>87</v>
      </c>
      <c r="C54" s="387">
        <v>35</v>
      </c>
      <c r="E54" s="299">
        <v>46</v>
      </c>
      <c r="F54" s="308">
        <f t="shared" ca="1" si="9"/>
        <v>3406.8068232792903</v>
      </c>
      <c r="G54" s="307">
        <f t="shared" ca="1" si="10"/>
        <v>272.54499112945535</v>
      </c>
      <c r="H54" s="306">
        <f t="shared" ca="1" si="11"/>
        <v>0.39167517681144631</v>
      </c>
      <c r="I54" s="305">
        <f t="shared" ca="1" si="16"/>
        <v>132.14088498656071</v>
      </c>
      <c r="J54" s="305">
        <f t="shared" ca="1" si="17"/>
        <v>59.702317275445566</v>
      </c>
      <c r="K54" s="292">
        <f t="shared" ca="1" si="18"/>
        <v>1.4279525774312114</v>
      </c>
      <c r="L54" s="1290">
        <f t="shared" ca="1" si="19"/>
        <v>26.099217945846167</v>
      </c>
      <c r="M54" s="299">
        <v>46</v>
      </c>
      <c r="N54" s="304">
        <f t="shared" si="20"/>
        <v>3699.8761502045581</v>
      </c>
      <c r="O54" s="303">
        <v>291.42568537182143</v>
      </c>
      <c r="P54" s="302">
        <v>0.43684150424270279</v>
      </c>
      <c r="Q54" s="301">
        <v>124.87063068656391</v>
      </c>
      <c r="R54" s="301">
        <v>65.554751444287248</v>
      </c>
      <c r="S54" s="300">
        <v>1.776459537357209</v>
      </c>
      <c r="T54" s="891">
        <f t="shared" si="21"/>
        <v>64</v>
      </c>
      <c r="U54" s="1220">
        <v>0.58553206920623779</v>
      </c>
      <c r="W54" s="299">
        <v>46</v>
      </c>
      <c r="X54" s="298">
        <f>IF('Donor Sample'!N71="",,IF('Donor Sample'!N71="F",1,0))</f>
        <v>1</v>
      </c>
      <c r="Y54" s="298">
        <f>IF('Donor Sample'!O71="","",'Donor Sample'!O71)</f>
        <v>164</v>
      </c>
      <c r="Z54" s="298">
        <f>IF(AND('Donor Sample'!O71="",'Donor Sample'!P71="",'Donor Sample'!Q71=""),"",IF('Donor Sample'!P71="",ROUND(AA54/($C$32+($AI54-0.5)*$C$31),0),'Donor Sample'!P71))</f>
        <v>57</v>
      </c>
      <c r="AA54" s="297" t="str">
        <f>IF('Donor Sample'!Q71="","",'Donor Sample'!Q71)</f>
        <v/>
      </c>
      <c r="AB54" s="296">
        <f t="shared" si="12"/>
        <v>3638.6701584000002</v>
      </c>
      <c r="AC54" s="295">
        <f>IF('Donor Sample'!R71="","",'Donor Sample'!R71)</f>
        <v>200</v>
      </c>
      <c r="AD54" s="294">
        <f>IF('Donor Sample'!S71="","",'Donor Sample'!S71/100)</f>
        <v>0.35499999999999998</v>
      </c>
      <c r="AE54" s="407">
        <f t="shared" si="23"/>
        <v>125.4</v>
      </c>
      <c r="AF54" s="293">
        <f t="shared" si="24"/>
        <v>64.566929133858267</v>
      </c>
      <c r="AG54" s="292" t="str">
        <f>IF('Donor Sample'!T71="","",'Donor Sample'!T71)</f>
        <v/>
      </c>
      <c r="AH54" s="891">
        <f t="shared" si="25"/>
        <v>16</v>
      </c>
      <c r="AI54" s="1220">
        <v>0.9574350118637085</v>
      </c>
      <c r="AJ54" s="1216"/>
      <c r="AK54" s="317">
        <v>11</v>
      </c>
      <c r="AL54" s="313">
        <f t="shared" si="33"/>
        <v>0</v>
      </c>
      <c r="AM54" s="441">
        <f t="shared" si="31"/>
        <v>0</v>
      </c>
      <c r="AN54" s="312">
        <f t="shared" si="32"/>
        <v>0</v>
      </c>
      <c r="AO54" s="442">
        <f>IF(AL54="","0",IF('Configs &amp; Procedures'!G54="",100000*AL54/$AU$57,'Configs &amp; Procedures'!G54))</f>
        <v>0</v>
      </c>
      <c r="AP54" s="441">
        <f>IF('Configs &amp; Procedures'!D54="",0,'Configs &amp; Procedures'!D54)</f>
        <v>0</v>
      </c>
      <c r="AQ54" s="312">
        <f>IF('Configs &amp; Procedures'!E54="",0,IF('Configs &amp; Procedures'!E54="A",7,IF('Configs &amp; Procedures'!E54="M",8,'Configs &amp; Procedures'!E54)))</f>
        <v>0</v>
      </c>
      <c r="AR54" s="442">
        <f>IF('Configs &amp; Procedures'!F54="",0,'Configs &amp; Procedures'!F54)</f>
        <v>0</v>
      </c>
      <c r="AS54" s="77"/>
      <c r="AY54" s="1155">
        <f t="shared" si="35"/>
        <v>0</v>
      </c>
      <c r="AZ54" s="1153">
        <f t="shared" si="36"/>
        <v>10</v>
      </c>
      <c r="BA54" s="1147" t="str">
        <f t="shared" si="37"/>
        <v/>
      </c>
      <c r="BB54" s="1165">
        <f>TRUNC(AL54/'Configs &amp; Procedures'!$K$65)</f>
        <v>0</v>
      </c>
      <c r="BC54" s="1165">
        <f t="shared" si="38"/>
        <v>0</v>
      </c>
    </row>
    <row r="55" spans="2:55" ht="13.5" thickBot="1">
      <c r="B55" s="342" t="s">
        <v>88</v>
      </c>
      <c r="C55" s="380">
        <v>55</v>
      </c>
      <c r="E55" s="299">
        <v>47</v>
      </c>
      <c r="F55" s="308">
        <f t="shared" ca="1" si="9"/>
        <v>3019.2352896508787</v>
      </c>
      <c r="G55" s="307">
        <f t="shared" ca="1" si="10"/>
        <v>263.42389634544855</v>
      </c>
      <c r="H55" s="306">
        <f t="shared" ca="1" si="11"/>
        <v>0.38527049523175122</v>
      </c>
      <c r="I55" s="305">
        <f t="shared" ca="1" si="16"/>
        <v>110.14764202586753</v>
      </c>
      <c r="J55" s="305">
        <f t="shared" ca="1" si="17"/>
        <v>51.203441696152844</v>
      </c>
      <c r="K55" s="292">
        <f t="shared" ca="1" si="18"/>
        <v>3.0743947619153804</v>
      </c>
      <c r="L55" s="1290">
        <f t="shared" ca="1" si="19"/>
        <v>29.576689122240072</v>
      </c>
      <c r="M55" s="299">
        <v>47</v>
      </c>
      <c r="N55" s="304">
        <f t="shared" si="20"/>
        <v>3204.3051455559289</v>
      </c>
      <c r="O55" s="303">
        <v>260.49562955313019</v>
      </c>
      <c r="P55" s="302">
        <v>0.4045433989180196</v>
      </c>
      <c r="Q55" s="301">
        <v>127.35278033191138</v>
      </c>
      <c r="R55" s="301">
        <v>49.765021913813079</v>
      </c>
      <c r="S55" s="300">
        <v>3.4058635893853508</v>
      </c>
      <c r="T55" s="891">
        <f t="shared" si="21"/>
        <v>64</v>
      </c>
      <c r="U55" s="1220">
        <v>0.66074329614639282</v>
      </c>
      <c r="W55" s="299">
        <v>47</v>
      </c>
      <c r="X55" s="298">
        <f>IF('Donor Sample'!N72="",,IF('Donor Sample'!N72="F",1,0))</f>
        <v>1</v>
      </c>
      <c r="Y55" s="298">
        <f>IF('Donor Sample'!O72="","",'Donor Sample'!O72)</f>
        <v>158</v>
      </c>
      <c r="Z55" s="298">
        <f>IF(AND('Donor Sample'!O72="",'Donor Sample'!P72="",'Donor Sample'!Q72=""),"",IF('Donor Sample'!P72="",ROUND(AA55/($C$32+($AI55-0.5)*$C$31),0),'Donor Sample'!P72))</f>
        <v>62</v>
      </c>
      <c r="AA55" s="297" t="str">
        <f>IF('Donor Sample'!Q72="","",'Donor Sample'!Q72)</f>
        <v/>
      </c>
      <c r="AB55" s="296">
        <f t="shared" si="12"/>
        <v>3637.8475032000001</v>
      </c>
      <c r="AC55" s="295">
        <f>IF('Donor Sample'!R72="","",'Donor Sample'!R72)</f>
        <v>200</v>
      </c>
      <c r="AD55" s="294">
        <f>IF('Donor Sample'!S72="","",'Donor Sample'!S72/100)</f>
        <v>0.34099998474121096</v>
      </c>
      <c r="AE55" s="293">
        <f t="shared" si="23"/>
        <v>136.4</v>
      </c>
      <c r="AF55" s="293">
        <f t="shared" si="24"/>
        <v>62.204724409448815</v>
      </c>
      <c r="AG55" s="292" t="str">
        <f>IF('Donor Sample'!T72="","",'Donor Sample'!T72)</f>
        <v/>
      </c>
      <c r="AH55" s="891">
        <f t="shared" si="25"/>
        <v>64</v>
      </c>
      <c r="AI55" s="1220">
        <v>0.53771024942398071</v>
      </c>
      <c r="AJ55" s="1216"/>
      <c r="AK55" s="317">
        <v>12</v>
      </c>
      <c r="AL55" s="313">
        <f t="shared" si="33"/>
        <v>0</v>
      </c>
      <c r="AM55" s="441">
        <f t="shared" si="31"/>
        <v>0</v>
      </c>
      <c r="AN55" s="312">
        <f t="shared" si="32"/>
        <v>0</v>
      </c>
      <c r="AO55" s="442">
        <f>IF(AL55="","0",IF('Configs &amp; Procedures'!G55="",100000*AL55/$AU$57,'Configs &amp; Procedures'!G55))</f>
        <v>0</v>
      </c>
      <c r="AP55" s="441">
        <f>IF('Configs &amp; Procedures'!D55="",0,'Configs &amp; Procedures'!D55)</f>
        <v>0</v>
      </c>
      <c r="AQ55" s="312">
        <f>IF('Configs &amp; Procedures'!E55="",0,IF('Configs &amp; Procedures'!E55="A",7,IF('Configs &amp; Procedures'!E55="M",8,'Configs &amp; Procedures'!E55)))</f>
        <v>0</v>
      </c>
      <c r="AR55" s="442">
        <f>IF('Configs &amp; Procedures'!F55="",0,'Configs &amp; Procedures'!F55)</f>
        <v>0</v>
      </c>
      <c r="AS55" s="1638" t="s">
        <v>987</v>
      </c>
      <c r="AT55" s="1639"/>
      <c r="AU55" s="318">
        <f>IF('Configs &amp; Procedures'!L42="Target",1,0)</f>
        <v>1</v>
      </c>
      <c r="AY55" s="1155">
        <f t="shared" si="35"/>
        <v>0</v>
      </c>
      <c r="BB55" s="1165">
        <f>TRUNC(AL55/'Configs &amp; Procedures'!$K$65)</f>
        <v>0</v>
      </c>
      <c r="BC55" s="1165">
        <f t="shared" si="38"/>
        <v>0</v>
      </c>
    </row>
    <row r="56" spans="2:55" ht="13.5" thickBot="1">
      <c r="B56" s="1614" t="s">
        <v>1554</v>
      </c>
      <c r="C56" s="1615"/>
      <c r="E56" s="299">
        <v>48</v>
      </c>
      <c r="F56" s="308">
        <f t="shared" ca="1" si="9"/>
        <v>3861.0800101539562</v>
      </c>
      <c r="G56" s="307">
        <f t="shared" ca="1" si="10"/>
        <v>218.72940532320712</v>
      </c>
      <c r="H56" s="306">
        <f t="shared" ca="1" si="11"/>
        <v>0.42619978306661294</v>
      </c>
      <c r="I56" s="305">
        <f t="shared" ca="1" si="16"/>
        <v>122.47716015855677</v>
      </c>
      <c r="J56" s="305">
        <f t="shared" ca="1" si="17"/>
        <v>62.516177271166121</v>
      </c>
      <c r="K56" s="292">
        <f t="shared" ca="1" si="18"/>
        <v>1.4440208348597134</v>
      </c>
      <c r="L56" s="1290">
        <f t="shared" ca="1" si="19"/>
        <v>22.061901390791419</v>
      </c>
      <c r="M56" s="299">
        <v>48</v>
      </c>
      <c r="N56" s="304">
        <f t="shared" si="20"/>
        <v>3170.3654128830403</v>
      </c>
      <c r="O56" s="303">
        <v>215.01372275830343</v>
      </c>
      <c r="P56" s="302">
        <v>0.43142988769126073</v>
      </c>
      <c r="Q56" s="301">
        <v>104.67341110176267</v>
      </c>
      <c r="R56" s="301">
        <v>55.685838055464643</v>
      </c>
      <c r="S56" s="300">
        <v>5.6830930377422666</v>
      </c>
      <c r="T56" s="891">
        <f t="shared" si="21"/>
        <v>64</v>
      </c>
      <c r="U56" s="1220">
        <v>0.58324193954467773</v>
      </c>
      <c r="W56" s="299">
        <v>48</v>
      </c>
      <c r="X56" s="298">
        <f>IF('Donor Sample'!N73="",,IF('Donor Sample'!N73="F",1,0))</f>
        <v>1</v>
      </c>
      <c r="Y56" s="298">
        <f>IF('Donor Sample'!O73="","",'Donor Sample'!O73)</f>
        <v>158</v>
      </c>
      <c r="Z56" s="298">
        <f>IF(AND('Donor Sample'!O73="",'Donor Sample'!P73="",'Donor Sample'!Q73=""),"",IF('Donor Sample'!P73="",ROUND(AA56/($C$32+($AI56-0.5)*$C$31),0),'Donor Sample'!P73))</f>
        <v>57</v>
      </c>
      <c r="AA56" s="297" t="str">
        <f>IF('Donor Sample'!Q73="","",'Donor Sample'!Q73)</f>
        <v/>
      </c>
      <c r="AB56" s="296">
        <f t="shared" si="12"/>
        <v>3472.5025032000003</v>
      </c>
      <c r="AC56" s="295">
        <f>IF('Donor Sample'!R73="","",'Donor Sample'!R73)</f>
        <v>200</v>
      </c>
      <c r="AD56" s="294">
        <f>IF('Donor Sample'!S73="","",'Donor Sample'!S73/100)</f>
        <v>0.36400001525878906</v>
      </c>
      <c r="AE56" s="293">
        <f t="shared" si="23"/>
        <v>125.4</v>
      </c>
      <c r="AF56" s="293">
        <f t="shared" si="24"/>
        <v>62.204724409448815</v>
      </c>
      <c r="AG56" s="292" t="str">
        <f>IF('Donor Sample'!T73="","",'Donor Sample'!T73)</f>
        <v/>
      </c>
      <c r="AH56" s="891">
        <f t="shared" si="25"/>
        <v>64</v>
      </c>
      <c r="AI56" s="1220">
        <v>0.47431373596191406</v>
      </c>
      <c r="AJ56" s="1216"/>
      <c r="AK56" s="317">
        <v>13</v>
      </c>
      <c r="AL56" s="313">
        <f t="shared" si="33"/>
        <v>0</v>
      </c>
      <c r="AM56" s="441">
        <f t="shared" si="31"/>
        <v>0</v>
      </c>
      <c r="AN56" s="312">
        <f t="shared" si="32"/>
        <v>0</v>
      </c>
      <c r="AO56" s="442">
        <f>IF(AL56="","0",IF('Configs &amp; Procedures'!G56="",100000*AL56/$AU$57,'Configs &amp; Procedures'!G56))</f>
        <v>0</v>
      </c>
      <c r="AP56" s="441">
        <f>IF('Configs &amp; Procedures'!D56="",0,'Configs &amp; Procedures'!D56)</f>
        <v>0</v>
      </c>
      <c r="AQ56" s="312">
        <f>IF('Configs &amp; Procedures'!E56="",0,IF('Configs &amp; Procedures'!E56="A",7,IF('Configs &amp; Procedures'!E56="M",8,'Configs &amp; Procedures'!E56)))</f>
        <v>0</v>
      </c>
      <c r="AR56" s="442">
        <f>IF('Configs &amp; Procedures'!F56="",0,'Configs &amp; Procedures'!F56)</f>
        <v>0</v>
      </c>
      <c r="AS56" s="1628" t="s">
        <v>986</v>
      </c>
      <c r="AT56" s="1629"/>
      <c r="AU56" s="316">
        <f>'Configs &amp; Procedures'!L25/100</f>
        <v>0.12</v>
      </c>
      <c r="AY56" s="1155">
        <f t="shared" si="35"/>
        <v>0</v>
      </c>
      <c r="BB56" s="1165">
        <f>TRUNC(AL56/'Configs &amp; Procedures'!$K$65)</f>
        <v>0</v>
      </c>
      <c r="BC56" s="1165">
        <f t="shared" si="38"/>
        <v>0</v>
      </c>
    </row>
    <row r="57" spans="2:55" ht="13.5" thickBot="1">
      <c r="B57" s="369" t="s">
        <v>66</v>
      </c>
      <c r="C57" s="405">
        <f t="shared" ref="C57:C68" si="39">ABS(C7-C44)</f>
        <v>0</v>
      </c>
      <c r="E57" s="299">
        <v>49</v>
      </c>
      <c r="F57" s="308">
        <f t="shared" ca="1" si="9"/>
        <v>3532.9277980856987</v>
      </c>
      <c r="G57" s="307">
        <f t="shared" ca="1" si="10"/>
        <v>213.78196586438202</v>
      </c>
      <c r="H57" s="306">
        <f t="shared" ca="1" si="11"/>
        <v>0.40132490307415208</v>
      </c>
      <c r="I57" s="305">
        <f t="shared" ca="1" si="16"/>
        <v>132.22414046022391</v>
      </c>
      <c r="J57" s="305">
        <f t="shared" ca="1" si="17"/>
        <v>54.967150678547796</v>
      </c>
      <c r="K57" s="292">
        <f t="shared" ca="1" si="18"/>
        <v>6.4862537348046745</v>
      </c>
      <c r="L57" s="1290">
        <f t="shared" ca="1" si="19"/>
        <v>30.808954544261965</v>
      </c>
      <c r="M57" s="299">
        <v>49</v>
      </c>
      <c r="N57" s="304">
        <f t="shared" si="20"/>
        <v>3960.417713992354</v>
      </c>
      <c r="O57" s="303">
        <v>265.9059646830413</v>
      </c>
      <c r="P57" s="302">
        <v>0.42858338439575933</v>
      </c>
      <c r="Q57" s="301">
        <v>132.46729604096527</v>
      </c>
      <c r="R57" s="301">
        <v>61.849154619004736</v>
      </c>
      <c r="S57" s="300">
        <v>1.5567705568312153</v>
      </c>
      <c r="T57" s="891">
        <f t="shared" si="21"/>
        <v>2</v>
      </c>
      <c r="U57" s="1220">
        <v>5.8849036693572998E-2</v>
      </c>
      <c r="W57" s="299">
        <v>49</v>
      </c>
      <c r="X57" s="298">
        <f>IF('Donor Sample'!N74="",,IF('Donor Sample'!N74="F",1,0))</f>
        <v>1</v>
      </c>
      <c r="Y57" s="298">
        <f>IF('Donor Sample'!O74="","",'Donor Sample'!O74)</f>
        <v>165</v>
      </c>
      <c r="Z57" s="298">
        <f>IF(AND('Donor Sample'!O74="",'Donor Sample'!P74="",'Donor Sample'!Q74=""),"",IF('Donor Sample'!P74="",ROUND(AA57/($C$32+($AI57-0.5)*$C$31),0),'Donor Sample'!P74))</f>
        <v>54</v>
      </c>
      <c r="AA57" s="297" t="str">
        <f>IF('Donor Sample'!Q74="","",'Donor Sample'!Q74)</f>
        <v/>
      </c>
      <c r="AB57" s="296">
        <f t="shared" si="12"/>
        <v>3568.3717125000003</v>
      </c>
      <c r="AC57" s="295">
        <f>IF('Donor Sample'!R74="","",'Donor Sample'!R74)</f>
        <v>200</v>
      </c>
      <c r="AD57" s="294">
        <f>IF('Donor Sample'!S74="","",'Donor Sample'!S74/100)</f>
        <v>0.35</v>
      </c>
      <c r="AE57" s="407">
        <f t="shared" si="23"/>
        <v>118.80000000000001</v>
      </c>
      <c r="AF57" s="293">
        <f t="shared" si="24"/>
        <v>64.960629921259837</v>
      </c>
      <c r="AG57" s="292" t="str">
        <f>IF('Donor Sample'!T74="","",'Donor Sample'!T74)</f>
        <v/>
      </c>
      <c r="AH57" s="891">
        <f t="shared" si="25"/>
        <v>2</v>
      </c>
      <c r="AI57" s="1220">
        <v>0.31971567869186401</v>
      </c>
      <c r="AJ57" s="1216"/>
      <c r="AK57" s="314">
        <v>14</v>
      </c>
      <c r="AL57" s="313">
        <f t="shared" si="33"/>
        <v>0</v>
      </c>
      <c r="AM57" s="441">
        <f t="shared" si="31"/>
        <v>0</v>
      </c>
      <c r="AN57" s="312">
        <f t="shared" si="32"/>
        <v>0</v>
      </c>
      <c r="AO57" s="442">
        <f>IF(AL57="","0",IF('Configs &amp; Procedures'!G57="",100000*AL57/$AU$57,'Configs &amp; Procedures'!G57))</f>
        <v>0</v>
      </c>
      <c r="AP57" s="441">
        <f>IF('Configs &amp; Procedures'!D57="",0,'Configs &amp; Procedures'!D57)</f>
        <v>0</v>
      </c>
      <c r="AQ57" s="312">
        <f>IF('Configs &amp; Procedures'!E57="",0,IF('Configs &amp; Procedures'!E57="A",7,IF('Configs &amp; Procedures'!E57="M",8,'Configs &amp; Procedures'!E57)))</f>
        <v>0</v>
      </c>
      <c r="AR57" s="442">
        <f>IF('Configs &amp; Procedures'!F57="",0,'Configs &amp; Procedures'!F57)</f>
        <v>0</v>
      </c>
      <c r="AS57" s="1630" t="s">
        <v>985</v>
      </c>
      <c r="AT57" s="1631"/>
      <c r="AU57" s="315">
        <f>'Configs &amp; Procedures'!L21</f>
        <v>1550</v>
      </c>
      <c r="AY57" s="1155">
        <f t="shared" si="35"/>
        <v>0</v>
      </c>
      <c r="BB57" s="1165">
        <f>TRUNC(AL57/'Configs &amp; Procedures'!$K$65)</f>
        <v>0</v>
      </c>
      <c r="BC57" s="1165">
        <f t="shared" si="38"/>
        <v>0</v>
      </c>
    </row>
    <row r="58" spans="2:55">
      <c r="B58" s="388" t="s">
        <v>67</v>
      </c>
      <c r="C58" s="400">
        <f t="shared" si="39"/>
        <v>0</v>
      </c>
      <c r="E58" s="299">
        <v>50</v>
      </c>
      <c r="F58" s="308">
        <f t="shared" ca="1" si="9"/>
        <v>3494.2185980088593</v>
      </c>
      <c r="G58" s="307">
        <f t="shared" ca="1" si="10"/>
        <v>161.36424720669214</v>
      </c>
      <c r="H58" s="306">
        <f t="shared" ca="1" si="11"/>
        <v>0.53617045016098064</v>
      </c>
      <c r="I58" s="305">
        <f t="shared" ca="1" si="16"/>
        <v>131.53936949833687</v>
      </c>
      <c r="J58" s="305">
        <f t="shared" ca="1" si="17"/>
        <v>54.435140359529115</v>
      </c>
      <c r="K58" s="292">
        <f t="shared" ca="1" si="18"/>
        <v>2.2665347338477275</v>
      </c>
      <c r="L58" s="1290">
        <f t="shared" ca="1" si="19"/>
        <v>31.251417500503123</v>
      </c>
      <c r="M58" s="299">
        <v>50</v>
      </c>
      <c r="N58" s="304">
        <f t="shared" si="20"/>
        <v>4061.4265010252025</v>
      </c>
      <c r="O58" s="303">
        <v>276.64139914422589</v>
      </c>
      <c r="P58" s="302">
        <v>0.37912102321351504</v>
      </c>
      <c r="Q58" s="301">
        <v>149.61424469283588</v>
      </c>
      <c r="R58" s="301">
        <v>59.604145507178281</v>
      </c>
      <c r="S58" s="300">
        <v>2.7282394376983881</v>
      </c>
      <c r="T58" s="891">
        <f t="shared" si="21"/>
        <v>256</v>
      </c>
      <c r="U58" s="1220">
        <v>0.84021866321563721</v>
      </c>
      <c r="W58" s="299">
        <v>50</v>
      </c>
      <c r="X58" s="298">
        <f>IF('Donor Sample'!N75="",,IF('Donor Sample'!N75="F",1,0))</f>
        <v>1</v>
      </c>
      <c r="Y58" s="298">
        <f>IF('Donor Sample'!O75="","",'Donor Sample'!O75)</f>
        <v>168</v>
      </c>
      <c r="Z58" s="298">
        <f>IF(AND('Donor Sample'!O75="",'Donor Sample'!P75="",'Donor Sample'!Q75=""),"",IF('Donor Sample'!P75="",ROUND(AA58/($C$32+($AI58-0.5)*$C$31),0),'Donor Sample'!P75))</f>
        <v>50</v>
      </c>
      <c r="AA58" s="297" t="str">
        <f>IF('Donor Sample'!Q75="","",'Donor Sample'!Q75)</f>
        <v/>
      </c>
      <c r="AB58" s="296">
        <f t="shared" si="12"/>
        <v>3524.9451552</v>
      </c>
      <c r="AC58" s="295">
        <f>IF('Donor Sample'!R75="","",'Donor Sample'!R75)</f>
        <v>200</v>
      </c>
      <c r="AD58" s="294">
        <f>IF('Donor Sample'!S75="","",'Donor Sample'!S75/100)</f>
        <v>0.38599998474121094</v>
      </c>
      <c r="AE58" s="293">
        <f t="shared" si="23"/>
        <v>110.00000000000001</v>
      </c>
      <c r="AF58" s="293">
        <f t="shared" si="24"/>
        <v>66.141732283464563</v>
      </c>
      <c r="AG58" s="292" t="str">
        <f>IF('Donor Sample'!T75="","",'Donor Sample'!T75)</f>
        <v/>
      </c>
      <c r="AH58" s="891">
        <f t="shared" si="25"/>
        <v>64</v>
      </c>
      <c r="AI58" s="1220">
        <v>0.75537264347076416</v>
      </c>
      <c r="AJ58" s="1216"/>
      <c r="AK58" s="314">
        <v>15</v>
      </c>
      <c r="AL58" s="313">
        <f t="shared" si="33"/>
        <v>0</v>
      </c>
      <c r="AM58" s="441">
        <f t="shared" si="31"/>
        <v>0</v>
      </c>
      <c r="AN58" s="312">
        <f t="shared" si="32"/>
        <v>0</v>
      </c>
      <c r="AO58" s="442">
        <f>IF(AL58="","0",IF('Configs &amp; Procedures'!G58="",100000*AL58/$AU$57,'Configs &amp; Procedures'!G58))</f>
        <v>0</v>
      </c>
      <c r="AP58" s="441">
        <f>IF('Configs &amp; Procedures'!D58="",0,'Configs &amp; Procedures'!D58)</f>
        <v>0</v>
      </c>
      <c r="AQ58" s="312">
        <f>IF('Configs &amp; Procedures'!E58="",0,IF('Configs &amp; Procedures'!E58="A",7,IF('Configs &amp; Procedures'!E58="M",8,'Configs &amp; Procedures'!E58)))</f>
        <v>0</v>
      </c>
      <c r="AR58" s="442">
        <f>IF('Configs &amp; Procedures'!F58="",0,'Configs &amp; Procedures'!F58)</f>
        <v>0</v>
      </c>
      <c r="AS58" s="77"/>
      <c r="AY58" s="1155">
        <f t="shared" si="35"/>
        <v>0</v>
      </c>
      <c r="BB58" s="1165">
        <f>TRUNC(AL58/'Configs &amp; Procedures'!$K$65)</f>
        <v>0</v>
      </c>
      <c r="BC58" s="1165">
        <f t="shared" si="38"/>
        <v>0</v>
      </c>
    </row>
    <row r="59" spans="2:55">
      <c r="B59" s="388" t="s">
        <v>68</v>
      </c>
      <c r="C59" s="400">
        <f t="shared" si="39"/>
        <v>0</v>
      </c>
      <c r="E59" s="299">
        <v>51</v>
      </c>
      <c r="F59" s="308">
        <f t="shared" ca="1" si="9"/>
        <v>3172.8808637676802</v>
      </c>
      <c r="G59" s="307">
        <f t="shared" ca="1" si="10"/>
        <v>189.07734295900727</v>
      </c>
      <c r="H59" s="306">
        <f t="shared" ca="1" si="11"/>
        <v>0.4292638766635728</v>
      </c>
      <c r="I59" s="305">
        <f t="shared" ca="1" si="16"/>
        <v>132.92858209936219</v>
      </c>
      <c r="J59" s="305">
        <f t="shared" ca="1" si="17"/>
        <v>47.098676679379103</v>
      </c>
      <c r="K59" s="292">
        <f t="shared" ca="1" si="18"/>
        <v>1.6673933265526648</v>
      </c>
      <c r="L59" s="1290">
        <f t="shared" ca="1" si="19"/>
        <v>42.18651221361047</v>
      </c>
      <c r="M59" s="299">
        <v>51</v>
      </c>
      <c r="N59" s="304">
        <f t="shared" si="20"/>
        <v>3414.4459001442447</v>
      </c>
      <c r="O59" s="303">
        <v>260.45223568101136</v>
      </c>
      <c r="P59" s="302">
        <v>0.38609165052304223</v>
      </c>
      <c r="Q59" s="301">
        <v>128.45900806907397</v>
      </c>
      <c r="R59" s="301">
        <v>53.776054448760362</v>
      </c>
      <c r="S59" s="300">
        <v>2.239625325287308</v>
      </c>
      <c r="T59" s="891">
        <f t="shared" si="21"/>
        <v>2</v>
      </c>
      <c r="U59" s="1220">
        <v>5.903702974319458E-2</v>
      </c>
      <c r="W59" s="299">
        <v>51</v>
      </c>
      <c r="X59" s="298">
        <f>IF('Donor Sample'!N76="",,IF('Donor Sample'!N76="F",1,0))</f>
        <v>1</v>
      </c>
      <c r="Y59" s="298">
        <f>IF('Donor Sample'!O76="","",'Donor Sample'!O76)</f>
        <v>163</v>
      </c>
      <c r="Z59" s="298">
        <f>IF(AND('Donor Sample'!O76="",'Donor Sample'!P76="",'Donor Sample'!Q76=""),"",IF('Donor Sample'!P76="",ROUND(AA59/($C$32+($AI59-0.5)*$C$31),0),'Donor Sample'!P76))</f>
        <v>55</v>
      </c>
      <c r="AA59" s="297" t="str">
        <f>IF('Donor Sample'!Q76="","",'Donor Sample'!Q76)</f>
        <v/>
      </c>
      <c r="AB59" s="296">
        <f t="shared" si="12"/>
        <v>3543.9740067000002</v>
      </c>
      <c r="AC59" s="295">
        <f>IF('Donor Sample'!R76="","",'Donor Sample'!R76)</f>
        <v>200</v>
      </c>
      <c r="AD59" s="294">
        <f>IF('Donor Sample'!S76="","",'Donor Sample'!S76/100)</f>
        <v>0.34700000762939454</v>
      </c>
      <c r="AE59" s="293">
        <f t="shared" si="23"/>
        <v>121.00000000000001</v>
      </c>
      <c r="AF59" s="293">
        <f t="shared" si="24"/>
        <v>64.173228346456696</v>
      </c>
      <c r="AG59" s="292" t="str">
        <f>IF('Donor Sample'!T76="","",'Donor Sample'!T76)</f>
        <v/>
      </c>
      <c r="AH59" s="891">
        <f t="shared" si="25"/>
        <v>64</v>
      </c>
      <c r="AI59" s="1220">
        <v>0.72031337022781372</v>
      </c>
      <c r="AJ59" s="1216"/>
      <c r="AK59" s="314">
        <v>16</v>
      </c>
      <c r="AL59" s="313">
        <f t="shared" si="33"/>
        <v>0</v>
      </c>
      <c r="AM59" s="441">
        <f t="shared" si="31"/>
        <v>0</v>
      </c>
      <c r="AN59" s="312">
        <f t="shared" si="32"/>
        <v>0</v>
      </c>
      <c r="AO59" s="442">
        <f>IF(AL59="","0",IF('Configs &amp; Procedures'!G59="",100000*AL59/$AU$57,'Configs &amp; Procedures'!G59))</f>
        <v>0</v>
      </c>
      <c r="AP59" s="441">
        <f>IF('Configs &amp; Procedures'!D59="",0,'Configs &amp; Procedures'!D59)</f>
        <v>0</v>
      </c>
      <c r="AQ59" s="312">
        <f>IF('Configs &amp; Procedures'!E59="",0,IF('Configs &amp; Procedures'!E59="A",7,IF('Configs &amp; Procedures'!E59="M",8,'Configs &amp; Procedures'!E59)))</f>
        <v>0</v>
      </c>
      <c r="AR59" s="442">
        <f>IF('Configs &amp; Procedures'!F59="",0,'Configs &amp; Procedures'!F59)</f>
        <v>0</v>
      </c>
      <c r="AS59" s="77"/>
      <c r="AY59" s="1155">
        <f t="shared" si="35"/>
        <v>0</v>
      </c>
      <c r="BB59" s="1165">
        <f>TRUNC(AL59/'Configs &amp; Procedures'!$K$65)</f>
        <v>0</v>
      </c>
      <c r="BC59" s="1165">
        <f t="shared" si="38"/>
        <v>0</v>
      </c>
    </row>
    <row r="60" spans="2:55" ht="13.5" thickBot="1">
      <c r="B60" s="342" t="s">
        <v>70</v>
      </c>
      <c r="C60" s="395">
        <f t="shared" si="39"/>
        <v>0</v>
      </c>
      <c r="E60" s="299">
        <v>52</v>
      </c>
      <c r="F60" s="308">
        <f t="shared" ca="1" si="9"/>
        <v>3769.2678369393548</v>
      </c>
      <c r="G60" s="307">
        <f t="shared" ca="1" si="10"/>
        <v>169.67826590099355</v>
      </c>
      <c r="H60" s="306">
        <f t="shared" ca="1" si="11"/>
        <v>0.37478395617547816</v>
      </c>
      <c r="I60" s="305">
        <f t="shared" ca="1" si="16"/>
        <v>138.16715592445499</v>
      </c>
      <c r="J60" s="305">
        <f t="shared" ca="1" si="17"/>
        <v>57.585227757997416</v>
      </c>
      <c r="K60" s="292">
        <f t="shared" ca="1" si="18"/>
        <v>2.5518708795706648</v>
      </c>
      <c r="L60" s="1290">
        <f t="shared" ca="1" si="19"/>
        <v>29.332920110791768</v>
      </c>
      <c r="M60" s="299">
        <v>52</v>
      </c>
      <c r="N60" s="304">
        <f t="shared" si="20"/>
        <v>3150.7128131553327</v>
      </c>
      <c r="O60" s="303">
        <v>240.59508199393477</v>
      </c>
      <c r="P60" s="302">
        <v>0.38467440715883777</v>
      </c>
      <c r="Q60" s="301">
        <v>120.12381819689678</v>
      </c>
      <c r="R60" s="301">
        <v>50.901909426330114</v>
      </c>
      <c r="S60" s="300">
        <v>3.2185601246996018</v>
      </c>
      <c r="T60" s="891">
        <f t="shared" si="21"/>
        <v>2</v>
      </c>
      <c r="U60" s="1220">
        <v>0.15130019187927246</v>
      </c>
      <c r="W60" s="299">
        <v>52</v>
      </c>
      <c r="X60" s="298">
        <f>IF('Donor Sample'!N77="",,IF('Donor Sample'!N77="F",1,0))</f>
        <v>1</v>
      </c>
      <c r="Y60" s="298">
        <f>IF('Donor Sample'!O77="","",'Donor Sample'!O77)</f>
        <v>158</v>
      </c>
      <c r="Z60" s="298">
        <f>IF(AND('Donor Sample'!O77="",'Donor Sample'!P77="",'Donor Sample'!Q77=""),"",IF('Donor Sample'!P77="",ROUND(AA60/($C$32+($AI60-0.5)*$C$31),0),'Donor Sample'!P77))</f>
        <v>58</v>
      </c>
      <c r="AA60" s="297" t="str">
        <f>IF('Donor Sample'!Q77="","",'Donor Sample'!Q77)</f>
        <v/>
      </c>
      <c r="AB60" s="296">
        <f t="shared" si="12"/>
        <v>3505.5715031999998</v>
      </c>
      <c r="AC60" s="295">
        <f>IF('Donor Sample'!R77="","",'Donor Sample'!R77)</f>
        <v>200</v>
      </c>
      <c r="AD60" s="294">
        <f>IF('Donor Sample'!S77="","",'Donor Sample'!S77/100)</f>
        <v>0.38200000762939451</v>
      </c>
      <c r="AE60" s="407">
        <f t="shared" si="23"/>
        <v>127.60000000000001</v>
      </c>
      <c r="AF60" s="293">
        <f t="shared" si="24"/>
        <v>62.204724409448815</v>
      </c>
      <c r="AG60" s="292" t="str">
        <f>IF('Donor Sample'!T77="","",'Donor Sample'!T77)</f>
        <v/>
      </c>
      <c r="AH60" s="891">
        <f t="shared" si="25"/>
        <v>64</v>
      </c>
      <c r="AI60" s="1220">
        <v>0.44725632667541504</v>
      </c>
      <c r="AJ60" s="1216"/>
      <c r="AK60" s="314">
        <v>17</v>
      </c>
      <c r="AL60" s="313">
        <f t="shared" si="33"/>
        <v>0</v>
      </c>
      <c r="AM60" s="441">
        <f t="shared" si="31"/>
        <v>0</v>
      </c>
      <c r="AN60" s="312">
        <f t="shared" si="32"/>
        <v>0</v>
      </c>
      <c r="AO60" s="442">
        <f>IF(AL60="","0",IF('Configs &amp; Procedures'!G60="",100000*AL60/$AU$57,'Configs &amp; Procedures'!G60))</f>
        <v>0</v>
      </c>
      <c r="AP60" s="441">
        <f>IF('Configs &amp; Procedures'!D60="",0,'Configs &amp; Procedures'!D60)</f>
        <v>0</v>
      </c>
      <c r="AQ60" s="312">
        <f>IF('Configs &amp; Procedures'!E60="",0,IF('Configs &amp; Procedures'!E60="A",7,IF('Configs &amp; Procedures'!E60="M",8,'Configs &amp; Procedures'!E60)))</f>
        <v>0</v>
      </c>
      <c r="AR60" s="442">
        <f>IF('Configs &amp; Procedures'!F60="",0,'Configs &amp; Procedures'!F60)</f>
        <v>0</v>
      </c>
      <c r="AS60" s="77"/>
      <c r="AY60" s="1155">
        <f t="shared" si="35"/>
        <v>0</v>
      </c>
      <c r="BB60" s="1165">
        <f>TRUNC(AL60/'Configs &amp; Procedures'!$K$65)</f>
        <v>0</v>
      </c>
      <c r="BC60" s="1165">
        <f t="shared" si="38"/>
        <v>0</v>
      </c>
    </row>
    <row r="61" spans="2:55">
      <c r="B61" s="369" t="s">
        <v>72</v>
      </c>
      <c r="C61" s="405">
        <f t="shared" si="39"/>
        <v>0</v>
      </c>
      <c r="E61" s="299">
        <v>53</v>
      </c>
      <c r="F61" s="308">
        <f t="shared" ca="1" si="9"/>
        <v>3416.766310657561</v>
      </c>
      <c r="G61" s="307">
        <f t="shared" ca="1" si="10"/>
        <v>219.40435360743336</v>
      </c>
      <c r="H61" s="306">
        <f t="shared" ca="1" si="11"/>
        <v>0.36710844801829867</v>
      </c>
      <c r="I61" s="305">
        <f t="shared" ca="1" si="16"/>
        <v>141.03171896532305</v>
      </c>
      <c r="J61" s="305">
        <f t="shared" ca="1" si="17"/>
        <v>50.048814907288879</v>
      </c>
      <c r="K61" s="292">
        <f t="shared" ca="1" si="18"/>
        <v>5.7877445351025472</v>
      </c>
      <c r="L61" s="1290">
        <f t="shared" ca="1" si="19"/>
        <v>39.637099027644801</v>
      </c>
      <c r="M61" s="299">
        <v>53</v>
      </c>
      <c r="N61" s="304">
        <f t="shared" si="20"/>
        <v>3245.1796214523479</v>
      </c>
      <c r="O61" s="303">
        <v>221.90447211560434</v>
      </c>
      <c r="P61" s="302">
        <v>0.36564851152933514</v>
      </c>
      <c r="Q61" s="301">
        <v>128.61901598104424</v>
      </c>
      <c r="R61" s="301">
        <v>50.26126249212809</v>
      </c>
      <c r="S61" s="300">
        <v>3.2042594254822245</v>
      </c>
      <c r="T61" s="891">
        <f t="shared" si="21"/>
        <v>2</v>
      </c>
      <c r="U61" s="1220">
        <v>0.31585592031478882</v>
      </c>
      <c r="W61" s="299">
        <v>53</v>
      </c>
      <c r="X61" s="298">
        <f>IF('Donor Sample'!N78="",,IF('Donor Sample'!N78="F",1,0))</f>
        <v>1</v>
      </c>
      <c r="Y61" s="298">
        <f>IF('Donor Sample'!O78="","",'Donor Sample'!O78)</f>
        <v>160</v>
      </c>
      <c r="Z61" s="298">
        <f>IF(AND('Donor Sample'!O78="",'Donor Sample'!P78="",'Donor Sample'!Q78=""),"",IF('Donor Sample'!P78="",ROUND(AA61/($C$32+($AI61-0.5)*$C$31),0),'Donor Sample'!P78))</f>
        <v>55</v>
      </c>
      <c r="AA61" s="297" t="str">
        <f>IF('Donor Sample'!Q78="","",'Donor Sample'!Q78)</f>
        <v/>
      </c>
      <c r="AB61" s="296">
        <f t="shared" si="12"/>
        <v>3460.3806</v>
      </c>
      <c r="AC61" s="295">
        <f>IF('Donor Sample'!R78="","",'Donor Sample'!R78)</f>
        <v>200</v>
      </c>
      <c r="AD61" s="294">
        <f>IF('Donor Sample'!S78="","",'Donor Sample'!S78/100)</f>
        <v>0.39200000762939452</v>
      </c>
      <c r="AE61" s="293">
        <f t="shared" si="23"/>
        <v>121.00000000000001</v>
      </c>
      <c r="AF61" s="293">
        <f t="shared" si="24"/>
        <v>62.99212598425197</v>
      </c>
      <c r="AG61" s="292" t="str">
        <f>IF('Donor Sample'!T78="","",'Donor Sample'!T78)</f>
        <v/>
      </c>
      <c r="AH61" s="891">
        <f t="shared" si="25"/>
        <v>2</v>
      </c>
      <c r="AI61" s="1220">
        <v>8.8632047176361084E-2</v>
      </c>
      <c r="AJ61" s="1216"/>
      <c r="AK61" s="314">
        <v>18</v>
      </c>
      <c r="AL61" s="313">
        <f t="shared" si="33"/>
        <v>0</v>
      </c>
      <c r="AM61" s="441">
        <f t="shared" si="31"/>
        <v>0</v>
      </c>
      <c r="AN61" s="312">
        <f t="shared" si="32"/>
        <v>0</v>
      </c>
      <c r="AO61" s="442">
        <f>IF(AL61="","0",IF('Configs &amp; Procedures'!G61="",100000*AL61/$AU$57,'Configs &amp; Procedures'!G61))</f>
        <v>0</v>
      </c>
      <c r="AP61" s="441">
        <f>IF('Configs &amp; Procedures'!D61="",0,'Configs &amp; Procedures'!D61)</f>
        <v>0</v>
      </c>
      <c r="AQ61" s="312">
        <f>IF('Configs &amp; Procedures'!E61="",0,IF('Configs &amp; Procedures'!E61="A",7,IF('Configs &amp; Procedures'!E61="M",8,'Configs &amp; Procedures'!E61)))</f>
        <v>0</v>
      </c>
      <c r="AR61" s="442">
        <f>IF('Configs &amp; Procedures'!F61="",0,'Configs &amp; Procedures'!F61)</f>
        <v>0</v>
      </c>
      <c r="AS61" s="77"/>
      <c r="AY61" s="1155">
        <f t="shared" si="35"/>
        <v>0</v>
      </c>
      <c r="BB61" s="1165">
        <f>TRUNC(AL61/'Configs &amp; Procedures'!$K$65)</f>
        <v>0</v>
      </c>
      <c r="BC61" s="1165">
        <f t="shared" si="38"/>
        <v>0</v>
      </c>
    </row>
    <row r="62" spans="2:55">
      <c r="B62" s="388" t="s">
        <v>73</v>
      </c>
      <c r="C62" s="400">
        <f t="shared" si="39"/>
        <v>0</v>
      </c>
      <c r="E62" s="299">
        <v>54</v>
      </c>
      <c r="F62" s="308">
        <f t="shared" ca="1" si="9"/>
        <v>2899.7005343787428</v>
      </c>
      <c r="G62" s="307">
        <f t="shared" ca="1" si="10"/>
        <v>215.47205770732737</v>
      </c>
      <c r="H62" s="306">
        <f t="shared" ca="1" si="11"/>
        <v>0.40039859974077979</v>
      </c>
      <c r="I62" s="305">
        <f t="shared" ca="1" si="16"/>
        <v>106.42628883487453</v>
      </c>
      <c r="J62" s="305">
        <f t="shared" ca="1" si="17"/>
        <v>49.785658591264315</v>
      </c>
      <c r="K62" s="292">
        <f t="shared" ca="1" si="18"/>
        <v>1.2694462165782288</v>
      </c>
      <c r="L62" s="1290">
        <f t="shared" ca="1" si="19"/>
        <v>30.228254097096602</v>
      </c>
      <c r="M62" s="299">
        <v>54</v>
      </c>
      <c r="N62" s="304">
        <f t="shared" si="20"/>
        <v>3647.0783113334246</v>
      </c>
      <c r="O62" s="303">
        <v>230.30537035558729</v>
      </c>
      <c r="P62" s="302">
        <v>0.48185528793555277</v>
      </c>
      <c r="Q62" s="301">
        <v>118.65376357319789</v>
      </c>
      <c r="R62" s="301">
        <v>60.186412967009836</v>
      </c>
      <c r="S62" s="300">
        <v>1.7220873290272458</v>
      </c>
      <c r="T62" s="891">
        <f t="shared" si="21"/>
        <v>64</v>
      </c>
      <c r="U62" s="1220">
        <v>0.43565309047698975</v>
      </c>
      <c r="W62" s="299">
        <v>54</v>
      </c>
      <c r="X62" s="298">
        <f>IF('Donor Sample'!N79="",,IF('Donor Sample'!N79="F",1,0))</f>
        <v>1</v>
      </c>
      <c r="Y62" s="298">
        <f>IF('Donor Sample'!O79="","",'Donor Sample'!O79)</f>
        <v>156</v>
      </c>
      <c r="Z62" s="298">
        <f>IF(AND('Donor Sample'!O79="",'Donor Sample'!P79="",'Donor Sample'!Q79=""),"",IF('Donor Sample'!P79="",ROUND(AA62/($C$32+($AI62-0.5)*$C$31),0),'Donor Sample'!P79))</f>
        <v>60</v>
      </c>
      <c r="AA62" s="297" t="str">
        <f>IF('Donor Sample'!Q79="","",'Donor Sample'!Q79)</f>
        <v/>
      </c>
      <c r="AB62" s="296">
        <f t="shared" si="12"/>
        <v>3519.0437376</v>
      </c>
      <c r="AC62" s="295">
        <f>IF('Donor Sample'!R79="","",'Donor Sample'!R79)</f>
        <v>200</v>
      </c>
      <c r="AD62" s="294">
        <f>IF('Donor Sample'!S79="","",'Donor Sample'!S79/100)</f>
        <v>0.34799999237060547</v>
      </c>
      <c r="AE62" s="293">
        <f t="shared" si="23"/>
        <v>132</v>
      </c>
      <c r="AF62" s="293">
        <f t="shared" si="24"/>
        <v>61.417322834645667</v>
      </c>
      <c r="AG62" s="292" t="str">
        <f>IF('Donor Sample'!T79="","",'Donor Sample'!T79)</f>
        <v/>
      </c>
      <c r="AH62" s="891">
        <f t="shared" si="25"/>
        <v>64</v>
      </c>
      <c r="AI62" s="1220">
        <v>0.63539111614227295</v>
      </c>
      <c r="AJ62" s="1216"/>
      <c r="AK62" s="314">
        <v>19</v>
      </c>
      <c r="AL62" s="313">
        <f t="shared" si="33"/>
        <v>0</v>
      </c>
      <c r="AM62" s="441">
        <f t="shared" si="31"/>
        <v>0</v>
      </c>
      <c r="AN62" s="312">
        <f t="shared" si="32"/>
        <v>0</v>
      </c>
      <c r="AO62" s="442">
        <f>IF(AL62="","0",IF('Configs &amp; Procedures'!G62="",100000*AL62/$AU$57,'Configs &amp; Procedures'!G62))</f>
        <v>0</v>
      </c>
      <c r="AP62" s="441">
        <f>IF('Configs &amp; Procedures'!D62="",0,'Configs &amp; Procedures'!D62)</f>
        <v>0</v>
      </c>
      <c r="AQ62" s="312">
        <f>IF('Configs &amp; Procedures'!E62="",0,IF('Configs &amp; Procedures'!E62="A",7,IF('Configs &amp; Procedures'!E62="M",8,'Configs &amp; Procedures'!E62)))</f>
        <v>0</v>
      </c>
      <c r="AR62" s="442">
        <f>IF('Configs &amp; Procedures'!F62="",0,'Configs &amp; Procedures'!F62)</f>
        <v>0</v>
      </c>
      <c r="AS62" s="77"/>
      <c r="AY62" s="1155">
        <f t="shared" si="35"/>
        <v>0</v>
      </c>
      <c r="BB62" s="1165">
        <f>TRUNC(AL62/'Configs &amp; Procedures'!$K$65)</f>
        <v>0</v>
      </c>
      <c r="BC62" s="1165">
        <f t="shared" si="38"/>
        <v>0</v>
      </c>
    </row>
    <row r="63" spans="2:55" ht="13.5" thickBot="1">
      <c r="B63" s="388" t="s">
        <v>75</v>
      </c>
      <c r="C63" s="400">
        <f t="shared" si="39"/>
        <v>0</v>
      </c>
      <c r="E63" s="299">
        <v>55</v>
      </c>
      <c r="F63" s="308">
        <f t="shared" ca="1" si="9"/>
        <v>3007.0602987465654</v>
      </c>
      <c r="G63" s="307">
        <f t="shared" ca="1" si="10"/>
        <v>230.44471789440206</v>
      </c>
      <c r="H63" s="306">
        <f t="shared" ca="1" si="11"/>
        <v>0.38060305056855337</v>
      </c>
      <c r="I63" s="305">
        <f t="shared" ca="1" si="16"/>
        <v>97.104111410375268</v>
      </c>
      <c r="J63" s="305">
        <f t="shared" ca="1" si="17"/>
        <v>61.65410715948736</v>
      </c>
      <c r="K63" s="292">
        <f t="shared" ca="1" si="18"/>
        <v>1.5246635822907508</v>
      </c>
      <c r="L63" s="1290">
        <f t="shared" ca="1" si="19"/>
        <v>17.983998253821145</v>
      </c>
      <c r="M63" s="299">
        <v>55</v>
      </c>
      <c r="N63" s="304">
        <f t="shared" si="20"/>
        <v>3316.7970430224818</v>
      </c>
      <c r="O63" s="303">
        <v>228.40683164264712</v>
      </c>
      <c r="P63" s="302">
        <v>0.49102124434488786</v>
      </c>
      <c r="Q63" s="301">
        <v>133.17181730016071</v>
      </c>
      <c r="R63" s="301">
        <v>57.961617355070963</v>
      </c>
      <c r="S63" s="300">
        <v>2.119149096537146</v>
      </c>
      <c r="T63" s="891">
        <f t="shared" si="21"/>
        <v>4</v>
      </c>
      <c r="U63" s="1220">
        <v>0.42336851358413696</v>
      </c>
      <c r="W63" s="299">
        <v>55</v>
      </c>
      <c r="X63" s="298">
        <f>IF('Donor Sample'!N80="",,IF('Donor Sample'!N80="F",1,0))</f>
        <v>1</v>
      </c>
      <c r="Y63" s="298">
        <f>IF('Donor Sample'!O80="","",'Donor Sample'!O80)</f>
        <v>148</v>
      </c>
      <c r="Z63" s="298">
        <f>IF(AND('Donor Sample'!O80="",'Donor Sample'!P80="",'Donor Sample'!Q80=""),"",IF('Donor Sample'!P80="",ROUND(AA63/($C$32+($AI63-0.5)*$C$31),0),'Donor Sample'!P80))</f>
        <v>40</v>
      </c>
      <c r="AA63" s="297" t="str">
        <f>IF('Donor Sample'!Q80="","",'Donor Sample'!Q80)</f>
        <v/>
      </c>
      <c r="AB63" s="296">
        <f t="shared" si="12"/>
        <v>2660.1621312000002</v>
      </c>
      <c r="AC63" s="295">
        <f>IF('Donor Sample'!R80="","",'Donor Sample'!R80)</f>
        <v>200</v>
      </c>
      <c r="AD63" s="294">
        <f>IF('Donor Sample'!S80="","",'Donor Sample'!S80/100)</f>
        <v>0.36</v>
      </c>
      <c r="AE63" s="407">
        <f t="shared" si="23"/>
        <v>88</v>
      </c>
      <c r="AF63" s="293">
        <f t="shared" si="24"/>
        <v>58.267716535433067</v>
      </c>
      <c r="AG63" s="292" t="str">
        <f>IF('Donor Sample'!T80="","",'Donor Sample'!T80)</f>
        <v/>
      </c>
      <c r="AH63" s="891">
        <f t="shared" si="25"/>
        <v>64</v>
      </c>
      <c r="AI63" s="1220">
        <v>0.76995521783828735</v>
      </c>
      <c r="AJ63" s="1216"/>
      <c r="AK63" s="311">
        <v>20</v>
      </c>
      <c r="AL63" s="310">
        <f t="shared" si="33"/>
        <v>0</v>
      </c>
      <c r="AM63" s="443">
        <f t="shared" si="31"/>
        <v>0</v>
      </c>
      <c r="AN63" s="309">
        <f t="shared" si="32"/>
        <v>0</v>
      </c>
      <c r="AO63" s="444">
        <f>IF(AL63="","0",IF('Configs &amp; Procedures'!G63="",100000*AL63/$AU$57,'Configs &amp; Procedures'!G63))</f>
        <v>0</v>
      </c>
      <c r="AP63" s="443">
        <f>IF('Configs &amp; Procedures'!D63="",0,'Configs &amp; Procedures'!D63)</f>
        <v>0</v>
      </c>
      <c r="AQ63" s="309">
        <f>IF('Configs &amp; Procedures'!E63="",0,IF('Configs &amp; Procedures'!E63="A",7,IF('Configs &amp; Procedures'!E63="M",8,'Configs &amp; Procedures'!E63)))</f>
        <v>0</v>
      </c>
      <c r="AR63" s="444">
        <f>IF('Configs &amp; Procedures'!F63="",0,'Configs &amp; Procedures'!F63)</f>
        <v>0</v>
      </c>
      <c r="AS63" s="77"/>
      <c r="AY63" s="1156">
        <f t="shared" si="35"/>
        <v>0</v>
      </c>
      <c r="BB63" s="1166">
        <f>TRUNC(AL63/'Configs &amp; Procedures'!$K$65)</f>
        <v>0</v>
      </c>
      <c r="BC63" s="1166">
        <f t="shared" si="38"/>
        <v>0</v>
      </c>
    </row>
    <row r="64" spans="2:55" ht="13.5" thickBot="1">
      <c r="B64" s="342" t="s">
        <v>77</v>
      </c>
      <c r="C64" s="395">
        <f t="shared" si="39"/>
        <v>0</v>
      </c>
      <c r="E64" s="299">
        <v>56</v>
      </c>
      <c r="F64" s="308">
        <f t="shared" ca="1" si="9"/>
        <v>2801.6517733413521</v>
      </c>
      <c r="G64" s="307">
        <f t="shared" ca="1" si="10"/>
        <v>239.93492692636127</v>
      </c>
      <c r="H64" s="306">
        <f t="shared" ca="1" si="11"/>
        <v>0.41486172686453293</v>
      </c>
      <c r="I64" s="305">
        <f t="shared" ca="1" si="16"/>
        <v>113.54509685480231</v>
      </c>
      <c r="J64" s="305">
        <f t="shared" ca="1" si="17"/>
        <v>44.781262974809714</v>
      </c>
      <c r="K64" s="292">
        <f t="shared" ca="1" si="18"/>
        <v>1.7846120512478629</v>
      </c>
      <c r="L64" s="1290">
        <f t="shared" ca="1" si="19"/>
        <v>39.861016401736606</v>
      </c>
      <c r="M64" s="299">
        <v>56</v>
      </c>
      <c r="N64" s="304">
        <f t="shared" si="20"/>
        <v>3560.0758232497592</v>
      </c>
      <c r="O64" s="303">
        <v>256.47180843242586</v>
      </c>
      <c r="P64" s="302">
        <v>0.39222963383441789</v>
      </c>
      <c r="Q64" s="301">
        <v>146.36828531720661</v>
      </c>
      <c r="R64" s="301">
        <v>51.456366509762979</v>
      </c>
      <c r="S64" s="300">
        <v>8.8595368154259138</v>
      </c>
      <c r="T64" s="891">
        <f t="shared" si="21"/>
        <v>256</v>
      </c>
      <c r="U64" s="1220">
        <v>0.85640144348144531</v>
      </c>
      <c r="W64" s="299">
        <v>56</v>
      </c>
      <c r="X64" s="298">
        <f>IF('Donor Sample'!N81="",,IF('Donor Sample'!N81="F",1,0))</f>
        <v>1</v>
      </c>
      <c r="Y64" s="298">
        <f>IF('Donor Sample'!O81="","",'Donor Sample'!O81)</f>
        <v>159</v>
      </c>
      <c r="Z64" s="298">
        <f>IF(AND('Donor Sample'!O81="",'Donor Sample'!P81="",'Donor Sample'!Q81=""),"",IF('Donor Sample'!P81="",ROUND(AA64/($C$32+($AI64-0.5)*$C$31),0),'Donor Sample'!P81))</f>
        <v>52</v>
      </c>
      <c r="AA64" s="297" t="str">
        <f>IF('Donor Sample'!Q81="","",'Donor Sample'!Q81)</f>
        <v/>
      </c>
      <c r="AB64" s="296">
        <f t="shared" si="12"/>
        <v>3333.9956919000001</v>
      </c>
      <c r="AC64" s="295">
        <f>IF('Donor Sample'!R81="","",'Donor Sample'!R81)</f>
        <v>200</v>
      </c>
      <c r="AD64" s="294">
        <f>IF('Donor Sample'!S81="","",'Donor Sample'!S81/100)</f>
        <v>0.38099998474121094</v>
      </c>
      <c r="AE64" s="293">
        <f t="shared" si="23"/>
        <v>114.4</v>
      </c>
      <c r="AF64" s="293">
        <f t="shared" si="24"/>
        <v>62.598425196850393</v>
      </c>
      <c r="AG64" s="292" t="str">
        <f>IF('Donor Sample'!T81="","",'Donor Sample'!T81)</f>
        <v/>
      </c>
      <c r="AH64" s="891">
        <f t="shared" si="25"/>
        <v>64</v>
      </c>
      <c r="AI64" s="1220">
        <v>0.47923898696899414</v>
      </c>
      <c r="AJ64" s="1216"/>
      <c r="BB64" s="1265" t="s">
        <v>1736</v>
      </c>
      <c r="BC64" s="1166">
        <f>IF(bOverride="Yes",COUNT(ConfigLoop!A6:A1000),COUNTIF(BC44:BC63,"&gt;0"))</f>
        <v>1</v>
      </c>
    </row>
    <row r="65" spans="2:36">
      <c r="B65" s="369" t="s">
        <v>81</v>
      </c>
      <c r="C65" s="390">
        <f t="shared" si="39"/>
        <v>0</v>
      </c>
      <c r="E65" s="299">
        <v>57</v>
      </c>
      <c r="F65" s="308">
        <f t="shared" ca="1" si="9"/>
        <v>3557.8222103970288</v>
      </c>
      <c r="G65" s="307">
        <f t="shared" ca="1" si="10"/>
        <v>214.64981206414024</v>
      </c>
      <c r="H65" s="306">
        <f t="shared" ca="1" si="11"/>
        <v>0.36400343310625671</v>
      </c>
      <c r="I65" s="305">
        <f t="shared" ca="1" si="16"/>
        <v>119.80558026166725</v>
      </c>
      <c r="J65" s="305">
        <f t="shared" ca="1" si="17"/>
        <v>58.516983180005617</v>
      </c>
      <c r="K65" s="292">
        <f t="shared" ca="1" si="18"/>
        <v>1.7222389470968482</v>
      </c>
      <c r="L65" s="1290">
        <f t="shared" ca="1" si="19"/>
        <v>24.631215832951554</v>
      </c>
      <c r="M65" s="299">
        <v>57</v>
      </c>
      <c r="N65" s="304">
        <f t="shared" si="20"/>
        <v>3131.2276084635264</v>
      </c>
      <c r="O65" s="303">
        <v>203.80690904595605</v>
      </c>
      <c r="P65" s="302">
        <v>0.38988662488235293</v>
      </c>
      <c r="Q65" s="301">
        <v>104.26046823099706</v>
      </c>
      <c r="R65" s="301">
        <v>55.087440979692261</v>
      </c>
      <c r="S65" s="300">
        <v>3.1125503474407439</v>
      </c>
      <c r="T65" s="891">
        <f t="shared" si="21"/>
        <v>2</v>
      </c>
      <c r="U65" s="1220">
        <v>5.6265056133270264E-2</v>
      </c>
      <c r="W65" s="299">
        <v>57</v>
      </c>
      <c r="X65" s="298">
        <f>IF('Donor Sample'!N82="",,IF('Donor Sample'!N82="F",1,0))</f>
        <v>1</v>
      </c>
      <c r="Y65" s="298">
        <f>IF('Donor Sample'!O82="","",'Donor Sample'!O82)</f>
        <v>162</v>
      </c>
      <c r="Z65" s="298">
        <f>IF(AND('Donor Sample'!O82="",'Donor Sample'!P82="",'Donor Sample'!Q82=""),"",IF('Donor Sample'!P82="",ROUND(AA65/($C$32+($AI65-0.5)*$C$31),0),'Donor Sample'!P82))</f>
        <v>52</v>
      </c>
      <c r="AA65" s="297" t="str">
        <f>IF('Donor Sample'!Q82="","",'Donor Sample'!Q82)</f>
        <v/>
      </c>
      <c r="AB65" s="296">
        <f t="shared" si="12"/>
        <v>3416.5571208000001</v>
      </c>
      <c r="AC65" s="295">
        <f>IF('Donor Sample'!R82="","",'Donor Sample'!R82)</f>
        <v>200</v>
      </c>
      <c r="AD65" s="294">
        <f>IF('Donor Sample'!S82="","",'Donor Sample'!S82/100)</f>
        <v>0.36200000762939455</v>
      </c>
      <c r="AE65" s="293">
        <f t="shared" si="23"/>
        <v>114.4</v>
      </c>
      <c r="AF65" s="293">
        <f t="shared" si="24"/>
        <v>63.779527559055119</v>
      </c>
      <c r="AG65" s="292" t="str">
        <f>IF('Donor Sample'!T82="","",'Donor Sample'!T82)</f>
        <v/>
      </c>
      <c r="AH65" s="891">
        <f t="shared" si="25"/>
        <v>64</v>
      </c>
      <c r="AI65" s="1220">
        <v>0.69995945692062378</v>
      </c>
      <c r="AJ65" s="1216"/>
    </row>
    <row r="66" spans="2:36">
      <c r="B66" s="388" t="s">
        <v>86</v>
      </c>
      <c r="C66" s="387">
        <f t="shared" si="39"/>
        <v>0</v>
      </c>
      <c r="E66" s="299">
        <v>58</v>
      </c>
      <c r="F66" s="308">
        <f t="shared" ca="1" si="9"/>
        <v>3602.2827112111422</v>
      </c>
      <c r="G66" s="307">
        <f t="shared" ca="1" si="10"/>
        <v>227.38676280640533</v>
      </c>
      <c r="H66" s="306">
        <f t="shared" ca="1" si="11"/>
        <v>0.3876292453852504</v>
      </c>
      <c r="I66" s="305">
        <f t="shared" ca="1" si="16"/>
        <v>115.0090178331281</v>
      </c>
      <c r="J66" s="305">
        <f t="shared" ca="1" si="17"/>
        <v>66.217093604036208</v>
      </c>
      <c r="K66" s="292">
        <f t="shared" ca="1" si="18"/>
        <v>1.7679176614743655</v>
      </c>
      <c r="L66" s="1290">
        <f t="shared" ca="1" si="19"/>
        <v>18.465638286546397</v>
      </c>
      <c r="M66" s="299">
        <v>58</v>
      </c>
      <c r="N66" s="304">
        <f t="shared" si="20"/>
        <v>2700.1720159133074</v>
      </c>
      <c r="O66" s="303">
        <v>285.91939788675012</v>
      </c>
      <c r="P66" s="302">
        <v>0.39533005490188455</v>
      </c>
      <c r="Q66" s="301">
        <v>87.469859394529834</v>
      </c>
      <c r="R66" s="301">
        <v>59.110364860545786</v>
      </c>
      <c r="S66" s="300">
        <v>1.3019960658854968</v>
      </c>
      <c r="T66" s="891">
        <f t="shared" si="21"/>
        <v>256</v>
      </c>
      <c r="U66" s="1220">
        <v>0.89728701114654541</v>
      </c>
      <c r="W66" s="299">
        <v>58</v>
      </c>
      <c r="X66" s="298">
        <f>IF('Donor Sample'!N83="",,IF('Donor Sample'!N83="F",1,0))</f>
        <v>1</v>
      </c>
      <c r="Y66" s="298">
        <f>IF('Donor Sample'!O83="","",'Donor Sample'!O83)</f>
        <v>158</v>
      </c>
      <c r="Z66" s="298">
        <f>IF(AND('Donor Sample'!O83="",'Donor Sample'!P83="",'Donor Sample'!Q83=""),"",IF('Donor Sample'!P83="",ROUND(AA66/($C$32+($AI66-0.5)*$C$31),0),'Donor Sample'!P83))</f>
        <v>55</v>
      </c>
      <c r="AA66" s="297" t="str">
        <f>IF('Donor Sample'!Q83="","",'Donor Sample'!Q83)</f>
        <v/>
      </c>
      <c r="AB66" s="296">
        <f t="shared" si="12"/>
        <v>3406.3645031999999</v>
      </c>
      <c r="AC66" s="295">
        <f>IF('Donor Sample'!R83="","",'Donor Sample'!R83)</f>
        <v>200</v>
      </c>
      <c r="AD66" s="294">
        <f>IF('Donor Sample'!S83="","",'Donor Sample'!S83/100)</f>
        <v>0.37299999237060549</v>
      </c>
      <c r="AE66" s="407">
        <f t="shared" si="23"/>
        <v>121.00000000000001</v>
      </c>
      <c r="AF66" s="293">
        <f t="shared" si="24"/>
        <v>62.204724409448815</v>
      </c>
      <c r="AG66" s="292" t="str">
        <f>IF('Donor Sample'!T83="","",'Donor Sample'!T83)</f>
        <v/>
      </c>
      <c r="AH66" s="891">
        <f t="shared" si="25"/>
        <v>256</v>
      </c>
      <c r="AI66" s="1220">
        <v>0.92958271503448486</v>
      </c>
      <c r="AJ66" s="1216"/>
    </row>
    <row r="67" spans="2:36">
      <c r="B67" s="388" t="s">
        <v>87</v>
      </c>
      <c r="C67" s="387">
        <f t="shared" si="39"/>
        <v>0</v>
      </c>
      <c r="E67" s="299">
        <v>59</v>
      </c>
      <c r="F67" s="308">
        <f t="shared" ca="1" si="9"/>
        <v>3003.4654075112903</v>
      </c>
      <c r="G67" s="307">
        <f t="shared" ca="1" si="10"/>
        <v>239.72776014507087</v>
      </c>
      <c r="H67" s="306">
        <f t="shared" ca="1" si="11"/>
        <v>0.45949104389361639</v>
      </c>
      <c r="I67" s="305">
        <f t="shared" ca="1" si="16"/>
        <v>117.62080495782723</v>
      </c>
      <c r="J67" s="305">
        <f t="shared" ca="1" si="17"/>
        <v>48.41329023902918</v>
      </c>
      <c r="K67" s="292">
        <f t="shared" ca="1" si="18"/>
        <v>2.9369219017477661</v>
      </c>
      <c r="L67" s="1290">
        <f t="shared" ca="1" si="19"/>
        <v>35.328696065187721</v>
      </c>
      <c r="M67" s="299">
        <v>59</v>
      </c>
      <c r="N67" s="304">
        <f t="shared" si="20"/>
        <v>4443.5403009549154</v>
      </c>
      <c r="O67" s="303">
        <v>265.60871356175289</v>
      </c>
      <c r="P67" s="302">
        <v>0.43453686066051378</v>
      </c>
      <c r="Q67" s="301">
        <v>143.38346998609558</v>
      </c>
      <c r="R67" s="301">
        <v>66.224725317148469</v>
      </c>
      <c r="S67" s="300">
        <v>1.9615486649753187</v>
      </c>
      <c r="T67" s="891">
        <f t="shared" si="21"/>
        <v>2</v>
      </c>
      <c r="U67" s="1220">
        <v>0.23988276720046997</v>
      </c>
      <c r="W67" s="299">
        <v>59</v>
      </c>
      <c r="X67" s="298">
        <f>IF('Donor Sample'!N84="",,IF('Donor Sample'!N84="F",1,0))</f>
        <v>1</v>
      </c>
      <c r="Y67" s="298">
        <f>IF('Donor Sample'!O84="","",'Donor Sample'!O84)</f>
        <v>160</v>
      </c>
      <c r="Z67" s="298">
        <f>IF(AND('Donor Sample'!O84="",'Donor Sample'!P84="",'Donor Sample'!Q84=""),"",IF('Donor Sample'!P84="",ROUND(AA67/($C$32+($AI67-0.5)*$C$31),0),'Donor Sample'!P84))</f>
        <v>54</v>
      </c>
      <c r="AA67" s="297" t="str">
        <f>IF('Donor Sample'!Q84="","",'Donor Sample'!Q84)</f>
        <v/>
      </c>
      <c r="AB67" s="296">
        <f t="shared" si="12"/>
        <v>3427.3116</v>
      </c>
      <c r="AC67" s="295">
        <f>IF('Donor Sample'!R84="","",'Donor Sample'!R84)</f>
        <v>200</v>
      </c>
      <c r="AD67" s="294">
        <f>IF('Donor Sample'!S84="","",'Donor Sample'!S84/100)</f>
        <v>0.36499999999999999</v>
      </c>
      <c r="AE67" s="293">
        <f t="shared" si="23"/>
        <v>118.80000000000001</v>
      </c>
      <c r="AF67" s="293">
        <f t="shared" si="24"/>
        <v>62.99212598425197</v>
      </c>
      <c r="AG67" s="292" t="str">
        <f>IF('Donor Sample'!T84="","",'Donor Sample'!T84)</f>
        <v/>
      </c>
      <c r="AH67" s="891">
        <f t="shared" si="25"/>
        <v>64</v>
      </c>
      <c r="AI67" s="1220">
        <v>0.75285893678665161</v>
      </c>
      <c r="AJ67" s="1216"/>
    </row>
    <row r="68" spans="2:36" ht="13.5" thickBot="1">
      <c r="B68" s="342" t="s">
        <v>88</v>
      </c>
      <c r="C68" s="380">
        <f t="shared" si="39"/>
        <v>0</v>
      </c>
      <c r="E68" s="299">
        <v>60</v>
      </c>
      <c r="F68" s="308">
        <f t="shared" ca="1" si="9"/>
        <v>3761.7023356477425</v>
      </c>
      <c r="G68" s="307">
        <f t="shared" ca="1" si="10"/>
        <v>250.77187739736482</v>
      </c>
      <c r="H68" s="306">
        <f t="shared" ca="1" si="11"/>
        <v>0.47250696691445171</v>
      </c>
      <c r="I68" s="305">
        <f t="shared" ca="1" si="16"/>
        <v>127.80956479395911</v>
      </c>
      <c r="J68" s="305">
        <f t="shared" ca="1" si="17"/>
        <v>59.893398378779523</v>
      </c>
      <c r="K68" s="292">
        <f t="shared" ca="1" si="18"/>
        <v>2.2285351549908587</v>
      </c>
      <c r="L68" s="1290">
        <f t="shared" ca="1" si="19"/>
        <v>25.082920604212934</v>
      </c>
      <c r="M68" s="299">
        <v>60</v>
      </c>
      <c r="N68" s="304">
        <f t="shared" si="20"/>
        <v>3504.4694044896983</v>
      </c>
      <c r="O68" s="303">
        <v>253.3933774339601</v>
      </c>
      <c r="P68" s="302">
        <v>0.35211606462411638</v>
      </c>
      <c r="Q68" s="301">
        <v>111.26725284603097</v>
      </c>
      <c r="R68" s="301">
        <v>59.649510175299959</v>
      </c>
      <c r="S68" s="300">
        <v>2.0230134552939827</v>
      </c>
      <c r="T68" s="891">
        <f t="shared" si="21"/>
        <v>2</v>
      </c>
      <c r="U68" s="1220">
        <v>5.2610635757446289E-2</v>
      </c>
      <c r="W68" s="299">
        <v>60</v>
      </c>
      <c r="X68" s="298">
        <f>IF('Donor Sample'!N85="",,IF('Donor Sample'!N85="F",1,0))</f>
        <v>1</v>
      </c>
      <c r="Y68" s="298">
        <f>IF('Donor Sample'!O85="","",'Donor Sample'!O85)</f>
        <v>158</v>
      </c>
      <c r="Z68" s="298">
        <f>IF(AND('Donor Sample'!O85="",'Donor Sample'!P85="",'Donor Sample'!Q85=""),"",IF('Donor Sample'!P85="",ROUND(AA68/($C$32+($AI68-0.5)*$C$31),0),'Donor Sample'!P85))</f>
        <v>54</v>
      </c>
      <c r="AA68" s="297" t="str">
        <f>IF('Donor Sample'!Q85="","",'Donor Sample'!Q85)</f>
        <v/>
      </c>
      <c r="AB68" s="296">
        <f t="shared" si="12"/>
        <v>3373.2955032</v>
      </c>
      <c r="AC68" s="295">
        <f>IF('Donor Sample'!R85="","",'Donor Sample'!R85)</f>
        <v>200</v>
      </c>
      <c r="AD68" s="294">
        <f>IF('Donor Sample'!S85="","",'Donor Sample'!S85/100)</f>
        <v>0.38799999237060545</v>
      </c>
      <c r="AE68" s="293">
        <f t="shared" si="23"/>
        <v>118.80000000000001</v>
      </c>
      <c r="AF68" s="293">
        <f t="shared" si="24"/>
        <v>62.204724409448815</v>
      </c>
      <c r="AG68" s="292" t="str">
        <f>IF('Donor Sample'!T85="","",'Donor Sample'!T85)</f>
        <v/>
      </c>
      <c r="AH68" s="891">
        <f t="shared" si="25"/>
        <v>2</v>
      </c>
      <c r="AI68" s="1220">
        <v>0.18409228324890137</v>
      </c>
      <c r="AJ68" s="1216"/>
    </row>
    <row r="69" spans="2:36" ht="13.5" thickBot="1">
      <c r="B69" s="342" t="s">
        <v>1553</v>
      </c>
      <c r="C69" s="1230">
        <f>SUM(C57:C68)</f>
        <v>0</v>
      </c>
      <c r="E69" s="299">
        <v>61</v>
      </c>
      <c r="F69" s="308">
        <f t="shared" ca="1" si="9"/>
        <v>3329.1719569245165</v>
      </c>
      <c r="G69" s="307">
        <f t="shared" ca="1" si="10"/>
        <v>267.36147395378651</v>
      </c>
      <c r="H69" s="306">
        <f t="shared" ca="1" si="11"/>
        <v>0.36881889695422643</v>
      </c>
      <c r="I69" s="305">
        <f t="shared" ca="1" si="16"/>
        <v>133.50213564322092</v>
      </c>
      <c r="J69" s="305">
        <f t="shared" ca="1" si="17"/>
        <v>58.087517409790593</v>
      </c>
      <c r="K69" s="292">
        <f t="shared" ca="1" si="18"/>
        <v>2.894061443993289</v>
      </c>
      <c r="L69" s="1290">
        <f t="shared" ca="1" si="19"/>
        <v>27.854491914662844</v>
      </c>
      <c r="M69" s="299">
        <v>61</v>
      </c>
      <c r="N69" s="304">
        <f t="shared" si="20"/>
        <v>2797.5554187124553</v>
      </c>
      <c r="O69" s="303">
        <v>320.31603402643361</v>
      </c>
      <c r="P69" s="302">
        <v>0.4311296206984368</v>
      </c>
      <c r="Q69" s="301">
        <v>87.378548316534889</v>
      </c>
      <c r="R69" s="301">
        <v>60.682753143317186</v>
      </c>
      <c r="S69" s="300">
        <v>2.8183815344336991</v>
      </c>
      <c r="T69" s="891">
        <f t="shared" si="21"/>
        <v>32</v>
      </c>
      <c r="U69" s="1220">
        <v>0.78038161993026733</v>
      </c>
      <c r="W69" s="299">
        <v>61</v>
      </c>
      <c r="X69" s="298">
        <f>IF('Donor Sample'!N86="",,IF('Donor Sample'!N86="F",1,0))</f>
        <v>1</v>
      </c>
      <c r="Y69" s="298">
        <f>IF('Donor Sample'!O86="","",'Donor Sample'!O86)</f>
        <v>160</v>
      </c>
      <c r="Z69" s="298">
        <f>IF(AND('Donor Sample'!O86="",'Donor Sample'!P86="",'Donor Sample'!Q86=""),"",IF('Donor Sample'!P86="",ROUND(AA69/($C$32+($AI69-0.5)*$C$31),0),'Donor Sample'!P86))</f>
        <v>53</v>
      </c>
      <c r="AA69" s="297" t="str">
        <f>IF('Donor Sample'!Q86="","",'Donor Sample'!Q86)</f>
        <v/>
      </c>
      <c r="AB69" s="296">
        <f t="shared" si="12"/>
        <v>3394.2426</v>
      </c>
      <c r="AC69" s="295">
        <f>IF('Donor Sample'!R86="","",'Donor Sample'!R86)</f>
        <v>200</v>
      </c>
      <c r="AD69" s="294">
        <f>IF('Donor Sample'!S86="","",'Donor Sample'!S86/100)</f>
        <v>0.34799999237060547</v>
      </c>
      <c r="AE69" s="407">
        <f t="shared" si="23"/>
        <v>116.60000000000001</v>
      </c>
      <c r="AF69" s="293">
        <f t="shared" si="24"/>
        <v>62.99212598425197</v>
      </c>
      <c r="AG69" s="292" t="str">
        <f>IF('Donor Sample'!T86="","",'Donor Sample'!T86)</f>
        <v/>
      </c>
      <c r="AH69" s="891">
        <f t="shared" si="25"/>
        <v>256</v>
      </c>
      <c r="AI69" s="1220">
        <v>0.8747062087059021</v>
      </c>
      <c r="AJ69" s="1216"/>
    </row>
    <row r="70" spans="2:36">
      <c r="E70" s="299">
        <v>62</v>
      </c>
      <c r="F70" s="308">
        <f t="shared" ca="1" si="9"/>
        <v>3367.1350310051798</v>
      </c>
      <c r="G70" s="307">
        <f t="shared" ca="1" si="10"/>
        <v>242.89657727173534</v>
      </c>
      <c r="H70" s="306">
        <f t="shared" ca="1" si="11"/>
        <v>0.40861128154400445</v>
      </c>
      <c r="I70" s="305">
        <f t="shared" ca="1" si="16"/>
        <v>116.41781254107016</v>
      </c>
      <c r="J70" s="305">
        <f t="shared" ca="1" si="17"/>
        <v>62.694008276571381</v>
      </c>
      <c r="K70" s="292">
        <f t="shared" ca="1" si="18"/>
        <v>3.8385305777498218</v>
      </c>
      <c r="L70" s="1290">
        <f t="shared" ca="1" si="19"/>
        <v>20.851630484031297</v>
      </c>
      <c r="M70" s="299">
        <v>62</v>
      </c>
      <c r="N70" s="304">
        <f t="shared" si="20"/>
        <v>3508.9219586735271</v>
      </c>
      <c r="O70" s="303">
        <v>170.44032844359651</v>
      </c>
      <c r="P70" s="302">
        <v>0.38405491396975572</v>
      </c>
      <c r="Q70" s="301">
        <v>112.98545232205483</v>
      </c>
      <c r="R70" s="301">
        <v>65.385804950813821</v>
      </c>
      <c r="S70" s="300">
        <v>1.5875105843020483</v>
      </c>
      <c r="T70" s="891">
        <f t="shared" si="21"/>
        <v>2</v>
      </c>
      <c r="U70" s="1220">
        <v>3.6704897880554199E-2</v>
      </c>
      <c r="W70" s="299">
        <v>62</v>
      </c>
      <c r="X70" s="298">
        <f>IF('Donor Sample'!N87="",,IF('Donor Sample'!N87="F",1,0))</f>
        <v>1</v>
      </c>
      <c r="Y70" s="298">
        <f>IF('Donor Sample'!O87="","",'Donor Sample'!O87)</f>
        <v>161</v>
      </c>
      <c r="Z70" s="298">
        <f>IF(AND('Donor Sample'!O87="",'Donor Sample'!P87="",'Donor Sample'!Q87=""),"",IF('Donor Sample'!P87="",ROUND(AA70/($C$32+($AI70-0.5)*$C$31),0),'Donor Sample'!P87))</f>
        <v>51</v>
      </c>
      <c r="AA70" s="297" t="str">
        <f>IF('Donor Sample'!Q87="","",'Donor Sample'!Q87)</f>
        <v/>
      </c>
      <c r="AB70" s="296">
        <f t="shared" si="12"/>
        <v>3355.6243641000001</v>
      </c>
      <c r="AC70" s="295">
        <f>IF('Donor Sample'!R87="","",'Donor Sample'!R87)</f>
        <v>200</v>
      </c>
      <c r="AD70" s="294">
        <f>IF('Donor Sample'!S87="","",'Donor Sample'!S87/100)</f>
        <v>0.35900001525878905</v>
      </c>
      <c r="AE70" s="293">
        <f t="shared" si="23"/>
        <v>112.2</v>
      </c>
      <c r="AF70" s="293">
        <f t="shared" si="24"/>
        <v>63.385826771653541</v>
      </c>
      <c r="AG70" s="292" t="str">
        <f>IF('Donor Sample'!T87="","",'Donor Sample'!T87)</f>
        <v/>
      </c>
      <c r="AH70" s="891">
        <f t="shared" si="25"/>
        <v>32</v>
      </c>
      <c r="AI70" s="1220">
        <v>0.7874225378036499</v>
      </c>
      <c r="AJ70" s="1216"/>
    </row>
    <row r="71" spans="2:36">
      <c r="E71" s="299">
        <v>63</v>
      </c>
      <c r="F71" s="308">
        <f t="shared" ca="1" si="9"/>
        <v>3640.594323238076</v>
      </c>
      <c r="G71" s="307">
        <f t="shared" ca="1" si="10"/>
        <v>321.78974329363336</v>
      </c>
      <c r="H71" s="306">
        <f t="shared" ca="1" si="11"/>
        <v>0.43088025395118779</v>
      </c>
      <c r="I71" s="305">
        <f t="shared" ca="1" si="16"/>
        <v>148.11639215318181</v>
      </c>
      <c r="J71" s="305">
        <f t="shared" ca="1" si="17"/>
        <v>52.583144589609404</v>
      </c>
      <c r="K71" s="292">
        <f t="shared" ca="1" si="18"/>
        <v>1.9000208697549978</v>
      </c>
      <c r="L71" s="1290">
        <f t="shared" ca="1" si="19"/>
        <v>37.712270074234517</v>
      </c>
      <c r="M71" s="299">
        <v>63</v>
      </c>
      <c r="N71" s="304">
        <f t="shared" si="20"/>
        <v>3585.7503731066331</v>
      </c>
      <c r="O71" s="303">
        <v>223.65603651791426</v>
      </c>
      <c r="P71" s="302">
        <v>0.41129202264364545</v>
      </c>
      <c r="Q71" s="301">
        <v>122.07911808771752</v>
      </c>
      <c r="R71" s="301">
        <v>58.431600750600289</v>
      </c>
      <c r="S71" s="300">
        <v>2.1490796760437418</v>
      </c>
      <c r="T71" s="891">
        <f t="shared" si="21"/>
        <v>2</v>
      </c>
      <c r="U71" s="1220">
        <v>0.1363263726234436</v>
      </c>
      <c r="W71" s="299">
        <v>63</v>
      </c>
      <c r="X71" s="298">
        <f>IF('Donor Sample'!N88="",,IF('Donor Sample'!N88="F",1,0))</f>
        <v>1</v>
      </c>
      <c r="Y71" s="298">
        <f>IF('Donor Sample'!O88="","",'Donor Sample'!O88)</f>
        <v>165</v>
      </c>
      <c r="Z71" s="298">
        <f>IF(AND('Donor Sample'!O88="",'Donor Sample'!P88="",'Donor Sample'!Q88=""),"",IF('Donor Sample'!P88="",ROUND(AA71/($C$32+($AI71-0.5)*$C$31),0),'Donor Sample'!P88))</f>
        <v>48</v>
      </c>
      <c r="AA71" s="297" t="str">
        <f>IF('Donor Sample'!Q88="","",'Donor Sample'!Q88)</f>
        <v/>
      </c>
      <c r="AB71" s="296">
        <f t="shared" si="12"/>
        <v>3369.9577125000001</v>
      </c>
      <c r="AC71" s="295">
        <f>IF('Donor Sample'!R88="","",'Donor Sample'!R88)</f>
        <v>200</v>
      </c>
      <c r="AD71" s="294">
        <f>IF('Donor Sample'!S88="","",'Donor Sample'!S88/100)</f>
        <v>0.37400001525878906</v>
      </c>
      <c r="AE71" s="293">
        <f t="shared" si="23"/>
        <v>105.60000000000001</v>
      </c>
      <c r="AF71" s="293">
        <f t="shared" si="24"/>
        <v>64.960629921259837</v>
      </c>
      <c r="AG71" s="292" t="str">
        <f>IF('Donor Sample'!T88="","",'Donor Sample'!T88)</f>
        <v/>
      </c>
      <c r="AH71" s="891">
        <f t="shared" si="25"/>
        <v>2</v>
      </c>
      <c r="AI71" s="1220">
        <v>0.28309923410415649</v>
      </c>
      <c r="AJ71" s="1216"/>
    </row>
    <row r="72" spans="2:36">
      <c r="E72" s="299">
        <v>64</v>
      </c>
      <c r="F72" s="308">
        <f t="shared" ca="1" si="9"/>
        <v>3670.6919398204946</v>
      </c>
      <c r="G72" s="307">
        <f t="shared" ca="1" si="10"/>
        <v>237.21106385115212</v>
      </c>
      <c r="H72" s="306">
        <f t="shared" ca="1" si="11"/>
        <v>0.40521529201130074</v>
      </c>
      <c r="I72" s="305">
        <f t="shared" ca="1" si="16"/>
        <v>126.47894058039104</v>
      </c>
      <c r="J72" s="305">
        <f t="shared" ca="1" si="17"/>
        <v>58.765903110919183</v>
      </c>
      <c r="K72" s="292">
        <f t="shared" ca="1" si="18"/>
        <v>2.1600776878156118</v>
      </c>
      <c r="L72" s="1290">
        <f t="shared" ca="1" si="19"/>
        <v>25.783391841016183</v>
      </c>
      <c r="M72" s="299">
        <v>64</v>
      </c>
      <c r="N72" s="304">
        <f t="shared" si="20"/>
        <v>3065.0926831621255</v>
      </c>
      <c r="O72" s="303">
        <v>259.28417776148825</v>
      </c>
      <c r="P72" s="302">
        <v>0.36226168222184685</v>
      </c>
      <c r="Q72" s="301">
        <v>127.26577736364636</v>
      </c>
      <c r="R72" s="301">
        <v>46.462482198025988</v>
      </c>
      <c r="S72" s="300">
        <v>1.4617935584541173</v>
      </c>
      <c r="T72" s="891">
        <f t="shared" si="21"/>
        <v>64</v>
      </c>
      <c r="U72" s="1220">
        <v>0.66918802261352539</v>
      </c>
      <c r="W72" s="299">
        <v>64</v>
      </c>
      <c r="X72" s="298">
        <f>IF('Donor Sample'!N89="",,IF('Donor Sample'!N89="F",1,0))</f>
        <v>1</v>
      </c>
      <c r="Y72" s="298">
        <f>IF('Donor Sample'!O89="","",'Donor Sample'!O89)</f>
        <v>160</v>
      </c>
      <c r="Z72" s="298">
        <f>IF(AND('Donor Sample'!O89="",'Donor Sample'!P89="",'Donor Sample'!Q89=""),"",IF('Donor Sample'!P89="",ROUND(AA72/($C$32+($AI72-0.5)*$C$31),0),'Donor Sample'!P89))</f>
        <v>53</v>
      </c>
      <c r="AA72" s="297" t="str">
        <f>IF('Donor Sample'!Q89="","",'Donor Sample'!Q89)</f>
        <v/>
      </c>
      <c r="AB72" s="296">
        <f t="shared" si="12"/>
        <v>3394.2426</v>
      </c>
      <c r="AC72" s="295">
        <f>IF('Donor Sample'!R89="","",'Donor Sample'!R89)</f>
        <v>200</v>
      </c>
      <c r="AD72" s="294">
        <f>IF('Donor Sample'!S89="","",'Donor Sample'!S89/100)</f>
        <v>0.35799999237060548</v>
      </c>
      <c r="AE72" s="407">
        <f t="shared" si="23"/>
        <v>116.60000000000001</v>
      </c>
      <c r="AF72" s="293">
        <f t="shared" si="24"/>
        <v>62.99212598425197</v>
      </c>
      <c r="AG72" s="292" t="str">
        <f>IF('Donor Sample'!T89="","",'Donor Sample'!T89)</f>
        <v/>
      </c>
      <c r="AH72" s="891">
        <f t="shared" si="25"/>
        <v>64</v>
      </c>
      <c r="AI72" s="1220">
        <v>0.53209209442138672</v>
      </c>
      <c r="AJ72" s="1216"/>
    </row>
    <row r="73" spans="2:36">
      <c r="E73" s="299">
        <v>65</v>
      </c>
      <c r="F73" s="308">
        <f t="shared" ref="F73:F136" ca="1" si="40">NORMINV(NORMDIST($C$9,$C$7,$C$8,1)+RAND()*(NORMDIST($C$10,$C$7,$C$8,1)-NORMDIST($C$9,$C$7,$C$8,1)),$C$7,$C$8)</f>
        <v>3769.4152781220782</v>
      </c>
      <c r="G73" s="307">
        <f t="shared" ref="G73:G136" ca="1" si="41">NORMINV(NORMDIST($C$13,$C$11,$C$12,1)+RAND()*(NORMDIST($C$14,$C$11,$C$12,1)-NORMDIST($C$13,$C$11,$C$12,1)),$C$11,$C$12)</f>
        <v>186.74578254130557</v>
      </c>
      <c r="H73" s="306">
        <f t="shared" ref="H73:H136" ca="1" si="42">NORMINV(NORMDIST($C$17,$C$15,$C$16,1)+RAND()*(NORMDIST($C$18,$C$15,$C$16,1)-NORMDIST($C$17,$C$15,$C$16,1)),$C$15,$C$16)/100</f>
        <v>0.39834731893440378</v>
      </c>
      <c r="I73" s="305">
        <f t="shared" ca="1" si="16"/>
        <v>146.17857353165437</v>
      </c>
      <c r="J73" s="305">
        <f t="shared" ca="1" si="17"/>
        <v>55.561732839253033</v>
      </c>
      <c r="K73" s="292">
        <f t="shared" ref="K73:K136" ca="1" si="43">$C$23/($C$24+RAND())</f>
        <v>1.88904956261907</v>
      </c>
      <c r="L73" s="1290">
        <f t="shared" ca="1" si="19"/>
        <v>33.335334310717336</v>
      </c>
      <c r="M73" s="299">
        <v>65</v>
      </c>
      <c r="N73" s="304">
        <f t="shared" si="20"/>
        <v>2812.5806923260852</v>
      </c>
      <c r="O73" s="303">
        <v>226.77289535545876</v>
      </c>
      <c r="P73" s="302">
        <v>0.41830326133794621</v>
      </c>
      <c r="Q73" s="301">
        <v>115.96514101424465</v>
      </c>
      <c r="R73" s="301">
        <v>44.096114276482091</v>
      </c>
      <c r="S73" s="300">
        <v>10.806144389006349</v>
      </c>
      <c r="T73" s="891">
        <f t="shared" si="21"/>
        <v>2</v>
      </c>
      <c r="U73" s="1220">
        <v>0.26292484998703003</v>
      </c>
      <c r="W73" s="299">
        <v>65</v>
      </c>
      <c r="X73" s="298">
        <f>IF('Donor Sample'!N90="",,IF('Donor Sample'!N90="F",1,0))</f>
        <v>1</v>
      </c>
      <c r="Y73" s="298">
        <f>IF('Donor Sample'!O90="","",'Donor Sample'!O90)</f>
        <v>165</v>
      </c>
      <c r="Z73" s="298">
        <f>IF(AND('Donor Sample'!O90="",'Donor Sample'!P90="",'Donor Sample'!Q90=""),"",IF('Donor Sample'!P90="",ROUND(AA73/($C$32+($AI73-0.5)*$C$31),0),'Donor Sample'!P90))</f>
        <v>48</v>
      </c>
      <c r="AA73" s="297" t="str">
        <f>IF('Donor Sample'!Q90="","",'Donor Sample'!Q90)</f>
        <v/>
      </c>
      <c r="AB73" s="296">
        <f t="shared" ref="AB73:AB136" si="44">IF(AND(Y73="",Z73="",AA73=""),"",IF(AA73="",IF(X73=0,604+IF($AB$2=1,0.006012,0.0003669)*Y73^3+IF($AB$2=1,14.6,32.187)*Z73,183+IF($AB$2=1,0.005835,0.0003561)*Y73^3+IF($AB$2=1,15,33.069)*Z73),AA73))</f>
        <v>3369.9577125000001</v>
      </c>
      <c r="AC73" s="295">
        <f>IF('Donor Sample'!R90="","",'Donor Sample'!R90)</f>
        <v>200</v>
      </c>
      <c r="AD73" s="294">
        <f>IF('Donor Sample'!S90="","",'Donor Sample'!S90/100)</f>
        <v>0.36900001525878906</v>
      </c>
      <c r="AE73" s="293">
        <f t="shared" si="23"/>
        <v>105.60000000000001</v>
      </c>
      <c r="AF73" s="293">
        <f t="shared" si="24"/>
        <v>64.960629921259837</v>
      </c>
      <c r="AG73" s="292" t="str">
        <f>IF('Donor Sample'!T90="","",'Donor Sample'!T90)</f>
        <v/>
      </c>
      <c r="AH73" s="891">
        <f t="shared" si="25"/>
        <v>2</v>
      </c>
      <c r="AI73" s="1220">
        <v>0.26454466581344604</v>
      </c>
      <c r="AJ73" s="1216"/>
    </row>
    <row r="74" spans="2:36">
      <c r="E74" s="299">
        <v>66</v>
      </c>
      <c r="F74" s="308">
        <f t="shared" ca="1" si="40"/>
        <v>3029.7592322530227</v>
      </c>
      <c r="G74" s="307">
        <f t="shared" ca="1" si="41"/>
        <v>234.47524565410464</v>
      </c>
      <c r="H74" s="306">
        <f t="shared" ca="1" si="42"/>
        <v>0.39159216575751971</v>
      </c>
      <c r="I74" s="305">
        <f t="shared" ref="I74:I137" ca="1" si="45">F74/($C$32+(RAND()-0.5)*$C$31)</f>
        <v>107.65443464148696</v>
      </c>
      <c r="J74" s="305">
        <f t="shared" ref="J74:J137" ca="1" si="46">IF(AI74&lt;=$C$33,((F74-604-14.6*I74)/0.006012)^(1/3),((F74-183-15*I74)/0.005835)^(1/3))</f>
        <v>52.177154793287023</v>
      </c>
      <c r="K74" s="292">
        <f t="shared" ca="1" si="43"/>
        <v>1.8217450650012059</v>
      </c>
      <c r="L74" s="1290">
        <f t="shared" ref="L74:L137" ca="1" si="47">704*I74/J74^2</f>
        <v>27.838369618792974</v>
      </c>
      <c r="M74" s="299">
        <v>66</v>
      </c>
      <c r="N74" s="304">
        <f t="shared" ref="N74:N137" si="48">IF(AI74&gt;$C$33,183+0.005835*R74^3+15*Q74,604+0.006012*R74^3+14.6*Q74)</f>
        <v>2978.0987667060444</v>
      </c>
      <c r="O74" s="303">
        <v>247.01741873720044</v>
      </c>
      <c r="P74" s="302">
        <v>0.43662116902102954</v>
      </c>
      <c r="Q74" s="301">
        <v>108.7194030257716</v>
      </c>
      <c r="R74" s="301">
        <v>50.770833737200782</v>
      </c>
      <c r="S74" s="300">
        <v>5.0875363724768778</v>
      </c>
      <c r="T74" s="891">
        <f t="shared" ref="T74:T137" si="49">HLOOKUP(U74,$AL$32:$AT$34,3)</f>
        <v>256</v>
      </c>
      <c r="U74" s="1220">
        <v>0.84224903583526611</v>
      </c>
      <c r="W74" s="299">
        <v>66</v>
      </c>
      <c r="X74" s="298">
        <f>IF('Donor Sample'!N91="",,IF('Donor Sample'!N91="F",1,0))</f>
        <v>1</v>
      </c>
      <c r="Y74" s="298">
        <f>IF('Donor Sample'!O91="","",'Donor Sample'!O91)</f>
        <v>152</v>
      </c>
      <c r="Z74" s="298">
        <f>IF(AND('Donor Sample'!O91="",'Donor Sample'!P91="",'Donor Sample'!Q91=""),"",IF('Donor Sample'!P91="",ROUND(AA74/($C$32+($AI74-0.5)*$C$31),0),'Donor Sample'!P91))</f>
        <v>58</v>
      </c>
      <c r="AA74" s="297" t="str">
        <f>IF('Donor Sample'!Q91="","",'Donor Sample'!Q91)</f>
        <v/>
      </c>
      <c r="AB74" s="296">
        <f t="shared" si="44"/>
        <v>3351.5568288000004</v>
      </c>
      <c r="AC74" s="295">
        <f>IF('Donor Sample'!R91="","",'Donor Sample'!R91)</f>
        <v>200</v>
      </c>
      <c r="AD74" s="294">
        <f>IF('Donor Sample'!S91="","",'Donor Sample'!S91/100)</f>
        <v>0.37299999237060549</v>
      </c>
      <c r="AE74" s="293">
        <f t="shared" ref="AE74:AE137" si="50">IF($AB$2=1,Z74,2.2*Z74)</f>
        <v>127.60000000000001</v>
      </c>
      <c r="AF74" s="293">
        <f t="shared" ref="AF74:AF137" si="51">IF(AND(Y74="",AA74=""),"",IF(AA74="",IF($AB$2=1,Y74,Y74/2.54),IF(AI74&lt;=$C$33,((AB74-604-14.6*Z74)/0.006012)^(1/3),((AB74-183-15*Z74)/0.005835)^(1/3))))</f>
        <v>59.84251968503937</v>
      </c>
      <c r="AG74" s="292" t="str">
        <f>IF('Donor Sample'!T91="","",'Donor Sample'!T91)</f>
        <v/>
      </c>
      <c r="AH74" s="891">
        <f t="shared" ref="AH74:AH137" si="52">HLOOKUP(AI74,$AL$32:$AT$34,3)</f>
        <v>64</v>
      </c>
      <c r="AI74" s="1220">
        <v>0.56639349460601807</v>
      </c>
      <c r="AJ74" s="1216"/>
    </row>
    <row r="75" spans="2:36">
      <c r="E75" s="299">
        <v>67</v>
      </c>
      <c r="F75" s="308">
        <f t="shared" ca="1" si="40"/>
        <v>3211.266251610396</v>
      </c>
      <c r="G75" s="307">
        <f t="shared" ca="1" si="41"/>
        <v>196.5758214048368</v>
      </c>
      <c r="H75" s="306">
        <f t="shared" ca="1" si="42"/>
        <v>0.43826290193865786</v>
      </c>
      <c r="I75" s="305">
        <f t="shared" ca="1" si="45"/>
        <v>100.50001550727052</v>
      </c>
      <c r="J75" s="305">
        <f t="shared" ca="1" si="46"/>
        <v>57.450125101324701</v>
      </c>
      <c r="K75" s="292">
        <f t="shared" ca="1" si="43"/>
        <v>3.9807275666900725</v>
      </c>
      <c r="L75" s="1290">
        <f t="shared" ca="1" si="47"/>
        <v>21.436645717853246</v>
      </c>
      <c r="M75" s="299">
        <v>67</v>
      </c>
      <c r="N75" s="304">
        <f t="shared" si="48"/>
        <v>3158.1571494372884</v>
      </c>
      <c r="O75" s="303">
        <v>294.05394372621777</v>
      </c>
      <c r="P75" s="302">
        <v>0.36516186348546775</v>
      </c>
      <c r="Q75" s="301">
        <v>99.552320530934253</v>
      </c>
      <c r="R75" s="301">
        <v>56.782666061331454</v>
      </c>
      <c r="S75" s="300">
        <v>3.769305262590918</v>
      </c>
      <c r="T75" s="891">
        <f t="shared" si="49"/>
        <v>2</v>
      </c>
      <c r="U75" s="1220">
        <v>0.21017247438430786</v>
      </c>
      <c r="W75" s="299">
        <v>67</v>
      </c>
      <c r="X75" s="298">
        <f>IF('Donor Sample'!N92="",,IF('Donor Sample'!N92="F",1,0))</f>
        <v>1</v>
      </c>
      <c r="Y75" s="298">
        <f>IF('Donor Sample'!O92="","",'Donor Sample'!O92)</f>
        <v>155</v>
      </c>
      <c r="Z75" s="298">
        <f>IF(AND('Donor Sample'!O92="",'Donor Sample'!P92="",'Donor Sample'!Q92=""),"",IF('Donor Sample'!P92="",ROUND(AA75/($C$32+($AI75-0.5)*$C$31),0),'Donor Sample'!P92))</f>
        <v>53</v>
      </c>
      <c r="AA75" s="297" t="str">
        <f>IF('Donor Sample'!Q92="","",'Donor Sample'!Q92)</f>
        <v/>
      </c>
      <c r="AB75" s="296">
        <f t="shared" si="44"/>
        <v>3261.7288875000004</v>
      </c>
      <c r="AC75" s="295">
        <f>IF('Donor Sample'!R92="","",'Donor Sample'!R92)</f>
        <v>200</v>
      </c>
      <c r="AD75" s="294">
        <f>IF('Donor Sample'!S92="","",'Donor Sample'!S92/100)</f>
        <v>0.35499999999999998</v>
      </c>
      <c r="AE75" s="407">
        <f t="shared" si="50"/>
        <v>116.60000000000001</v>
      </c>
      <c r="AF75" s="293">
        <f t="shared" si="51"/>
        <v>61.023622047244096</v>
      </c>
      <c r="AG75" s="292" t="str">
        <f>IF('Donor Sample'!T92="","",'Donor Sample'!T92)</f>
        <v/>
      </c>
      <c r="AH75" s="891">
        <f t="shared" si="52"/>
        <v>2</v>
      </c>
      <c r="AI75" s="1220">
        <v>0.350727379322052</v>
      </c>
      <c r="AJ75" s="1216"/>
    </row>
    <row r="76" spans="2:36">
      <c r="E76" s="299">
        <v>68</v>
      </c>
      <c r="F76" s="308">
        <f t="shared" ca="1" si="40"/>
        <v>3743.798949432402</v>
      </c>
      <c r="G76" s="307">
        <f t="shared" ca="1" si="41"/>
        <v>229.43593435167256</v>
      </c>
      <c r="H76" s="306">
        <f t="shared" ca="1" si="42"/>
        <v>0.38767018596385905</v>
      </c>
      <c r="I76" s="305">
        <f t="shared" ca="1" si="45"/>
        <v>152.34480519783827</v>
      </c>
      <c r="J76" s="305">
        <f t="shared" ca="1" si="46"/>
        <v>53.401899378243797</v>
      </c>
      <c r="K76" s="292">
        <f t="shared" ca="1" si="43"/>
        <v>1.8402528611971893</v>
      </c>
      <c r="L76" s="1290">
        <f t="shared" ca="1" si="47"/>
        <v>37.608576950339021</v>
      </c>
      <c r="M76" s="299">
        <v>68</v>
      </c>
      <c r="N76" s="304">
        <f t="shared" si="48"/>
        <v>2757.9774602382258</v>
      </c>
      <c r="O76" s="303">
        <v>206.11457048018778</v>
      </c>
      <c r="P76" s="302">
        <v>0.45434491311890918</v>
      </c>
      <c r="Q76" s="301">
        <v>115.33066410544335</v>
      </c>
      <c r="R76" s="301">
        <v>42.763418656288422</v>
      </c>
      <c r="S76" s="300">
        <v>1.5879227940946514</v>
      </c>
      <c r="T76" s="891">
        <f t="shared" si="49"/>
        <v>2</v>
      </c>
      <c r="U76" s="1220">
        <v>0.22621417045593262</v>
      </c>
      <c r="W76" s="299">
        <v>68</v>
      </c>
      <c r="X76" s="298">
        <f>IF('Donor Sample'!N93="",,IF('Donor Sample'!N93="F",1,0))</f>
        <v>1</v>
      </c>
      <c r="Y76" s="298">
        <f>IF('Donor Sample'!O93="","",'Donor Sample'!O93)</f>
        <v>150</v>
      </c>
      <c r="Z76" s="298">
        <f>IF(AND('Donor Sample'!O93="",'Donor Sample'!P93="",'Donor Sample'!Q93=""),"",IF('Donor Sample'!P93="",ROUND(AA76/($C$32+($AI76-0.5)*$C$31),0),'Donor Sample'!P93))</f>
        <v>42</v>
      </c>
      <c r="AA76" s="297" t="str">
        <f>IF('Donor Sample'!Q93="","",'Donor Sample'!Q93)</f>
        <v/>
      </c>
      <c r="AB76" s="296">
        <f t="shared" si="44"/>
        <v>2773.7354999999998</v>
      </c>
      <c r="AC76" s="295">
        <f>IF('Donor Sample'!R93="","",'Donor Sample'!R93)</f>
        <v>200</v>
      </c>
      <c r="AD76" s="294">
        <f>IF('Donor Sample'!S93="","",'Donor Sample'!S93/100)</f>
        <v>0.33900001525878909</v>
      </c>
      <c r="AE76" s="293">
        <f t="shared" si="50"/>
        <v>92.4</v>
      </c>
      <c r="AF76" s="293">
        <f t="shared" si="51"/>
        <v>59.055118110236222</v>
      </c>
      <c r="AG76" s="292" t="str">
        <f>IF('Donor Sample'!T93="","",'Donor Sample'!T93)</f>
        <v/>
      </c>
      <c r="AH76" s="891">
        <f t="shared" si="52"/>
        <v>4</v>
      </c>
      <c r="AI76" s="1220">
        <v>0.3655846118927002</v>
      </c>
      <c r="AJ76" s="1216"/>
    </row>
    <row r="77" spans="2:36">
      <c r="E77" s="299">
        <v>69</v>
      </c>
      <c r="F77" s="308">
        <f t="shared" ca="1" si="40"/>
        <v>3560.2692422937762</v>
      </c>
      <c r="G77" s="307">
        <f t="shared" ca="1" si="41"/>
        <v>270.52435141926981</v>
      </c>
      <c r="H77" s="306">
        <f t="shared" ca="1" si="42"/>
        <v>0.41083257358372549</v>
      </c>
      <c r="I77" s="305">
        <f t="shared" ca="1" si="45"/>
        <v>124.05974453407347</v>
      </c>
      <c r="J77" s="305">
        <f t="shared" ca="1" si="46"/>
        <v>63.814847335174747</v>
      </c>
      <c r="K77" s="292">
        <f t="shared" ca="1" si="43"/>
        <v>4.412118346258155</v>
      </c>
      <c r="L77" s="1290">
        <f t="shared" ca="1" si="47"/>
        <v>21.446680029834432</v>
      </c>
      <c r="M77" s="299">
        <v>69</v>
      </c>
      <c r="N77" s="304">
        <f t="shared" si="48"/>
        <v>4187.8794609634424</v>
      </c>
      <c r="O77" s="303">
        <v>238.23240912663522</v>
      </c>
      <c r="P77" s="302">
        <v>0.43045639463619395</v>
      </c>
      <c r="Q77" s="301">
        <v>164.29920680120938</v>
      </c>
      <c r="R77" s="301">
        <v>64.150011383766312</v>
      </c>
      <c r="S77" s="300">
        <v>1.6972439167219251</v>
      </c>
      <c r="T77" s="891">
        <f t="shared" si="49"/>
        <v>64</v>
      </c>
      <c r="U77" s="1220">
        <v>0.50615304708480835</v>
      </c>
      <c r="W77" s="299">
        <v>69</v>
      </c>
      <c r="X77" s="298">
        <f>IF('Donor Sample'!N94="",,IF('Donor Sample'!N94="F",1,0))</f>
        <v>1</v>
      </c>
      <c r="Y77" s="298">
        <f>IF('Donor Sample'!O94="","",'Donor Sample'!O94)</f>
        <v>154</v>
      </c>
      <c r="Z77" s="298">
        <f>IF(AND('Donor Sample'!O94="",'Donor Sample'!P94="",'Donor Sample'!Q94=""),"",IF('Donor Sample'!P94="",ROUND(AA77/($C$32+($AI77-0.5)*$C$31),0),'Donor Sample'!P94))</f>
        <v>56</v>
      </c>
      <c r="AA77" s="297" t="str">
        <f>IF('Donor Sample'!Q94="","",'Donor Sample'!Q94)</f>
        <v/>
      </c>
      <c r="AB77" s="296">
        <f t="shared" si="44"/>
        <v>3335.4352104</v>
      </c>
      <c r="AC77" s="295">
        <f>IF('Donor Sample'!R94="","",'Donor Sample'!R94)</f>
        <v>200</v>
      </c>
      <c r="AD77" s="294">
        <f>IF('Donor Sample'!S94="","",'Donor Sample'!S94/100)</f>
        <v>0.35099998474121091</v>
      </c>
      <c r="AE77" s="293">
        <f t="shared" si="50"/>
        <v>123.20000000000002</v>
      </c>
      <c r="AF77" s="293">
        <f t="shared" si="51"/>
        <v>60.629921259842519</v>
      </c>
      <c r="AG77" s="292" t="str">
        <f>IF('Donor Sample'!T94="","",'Donor Sample'!T94)</f>
        <v/>
      </c>
      <c r="AH77" s="891">
        <f t="shared" si="52"/>
        <v>256</v>
      </c>
      <c r="AI77" s="1220">
        <v>0.90493625402450562</v>
      </c>
      <c r="AJ77" s="1216"/>
    </row>
    <row r="78" spans="2:36">
      <c r="E78" s="299">
        <v>70</v>
      </c>
      <c r="F78" s="308">
        <f t="shared" ca="1" si="40"/>
        <v>3266.2489939907277</v>
      </c>
      <c r="G78" s="307">
        <f t="shared" ca="1" si="41"/>
        <v>269.27822655373029</v>
      </c>
      <c r="H78" s="306">
        <f t="shared" ca="1" si="42"/>
        <v>0.48358850053462776</v>
      </c>
      <c r="I78" s="305">
        <f t="shared" ca="1" si="45"/>
        <v>105.52460247391426</v>
      </c>
      <c r="J78" s="305">
        <f t="shared" ca="1" si="46"/>
        <v>57.139753096186034</v>
      </c>
      <c r="K78" s="292">
        <f t="shared" ca="1" si="43"/>
        <v>3.7498894072947127</v>
      </c>
      <c r="L78" s="1290">
        <f t="shared" ca="1" si="47"/>
        <v>22.753576211923146</v>
      </c>
      <c r="M78" s="299">
        <v>70</v>
      </c>
      <c r="N78" s="304">
        <f t="shared" si="48"/>
        <v>2969.6025106366169</v>
      </c>
      <c r="O78" s="303">
        <v>233.73106740174077</v>
      </c>
      <c r="P78" s="302">
        <v>0.38884214740260348</v>
      </c>
      <c r="Q78" s="301">
        <v>114.84231156577296</v>
      </c>
      <c r="R78" s="301">
        <v>48.57133849007397</v>
      </c>
      <c r="S78" s="300">
        <v>1.4243261365116073</v>
      </c>
      <c r="T78" s="891">
        <f t="shared" si="49"/>
        <v>64</v>
      </c>
      <c r="U78" s="1220">
        <v>0.61964452266693115</v>
      </c>
      <c r="W78" s="299">
        <v>70</v>
      </c>
      <c r="X78" s="298">
        <f>IF('Donor Sample'!N95="",,IF('Donor Sample'!N95="F",1,0))</f>
        <v>1</v>
      </c>
      <c r="Y78" s="298">
        <f>IF('Donor Sample'!O95="","",'Donor Sample'!O95)</f>
        <v>155</v>
      </c>
      <c r="Z78" s="298">
        <f>IF(AND('Donor Sample'!O95="",'Donor Sample'!P95="",'Donor Sample'!Q95=""),"",IF('Donor Sample'!P95="",ROUND(AA78/($C$32+($AI78-0.5)*$C$31),0),'Donor Sample'!P95))</f>
        <v>55</v>
      </c>
      <c r="AA78" s="297" t="str">
        <f>IF('Donor Sample'!Q95="","",'Donor Sample'!Q95)</f>
        <v/>
      </c>
      <c r="AB78" s="296">
        <f t="shared" si="44"/>
        <v>3327.8668875000003</v>
      </c>
      <c r="AC78" s="295">
        <f>IF('Donor Sample'!R95="","",'Donor Sample'!R95)</f>
        <v>200</v>
      </c>
      <c r="AD78" s="294">
        <f>IF('Donor Sample'!S95="","",'Donor Sample'!S95/100)</f>
        <v>0.36599998474121093</v>
      </c>
      <c r="AE78" s="407">
        <f t="shared" si="50"/>
        <v>121.00000000000001</v>
      </c>
      <c r="AF78" s="293">
        <f t="shared" si="51"/>
        <v>61.023622047244096</v>
      </c>
      <c r="AG78" s="292" t="str">
        <f>IF('Donor Sample'!T95="","",'Donor Sample'!T95)</f>
        <v/>
      </c>
      <c r="AH78" s="891">
        <f t="shared" si="52"/>
        <v>64</v>
      </c>
      <c r="AI78" s="1220">
        <v>0.47261130809783936</v>
      </c>
      <c r="AJ78" s="1216"/>
    </row>
    <row r="79" spans="2:36">
      <c r="E79" s="299">
        <v>71</v>
      </c>
      <c r="F79" s="308">
        <f t="shared" ca="1" si="40"/>
        <v>3214.663783495143</v>
      </c>
      <c r="G79" s="307">
        <f t="shared" ca="1" si="41"/>
        <v>266.69443159064701</v>
      </c>
      <c r="H79" s="306">
        <f t="shared" ca="1" si="42"/>
        <v>0.48217785325578721</v>
      </c>
      <c r="I79" s="305">
        <f t="shared" ca="1" si="45"/>
        <v>109.02171398193158</v>
      </c>
      <c r="J79" s="305">
        <f t="shared" ca="1" si="46"/>
        <v>55.340639511673302</v>
      </c>
      <c r="K79" s="292">
        <f t="shared" ca="1" si="43"/>
        <v>1.2455290213676704</v>
      </c>
      <c r="L79" s="1290">
        <f t="shared" ca="1" si="47"/>
        <v>25.060937743790365</v>
      </c>
      <c r="M79" s="299">
        <v>71</v>
      </c>
      <c r="N79" s="304">
        <f t="shared" si="48"/>
        <v>3229.120054552076</v>
      </c>
      <c r="O79" s="303">
        <v>289.53456927047057</v>
      </c>
      <c r="P79" s="302">
        <v>0.38565482209395702</v>
      </c>
      <c r="Q79" s="301">
        <v>105.66198166407723</v>
      </c>
      <c r="R79" s="301">
        <v>56.467293976409394</v>
      </c>
      <c r="S79" s="300">
        <v>2.9563434859582052</v>
      </c>
      <c r="T79" s="891">
        <f t="shared" si="49"/>
        <v>64</v>
      </c>
      <c r="U79" s="1220">
        <v>0.60674577951431274</v>
      </c>
      <c r="W79" s="299">
        <v>71</v>
      </c>
      <c r="X79" s="298">
        <f>IF('Donor Sample'!N96="",,IF('Donor Sample'!N96="F",1,0))</f>
        <v>1</v>
      </c>
      <c r="Y79" s="298">
        <f>IF('Donor Sample'!O96="","",'Donor Sample'!O96)</f>
        <v>151</v>
      </c>
      <c r="Z79" s="298">
        <f>IF(AND('Donor Sample'!O96="",'Donor Sample'!P96="",'Donor Sample'!Q96=""),"",IF('Donor Sample'!P96="",ROUND(AA79/($C$32+($AI79-0.5)*$C$31),0),'Donor Sample'!P96))</f>
        <v>41</v>
      </c>
      <c r="AA79" s="297" t="str">
        <f>IF('Donor Sample'!Q96="","",'Donor Sample'!Q96)</f>
        <v/>
      </c>
      <c r="AB79" s="296">
        <f t="shared" si="44"/>
        <v>2764.8638510999999</v>
      </c>
      <c r="AC79" s="295">
        <f>IF('Donor Sample'!R96="","",'Donor Sample'!R96)</f>
        <v>200</v>
      </c>
      <c r="AD79" s="294">
        <f>IF('Donor Sample'!S96="","",'Donor Sample'!S96/100)</f>
        <v>0.33</v>
      </c>
      <c r="AE79" s="293">
        <f t="shared" si="50"/>
        <v>90.2</v>
      </c>
      <c r="AF79" s="293">
        <f t="shared" si="51"/>
        <v>59.448818897637793</v>
      </c>
      <c r="AG79" s="292" t="str">
        <f>IF('Donor Sample'!T96="","",'Donor Sample'!T96)</f>
        <v/>
      </c>
      <c r="AH79" s="891">
        <f t="shared" si="52"/>
        <v>4</v>
      </c>
      <c r="AI79" s="1220">
        <v>0.39989620447158813</v>
      </c>
      <c r="AJ79" s="1216"/>
    </row>
    <row r="80" spans="2:36">
      <c r="E80" s="299">
        <v>72</v>
      </c>
      <c r="F80" s="308">
        <f t="shared" ca="1" si="40"/>
        <v>3933.764130065847</v>
      </c>
      <c r="G80" s="307">
        <f t="shared" ca="1" si="41"/>
        <v>216.88651941319699</v>
      </c>
      <c r="H80" s="306">
        <f t="shared" ca="1" si="42"/>
        <v>0.51052096907932265</v>
      </c>
      <c r="I80" s="305">
        <f t="shared" ca="1" si="45"/>
        <v>132.49004274436376</v>
      </c>
      <c r="J80" s="305">
        <f t="shared" ca="1" si="46"/>
        <v>61.455520566097164</v>
      </c>
      <c r="K80" s="292">
        <f t="shared" ca="1" si="43"/>
        <v>1.76662842488242</v>
      </c>
      <c r="L80" s="1290">
        <f t="shared" ca="1" si="47"/>
        <v>24.696425313838976</v>
      </c>
      <c r="M80" s="299">
        <v>72</v>
      </c>
      <c r="N80" s="304">
        <f t="shared" si="48"/>
        <v>3695.065937998867</v>
      </c>
      <c r="O80" s="303">
        <v>256.54059433427051</v>
      </c>
      <c r="P80" s="302">
        <v>0.39991401220847389</v>
      </c>
      <c r="Q80" s="301">
        <v>151.48243842114584</v>
      </c>
      <c r="R80" s="301">
        <v>52.689754310297232</v>
      </c>
      <c r="S80" s="300">
        <v>1.4064301723306174</v>
      </c>
      <c r="T80" s="891">
        <f t="shared" si="49"/>
        <v>2</v>
      </c>
      <c r="U80" s="1220">
        <v>0.10021495819091797</v>
      </c>
      <c r="W80" s="299">
        <v>72</v>
      </c>
      <c r="X80" s="298">
        <f>IF('Donor Sample'!N97="",,IF('Donor Sample'!N97="F",1,0))</f>
        <v>1</v>
      </c>
      <c r="Y80" s="298">
        <f>IF('Donor Sample'!O97="","",'Donor Sample'!O97)</f>
        <v>160</v>
      </c>
      <c r="Z80" s="298">
        <f>IF(AND('Donor Sample'!O97="",'Donor Sample'!P97="",'Donor Sample'!Q97=""),"",IF('Donor Sample'!P97="",ROUND(AA80/($C$32+($AI80-0.5)*$C$31),0),'Donor Sample'!P97))</f>
        <v>50</v>
      </c>
      <c r="AA80" s="297" t="str">
        <f>IF('Donor Sample'!Q97="","",'Donor Sample'!Q97)</f>
        <v/>
      </c>
      <c r="AB80" s="296">
        <f t="shared" si="44"/>
        <v>3295.0356000000002</v>
      </c>
      <c r="AC80" s="295">
        <f>IF('Donor Sample'!R97="","",'Donor Sample'!R97)</f>
        <v>200</v>
      </c>
      <c r="AD80" s="294">
        <f>IF('Donor Sample'!S97="","",'Donor Sample'!S97/100)</f>
        <v>0.36900001525878906</v>
      </c>
      <c r="AE80" s="293">
        <f t="shared" si="50"/>
        <v>110.00000000000001</v>
      </c>
      <c r="AF80" s="293">
        <f t="shared" si="51"/>
        <v>62.99212598425197</v>
      </c>
      <c r="AG80" s="292" t="str">
        <f>IF('Donor Sample'!T97="","",'Donor Sample'!T97)</f>
        <v/>
      </c>
      <c r="AH80" s="891">
        <f t="shared" si="52"/>
        <v>2</v>
      </c>
      <c r="AI80" s="1220">
        <v>0.1646113395690918</v>
      </c>
      <c r="AJ80" s="1216"/>
    </row>
    <row r="81" spans="5:36">
      <c r="E81" s="299">
        <v>73</v>
      </c>
      <c r="F81" s="308">
        <f t="shared" ca="1" si="40"/>
        <v>2987.0108622337457</v>
      </c>
      <c r="G81" s="307">
        <f t="shared" ca="1" si="41"/>
        <v>222.60780536126828</v>
      </c>
      <c r="H81" s="306">
        <f t="shared" ca="1" si="42"/>
        <v>0.42779149179003723</v>
      </c>
      <c r="I81" s="305">
        <f t="shared" ca="1" si="45"/>
        <v>100.88171623085589</v>
      </c>
      <c r="J81" s="305">
        <f t="shared" ca="1" si="46"/>
        <v>60.478966789758282</v>
      </c>
      <c r="K81" s="292">
        <f t="shared" ca="1" si="43"/>
        <v>3.4196234638845215</v>
      </c>
      <c r="L81" s="1290">
        <f t="shared" ca="1" si="47"/>
        <v>19.416743557685571</v>
      </c>
      <c r="M81" s="299">
        <v>73</v>
      </c>
      <c r="N81" s="304">
        <f t="shared" si="48"/>
        <v>3772.3593087204267</v>
      </c>
      <c r="O81" s="303">
        <v>188.50493931611535</v>
      </c>
      <c r="P81" s="302">
        <v>0.39995723068662981</v>
      </c>
      <c r="Q81" s="301">
        <v>117.61388078498763</v>
      </c>
      <c r="R81" s="301">
        <v>67.881691309690041</v>
      </c>
      <c r="S81" s="300">
        <v>1.2495889761899193</v>
      </c>
      <c r="T81" s="891">
        <f t="shared" si="49"/>
        <v>128</v>
      </c>
      <c r="U81" s="1220">
        <v>0.94298857450485229</v>
      </c>
      <c r="W81" s="299">
        <v>73</v>
      </c>
      <c r="X81" s="298">
        <f>IF('Donor Sample'!N98="",,IF('Donor Sample'!N98="F",1,0))</f>
        <v>1</v>
      </c>
      <c r="Y81" s="298">
        <f>IF('Donor Sample'!O98="","",'Donor Sample'!O98)</f>
        <v>160</v>
      </c>
      <c r="Z81" s="298">
        <f>IF(AND('Donor Sample'!O98="",'Donor Sample'!P98="",'Donor Sample'!Q98=""),"",IF('Donor Sample'!P98="",ROUND(AA81/($C$32+($AI81-0.5)*$C$31),0),'Donor Sample'!P98))</f>
        <v>50</v>
      </c>
      <c r="AA81" s="297" t="str">
        <f>IF('Donor Sample'!Q98="","",'Donor Sample'!Q98)</f>
        <v/>
      </c>
      <c r="AB81" s="296">
        <f t="shared" si="44"/>
        <v>3295.0356000000002</v>
      </c>
      <c r="AC81" s="295">
        <f>IF('Donor Sample'!R98="","",'Donor Sample'!R98)</f>
        <v>200</v>
      </c>
      <c r="AD81" s="294">
        <f>IF('Donor Sample'!S98="","",'Donor Sample'!S98/100)</f>
        <v>0.37700000762939451</v>
      </c>
      <c r="AE81" s="407">
        <f t="shared" si="50"/>
        <v>110.00000000000001</v>
      </c>
      <c r="AF81" s="293">
        <f t="shared" si="51"/>
        <v>62.99212598425197</v>
      </c>
      <c r="AG81" s="292" t="str">
        <f>IF('Donor Sample'!T98="","",'Donor Sample'!T98)</f>
        <v/>
      </c>
      <c r="AH81" s="891">
        <f t="shared" si="52"/>
        <v>256</v>
      </c>
      <c r="AI81" s="1220">
        <v>0.91825646162033081</v>
      </c>
      <c r="AJ81" s="1216"/>
    </row>
    <row r="82" spans="5:36">
      <c r="E82" s="299">
        <v>74</v>
      </c>
      <c r="F82" s="308">
        <f t="shared" ca="1" si="40"/>
        <v>2888.6682043581527</v>
      </c>
      <c r="G82" s="307">
        <f t="shared" ca="1" si="41"/>
        <v>314.49539608738451</v>
      </c>
      <c r="H82" s="306">
        <f t="shared" ca="1" si="42"/>
        <v>0.47179516777968616</v>
      </c>
      <c r="I82" s="305">
        <f t="shared" ca="1" si="45"/>
        <v>96.13989277649749</v>
      </c>
      <c r="J82" s="305">
        <f t="shared" ca="1" si="46"/>
        <v>52.721757585204983</v>
      </c>
      <c r="K82" s="292">
        <f t="shared" ca="1" si="43"/>
        <v>1.6660047287115165</v>
      </c>
      <c r="L82" s="1290">
        <f t="shared" ca="1" si="47"/>
        <v>24.349863599249378</v>
      </c>
      <c r="M82" s="299">
        <v>74</v>
      </c>
      <c r="N82" s="304">
        <f t="shared" si="48"/>
        <v>3758.8098386113184</v>
      </c>
      <c r="O82" s="303">
        <v>268.0045169241389</v>
      </c>
      <c r="P82" s="302">
        <v>0.44457511299377556</v>
      </c>
      <c r="Q82" s="301">
        <v>118.05474672912528</v>
      </c>
      <c r="R82" s="301">
        <v>61.97666234477731</v>
      </c>
      <c r="S82" s="300">
        <v>1.6383410255308928</v>
      </c>
      <c r="T82" s="891">
        <f t="shared" si="49"/>
        <v>4</v>
      </c>
      <c r="U82" s="1220">
        <v>0.38262426853179932</v>
      </c>
      <c r="W82" s="299">
        <v>74</v>
      </c>
      <c r="X82" s="298">
        <f>IF('Donor Sample'!N99="",,IF('Donor Sample'!N99="F",1,0))</f>
        <v>1</v>
      </c>
      <c r="Y82" s="298">
        <f>IF('Donor Sample'!O99="","",'Donor Sample'!O99)</f>
        <v>156</v>
      </c>
      <c r="Z82" s="298">
        <f>IF(AND('Donor Sample'!O99="",'Donor Sample'!P99="",'Donor Sample'!Q99=""),"",IF('Donor Sample'!P99="",ROUND(AA82/($C$32+($AI82-0.5)*$C$31),0),'Donor Sample'!P99))</f>
        <v>53</v>
      </c>
      <c r="AA82" s="297" t="str">
        <f>IF('Donor Sample'!Q99="","",'Donor Sample'!Q99)</f>
        <v/>
      </c>
      <c r="AB82" s="296">
        <f t="shared" si="44"/>
        <v>3287.5607375999998</v>
      </c>
      <c r="AC82" s="295">
        <f>IF('Donor Sample'!R99="","",'Donor Sample'!R99)</f>
        <v>200</v>
      </c>
      <c r="AD82" s="294">
        <f>IF('Donor Sample'!S99="","",'Donor Sample'!S99/100)</f>
        <v>0.36</v>
      </c>
      <c r="AE82" s="293">
        <f t="shared" si="50"/>
        <v>116.60000000000001</v>
      </c>
      <c r="AF82" s="293">
        <f t="shared" si="51"/>
        <v>61.417322834645667</v>
      </c>
      <c r="AG82" s="292" t="str">
        <f>IF('Donor Sample'!T99="","",'Donor Sample'!T99)</f>
        <v/>
      </c>
      <c r="AH82" s="891">
        <f t="shared" si="52"/>
        <v>64</v>
      </c>
      <c r="AI82" s="1220">
        <v>0.45144951343536377</v>
      </c>
      <c r="AJ82" s="1216"/>
    </row>
    <row r="83" spans="5:36">
      <c r="E83" s="299">
        <v>75</v>
      </c>
      <c r="F83" s="308">
        <f t="shared" ca="1" si="40"/>
        <v>3028.885886469312</v>
      </c>
      <c r="G83" s="307">
        <f t="shared" ca="1" si="41"/>
        <v>238.40555985887585</v>
      </c>
      <c r="H83" s="306">
        <f t="shared" ca="1" si="42"/>
        <v>0.43694611628632934</v>
      </c>
      <c r="I83" s="305">
        <f t="shared" ca="1" si="45"/>
        <v>123.6452425940312</v>
      </c>
      <c r="J83" s="305">
        <f t="shared" ca="1" si="46"/>
        <v>46.886312610979836</v>
      </c>
      <c r="K83" s="292">
        <f t="shared" ca="1" si="43"/>
        <v>1.5325985565914182</v>
      </c>
      <c r="L83" s="1290">
        <f t="shared" ca="1" si="47"/>
        <v>39.596601460007804</v>
      </c>
      <c r="M83" s="299">
        <v>75</v>
      </c>
      <c r="N83" s="304">
        <f t="shared" si="48"/>
        <v>3442.870510694564</v>
      </c>
      <c r="O83" s="303">
        <v>217.63051770527619</v>
      </c>
      <c r="P83" s="302">
        <v>0.48909015369775699</v>
      </c>
      <c r="Q83" s="301">
        <v>119.27947912695376</v>
      </c>
      <c r="R83" s="301">
        <v>56.725808004699033</v>
      </c>
      <c r="S83" s="300">
        <v>1.4097589850484848</v>
      </c>
      <c r="T83" s="891">
        <f t="shared" si="49"/>
        <v>2</v>
      </c>
      <c r="U83" s="1220">
        <v>0.34734755754470825</v>
      </c>
      <c r="W83" s="299">
        <v>75</v>
      </c>
      <c r="X83" s="298">
        <f>IF('Donor Sample'!N100="",,IF('Donor Sample'!N100="F",1,0))</f>
        <v>1</v>
      </c>
      <c r="Y83" s="298">
        <f>IF('Donor Sample'!O100="","",'Donor Sample'!O100)</f>
        <v>160</v>
      </c>
      <c r="Z83" s="298">
        <f>IF(AND('Donor Sample'!O100="",'Donor Sample'!P100="",'Donor Sample'!Q100=""),"",IF('Donor Sample'!P100="",ROUND(AA83/($C$32+($AI83-0.5)*$C$31),0),'Donor Sample'!P100))</f>
        <v>47</v>
      </c>
      <c r="AA83" s="297" t="str">
        <f>IF('Donor Sample'!Q100="","",'Donor Sample'!Q100)</f>
        <v/>
      </c>
      <c r="AB83" s="296">
        <f t="shared" si="44"/>
        <v>3195.8285999999998</v>
      </c>
      <c r="AC83" s="295">
        <f>IF('Donor Sample'!R100="","",'Donor Sample'!R100)</f>
        <v>200</v>
      </c>
      <c r="AD83" s="294">
        <f>IF('Donor Sample'!S100="","",'Donor Sample'!S100/100)</f>
        <v>0.38</v>
      </c>
      <c r="AE83" s="293">
        <f t="shared" si="50"/>
        <v>103.4</v>
      </c>
      <c r="AF83" s="293">
        <f t="shared" si="51"/>
        <v>62.99212598425197</v>
      </c>
      <c r="AG83" s="292" t="str">
        <f>IF('Donor Sample'!T100="","",'Donor Sample'!T100)</f>
        <v/>
      </c>
      <c r="AH83" s="891">
        <f t="shared" si="52"/>
        <v>64</v>
      </c>
      <c r="AI83" s="1220">
        <v>0.65698510408401489</v>
      </c>
      <c r="AJ83" s="1216"/>
    </row>
    <row r="84" spans="5:36">
      <c r="E84" s="299">
        <v>76</v>
      </c>
      <c r="F84" s="308">
        <f t="shared" ca="1" si="40"/>
        <v>3978.7639456784009</v>
      </c>
      <c r="G84" s="307">
        <f t="shared" ca="1" si="41"/>
        <v>201.31623001062815</v>
      </c>
      <c r="H84" s="306">
        <f t="shared" ca="1" si="42"/>
        <v>0.41238633389039547</v>
      </c>
      <c r="I84" s="305">
        <f t="shared" ca="1" si="45"/>
        <v>159.83854308924251</v>
      </c>
      <c r="J84" s="305">
        <f t="shared" ca="1" si="46"/>
        <v>55.739205621507779</v>
      </c>
      <c r="K84" s="292">
        <f t="shared" ca="1" si="43"/>
        <v>3.2622002289833629</v>
      </c>
      <c r="L84" s="1290">
        <f t="shared" ca="1" si="47"/>
        <v>36.218680270315495</v>
      </c>
      <c r="M84" s="299">
        <v>76</v>
      </c>
      <c r="N84" s="304">
        <f t="shared" si="48"/>
        <v>3425.3482042871856</v>
      </c>
      <c r="O84" s="303">
        <v>219.58051817954336</v>
      </c>
      <c r="P84" s="302">
        <v>0.36744904370421388</v>
      </c>
      <c r="Q84" s="301">
        <v>112.75034834809907</v>
      </c>
      <c r="R84" s="301">
        <v>58.035904304396226</v>
      </c>
      <c r="S84" s="300">
        <v>1.4046116017575576</v>
      </c>
      <c r="T84" s="891">
        <f t="shared" si="49"/>
        <v>2</v>
      </c>
      <c r="U84" s="1220">
        <v>3.9786577224731445E-2</v>
      </c>
      <c r="W84" s="299">
        <v>76</v>
      </c>
      <c r="X84" s="298">
        <f>IF('Donor Sample'!N101="",,IF('Donor Sample'!N101="F",1,0))</f>
        <v>1</v>
      </c>
      <c r="Y84" s="298">
        <f>IF('Donor Sample'!O101="","",'Donor Sample'!O101)</f>
        <v>154</v>
      </c>
      <c r="Z84" s="298">
        <f>IF(AND('Donor Sample'!O101="",'Donor Sample'!P101="",'Donor Sample'!Q101=""),"",IF('Donor Sample'!P101="",ROUND(AA84/($C$32+($AI84-0.5)*$C$31),0),'Donor Sample'!P101))</f>
        <v>45</v>
      </c>
      <c r="AA84" s="297" t="str">
        <f>IF('Donor Sample'!Q101="","",'Donor Sample'!Q101)</f>
        <v/>
      </c>
      <c r="AB84" s="296">
        <f t="shared" si="44"/>
        <v>2971.6762103999999</v>
      </c>
      <c r="AC84" s="295">
        <f>IF('Donor Sample'!R101="","",'Donor Sample'!R101)</f>
        <v>200</v>
      </c>
      <c r="AD84" s="294">
        <f>IF('Donor Sample'!S101="","",'Donor Sample'!S101/100)</f>
        <v>0.36099998474121092</v>
      </c>
      <c r="AE84" s="407">
        <f t="shared" si="50"/>
        <v>99.000000000000014</v>
      </c>
      <c r="AF84" s="293">
        <f t="shared" si="51"/>
        <v>60.629921259842519</v>
      </c>
      <c r="AG84" s="292" t="str">
        <f>IF('Donor Sample'!T101="","",'Donor Sample'!T101)</f>
        <v/>
      </c>
      <c r="AH84" s="891">
        <f t="shared" si="52"/>
        <v>2</v>
      </c>
      <c r="AI84" s="1220">
        <v>6.2534093856811523E-2</v>
      </c>
      <c r="AJ84" s="1216"/>
    </row>
    <row r="85" spans="5:36">
      <c r="E85" s="299">
        <v>77</v>
      </c>
      <c r="F85" s="308">
        <f t="shared" ca="1" si="40"/>
        <v>3569.3096184609512</v>
      </c>
      <c r="G85" s="307">
        <f t="shared" ca="1" si="41"/>
        <v>201.34086300240628</v>
      </c>
      <c r="H85" s="306">
        <f t="shared" ca="1" si="42"/>
        <v>0.35346914272565</v>
      </c>
      <c r="I85" s="305">
        <f t="shared" ca="1" si="45"/>
        <v>127.95246353319676</v>
      </c>
      <c r="J85" s="305">
        <f t="shared" ca="1" si="46"/>
        <v>56.722594941238548</v>
      </c>
      <c r="K85" s="292">
        <f t="shared" ca="1" si="43"/>
        <v>4.2699584864221327</v>
      </c>
      <c r="L85" s="1290">
        <f t="shared" ca="1" si="47"/>
        <v>27.996847374108679</v>
      </c>
      <c r="M85" s="299">
        <v>77</v>
      </c>
      <c r="N85" s="304">
        <f t="shared" si="48"/>
        <v>3208.5974913319824</v>
      </c>
      <c r="O85" s="303">
        <v>224.96765287082121</v>
      </c>
      <c r="P85" s="302">
        <v>0.4072887639433182</v>
      </c>
      <c r="Q85" s="301">
        <v>102.86719538718064</v>
      </c>
      <c r="R85" s="301">
        <v>56.817778741156381</v>
      </c>
      <c r="S85" s="300">
        <v>3.4604579665771009</v>
      </c>
      <c r="T85" s="891">
        <f t="shared" si="49"/>
        <v>256</v>
      </c>
      <c r="U85" s="1220">
        <v>0.89014285802841187</v>
      </c>
      <c r="W85" s="299">
        <v>77</v>
      </c>
      <c r="X85" s="298">
        <f>IF('Donor Sample'!N102="",,IF('Donor Sample'!N102="F",1,0))</f>
        <v>1</v>
      </c>
      <c r="Y85" s="298">
        <f>IF('Donor Sample'!O102="","",'Donor Sample'!O102)</f>
        <v>160</v>
      </c>
      <c r="Z85" s="298">
        <f>IF(AND('Donor Sample'!O102="",'Donor Sample'!P102="",'Donor Sample'!Q102=""),"",IF('Donor Sample'!P102="",ROUND(AA85/($C$32+($AI85-0.5)*$C$31),0),'Donor Sample'!P102))</f>
        <v>50</v>
      </c>
      <c r="AA85" s="297" t="str">
        <f>IF('Donor Sample'!Q102="","",'Donor Sample'!Q102)</f>
        <v/>
      </c>
      <c r="AB85" s="296">
        <f t="shared" si="44"/>
        <v>3295.0356000000002</v>
      </c>
      <c r="AC85" s="295">
        <f>IF('Donor Sample'!R102="","",'Donor Sample'!R102)</f>
        <v>200</v>
      </c>
      <c r="AD85" s="294">
        <f>IF('Donor Sample'!S102="","",'Donor Sample'!S102/100)</f>
        <v>0.34700000762939454</v>
      </c>
      <c r="AE85" s="293">
        <f t="shared" si="50"/>
        <v>110.00000000000001</v>
      </c>
      <c r="AF85" s="293">
        <f t="shared" si="51"/>
        <v>62.99212598425197</v>
      </c>
      <c r="AG85" s="292" t="str">
        <f>IF('Donor Sample'!T102="","",'Donor Sample'!T102)</f>
        <v/>
      </c>
      <c r="AH85" s="891">
        <f t="shared" si="52"/>
        <v>64</v>
      </c>
      <c r="AI85" s="1220">
        <v>0.46691983938217163</v>
      </c>
      <c r="AJ85" s="1216"/>
    </row>
    <row r="86" spans="5:36">
      <c r="E86" s="299">
        <v>78</v>
      </c>
      <c r="F86" s="308">
        <f t="shared" ca="1" si="40"/>
        <v>2786.6364703610207</v>
      </c>
      <c r="G86" s="307">
        <f t="shared" ca="1" si="41"/>
        <v>248.37172359917182</v>
      </c>
      <c r="H86" s="306">
        <f t="shared" ca="1" si="42"/>
        <v>0.43851534628288347</v>
      </c>
      <c r="I86" s="305">
        <f t="shared" ca="1" si="45"/>
        <v>85.960329150957762</v>
      </c>
      <c r="J86" s="305">
        <f t="shared" ca="1" si="46"/>
        <v>53.635174843004592</v>
      </c>
      <c r="K86" s="292">
        <f t="shared" ca="1" si="43"/>
        <v>1.7456931986866129</v>
      </c>
      <c r="L86" s="1290">
        <f t="shared" ca="1" si="47"/>
        <v>21.036395511904846</v>
      </c>
      <c r="M86" s="299">
        <v>78</v>
      </c>
      <c r="N86" s="304">
        <f t="shared" si="48"/>
        <v>3274.955897998746</v>
      </c>
      <c r="O86" s="303">
        <v>232.82930578121974</v>
      </c>
      <c r="P86" s="302">
        <v>0.40279622408691379</v>
      </c>
      <c r="Q86" s="301">
        <v>113.65488999612663</v>
      </c>
      <c r="R86" s="301">
        <v>55.207213806776217</v>
      </c>
      <c r="S86" s="300">
        <v>2.4393092437358499</v>
      </c>
      <c r="T86" s="891">
        <f t="shared" si="49"/>
        <v>64</v>
      </c>
      <c r="U86" s="1220">
        <v>0.49355399608612061</v>
      </c>
      <c r="W86" s="299">
        <v>78</v>
      </c>
      <c r="X86" s="298">
        <f>IF('Donor Sample'!N103="",,IF('Donor Sample'!N103="F",1,0))</f>
        <v>1</v>
      </c>
      <c r="Y86" s="298">
        <f>IF('Donor Sample'!O103="","",'Donor Sample'!O103)</f>
        <v>153</v>
      </c>
      <c r="Z86" s="298">
        <f>IF(AND('Donor Sample'!O103="",'Donor Sample'!P103="",'Donor Sample'!Q103=""),"",IF('Donor Sample'!P103="",ROUND(AA86/($C$32+($AI86-0.5)*$C$31),0),'Donor Sample'!P103))</f>
        <v>53</v>
      </c>
      <c r="AA86" s="297" t="str">
        <f>IF('Donor Sample'!Q103="","",'Donor Sample'!Q103)</f>
        <v/>
      </c>
      <c r="AB86" s="296">
        <f t="shared" si="44"/>
        <v>3211.0565697000002</v>
      </c>
      <c r="AC86" s="295">
        <f>IF('Donor Sample'!R103="","",'Donor Sample'!R103)</f>
        <v>200</v>
      </c>
      <c r="AD86" s="294">
        <f>IF('Donor Sample'!S103="","",'Donor Sample'!S103/100)</f>
        <v>0.37299999237060549</v>
      </c>
      <c r="AE86" s="293">
        <f t="shared" si="50"/>
        <v>116.60000000000001</v>
      </c>
      <c r="AF86" s="293">
        <f t="shared" si="51"/>
        <v>60.236220472440941</v>
      </c>
      <c r="AG86" s="292" t="str">
        <f>IF('Donor Sample'!T103="","",'Donor Sample'!T103)</f>
        <v/>
      </c>
      <c r="AH86" s="891">
        <f t="shared" si="52"/>
        <v>2</v>
      </c>
      <c r="AI86" s="1220">
        <v>0.32816445827484131</v>
      </c>
      <c r="AJ86" s="1216"/>
    </row>
    <row r="87" spans="5:36">
      <c r="E87" s="299">
        <v>79</v>
      </c>
      <c r="F87" s="308">
        <f t="shared" ca="1" si="40"/>
        <v>4180.4914058747081</v>
      </c>
      <c r="G87" s="307">
        <f t="shared" ca="1" si="41"/>
        <v>230.94890018986064</v>
      </c>
      <c r="H87" s="306">
        <f t="shared" ca="1" si="42"/>
        <v>0.39148801948558015</v>
      </c>
      <c r="I87" s="305">
        <f t="shared" ca="1" si="45"/>
        <v>138.81007928467341</v>
      </c>
      <c r="J87" s="305">
        <f t="shared" ca="1" si="46"/>
        <v>63.644111722946974</v>
      </c>
      <c r="K87" s="292">
        <f t="shared" ca="1" si="43"/>
        <v>2.8938664816425308</v>
      </c>
      <c r="L87" s="1290">
        <f t="shared" ca="1" si="47"/>
        <v>24.125548867712627</v>
      </c>
      <c r="M87" s="299">
        <v>79</v>
      </c>
      <c r="N87" s="304">
        <f t="shared" si="48"/>
        <v>3094.0075959330861</v>
      </c>
      <c r="O87" s="303">
        <v>255.28022852636158</v>
      </c>
      <c r="P87" s="302">
        <v>0.4366357011168544</v>
      </c>
      <c r="Q87" s="301">
        <v>99.926184684870478</v>
      </c>
      <c r="R87" s="301">
        <v>55.559527163894167</v>
      </c>
      <c r="S87" s="300">
        <v>4.1697721307781572</v>
      </c>
      <c r="T87" s="891">
        <f t="shared" si="49"/>
        <v>4</v>
      </c>
      <c r="U87" s="1220">
        <v>0.40738064050674438</v>
      </c>
      <c r="W87" s="299">
        <v>79</v>
      </c>
      <c r="X87" s="298">
        <f>IF('Donor Sample'!N104="",,IF('Donor Sample'!N104="F",1,0))</f>
        <v>1</v>
      </c>
      <c r="Y87" s="298">
        <f>IF('Donor Sample'!O104="","",'Donor Sample'!O104)</f>
        <v>152</v>
      </c>
      <c r="Z87" s="298">
        <f>IF(AND('Donor Sample'!O104="",'Donor Sample'!P104="",'Donor Sample'!Q104=""),"",IF('Donor Sample'!P104="",ROUND(AA87/($C$32+($AI87-0.5)*$C$31),0),'Donor Sample'!P104))</f>
        <v>45</v>
      </c>
      <c r="AA87" s="297" t="str">
        <f>IF('Donor Sample'!Q104="","",'Donor Sample'!Q104)</f>
        <v/>
      </c>
      <c r="AB87" s="296">
        <f t="shared" si="44"/>
        <v>2921.6598288</v>
      </c>
      <c r="AC87" s="295">
        <f>IF('Donor Sample'!R104="","",'Donor Sample'!R104)</f>
        <v>200</v>
      </c>
      <c r="AD87" s="294">
        <f>IF('Donor Sample'!S104="","",'Donor Sample'!S104/100)</f>
        <v>0.38400001525878907</v>
      </c>
      <c r="AE87" s="407">
        <f t="shared" si="50"/>
        <v>99.000000000000014</v>
      </c>
      <c r="AF87" s="293">
        <f t="shared" si="51"/>
        <v>59.84251968503937</v>
      </c>
      <c r="AG87" s="292" t="str">
        <f>IF('Donor Sample'!T104="","",'Donor Sample'!T104)</f>
        <v/>
      </c>
      <c r="AH87" s="891">
        <f t="shared" si="52"/>
        <v>64</v>
      </c>
      <c r="AI87" s="1220">
        <v>0.70872503519058228</v>
      </c>
      <c r="AJ87" s="1216"/>
    </row>
    <row r="88" spans="5:36">
      <c r="E88" s="299">
        <v>80</v>
      </c>
      <c r="F88" s="308">
        <f t="shared" ca="1" si="40"/>
        <v>4423.6510185881671</v>
      </c>
      <c r="G88" s="307">
        <f t="shared" ca="1" si="41"/>
        <v>223.98897116615305</v>
      </c>
      <c r="H88" s="306">
        <f t="shared" ca="1" si="42"/>
        <v>0.38487834539654192</v>
      </c>
      <c r="I88" s="305">
        <f t="shared" ca="1" si="45"/>
        <v>140.48350011858065</v>
      </c>
      <c r="J88" s="305">
        <f t="shared" ca="1" si="46"/>
        <v>66.50733637153823</v>
      </c>
      <c r="K88" s="292">
        <f t="shared" ca="1" si="43"/>
        <v>1.9865062729552903</v>
      </c>
      <c r="L88" s="1290">
        <f t="shared" ca="1" si="47"/>
        <v>22.359334284814746</v>
      </c>
      <c r="M88" s="299">
        <v>80</v>
      </c>
      <c r="N88" s="304">
        <f t="shared" si="48"/>
        <v>2953.5432145732384</v>
      </c>
      <c r="O88" s="303">
        <v>217.31390329777776</v>
      </c>
      <c r="P88" s="302">
        <v>0.37506733187090624</v>
      </c>
      <c r="Q88" s="301">
        <v>91.176450620541189</v>
      </c>
      <c r="R88" s="301">
        <v>55.330142275408207</v>
      </c>
      <c r="S88" s="300">
        <v>1.8579944537095581</v>
      </c>
      <c r="T88" s="891">
        <f t="shared" si="49"/>
        <v>128</v>
      </c>
      <c r="U88" s="1220">
        <v>0.93122053146362305</v>
      </c>
      <c r="W88" s="299">
        <v>80</v>
      </c>
      <c r="X88" s="298">
        <f>IF('Donor Sample'!N105="",,IF('Donor Sample'!N105="F",1,0))</f>
        <v>1</v>
      </c>
      <c r="Y88" s="298">
        <f>IF('Donor Sample'!O105="","",'Donor Sample'!O105)</f>
        <v>159</v>
      </c>
      <c r="Z88" s="298">
        <f>IF(AND('Donor Sample'!O105="",'Donor Sample'!P105="",'Donor Sample'!Q105=""),"",IF('Donor Sample'!P105="",ROUND(AA88/($C$32+($AI88-0.5)*$C$31),0),'Donor Sample'!P105))</f>
        <v>46</v>
      </c>
      <c r="AA88" s="297" t="str">
        <f>IF('Donor Sample'!Q105="","",'Donor Sample'!Q105)</f>
        <v/>
      </c>
      <c r="AB88" s="296">
        <f t="shared" si="44"/>
        <v>3135.5816918999999</v>
      </c>
      <c r="AC88" s="295">
        <f>IF('Donor Sample'!R105="","",'Donor Sample'!R105)</f>
        <v>200</v>
      </c>
      <c r="AD88" s="294">
        <f>IF('Donor Sample'!S105="","",'Donor Sample'!S105/100)</f>
        <v>0.33700000762939453</v>
      </c>
      <c r="AE88" s="293">
        <f t="shared" si="50"/>
        <v>101.2</v>
      </c>
      <c r="AF88" s="293">
        <f t="shared" si="51"/>
        <v>62.598425196850393</v>
      </c>
      <c r="AG88" s="292" t="str">
        <f>IF('Donor Sample'!T105="","",'Donor Sample'!T105)</f>
        <v/>
      </c>
      <c r="AH88" s="891">
        <f t="shared" si="52"/>
        <v>2</v>
      </c>
      <c r="AI88" s="1220">
        <v>0.11166000366210938</v>
      </c>
      <c r="AJ88" s="1216"/>
    </row>
    <row r="89" spans="5:36">
      <c r="E89" s="299">
        <v>81</v>
      </c>
      <c r="F89" s="308">
        <f t="shared" ca="1" si="40"/>
        <v>3396.3320199021523</v>
      </c>
      <c r="G89" s="307">
        <f t="shared" ca="1" si="41"/>
        <v>266.81605838728137</v>
      </c>
      <c r="H89" s="306">
        <f t="shared" ca="1" si="42"/>
        <v>0.41010759256554186</v>
      </c>
      <c r="I89" s="305">
        <f t="shared" ca="1" si="45"/>
        <v>114.13477094352719</v>
      </c>
      <c r="J89" s="305">
        <f t="shared" ca="1" si="46"/>
        <v>63.602846059013842</v>
      </c>
      <c r="K89" s="292">
        <f t="shared" ca="1" si="43"/>
        <v>1.5062723497508432</v>
      </c>
      <c r="L89" s="1290">
        <f t="shared" ca="1" si="47"/>
        <v>19.862665620139104</v>
      </c>
      <c r="M89" s="299">
        <v>81</v>
      </c>
      <c r="N89" s="304">
        <f t="shared" si="48"/>
        <v>3500.8642136541071</v>
      </c>
      <c r="O89" s="303">
        <v>306.81181018336315</v>
      </c>
      <c r="P89" s="302">
        <v>0.50180830017140055</v>
      </c>
      <c r="Q89" s="301">
        <v>132.20406660789325</v>
      </c>
      <c r="R89" s="301">
        <v>61.158777325722141</v>
      </c>
      <c r="S89" s="300">
        <v>1.4197974934877271</v>
      </c>
      <c r="T89" s="891">
        <f t="shared" si="49"/>
        <v>2</v>
      </c>
      <c r="U89" s="1220">
        <v>0.25124138593673706</v>
      </c>
      <c r="W89" s="299">
        <v>81</v>
      </c>
      <c r="X89" s="298">
        <f>IF('Donor Sample'!N106="",,IF('Donor Sample'!N106="F",1,0))</f>
        <v>1</v>
      </c>
      <c r="Y89" s="298">
        <f>IF('Donor Sample'!O106="","",'Donor Sample'!O106)</f>
        <v>156</v>
      </c>
      <c r="Z89" s="298">
        <f>IF(AND('Donor Sample'!O106="",'Donor Sample'!P106="",'Donor Sample'!Q106=""),"",IF('Donor Sample'!P106="",ROUND(AA89/($C$32+($AI89-0.5)*$C$31),0),'Donor Sample'!P106))</f>
        <v>52</v>
      </c>
      <c r="AA89" s="297" t="str">
        <f>IF('Donor Sample'!Q106="","",'Donor Sample'!Q106)</f>
        <v/>
      </c>
      <c r="AB89" s="296">
        <f t="shared" si="44"/>
        <v>3254.4917376000003</v>
      </c>
      <c r="AC89" s="295">
        <f>IF('Donor Sample'!R106="","",'Donor Sample'!R106)</f>
        <v>200</v>
      </c>
      <c r="AD89" s="294">
        <f>IF('Donor Sample'!S106="","",'Donor Sample'!S106/100)</f>
        <v>0.34200000762939453</v>
      </c>
      <c r="AE89" s="293">
        <f t="shared" si="50"/>
        <v>114.4</v>
      </c>
      <c r="AF89" s="293">
        <f t="shared" si="51"/>
        <v>61.417322834645667</v>
      </c>
      <c r="AG89" s="292" t="str">
        <f>IF('Donor Sample'!T106="","",'Donor Sample'!T106)</f>
        <v/>
      </c>
      <c r="AH89" s="891">
        <f t="shared" si="52"/>
        <v>16</v>
      </c>
      <c r="AI89" s="1220">
        <v>0.95650500059127808</v>
      </c>
      <c r="AJ89" s="1216"/>
    </row>
    <row r="90" spans="5:36">
      <c r="E90" s="299">
        <v>82</v>
      </c>
      <c r="F90" s="308">
        <f t="shared" ca="1" si="40"/>
        <v>4374.076096801291</v>
      </c>
      <c r="G90" s="307">
        <f t="shared" ca="1" si="41"/>
        <v>244.55302579355376</v>
      </c>
      <c r="H90" s="306">
        <f t="shared" ca="1" si="42"/>
        <v>0.44429899722400651</v>
      </c>
      <c r="I90" s="305">
        <f t="shared" ca="1" si="45"/>
        <v>153.79577175376838</v>
      </c>
      <c r="J90" s="305">
        <f t="shared" ca="1" si="46"/>
        <v>63.297196066419986</v>
      </c>
      <c r="K90" s="292">
        <f t="shared" ca="1" si="43"/>
        <v>7.4533526479856862</v>
      </c>
      <c r="L90" s="1290">
        <f t="shared" ca="1" si="47"/>
        <v>27.023905321537661</v>
      </c>
      <c r="M90" s="299">
        <v>82</v>
      </c>
      <c r="N90" s="304">
        <f t="shared" si="48"/>
        <v>3255.4498723072365</v>
      </c>
      <c r="O90" s="303">
        <v>236.78666622038529</v>
      </c>
      <c r="P90" s="302">
        <v>0.35605495615992483</v>
      </c>
      <c r="Q90" s="301">
        <v>113.31187000606292</v>
      </c>
      <c r="R90" s="301">
        <v>54.942204807724828</v>
      </c>
      <c r="S90" s="300">
        <v>8.2968536270471063</v>
      </c>
      <c r="T90" s="891">
        <f t="shared" si="49"/>
        <v>64</v>
      </c>
      <c r="U90" s="1220">
        <v>0.55405724048614502</v>
      </c>
      <c r="W90" s="299">
        <v>82</v>
      </c>
      <c r="X90" s="298">
        <f>IF('Donor Sample'!N107="",,IF('Donor Sample'!N107="F",1,0))</f>
        <v>1</v>
      </c>
      <c r="Y90" s="298">
        <f>IF('Donor Sample'!O107="","",'Donor Sample'!O107)</f>
        <v>153</v>
      </c>
      <c r="Z90" s="298">
        <f>IF(AND('Donor Sample'!O107="",'Donor Sample'!P107="",'Donor Sample'!Q107=""),"",IF('Donor Sample'!P107="",ROUND(AA90/($C$32+($AI90-0.5)*$C$31),0),'Donor Sample'!P107))</f>
        <v>53</v>
      </c>
      <c r="AA90" s="297" t="str">
        <f>IF('Donor Sample'!Q107="","",'Donor Sample'!Q107)</f>
        <v/>
      </c>
      <c r="AB90" s="296">
        <f t="shared" si="44"/>
        <v>3211.0565697000002</v>
      </c>
      <c r="AC90" s="295">
        <f>IF('Donor Sample'!R107="","",'Donor Sample'!R107)</f>
        <v>200</v>
      </c>
      <c r="AD90" s="294">
        <f>IF('Donor Sample'!S107="","",'Donor Sample'!S107/100)</f>
        <v>0.36499999999999999</v>
      </c>
      <c r="AE90" s="407">
        <f t="shared" si="50"/>
        <v>116.60000000000001</v>
      </c>
      <c r="AF90" s="293">
        <f t="shared" si="51"/>
        <v>60.236220472440941</v>
      </c>
      <c r="AG90" s="292" t="str">
        <f>IF('Donor Sample'!T107="","",'Donor Sample'!T107)</f>
        <v/>
      </c>
      <c r="AH90" s="891">
        <f t="shared" si="52"/>
        <v>2</v>
      </c>
      <c r="AI90" s="1220">
        <v>0.19852030277252197</v>
      </c>
      <c r="AJ90" s="1216"/>
    </row>
    <row r="91" spans="5:36">
      <c r="E91" s="299">
        <v>83</v>
      </c>
      <c r="F91" s="308">
        <f t="shared" ca="1" si="40"/>
        <v>3803.4215903269724</v>
      </c>
      <c r="G91" s="307">
        <f t="shared" ca="1" si="41"/>
        <v>271.60269437231671</v>
      </c>
      <c r="H91" s="306">
        <f t="shared" ca="1" si="42"/>
        <v>0.42267021847665448</v>
      </c>
      <c r="I91" s="305">
        <f t="shared" ca="1" si="45"/>
        <v>121.24646705697263</v>
      </c>
      <c r="J91" s="305">
        <f t="shared" ca="1" si="46"/>
        <v>61.947962325725172</v>
      </c>
      <c r="K91" s="292">
        <f t="shared" ca="1" si="43"/>
        <v>1.9832688799355289</v>
      </c>
      <c r="L91" s="1290">
        <f t="shared" ca="1" si="47"/>
        <v>22.24271006253673</v>
      </c>
      <c r="M91" s="299">
        <v>83</v>
      </c>
      <c r="N91" s="304">
        <f t="shared" si="48"/>
        <v>2502.3144544828265</v>
      </c>
      <c r="O91" s="303">
        <v>232.82007342954068</v>
      </c>
      <c r="P91" s="302">
        <v>0.43821209782637238</v>
      </c>
      <c r="Q91" s="301">
        <v>78.133362474059211</v>
      </c>
      <c r="R91" s="301">
        <v>50.134200633936551</v>
      </c>
      <c r="S91" s="300">
        <v>1.4663190079875987</v>
      </c>
      <c r="T91" s="891">
        <f t="shared" si="49"/>
        <v>2</v>
      </c>
      <c r="U91" s="1220">
        <v>4.4474422931671143E-2</v>
      </c>
      <c r="W91" s="299">
        <v>83</v>
      </c>
      <c r="X91" s="298">
        <f>IF('Donor Sample'!N108="",,IF('Donor Sample'!N108="F",1,0))</f>
        <v>1</v>
      </c>
      <c r="Y91" s="298">
        <f>IF('Donor Sample'!O108="","",'Donor Sample'!O108)</f>
        <v>157</v>
      </c>
      <c r="Z91" s="298">
        <f>IF(AND('Donor Sample'!O108="",'Donor Sample'!P108="",'Donor Sample'!Q108=""),"",IF('Donor Sample'!P108="",ROUND(AA91/($C$32+($AI91-0.5)*$C$31),0),'Donor Sample'!P108))</f>
        <v>52</v>
      </c>
      <c r="AA91" s="297" t="str">
        <f>IF('Donor Sample'!Q108="","",'Donor Sample'!Q108)</f>
        <v/>
      </c>
      <c r="AB91" s="296">
        <f t="shared" si="44"/>
        <v>3280.6568973000003</v>
      </c>
      <c r="AC91" s="295">
        <f>IF('Donor Sample'!R108="","",'Donor Sample'!R108)</f>
        <v>200</v>
      </c>
      <c r="AD91" s="294">
        <f>IF('Donor Sample'!S108="","",'Donor Sample'!S108/100)</f>
        <v>0.35200000762939454</v>
      </c>
      <c r="AE91" s="293">
        <f t="shared" si="50"/>
        <v>114.4</v>
      </c>
      <c r="AF91" s="293">
        <f t="shared" si="51"/>
        <v>61.811023622047244</v>
      </c>
      <c r="AG91" s="292" t="str">
        <f>IF('Donor Sample'!T108="","",'Donor Sample'!T108)</f>
        <v/>
      </c>
      <c r="AH91" s="891">
        <f t="shared" si="52"/>
        <v>2</v>
      </c>
      <c r="AI91" s="1220">
        <v>0.33032351732254028</v>
      </c>
      <c r="AJ91" s="1216"/>
    </row>
    <row r="92" spans="5:36">
      <c r="E92" s="299">
        <v>84</v>
      </c>
      <c r="F92" s="308">
        <f t="shared" ca="1" si="40"/>
        <v>3706.1688682982494</v>
      </c>
      <c r="G92" s="307">
        <f t="shared" ca="1" si="41"/>
        <v>249.8141233499598</v>
      </c>
      <c r="H92" s="306">
        <f t="shared" ca="1" si="42"/>
        <v>0.42624992943621237</v>
      </c>
      <c r="I92" s="305">
        <f t="shared" ca="1" si="45"/>
        <v>143.28637164821492</v>
      </c>
      <c r="J92" s="305">
        <f t="shared" ca="1" si="46"/>
        <v>61.74975995876698</v>
      </c>
      <c r="K92" s="292">
        <f t="shared" ca="1" si="43"/>
        <v>16.921494794012311</v>
      </c>
      <c r="L92" s="1290">
        <f t="shared" ca="1" si="47"/>
        <v>26.454953176966576</v>
      </c>
      <c r="M92" s="299">
        <v>84</v>
      </c>
      <c r="N92" s="304">
        <f t="shared" si="48"/>
        <v>2580.2077730550882</v>
      </c>
      <c r="O92" s="303">
        <v>228.95571943824058</v>
      </c>
      <c r="P92" s="302">
        <v>0.42043245631641918</v>
      </c>
      <c r="Q92" s="301">
        <v>83.378142378099</v>
      </c>
      <c r="R92" s="301">
        <v>58.136502272929469</v>
      </c>
      <c r="S92" s="300">
        <v>1.8352998935751019</v>
      </c>
      <c r="T92" s="891">
        <f t="shared" si="49"/>
        <v>32</v>
      </c>
      <c r="U92" s="1220">
        <v>0.81412863731384277</v>
      </c>
      <c r="W92" s="299">
        <v>84</v>
      </c>
      <c r="X92" s="298">
        <f>IF('Donor Sample'!N109="",,IF('Donor Sample'!N109="F",1,0))</f>
        <v>1</v>
      </c>
      <c r="Y92" s="298">
        <f>IF('Donor Sample'!O109="","",'Donor Sample'!O109)</f>
        <v>150</v>
      </c>
      <c r="Z92" s="298">
        <f>IF(AND('Donor Sample'!O109="",'Donor Sample'!P109="",'Donor Sample'!Q109=""),"",IF('Donor Sample'!P109="",ROUND(AA92/($C$32+($AI92-0.5)*$C$31),0),'Donor Sample'!P109))</f>
        <v>46</v>
      </c>
      <c r="AA92" s="297" t="str">
        <f>IF('Donor Sample'!Q109="","",'Donor Sample'!Q109)</f>
        <v/>
      </c>
      <c r="AB92" s="296">
        <f t="shared" si="44"/>
        <v>2906.0115000000001</v>
      </c>
      <c r="AC92" s="295">
        <f>IF('Donor Sample'!R109="","",'Donor Sample'!R109)</f>
        <v>200</v>
      </c>
      <c r="AD92" s="294">
        <f>IF('Donor Sample'!S109="","",'Donor Sample'!S109/100)</f>
        <v>0.37099998474121093</v>
      </c>
      <c r="AE92" s="293">
        <f t="shared" si="50"/>
        <v>101.2</v>
      </c>
      <c r="AF92" s="293">
        <f t="shared" si="51"/>
        <v>59.055118110236222</v>
      </c>
      <c r="AG92" s="292" t="str">
        <f>IF('Donor Sample'!T109="","",'Donor Sample'!T109)</f>
        <v/>
      </c>
      <c r="AH92" s="891">
        <f t="shared" si="52"/>
        <v>32</v>
      </c>
      <c r="AI92" s="1220">
        <v>0.79886651039123535</v>
      </c>
      <c r="AJ92" s="1216"/>
    </row>
    <row r="93" spans="5:36">
      <c r="E93" s="299">
        <v>85</v>
      </c>
      <c r="F93" s="308">
        <f t="shared" ca="1" si="40"/>
        <v>3060.6014837583157</v>
      </c>
      <c r="G93" s="307">
        <f t="shared" ca="1" si="41"/>
        <v>230.79090124496821</v>
      </c>
      <c r="H93" s="306">
        <f t="shared" ca="1" si="42"/>
        <v>0.43732922558968229</v>
      </c>
      <c r="I93" s="305">
        <f t="shared" ca="1" si="45"/>
        <v>95.676102734640708</v>
      </c>
      <c r="J93" s="305">
        <f t="shared" ca="1" si="46"/>
        <v>56.069343546789334</v>
      </c>
      <c r="K93" s="292">
        <f t="shared" ca="1" si="43"/>
        <v>2.1159221709531839</v>
      </c>
      <c r="L93" s="1290">
        <f t="shared" ca="1" si="47"/>
        <v>21.425215196192276</v>
      </c>
      <c r="M93" s="299">
        <v>85</v>
      </c>
      <c r="N93" s="304">
        <f t="shared" si="48"/>
        <v>3955.5275325959437</v>
      </c>
      <c r="O93" s="303">
        <v>224.01001756235405</v>
      </c>
      <c r="P93" s="302">
        <v>0.35225181305934661</v>
      </c>
      <c r="Q93" s="301">
        <v>132.19280400262505</v>
      </c>
      <c r="R93" s="301">
        <v>61.836359484777866</v>
      </c>
      <c r="S93" s="300">
        <v>1.8896774883553704</v>
      </c>
      <c r="T93" s="891">
        <f t="shared" si="49"/>
        <v>64</v>
      </c>
      <c r="U93" s="1220">
        <v>0.46994870901107788</v>
      </c>
      <c r="W93" s="299">
        <v>85</v>
      </c>
      <c r="X93" s="298">
        <f>IF('Donor Sample'!N110="",,IF('Donor Sample'!N110="F",1,0))</f>
        <v>1</v>
      </c>
      <c r="Y93" s="298">
        <f>IF('Donor Sample'!O110="","",'Donor Sample'!O110)</f>
        <v>152</v>
      </c>
      <c r="Z93" s="298">
        <f>IF(AND('Donor Sample'!O110="",'Donor Sample'!P110="",'Donor Sample'!Q110=""),"",IF('Donor Sample'!P110="",ROUND(AA93/($C$32+($AI93-0.5)*$C$31),0),'Donor Sample'!P110))</f>
        <v>53</v>
      </c>
      <c r="AA93" s="297" t="str">
        <f>IF('Donor Sample'!Q110="","",'Donor Sample'!Q110)</f>
        <v/>
      </c>
      <c r="AB93" s="296">
        <f t="shared" si="44"/>
        <v>3186.2118288000001</v>
      </c>
      <c r="AC93" s="295">
        <f>IF('Donor Sample'!R110="","",'Donor Sample'!R110)</f>
        <v>200</v>
      </c>
      <c r="AD93" s="294">
        <f>IF('Donor Sample'!S110="","",'Donor Sample'!S110/100)</f>
        <v>0.38099998474121094</v>
      </c>
      <c r="AE93" s="407">
        <f t="shared" si="50"/>
        <v>116.60000000000001</v>
      </c>
      <c r="AF93" s="293">
        <f t="shared" si="51"/>
        <v>59.84251968503937</v>
      </c>
      <c r="AG93" s="292" t="str">
        <f>IF('Donor Sample'!T110="","",'Donor Sample'!T110)</f>
        <v/>
      </c>
      <c r="AH93" s="891">
        <f t="shared" si="52"/>
        <v>64</v>
      </c>
      <c r="AI93" s="1220">
        <v>0.48887962102890015</v>
      </c>
      <c r="AJ93" s="1216"/>
    </row>
    <row r="94" spans="5:36">
      <c r="E94" s="299">
        <v>86</v>
      </c>
      <c r="F94" s="308">
        <f t="shared" ca="1" si="40"/>
        <v>3239.9655581088105</v>
      </c>
      <c r="G94" s="307">
        <f t="shared" ca="1" si="41"/>
        <v>273.09292313941592</v>
      </c>
      <c r="H94" s="306">
        <f t="shared" ca="1" si="42"/>
        <v>0.39347775126402923</v>
      </c>
      <c r="I94" s="305">
        <f t="shared" ca="1" si="45"/>
        <v>134.2391362939579</v>
      </c>
      <c r="J94" s="305">
        <f t="shared" ca="1" si="46"/>
        <v>48.267905841762101</v>
      </c>
      <c r="K94" s="292">
        <f t="shared" ca="1" si="43"/>
        <v>8.5902171135815806</v>
      </c>
      <c r="L94" s="1290">
        <f t="shared" ca="1" si="47"/>
        <v>40.563450853170544</v>
      </c>
      <c r="M94" s="299">
        <v>86</v>
      </c>
      <c r="N94" s="304">
        <f t="shared" si="48"/>
        <v>3997.6241848391674</v>
      </c>
      <c r="O94" s="303">
        <v>177.42750279386394</v>
      </c>
      <c r="P94" s="302">
        <v>0.36761221419815571</v>
      </c>
      <c r="Q94" s="301">
        <v>139.25490304589886</v>
      </c>
      <c r="R94" s="301">
        <v>60.938739692042063</v>
      </c>
      <c r="S94" s="300">
        <v>1.5063591666282932</v>
      </c>
      <c r="T94" s="891">
        <f t="shared" si="49"/>
        <v>64</v>
      </c>
      <c r="U94" s="1220">
        <v>0.54564034938812256</v>
      </c>
      <c r="W94" s="299">
        <v>86</v>
      </c>
      <c r="X94" s="298">
        <f>IF('Donor Sample'!N111="",,IF('Donor Sample'!N111="F",1,0))</f>
        <v>1</v>
      </c>
      <c r="Y94" s="298">
        <f>IF('Donor Sample'!O111="","",'Donor Sample'!O111)</f>
        <v>147</v>
      </c>
      <c r="Z94" s="298">
        <f>IF(AND('Donor Sample'!O111="",'Donor Sample'!P111="",'Donor Sample'!Q111=""),"",IF('Donor Sample'!P111="",ROUND(AA94/($C$32+($AI94-0.5)*$C$31),0),'Donor Sample'!P111))</f>
        <v>56</v>
      </c>
      <c r="AA94" s="297" t="str">
        <f>IF('Donor Sample'!Q111="","",'Donor Sample'!Q111)</f>
        <v/>
      </c>
      <c r="AB94" s="296">
        <f t="shared" si="44"/>
        <v>3166.0238403000003</v>
      </c>
      <c r="AC94" s="295">
        <f>IF('Donor Sample'!R111="","",'Donor Sample'!R111)</f>
        <v>200</v>
      </c>
      <c r="AD94" s="294">
        <f>IF('Donor Sample'!S111="","",'Donor Sample'!S111/100)</f>
        <v>0.39599998474121095</v>
      </c>
      <c r="AE94" s="293">
        <f t="shared" si="50"/>
        <v>123.20000000000002</v>
      </c>
      <c r="AF94" s="293">
        <f t="shared" si="51"/>
        <v>57.874015748031496</v>
      </c>
      <c r="AG94" s="292" t="str">
        <f>IF('Donor Sample'!T111="","",'Donor Sample'!T111)</f>
        <v/>
      </c>
      <c r="AH94" s="891">
        <f t="shared" si="52"/>
        <v>2</v>
      </c>
      <c r="AI94" s="1220">
        <v>6.9414019584655762E-2</v>
      </c>
      <c r="AJ94" s="1216"/>
    </row>
    <row r="95" spans="5:36">
      <c r="E95" s="299">
        <v>87</v>
      </c>
      <c r="F95" s="308">
        <f t="shared" ca="1" si="40"/>
        <v>3368.6854946948256</v>
      </c>
      <c r="G95" s="307">
        <f t="shared" ca="1" si="41"/>
        <v>211.74517528504163</v>
      </c>
      <c r="H95" s="306">
        <f t="shared" ca="1" si="42"/>
        <v>0.40766262794831193</v>
      </c>
      <c r="I95" s="305">
        <f t="shared" ca="1" si="45"/>
        <v>108.32019222991238</v>
      </c>
      <c r="J95" s="305">
        <f t="shared" ca="1" si="46"/>
        <v>58.167585567101682</v>
      </c>
      <c r="K95" s="292">
        <f t="shared" ca="1" si="43"/>
        <v>5.0039310713050771</v>
      </c>
      <c r="L95" s="1290">
        <f t="shared" ca="1" si="47"/>
        <v>22.538240376017079</v>
      </c>
      <c r="M95" s="299">
        <v>87</v>
      </c>
      <c r="N95" s="304">
        <f t="shared" si="48"/>
        <v>3356.8822702199568</v>
      </c>
      <c r="O95" s="303">
        <v>196.67165938902951</v>
      </c>
      <c r="P95" s="302">
        <v>0.39265847954160449</v>
      </c>
      <c r="Q95" s="301">
        <v>118.91776074724227</v>
      </c>
      <c r="R95" s="301">
        <v>55.299625653389555</v>
      </c>
      <c r="S95" s="300">
        <v>2.251518230049919</v>
      </c>
      <c r="T95" s="891">
        <f t="shared" si="49"/>
        <v>4</v>
      </c>
      <c r="U95" s="1220">
        <v>0.37660986185073853</v>
      </c>
      <c r="W95" s="299">
        <v>87</v>
      </c>
      <c r="X95" s="298">
        <f>IF('Donor Sample'!N112="",,IF('Donor Sample'!N112="F",1,0))</f>
        <v>1</v>
      </c>
      <c r="Y95" s="298">
        <f>IF('Donor Sample'!O112="","",'Donor Sample'!O112)</f>
        <v>152</v>
      </c>
      <c r="Z95" s="298">
        <f>IF(AND('Donor Sample'!O112="",'Donor Sample'!P112="",'Donor Sample'!Q112=""),"",IF('Donor Sample'!P112="",ROUND(AA95/($C$32+($AI95-0.5)*$C$31),0),'Donor Sample'!P112))</f>
        <v>44</v>
      </c>
      <c r="AA95" s="297" t="str">
        <f>IF('Donor Sample'!Q112="","",'Donor Sample'!Q112)</f>
        <v/>
      </c>
      <c r="AB95" s="296">
        <f t="shared" si="44"/>
        <v>2888.5908288000001</v>
      </c>
      <c r="AC95" s="295">
        <f>IF('Donor Sample'!R112="","",'Donor Sample'!R112)</f>
        <v>200</v>
      </c>
      <c r="AD95" s="294">
        <f>IF('Donor Sample'!S112="","",'Donor Sample'!S112/100)</f>
        <v>0.35400001525878905</v>
      </c>
      <c r="AE95" s="293">
        <f t="shared" si="50"/>
        <v>96.800000000000011</v>
      </c>
      <c r="AF95" s="293">
        <f t="shared" si="51"/>
        <v>59.84251968503937</v>
      </c>
      <c r="AG95" s="292" t="str">
        <f>IF('Donor Sample'!T112="","",'Donor Sample'!T112)</f>
        <v/>
      </c>
      <c r="AH95" s="891">
        <f t="shared" si="52"/>
        <v>64</v>
      </c>
      <c r="AI95" s="1220">
        <v>0.56358963251113892</v>
      </c>
      <c r="AJ95" s="1216"/>
    </row>
    <row r="96" spans="5:36">
      <c r="E96" s="299">
        <v>88</v>
      </c>
      <c r="F96" s="308">
        <f t="shared" ca="1" si="40"/>
        <v>3684.2595639953165</v>
      </c>
      <c r="G96" s="307">
        <f t="shared" ca="1" si="41"/>
        <v>264.61874481301635</v>
      </c>
      <c r="H96" s="306">
        <f t="shared" ca="1" si="42"/>
        <v>0.45371805161210621</v>
      </c>
      <c r="I96" s="305">
        <f t="shared" ca="1" si="45"/>
        <v>134.52212199010748</v>
      </c>
      <c r="J96" s="305">
        <f t="shared" ca="1" si="46"/>
        <v>63.349303542482808</v>
      </c>
      <c r="K96" s="292">
        <f t="shared" ca="1" si="43"/>
        <v>1.8694166277276572</v>
      </c>
      <c r="L96" s="1290">
        <f t="shared" ca="1" si="47"/>
        <v>23.598406572407729</v>
      </c>
      <c r="M96" s="299">
        <v>88</v>
      </c>
      <c r="N96" s="304">
        <f t="shared" si="48"/>
        <v>2827.3233438549969</v>
      </c>
      <c r="O96" s="303">
        <v>195.80171245070531</v>
      </c>
      <c r="P96" s="302">
        <v>0.40824774931944774</v>
      </c>
      <c r="Q96" s="301">
        <v>105.46074265122583</v>
      </c>
      <c r="R96" s="301">
        <v>56.678375852441867</v>
      </c>
      <c r="S96" s="300">
        <v>4.7600104355694794</v>
      </c>
      <c r="T96" s="891">
        <f t="shared" si="49"/>
        <v>2</v>
      </c>
      <c r="U96" s="1220">
        <v>0.14706802368164063</v>
      </c>
      <c r="W96" s="299">
        <v>88</v>
      </c>
      <c r="X96" s="298">
        <f>IF('Donor Sample'!N113="",,IF('Donor Sample'!N113="F",1,0))</f>
        <v>1</v>
      </c>
      <c r="Y96" s="298">
        <f>IF('Donor Sample'!O113="","",'Donor Sample'!O113)</f>
        <v>158</v>
      </c>
      <c r="Z96" s="298">
        <f>IF(AND('Donor Sample'!O113="",'Donor Sample'!P113="",'Donor Sample'!Q113=""),"",IF('Donor Sample'!P113="",ROUND(AA96/($C$32+($AI96-0.5)*$C$31),0),'Donor Sample'!P113))</f>
        <v>48</v>
      </c>
      <c r="AA96" s="297" t="str">
        <f>IF('Donor Sample'!Q113="","",'Donor Sample'!Q113)</f>
        <v/>
      </c>
      <c r="AB96" s="296">
        <f t="shared" si="44"/>
        <v>3174.8815032000002</v>
      </c>
      <c r="AC96" s="295">
        <f>IF('Donor Sample'!R113="","",'Donor Sample'!R113)</f>
        <v>200</v>
      </c>
      <c r="AD96" s="294">
        <f>IF('Donor Sample'!S113="","",'Donor Sample'!S113/100)</f>
        <v>0.37200000762939456</v>
      </c>
      <c r="AE96" s="407">
        <f t="shared" si="50"/>
        <v>105.60000000000001</v>
      </c>
      <c r="AF96" s="293">
        <f t="shared" si="51"/>
        <v>62.204724409448815</v>
      </c>
      <c r="AG96" s="292" t="str">
        <f>IF('Donor Sample'!T113="","",'Donor Sample'!T113)</f>
        <v/>
      </c>
      <c r="AH96" s="891">
        <f t="shared" si="52"/>
        <v>32</v>
      </c>
      <c r="AI96" s="1220">
        <v>0.81122636795043945</v>
      </c>
      <c r="AJ96" s="1216"/>
    </row>
    <row r="97" spans="5:36">
      <c r="E97" s="299">
        <v>89</v>
      </c>
      <c r="F97" s="308">
        <f t="shared" ca="1" si="40"/>
        <v>3693.1406932495811</v>
      </c>
      <c r="G97" s="307">
        <f t="shared" ca="1" si="41"/>
        <v>267.69539243451476</v>
      </c>
      <c r="H97" s="306">
        <f t="shared" ca="1" si="42"/>
        <v>0.44507486522037687</v>
      </c>
      <c r="I97" s="305">
        <f t="shared" ca="1" si="45"/>
        <v>153.07136057797123</v>
      </c>
      <c r="J97" s="305">
        <f t="shared" ca="1" si="46"/>
        <v>52.183148587287903</v>
      </c>
      <c r="K97" s="292">
        <f t="shared" ca="1" si="43"/>
        <v>5.7690247233895988</v>
      </c>
      <c r="L97" s="1290">
        <f t="shared" ca="1" si="47"/>
        <v>39.573643966548751</v>
      </c>
      <c r="M97" s="299">
        <v>89</v>
      </c>
      <c r="N97" s="304">
        <f t="shared" si="48"/>
        <v>2987.4859369151209</v>
      </c>
      <c r="O97" s="303">
        <v>267.35955609674994</v>
      </c>
      <c r="P97" s="302">
        <v>0.35579325079302337</v>
      </c>
      <c r="Q97" s="301">
        <v>99.262357072186845</v>
      </c>
      <c r="R97" s="301">
        <v>53.762843964822025</v>
      </c>
      <c r="S97" s="300">
        <v>1.3190786954747107</v>
      </c>
      <c r="T97" s="891">
        <f t="shared" si="49"/>
        <v>64</v>
      </c>
      <c r="U97" s="1220">
        <v>0.73309344053268433</v>
      </c>
      <c r="W97" s="299">
        <v>89</v>
      </c>
      <c r="X97" s="298">
        <f>IF('Donor Sample'!N114="",,IF('Donor Sample'!N114="F",1,0))</f>
        <v>1</v>
      </c>
      <c r="Y97" s="298">
        <f>IF('Donor Sample'!O114="","",'Donor Sample'!O114)</f>
        <v>157</v>
      </c>
      <c r="Z97" s="298">
        <f>IF(AND('Donor Sample'!O114="",'Donor Sample'!P114="",'Donor Sample'!Q114=""),"",IF('Donor Sample'!P114="",ROUND(AA97/($C$32+($AI97-0.5)*$C$31),0),'Donor Sample'!P114))</f>
        <v>46</v>
      </c>
      <c r="AA97" s="297" t="str">
        <f>IF('Donor Sample'!Q114="","",'Donor Sample'!Q114)</f>
        <v/>
      </c>
      <c r="AB97" s="296">
        <f t="shared" si="44"/>
        <v>3082.2428973000001</v>
      </c>
      <c r="AC97" s="295">
        <f>IF('Donor Sample'!R114="","",'Donor Sample'!R114)</f>
        <v>200</v>
      </c>
      <c r="AD97" s="294">
        <f>IF('Donor Sample'!S114="","",'Donor Sample'!S114/100)</f>
        <v>0.33700000762939453</v>
      </c>
      <c r="AE97" s="293">
        <f t="shared" si="50"/>
        <v>101.2</v>
      </c>
      <c r="AF97" s="293">
        <f t="shared" si="51"/>
        <v>61.811023622047244</v>
      </c>
      <c r="AG97" s="292" t="str">
        <f>IF('Donor Sample'!T114="","",'Donor Sample'!T114)</f>
        <v/>
      </c>
      <c r="AH97" s="891">
        <f t="shared" si="52"/>
        <v>64</v>
      </c>
      <c r="AI97" s="1220">
        <v>0.56532543897628784</v>
      </c>
      <c r="AJ97" s="1216"/>
    </row>
    <row r="98" spans="5:36">
      <c r="E98" s="299">
        <v>90</v>
      </c>
      <c r="F98" s="308">
        <f t="shared" ca="1" si="40"/>
        <v>3237.7667142509486</v>
      </c>
      <c r="G98" s="307">
        <f t="shared" ca="1" si="41"/>
        <v>230.24396358179965</v>
      </c>
      <c r="H98" s="306">
        <f t="shared" ca="1" si="42"/>
        <v>0.40514320150900729</v>
      </c>
      <c r="I98" s="305">
        <f t="shared" ca="1" si="45"/>
        <v>117.57623995742762</v>
      </c>
      <c r="J98" s="305">
        <f t="shared" ca="1" si="46"/>
        <v>53.432771699579227</v>
      </c>
      <c r="K98" s="292">
        <f t="shared" ca="1" si="43"/>
        <v>3.4613856763654129</v>
      </c>
      <c r="L98" s="1290">
        <f t="shared" ca="1" si="47"/>
        <v>28.991909551945835</v>
      </c>
      <c r="M98" s="299">
        <v>90</v>
      </c>
      <c r="N98" s="304">
        <f t="shared" si="48"/>
        <v>3662.2293663056666</v>
      </c>
      <c r="O98" s="303">
        <v>270.85240850559626</v>
      </c>
      <c r="P98" s="302">
        <v>0.47839589645751035</v>
      </c>
      <c r="Q98" s="301">
        <v>113.00223866828024</v>
      </c>
      <c r="R98" s="301">
        <v>61.645589089930645</v>
      </c>
      <c r="S98" s="300">
        <v>7.0514952618334537</v>
      </c>
      <c r="T98" s="891">
        <f t="shared" si="49"/>
        <v>2</v>
      </c>
      <c r="U98" s="1220">
        <v>0.22031748294830322</v>
      </c>
      <c r="W98" s="299">
        <v>90</v>
      </c>
      <c r="X98" s="298">
        <f>IF('Donor Sample'!N115="",,IF('Donor Sample'!N115="F",1,0))</f>
        <v>1</v>
      </c>
      <c r="Y98" s="298">
        <f>IF('Donor Sample'!O115="","",'Donor Sample'!O115)</f>
        <v>155</v>
      </c>
      <c r="Z98" s="298">
        <f>IF(AND('Donor Sample'!O115="",'Donor Sample'!P115="",'Donor Sample'!Q115=""),"",IF('Donor Sample'!P115="",ROUND(AA98/($C$32+($AI98-0.5)*$C$31),0),'Donor Sample'!P115))</f>
        <v>49</v>
      </c>
      <c r="AA98" s="297" t="str">
        <f>IF('Donor Sample'!Q115="","",'Donor Sample'!Q115)</f>
        <v/>
      </c>
      <c r="AB98" s="296">
        <f t="shared" si="44"/>
        <v>3129.4528875000001</v>
      </c>
      <c r="AC98" s="295">
        <f>IF('Donor Sample'!R115="","",'Donor Sample'!R115)</f>
        <v>200</v>
      </c>
      <c r="AD98" s="294">
        <f>IF('Donor Sample'!S115="","",'Donor Sample'!S115/100)</f>
        <v>0.38599998474121094</v>
      </c>
      <c r="AE98" s="293">
        <f t="shared" si="50"/>
        <v>107.80000000000001</v>
      </c>
      <c r="AF98" s="293">
        <f t="shared" si="51"/>
        <v>61.023622047244096</v>
      </c>
      <c r="AG98" s="292" t="str">
        <f>IF('Donor Sample'!T115="","",'Donor Sample'!T115)</f>
        <v/>
      </c>
      <c r="AH98" s="891">
        <f t="shared" si="52"/>
        <v>64</v>
      </c>
      <c r="AI98" s="1220">
        <v>0.74950039386749268</v>
      </c>
      <c r="AJ98" s="1216"/>
    </row>
    <row r="99" spans="5:36">
      <c r="E99" s="299">
        <v>91</v>
      </c>
      <c r="F99" s="308">
        <f t="shared" ca="1" si="40"/>
        <v>3438.0358269011754</v>
      </c>
      <c r="G99" s="307">
        <f t="shared" ca="1" si="41"/>
        <v>266.30505040529823</v>
      </c>
      <c r="H99" s="306">
        <f t="shared" ca="1" si="42"/>
        <v>0.40811380703266303</v>
      </c>
      <c r="I99" s="305">
        <f t="shared" ca="1" si="45"/>
        <v>117.75642265150613</v>
      </c>
      <c r="J99" s="305">
        <f t="shared" ca="1" si="46"/>
        <v>57.024081380084546</v>
      </c>
      <c r="K99" s="292">
        <f t="shared" ca="1" si="43"/>
        <v>17.834988720887004</v>
      </c>
      <c r="L99" s="1290">
        <f t="shared" ca="1" si="47"/>
        <v>25.494157657499201</v>
      </c>
      <c r="M99" s="299">
        <v>91</v>
      </c>
      <c r="N99" s="304">
        <f t="shared" si="48"/>
        <v>4656.1612794326284</v>
      </c>
      <c r="O99" s="303">
        <v>220.37392424707122</v>
      </c>
      <c r="P99" s="302">
        <v>0.41392648732932541</v>
      </c>
      <c r="Q99" s="301">
        <v>156.8611980487575</v>
      </c>
      <c r="R99" s="301">
        <v>66.42445106209199</v>
      </c>
      <c r="S99" s="300">
        <v>3.5381645658907037</v>
      </c>
      <c r="T99" s="891">
        <f t="shared" si="49"/>
        <v>2</v>
      </c>
      <c r="U99" s="1220">
        <v>0.21024447679519653</v>
      </c>
      <c r="W99" s="299">
        <v>91</v>
      </c>
      <c r="X99" s="298">
        <f>IF('Donor Sample'!N116="",,IF('Donor Sample'!N116="F",1,0))</f>
        <v>1</v>
      </c>
      <c r="Y99" s="298">
        <f>IF('Donor Sample'!O116="","",'Donor Sample'!O116)</f>
        <v>150</v>
      </c>
      <c r="Z99" s="298">
        <f>IF(AND('Donor Sample'!O116="",'Donor Sample'!P116="",'Donor Sample'!Q116=""),"",IF('Donor Sample'!P116="",ROUND(AA99/($C$32+($AI99-0.5)*$C$31),0),'Donor Sample'!P116))</f>
        <v>42</v>
      </c>
      <c r="AA99" s="297" t="str">
        <f>IF('Donor Sample'!Q116="","",'Donor Sample'!Q116)</f>
        <v/>
      </c>
      <c r="AB99" s="296">
        <f t="shared" si="44"/>
        <v>2773.7354999999998</v>
      </c>
      <c r="AC99" s="295">
        <f>IF('Donor Sample'!R116="","",'Donor Sample'!R116)</f>
        <v>200</v>
      </c>
      <c r="AD99" s="294">
        <f>IF('Donor Sample'!S116="","",'Donor Sample'!S116/100)</f>
        <v>0.34499999999999997</v>
      </c>
      <c r="AE99" s="407">
        <f t="shared" si="50"/>
        <v>92.4</v>
      </c>
      <c r="AF99" s="293">
        <f t="shared" si="51"/>
        <v>59.055118110236222</v>
      </c>
      <c r="AG99" s="292" t="str">
        <f>IF('Donor Sample'!T116="","",'Donor Sample'!T116)</f>
        <v/>
      </c>
      <c r="AH99" s="891">
        <f t="shared" si="52"/>
        <v>2</v>
      </c>
      <c r="AI99" s="1220">
        <v>4.5059025287628174E-2</v>
      </c>
      <c r="AJ99" s="1216"/>
    </row>
    <row r="100" spans="5:36">
      <c r="E100" s="299">
        <v>92</v>
      </c>
      <c r="F100" s="308">
        <f t="shared" ca="1" si="40"/>
        <v>2862.4289861325369</v>
      </c>
      <c r="G100" s="307">
        <f t="shared" ca="1" si="41"/>
        <v>233.28875637511936</v>
      </c>
      <c r="H100" s="306">
        <f t="shared" ca="1" si="42"/>
        <v>0.35760800870701553</v>
      </c>
      <c r="I100" s="305">
        <f t="shared" ca="1" si="45"/>
        <v>110.7894536762623</v>
      </c>
      <c r="J100" s="305">
        <f t="shared" ca="1" si="46"/>
        <v>47.415947755127739</v>
      </c>
      <c r="K100" s="292">
        <f t="shared" ca="1" si="43"/>
        <v>19.884341998566317</v>
      </c>
      <c r="L100" s="1290">
        <f t="shared" ca="1" si="47"/>
        <v>34.691430514776947</v>
      </c>
      <c r="M100" s="299">
        <v>92</v>
      </c>
      <c r="N100" s="304">
        <f t="shared" si="48"/>
        <v>4146.97137570001</v>
      </c>
      <c r="O100" s="303">
        <v>269.15016806325917</v>
      </c>
      <c r="P100" s="302">
        <v>0.43614495702470407</v>
      </c>
      <c r="Q100" s="301">
        <v>160.77321598797204</v>
      </c>
      <c r="R100" s="301">
        <v>58.371245152009678</v>
      </c>
      <c r="S100" s="300">
        <v>1.2947732468937598</v>
      </c>
      <c r="T100" s="891">
        <f t="shared" si="49"/>
        <v>2</v>
      </c>
      <c r="U100" s="1220">
        <v>0.3231661319732666</v>
      </c>
      <c r="W100" s="299">
        <v>92</v>
      </c>
      <c r="X100" s="298">
        <f>IF('Donor Sample'!N117="",,IF('Donor Sample'!N117="F",1,0))</f>
        <v>1</v>
      </c>
      <c r="Y100" s="298">
        <f>IF('Donor Sample'!O117="","",'Donor Sample'!O117)</f>
        <v>149</v>
      </c>
      <c r="Z100" s="298">
        <f>IF(AND('Donor Sample'!O117="",'Donor Sample'!P117="",'Donor Sample'!Q117=""),"",IF('Donor Sample'!P117="",ROUND(AA100/($C$32+($AI100-0.5)*$C$31),0),'Donor Sample'!P117))</f>
        <v>44</v>
      </c>
      <c r="AA100" s="297" t="str">
        <f>IF('Donor Sample'!Q117="","",'Donor Sample'!Q117)</f>
        <v/>
      </c>
      <c r="AB100" s="296">
        <f t="shared" si="44"/>
        <v>2815.9966389000001</v>
      </c>
      <c r="AC100" s="295">
        <f>IF('Donor Sample'!R117="","",'Donor Sample'!R117)</f>
        <v>200</v>
      </c>
      <c r="AD100" s="294">
        <f>IF('Donor Sample'!S117="","",'Donor Sample'!S117/100)</f>
        <v>0.35099998474121091</v>
      </c>
      <c r="AE100" s="293">
        <f t="shared" si="50"/>
        <v>96.800000000000011</v>
      </c>
      <c r="AF100" s="293">
        <f t="shared" si="51"/>
        <v>58.661417322834644</v>
      </c>
      <c r="AG100" s="292" t="str">
        <f>IF('Donor Sample'!T117="","",'Donor Sample'!T117)</f>
        <v/>
      </c>
      <c r="AH100" s="891">
        <f t="shared" si="52"/>
        <v>2</v>
      </c>
      <c r="AI100" s="1220">
        <v>5.163264274597168E-2</v>
      </c>
      <c r="AJ100" s="1216"/>
    </row>
    <row r="101" spans="5:36">
      <c r="E101" s="299">
        <v>93</v>
      </c>
      <c r="F101" s="308">
        <f t="shared" ca="1" si="40"/>
        <v>2962.2228761759161</v>
      </c>
      <c r="G101" s="307">
        <f t="shared" ca="1" si="41"/>
        <v>227.58602063879852</v>
      </c>
      <c r="H101" s="306">
        <f t="shared" ca="1" si="42"/>
        <v>0.36883787025658832</v>
      </c>
      <c r="I101" s="305">
        <f t="shared" ca="1" si="45"/>
        <v>97.477906230392762</v>
      </c>
      <c r="J101" s="305">
        <f t="shared" ca="1" si="46"/>
        <v>53.777992021032297</v>
      </c>
      <c r="K101" s="292">
        <f t="shared" ca="1" si="43"/>
        <v>1.2689919222014026</v>
      </c>
      <c r="L101" s="1290">
        <f t="shared" ca="1" si="47"/>
        <v>23.728467300356925</v>
      </c>
      <c r="M101" s="299">
        <v>93</v>
      </c>
      <c r="N101" s="304">
        <f t="shared" si="48"/>
        <v>2682.2710119334752</v>
      </c>
      <c r="O101" s="303">
        <v>189.88287301703102</v>
      </c>
      <c r="P101" s="302">
        <v>0.4768770291225764</v>
      </c>
      <c r="Q101" s="301">
        <v>88.628709395149215</v>
      </c>
      <c r="R101" s="301">
        <v>50.716924627068622</v>
      </c>
      <c r="S101" s="300">
        <v>1.2798647761741235</v>
      </c>
      <c r="T101" s="891">
        <f t="shared" si="49"/>
        <v>4</v>
      </c>
      <c r="U101" s="1220">
        <v>0.4237932562828064</v>
      </c>
      <c r="W101" s="299">
        <v>93</v>
      </c>
      <c r="X101" s="298">
        <f>IF('Donor Sample'!N118="",,IF('Donor Sample'!N118="F",1,0))</f>
        <v>1</v>
      </c>
      <c r="Y101" s="298">
        <f>IF('Donor Sample'!O118="","",'Donor Sample'!O118)</f>
        <v>153</v>
      </c>
      <c r="Z101" s="298">
        <f>IF(AND('Donor Sample'!O118="",'Donor Sample'!P118="",'Donor Sample'!Q118=""),"",IF('Donor Sample'!P118="",ROUND(AA101/($C$32+($AI101-0.5)*$C$31),0),'Donor Sample'!P118))</f>
        <v>47</v>
      </c>
      <c r="AA101" s="297" t="str">
        <f>IF('Donor Sample'!Q118="","",'Donor Sample'!Q118)</f>
        <v/>
      </c>
      <c r="AB101" s="296">
        <f t="shared" si="44"/>
        <v>3012.6425697000004</v>
      </c>
      <c r="AC101" s="295">
        <f>IF('Donor Sample'!R118="","",'Donor Sample'!R118)</f>
        <v>200</v>
      </c>
      <c r="AD101" s="294">
        <f>IF('Donor Sample'!S118="","",'Donor Sample'!S118/100)</f>
        <v>0.38400001525878907</v>
      </c>
      <c r="AE101" s="293">
        <f t="shared" si="50"/>
        <v>103.4</v>
      </c>
      <c r="AF101" s="293">
        <f t="shared" si="51"/>
        <v>60.236220472440941</v>
      </c>
      <c r="AG101" s="292" t="str">
        <f>IF('Donor Sample'!T118="","",'Donor Sample'!T118)</f>
        <v/>
      </c>
      <c r="AH101" s="891">
        <f t="shared" si="52"/>
        <v>2</v>
      </c>
      <c r="AI101" s="1220">
        <v>3.9663255214691162E-2</v>
      </c>
      <c r="AJ101" s="1216"/>
    </row>
    <row r="102" spans="5:36">
      <c r="E102" s="299">
        <v>94</v>
      </c>
      <c r="F102" s="308">
        <f t="shared" ca="1" si="40"/>
        <v>3848.726644791217</v>
      </c>
      <c r="G102" s="307">
        <f t="shared" ca="1" si="41"/>
        <v>259.50971116026199</v>
      </c>
      <c r="H102" s="306">
        <f t="shared" ca="1" si="42"/>
        <v>0.41619009366389792</v>
      </c>
      <c r="I102" s="305">
        <f t="shared" ca="1" si="45"/>
        <v>150.67544554326827</v>
      </c>
      <c r="J102" s="305">
        <f t="shared" ca="1" si="46"/>
        <v>62.221399783493901</v>
      </c>
      <c r="K102" s="292">
        <f t="shared" ca="1" si="43"/>
        <v>9.8872168565664307</v>
      </c>
      <c r="L102" s="1290">
        <f t="shared" ca="1" si="47"/>
        <v>27.399055319910232</v>
      </c>
      <c r="M102" s="299">
        <v>94</v>
      </c>
      <c r="N102" s="304">
        <f t="shared" si="48"/>
        <v>4148.0260297759305</v>
      </c>
      <c r="O102" s="303">
        <v>226.76922070894122</v>
      </c>
      <c r="P102" s="302">
        <v>0.39697801333124466</v>
      </c>
      <c r="Q102" s="301">
        <v>136.04954817871567</v>
      </c>
      <c r="R102" s="301">
        <v>69.08906994661973</v>
      </c>
      <c r="S102" s="300">
        <v>1.4337069152949569</v>
      </c>
      <c r="T102" s="891">
        <f t="shared" si="49"/>
        <v>64</v>
      </c>
      <c r="U102" s="1220">
        <v>0.74123561382293701</v>
      </c>
      <c r="W102" s="299">
        <v>94</v>
      </c>
      <c r="X102" s="298">
        <f>IF('Donor Sample'!N119="",,IF('Donor Sample'!N119="F",1,0))</f>
        <v>1</v>
      </c>
      <c r="Y102" s="298">
        <f>IF('Donor Sample'!O119="","",'Donor Sample'!O119)</f>
        <v>151</v>
      </c>
      <c r="Z102" s="298">
        <f>IF(AND('Donor Sample'!O119="",'Donor Sample'!P119="",'Donor Sample'!Q119=""),"",IF('Donor Sample'!P119="",ROUND(AA102/($C$32+($AI102-0.5)*$C$31),0),'Donor Sample'!P119))</f>
        <v>52</v>
      </c>
      <c r="AA102" s="297" t="str">
        <f>IF('Donor Sample'!Q119="","",'Donor Sample'!Q119)</f>
        <v/>
      </c>
      <c r="AB102" s="296">
        <f t="shared" si="44"/>
        <v>3128.6228510999999</v>
      </c>
      <c r="AC102" s="295">
        <f>IF('Donor Sample'!R119="","",'Donor Sample'!R119)</f>
        <v>200</v>
      </c>
      <c r="AD102" s="294">
        <f>IF('Donor Sample'!S119="","",'Donor Sample'!S119/100)</f>
        <v>0.36499999999999999</v>
      </c>
      <c r="AE102" s="407">
        <f t="shared" si="50"/>
        <v>114.4</v>
      </c>
      <c r="AF102" s="293">
        <f t="shared" si="51"/>
        <v>59.448818897637793</v>
      </c>
      <c r="AG102" s="292" t="str">
        <f>IF('Donor Sample'!T119="","",'Donor Sample'!T119)</f>
        <v/>
      </c>
      <c r="AH102" s="891">
        <f t="shared" si="52"/>
        <v>16</v>
      </c>
      <c r="AI102" s="1220">
        <v>0.98981702327728271</v>
      </c>
      <c r="AJ102" s="1216"/>
    </row>
    <row r="103" spans="5:36">
      <c r="E103" s="299">
        <v>95</v>
      </c>
      <c r="F103" s="308">
        <f t="shared" ca="1" si="40"/>
        <v>2601.71390218738</v>
      </c>
      <c r="G103" s="307">
        <f t="shared" ca="1" si="41"/>
        <v>269.61610938846036</v>
      </c>
      <c r="H103" s="306">
        <f t="shared" ca="1" si="42"/>
        <v>0.36531762927930411</v>
      </c>
      <c r="I103" s="305">
        <f t="shared" ca="1" si="45"/>
        <v>105.58177524757123</v>
      </c>
      <c r="J103" s="305">
        <f t="shared" ca="1" si="46"/>
        <v>42.336840471037497</v>
      </c>
      <c r="K103" s="292">
        <f t="shared" ca="1" si="43"/>
        <v>1.7604106223741338</v>
      </c>
      <c r="L103" s="1290">
        <f t="shared" ca="1" si="47"/>
        <v>41.469111520238833</v>
      </c>
      <c r="M103" s="299">
        <v>95</v>
      </c>
      <c r="N103" s="304">
        <f t="shared" si="48"/>
        <v>3494.4438798501405</v>
      </c>
      <c r="O103" s="303">
        <v>246.05908563648634</v>
      </c>
      <c r="P103" s="302">
        <v>0.45790617694857005</v>
      </c>
      <c r="Q103" s="301">
        <v>117.10222700487903</v>
      </c>
      <c r="R103" s="301">
        <v>58.127256856979947</v>
      </c>
      <c r="S103" s="300">
        <v>5.5030194645881165</v>
      </c>
      <c r="T103" s="891">
        <f t="shared" si="49"/>
        <v>2</v>
      </c>
      <c r="U103" s="1220">
        <v>0.11843734979629517</v>
      </c>
      <c r="W103" s="299">
        <v>95</v>
      </c>
      <c r="X103" s="298">
        <f>IF('Donor Sample'!N120="",,IF('Donor Sample'!N120="F",1,0))</f>
        <v>1</v>
      </c>
      <c r="Y103" s="298">
        <f>IF('Donor Sample'!O120="","",'Donor Sample'!O120)</f>
        <v>155</v>
      </c>
      <c r="Z103" s="298">
        <f>IF(AND('Donor Sample'!O120="",'Donor Sample'!P120="",'Donor Sample'!Q120=""),"",IF('Donor Sample'!P120="",ROUND(AA103/($C$32+($AI103-0.5)*$C$31),0),'Donor Sample'!P120))</f>
        <v>49</v>
      </c>
      <c r="AA103" s="297" t="str">
        <f>IF('Donor Sample'!Q120="","",'Donor Sample'!Q120)</f>
        <v/>
      </c>
      <c r="AB103" s="296">
        <f t="shared" si="44"/>
        <v>3129.4528875000001</v>
      </c>
      <c r="AC103" s="295">
        <f>IF('Donor Sample'!R120="","",'Donor Sample'!R120)</f>
        <v>200</v>
      </c>
      <c r="AD103" s="294">
        <f>IF('Donor Sample'!S120="","",'Donor Sample'!S120/100)</f>
        <v>0.34499999999999997</v>
      </c>
      <c r="AE103" s="293">
        <f t="shared" si="50"/>
        <v>107.80000000000001</v>
      </c>
      <c r="AF103" s="293">
        <f t="shared" si="51"/>
        <v>61.023622047244096</v>
      </c>
      <c r="AG103" s="292" t="str">
        <f>IF('Donor Sample'!T120="","",'Donor Sample'!T120)</f>
        <v/>
      </c>
      <c r="AH103" s="891">
        <f t="shared" si="52"/>
        <v>64</v>
      </c>
      <c r="AI103" s="1220">
        <v>0.58411890268325806</v>
      </c>
      <c r="AJ103" s="1216"/>
    </row>
    <row r="104" spans="5:36">
      <c r="E104" s="299">
        <v>96</v>
      </c>
      <c r="F104" s="308">
        <f t="shared" ca="1" si="40"/>
        <v>3827.6734643081363</v>
      </c>
      <c r="G104" s="307">
        <f t="shared" ca="1" si="41"/>
        <v>230.22657321248695</v>
      </c>
      <c r="H104" s="306">
        <f t="shared" ca="1" si="42"/>
        <v>0.37492962178037997</v>
      </c>
      <c r="I104" s="305">
        <f t="shared" ca="1" si="45"/>
        <v>149.25521825391803</v>
      </c>
      <c r="J104" s="305">
        <f t="shared" ca="1" si="46"/>
        <v>62.225091853722418</v>
      </c>
      <c r="K104" s="292">
        <f t="shared" ca="1" si="43"/>
        <v>3.9656824003874025</v>
      </c>
      <c r="L104" s="1290">
        <f t="shared" ca="1" si="47"/>
        <v>27.137578345426075</v>
      </c>
      <c r="M104" s="299">
        <v>96</v>
      </c>
      <c r="N104" s="304">
        <f t="shared" si="48"/>
        <v>3567.2215939370481</v>
      </c>
      <c r="O104" s="303">
        <v>315.75742283478576</v>
      </c>
      <c r="P104" s="302">
        <v>0.37452883247927388</v>
      </c>
      <c r="Q104" s="301">
        <v>114.87373615349233</v>
      </c>
      <c r="R104" s="301">
        <v>65.783906695148985</v>
      </c>
      <c r="S104" s="300">
        <v>1.2711140681097792</v>
      </c>
      <c r="T104" s="891">
        <f t="shared" si="49"/>
        <v>64</v>
      </c>
      <c r="U104" s="1220">
        <v>0.4357457160949707</v>
      </c>
      <c r="W104" s="299">
        <v>96</v>
      </c>
      <c r="X104" s="298">
        <f>IF('Donor Sample'!N121="",,IF('Donor Sample'!N121="F",1,0))</f>
        <v>1</v>
      </c>
      <c r="Y104" s="298">
        <f>IF('Donor Sample'!O121="","",'Donor Sample'!O121)</f>
        <v>153</v>
      </c>
      <c r="Z104" s="298">
        <f>IF(AND('Donor Sample'!O121="",'Donor Sample'!P121="",'Donor Sample'!Q121=""),"",IF('Donor Sample'!P121="",ROUND(AA104/($C$32+($AI104-0.5)*$C$31),0),'Donor Sample'!P121))</f>
        <v>47</v>
      </c>
      <c r="AA104" s="297" t="str">
        <f>IF('Donor Sample'!Q121="","",'Donor Sample'!Q121)</f>
        <v/>
      </c>
      <c r="AB104" s="296">
        <f t="shared" si="44"/>
        <v>3012.6425697000004</v>
      </c>
      <c r="AC104" s="295">
        <f>IF('Donor Sample'!R121="","",'Donor Sample'!R121)</f>
        <v>200</v>
      </c>
      <c r="AD104" s="294">
        <f>IF('Donor Sample'!S121="","",'Donor Sample'!S121/100)</f>
        <v>0.36799999237060549</v>
      </c>
      <c r="AE104" s="293">
        <f t="shared" si="50"/>
        <v>103.4</v>
      </c>
      <c r="AF104" s="293">
        <f t="shared" si="51"/>
        <v>60.236220472440941</v>
      </c>
      <c r="AG104" s="292" t="str">
        <f>IF('Donor Sample'!T121="","",'Donor Sample'!T121)</f>
        <v/>
      </c>
      <c r="AH104" s="891">
        <f t="shared" si="52"/>
        <v>256</v>
      </c>
      <c r="AI104" s="1220">
        <v>0.90442371368408203</v>
      </c>
      <c r="AJ104" s="1216"/>
    </row>
    <row r="105" spans="5:36">
      <c r="E105" s="299">
        <v>97</v>
      </c>
      <c r="F105" s="308">
        <f t="shared" ca="1" si="40"/>
        <v>4091.960625313136</v>
      </c>
      <c r="G105" s="307">
        <f t="shared" ca="1" si="41"/>
        <v>205.72627973814159</v>
      </c>
      <c r="H105" s="306">
        <f t="shared" ca="1" si="42"/>
        <v>0.36658928291162796</v>
      </c>
      <c r="I105" s="305">
        <f t="shared" ca="1" si="45"/>
        <v>130.00692116112344</v>
      </c>
      <c r="J105" s="305">
        <f t="shared" ca="1" si="46"/>
        <v>64.186929131428968</v>
      </c>
      <c r="K105" s="292">
        <f t="shared" ca="1" si="43"/>
        <v>2.7453679711684176</v>
      </c>
      <c r="L105" s="1290">
        <f t="shared" ca="1" si="47"/>
        <v>22.21498046729219</v>
      </c>
      <c r="M105" s="299">
        <v>97</v>
      </c>
      <c r="N105" s="304">
        <f t="shared" si="48"/>
        <v>2973.2007373185388</v>
      </c>
      <c r="O105" s="303">
        <v>292.05759366520834</v>
      </c>
      <c r="P105" s="302">
        <v>0.3973609224498213</v>
      </c>
      <c r="Q105" s="301">
        <v>120.9576165838688</v>
      </c>
      <c r="R105" s="301">
        <v>46.467803258604036</v>
      </c>
      <c r="S105" s="300">
        <v>9.5059580656013658</v>
      </c>
      <c r="T105" s="891">
        <f t="shared" si="49"/>
        <v>32</v>
      </c>
      <c r="U105" s="1220">
        <v>0.82457989454269409</v>
      </c>
      <c r="W105" s="299">
        <v>97</v>
      </c>
      <c r="X105" s="298">
        <f>IF('Donor Sample'!N122="",,IF('Donor Sample'!N122="F",1,0))</f>
        <v>1</v>
      </c>
      <c r="Y105" s="298">
        <f>IF('Donor Sample'!O122="","",'Donor Sample'!O122)</f>
        <v>153</v>
      </c>
      <c r="Z105" s="298">
        <f>IF(AND('Donor Sample'!O122="",'Donor Sample'!P122="",'Donor Sample'!Q122=""),"",IF('Donor Sample'!P122="",ROUND(AA105/($C$32+($AI105-0.5)*$C$31),0),'Donor Sample'!P122))</f>
        <v>48</v>
      </c>
      <c r="AA105" s="297" t="str">
        <f>IF('Donor Sample'!Q122="","",'Donor Sample'!Q122)</f>
        <v/>
      </c>
      <c r="AB105" s="296">
        <f t="shared" si="44"/>
        <v>3045.7115696999999</v>
      </c>
      <c r="AC105" s="295">
        <f>IF('Donor Sample'!R122="","",'Donor Sample'!R122)</f>
        <v>200</v>
      </c>
      <c r="AD105" s="294">
        <f>IF('Donor Sample'!S122="","",'Donor Sample'!S122/100)</f>
        <v>0.35900001525878905</v>
      </c>
      <c r="AE105" s="407">
        <f t="shared" si="50"/>
        <v>105.60000000000001</v>
      </c>
      <c r="AF105" s="293">
        <f t="shared" si="51"/>
        <v>60.236220472440941</v>
      </c>
      <c r="AG105" s="292" t="str">
        <f>IF('Donor Sample'!T122="","",'Donor Sample'!T122)</f>
        <v/>
      </c>
      <c r="AH105" s="891">
        <f t="shared" si="52"/>
        <v>2</v>
      </c>
      <c r="AI105" s="1220">
        <v>0.32137793302536011</v>
      </c>
      <c r="AJ105" s="1216"/>
    </row>
    <row r="106" spans="5:36">
      <c r="E106" s="299">
        <v>98</v>
      </c>
      <c r="F106" s="308">
        <f t="shared" ca="1" si="40"/>
        <v>2988.15504990816</v>
      </c>
      <c r="G106" s="307">
        <f t="shared" ca="1" si="41"/>
        <v>278.12821990474248</v>
      </c>
      <c r="H106" s="306">
        <f t="shared" ca="1" si="42"/>
        <v>0.4224380025606238</v>
      </c>
      <c r="I106" s="305">
        <f t="shared" ca="1" si="45"/>
        <v>96.615772229658958</v>
      </c>
      <c r="J106" s="305">
        <f t="shared" ca="1" si="46"/>
        <v>61.479581854384577</v>
      </c>
      <c r="K106" s="292">
        <f t="shared" ca="1" si="43"/>
        <v>3.6621703414820681</v>
      </c>
      <c r="L106" s="1290">
        <f t="shared" ca="1" si="47"/>
        <v>17.995291188039623</v>
      </c>
      <c r="M106" s="299">
        <v>98</v>
      </c>
      <c r="N106" s="304">
        <f t="shared" si="48"/>
        <v>3679.7244671558774</v>
      </c>
      <c r="O106" s="303">
        <v>245.58598550031817</v>
      </c>
      <c r="P106" s="302">
        <v>0.44183895070993673</v>
      </c>
      <c r="Q106" s="301">
        <v>115.80557106429659</v>
      </c>
      <c r="R106" s="301">
        <v>67.059616058680092</v>
      </c>
      <c r="S106" s="300">
        <v>1.9797740675160405</v>
      </c>
      <c r="T106" s="891">
        <f t="shared" si="49"/>
        <v>64</v>
      </c>
      <c r="U106" s="1220">
        <v>0.57329952716827393</v>
      </c>
      <c r="W106" s="299">
        <v>98</v>
      </c>
      <c r="X106" s="298">
        <f>IF('Donor Sample'!N123="",,IF('Donor Sample'!N123="F",1,0))</f>
        <v>1</v>
      </c>
      <c r="Y106" s="298">
        <f>IF('Donor Sample'!O123="","",'Donor Sample'!O123)</f>
        <v>152</v>
      </c>
      <c r="Z106" s="298">
        <f>IF(AND('Donor Sample'!O123="",'Donor Sample'!P123="",'Donor Sample'!Q123=""),"",IF('Donor Sample'!P123="",ROUND(AA106/($C$32+($AI106-0.5)*$C$31),0),'Donor Sample'!P123))</f>
        <v>51</v>
      </c>
      <c r="AA106" s="297" t="str">
        <f>IF('Donor Sample'!Q123="","",'Donor Sample'!Q123)</f>
        <v/>
      </c>
      <c r="AB106" s="296">
        <f t="shared" si="44"/>
        <v>3120.0738288000002</v>
      </c>
      <c r="AC106" s="295">
        <f>IF('Donor Sample'!R123="","",'Donor Sample'!R123)</f>
        <v>200</v>
      </c>
      <c r="AD106" s="294">
        <f>IF('Donor Sample'!S123="","",'Donor Sample'!S123/100)</f>
        <v>0.33500000000000002</v>
      </c>
      <c r="AE106" s="293">
        <f t="shared" si="50"/>
        <v>112.2</v>
      </c>
      <c r="AF106" s="293">
        <f t="shared" si="51"/>
        <v>59.84251968503937</v>
      </c>
      <c r="AG106" s="292" t="str">
        <f>IF('Donor Sample'!T123="","",'Donor Sample'!T123)</f>
        <v/>
      </c>
      <c r="AH106" s="891">
        <f t="shared" si="52"/>
        <v>256</v>
      </c>
      <c r="AI106" s="1220">
        <v>0.87440931797027588</v>
      </c>
      <c r="AJ106" s="1216"/>
    </row>
    <row r="107" spans="5:36">
      <c r="E107" s="299">
        <v>99</v>
      </c>
      <c r="F107" s="308">
        <f t="shared" ca="1" si="40"/>
        <v>3642.9286852504424</v>
      </c>
      <c r="G107" s="307">
        <f t="shared" ca="1" si="41"/>
        <v>288.3166266252104</v>
      </c>
      <c r="H107" s="306">
        <f t="shared" ca="1" si="42"/>
        <v>0.4644074958819589</v>
      </c>
      <c r="I107" s="305">
        <f t="shared" ca="1" si="45"/>
        <v>121.18815430042325</v>
      </c>
      <c r="J107" s="305">
        <f t="shared" ca="1" si="46"/>
        <v>65.532007940121176</v>
      </c>
      <c r="K107" s="292">
        <f t="shared" ca="1" si="43"/>
        <v>1.9357771787657458</v>
      </c>
      <c r="L107" s="1290">
        <f t="shared" ca="1" si="47"/>
        <v>19.866706689581974</v>
      </c>
      <c r="M107" s="299">
        <v>99</v>
      </c>
      <c r="N107" s="304">
        <f t="shared" si="48"/>
        <v>3520.2446529719546</v>
      </c>
      <c r="O107" s="303">
        <v>224.70385675926909</v>
      </c>
      <c r="P107" s="302">
        <v>0.45252701527288985</v>
      </c>
      <c r="Q107" s="301">
        <v>111.04147305140793</v>
      </c>
      <c r="R107" s="301">
        <v>65.922315619098427</v>
      </c>
      <c r="S107" s="300">
        <v>2.0392599715869473</v>
      </c>
      <c r="T107" s="891">
        <f t="shared" si="49"/>
        <v>64</v>
      </c>
      <c r="U107" s="1220">
        <v>0.76897412538528442</v>
      </c>
      <c r="W107" s="299">
        <v>99</v>
      </c>
      <c r="X107" s="298">
        <f>IF('Donor Sample'!N124="",,IF('Donor Sample'!N124="F",1,0))</f>
        <v>1</v>
      </c>
      <c r="Y107" s="298">
        <f>IF('Donor Sample'!O124="","",'Donor Sample'!O124)</f>
        <v>150</v>
      </c>
      <c r="Z107" s="298">
        <f>IF(AND('Donor Sample'!O124="",'Donor Sample'!P124="",'Donor Sample'!Q124=""),"",IF('Donor Sample'!P124="",ROUND(AA107/($C$32+($AI107-0.5)*$C$31),0),'Donor Sample'!P124))</f>
        <v>48</v>
      </c>
      <c r="AA107" s="297" t="str">
        <f>IF('Donor Sample'!Q124="","",'Donor Sample'!Q124)</f>
        <v/>
      </c>
      <c r="AB107" s="296">
        <f t="shared" si="44"/>
        <v>2972.1495</v>
      </c>
      <c r="AC107" s="295">
        <f>IF('Donor Sample'!R124="","",'Donor Sample'!R124)</f>
        <v>200</v>
      </c>
      <c r="AD107" s="294">
        <f>IF('Donor Sample'!S124="","",'Donor Sample'!S124/100)</f>
        <v>0.37799999237060544</v>
      </c>
      <c r="AE107" s="293">
        <f t="shared" si="50"/>
        <v>105.60000000000001</v>
      </c>
      <c r="AF107" s="293">
        <f t="shared" si="51"/>
        <v>59.055118110236222</v>
      </c>
      <c r="AG107" s="292" t="str">
        <f>IF('Donor Sample'!T124="","",'Donor Sample'!T124)</f>
        <v/>
      </c>
      <c r="AH107" s="891">
        <f t="shared" si="52"/>
        <v>8</v>
      </c>
      <c r="AI107" s="1220">
        <v>0.99113303422927856</v>
      </c>
      <c r="AJ107" s="1216"/>
    </row>
    <row r="108" spans="5:36">
      <c r="E108" s="299">
        <v>100</v>
      </c>
      <c r="F108" s="308">
        <f t="shared" ca="1" si="40"/>
        <v>2779.8043733236073</v>
      </c>
      <c r="G108" s="307">
        <f t="shared" ca="1" si="41"/>
        <v>246.59009289790265</v>
      </c>
      <c r="H108" s="306">
        <f t="shared" ca="1" si="42"/>
        <v>0.40609052611943697</v>
      </c>
      <c r="I108" s="305">
        <f t="shared" ca="1" si="45"/>
        <v>104.87312905800098</v>
      </c>
      <c r="J108" s="305">
        <f t="shared" ca="1" si="46"/>
        <v>47.508338312809556</v>
      </c>
      <c r="K108" s="292">
        <f t="shared" ca="1" si="43"/>
        <v>2.3804388356229458</v>
      </c>
      <c r="L108" s="1290">
        <f t="shared" ca="1" si="47"/>
        <v>32.711254824760388</v>
      </c>
      <c r="M108" s="299">
        <v>100</v>
      </c>
      <c r="N108" s="304">
        <f t="shared" si="48"/>
        <v>2859.3004661654786</v>
      </c>
      <c r="O108" s="303">
        <v>288.58021113399252</v>
      </c>
      <c r="P108" s="302">
        <v>0.35117087046373113</v>
      </c>
      <c r="Q108" s="301">
        <v>114.65175363278424</v>
      </c>
      <c r="R108" s="301">
        <v>45.900235750107548</v>
      </c>
      <c r="S108" s="300">
        <v>2.0291749953898024</v>
      </c>
      <c r="T108" s="891">
        <f t="shared" si="49"/>
        <v>2</v>
      </c>
      <c r="U108" s="1220">
        <v>0.29394984245300293</v>
      </c>
      <c r="W108" s="299">
        <v>100</v>
      </c>
      <c r="X108" s="298">
        <f>IF('Donor Sample'!N125="",,IF('Donor Sample'!N125="F",1,0))</f>
        <v>1</v>
      </c>
      <c r="Y108" s="298">
        <f>IF('Donor Sample'!O125="","",'Donor Sample'!O125)</f>
        <v>140</v>
      </c>
      <c r="Z108" s="298">
        <f>IF(AND('Donor Sample'!O125="",'Donor Sample'!P125="",'Donor Sample'!Q125=""),"",IF('Donor Sample'!P125="",ROUND(AA108/($C$32+($AI108-0.5)*$C$31),0),'Donor Sample'!P125))</f>
        <v>46</v>
      </c>
      <c r="AA108" s="297" t="str">
        <f>IF('Donor Sample'!Q125="","",'Donor Sample'!Q125)</f>
        <v/>
      </c>
      <c r="AB108" s="296">
        <f t="shared" si="44"/>
        <v>2681.3123999999998</v>
      </c>
      <c r="AC108" s="295">
        <f>IF('Donor Sample'!R125="","",'Donor Sample'!R125)</f>
        <v>200</v>
      </c>
      <c r="AD108" s="294">
        <f>IF('Donor Sample'!S125="","",'Donor Sample'!S125/100)</f>
        <v>0.37</v>
      </c>
      <c r="AE108" s="407">
        <f t="shared" si="50"/>
        <v>101.2</v>
      </c>
      <c r="AF108" s="293">
        <f t="shared" si="51"/>
        <v>55.118110236220474</v>
      </c>
      <c r="AG108" s="292" t="str">
        <f>IF('Donor Sample'!T125="","",'Donor Sample'!T125)</f>
        <v/>
      </c>
      <c r="AH108" s="891">
        <f t="shared" si="52"/>
        <v>64</v>
      </c>
      <c r="AI108" s="1220">
        <v>0.75100827217102051</v>
      </c>
      <c r="AJ108" s="1216"/>
    </row>
    <row r="109" spans="5:36">
      <c r="E109" s="299">
        <v>101</v>
      </c>
      <c r="F109" s="308">
        <f t="shared" ca="1" si="40"/>
        <v>2831.144726892875</v>
      </c>
      <c r="G109" s="307">
        <f t="shared" ca="1" si="41"/>
        <v>246.17331266744162</v>
      </c>
      <c r="H109" s="306">
        <f t="shared" ca="1" si="42"/>
        <v>0.41704196417419803</v>
      </c>
      <c r="I109" s="305">
        <f t="shared" ca="1" si="45"/>
        <v>88.119933557546531</v>
      </c>
      <c r="J109" s="305">
        <f t="shared" ca="1" si="46"/>
        <v>61.02933349461739</v>
      </c>
      <c r="K109" s="292">
        <f t="shared" ca="1" si="43"/>
        <v>1.2748831927056199</v>
      </c>
      <c r="L109" s="1290">
        <f t="shared" ca="1" si="47"/>
        <v>16.65595604686655</v>
      </c>
      <c r="M109" s="299">
        <v>101</v>
      </c>
      <c r="N109" s="304">
        <f t="shared" si="48"/>
        <v>2832.5461953069212</v>
      </c>
      <c r="O109" s="303">
        <v>230.11165258689397</v>
      </c>
      <c r="P109" s="302">
        <v>0.38869892008988283</v>
      </c>
      <c r="Q109" s="301">
        <v>88.957508073216147</v>
      </c>
      <c r="R109" s="301">
        <v>60.857649122290148</v>
      </c>
      <c r="S109" s="300">
        <v>1.2388522674262081</v>
      </c>
      <c r="T109" s="891">
        <f t="shared" si="49"/>
        <v>2</v>
      </c>
      <c r="U109" s="1220">
        <v>7.0524156093597412E-2</v>
      </c>
      <c r="W109" s="299">
        <v>101</v>
      </c>
      <c r="X109" s="298">
        <f>IF('Donor Sample'!N126="",,IF('Donor Sample'!N126="F",1,0))</f>
        <v>0</v>
      </c>
      <c r="Y109" s="298" t="str">
        <f>IF('Donor Sample'!O126="","",'Donor Sample'!O126)</f>
        <v/>
      </c>
      <c r="Z109" s="298" t="str">
        <f>IF(AND('Donor Sample'!O126="",'Donor Sample'!P126="",'Donor Sample'!Q126=""),"",IF('Donor Sample'!P126="",ROUND(AA109/($C$32+($AI109-0.5)*$C$31),0),'Donor Sample'!P126))</f>
        <v/>
      </c>
      <c r="AA109" s="297" t="str">
        <f>IF('Donor Sample'!Q126="","",'Donor Sample'!Q126)</f>
        <v/>
      </c>
      <c r="AB109" s="296" t="str">
        <f t="shared" si="44"/>
        <v/>
      </c>
      <c r="AC109" s="295" t="str">
        <f>IF('Donor Sample'!R126="","",'Donor Sample'!R126)</f>
        <v/>
      </c>
      <c r="AD109" s="294" t="str">
        <f>IF('Donor Sample'!S126="","",'Donor Sample'!S126/100)</f>
        <v/>
      </c>
      <c r="AE109" s="293" t="e">
        <f t="shared" si="50"/>
        <v>#VALUE!</v>
      </c>
      <c r="AF109" s="293" t="str">
        <f t="shared" si="51"/>
        <v/>
      </c>
      <c r="AG109" s="292" t="str">
        <f>IF('Donor Sample'!T126="","",'Donor Sample'!T126)</f>
        <v/>
      </c>
      <c r="AH109" s="891">
        <f t="shared" si="52"/>
        <v>32</v>
      </c>
      <c r="AI109" s="1220">
        <v>0.82874339818954468</v>
      </c>
      <c r="AJ109" s="1216"/>
    </row>
    <row r="110" spans="5:36">
      <c r="E110" s="299">
        <v>102</v>
      </c>
      <c r="F110" s="308">
        <f t="shared" ca="1" si="40"/>
        <v>4621.0642331095487</v>
      </c>
      <c r="G110" s="307">
        <f t="shared" ca="1" si="41"/>
        <v>252.68390200926862</v>
      </c>
      <c r="H110" s="306">
        <f t="shared" ca="1" si="42"/>
        <v>0.4361893189369645</v>
      </c>
      <c r="I110" s="305">
        <f t="shared" ca="1" si="45"/>
        <v>192.4355358211395</v>
      </c>
      <c r="J110" s="305">
        <f t="shared" ca="1" si="46"/>
        <v>58.563007408069574</v>
      </c>
      <c r="K110" s="292">
        <f t="shared" ca="1" si="43"/>
        <v>6.3129291452879377</v>
      </c>
      <c r="L110" s="1290">
        <f t="shared" ca="1" si="47"/>
        <v>39.501281967633183</v>
      </c>
      <c r="M110" s="299">
        <v>102</v>
      </c>
      <c r="N110" s="304">
        <f t="shared" si="48"/>
        <v>3651.6552126309266</v>
      </c>
      <c r="O110" s="303">
        <v>228.61399460485779</v>
      </c>
      <c r="P110" s="302">
        <v>0.40284991331177677</v>
      </c>
      <c r="Q110" s="301">
        <v>152.38169987432298</v>
      </c>
      <c r="R110" s="301">
        <v>51.535472981944842</v>
      </c>
      <c r="S110" s="300">
        <v>1.7771961908355243</v>
      </c>
      <c r="T110" s="891">
        <f t="shared" si="49"/>
        <v>64</v>
      </c>
      <c r="U110" s="1220">
        <v>0.62379682064056396</v>
      </c>
      <c r="W110" s="299">
        <v>102</v>
      </c>
      <c r="X110" s="298">
        <f>IF('Donor Sample'!N127="",,IF('Donor Sample'!N127="F",1,0))</f>
        <v>0</v>
      </c>
      <c r="Y110" s="298" t="str">
        <f>IF('Donor Sample'!O127="","",'Donor Sample'!O127)</f>
        <v/>
      </c>
      <c r="Z110" s="298" t="str">
        <f>IF(AND('Donor Sample'!O127="",'Donor Sample'!P127="",'Donor Sample'!Q127=""),"",IF('Donor Sample'!P127="",ROUND(AA110/($C$32+($AI110-0.5)*$C$31),0),'Donor Sample'!P127))</f>
        <v/>
      </c>
      <c r="AA110" s="297" t="str">
        <f>IF('Donor Sample'!Q127="","",'Donor Sample'!Q127)</f>
        <v/>
      </c>
      <c r="AB110" s="296" t="str">
        <f t="shared" si="44"/>
        <v/>
      </c>
      <c r="AC110" s="295" t="str">
        <f>IF('Donor Sample'!R127="","",'Donor Sample'!R127)</f>
        <v/>
      </c>
      <c r="AD110" s="294" t="str">
        <f>IF('Donor Sample'!S127="","",'Donor Sample'!S127/100)</f>
        <v/>
      </c>
      <c r="AE110" s="293" t="e">
        <f t="shared" si="50"/>
        <v>#VALUE!</v>
      </c>
      <c r="AF110" s="293" t="str">
        <f t="shared" si="51"/>
        <v/>
      </c>
      <c r="AG110" s="292" t="str">
        <f>IF('Donor Sample'!T127="","",'Donor Sample'!T127)</f>
        <v/>
      </c>
      <c r="AH110" s="891">
        <f t="shared" si="52"/>
        <v>64</v>
      </c>
      <c r="AI110" s="1220">
        <v>0.46095550060272217</v>
      </c>
      <c r="AJ110" s="1216"/>
    </row>
    <row r="111" spans="5:36">
      <c r="E111" s="299">
        <v>103</v>
      </c>
      <c r="F111" s="308">
        <f t="shared" ca="1" si="40"/>
        <v>4165.9026342485458</v>
      </c>
      <c r="G111" s="307">
        <f t="shared" ca="1" si="41"/>
        <v>238.11598123817944</v>
      </c>
      <c r="H111" s="306">
        <f t="shared" ca="1" si="42"/>
        <v>0.38549238295700272</v>
      </c>
      <c r="I111" s="305">
        <f t="shared" ca="1" si="45"/>
        <v>141.54317269222685</v>
      </c>
      <c r="J111" s="305">
        <f t="shared" ca="1" si="46"/>
        <v>62.889303916414391</v>
      </c>
      <c r="K111" s="292">
        <f t="shared" ca="1" si="43"/>
        <v>4.3578434724210924</v>
      </c>
      <c r="L111" s="1290">
        <f t="shared" ca="1" si="47"/>
        <v>25.194631437460483</v>
      </c>
      <c r="M111" s="299">
        <v>103</v>
      </c>
      <c r="N111" s="304">
        <f t="shared" si="48"/>
        <v>3627.8865183665566</v>
      </c>
      <c r="O111" s="303">
        <v>228.1440289317504</v>
      </c>
      <c r="P111" s="302">
        <v>0.49926095553867533</v>
      </c>
      <c r="Q111" s="301">
        <v>124.06310700135249</v>
      </c>
      <c r="R111" s="301">
        <v>58.644691245974741</v>
      </c>
      <c r="S111" s="300">
        <v>1.6554277834485864</v>
      </c>
      <c r="T111" s="891">
        <f t="shared" si="49"/>
        <v>64</v>
      </c>
      <c r="U111" s="1220">
        <v>0.50249201059341431</v>
      </c>
      <c r="W111" s="299">
        <v>103</v>
      </c>
      <c r="X111" s="298">
        <f>IF('Donor Sample'!N128="",,IF('Donor Sample'!N128="F",1,0))</f>
        <v>0</v>
      </c>
      <c r="Y111" s="298" t="str">
        <f>IF('Donor Sample'!O128="","",'Donor Sample'!O128)</f>
        <v/>
      </c>
      <c r="Z111" s="298" t="str">
        <f>IF(AND('Donor Sample'!O128="",'Donor Sample'!P128="",'Donor Sample'!Q128=""),"",IF('Donor Sample'!P128="",ROUND(AA111/($C$32+($AI111-0.5)*$C$31),0),'Donor Sample'!P128))</f>
        <v/>
      </c>
      <c r="AA111" s="297" t="str">
        <f>IF('Donor Sample'!Q128="","",'Donor Sample'!Q128)</f>
        <v/>
      </c>
      <c r="AB111" s="296" t="str">
        <f t="shared" si="44"/>
        <v/>
      </c>
      <c r="AC111" s="295" t="str">
        <f>IF('Donor Sample'!R128="","",'Donor Sample'!R128)</f>
        <v/>
      </c>
      <c r="AD111" s="294" t="str">
        <f>IF('Donor Sample'!S128="","",'Donor Sample'!S128/100)</f>
        <v/>
      </c>
      <c r="AE111" s="407" t="e">
        <f t="shared" si="50"/>
        <v>#VALUE!</v>
      </c>
      <c r="AF111" s="293" t="str">
        <f t="shared" si="51"/>
        <v/>
      </c>
      <c r="AG111" s="292" t="str">
        <f>IF('Donor Sample'!T128="","",'Donor Sample'!T128)</f>
        <v/>
      </c>
      <c r="AH111" s="891">
        <f t="shared" si="52"/>
        <v>2</v>
      </c>
      <c r="AI111" s="1220">
        <v>0.1555667519569397</v>
      </c>
      <c r="AJ111" s="1216"/>
    </row>
    <row r="112" spans="5:36">
      <c r="E112" s="299">
        <v>104</v>
      </c>
      <c r="F112" s="308">
        <f t="shared" ca="1" si="40"/>
        <v>3737.5675060505878</v>
      </c>
      <c r="G112" s="307">
        <f t="shared" ca="1" si="41"/>
        <v>238.70794758254772</v>
      </c>
      <c r="H112" s="306">
        <f t="shared" ca="1" si="42"/>
        <v>0.42827602000504084</v>
      </c>
      <c r="I112" s="305">
        <f t="shared" ca="1" si="45"/>
        <v>149.13600680619606</v>
      </c>
      <c r="J112" s="305">
        <f t="shared" ca="1" si="46"/>
        <v>54.180187218278775</v>
      </c>
      <c r="K112" s="292">
        <f t="shared" ca="1" si="43"/>
        <v>1.3799634682650441</v>
      </c>
      <c r="L112" s="1290">
        <f t="shared" ca="1" si="47"/>
        <v>35.766312502241036</v>
      </c>
      <c r="M112" s="299">
        <v>104</v>
      </c>
      <c r="N112" s="304">
        <f t="shared" si="48"/>
        <v>3374.329959131172</v>
      </c>
      <c r="O112" s="303">
        <v>214.60548531126977</v>
      </c>
      <c r="P112" s="302">
        <v>0.39419982709206614</v>
      </c>
      <c r="Q112" s="301">
        <v>133.75103311587088</v>
      </c>
      <c r="R112" s="301">
        <v>51.424224494176016</v>
      </c>
      <c r="S112" s="300">
        <v>9.2725473042430782</v>
      </c>
      <c r="T112" s="891">
        <f t="shared" si="49"/>
        <v>64</v>
      </c>
      <c r="U112" s="1220">
        <v>0.68836688995361328</v>
      </c>
      <c r="W112" s="299">
        <v>104</v>
      </c>
      <c r="X112" s="298">
        <f>IF('Donor Sample'!N129="",,IF('Donor Sample'!N129="F",1,0))</f>
        <v>0</v>
      </c>
      <c r="Y112" s="298" t="str">
        <f>IF('Donor Sample'!O129="","",'Donor Sample'!O129)</f>
        <v/>
      </c>
      <c r="Z112" s="298" t="str">
        <f>IF(AND('Donor Sample'!O129="",'Donor Sample'!P129="",'Donor Sample'!Q129=""),"",IF('Donor Sample'!P129="",ROUND(AA112/($C$32+($AI112-0.5)*$C$31),0),'Donor Sample'!P129))</f>
        <v/>
      </c>
      <c r="AA112" s="297" t="str">
        <f>IF('Donor Sample'!Q129="","",'Donor Sample'!Q129)</f>
        <v/>
      </c>
      <c r="AB112" s="296" t="str">
        <f t="shared" si="44"/>
        <v/>
      </c>
      <c r="AC112" s="295" t="str">
        <f>IF('Donor Sample'!R129="","",'Donor Sample'!R129)</f>
        <v/>
      </c>
      <c r="AD112" s="294" t="str">
        <f>IF('Donor Sample'!S129="","",'Donor Sample'!S129/100)</f>
        <v/>
      </c>
      <c r="AE112" s="293" t="e">
        <f t="shared" si="50"/>
        <v>#VALUE!</v>
      </c>
      <c r="AF112" s="293" t="str">
        <f t="shared" si="51"/>
        <v/>
      </c>
      <c r="AG112" s="292" t="str">
        <f>IF('Donor Sample'!T129="","",'Donor Sample'!T129)</f>
        <v/>
      </c>
      <c r="AH112" s="891">
        <f t="shared" si="52"/>
        <v>64</v>
      </c>
      <c r="AI112" s="1220">
        <v>0.73549032211303711</v>
      </c>
      <c r="AJ112" s="1216"/>
    </row>
    <row r="113" spans="5:36">
      <c r="E113" s="299">
        <v>105</v>
      </c>
      <c r="F113" s="308">
        <f t="shared" ca="1" si="40"/>
        <v>4245.3725289219965</v>
      </c>
      <c r="G113" s="307">
        <f t="shared" ca="1" si="41"/>
        <v>276.51023400201905</v>
      </c>
      <c r="H113" s="306">
        <f t="shared" ca="1" si="42"/>
        <v>0.45248851041725907</v>
      </c>
      <c r="I113" s="305">
        <f t="shared" ca="1" si="45"/>
        <v>135.26267089713119</v>
      </c>
      <c r="J113" s="305">
        <f t="shared" ca="1" si="46"/>
        <v>65.20266934990758</v>
      </c>
      <c r="K113" s="292">
        <f t="shared" ca="1" si="43"/>
        <v>2.1542845885822959</v>
      </c>
      <c r="L113" s="1290">
        <f t="shared" ca="1" si="47"/>
        <v>22.398548024267814</v>
      </c>
      <c r="M113" s="299">
        <v>105</v>
      </c>
      <c r="N113" s="304">
        <f t="shared" si="48"/>
        <v>3390.2508963972132</v>
      </c>
      <c r="O113" s="303">
        <v>241.38266898617974</v>
      </c>
      <c r="P113" s="302">
        <v>0.39414519997301717</v>
      </c>
      <c r="Q113" s="301">
        <v>108.47367451005849</v>
      </c>
      <c r="R113" s="301">
        <v>58.48254734761008</v>
      </c>
      <c r="S113" s="300">
        <v>2.7297282122436592</v>
      </c>
      <c r="T113" s="891">
        <f t="shared" si="49"/>
        <v>2</v>
      </c>
      <c r="U113" s="1220">
        <v>0.35236090421676636</v>
      </c>
      <c r="W113" s="299">
        <v>105</v>
      </c>
      <c r="X113" s="298">
        <f>IF('Donor Sample'!N130="",,IF('Donor Sample'!N130="F",1,0))</f>
        <v>0</v>
      </c>
      <c r="Y113" s="298" t="str">
        <f>IF('Donor Sample'!O130="","",'Donor Sample'!O130)</f>
        <v/>
      </c>
      <c r="Z113" s="298" t="str">
        <f>IF(AND('Donor Sample'!O130="",'Donor Sample'!P130="",'Donor Sample'!Q130=""),"",IF('Donor Sample'!P130="",ROUND(AA113/($C$32+($AI113-0.5)*$C$31),0),'Donor Sample'!P130))</f>
        <v/>
      </c>
      <c r="AA113" s="297" t="str">
        <f>IF('Donor Sample'!Q130="","",'Donor Sample'!Q130)</f>
        <v/>
      </c>
      <c r="AB113" s="296" t="str">
        <f t="shared" si="44"/>
        <v/>
      </c>
      <c r="AC113" s="295" t="str">
        <f>IF('Donor Sample'!R130="","",'Donor Sample'!R130)</f>
        <v/>
      </c>
      <c r="AD113" s="294" t="str">
        <f>IF('Donor Sample'!S130="","",'Donor Sample'!S130/100)</f>
        <v/>
      </c>
      <c r="AE113" s="293" t="e">
        <f t="shared" si="50"/>
        <v>#VALUE!</v>
      </c>
      <c r="AF113" s="293" t="str">
        <f t="shared" si="51"/>
        <v/>
      </c>
      <c r="AG113" s="292" t="str">
        <f>IF('Donor Sample'!T130="","",'Donor Sample'!T130)</f>
        <v/>
      </c>
      <c r="AH113" s="891">
        <f t="shared" si="52"/>
        <v>64</v>
      </c>
      <c r="AI113" s="1220">
        <v>0.69194763898849487</v>
      </c>
      <c r="AJ113" s="1216"/>
    </row>
    <row r="114" spans="5:36">
      <c r="E114" s="299">
        <v>106</v>
      </c>
      <c r="F114" s="308">
        <f t="shared" ca="1" si="40"/>
        <v>3534.6993774248785</v>
      </c>
      <c r="G114" s="307">
        <f t="shared" ca="1" si="41"/>
        <v>263.84333465055164</v>
      </c>
      <c r="H114" s="306">
        <f t="shared" ca="1" si="42"/>
        <v>0.39082848665254333</v>
      </c>
      <c r="I114" s="305">
        <f t="shared" ca="1" si="45"/>
        <v>139.21282971850155</v>
      </c>
      <c r="J114" s="305">
        <f t="shared" ca="1" si="46"/>
        <v>53.061975382935877</v>
      </c>
      <c r="K114" s="292">
        <f t="shared" ca="1" si="43"/>
        <v>2.9449334230430089</v>
      </c>
      <c r="L114" s="1290">
        <f t="shared" ca="1" si="47"/>
        <v>34.80848270042852</v>
      </c>
      <c r="M114" s="299">
        <v>106</v>
      </c>
      <c r="N114" s="304">
        <f t="shared" si="48"/>
        <v>2713.6018511871321</v>
      </c>
      <c r="O114" s="303">
        <v>212.62379263935964</v>
      </c>
      <c r="P114" s="302">
        <v>0.38874510741335583</v>
      </c>
      <c r="Q114" s="301">
        <v>93.966818652711325</v>
      </c>
      <c r="R114" s="301">
        <v>49.691745063654722</v>
      </c>
      <c r="S114" s="300">
        <v>1.2837710228307067</v>
      </c>
      <c r="T114" s="891">
        <f t="shared" si="49"/>
        <v>64</v>
      </c>
      <c r="U114" s="1220">
        <v>0.63302290439605713</v>
      </c>
      <c r="W114" s="299">
        <v>106</v>
      </c>
      <c r="X114" s="298">
        <f>IF('Donor Sample'!N131="",,IF('Donor Sample'!N131="F",1,0))</f>
        <v>0</v>
      </c>
      <c r="Y114" s="298" t="str">
        <f>IF('Donor Sample'!O131="","",'Donor Sample'!O131)</f>
        <v/>
      </c>
      <c r="Z114" s="298" t="str">
        <f>IF(AND('Donor Sample'!O131="",'Donor Sample'!P131="",'Donor Sample'!Q131=""),"",IF('Donor Sample'!P131="",ROUND(AA114/($C$32+($AI114-0.5)*$C$31),0),'Donor Sample'!P131))</f>
        <v/>
      </c>
      <c r="AA114" s="297" t="str">
        <f>IF('Donor Sample'!Q131="","",'Donor Sample'!Q131)</f>
        <v/>
      </c>
      <c r="AB114" s="296" t="str">
        <f t="shared" si="44"/>
        <v/>
      </c>
      <c r="AC114" s="295" t="str">
        <f>IF('Donor Sample'!R131="","",'Donor Sample'!R131)</f>
        <v/>
      </c>
      <c r="AD114" s="294" t="str">
        <f>IF('Donor Sample'!S131="","",'Donor Sample'!S131/100)</f>
        <v/>
      </c>
      <c r="AE114" s="407" t="e">
        <f t="shared" si="50"/>
        <v>#VALUE!</v>
      </c>
      <c r="AF114" s="293" t="str">
        <f t="shared" si="51"/>
        <v/>
      </c>
      <c r="AG114" s="292" t="str">
        <f>IF('Donor Sample'!T131="","",'Donor Sample'!T131)</f>
        <v/>
      </c>
      <c r="AH114" s="891">
        <f t="shared" si="52"/>
        <v>64</v>
      </c>
      <c r="AI114" s="1220">
        <v>0.67139160633087158</v>
      </c>
      <c r="AJ114" s="1216"/>
    </row>
    <row r="115" spans="5:36">
      <c r="E115" s="299">
        <v>107</v>
      </c>
      <c r="F115" s="308">
        <f t="shared" ca="1" si="40"/>
        <v>2563.3664223495844</v>
      </c>
      <c r="G115" s="307">
        <f t="shared" ca="1" si="41"/>
        <v>204.81876395588975</v>
      </c>
      <c r="H115" s="306">
        <f t="shared" ca="1" si="42"/>
        <v>0.4637978873059751</v>
      </c>
      <c r="I115" s="305">
        <f t="shared" ca="1" si="45"/>
        <v>96.616439357070078</v>
      </c>
      <c r="J115" s="305">
        <f t="shared" ca="1" si="46"/>
        <v>45.025255113133127</v>
      </c>
      <c r="K115" s="292">
        <f t="shared" ca="1" si="43"/>
        <v>2.0807091714042016</v>
      </c>
      <c r="L115" s="1290">
        <f t="shared" ca="1" si="47"/>
        <v>33.551452243243808</v>
      </c>
      <c r="M115" s="299">
        <v>107</v>
      </c>
      <c r="N115" s="304">
        <f t="shared" si="48"/>
        <v>3332.9232800014561</v>
      </c>
      <c r="O115" s="303">
        <v>262.70792407755073</v>
      </c>
      <c r="P115" s="302">
        <v>0.37943815470955755</v>
      </c>
      <c r="Q115" s="301">
        <v>129.94757444601348</v>
      </c>
      <c r="R115" s="301">
        <v>51.718661317949895</v>
      </c>
      <c r="S115" s="300">
        <v>1.7159969886222473</v>
      </c>
      <c r="T115" s="891">
        <f t="shared" si="49"/>
        <v>2</v>
      </c>
      <c r="U115" s="1220">
        <v>0.16060477495193481</v>
      </c>
      <c r="W115" s="299">
        <v>107</v>
      </c>
      <c r="X115" s="298">
        <f>IF('Donor Sample'!N132="",,IF('Donor Sample'!N132="F",1,0))</f>
        <v>0</v>
      </c>
      <c r="Y115" s="298" t="str">
        <f>IF('Donor Sample'!O132="","",'Donor Sample'!O132)</f>
        <v/>
      </c>
      <c r="Z115" s="298" t="str">
        <f>IF(AND('Donor Sample'!O132="",'Donor Sample'!P132="",'Donor Sample'!Q132=""),"",IF('Donor Sample'!P132="",ROUND(AA115/($C$32+($AI115-0.5)*$C$31),0),'Donor Sample'!P132))</f>
        <v/>
      </c>
      <c r="AA115" s="297" t="str">
        <f>IF('Donor Sample'!Q132="","",'Donor Sample'!Q132)</f>
        <v/>
      </c>
      <c r="AB115" s="296" t="str">
        <f t="shared" si="44"/>
        <v/>
      </c>
      <c r="AC115" s="295" t="str">
        <f>IF('Donor Sample'!R132="","",'Donor Sample'!R132)</f>
        <v/>
      </c>
      <c r="AD115" s="294" t="str">
        <f>IF('Donor Sample'!S132="","",'Donor Sample'!S132/100)</f>
        <v/>
      </c>
      <c r="AE115" s="293" t="e">
        <f t="shared" si="50"/>
        <v>#VALUE!</v>
      </c>
      <c r="AF115" s="293" t="str">
        <f t="shared" si="51"/>
        <v/>
      </c>
      <c r="AG115" s="292" t="str">
        <f>IF('Donor Sample'!T132="","",'Donor Sample'!T132)</f>
        <v/>
      </c>
      <c r="AH115" s="891">
        <f t="shared" si="52"/>
        <v>4</v>
      </c>
      <c r="AI115" s="1220">
        <v>0.37411195039749146</v>
      </c>
      <c r="AJ115" s="1216"/>
    </row>
    <row r="116" spans="5:36">
      <c r="E116" s="299">
        <v>108</v>
      </c>
      <c r="F116" s="308">
        <f t="shared" ca="1" si="40"/>
        <v>3647.2643220877444</v>
      </c>
      <c r="G116" s="307">
        <f t="shared" ca="1" si="41"/>
        <v>241.66453968969051</v>
      </c>
      <c r="H116" s="306">
        <f t="shared" ca="1" si="42"/>
        <v>0.38094731344216415</v>
      </c>
      <c r="I116" s="305">
        <f t="shared" ca="1" si="45"/>
        <v>112.50316555433943</v>
      </c>
      <c r="J116" s="305">
        <f t="shared" ca="1" si="46"/>
        <v>67.275838497437022</v>
      </c>
      <c r="K116" s="292">
        <f t="shared" ca="1" si="43"/>
        <v>3.513577395094051</v>
      </c>
      <c r="L116" s="1290">
        <f t="shared" ca="1" si="47"/>
        <v>17.499239015174528</v>
      </c>
      <c r="M116" s="299">
        <v>108</v>
      </c>
      <c r="N116" s="304">
        <f t="shared" si="48"/>
        <v>2566.3115596682651</v>
      </c>
      <c r="O116" s="303">
        <v>280.93724791916895</v>
      </c>
      <c r="P116" s="302">
        <v>0.48922413419076727</v>
      </c>
      <c r="Q116" s="301">
        <v>89.267761694591869</v>
      </c>
      <c r="R116" s="301">
        <v>56.354352565438752</v>
      </c>
      <c r="S116" s="300">
        <v>1.3192824923666757</v>
      </c>
      <c r="T116" s="891">
        <f t="shared" si="49"/>
        <v>256</v>
      </c>
      <c r="U116" s="1220">
        <v>0.90665555000305176</v>
      </c>
      <c r="W116" s="299">
        <v>108</v>
      </c>
      <c r="X116" s="298">
        <f>IF('Donor Sample'!N133="",,IF('Donor Sample'!N133="F",1,0))</f>
        <v>0</v>
      </c>
      <c r="Y116" s="298" t="str">
        <f>IF('Donor Sample'!O133="","",'Donor Sample'!O133)</f>
        <v/>
      </c>
      <c r="Z116" s="298" t="str">
        <f>IF(AND('Donor Sample'!O133="",'Donor Sample'!P133="",'Donor Sample'!Q133=""),"",IF('Donor Sample'!P133="",ROUND(AA116/($C$32+($AI116-0.5)*$C$31),0),'Donor Sample'!P133))</f>
        <v/>
      </c>
      <c r="AA116" s="297" t="str">
        <f>IF('Donor Sample'!Q133="","",'Donor Sample'!Q133)</f>
        <v/>
      </c>
      <c r="AB116" s="296" t="str">
        <f t="shared" si="44"/>
        <v/>
      </c>
      <c r="AC116" s="295" t="str">
        <f>IF('Donor Sample'!R133="","",'Donor Sample'!R133)</f>
        <v/>
      </c>
      <c r="AD116" s="294" t="str">
        <f>IF('Donor Sample'!S133="","",'Donor Sample'!S133/100)</f>
        <v/>
      </c>
      <c r="AE116" s="293" t="e">
        <f t="shared" si="50"/>
        <v>#VALUE!</v>
      </c>
      <c r="AF116" s="293" t="str">
        <f t="shared" si="51"/>
        <v/>
      </c>
      <c r="AG116" s="292" t="str">
        <f>IF('Donor Sample'!T133="","",'Donor Sample'!T133)</f>
        <v/>
      </c>
      <c r="AH116" s="891">
        <f t="shared" si="52"/>
        <v>32</v>
      </c>
      <c r="AI116" s="1220">
        <v>0.78029417991638184</v>
      </c>
      <c r="AJ116" s="1216"/>
    </row>
    <row r="117" spans="5:36">
      <c r="E117" s="299">
        <v>109</v>
      </c>
      <c r="F117" s="308">
        <f t="shared" ca="1" si="40"/>
        <v>3714.6991600066485</v>
      </c>
      <c r="G117" s="307">
        <f t="shared" ca="1" si="41"/>
        <v>218.540525704576</v>
      </c>
      <c r="H117" s="306">
        <f t="shared" ca="1" si="42"/>
        <v>0.36634118891650175</v>
      </c>
      <c r="I117" s="305">
        <f t="shared" ca="1" si="45"/>
        <v>115.61120057535859</v>
      </c>
      <c r="J117" s="305">
        <f t="shared" ca="1" si="46"/>
        <v>61.854668272643814</v>
      </c>
      <c r="K117" s="292">
        <f t="shared" ca="1" si="43"/>
        <v>2.1220150135265707</v>
      </c>
      <c r="L117" s="1290">
        <f t="shared" ca="1" si="47"/>
        <v>21.272944453495377</v>
      </c>
      <c r="M117" s="299">
        <v>109</v>
      </c>
      <c r="N117" s="304">
        <f t="shared" si="48"/>
        <v>4072.8196637750298</v>
      </c>
      <c r="O117" s="303">
        <v>185.54626220445533</v>
      </c>
      <c r="P117" s="302">
        <v>0.40823575008195567</v>
      </c>
      <c r="Q117" s="301">
        <v>149.60766907215782</v>
      </c>
      <c r="R117" s="301">
        <v>59.782915019877272</v>
      </c>
      <c r="S117" s="300">
        <v>4.7277656201141358</v>
      </c>
      <c r="T117" s="891">
        <f t="shared" si="49"/>
        <v>4</v>
      </c>
      <c r="U117" s="1220">
        <v>0.36961406469345093</v>
      </c>
      <c r="W117" s="299">
        <v>109</v>
      </c>
      <c r="X117" s="298">
        <f>IF('Donor Sample'!N134="",,IF('Donor Sample'!N134="F",1,0))</f>
        <v>0</v>
      </c>
      <c r="Y117" s="298" t="str">
        <f>IF('Donor Sample'!O134="","",'Donor Sample'!O134)</f>
        <v/>
      </c>
      <c r="Z117" s="298" t="str">
        <f>IF(AND('Donor Sample'!O134="",'Donor Sample'!P134="",'Donor Sample'!Q134=""),"",IF('Donor Sample'!P134="",ROUND(AA117/($C$32+($AI117-0.5)*$C$31),0),'Donor Sample'!P134))</f>
        <v/>
      </c>
      <c r="AA117" s="297" t="str">
        <f>IF('Donor Sample'!Q134="","",'Donor Sample'!Q134)</f>
        <v/>
      </c>
      <c r="AB117" s="296" t="str">
        <f t="shared" si="44"/>
        <v/>
      </c>
      <c r="AC117" s="295" t="str">
        <f>IF('Donor Sample'!R134="","",'Donor Sample'!R134)</f>
        <v/>
      </c>
      <c r="AD117" s="294" t="str">
        <f>IF('Donor Sample'!S134="","",'Donor Sample'!S134/100)</f>
        <v/>
      </c>
      <c r="AE117" s="407" t="e">
        <f t="shared" si="50"/>
        <v>#VALUE!</v>
      </c>
      <c r="AF117" s="293" t="str">
        <f t="shared" si="51"/>
        <v/>
      </c>
      <c r="AG117" s="292" t="str">
        <f>IF('Donor Sample'!T134="","",'Donor Sample'!T134)</f>
        <v/>
      </c>
      <c r="AH117" s="891">
        <f t="shared" si="52"/>
        <v>64</v>
      </c>
      <c r="AI117" s="1220">
        <v>0.70621770620346069</v>
      </c>
      <c r="AJ117" s="1216"/>
    </row>
    <row r="118" spans="5:36">
      <c r="E118" s="299">
        <v>110</v>
      </c>
      <c r="F118" s="308">
        <f t="shared" ca="1" si="40"/>
        <v>2931.168553980056</v>
      </c>
      <c r="G118" s="307">
        <f t="shared" ca="1" si="41"/>
        <v>225.30169032246383</v>
      </c>
      <c r="H118" s="306">
        <f t="shared" ca="1" si="42"/>
        <v>0.38563856087931236</v>
      </c>
      <c r="I118" s="305">
        <f t="shared" ca="1" si="45"/>
        <v>95.692171296865183</v>
      </c>
      <c r="J118" s="305">
        <f t="shared" ca="1" si="46"/>
        <v>53.682299286836788</v>
      </c>
      <c r="K118" s="292">
        <f t="shared" ca="1" si="43"/>
        <v>3.745749487735349</v>
      </c>
      <c r="L118" s="1290">
        <f t="shared" ca="1" si="47"/>
        <v>23.376896293115422</v>
      </c>
      <c r="M118" s="299">
        <v>110</v>
      </c>
      <c r="N118" s="304">
        <f t="shared" si="48"/>
        <v>4052.8358537033841</v>
      </c>
      <c r="O118" s="303">
        <v>295.92775182958502</v>
      </c>
      <c r="P118" s="302">
        <v>0.3986195351971471</v>
      </c>
      <c r="Q118" s="301">
        <v>146.52518158753858</v>
      </c>
      <c r="R118" s="301">
        <v>60.168573684277995</v>
      </c>
      <c r="S118" s="300">
        <v>1.4412440067727399</v>
      </c>
      <c r="T118" s="891">
        <f t="shared" si="49"/>
        <v>32</v>
      </c>
      <c r="U118" s="1220">
        <v>0.81490600109100342</v>
      </c>
      <c r="W118" s="299">
        <v>110</v>
      </c>
      <c r="X118" s="298">
        <f>IF('Donor Sample'!N135="",,IF('Donor Sample'!N135="F",1,0))</f>
        <v>0</v>
      </c>
      <c r="Y118" s="298" t="str">
        <f>IF('Donor Sample'!O135="","",'Donor Sample'!O135)</f>
        <v/>
      </c>
      <c r="Z118" s="298" t="str">
        <f>IF(AND('Donor Sample'!O135="",'Donor Sample'!P135="",'Donor Sample'!Q135=""),"",IF('Donor Sample'!P135="",ROUND(AA118/($C$32+($AI118-0.5)*$C$31),0),'Donor Sample'!P135))</f>
        <v/>
      </c>
      <c r="AA118" s="297" t="str">
        <f>IF('Donor Sample'!Q135="","",'Donor Sample'!Q135)</f>
        <v/>
      </c>
      <c r="AB118" s="296" t="str">
        <f t="shared" si="44"/>
        <v/>
      </c>
      <c r="AC118" s="295" t="str">
        <f>IF('Donor Sample'!R135="","",'Donor Sample'!R135)</f>
        <v/>
      </c>
      <c r="AD118" s="294" t="str">
        <f>IF('Donor Sample'!S135="","",'Donor Sample'!S135/100)</f>
        <v/>
      </c>
      <c r="AE118" s="293" t="e">
        <f t="shared" si="50"/>
        <v>#VALUE!</v>
      </c>
      <c r="AF118" s="293" t="str">
        <f t="shared" si="51"/>
        <v/>
      </c>
      <c r="AG118" s="292" t="str">
        <f>IF('Donor Sample'!T135="","",'Donor Sample'!T135)</f>
        <v/>
      </c>
      <c r="AH118" s="891">
        <f t="shared" si="52"/>
        <v>64</v>
      </c>
      <c r="AI118" s="1220">
        <v>0.43253648281097412</v>
      </c>
      <c r="AJ118" s="1216"/>
    </row>
    <row r="119" spans="5:36">
      <c r="E119" s="299">
        <v>111</v>
      </c>
      <c r="F119" s="308">
        <f t="shared" ca="1" si="40"/>
        <v>3820.3155346460821</v>
      </c>
      <c r="G119" s="307">
        <f t="shared" ca="1" si="41"/>
        <v>226.93216239952417</v>
      </c>
      <c r="H119" s="306">
        <f t="shared" ca="1" si="42"/>
        <v>0.40620611504544762</v>
      </c>
      <c r="I119" s="305">
        <f t="shared" ca="1" si="45"/>
        <v>127.0205537574776</v>
      </c>
      <c r="J119" s="305">
        <f t="shared" ca="1" si="46"/>
        <v>66.706724076131735</v>
      </c>
      <c r="K119" s="292">
        <f t="shared" ca="1" si="43"/>
        <v>1.2339194332494312</v>
      </c>
      <c r="L119" s="1290">
        <f t="shared" ca="1" si="47"/>
        <v>20.095898770510917</v>
      </c>
      <c r="M119" s="299">
        <v>111</v>
      </c>
      <c r="N119" s="304">
        <f t="shared" si="48"/>
        <v>3355.9372006805893</v>
      </c>
      <c r="O119" s="303">
        <v>276.07101120483031</v>
      </c>
      <c r="P119" s="302">
        <v>0.39421516855983652</v>
      </c>
      <c r="Q119" s="301">
        <v>107.05467609309206</v>
      </c>
      <c r="R119" s="301">
        <v>64.518885874739524</v>
      </c>
      <c r="S119" s="300">
        <v>2.5524109180253389</v>
      </c>
      <c r="T119" s="891">
        <f t="shared" si="49"/>
        <v>2</v>
      </c>
      <c r="U119" s="1220">
        <v>0.16402775049209595</v>
      </c>
      <c r="W119" s="299">
        <v>111</v>
      </c>
      <c r="X119" s="298">
        <f>IF('Donor Sample'!N136="",,IF('Donor Sample'!N136="F",1,0))</f>
        <v>0</v>
      </c>
      <c r="Y119" s="298" t="str">
        <f>IF('Donor Sample'!O136="","",'Donor Sample'!O136)</f>
        <v/>
      </c>
      <c r="Z119" s="298" t="str">
        <f>IF(AND('Donor Sample'!O136="",'Donor Sample'!P136="",'Donor Sample'!Q136=""),"",IF('Donor Sample'!P136="",ROUND(AA119/($C$32+($AI119-0.5)*$C$31),0),'Donor Sample'!P136))</f>
        <v/>
      </c>
      <c r="AA119" s="297" t="str">
        <f>IF('Donor Sample'!Q136="","",'Donor Sample'!Q136)</f>
        <v/>
      </c>
      <c r="AB119" s="296" t="str">
        <f t="shared" si="44"/>
        <v/>
      </c>
      <c r="AC119" s="295" t="str">
        <f>IF('Donor Sample'!R136="","",'Donor Sample'!R136)</f>
        <v/>
      </c>
      <c r="AD119" s="294" t="str">
        <f>IF('Donor Sample'!S136="","",'Donor Sample'!S136/100)</f>
        <v/>
      </c>
      <c r="AE119" s="293" t="e">
        <f t="shared" si="50"/>
        <v>#VALUE!</v>
      </c>
      <c r="AF119" s="293" t="str">
        <f t="shared" si="51"/>
        <v/>
      </c>
      <c r="AG119" s="292" t="str">
        <f>IF('Donor Sample'!T136="","",'Donor Sample'!T136)</f>
        <v/>
      </c>
      <c r="AH119" s="891">
        <f t="shared" si="52"/>
        <v>256</v>
      </c>
      <c r="AI119" s="1220">
        <v>0.92881208658218384</v>
      </c>
      <c r="AJ119" s="1216"/>
    </row>
    <row r="120" spans="5:36">
      <c r="E120" s="299">
        <v>112</v>
      </c>
      <c r="F120" s="308">
        <f t="shared" ca="1" si="40"/>
        <v>4126.3023491179683</v>
      </c>
      <c r="G120" s="307">
        <f t="shared" ca="1" si="41"/>
        <v>189.92143994923936</v>
      </c>
      <c r="H120" s="306">
        <f t="shared" ca="1" si="42"/>
        <v>0.39059535929455136</v>
      </c>
      <c r="I120" s="305">
        <f t="shared" ca="1" si="45"/>
        <v>158.94264766016329</v>
      </c>
      <c r="J120" s="305">
        <f t="shared" ca="1" si="46"/>
        <v>64.409538284106276</v>
      </c>
      <c r="K120" s="292">
        <f t="shared" ca="1" si="43"/>
        <v>3.7451981053141594</v>
      </c>
      <c r="L120" s="1290">
        <f t="shared" ca="1" si="47"/>
        <v>26.9719738804984</v>
      </c>
      <c r="M120" s="299">
        <v>112</v>
      </c>
      <c r="N120" s="304">
        <f t="shared" si="48"/>
        <v>3287.3452223352897</v>
      </c>
      <c r="O120" s="303">
        <v>184.52268498161931</v>
      </c>
      <c r="P120" s="302">
        <v>0.35758771996591987</v>
      </c>
      <c r="Q120" s="301">
        <v>115.93373946087002</v>
      </c>
      <c r="R120" s="301">
        <v>61.621636190777707</v>
      </c>
      <c r="S120" s="300">
        <v>1.8290324747655733</v>
      </c>
      <c r="T120" s="891">
        <f t="shared" si="49"/>
        <v>64</v>
      </c>
      <c r="U120" s="1220">
        <v>0.49916982650756836</v>
      </c>
      <c r="W120" s="299">
        <v>112</v>
      </c>
      <c r="X120" s="298">
        <f>IF('Donor Sample'!N137="",,IF('Donor Sample'!N137="F",1,0))</f>
        <v>0</v>
      </c>
      <c r="Y120" s="298" t="str">
        <f>IF('Donor Sample'!O137="","",'Donor Sample'!O137)</f>
        <v/>
      </c>
      <c r="Z120" s="298" t="str">
        <f>IF(AND('Donor Sample'!O137="",'Donor Sample'!P137="",'Donor Sample'!Q137=""),"",IF('Donor Sample'!P137="",ROUND(AA120/($C$32+($AI120-0.5)*$C$31),0),'Donor Sample'!P137))</f>
        <v/>
      </c>
      <c r="AA120" s="297" t="str">
        <f>IF('Donor Sample'!Q137="","",'Donor Sample'!Q137)</f>
        <v/>
      </c>
      <c r="AB120" s="296" t="str">
        <f t="shared" si="44"/>
        <v/>
      </c>
      <c r="AC120" s="295" t="str">
        <f>IF('Donor Sample'!R137="","",'Donor Sample'!R137)</f>
        <v/>
      </c>
      <c r="AD120" s="294" t="str">
        <f>IF('Donor Sample'!S137="","",'Donor Sample'!S137/100)</f>
        <v/>
      </c>
      <c r="AE120" s="407" t="e">
        <f t="shared" si="50"/>
        <v>#VALUE!</v>
      </c>
      <c r="AF120" s="293" t="str">
        <f t="shared" si="51"/>
        <v/>
      </c>
      <c r="AG120" s="292" t="str">
        <f>IF('Donor Sample'!T137="","",'Donor Sample'!T137)</f>
        <v/>
      </c>
      <c r="AH120" s="891">
        <f t="shared" si="52"/>
        <v>256</v>
      </c>
      <c r="AI120" s="1220">
        <v>0.85178947448730469</v>
      </c>
      <c r="AJ120" s="1216"/>
    </row>
    <row r="121" spans="5:36">
      <c r="E121" s="299">
        <v>113</v>
      </c>
      <c r="F121" s="308">
        <f t="shared" ca="1" si="40"/>
        <v>3816.3096410029343</v>
      </c>
      <c r="G121" s="307">
        <f t="shared" ca="1" si="41"/>
        <v>244.18356433689115</v>
      </c>
      <c r="H121" s="306">
        <f t="shared" ca="1" si="42"/>
        <v>0.43492782463365187</v>
      </c>
      <c r="I121" s="305">
        <f t="shared" ca="1" si="45"/>
        <v>136.98931154034179</v>
      </c>
      <c r="J121" s="305">
        <f t="shared" ca="1" si="46"/>
        <v>58.639863079796214</v>
      </c>
      <c r="K121" s="292">
        <f t="shared" ca="1" si="43"/>
        <v>2.5859817766003621</v>
      </c>
      <c r="L121" s="1290">
        <f t="shared" ca="1" si="47"/>
        <v>28.046162566024574</v>
      </c>
      <c r="M121" s="299">
        <v>113</v>
      </c>
      <c r="N121" s="304">
        <f t="shared" si="48"/>
        <v>3787.4727371667068</v>
      </c>
      <c r="O121" s="303">
        <v>193.29540515911509</v>
      </c>
      <c r="P121" s="302">
        <v>0.42633171808729131</v>
      </c>
      <c r="Q121" s="301">
        <v>145.13556808929832</v>
      </c>
      <c r="R121" s="301">
        <v>56.153221010090171</v>
      </c>
      <c r="S121" s="300">
        <v>5.1536092734228429</v>
      </c>
      <c r="T121" s="891">
        <f t="shared" si="49"/>
        <v>2</v>
      </c>
      <c r="U121" s="1220">
        <v>3.3721625804901123E-2</v>
      </c>
      <c r="W121" s="299">
        <v>113</v>
      </c>
      <c r="X121" s="298">
        <f>IF('Donor Sample'!N138="",,IF('Donor Sample'!N138="F",1,0))</f>
        <v>0</v>
      </c>
      <c r="Y121" s="298" t="str">
        <f>IF('Donor Sample'!O138="","",'Donor Sample'!O138)</f>
        <v/>
      </c>
      <c r="Z121" s="298" t="str">
        <f>IF(AND('Donor Sample'!O138="",'Donor Sample'!P138="",'Donor Sample'!Q138=""),"",IF('Donor Sample'!P138="",ROUND(AA121/($C$32+($AI121-0.5)*$C$31),0),'Donor Sample'!P138))</f>
        <v/>
      </c>
      <c r="AA121" s="297" t="str">
        <f>IF('Donor Sample'!Q138="","",'Donor Sample'!Q138)</f>
        <v/>
      </c>
      <c r="AB121" s="296" t="str">
        <f t="shared" si="44"/>
        <v/>
      </c>
      <c r="AC121" s="295" t="str">
        <f>IF('Donor Sample'!R138="","",'Donor Sample'!R138)</f>
        <v/>
      </c>
      <c r="AD121" s="294" t="str">
        <f>IF('Donor Sample'!S138="","",'Donor Sample'!S138/100)</f>
        <v/>
      </c>
      <c r="AE121" s="293" t="e">
        <f t="shared" si="50"/>
        <v>#VALUE!</v>
      </c>
      <c r="AF121" s="293" t="str">
        <f t="shared" si="51"/>
        <v/>
      </c>
      <c r="AG121" s="292" t="str">
        <f>IF('Donor Sample'!T138="","",'Donor Sample'!T138)</f>
        <v/>
      </c>
      <c r="AH121" s="891">
        <f t="shared" si="52"/>
        <v>64</v>
      </c>
      <c r="AI121" s="1220">
        <v>0.53494471311569214</v>
      </c>
      <c r="AJ121" s="1216"/>
    </row>
    <row r="122" spans="5:36">
      <c r="E122" s="299">
        <v>114</v>
      </c>
      <c r="F122" s="308">
        <f t="shared" ca="1" si="40"/>
        <v>3790.0687692340043</v>
      </c>
      <c r="G122" s="307">
        <f t="shared" ca="1" si="41"/>
        <v>234.11684327164377</v>
      </c>
      <c r="H122" s="306">
        <f t="shared" ca="1" si="42"/>
        <v>0.45560304756673259</v>
      </c>
      <c r="I122" s="305">
        <f t="shared" ca="1" si="45"/>
        <v>128.4603632528966</v>
      </c>
      <c r="J122" s="305">
        <f t="shared" ca="1" si="46"/>
        <v>60.183567479038089</v>
      </c>
      <c r="K122" s="292">
        <f t="shared" ca="1" si="43"/>
        <v>2.7857681897669311</v>
      </c>
      <c r="L122" s="1290">
        <f t="shared" ca="1" si="47"/>
        <v>24.968126128401714</v>
      </c>
      <c r="M122" s="299">
        <v>114</v>
      </c>
      <c r="N122" s="304">
        <f t="shared" si="48"/>
        <v>3207.4057734661146</v>
      </c>
      <c r="O122" s="303">
        <v>201.32080980631872</v>
      </c>
      <c r="P122" s="302">
        <v>0.38021998114037175</v>
      </c>
      <c r="Q122" s="301">
        <v>110.53266327646405</v>
      </c>
      <c r="R122" s="301">
        <v>54.804699102741253</v>
      </c>
      <c r="S122" s="300">
        <v>7.0838719536944108</v>
      </c>
      <c r="T122" s="891">
        <f t="shared" si="49"/>
        <v>64</v>
      </c>
      <c r="U122" s="1220">
        <v>0.74763214588165283</v>
      </c>
      <c r="W122" s="299">
        <v>114</v>
      </c>
      <c r="X122" s="298">
        <f>IF('Donor Sample'!N139="",,IF('Donor Sample'!N139="F",1,0))</f>
        <v>0</v>
      </c>
      <c r="Y122" s="298" t="str">
        <f>IF('Donor Sample'!O139="","",'Donor Sample'!O139)</f>
        <v/>
      </c>
      <c r="Z122" s="298" t="str">
        <f>IF(AND('Donor Sample'!O139="",'Donor Sample'!P139="",'Donor Sample'!Q139=""),"",IF('Donor Sample'!P139="",ROUND(AA122/($C$32+($AI122-0.5)*$C$31),0),'Donor Sample'!P139))</f>
        <v/>
      </c>
      <c r="AA122" s="297" t="str">
        <f>IF('Donor Sample'!Q139="","",'Donor Sample'!Q139)</f>
        <v/>
      </c>
      <c r="AB122" s="296" t="str">
        <f t="shared" si="44"/>
        <v/>
      </c>
      <c r="AC122" s="295" t="str">
        <f>IF('Donor Sample'!R139="","",'Donor Sample'!R139)</f>
        <v/>
      </c>
      <c r="AD122" s="294" t="str">
        <f>IF('Donor Sample'!S139="","",'Donor Sample'!S139/100)</f>
        <v/>
      </c>
      <c r="AE122" s="293" t="e">
        <f t="shared" si="50"/>
        <v>#VALUE!</v>
      </c>
      <c r="AF122" s="293" t="str">
        <f t="shared" si="51"/>
        <v/>
      </c>
      <c r="AG122" s="292" t="str">
        <f>IF('Donor Sample'!T139="","",'Donor Sample'!T139)</f>
        <v/>
      </c>
      <c r="AH122" s="891">
        <f t="shared" si="52"/>
        <v>2</v>
      </c>
      <c r="AI122" s="1220">
        <v>6.6716790199279785E-2</v>
      </c>
      <c r="AJ122" s="1216"/>
    </row>
    <row r="123" spans="5:36">
      <c r="E123" s="299">
        <v>115</v>
      </c>
      <c r="F123" s="308">
        <f t="shared" ca="1" si="40"/>
        <v>3228.3785303411919</v>
      </c>
      <c r="G123" s="307">
        <f t="shared" ca="1" si="41"/>
        <v>274.03372016333083</v>
      </c>
      <c r="H123" s="306">
        <f t="shared" ca="1" si="42"/>
        <v>0.42925382789100525</v>
      </c>
      <c r="I123" s="305">
        <f t="shared" ca="1" si="45"/>
        <v>117.32796972167172</v>
      </c>
      <c r="J123" s="305">
        <f t="shared" ca="1" si="46"/>
        <v>60.395667831857239</v>
      </c>
      <c r="K123" s="292">
        <f t="shared" ca="1" si="43"/>
        <v>1.3729387787443805</v>
      </c>
      <c r="L123" s="1290">
        <f t="shared" ca="1" si="47"/>
        <v>22.644494953630765</v>
      </c>
      <c r="M123" s="299">
        <v>115</v>
      </c>
      <c r="N123" s="304">
        <f t="shared" si="48"/>
        <v>3182.0040176420816</v>
      </c>
      <c r="O123" s="303">
        <v>259.6989290438741</v>
      </c>
      <c r="P123" s="302">
        <v>0.48700971390933501</v>
      </c>
      <c r="Q123" s="301">
        <v>107.68108441692236</v>
      </c>
      <c r="R123" s="301">
        <v>61.897941648049745</v>
      </c>
      <c r="S123" s="300">
        <v>2.3566939592504488</v>
      </c>
      <c r="T123" s="891">
        <f t="shared" si="49"/>
        <v>256</v>
      </c>
      <c r="U123" s="1220">
        <v>0.84070283174514771</v>
      </c>
      <c r="W123" s="299">
        <v>115</v>
      </c>
      <c r="X123" s="298">
        <f>IF('Donor Sample'!N140="",,IF('Donor Sample'!N140="F",1,0))</f>
        <v>0</v>
      </c>
      <c r="Y123" s="298" t="str">
        <f>IF('Donor Sample'!O140="","",'Donor Sample'!O140)</f>
        <v/>
      </c>
      <c r="Z123" s="298" t="str">
        <f>IF(AND('Donor Sample'!O140="",'Donor Sample'!P140="",'Donor Sample'!Q140=""),"",IF('Donor Sample'!P140="",ROUND(AA123/($C$32+($AI123-0.5)*$C$31),0),'Donor Sample'!P140))</f>
        <v/>
      </c>
      <c r="AA123" s="297" t="str">
        <f>IF('Donor Sample'!Q140="","",'Donor Sample'!Q140)</f>
        <v/>
      </c>
      <c r="AB123" s="296" t="str">
        <f t="shared" si="44"/>
        <v/>
      </c>
      <c r="AC123" s="295" t="str">
        <f>IF('Donor Sample'!R140="","",'Donor Sample'!R140)</f>
        <v/>
      </c>
      <c r="AD123" s="294" t="str">
        <f>IF('Donor Sample'!S140="","",'Donor Sample'!S140/100)</f>
        <v/>
      </c>
      <c r="AE123" s="407" t="e">
        <f t="shared" si="50"/>
        <v>#VALUE!</v>
      </c>
      <c r="AF123" s="293" t="str">
        <f t="shared" si="51"/>
        <v/>
      </c>
      <c r="AG123" s="292" t="str">
        <f>IF('Donor Sample'!T140="","",'Donor Sample'!T140)</f>
        <v/>
      </c>
      <c r="AH123" s="891">
        <f t="shared" si="52"/>
        <v>256</v>
      </c>
      <c r="AI123" s="1220">
        <v>0.91518718004226685</v>
      </c>
      <c r="AJ123" s="1216"/>
    </row>
    <row r="124" spans="5:36">
      <c r="E124" s="299">
        <v>116</v>
      </c>
      <c r="F124" s="308">
        <f t="shared" ca="1" si="40"/>
        <v>2812.7009629754721</v>
      </c>
      <c r="G124" s="307">
        <f t="shared" ca="1" si="41"/>
        <v>199.2255932540769</v>
      </c>
      <c r="H124" s="306">
        <f t="shared" ca="1" si="42"/>
        <v>0.42518852311852467</v>
      </c>
      <c r="I124" s="305">
        <f t="shared" ca="1" si="45"/>
        <v>97.914987388971184</v>
      </c>
      <c r="J124" s="305">
        <f t="shared" ca="1" si="46"/>
        <v>50.605677322117046</v>
      </c>
      <c r="K124" s="292">
        <f t="shared" ca="1" si="43"/>
        <v>1.7270250846759072</v>
      </c>
      <c r="L124" s="1290">
        <f t="shared" ca="1" si="47"/>
        <v>26.916795038313325</v>
      </c>
      <c r="M124" s="299">
        <v>116</v>
      </c>
      <c r="N124" s="304">
        <f t="shared" si="48"/>
        <v>2824.050454562208</v>
      </c>
      <c r="O124" s="303">
        <v>236.37334310340904</v>
      </c>
      <c r="P124" s="302">
        <v>0.38571171178412078</v>
      </c>
      <c r="Q124" s="301">
        <v>111.4313024745225</v>
      </c>
      <c r="R124" s="301">
        <v>46.207878200117513</v>
      </c>
      <c r="S124" s="300">
        <v>8.5651521787584706</v>
      </c>
      <c r="T124" s="891">
        <f t="shared" si="49"/>
        <v>2</v>
      </c>
      <c r="U124" s="1220">
        <v>0.29458403587341309</v>
      </c>
      <c r="W124" s="299">
        <v>116</v>
      </c>
      <c r="X124" s="298">
        <f>IF('Donor Sample'!N141="",,IF('Donor Sample'!N141="F",1,0))</f>
        <v>0</v>
      </c>
      <c r="Y124" s="298" t="str">
        <f>IF('Donor Sample'!O141="","",'Donor Sample'!O141)</f>
        <v/>
      </c>
      <c r="Z124" s="298" t="str">
        <f>IF(AND('Donor Sample'!O141="",'Donor Sample'!P141="",'Donor Sample'!Q141=""),"",IF('Donor Sample'!P141="",ROUND(AA124/($C$32+($AI124-0.5)*$C$31),0),'Donor Sample'!P141))</f>
        <v/>
      </c>
      <c r="AA124" s="297" t="str">
        <f>IF('Donor Sample'!Q141="","",'Donor Sample'!Q141)</f>
        <v/>
      </c>
      <c r="AB124" s="296" t="str">
        <f t="shared" si="44"/>
        <v/>
      </c>
      <c r="AC124" s="295" t="str">
        <f>IF('Donor Sample'!R141="","",'Donor Sample'!R141)</f>
        <v/>
      </c>
      <c r="AD124" s="294" t="str">
        <f>IF('Donor Sample'!S141="","",'Donor Sample'!S141/100)</f>
        <v/>
      </c>
      <c r="AE124" s="293" t="e">
        <f t="shared" si="50"/>
        <v>#VALUE!</v>
      </c>
      <c r="AF124" s="293" t="str">
        <f t="shared" si="51"/>
        <v/>
      </c>
      <c r="AG124" s="292" t="str">
        <f>IF('Donor Sample'!T141="","",'Donor Sample'!T141)</f>
        <v/>
      </c>
      <c r="AH124" s="891">
        <f t="shared" si="52"/>
        <v>64</v>
      </c>
      <c r="AI124" s="1220">
        <v>0.47591614723205566</v>
      </c>
      <c r="AJ124" s="1216"/>
    </row>
    <row r="125" spans="5:36">
      <c r="E125" s="299">
        <v>117</v>
      </c>
      <c r="F125" s="308">
        <f t="shared" ca="1" si="40"/>
        <v>3193.926074220346</v>
      </c>
      <c r="G125" s="307">
        <f t="shared" ca="1" si="41"/>
        <v>223.12205805968924</v>
      </c>
      <c r="H125" s="306">
        <f t="shared" ca="1" si="42"/>
        <v>0.36627315563961121</v>
      </c>
      <c r="I125" s="305">
        <f t="shared" ca="1" si="45"/>
        <v>113.28691142121153</v>
      </c>
      <c r="J125" s="305">
        <f t="shared" ca="1" si="46"/>
        <v>53.7950820268127</v>
      </c>
      <c r="K125" s="292">
        <f t="shared" ca="1" si="43"/>
        <v>3.6936392375254341</v>
      </c>
      <c r="L125" s="1290">
        <f t="shared" ca="1" si="47"/>
        <v>27.559240683952101</v>
      </c>
      <c r="M125" s="299">
        <v>117</v>
      </c>
      <c r="N125" s="304">
        <f t="shared" si="48"/>
        <v>3094.7050073082819</v>
      </c>
      <c r="O125" s="303">
        <v>217.43867640088112</v>
      </c>
      <c r="P125" s="302">
        <v>0.46205698124286526</v>
      </c>
      <c r="Q125" s="301">
        <v>96.626295545782739</v>
      </c>
      <c r="R125" s="301">
        <v>56.423892817670549</v>
      </c>
      <c r="S125" s="300">
        <v>1.6992510851448834</v>
      </c>
      <c r="T125" s="891">
        <f t="shared" si="49"/>
        <v>4</v>
      </c>
      <c r="U125" s="1220">
        <v>0.42116063833236694</v>
      </c>
      <c r="W125" s="299">
        <v>117</v>
      </c>
      <c r="X125" s="298">
        <f>IF('Donor Sample'!N142="",,IF('Donor Sample'!N142="F",1,0))</f>
        <v>0</v>
      </c>
      <c r="Y125" s="298" t="str">
        <f>IF('Donor Sample'!O142="","",'Donor Sample'!O142)</f>
        <v/>
      </c>
      <c r="Z125" s="298" t="str">
        <f>IF(AND('Donor Sample'!O142="",'Donor Sample'!P142="",'Donor Sample'!Q142=""),"",IF('Donor Sample'!P142="",ROUND(AA125/($C$32+($AI125-0.5)*$C$31),0),'Donor Sample'!P142))</f>
        <v/>
      </c>
      <c r="AA125" s="297" t="str">
        <f>IF('Donor Sample'!Q142="","",'Donor Sample'!Q142)</f>
        <v/>
      </c>
      <c r="AB125" s="296" t="str">
        <f t="shared" si="44"/>
        <v/>
      </c>
      <c r="AC125" s="295" t="str">
        <f>IF('Donor Sample'!R142="","",'Donor Sample'!R142)</f>
        <v/>
      </c>
      <c r="AD125" s="294" t="str">
        <f>IF('Donor Sample'!S142="","",'Donor Sample'!S142/100)</f>
        <v/>
      </c>
      <c r="AE125" s="293" t="e">
        <f t="shared" si="50"/>
        <v>#VALUE!</v>
      </c>
      <c r="AF125" s="293" t="str">
        <f t="shared" si="51"/>
        <v/>
      </c>
      <c r="AG125" s="292" t="str">
        <f>IF('Donor Sample'!T142="","",'Donor Sample'!T142)</f>
        <v/>
      </c>
      <c r="AH125" s="891">
        <f t="shared" si="52"/>
        <v>2</v>
      </c>
      <c r="AI125" s="1220">
        <v>0.16280883550643921</v>
      </c>
      <c r="AJ125" s="1216"/>
    </row>
    <row r="126" spans="5:36">
      <c r="E126" s="299">
        <v>118</v>
      </c>
      <c r="F126" s="308">
        <f t="shared" ca="1" si="40"/>
        <v>2914.0523537800082</v>
      </c>
      <c r="G126" s="307">
        <f t="shared" ca="1" si="41"/>
        <v>227.60634792280445</v>
      </c>
      <c r="H126" s="306">
        <f t="shared" ca="1" si="42"/>
        <v>0.4141047460903976</v>
      </c>
      <c r="I126" s="305">
        <f t="shared" ca="1" si="45"/>
        <v>102.38764861644627</v>
      </c>
      <c r="J126" s="305">
        <f t="shared" ca="1" si="46"/>
        <v>58.94827919352295</v>
      </c>
      <c r="K126" s="292">
        <f t="shared" ca="1" si="43"/>
        <v>1.5141376391657291</v>
      </c>
      <c r="L126" s="1290">
        <f t="shared" ca="1" si="47"/>
        <v>20.743305565908287</v>
      </c>
      <c r="M126" s="299">
        <v>118</v>
      </c>
      <c r="N126" s="304">
        <f t="shared" si="48"/>
        <v>3277.4380960671488</v>
      </c>
      <c r="O126" s="303">
        <v>180.25867068234058</v>
      </c>
      <c r="P126" s="302">
        <v>0.45844164663180714</v>
      </c>
      <c r="Q126" s="301">
        <v>135.64808051781472</v>
      </c>
      <c r="R126" s="301">
        <v>56.63040467544544</v>
      </c>
      <c r="S126" s="300">
        <v>2.5895102528889367</v>
      </c>
      <c r="T126" s="891">
        <f t="shared" si="49"/>
        <v>64</v>
      </c>
      <c r="U126" s="1220">
        <v>0.51427018642425537</v>
      </c>
      <c r="W126" s="299">
        <v>118</v>
      </c>
      <c r="X126" s="298">
        <f>IF('Donor Sample'!N143="",,IF('Donor Sample'!N143="F",1,0))</f>
        <v>0</v>
      </c>
      <c r="Y126" s="298" t="str">
        <f>IF('Donor Sample'!O143="","",'Donor Sample'!O143)</f>
        <v/>
      </c>
      <c r="Z126" s="298" t="str">
        <f>IF(AND('Donor Sample'!O143="",'Donor Sample'!P143="",'Donor Sample'!Q143=""),"",IF('Donor Sample'!P143="",ROUND(AA126/($C$32+($AI126-0.5)*$C$31),0),'Donor Sample'!P143))</f>
        <v/>
      </c>
      <c r="AA126" s="297" t="str">
        <f>IF('Donor Sample'!Q143="","",'Donor Sample'!Q143)</f>
        <v/>
      </c>
      <c r="AB126" s="296" t="str">
        <f t="shared" si="44"/>
        <v/>
      </c>
      <c r="AC126" s="295" t="str">
        <f>IF('Donor Sample'!R143="","",'Donor Sample'!R143)</f>
        <v/>
      </c>
      <c r="AD126" s="294" t="str">
        <f>IF('Donor Sample'!S143="","",'Donor Sample'!S143/100)</f>
        <v/>
      </c>
      <c r="AE126" s="407" t="e">
        <f t="shared" si="50"/>
        <v>#VALUE!</v>
      </c>
      <c r="AF126" s="293" t="str">
        <f t="shared" si="51"/>
        <v/>
      </c>
      <c r="AG126" s="292" t="str">
        <f>IF('Donor Sample'!T143="","",'Donor Sample'!T143)</f>
        <v/>
      </c>
      <c r="AH126" s="891">
        <f t="shared" si="52"/>
        <v>128</v>
      </c>
      <c r="AI126" s="1220">
        <v>0.93239200115203857</v>
      </c>
      <c r="AJ126" s="1216"/>
    </row>
    <row r="127" spans="5:36">
      <c r="E127" s="299">
        <v>119</v>
      </c>
      <c r="F127" s="308">
        <f t="shared" ca="1" si="40"/>
        <v>3815.3621087001488</v>
      </c>
      <c r="G127" s="307">
        <f t="shared" ca="1" si="41"/>
        <v>227.66145959035234</v>
      </c>
      <c r="H127" s="306">
        <f t="shared" ca="1" si="42"/>
        <v>0.39465128851637687</v>
      </c>
      <c r="I127" s="305">
        <f t="shared" ca="1" si="45"/>
        <v>123.62451310781414</v>
      </c>
      <c r="J127" s="305">
        <f t="shared" ca="1" si="46"/>
        <v>61.617089429571472</v>
      </c>
      <c r="K127" s="292">
        <f t="shared" ca="1" si="43"/>
        <v>1.5566353342506738</v>
      </c>
      <c r="L127" s="1290">
        <f t="shared" ca="1" si="47"/>
        <v>22.923181517904045</v>
      </c>
      <c r="M127" s="299">
        <v>119</v>
      </c>
      <c r="N127" s="304">
        <f t="shared" si="48"/>
        <v>2583.3695834113987</v>
      </c>
      <c r="O127" s="303">
        <v>249.71815613716734</v>
      </c>
      <c r="P127" s="302">
        <v>0.50921094369616293</v>
      </c>
      <c r="Q127" s="301">
        <v>90.826184531045755</v>
      </c>
      <c r="R127" s="301">
        <v>47.719898432601425</v>
      </c>
      <c r="S127" s="300">
        <v>1.8867646328595424</v>
      </c>
      <c r="T127" s="891">
        <f t="shared" si="49"/>
        <v>2</v>
      </c>
      <c r="U127" s="1220">
        <v>3.9234757423400879E-3</v>
      </c>
      <c r="W127" s="299">
        <v>119</v>
      </c>
      <c r="X127" s="298">
        <f>IF('Donor Sample'!N144="",,IF('Donor Sample'!N144="F",1,0))</f>
        <v>0</v>
      </c>
      <c r="Y127" s="298" t="str">
        <f>IF('Donor Sample'!O144="","",'Donor Sample'!O144)</f>
        <v/>
      </c>
      <c r="Z127" s="298" t="str">
        <f>IF(AND('Donor Sample'!O144="",'Donor Sample'!P144="",'Donor Sample'!Q144=""),"",IF('Donor Sample'!P144="",ROUND(AA127/($C$32+($AI127-0.5)*$C$31),0),'Donor Sample'!P144))</f>
        <v/>
      </c>
      <c r="AA127" s="297" t="str">
        <f>IF('Donor Sample'!Q144="","",'Donor Sample'!Q144)</f>
        <v/>
      </c>
      <c r="AB127" s="296" t="str">
        <f t="shared" si="44"/>
        <v/>
      </c>
      <c r="AC127" s="295" t="str">
        <f>IF('Donor Sample'!R144="","",'Donor Sample'!R144)</f>
        <v/>
      </c>
      <c r="AD127" s="294" t="str">
        <f>IF('Donor Sample'!S144="","",'Donor Sample'!S144/100)</f>
        <v/>
      </c>
      <c r="AE127" s="293" t="e">
        <f t="shared" si="50"/>
        <v>#VALUE!</v>
      </c>
      <c r="AF127" s="293" t="str">
        <f t="shared" si="51"/>
        <v/>
      </c>
      <c r="AG127" s="292" t="str">
        <f>IF('Donor Sample'!T144="","",'Donor Sample'!T144)</f>
        <v/>
      </c>
      <c r="AH127" s="891">
        <f t="shared" si="52"/>
        <v>2</v>
      </c>
      <c r="AI127" s="1220">
        <v>0.32035881280899048</v>
      </c>
      <c r="AJ127" s="1216"/>
    </row>
    <row r="128" spans="5:36">
      <c r="E128" s="299">
        <v>120</v>
      </c>
      <c r="F128" s="308">
        <f t="shared" ca="1" si="40"/>
        <v>3082.0198131138204</v>
      </c>
      <c r="G128" s="307">
        <f t="shared" ca="1" si="41"/>
        <v>217.90371207905437</v>
      </c>
      <c r="H128" s="306">
        <f t="shared" ca="1" si="42"/>
        <v>0.46845555108086678</v>
      </c>
      <c r="I128" s="305">
        <f t="shared" ca="1" si="45"/>
        <v>118.73784604100366</v>
      </c>
      <c r="J128" s="305">
        <f t="shared" ca="1" si="46"/>
        <v>49.843093415734614</v>
      </c>
      <c r="K128" s="292">
        <f t="shared" ca="1" si="43"/>
        <v>1.7524644334179533</v>
      </c>
      <c r="L128" s="1290">
        <f t="shared" ca="1" si="47"/>
        <v>33.64742619821498</v>
      </c>
      <c r="M128" s="299">
        <v>120</v>
      </c>
      <c r="N128" s="304">
        <f t="shared" si="48"/>
        <v>3589.8447115024946</v>
      </c>
      <c r="O128" s="303">
        <v>268.48434131356009</v>
      </c>
      <c r="P128" s="302">
        <v>0.37971429726776074</v>
      </c>
      <c r="Q128" s="301">
        <v>130.72940281022034</v>
      </c>
      <c r="R128" s="301">
        <v>56.375686510933832</v>
      </c>
      <c r="S128" s="300">
        <v>1.6161978781831932</v>
      </c>
      <c r="T128" s="891">
        <f t="shared" si="49"/>
        <v>64</v>
      </c>
      <c r="U128" s="1220">
        <v>0.66551780700683594</v>
      </c>
      <c r="W128" s="299">
        <v>120</v>
      </c>
      <c r="X128" s="298">
        <f>IF('Donor Sample'!N145="",,IF('Donor Sample'!N145="F",1,0))</f>
        <v>0</v>
      </c>
      <c r="Y128" s="298" t="str">
        <f>IF('Donor Sample'!O145="","",'Donor Sample'!O145)</f>
        <v/>
      </c>
      <c r="Z128" s="298" t="str">
        <f>IF(AND('Donor Sample'!O145="",'Donor Sample'!P145="",'Donor Sample'!Q145=""),"",IF('Donor Sample'!P145="",ROUND(AA128/($C$32+($AI128-0.5)*$C$31),0),'Donor Sample'!P145))</f>
        <v/>
      </c>
      <c r="AA128" s="297" t="str">
        <f>IF('Donor Sample'!Q145="","",'Donor Sample'!Q145)</f>
        <v/>
      </c>
      <c r="AB128" s="296" t="str">
        <f t="shared" si="44"/>
        <v/>
      </c>
      <c r="AC128" s="295" t="str">
        <f>IF('Donor Sample'!R145="","",'Donor Sample'!R145)</f>
        <v/>
      </c>
      <c r="AD128" s="294" t="str">
        <f>IF('Donor Sample'!S145="","",'Donor Sample'!S145/100)</f>
        <v/>
      </c>
      <c r="AE128" s="293" t="e">
        <f t="shared" si="50"/>
        <v>#VALUE!</v>
      </c>
      <c r="AF128" s="293" t="str">
        <f t="shared" si="51"/>
        <v/>
      </c>
      <c r="AG128" s="292" t="str">
        <f>IF('Donor Sample'!T145="","",'Donor Sample'!T145)</f>
        <v/>
      </c>
      <c r="AH128" s="891">
        <f t="shared" si="52"/>
        <v>64</v>
      </c>
      <c r="AI128" s="1220">
        <v>0.50380945205688477</v>
      </c>
      <c r="AJ128" s="1216"/>
    </row>
    <row r="129" spans="5:36">
      <c r="E129" s="299">
        <v>121</v>
      </c>
      <c r="F129" s="308">
        <f t="shared" ca="1" si="40"/>
        <v>3421.3762932559612</v>
      </c>
      <c r="G129" s="307">
        <f t="shared" ca="1" si="41"/>
        <v>222.0867934132221</v>
      </c>
      <c r="H129" s="306">
        <f t="shared" ca="1" si="42"/>
        <v>0.39394451780374473</v>
      </c>
      <c r="I129" s="305">
        <f t="shared" ca="1" si="45"/>
        <v>140.61763255643729</v>
      </c>
      <c r="J129" s="305">
        <f t="shared" ca="1" si="46"/>
        <v>50.283570746705728</v>
      </c>
      <c r="K129" s="292">
        <f t="shared" ca="1" si="43"/>
        <v>5.0066683777384799</v>
      </c>
      <c r="L129" s="1290">
        <f t="shared" ca="1" si="47"/>
        <v>39.152565102831218</v>
      </c>
      <c r="M129" s="299">
        <v>121</v>
      </c>
      <c r="N129" s="304">
        <f t="shared" si="48"/>
        <v>3713.4414266787362</v>
      </c>
      <c r="O129" s="303">
        <v>245.41098139534273</v>
      </c>
      <c r="P129" s="302">
        <v>0.42219415905512375</v>
      </c>
      <c r="Q129" s="301">
        <v>121.35414491555892</v>
      </c>
      <c r="R129" s="301">
        <v>60.595927459941613</v>
      </c>
      <c r="S129" s="300">
        <v>4.1608917305835664</v>
      </c>
      <c r="T129" s="891">
        <f t="shared" si="49"/>
        <v>16</v>
      </c>
      <c r="U129" s="1220">
        <v>0.97657221555709839</v>
      </c>
      <c r="W129" s="299">
        <v>121</v>
      </c>
      <c r="X129" s="298">
        <f>IF('Donor Sample'!N146="",,IF('Donor Sample'!N146="F",1,0))</f>
        <v>0</v>
      </c>
      <c r="Y129" s="298" t="str">
        <f>IF('Donor Sample'!O146="","",'Donor Sample'!O146)</f>
        <v/>
      </c>
      <c r="Z129" s="298" t="str">
        <f>IF(AND('Donor Sample'!O146="",'Donor Sample'!P146="",'Donor Sample'!Q146=""),"",IF('Donor Sample'!P146="",ROUND(AA129/($C$32+($AI129-0.5)*$C$31),0),'Donor Sample'!P146))</f>
        <v/>
      </c>
      <c r="AA129" s="297" t="str">
        <f>IF('Donor Sample'!Q146="","",'Donor Sample'!Q146)</f>
        <v/>
      </c>
      <c r="AB129" s="296" t="str">
        <f t="shared" si="44"/>
        <v/>
      </c>
      <c r="AC129" s="295" t="str">
        <f>IF('Donor Sample'!R146="","",'Donor Sample'!R146)</f>
        <v/>
      </c>
      <c r="AD129" s="294" t="str">
        <f>IF('Donor Sample'!S146="","",'Donor Sample'!S146/100)</f>
        <v/>
      </c>
      <c r="AE129" s="407" t="e">
        <f t="shared" si="50"/>
        <v>#VALUE!</v>
      </c>
      <c r="AF129" s="293" t="str">
        <f t="shared" si="51"/>
        <v/>
      </c>
      <c r="AG129" s="292" t="str">
        <f>IF('Donor Sample'!T146="","",'Donor Sample'!T146)</f>
        <v/>
      </c>
      <c r="AH129" s="891">
        <f t="shared" si="52"/>
        <v>64</v>
      </c>
      <c r="AI129" s="1220">
        <v>0.5989043116569519</v>
      </c>
      <c r="AJ129" s="1216"/>
    </row>
    <row r="130" spans="5:36">
      <c r="E130" s="299">
        <v>122</v>
      </c>
      <c r="F130" s="308">
        <f t="shared" ca="1" si="40"/>
        <v>3066.9751233949014</v>
      </c>
      <c r="G130" s="307">
        <f t="shared" ca="1" si="41"/>
        <v>219.98732782405443</v>
      </c>
      <c r="H130" s="306">
        <f t="shared" ca="1" si="42"/>
        <v>0.38489156661155832</v>
      </c>
      <c r="I130" s="305">
        <f t="shared" ca="1" si="45"/>
        <v>116.14264920418972</v>
      </c>
      <c r="J130" s="305">
        <f t="shared" ca="1" si="46"/>
        <v>50.347817585207892</v>
      </c>
      <c r="K130" s="292">
        <f t="shared" ca="1" si="43"/>
        <v>1.80116215774984</v>
      </c>
      <c r="L130" s="1290">
        <f t="shared" ca="1" si="47"/>
        <v>32.255448657524205</v>
      </c>
      <c r="M130" s="299">
        <v>122</v>
      </c>
      <c r="N130" s="304">
        <f t="shared" si="48"/>
        <v>2863.5153768518144</v>
      </c>
      <c r="O130" s="303">
        <v>243.07700399018043</v>
      </c>
      <c r="P130" s="302">
        <v>0.41376675003885999</v>
      </c>
      <c r="Q130" s="301">
        <v>100.97413237448828</v>
      </c>
      <c r="R130" s="301">
        <v>50.73849638285138</v>
      </c>
      <c r="S130" s="300">
        <v>1.285160169607737</v>
      </c>
      <c r="T130" s="891">
        <f t="shared" si="49"/>
        <v>2</v>
      </c>
      <c r="U130" s="1220">
        <v>9.3396782875061035E-2</v>
      </c>
      <c r="W130" s="299">
        <v>122</v>
      </c>
      <c r="X130" s="298">
        <f>IF('Donor Sample'!N147="",,IF('Donor Sample'!N147="F",1,0))</f>
        <v>0</v>
      </c>
      <c r="Y130" s="298" t="str">
        <f>IF('Donor Sample'!O147="","",'Donor Sample'!O147)</f>
        <v/>
      </c>
      <c r="Z130" s="298" t="str">
        <f>IF(AND('Donor Sample'!O147="",'Donor Sample'!P147="",'Donor Sample'!Q147=""),"",IF('Donor Sample'!P147="",ROUND(AA130/($C$32+($AI130-0.5)*$C$31),0),'Donor Sample'!P147))</f>
        <v/>
      </c>
      <c r="AA130" s="297" t="str">
        <f>IF('Donor Sample'!Q147="","",'Donor Sample'!Q147)</f>
        <v/>
      </c>
      <c r="AB130" s="296" t="str">
        <f t="shared" si="44"/>
        <v/>
      </c>
      <c r="AC130" s="295" t="str">
        <f>IF('Donor Sample'!R147="","",'Donor Sample'!R147)</f>
        <v/>
      </c>
      <c r="AD130" s="294" t="str">
        <f>IF('Donor Sample'!S147="","",'Donor Sample'!S147/100)</f>
        <v/>
      </c>
      <c r="AE130" s="293" t="e">
        <f t="shared" si="50"/>
        <v>#VALUE!</v>
      </c>
      <c r="AF130" s="293" t="str">
        <f t="shared" si="51"/>
        <v/>
      </c>
      <c r="AG130" s="292" t="str">
        <f>IF('Donor Sample'!T147="","",'Donor Sample'!T147)</f>
        <v/>
      </c>
      <c r="AH130" s="891">
        <f t="shared" si="52"/>
        <v>2</v>
      </c>
      <c r="AI130" s="1220">
        <v>0.31477940082550049</v>
      </c>
      <c r="AJ130" s="1216"/>
    </row>
    <row r="131" spans="5:36">
      <c r="E131" s="299">
        <v>123</v>
      </c>
      <c r="F131" s="308">
        <f t="shared" ca="1" si="40"/>
        <v>2939.6362948214519</v>
      </c>
      <c r="G131" s="307">
        <f t="shared" ca="1" si="41"/>
        <v>250.82609783831509</v>
      </c>
      <c r="H131" s="306">
        <f t="shared" ca="1" si="42"/>
        <v>0.35318849854789569</v>
      </c>
      <c r="I131" s="305">
        <f t="shared" ca="1" si="45"/>
        <v>100.44795403268341</v>
      </c>
      <c r="J131" s="305">
        <f t="shared" ca="1" si="46"/>
        <v>52.482714249953879</v>
      </c>
      <c r="K131" s="292">
        <f t="shared" ca="1" si="43"/>
        <v>1.892268385022452</v>
      </c>
      <c r="L131" s="1290">
        <f t="shared" ca="1" si="47"/>
        <v>25.673269496033971</v>
      </c>
      <c r="M131" s="299">
        <v>123</v>
      </c>
      <c r="N131" s="304">
        <f t="shared" si="48"/>
        <v>4332.0397669831127</v>
      </c>
      <c r="O131" s="303">
        <v>175.17905588942145</v>
      </c>
      <c r="P131" s="302">
        <v>0.41145857029860955</v>
      </c>
      <c r="Q131" s="301">
        <v>154.35876154317469</v>
      </c>
      <c r="R131" s="301">
        <v>62.593941298189684</v>
      </c>
      <c r="S131" s="300">
        <v>1.3517526891124534</v>
      </c>
      <c r="T131" s="891">
        <f t="shared" si="49"/>
        <v>32</v>
      </c>
      <c r="U131" s="1220">
        <v>0.7804597020149231</v>
      </c>
      <c r="W131" s="299">
        <v>123</v>
      </c>
      <c r="X131" s="298">
        <f>IF('Donor Sample'!N148="",,IF('Donor Sample'!N148="F",1,0))</f>
        <v>0</v>
      </c>
      <c r="Y131" s="298" t="str">
        <f>IF('Donor Sample'!O148="","",'Donor Sample'!O148)</f>
        <v/>
      </c>
      <c r="Z131" s="298" t="str">
        <f>IF(AND('Donor Sample'!O148="",'Donor Sample'!P148="",'Donor Sample'!Q148=""),"",IF('Donor Sample'!P148="",ROUND(AA131/($C$32+($AI131-0.5)*$C$31),0),'Donor Sample'!P148))</f>
        <v/>
      </c>
      <c r="AA131" s="297" t="str">
        <f>IF('Donor Sample'!Q148="","",'Donor Sample'!Q148)</f>
        <v/>
      </c>
      <c r="AB131" s="296" t="str">
        <f t="shared" si="44"/>
        <v/>
      </c>
      <c r="AC131" s="295" t="str">
        <f>IF('Donor Sample'!R148="","",'Donor Sample'!R148)</f>
        <v/>
      </c>
      <c r="AD131" s="294" t="str">
        <f>IF('Donor Sample'!S148="","",'Donor Sample'!S148/100)</f>
        <v/>
      </c>
      <c r="AE131" s="293" t="e">
        <f t="shared" si="50"/>
        <v>#VALUE!</v>
      </c>
      <c r="AF131" s="293" t="str">
        <f t="shared" si="51"/>
        <v/>
      </c>
      <c r="AG131" s="292" t="str">
        <f>IF('Donor Sample'!T148="","",'Donor Sample'!T148)</f>
        <v/>
      </c>
      <c r="AH131" s="891">
        <f t="shared" si="52"/>
        <v>2</v>
      </c>
      <c r="AI131" s="1220">
        <v>0.35117512941360474</v>
      </c>
      <c r="AJ131" s="1216"/>
    </row>
    <row r="132" spans="5:36">
      <c r="E132" s="299">
        <v>124</v>
      </c>
      <c r="F132" s="308">
        <f t="shared" ca="1" si="40"/>
        <v>2852.9233905387714</v>
      </c>
      <c r="G132" s="307">
        <f t="shared" ca="1" si="41"/>
        <v>239.06530822152095</v>
      </c>
      <c r="H132" s="306">
        <f t="shared" ca="1" si="42"/>
        <v>0.48992998593715809</v>
      </c>
      <c r="I132" s="305">
        <f t="shared" ca="1" si="45"/>
        <v>107.06026101696766</v>
      </c>
      <c r="J132" s="305">
        <f t="shared" ca="1" si="46"/>
        <v>48.499288624092742</v>
      </c>
      <c r="K132" s="292">
        <f t="shared" ca="1" si="43"/>
        <v>1.7662624969177798</v>
      </c>
      <c r="L132" s="1290">
        <f t="shared" ca="1" si="47"/>
        <v>32.04278235845544</v>
      </c>
      <c r="M132" s="299">
        <v>124</v>
      </c>
      <c r="N132" s="304">
        <f t="shared" si="48"/>
        <v>3359.1545467840365</v>
      </c>
      <c r="O132" s="303">
        <v>204.2849678183677</v>
      </c>
      <c r="P132" s="302">
        <v>0.45202677731942187</v>
      </c>
      <c r="Q132" s="301">
        <v>118.44963566912152</v>
      </c>
      <c r="R132" s="301">
        <v>55.464249920847202</v>
      </c>
      <c r="S132" s="300">
        <v>1.288084576339209</v>
      </c>
      <c r="T132" s="891">
        <f t="shared" si="49"/>
        <v>2</v>
      </c>
      <c r="U132" s="1220">
        <v>4.4161081314086914E-2</v>
      </c>
      <c r="W132" s="299">
        <v>124</v>
      </c>
      <c r="X132" s="298">
        <f>IF('Donor Sample'!N149="",,IF('Donor Sample'!N149="F",1,0))</f>
        <v>0</v>
      </c>
      <c r="Y132" s="298" t="str">
        <f>IF('Donor Sample'!O149="","",'Donor Sample'!O149)</f>
        <v/>
      </c>
      <c r="Z132" s="298" t="str">
        <f>IF(AND('Donor Sample'!O149="",'Donor Sample'!P149="",'Donor Sample'!Q149=""),"",IF('Donor Sample'!P149="",ROUND(AA132/($C$32+($AI132-0.5)*$C$31),0),'Donor Sample'!P149))</f>
        <v/>
      </c>
      <c r="AA132" s="297" t="str">
        <f>IF('Donor Sample'!Q149="","",'Donor Sample'!Q149)</f>
        <v/>
      </c>
      <c r="AB132" s="296" t="str">
        <f t="shared" si="44"/>
        <v/>
      </c>
      <c r="AC132" s="295" t="str">
        <f>IF('Donor Sample'!R149="","",'Donor Sample'!R149)</f>
        <v/>
      </c>
      <c r="AD132" s="294" t="str">
        <f>IF('Donor Sample'!S149="","",'Donor Sample'!S149/100)</f>
        <v/>
      </c>
      <c r="AE132" s="407" t="e">
        <f t="shared" si="50"/>
        <v>#VALUE!</v>
      </c>
      <c r="AF132" s="293" t="str">
        <f t="shared" si="51"/>
        <v/>
      </c>
      <c r="AG132" s="292" t="str">
        <f>IF('Donor Sample'!T149="","",'Donor Sample'!T149)</f>
        <v/>
      </c>
      <c r="AH132" s="891">
        <f t="shared" si="52"/>
        <v>2</v>
      </c>
      <c r="AI132" s="1220">
        <v>0.12742495536804199</v>
      </c>
      <c r="AJ132" s="1216"/>
    </row>
    <row r="133" spans="5:36">
      <c r="E133" s="299">
        <v>125</v>
      </c>
      <c r="F133" s="308">
        <f t="shared" ca="1" si="40"/>
        <v>3493.436686115439</v>
      </c>
      <c r="G133" s="307">
        <f t="shared" ca="1" si="41"/>
        <v>191.04336340264348</v>
      </c>
      <c r="H133" s="306">
        <f t="shared" ca="1" si="42"/>
        <v>0.43013691292218753</v>
      </c>
      <c r="I133" s="305">
        <f t="shared" ca="1" si="45"/>
        <v>114.00227166900413</v>
      </c>
      <c r="J133" s="305">
        <f t="shared" ca="1" si="46"/>
        <v>64.972482920722726</v>
      </c>
      <c r="K133" s="292">
        <f t="shared" ca="1" si="43"/>
        <v>1.68064520306707</v>
      </c>
      <c r="L133" s="1290">
        <f t="shared" ca="1" si="47"/>
        <v>19.011975120181308</v>
      </c>
      <c r="M133" s="299">
        <v>125</v>
      </c>
      <c r="N133" s="304">
        <f t="shared" si="48"/>
        <v>2539.8886765014677</v>
      </c>
      <c r="O133" s="303">
        <v>193.14313988550506</v>
      </c>
      <c r="P133" s="302">
        <v>0.46045033480593567</v>
      </c>
      <c r="Q133" s="301">
        <v>95.006601922472754</v>
      </c>
      <c r="R133" s="301">
        <v>54.253239278535588</v>
      </c>
      <c r="S133" s="300">
        <v>2.52719219673655</v>
      </c>
      <c r="T133" s="891">
        <f t="shared" si="49"/>
        <v>16</v>
      </c>
      <c r="U133" s="1220">
        <v>0.96588653326034546</v>
      </c>
      <c r="W133" s="299">
        <v>125</v>
      </c>
      <c r="X133" s="298">
        <f>IF('Donor Sample'!N150="",,IF('Donor Sample'!N150="F",1,0))</f>
        <v>0</v>
      </c>
      <c r="Y133" s="298" t="str">
        <f>IF('Donor Sample'!O150="","",'Donor Sample'!O150)</f>
        <v/>
      </c>
      <c r="Z133" s="298" t="str">
        <f>IF(AND('Donor Sample'!O150="",'Donor Sample'!P150="",'Donor Sample'!Q150=""),"",IF('Donor Sample'!P150="",ROUND(AA133/($C$32+($AI133-0.5)*$C$31),0),'Donor Sample'!P150))</f>
        <v/>
      </c>
      <c r="AA133" s="297" t="str">
        <f>IF('Donor Sample'!Q150="","",'Donor Sample'!Q150)</f>
        <v/>
      </c>
      <c r="AB133" s="296" t="str">
        <f t="shared" si="44"/>
        <v/>
      </c>
      <c r="AC133" s="295" t="str">
        <f>IF('Donor Sample'!R150="","",'Donor Sample'!R150)</f>
        <v/>
      </c>
      <c r="AD133" s="294" t="str">
        <f>IF('Donor Sample'!S150="","",'Donor Sample'!S150/100)</f>
        <v/>
      </c>
      <c r="AE133" s="293" t="e">
        <f t="shared" si="50"/>
        <v>#VALUE!</v>
      </c>
      <c r="AF133" s="293" t="str">
        <f t="shared" si="51"/>
        <v/>
      </c>
      <c r="AG133" s="292" t="str">
        <f>IF('Donor Sample'!T150="","",'Donor Sample'!T150)</f>
        <v/>
      </c>
      <c r="AH133" s="891">
        <f t="shared" si="52"/>
        <v>32</v>
      </c>
      <c r="AI133" s="1220">
        <v>0.82986444234848022</v>
      </c>
      <c r="AJ133" s="1216"/>
    </row>
    <row r="134" spans="5:36">
      <c r="E134" s="299">
        <v>126</v>
      </c>
      <c r="F134" s="308">
        <f t="shared" ca="1" si="40"/>
        <v>3141.5884961160123</v>
      </c>
      <c r="G134" s="307">
        <f t="shared" ca="1" si="41"/>
        <v>270.61727751785156</v>
      </c>
      <c r="H134" s="306">
        <f t="shared" ca="1" si="42"/>
        <v>0.48135902517471735</v>
      </c>
      <c r="I134" s="305">
        <f t="shared" ca="1" si="45"/>
        <v>97.227418450206756</v>
      </c>
      <c r="J134" s="305">
        <f t="shared" ca="1" si="46"/>
        <v>57.07988719199146</v>
      </c>
      <c r="K134" s="292">
        <f t="shared" ca="1" si="43"/>
        <v>2.4685961606554065</v>
      </c>
      <c r="L134" s="1290">
        <f t="shared" ca="1" si="47"/>
        <v>21.008507570377702</v>
      </c>
      <c r="M134" s="299">
        <v>126</v>
      </c>
      <c r="N134" s="304">
        <f t="shared" si="48"/>
        <v>3187.6203050533836</v>
      </c>
      <c r="O134" s="303">
        <v>206.50811076086515</v>
      </c>
      <c r="P134" s="302">
        <v>0.37433563353584165</v>
      </c>
      <c r="Q134" s="301">
        <v>133.18224443832042</v>
      </c>
      <c r="R134" s="301">
        <v>47.372914055174782</v>
      </c>
      <c r="S134" s="300">
        <v>2.117319774511262</v>
      </c>
      <c r="T134" s="891">
        <f t="shared" si="49"/>
        <v>8</v>
      </c>
      <c r="U134" s="1220">
        <v>0.99972140789031982</v>
      </c>
      <c r="W134" s="299">
        <v>126</v>
      </c>
      <c r="X134" s="298">
        <f>IF('Donor Sample'!N151="",,IF('Donor Sample'!N151="F",1,0))</f>
        <v>0</v>
      </c>
      <c r="Y134" s="298" t="str">
        <f>IF('Donor Sample'!O151="","",'Donor Sample'!O151)</f>
        <v/>
      </c>
      <c r="Z134" s="298" t="str">
        <f>IF(AND('Donor Sample'!O151="",'Donor Sample'!P151="",'Donor Sample'!Q151=""),"",IF('Donor Sample'!P151="",ROUND(AA134/($C$32+($AI134-0.5)*$C$31),0),'Donor Sample'!P151))</f>
        <v/>
      </c>
      <c r="AA134" s="297" t="str">
        <f>IF('Donor Sample'!Q151="","",'Donor Sample'!Q151)</f>
        <v/>
      </c>
      <c r="AB134" s="296" t="str">
        <f t="shared" si="44"/>
        <v/>
      </c>
      <c r="AC134" s="295" t="str">
        <f>IF('Donor Sample'!R151="","",'Donor Sample'!R151)</f>
        <v/>
      </c>
      <c r="AD134" s="294" t="str">
        <f>IF('Donor Sample'!S151="","",'Donor Sample'!S151/100)</f>
        <v/>
      </c>
      <c r="AE134" s="293" t="e">
        <f t="shared" si="50"/>
        <v>#VALUE!</v>
      </c>
      <c r="AF134" s="293" t="str">
        <f t="shared" si="51"/>
        <v/>
      </c>
      <c r="AG134" s="292" t="str">
        <f>IF('Donor Sample'!T151="","",'Donor Sample'!T151)</f>
        <v/>
      </c>
      <c r="AH134" s="891">
        <f t="shared" si="52"/>
        <v>64</v>
      </c>
      <c r="AI134" s="1220">
        <v>0.56647908687591553</v>
      </c>
      <c r="AJ134" s="1216"/>
    </row>
    <row r="135" spans="5:36">
      <c r="E135" s="299">
        <v>127</v>
      </c>
      <c r="F135" s="308">
        <f t="shared" ca="1" si="40"/>
        <v>3390.7443382759193</v>
      </c>
      <c r="G135" s="307">
        <f t="shared" ca="1" si="41"/>
        <v>241.38302955193529</v>
      </c>
      <c r="H135" s="306">
        <f t="shared" ca="1" si="42"/>
        <v>0.38143626712415263</v>
      </c>
      <c r="I135" s="305">
        <f t="shared" ca="1" si="45"/>
        <v>108.35183187662516</v>
      </c>
      <c r="J135" s="305">
        <f t="shared" ca="1" si="46"/>
        <v>58.519360923156363</v>
      </c>
      <c r="K135" s="292">
        <f t="shared" ca="1" si="43"/>
        <v>4.8195958133135681</v>
      </c>
      <c r="L135" s="1290">
        <f t="shared" ca="1" si="47"/>
        <v>22.274592522679171</v>
      </c>
      <c r="M135" s="299">
        <v>127</v>
      </c>
      <c r="N135" s="304">
        <f t="shared" si="48"/>
        <v>3134.1994565872428</v>
      </c>
      <c r="O135" s="303">
        <v>279.0531370187947</v>
      </c>
      <c r="P135" s="302">
        <v>0.41188896709170758</v>
      </c>
      <c r="Q135" s="301">
        <v>121.47199561312075</v>
      </c>
      <c r="R135" s="301">
        <v>50.115243613806037</v>
      </c>
      <c r="S135" s="300">
        <v>2.8537835820663719</v>
      </c>
      <c r="T135" s="891">
        <f t="shared" si="49"/>
        <v>64</v>
      </c>
      <c r="U135" s="1220">
        <v>0.68868309259414673</v>
      </c>
      <c r="W135" s="299">
        <v>127</v>
      </c>
      <c r="X135" s="298">
        <f>IF('Donor Sample'!N152="",,IF('Donor Sample'!N152="F",1,0))</f>
        <v>0</v>
      </c>
      <c r="Y135" s="298" t="str">
        <f>IF('Donor Sample'!O152="","",'Donor Sample'!O152)</f>
        <v/>
      </c>
      <c r="Z135" s="298" t="str">
        <f>IF(AND('Donor Sample'!O152="",'Donor Sample'!P152="",'Donor Sample'!Q152=""),"",IF('Donor Sample'!P152="",ROUND(AA135/($C$32+($AI135-0.5)*$C$31),0),'Donor Sample'!P152))</f>
        <v/>
      </c>
      <c r="AA135" s="297" t="str">
        <f>IF('Donor Sample'!Q152="","",'Donor Sample'!Q152)</f>
        <v/>
      </c>
      <c r="AB135" s="296" t="str">
        <f t="shared" si="44"/>
        <v/>
      </c>
      <c r="AC135" s="295" t="str">
        <f>IF('Donor Sample'!R152="","",'Donor Sample'!R152)</f>
        <v/>
      </c>
      <c r="AD135" s="294" t="str">
        <f>IF('Donor Sample'!S152="","",'Donor Sample'!S152/100)</f>
        <v/>
      </c>
      <c r="AE135" s="407" t="e">
        <f t="shared" si="50"/>
        <v>#VALUE!</v>
      </c>
      <c r="AF135" s="293" t="str">
        <f t="shared" si="51"/>
        <v/>
      </c>
      <c r="AG135" s="292" t="str">
        <f>IF('Donor Sample'!T152="","",'Donor Sample'!T152)</f>
        <v/>
      </c>
      <c r="AH135" s="891">
        <f t="shared" si="52"/>
        <v>2</v>
      </c>
      <c r="AI135" s="1220">
        <v>1.2335836887359619E-2</v>
      </c>
      <c r="AJ135" s="1216"/>
    </row>
    <row r="136" spans="5:36">
      <c r="E136" s="299">
        <v>128</v>
      </c>
      <c r="F136" s="308">
        <f t="shared" ca="1" si="40"/>
        <v>2805.69088885275</v>
      </c>
      <c r="G136" s="307">
        <f t="shared" ca="1" si="41"/>
        <v>220.66223987077009</v>
      </c>
      <c r="H136" s="306">
        <f t="shared" ca="1" si="42"/>
        <v>0.39876495583746602</v>
      </c>
      <c r="I136" s="305">
        <f t="shared" ca="1" si="45"/>
        <v>106.68473104655381</v>
      </c>
      <c r="J136" s="305">
        <f t="shared" ca="1" si="46"/>
        <v>47.494507193094876</v>
      </c>
      <c r="K136" s="292">
        <f t="shared" ca="1" si="43"/>
        <v>1.6488101898927601</v>
      </c>
      <c r="L136" s="1290">
        <f t="shared" ca="1" si="47"/>
        <v>33.295700344919418</v>
      </c>
      <c r="M136" s="299">
        <v>128</v>
      </c>
      <c r="N136" s="304">
        <f t="shared" si="48"/>
        <v>3452.6328135977737</v>
      </c>
      <c r="O136" s="303">
        <v>239.00658393917286</v>
      </c>
      <c r="P136" s="302">
        <v>0.43499252925762866</v>
      </c>
      <c r="Q136" s="301">
        <v>128.29698714317911</v>
      </c>
      <c r="R136" s="301">
        <v>54.542573546396952</v>
      </c>
      <c r="S136" s="300">
        <v>1.2981146751785029</v>
      </c>
      <c r="T136" s="891">
        <f t="shared" si="49"/>
        <v>64</v>
      </c>
      <c r="U136" s="1220">
        <v>0.68789911270141602</v>
      </c>
      <c r="W136" s="299">
        <v>128</v>
      </c>
      <c r="X136" s="298">
        <f>IF('Donor Sample'!N153="",,IF('Donor Sample'!N153="F",1,0))</f>
        <v>0</v>
      </c>
      <c r="Y136" s="298" t="str">
        <f>IF('Donor Sample'!O153="","",'Donor Sample'!O153)</f>
        <v/>
      </c>
      <c r="Z136" s="298" t="str">
        <f>IF(AND('Donor Sample'!O153="",'Donor Sample'!P153="",'Donor Sample'!Q153=""),"",IF('Donor Sample'!P153="",ROUND(AA136/($C$32+($AI136-0.5)*$C$31),0),'Donor Sample'!P153))</f>
        <v/>
      </c>
      <c r="AA136" s="297" t="str">
        <f>IF('Donor Sample'!Q153="","",'Donor Sample'!Q153)</f>
        <v/>
      </c>
      <c r="AB136" s="296" t="str">
        <f t="shared" si="44"/>
        <v/>
      </c>
      <c r="AC136" s="295" t="str">
        <f>IF('Donor Sample'!R153="","",'Donor Sample'!R153)</f>
        <v/>
      </c>
      <c r="AD136" s="294" t="str">
        <f>IF('Donor Sample'!S153="","",'Donor Sample'!S153/100)</f>
        <v/>
      </c>
      <c r="AE136" s="293" t="e">
        <f t="shared" si="50"/>
        <v>#VALUE!</v>
      </c>
      <c r="AF136" s="293" t="str">
        <f t="shared" si="51"/>
        <v/>
      </c>
      <c r="AG136" s="292" t="str">
        <f>IF('Donor Sample'!T153="","",'Donor Sample'!T153)</f>
        <v/>
      </c>
      <c r="AH136" s="891">
        <f t="shared" si="52"/>
        <v>2</v>
      </c>
      <c r="AI136" s="1220">
        <v>0.14516353607177734</v>
      </c>
      <c r="AJ136" s="1216"/>
    </row>
    <row r="137" spans="5:36">
      <c r="E137" s="299">
        <v>129</v>
      </c>
      <c r="F137" s="308">
        <f t="shared" ref="F137:F200" ca="1" si="53">NORMINV(NORMDIST($C$9,$C$7,$C$8,1)+RAND()*(NORMDIST($C$10,$C$7,$C$8,1)-NORMDIST($C$9,$C$7,$C$8,1)),$C$7,$C$8)</f>
        <v>4557.9733788711073</v>
      </c>
      <c r="G137" s="307">
        <f t="shared" ref="G137:G200" ca="1" si="54">NORMINV(NORMDIST($C$13,$C$11,$C$12,1)+RAND()*(NORMDIST($C$14,$C$11,$C$12,1)-NORMDIST($C$13,$C$11,$C$12,1)),$C$11,$C$12)</f>
        <v>228.151840839898</v>
      </c>
      <c r="H137" s="306">
        <f t="shared" ref="H137:H200" ca="1" si="55">NORMINV(NORMDIST($C$17,$C$15,$C$16,1)+RAND()*(NORMDIST($C$18,$C$15,$C$16,1)-NORMDIST($C$17,$C$15,$C$16,1)),$C$15,$C$16)/100</f>
        <v>0.46401293730307919</v>
      </c>
      <c r="I137" s="305">
        <f t="shared" ca="1" si="45"/>
        <v>184.35204477530888</v>
      </c>
      <c r="J137" s="305">
        <f t="shared" ca="1" si="46"/>
        <v>59.437862423095609</v>
      </c>
      <c r="K137" s="292">
        <f t="shared" ref="K137:K200" ca="1" si="56">$C$23/($C$24+RAND())</f>
        <v>1.741046133294353</v>
      </c>
      <c r="L137" s="1290">
        <f t="shared" ca="1" si="47"/>
        <v>36.736201909596218</v>
      </c>
      <c r="M137" s="299">
        <v>129</v>
      </c>
      <c r="N137" s="304">
        <f t="shared" si="48"/>
        <v>5162.0684031886794</v>
      </c>
      <c r="O137" s="303">
        <v>249.71210880900139</v>
      </c>
      <c r="P137" s="302">
        <v>0.41149049136537846</v>
      </c>
      <c r="Q137" s="301">
        <v>188.72441197467924</v>
      </c>
      <c r="R137" s="301">
        <v>66.932059055175841</v>
      </c>
      <c r="S137" s="300">
        <v>1.2571920522539284</v>
      </c>
      <c r="T137" s="891">
        <f t="shared" si="49"/>
        <v>2</v>
      </c>
      <c r="U137" s="1220">
        <v>0.17944782972335815</v>
      </c>
      <c r="W137" s="299">
        <v>129</v>
      </c>
      <c r="X137" s="298">
        <f>IF('Donor Sample'!N154="",,IF('Donor Sample'!N154="F",1,0))</f>
        <v>0</v>
      </c>
      <c r="Y137" s="298" t="str">
        <f>IF('Donor Sample'!O154="","",'Donor Sample'!O154)</f>
        <v/>
      </c>
      <c r="Z137" s="298" t="str">
        <f>IF(AND('Donor Sample'!O154="",'Donor Sample'!P154="",'Donor Sample'!Q154=""),"",IF('Donor Sample'!P154="",ROUND(AA137/($C$32+($AI137-0.5)*$C$31),0),'Donor Sample'!P154))</f>
        <v/>
      </c>
      <c r="AA137" s="297" t="str">
        <f>IF('Donor Sample'!Q154="","",'Donor Sample'!Q154)</f>
        <v/>
      </c>
      <c r="AB137" s="296" t="str">
        <f t="shared" ref="AB137:AB200" si="57">IF(AND(Y137="",Z137="",AA137=""),"",IF(AA137="",IF(X137=0,604+IF($AB$2=1,0.006012,0.0003669)*Y137^3+IF($AB$2=1,14.6,32.187)*Z137,183+IF($AB$2=1,0.005835,0.0003561)*Y137^3+IF($AB$2=1,15,33.069)*Z137),AA137))</f>
        <v/>
      </c>
      <c r="AC137" s="295" t="str">
        <f>IF('Donor Sample'!R154="","",'Donor Sample'!R154)</f>
        <v/>
      </c>
      <c r="AD137" s="294" t="str">
        <f>IF('Donor Sample'!S154="","",'Donor Sample'!S154/100)</f>
        <v/>
      </c>
      <c r="AE137" s="293" t="e">
        <f t="shared" si="50"/>
        <v>#VALUE!</v>
      </c>
      <c r="AF137" s="293" t="str">
        <f t="shared" si="51"/>
        <v/>
      </c>
      <c r="AG137" s="292" t="str">
        <f>IF('Donor Sample'!T154="","",'Donor Sample'!T154)</f>
        <v/>
      </c>
      <c r="AH137" s="891">
        <f t="shared" si="52"/>
        <v>2</v>
      </c>
      <c r="AI137" s="1220">
        <v>2.298659086227417E-2</v>
      </c>
      <c r="AJ137" s="1216"/>
    </row>
    <row r="138" spans="5:36">
      <c r="E138" s="299">
        <v>130</v>
      </c>
      <c r="F138" s="308">
        <f t="shared" ca="1" si="53"/>
        <v>2852.4934963338847</v>
      </c>
      <c r="G138" s="307">
        <f t="shared" ca="1" si="54"/>
        <v>231.78012436314137</v>
      </c>
      <c r="H138" s="306">
        <f t="shared" ca="1" si="55"/>
        <v>0.35903420192016422</v>
      </c>
      <c r="I138" s="305">
        <f t="shared" ref="I138:I201" ca="1" si="58">F138/($C$32+(RAND()-0.5)*$C$31)</f>
        <v>102.5536391535956</v>
      </c>
      <c r="J138" s="305">
        <f t="shared" ref="J138:J201" ca="1" si="59">IF(AI138&lt;=$C$33,((F138-604-14.6*I138)/0.006012)^(1/3),((F138-183-15*I138)/0.005835)^(1/3))</f>
        <v>49.993575681393011</v>
      </c>
      <c r="K138" s="292">
        <f t="shared" ca="1" si="56"/>
        <v>1.3247004141726748</v>
      </c>
      <c r="L138" s="1290">
        <f t="shared" ref="L138:L201" ca="1" si="60">704*I138/J138^2</f>
        <v>28.886527358980267</v>
      </c>
      <c r="M138" s="299">
        <v>130</v>
      </c>
      <c r="N138" s="304">
        <f t="shared" ref="N138:N201" si="61">IF(AI138&gt;$C$33,183+0.005835*R138^3+15*Q138,604+0.006012*R138^3+14.6*Q138)</f>
        <v>3602.7888883868618</v>
      </c>
      <c r="O138" s="303">
        <v>230.40362496673799</v>
      </c>
      <c r="P138" s="302">
        <v>0.3646370000412209</v>
      </c>
      <c r="Q138" s="301">
        <v>117.51642239279049</v>
      </c>
      <c r="R138" s="301">
        <v>59.759658072209554</v>
      </c>
      <c r="S138" s="300">
        <v>1.832243342556954</v>
      </c>
      <c r="T138" s="891">
        <f t="shared" ref="T138:T201" si="62">HLOOKUP(U138,$AL$32:$AT$34,3)</f>
        <v>2</v>
      </c>
      <c r="U138" s="1220">
        <v>0.17471134662628174</v>
      </c>
      <c r="W138" s="299">
        <v>130</v>
      </c>
      <c r="X138" s="298">
        <f>IF('Donor Sample'!N155="",,IF('Donor Sample'!N155="F",1,0))</f>
        <v>0</v>
      </c>
      <c r="Y138" s="298" t="str">
        <f>IF('Donor Sample'!O155="","",'Donor Sample'!O155)</f>
        <v/>
      </c>
      <c r="Z138" s="298" t="str">
        <f>IF(AND('Donor Sample'!O155="",'Donor Sample'!P155="",'Donor Sample'!Q155=""),"",IF('Donor Sample'!P155="",ROUND(AA138/($C$32+($AI138-0.5)*$C$31),0),'Donor Sample'!P155))</f>
        <v/>
      </c>
      <c r="AA138" s="297" t="str">
        <f>IF('Donor Sample'!Q155="","",'Donor Sample'!Q155)</f>
        <v/>
      </c>
      <c r="AB138" s="296" t="str">
        <f t="shared" si="57"/>
        <v/>
      </c>
      <c r="AC138" s="295" t="str">
        <f>IF('Donor Sample'!R155="","",'Donor Sample'!R155)</f>
        <v/>
      </c>
      <c r="AD138" s="294" t="str">
        <f>IF('Donor Sample'!S155="","",'Donor Sample'!S155/100)</f>
        <v/>
      </c>
      <c r="AE138" s="407" t="e">
        <f t="shared" ref="AE138:AE201" si="63">IF($AB$2=1,Z138,2.2*Z138)</f>
        <v>#VALUE!</v>
      </c>
      <c r="AF138" s="293" t="str">
        <f t="shared" ref="AF138:AF201" si="64">IF(AND(Y138="",AA138=""),"",IF(AA138="",IF($AB$2=1,Y138,Y138/2.54),IF(AI138&lt;=$C$33,((AB138-604-14.6*Z138)/0.006012)^(1/3),((AB138-183-15*Z138)/0.005835)^(1/3))))</f>
        <v/>
      </c>
      <c r="AG138" s="292" t="str">
        <f>IF('Donor Sample'!T155="","",'Donor Sample'!T155)</f>
        <v/>
      </c>
      <c r="AH138" s="891">
        <f t="shared" ref="AH138:AH201" si="65">HLOOKUP(AI138,$AL$32:$AT$34,3)</f>
        <v>64</v>
      </c>
      <c r="AI138" s="1220">
        <v>0.49809896945953369</v>
      </c>
      <c r="AJ138" s="1216"/>
    </row>
    <row r="139" spans="5:36">
      <c r="E139" s="299">
        <v>131</v>
      </c>
      <c r="F139" s="308">
        <f t="shared" ca="1" si="53"/>
        <v>2948.7452273169729</v>
      </c>
      <c r="G139" s="307">
        <f t="shared" ca="1" si="54"/>
        <v>189.36105144428308</v>
      </c>
      <c r="H139" s="306">
        <f t="shared" ca="1" si="55"/>
        <v>0.42285547142627367</v>
      </c>
      <c r="I139" s="305">
        <f t="shared" ca="1" si="58"/>
        <v>100.82832750205918</v>
      </c>
      <c r="J139" s="305">
        <f t="shared" ca="1" si="59"/>
        <v>59.888082251843088</v>
      </c>
      <c r="K139" s="292">
        <f t="shared" ca="1" si="56"/>
        <v>4.7689009390138786</v>
      </c>
      <c r="L139" s="1290">
        <f t="shared" ca="1" si="60"/>
        <v>19.791304012561771</v>
      </c>
      <c r="M139" s="299">
        <v>131</v>
      </c>
      <c r="N139" s="304">
        <f t="shared" si="61"/>
        <v>3397.1276095655612</v>
      </c>
      <c r="O139" s="303">
        <v>253.84003331555618</v>
      </c>
      <c r="P139" s="302">
        <v>0.4283531360064845</v>
      </c>
      <c r="Q139" s="301">
        <v>139.24026123203714</v>
      </c>
      <c r="R139" s="301">
        <v>57.779164847011863</v>
      </c>
      <c r="S139" s="300">
        <v>3.2771298496190653</v>
      </c>
      <c r="T139" s="891">
        <f t="shared" si="62"/>
        <v>16</v>
      </c>
      <c r="U139" s="1220">
        <v>0.96669179201126099</v>
      </c>
      <c r="W139" s="299">
        <v>131</v>
      </c>
      <c r="X139" s="298">
        <f>IF('Donor Sample'!N156="",,IF('Donor Sample'!N156="F",1,0))</f>
        <v>0</v>
      </c>
      <c r="Y139" s="298" t="str">
        <f>IF('Donor Sample'!O156="","",'Donor Sample'!O156)</f>
        <v/>
      </c>
      <c r="Z139" s="298" t="str">
        <f>IF(AND('Donor Sample'!O156="",'Donor Sample'!P156="",'Donor Sample'!Q156=""),"",IF('Donor Sample'!P156="",ROUND(AA139/($C$32+($AI139-0.5)*$C$31),0),'Donor Sample'!P156))</f>
        <v/>
      </c>
      <c r="AA139" s="297" t="str">
        <f>IF('Donor Sample'!Q156="","",'Donor Sample'!Q156)</f>
        <v/>
      </c>
      <c r="AB139" s="296" t="str">
        <f t="shared" si="57"/>
        <v/>
      </c>
      <c r="AC139" s="295" t="str">
        <f>IF('Donor Sample'!R156="","",'Donor Sample'!R156)</f>
        <v/>
      </c>
      <c r="AD139" s="294" t="str">
        <f>IF('Donor Sample'!S156="","",'Donor Sample'!S156/100)</f>
        <v/>
      </c>
      <c r="AE139" s="293" t="e">
        <f t="shared" si="63"/>
        <v>#VALUE!</v>
      </c>
      <c r="AF139" s="293" t="str">
        <f t="shared" si="64"/>
        <v/>
      </c>
      <c r="AG139" s="292" t="str">
        <f>IF('Donor Sample'!T156="","",'Donor Sample'!T156)</f>
        <v/>
      </c>
      <c r="AH139" s="891">
        <f t="shared" si="65"/>
        <v>128</v>
      </c>
      <c r="AI139" s="1220">
        <v>0.93451720476150513</v>
      </c>
      <c r="AJ139" s="1216"/>
    </row>
    <row r="140" spans="5:36">
      <c r="E140" s="299">
        <v>132</v>
      </c>
      <c r="F140" s="308">
        <f t="shared" ca="1" si="53"/>
        <v>3047.3669626766141</v>
      </c>
      <c r="G140" s="307">
        <f t="shared" ca="1" si="54"/>
        <v>251.24185774782936</v>
      </c>
      <c r="H140" s="306">
        <f t="shared" ca="1" si="55"/>
        <v>0.41365291209798838</v>
      </c>
      <c r="I140" s="305">
        <f t="shared" ca="1" si="58"/>
        <v>96.902436144896129</v>
      </c>
      <c r="J140" s="305">
        <f t="shared" ca="1" si="59"/>
        <v>55.514696724250825</v>
      </c>
      <c r="K140" s="292">
        <f t="shared" ca="1" si="56"/>
        <v>6.558726350278306</v>
      </c>
      <c r="L140" s="1290">
        <f t="shared" ca="1" si="60"/>
        <v>22.135605761097921</v>
      </c>
      <c r="M140" s="299">
        <v>132</v>
      </c>
      <c r="N140" s="304">
        <f t="shared" si="61"/>
        <v>3156.5835546905287</v>
      </c>
      <c r="O140" s="303">
        <v>210.42866511788972</v>
      </c>
      <c r="P140" s="302">
        <v>0.35466863195657111</v>
      </c>
      <c r="Q140" s="301">
        <v>104.57056092413892</v>
      </c>
      <c r="R140" s="301">
        <v>55.465394359884094</v>
      </c>
      <c r="S140" s="300">
        <v>3.2655617609219854</v>
      </c>
      <c r="T140" s="891">
        <f t="shared" si="62"/>
        <v>64</v>
      </c>
      <c r="U140" s="1220">
        <v>0.69493746757507324</v>
      </c>
      <c r="W140" s="299">
        <v>132</v>
      </c>
      <c r="X140" s="298">
        <f>IF('Donor Sample'!N157="",,IF('Donor Sample'!N157="F",1,0))</f>
        <v>0</v>
      </c>
      <c r="Y140" s="298" t="str">
        <f>IF('Donor Sample'!O157="","",'Donor Sample'!O157)</f>
        <v/>
      </c>
      <c r="Z140" s="298" t="str">
        <f>IF(AND('Donor Sample'!O157="",'Donor Sample'!P157="",'Donor Sample'!Q157=""),"",IF('Donor Sample'!P157="",ROUND(AA140/($C$32+($AI140-0.5)*$C$31),0),'Donor Sample'!P157))</f>
        <v/>
      </c>
      <c r="AA140" s="297" t="str">
        <f>IF('Donor Sample'!Q157="","",'Donor Sample'!Q157)</f>
        <v/>
      </c>
      <c r="AB140" s="296" t="str">
        <f t="shared" si="57"/>
        <v/>
      </c>
      <c r="AC140" s="295" t="str">
        <f>IF('Donor Sample'!R157="","",'Donor Sample'!R157)</f>
        <v/>
      </c>
      <c r="AD140" s="294" t="str">
        <f>IF('Donor Sample'!S157="","",'Donor Sample'!S157/100)</f>
        <v/>
      </c>
      <c r="AE140" s="293" t="e">
        <f t="shared" si="63"/>
        <v>#VALUE!</v>
      </c>
      <c r="AF140" s="293" t="str">
        <f t="shared" si="64"/>
        <v/>
      </c>
      <c r="AG140" s="292" t="str">
        <f>IF('Donor Sample'!T157="","",'Donor Sample'!T157)</f>
        <v/>
      </c>
      <c r="AH140" s="891">
        <f t="shared" si="65"/>
        <v>64</v>
      </c>
      <c r="AI140" s="1220">
        <v>0.47749638557434082</v>
      </c>
      <c r="AJ140" s="1216"/>
    </row>
    <row r="141" spans="5:36">
      <c r="E141" s="299">
        <v>133</v>
      </c>
      <c r="F141" s="308">
        <f t="shared" ca="1" si="53"/>
        <v>3004.331911860505</v>
      </c>
      <c r="G141" s="307">
        <f t="shared" ca="1" si="54"/>
        <v>168.13657838563978</v>
      </c>
      <c r="H141" s="306">
        <f t="shared" ca="1" si="55"/>
        <v>0.40059851865933438</v>
      </c>
      <c r="I141" s="305">
        <f t="shared" ca="1" si="58"/>
        <v>110.2344773691501</v>
      </c>
      <c r="J141" s="305">
        <f t="shared" ca="1" si="59"/>
        <v>58.493961123111589</v>
      </c>
      <c r="K141" s="292">
        <f t="shared" ca="1" si="56"/>
        <v>3.5572660299476282</v>
      </c>
      <c r="L141" s="1290">
        <f t="shared" ca="1" si="60"/>
        <v>22.681305189590166</v>
      </c>
      <c r="M141" s="299">
        <v>133</v>
      </c>
      <c r="N141" s="304">
        <f t="shared" si="61"/>
        <v>4131.3971369680385</v>
      </c>
      <c r="O141" s="303">
        <v>307.88973126131577</v>
      </c>
      <c r="P141" s="302">
        <v>0.37455646753107708</v>
      </c>
      <c r="Q141" s="301">
        <v>159.64338064229074</v>
      </c>
      <c r="R141" s="301">
        <v>64.334869974207862</v>
      </c>
      <c r="S141" s="300">
        <v>3.4356788363362485</v>
      </c>
      <c r="T141" s="891">
        <f t="shared" si="62"/>
        <v>256</v>
      </c>
      <c r="U141" s="1220">
        <v>0.88513940572738647</v>
      </c>
      <c r="W141" s="299">
        <v>133</v>
      </c>
      <c r="X141" s="298">
        <f>IF('Donor Sample'!N158="",,IF('Donor Sample'!N158="F",1,0))</f>
        <v>0</v>
      </c>
      <c r="Y141" s="298" t="str">
        <f>IF('Donor Sample'!O158="","",'Donor Sample'!O158)</f>
        <v/>
      </c>
      <c r="Z141" s="298" t="str">
        <f>IF(AND('Donor Sample'!O158="",'Donor Sample'!P158="",'Donor Sample'!Q158=""),"",IF('Donor Sample'!P158="",ROUND(AA141/($C$32+($AI141-0.5)*$C$31),0),'Donor Sample'!P158))</f>
        <v/>
      </c>
      <c r="AA141" s="297" t="str">
        <f>IF('Donor Sample'!Q158="","",'Donor Sample'!Q158)</f>
        <v/>
      </c>
      <c r="AB141" s="296" t="str">
        <f t="shared" si="57"/>
        <v/>
      </c>
      <c r="AC141" s="295" t="str">
        <f>IF('Donor Sample'!R158="","",'Donor Sample'!R158)</f>
        <v/>
      </c>
      <c r="AD141" s="294" t="str">
        <f>IF('Donor Sample'!S158="","",'Donor Sample'!S158/100)</f>
        <v/>
      </c>
      <c r="AE141" s="407" t="e">
        <f t="shared" si="63"/>
        <v>#VALUE!</v>
      </c>
      <c r="AF141" s="293" t="str">
        <f t="shared" si="64"/>
        <v/>
      </c>
      <c r="AG141" s="292" t="str">
        <f>IF('Donor Sample'!T158="","",'Donor Sample'!T158)</f>
        <v/>
      </c>
      <c r="AH141" s="891">
        <f t="shared" si="65"/>
        <v>16</v>
      </c>
      <c r="AI141" s="1220">
        <v>0.97935718297958374</v>
      </c>
      <c r="AJ141" s="1216"/>
    </row>
    <row r="142" spans="5:36">
      <c r="E142" s="299">
        <v>134</v>
      </c>
      <c r="F142" s="308">
        <f t="shared" ca="1" si="53"/>
        <v>3897.5817975022933</v>
      </c>
      <c r="G142" s="307">
        <f t="shared" ca="1" si="54"/>
        <v>308.80877126053008</v>
      </c>
      <c r="H142" s="306">
        <f t="shared" ca="1" si="55"/>
        <v>0.40404743143104915</v>
      </c>
      <c r="I142" s="305">
        <f t="shared" ca="1" si="58"/>
        <v>121.35358154822289</v>
      </c>
      <c r="J142" s="305">
        <f t="shared" ca="1" si="59"/>
        <v>63.257893380611371</v>
      </c>
      <c r="K142" s="292">
        <f t="shared" ca="1" si="56"/>
        <v>4.2803529612992186</v>
      </c>
      <c r="L142" s="1290">
        <f t="shared" ca="1" si="60"/>
        <v>21.349898154673728</v>
      </c>
      <c r="M142" s="299">
        <v>134</v>
      </c>
      <c r="N142" s="304">
        <f t="shared" si="61"/>
        <v>3418.7457034113968</v>
      </c>
      <c r="O142" s="303">
        <v>265.11323430605859</v>
      </c>
      <c r="P142" s="302">
        <v>0.40845377430667695</v>
      </c>
      <c r="Q142" s="301">
        <v>131.06858083246618</v>
      </c>
      <c r="R142" s="301">
        <v>53.120050083920894</v>
      </c>
      <c r="S142" s="300">
        <v>2.089940317023498</v>
      </c>
      <c r="T142" s="891">
        <f t="shared" si="62"/>
        <v>2</v>
      </c>
      <c r="U142" s="1220">
        <v>0.12721669673919678</v>
      </c>
      <c r="W142" s="299">
        <v>134</v>
      </c>
      <c r="X142" s="298">
        <f>IF('Donor Sample'!N159="",,IF('Donor Sample'!N159="F",1,0))</f>
        <v>0</v>
      </c>
      <c r="Y142" s="298" t="str">
        <f>IF('Donor Sample'!O159="","",'Donor Sample'!O159)</f>
        <v/>
      </c>
      <c r="Z142" s="298" t="str">
        <f>IF(AND('Donor Sample'!O159="",'Donor Sample'!P159="",'Donor Sample'!Q159=""),"",IF('Donor Sample'!P159="",ROUND(AA142/($C$32+($AI142-0.5)*$C$31),0),'Donor Sample'!P159))</f>
        <v/>
      </c>
      <c r="AA142" s="297" t="str">
        <f>IF('Donor Sample'!Q159="","",'Donor Sample'!Q159)</f>
        <v/>
      </c>
      <c r="AB142" s="296" t="str">
        <f t="shared" si="57"/>
        <v/>
      </c>
      <c r="AC142" s="295" t="str">
        <f>IF('Donor Sample'!R159="","",'Donor Sample'!R159)</f>
        <v/>
      </c>
      <c r="AD142" s="294" t="str">
        <f>IF('Donor Sample'!S159="","",'Donor Sample'!S159/100)</f>
        <v/>
      </c>
      <c r="AE142" s="293" t="e">
        <f t="shared" si="63"/>
        <v>#VALUE!</v>
      </c>
      <c r="AF142" s="293" t="str">
        <f t="shared" si="64"/>
        <v/>
      </c>
      <c r="AG142" s="292" t="str">
        <f>IF('Donor Sample'!T159="","",'Donor Sample'!T159)</f>
        <v/>
      </c>
      <c r="AH142" s="891">
        <f t="shared" si="65"/>
        <v>2</v>
      </c>
      <c r="AI142" s="1220">
        <v>1.887977123260498E-2</v>
      </c>
      <c r="AJ142" s="1216"/>
    </row>
    <row r="143" spans="5:36">
      <c r="E143" s="299">
        <v>135</v>
      </c>
      <c r="F143" s="308">
        <f t="shared" ca="1" si="53"/>
        <v>3016.2235547270884</v>
      </c>
      <c r="G143" s="307">
        <f t="shared" ca="1" si="54"/>
        <v>293.23053517528803</v>
      </c>
      <c r="H143" s="306">
        <f t="shared" ca="1" si="55"/>
        <v>0.49445787985715123</v>
      </c>
      <c r="I143" s="305">
        <f t="shared" ca="1" si="58"/>
        <v>119.77949444789921</v>
      </c>
      <c r="J143" s="305">
        <f t="shared" ca="1" si="59"/>
        <v>47.965414379642205</v>
      </c>
      <c r="K143" s="292">
        <f t="shared" ca="1" si="56"/>
        <v>2.7096993355798444</v>
      </c>
      <c r="L143" s="1290">
        <f t="shared" ca="1" si="60"/>
        <v>36.652089076488465</v>
      </c>
      <c r="M143" s="299">
        <v>135</v>
      </c>
      <c r="N143" s="304">
        <f t="shared" si="61"/>
        <v>3182.0464300388148</v>
      </c>
      <c r="O143" s="303">
        <v>203.23186821748567</v>
      </c>
      <c r="P143" s="302">
        <v>0.38682827581849089</v>
      </c>
      <c r="Q143" s="301">
        <v>121.16175363579769</v>
      </c>
      <c r="R143" s="301">
        <v>51.245809948815626</v>
      </c>
      <c r="S143" s="300">
        <v>1.4100822907184194</v>
      </c>
      <c r="T143" s="891">
        <f t="shared" si="62"/>
        <v>2</v>
      </c>
      <c r="U143" s="1220">
        <v>0.15043550729751587</v>
      </c>
      <c r="W143" s="299">
        <v>135</v>
      </c>
      <c r="X143" s="298">
        <f>IF('Donor Sample'!N160="",,IF('Donor Sample'!N160="F",1,0))</f>
        <v>0</v>
      </c>
      <c r="Y143" s="298" t="str">
        <f>IF('Donor Sample'!O160="","",'Donor Sample'!O160)</f>
        <v/>
      </c>
      <c r="Z143" s="298" t="str">
        <f>IF(AND('Donor Sample'!O160="",'Donor Sample'!P160="",'Donor Sample'!Q160=""),"",IF('Donor Sample'!P160="",ROUND(AA143/($C$32+($AI143-0.5)*$C$31),0),'Donor Sample'!P160))</f>
        <v/>
      </c>
      <c r="AA143" s="297" t="str">
        <f>IF('Donor Sample'!Q160="","",'Donor Sample'!Q160)</f>
        <v/>
      </c>
      <c r="AB143" s="296" t="str">
        <f t="shared" si="57"/>
        <v/>
      </c>
      <c r="AC143" s="295" t="str">
        <f>IF('Donor Sample'!R160="","",'Donor Sample'!R160)</f>
        <v/>
      </c>
      <c r="AD143" s="294" t="str">
        <f>IF('Donor Sample'!S160="","",'Donor Sample'!S160/100)</f>
        <v/>
      </c>
      <c r="AE143" s="293" t="e">
        <f t="shared" si="63"/>
        <v>#VALUE!</v>
      </c>
      <c r="AF143" s="293" t="str">
        <f t="shared" si="64"/>
        <v/>
      </c>
      <c r="AG143" s="292" t="str">
        <f>IF('Donor Sample'!T160="","",'Donor Sample'!T160)</f>
        <v/>
      </c>
      <c r="AH143" s="891">
        <f t="shared" si="65"/>
        <v>64</v>
      </c>
      <c r="AI143" s="1220">
        <v>0.45249706506729126</v>
      </c>
      <c r="AJ143" s="1216"/>
    </row>
    <row r="144" spans="5:36">
      <c r="E144" s="299">
        <v>136</v>
      </c>
      <c r="F144" s="308">
        <f t="shared" ca="1" si="53"/>
        <v>3497.5508685877658</v>
      </c>
      <c r="G144" s="307">
        <f t="shared" ca="1" si="54"/>
        <v>204.17821517405849</v>
      </c>
      <c r="H144" s="306">
        <f t="shared" ca="1" si="55"/>
        <v>0.45337033697556478</v>
      </c>
      <c r="I144" s="305">
        <f t="shared" ca="1" si="58"/>
        <v>113.55309255118297</v>
      </c>
      <c r="J144" s="305">
        <f t="shared" ca="1" si="59"/>
        <v>65.119005474525622</v>
      </c>
      <c r="K144" s="292">
        <f t="shared" ca="1" si="56"/>
        <v>1.8023798879803081</v>
      </c>
      <c r="L144" s="1290">
        <f t="shared" ca="1" si="60"/>
        <v>18.851942532880468</v>
      </c>
      <c r="M144" s="299">
        <v>136</v>
      </c>
      <c r="N144" s="304">
        <f t="shared" si="61"/>
        <v>3126.7220399212979</v>
      </c>
      <c r="O144" s="303">
        <v>251.78028576452473</v>
      </c>
      <c r="P144" s="302">
        <v>0.37439844745002349</v>
      </c>
      <c r="Q144" s="301">
        <v>107.97906724809609</v>
      </c>
      <c r="R144" s="301">
        <v>60.993887511470142</v>
      </c>
      <c r="S144" s="300">
        <v>3.1512677738271058</v>
      </c>
      <c r="T144" s="891">
        <f t="shared" si="62"/>
        <v>2</v>
      </c>
      <c r="U144" s="1220">
        <v>0.26992702484130859</v>
      </c>
      <c r="W144" s="299">
        <v>136</v>
      </c>
      <c r="X144" s="298">
        <f>IF('Donor Sample'!N161="",,IF('Donor Sample'!N161="F",1,0))</f>
        <v>0</v>
      </c>
      <c r="Y144" s="298" t="str">
        <f>IF('Donor Sample'!O161="","",'Donor Sample'!O161)</f>
        <v/>
      </c>
      <c r="Z144" s="298" t="str">
        <f>IF(AND('Donor Sample'!O161="",'Donor Sample'!P161="",'Donor Sample'!Q161=""),"",IF('Donor Sample'!P161="",ROUND(AA144/($C$32+($AI144-0.5)*$C$31),0),'Donor Sample'!P161))</f>
        <v/>
      </c>
      <c r="AA144" s="297" t="str">
        <f>IF('Donor Sample'!Q161="","",'Donor Sample'!Q161)</f>
        <v/>
      </c>
      <c r="AB144" s="296" t="str">
        <f t="shared" si="57"/>
        <v/>
      </c>
      <c r="AC144" s="295" t="str">
        <f>IF('Donor Sample'!R161="","",'Donor Sample'!R161)</f>
        <v/>
      </c>
      <c r="AD144" s="294" t="str">
        <f>IF('Donor Sample'!S161="","",'Donor Sample'!S161/100)</f>
        <v/>
      </c>
      <c r="AE144" s="407" t="e">
        <f t="shared" si="63"/>
        <v>#VALUE!</v>
      </c>
      <c r="AF144" s="293" t="str">
        <f t="shared" si="64"/>
        <v/>
      </c>
      <c r="AG144" s="292" t="str">
        <f>IF('Donor Sample'!T161="","",'Donor Sample'!T161)</f>
        <v/>
      </c>
      <c r="AH144" s="891">
        <f t="shared" si="65"/>
        <v>128</v>
      </c>
      <c r="AI144" s="1220">
        <v>0.93259000778198242</v>
      </c>
      <c r="AJ144" s="1216"/>
    </row>
    <row r="145" spans="5:36">
      <c r="E145" s="299">
        <v>137</v>
      </c>
      <c r="F145" s="308">
        <f t="shared" ca="1" si="53"/>
        <v>3029.6786047466189</v>
      </c>
      <c r="G145" s="307">
        <f t="shared" ca="1" si="54"/>
        <v>172.75507067473222</v>
      </c>
      <c r="H145" s="306">
        <f t="shared" ca="1" si="55"/>
        <v>0.41497555217995397</v>
      </c>
      <c r="I145" s="305">
        <f t="shared" ca="1" si="58"/>
        <v>110.92551842762195</v>
      </c>
      <c r="J145" s="305">
        <f t="shared" ca="1" si="59"/>
        <v>58.743025128404859</v>
      </c>
      <c r="K145" s="292">
        <f t="shared" ca="1" si="56"/>
        <v>5.7918610750264872</v>
      </c>
      <c r="L145" s="1290">
        <f t="shared" ca="1" si="60"/>
        <v>22.63036248861928</v>
      </c>
      <c r="M145" s="299">
        <v>137</v>
      </c>
      <c r="N145" s="304">
        <f t="shared" si="61"/>
        <v>3017.2467519975457</v>
      </c>
      <c r="O145" s="303">
        <v>234.54365442050727</v>
      </c>
      <c r="P145" s="302">
        <v>0.41889014685035003</v>
      </c>
      <c r="Q145" s="301">
        <v>110.3809085392147</v>
      </c>
      <c r="R145" s="301">
        <v>58.672371748466482</v>
      </c>
      <c r="S145" s="300">
        <v>9.8884037133563929</v>
      </c>
      <c r="T145" s="891">
        <f t="shared" si="62"/>
        <v>2</v>
      </c>
      <c r="U145" s="1220">
        <v>3.150862455368042E-2</v>
      </c>
      <c r="W145" s="299">
        <v>137</v>
      </c>
      <c r="X145" s="298">
        <f>IF('Donor Sample'!N162="",,IF('Donor Sample'!N162="F",1,0))</f>
        <v>0</v>
      </c>
      <c r="Y145" s="298" t="str">
        <f>IF('Donor Sample'!O162="","",'Donor Sample'!O162)</f>
        <v/>
      </c>
      <c r="Z145" s="298" t="str">
        <f>IF(AND('Donor Sample'!O162="",'Donor Sample'!P162="",'Donor Sample'!Q162=""),"",IF('Donor Sample'!P162="",ROUND(AA145/($C$32+($AI145-0.5)*$C$31),0),'Donor Sample'!P162))</f>
        <v/>
      </c>
      <c r="AA145" s="297" t="str">
        <f>IF('Donor Sample'!Q162="","",'Donor Sample'!Q162)</f>
        <v/>
      </c>
      <c r="AB145" s="296" t="str">
        <f t="shared" si="57"/>
        <v/>
      </c>
      <c r="AC145" s="295" t="str">
        <f>IF('Donor Sample'!R162="","",'Donor Sample'!R162)</f>
        <v/>
      </c>
      <c r="AD145" s="294" t="str">
        <f>IF('Donor Sample'!S162="","",'Donor Sample'!S162/100)</f>
        <v/>
      </c>
      <c r="AE145" s="293" t="e">
        <f t="shared" si="63"/>
        <v>#VALUE!</v>
      </c>
      <c r="AF145" s="293" t="str">
        <f t="shared" si="64"/>
        <v/>
      </c>
      <c r="AG145" s="292" t="str">
        <f>IF('Donor Sample'!T162="","",'Donor Sample'!T162)</f>
        <v/>
      </c>
      <c r="AH145" s="891">
        <f t="shared" si="65"/>
        <v>32</v>
      </c>
      <c r="AI145" s="1220">
        <v>0.83697670698165894</v>
      </c>
      <c r="AJ145" s="1216"/>
    </row>
    <row r="146" spans="5:36">
      <c r="E146" s="299">
        <v>138</v>
      </c>
      <c r="F146" s="308">
        <f t="shared" ca="1" si="53"/>
        <v>2697.6375694173507</v>
      </c>
      <c r="G146" s="307">
        <f t="shared" ca="1" si="54"/>
        <v>207.65324577684578</v>
      </c>
      <c r="H146" s="306">
        <f t="shared" ca="1" si="55"/>
        <v>0.44584429788220847</v>
      </c>
      <c r="I146" s="305">
        <f t="shared" ca="1" si="58"/>
        <v>96.446966581275362</v>
      </c>
      <c r="J146" s="305">
        <f t="shared" ca="1" si="59"/>
        <v>48.491468136797117</v>
      </c>
      <c r="K146" s="292">
        <f t="shared" ca="1" si="56"/>
        <v>1.2626815821690847</v>
      </c>
      <c r="L146" s="1290">
        <f t="shared" ca="1" si="60"/>
        <v>28.875569996964618</v>
      </c>
      <c r="M146" s="299">
        <v>138</v>
      </c>
      <c r="N146" s="304">
        <f t="shared" si="61"/>
        <v>3378.3775247357048</v>
      </c>
      <c r="O146" s="303">
        <v>287.72993569310256</v>
      </c>
      <c r="P146" s="302">
        <v>0.3707511834488269</v>
      </c>
      <c r="Q146" s="301">
        <v>117.7753367489284</v>
      </c>
      <c r="R146" s="301">
        <v>55.983273490772426</v>
      </c>
      <c r="S146" s="300">
        <v>3.4654173868384905</v>
      </c>
      <c r="T146" s="891">
        <f t="shared" si="62"/>
        <v>2</v>
      </c>
      <c r="U146" s="1220">
        <v>0.32409536838531494</v>
      </c>
      <c r="W146" s="299">
        <v>138</v>
      </c>
      <c r="X146" s="298">
        <f>IF('Donor Sample'!N163="",,IF('Donor Sample'!N163="F",1,0))</f>
        <v>0</v>
      </c>
      <c r="Y146" s="298" t="str">
        <f>IF('Donor Sample'!O163="","",'Donor Sample'!O163)</f>
        <v/>
      </c>
      <c r="Z146" s="298" t="str">
        <f>IF(AND('Donor Sample'!O163="",'Donor Sample'!P163="",'Donor Sample'!Q163=""),"",IF('Donor Sample'!P163="",ROUND(AA146/($C$32+($AI146-0.5)*$C$31),0),'Donor Sample'!P163))</f>
        <v/>
      </c>
      <c r="AA146" s="297" t="str">
        <f>IF('Donor Sample'!Q163="","",'Donor Sample'!Q163)</f>
        <v/>
      </c>
      <c r="AB146" s="296" t="str">
        <f t="shared" si="57"/>
        <v/>
      </c>
      <c r="AC146" s="295" t="str">
        <f>IF('Donor Sample'!R163="","",'Donor Sample'!R163)</f>
        <v/>
      </c>
      <c r="AD146" s="294" t="str">
        <f>IF('Donor Sample'!S163="","",'Donor Sample'!S163/100)</f>
        <v/>
      </c>
      <c r="AE146" s="293" t="e">
        <f t="shared" si="63"/>
        <v>#VALUE!</v>
      </c>
      <c r="AF146" s="293" t="str">
        <f t="shared" si="64"/>
        <v/>
      </c>
      <c r="AG146" s="292" t="str">
        <f>IF('Donor Sample'!T163="","",'Donor Sample'!T163)</f>
        <v/>
      </c>
      <c r="AH146" s="891">
        <f t="shared" si="65"/>
        <v>2</v>
      </c>
      <c r="AI146" s="1220">
        <v>2.7320027351379395E-2</v>
      </c>
      <c r="AJ146" s="1216"/>
    </row>
    <row r="147" spans="5:36">
      <c r="E147" s="299">
        <v>139</v>
      </c>
      <c r="F147" s="308">
        <f t="shared" ca="1" si="53"/>
        <v>3879.501875063329</v>
      </c>
      <c r="G147" s="307">
        <f t="shared" ca="1" si="54"/>
        <v>270.19904693423859</v>
      </c>
      <c r="H147" s="306">
        <f t="shared" ca="1" si="55"/>
        <v>0.40040274665366588</v>
      </c>
      <c r="I147" s="305">
        <f t="shared" ca="1" si="58"/>
        <v>140.48345016392443</v>
      </c>
      <c r="J147" s="305">
        <f t="shared" ca="1" si="59"/>
        <v>64.821209618733306</v>
      </c>
      <c r="K147" s="292">
        <f t="shared" ca="1" si="56"/>
        <v>1.3644226604744423</v>
      </c>
      <c r="L147" s="1290">
        <f t="shared" ca="1" si="60"/>
        <v>23.537674981063578</v>
      </c>
      <c r="M147" s="299">
        <v>139</v>
      </c>
      <c r="N147" s="304">
        <f t="shared" si="61"/>
        <v>3138.6997468048967</v>
      </c>
      <c r="O147" s="303">
        <v>218.16771175744663</v>
      </c>
      <c r="P147" s="302">
        <v>0.36071916616197169</v>
      </c>
      <c r="Q147" s="301">
        <v>99.758618964143537</v>
      </c>
      <c r="R147" s="301">
        <v>63.00426322132153</v>
      </c>
      <c r="S147" s="300">
        <v>1.783409230598118</v>
      </c>
      <c r="T147" s="891">
        <f t="shared" si="62"/>
        <v>256</v>
      </c>
      <c r="U147" s="1220">
        <v>0.90184050798416138</v>
      </c>
      <c r="W147" s="299">
        <v>139</v>
      </c>
      <c r="X147" s="298">
        <f>IF('Donor Sample'!N164="",,IF('Donor Sample'!N164="F",1,0))</f>
        <v>0</v>
      </c>
      <c r="Y147" s="298" t="str">
        <f>IF('Donor Sample'!O164="","",'Donor Sample'!O164)</f>
        <v/>
      </c>
      <c r="Z147" s="298" t="str">
        <f>IF(AND('Donor Sample'!O164="",'Donor Sample'!P164="",'Donor Sample'!Q164=""),"",IF('Donor Sample'!P164="",ROUND(AA147/($C$32+($AI147-0.5)*$C$31),0),'Donor Sample'!P164))</f>
        <v/>
      </c>
      <c r="AA147" s="297" t="str">
        <f>IF('Donor Sample'!Q164="","",'Donor Sample'!Q164)</f>
        <v/>
      </c>
      <c r="AB147" s="296" t="str">
        <f t="shared" si="57"/>
        <v/>
      </c>
      <c r="AC147" s="295" t="str">
        <f>IF('Donor Sample'!R164="","",'Donor Sample'!R164)</f>
        <v/>
      </c>
      <c r="AD147" s="294" t="str">
        <f>IF('Donor Sample'!S164="","",'Donor Sample'!S164/100)</f>
        <v/>
      </c>
      <c r="AE147" s="407" t="e">
        <f t="shared" si="63"/>
        <v>#VALUE!</v>
      </c>
      <c r="AF147" s="293" t="str">
        <f t="shared" si="64"/>
        <v/>
      </c>
      <c r="AG147" s="292" t="str">
        <f>IF('Donor Sample'!T164="","",'Donor Sample'!T164)</f>
        <v/>
      </c>
      <c r="AH147" s="891">
        <f t="shared" si="65"/>
        <v>128</v>
      </c>
      <c r="AI147" s="1220">
        <v>0.93327981233596802</v>
      </c>
      <c r="AJ147" s="1216"/>
    </row>
    <row r="148" spans="5:36">
      <c r="E148" s="299">
        <v>140</v>
      </c>
      <c r="F148" s="308">
        <f t="shared" ca="1" si="53"/>
        <v>3019.0513691211795</v>
      </c>
      <c r="G148" s="307">
        <f t="shared" ca="1" si="54"/>
        <v>211.07387952084699</v>
      </c>
      <c r="H148" s="306">
        <f t="shared" ca="1" si="55"/>
        <v>0.41259402616268509</v>
      </c>
      <c r="I148" s="305">
        <f t="shared" ca="1" si="58"/>
        <v>100.32009636320605</v>
      </c>
      <c r="J148" s="305">
        <f t="shared" ca="1" si="59"/>
        <v>54.070343478020277</v>
      </c>
      <c r="K148" s="292">
        <f t="shared" ca="1" si="56"/>
        <v>8.2588743523449981</v>
      </c>
      <c r="L148" s="1290">
        <f t="shared" ca="1" si="60"/>
        <v>24.156963492592709</v>
      </c>
      <c r="M148" s="299">
        <v>140</v>
      </c>
      <c r="N148" s="304">
        <f t="shared" si="61"/>
        <v>2773.6244400897863</v>
      </c>
      <c r="O148" s="303">
        <v>227.77276458557165</v>
      </c>
      <c r="P148" s="302">
        <v>0.35307858934298841</v>
      </c>
      <c r="Q148" s="301">
        <v>97.425842707890141</v>
      </c>
      <c r="R148" s="301">
        <v>49.90461158437904</v>
      </c>
      <c r="S148" s="300">
        <v>6.186864972692554</v>
      </c>
      <c r="T148" s="891">
        <f t="shared" si="62"/>
        <v>2</v>
      </c>
      <c r="U148" s="1220">
        <v>0.23958897590637207</v>
      </c>
      <c r="W148" s="299">
        <v>140</v>
      </c>
      <c r="X148" s="298">
        <f>IF('Donor Sample'!N165="",,IF('Donor Sample'!N165="F",1,0))</f>
        <v>0</v>
      </c>
      <c r="Y148" s="298" t="str">
        <f>IF('Donor Sample'!O165="","",'Donor Sample'!O165)</f>
        <v/>
      </c>
      <c r="Z148" s="298" t="str">
        <f>IF(AND('Donor Sample'!O165="",'Donor Sample'!P165="",'Donor Sample'!Q165=""),"",IF('Donor Sample'!P165="",ROUND(AA148/($C$32+($AI148-0.5)*$C$31),0),'Donor Sample'!P165))</f>
        <v/>
      </c>
      <c r="AA148" s="297" t="str">
        <f>IF('Donor Sample'!Q165="","",'Donor Sample'!Q165)</f>
        <v/>
      </c>
      <c r="AB148" s="296" t="str">
        <f t="shared" si="57"/>
        <v/>
      </c>
      <c r="AC148" s="295" t="str">
        <f>IF('Donor Sample'!R165="","",'Donor Sample'!R165)</f>
        <v/>
      </c>
      <c r="AD148" s="294" t="str">
        <f>IF('Donor Sample'!S165="","",'Donor Sample'!S165/100)</f>
        <v/>
      </c>
      <c r="AE148" s="293" t="e">
        <f t="shared" si="63"/>
        <v>#VALUE!</v>
      </c>
      <c r="AF148" s="293" t="str">
        <f t="shared" si="64"/>
        <v/>
      </c>
      <c r="AG148" s="292" t="str">
        <f>IF('Donor Sample'!T165="","",'Donor Sample'!T165)</f>
        <v/>
      </c>
      <c r="AH148" s="891">
        <f t="shared" si="65"/>
        <v>2</v>
      </c>
      <c r="AI148" s="1220">
        <v>0.22193121910095215</v>
      </c>
      <c r="AJ148" s="1216"/>
    </row>
    <row r="149" spans="5:36">
      <c r="E149" s="299">
        <v>141</v>
      </c>
      <c r="F149" s="308">
        <f t="shared" ca="1" si="53"/>
        <v>3889.1481438506676</v>
      </c>
      <c r="G149" s="307">
        <f t="shared" ca="1" si="54"/>
        <v>247.38802147482093</v>
      </c>
      <c r="H149" s="306">
        <f t="shared" ca="1" si="55"/>
        <v>0.37815172046909046</v>
      </c>
      <c r="I149" s="305">
        <f t="shared" ca="1" si="58"/>
        <v>121.73096360647884</v>
      </c>
      <c r="J149" s="305">
        <f t="shared" ca="1" si="59"/>
        <v>63.06410348301609</v>
      </c>
      <c r="K149" s="292">
        <f t="shared" ca="1" si="56"/>
        <v>1.4962674395655622</v>
      </c>
      <c r="L149" s="1290">
        <f t="shared" ca="1" si="60"/>
        <v>21.54811410361733</v>
      </c>
      <c r="M149" s="299">
        <v>141</v>
      </c>
      <c r="N149" s="304">
        <f t="shared" si="61"/>
        <v>3459.927945603089</v>
      </c>
      <c r="O149" s="303">
        <v>311.71546880763532</v>
      </c>
      <c r="P149" s="302">
        <v>0.49237328207452008</v>
      </c>
      <c r="Q149" s="301">
        <v>115.22095252950425</v>
      </c>
      <c r="R149" s="301">
        <v>58.011348684832356</v>
      </c>
      <c r="S149" s="300">
        <v>13.87888242867564</v>
      </c>
      <c r="T149" s="891">
        <f t="shared" si="62"/>
        <v>64</v>
      </c>
      <c r="U149" s="1220">
        <v>0.70089191198348999</v>
      </c>
      <c r="W149" s="299">
        <v>141</v>
      </c>
      <c r="X149" s="298">
        <f>IF('Donor Sample'!N166="",,IF('Donor Sample'!N166="F",1,0))</f>
        <v>0</v>
      </c>
      <c r="Y149" s="298" t="str">
        <f>IF('Donor Sample'!O166="","",'Donor Sample'!O166)</f>
        <v/>
      </c>
      <c r="Z149" s="298" t="str">
        <f>IF(AND('Donor Sample'!O166="",'Donor Sample'!P166="",'Donor Sample'!Q166=""),"",IF('Donor Sample'!P166="",ROUND(AA149/($C$32+($AI149-0.5)*$C$31),0),'Donor Sample'!P166))</f>
        <v/>
      </c>
      <c r="AA149" s="297" t="str">
        <f>IF('Donor Sample'!Q166="","",'Donor Sample'!Q166)</f>
        <v/>
      </c>
      <c r="AB149" s="296" t="str">
        <f t="shared" si="57"/>
        <v/>
      </c>
      <c r="AC149" s="295" t="str">
        <f>IF('Donor Sample'!R166="","",'Donor Sample'!R166)</f>
        <v/>
      </c>
      <c r="AD149" s="294" t="str">
        <f>IF('Donor Sample'!S166="","",'Donor Sample'!S166/100)</f>
        <v/>
      </c>
      <c r="AE149" s="293" t="e">
        <f t="shared" si="63"/>
        <v>#VALUE!</v>
      </c>
      <c r="AF149" s="293" t="str">
        <f t="shared" si="64"/>
        <v/>
      </c>
      <c r="AG149" s="292" t="str">
        <f>IF('Donor Sample'!T166="","",'Donor Sample'!T166)</f>
        <v/>
      </c>
      <c r="AH149" s="891">
        <f t="shared" si="65"/>
        <v>2</v>
      </c>
      <c r="AI149" s="1220">
        <v>2.3884713649749756E-2</v>
      </c>
      <c r="AJ149" s="1216"/>
    </row>
    <row r="150" spans="5:36">
      <c r="E150" s="299">
        <v>142</v>
      </c>
      <c r="F150" s="308">
        <f t="shared" ca="1" si="53"/>
        <v>2852.6324679805989</v>
      </c>
      <c r="G150" s="307">
        <f t="shared" ca="1" si="54"/>
        <v>210.60075522145073</v>
      </c>
      <c r="H150" s="306">
        <f t="shared" ca="1" si="55"/>
        <v>0.36654614196949836</v>
      </c>
      <c r="I150" s="305">
        <f t="shared" ca="1" si="58"/>
        <v>100.57443719328964</v>
      </c>
      <c r="J150" s="305">
        <f t="shared" ca="1" si="59"/>
        <v>50.629557832415195</v>
      </c>
      <c r="K150" s="292">
        <f t="shared" ca="1" si="56"/>
        <v>2.3205628751361731</v>
      </c>
      <c r="L150" s="1290">
        <f t="shared" ca="1" si="60"/>
        <v>27.621801568914492</v>
      </c>
      <c r="M150" s="299">
        <v>142</v>
      </c>
      <c r="N150" s="304">
        <f t="shared" si="61"/>
        <v>3390.7342892513457</v>
      </c>
      <c r="O150" s="303">
        <v>272.01569644950121</v>
      </c>
      <c r="P150" s="302">
        <v>0.45493469926467484</v>
      </c>
      <c r="Q150" s="301">
        <v>112.40631622419228</v>
      </c>
      <c r="R150" s="301">
        <v>57.544648228952227</v>
      </c>
      <c r="S150" s="300">
        <v>1.3252964150004236</v>
      </c>
      <c r="T150" s="891">
        <f t="shared" si="62"/>
        <v>32</v>
      </c>
      <c r="U150" s="1220">
        <v>0.83083808422088623</v>
      </c>
      <c r="W150" s="299">
        <v>142</v>
      </c>
      <c r="X150" s="298">
        <f>IF('Donor Sample'!N167="",,IF('Donor Sample'!N167="F",1,0))</f>
        <v>0</v>
      </c>
      <c r="Y150" s="298" t="str">
        <f>IF('Donor Sample'!O167="","",'Donor Sample'!O167)</f>
        <v/>
      </c>
      <c r="Z150" s="298" t="str">
        <f>IF(AND('Donor Sample'!O167="",'Donor Sample'!P167="",'Donor Sample'!Q167=""),"",IF('Donor Sample'!P167="",ROUND(AA150/($C$32+($AI150-0.5)*$C$31),0),'Donor Sample'!P167))</f>
        <v/>
      </c>
      <c r="AA150" s="297" t="str">
        <f>IF('Donor Sample'!Q167="","",'Donor Sample'!Q167)</f>
        <v/>
      </c>
      <c r="AB150" s="296" t="str">
        <f t="shared" si="57"/>
        <v/>
      </c>
      <c r="AC150" s="295" t="str">
        <f>IF('Donor Sample'!R167="","",'Donor Sample'!R167)</f>
        <v/>
      </c>
      <c r="AD150" s="294" t="str">
        <f>IF('Donor Sample'!S167="","",'Donor Sample'!S167/100)</f>
        <v/>
      </c>
      <c r="AE150" s="407" t="e">
        <f t="shared" si="63"/>
        <v>#VALUE!</v>
      </c>
      <c r="AF150" s="293" t="str">
        <f t="shared" si="64"/>
        <v/>
      </c>
      <c r="AG150" s="292" t="str">
        <f>IF('Donor Sample'!T167="","",'Donor Sample'!T167)</f>
        <v/>
      </c>
      <c r="AH150" s="891">
        <f t="shared" si="65"/>
        <v>64</v>
      </c>
      <c r="AI150" s="1220">
        <v>0.55180108547210693</v>
      </c>
      <c r="AJ150" s="1216"/>
    </row>
    <row r="151" spans="5:36">
      <c r="E151" s="299">
        <v>143</v>
      </c>
      <c r="F151" s="308">
        <f t="shared" ca="1" si="53"/>
        <v>2658.9418136453869</v>
      </c>
      <c r="G151" s="307">
        <f t="shared" ca="1" si="54"/>
        <v>234.3625310148575</v>
      </c>
      <c r="H151" s="306">
        <f t="shared" ca="1" si="55"/>
        <v>0.43693843071016891</v>
      </c>
      <c r="I151" s="305">
        <f t="shared" ca="1" si="58"/>
        <v>83.202093245808427</v>
      </c>
      <c r="J151" s="305">
        <f t="shared" ca="1" si="59"/>
        <v>51.894308331086755</v>
      </c>
      <c r="K151" s="292">
        <f t="shared" ca="1" si="56"/>
        <v>2.4530468508428158</v>
      </c>
      <c r="L151" s="1290">
        <f t="shared" ca="1" si="60"/>
        <v>21.750410408051511</v>
      </c>
      <c r="M151" s="299">
        <v>143</v>
      </c>
      <c r="N151" s="304">
        <f t="shared" si="61"/>
        <v>3918.8874985854127</v>
      </c>
      <c r="O151" s="303">
        <v>283.87640827908592</v>
      </c>
      <c r="P151" s="302">
        <v>0.4018816296123503</v>
      </c>
      <c r="Q151" s="301">
        <v>123.94063595237722</v>
      </c>
      <c r="R151" s="301">
        <v>63.028926480803371</v>
      </c>
      <c r="S151" s="300">
        <v>12.477876359372337</v>
      </c>
      <c r="T151" s="891">
        <f t="shared" si="62"/>
        <v>2</v>
      </c>
      <c r="U151" s="1220">
        <v>8.693462610244751E-2</v>
      </c>
      <c r="W151" s="299">
        <v>143</v>
      </c>
      <c r="X151" s="298">
        <f>IF('Donor Sample'!N168="",,IF('Donor Sample'!N168="F",1,0))</f>
        <v>0</v>
      </c>
      <c r="Y151" s="298" t="str">
        <f>IF('Donor Sample'!O168="","",'Donor Sample'!O168)</f>
        <v/>
      </c>
      <c r="Z151" s="298" t="str">
        <f>IF(AND('Donor Sample'!O168="",'Donor Sample'!P168="",'Donor Sample'!Q168=""),"",IF('Donor Sample'!P168="",ROUND(AA151/($C$32+($AI151-0.5)*$C$31),0),'Donor Sample'!P168))</f>
        <v/>
      </c>
      <c r="AA151" s="297" t="str">
        <f>IF('Donor Sample'!Q168="","",'Donor Sample'!Q168)</f>
        <v/>
      </c>
      <c r="AB151" s="296" t="str">
        <f t="shared" si="57"/>
        <v/>
      </c>
      <c r="AC151" s="295" t="str">
        <f>IF('Donor Sample'!R168="","",'Donor Sample'!R168)</f>
        <v/>
      </c>
      <c r="AD151" s="294" t="str">
        <f>IF('Donor Sample'!S168="","",'Donor Sample'!S168/100)</f>
        <v/>
      </c>
      <c r="AE151" s="293" t="e">
        <f t="shared" si="63"/>
        <v>#VALUE!</v>
      </c>
      <c r="AF151" s="293" t="str">
        <f t="shared" si="64"/>
        <v/>
      </c>
      <c r="AG151" s="292" t="str">
        <f>IF('Donor Sample'!T168="","",'Donor Sample'!T168)</f>
        <v/>
      </c>
      <c r="AH151" s="891">
        <f t="shared" si="65"/>
        <v>2</v>
      </c>
      <c r="AI151" s="1220">
        <v>0.3542214035987854</v>
      </c>
      <c r="AJ151" s="1216"/>
    </row>
    <row r="152" spans="5:36">
      <c r="E152" s="299">
        <v>144</v>
      </c>
      <c r="F152" s="308">
        <f t="shared" ca="1" si="53"/>
        <v>3801.4751848482974</v>
      </c>
      <c r="G152" s="307">
        <f t="shared" ca="1" si="54"/>
        <v>267.05625032361644</v>
      </c>
      <c r="H152" s="306">
        <f t="shared" ca="1" si="55"/>
        <v>0.49176757403653537</v>
      </c>
      <c r="I152" s="305">
        <f t="shared" ca="1" si="58"/>
        <v>158.65930341277442</v>
      </c>
      <c r="J152" s="305">
        <f t="shared" ca="1" si="59"/>
        <v>52.72222803762925</v>
      </c>
      <c r="K152" s="292">
        <f t="shared" ca="1" si="56"/>
        <v>3.9181091294680352</v>
      </c>
      <c r="L152" s="1290">
        <f t="shared" ca="1" si="60"/>
        <v>40.183771156845168</v>
      </c>
      <c r="M152" s="299">
        <v>144</v>
      </c>
      <c r="N152" s="304">
        <f t="shared" si="61"/>
        <v>2917.989652347725</v>
      </c>
      <c r="O152" s="303">
        <v>177.62961241329629</v>
      </c>
      <c r="P152" s="302">
        <v>0.35004759429663257</v>
      </c>
      <c r="Q152" s="301">
        <v>92.694182820251655</v>
      </c>
      <c r="R152" s="301">
        <v>54.264536234679852</v>
      </c>
      <c r="S152" s="300">
        <v>3.617161818637018</v>
      </c>
      <c r="T152" s="891">
        <f t="shared" si="62"/>
        <v>32</v>
      </c>
      <c r="U152" s="1220">
        <v>0.81833982467651367</v>
      </c>
      <c r="W152" s="299">
        <v>144</v>
      </c>
      <c r="X152" s="298">
        <f>IF('Donor Sample'!N169="",,IF('Donor Sample'!N169="F",1,0))</f>
        <v>0</v>
      </c>
      <c r="Y152" s="298" t="str">
        <f>IF('Donor Sample'!O169="","",'Donor Sample'!O169)</f>
        <v/>
      </c>
      <c r="Z152" s="298" t="str">
        <f>IF(AND('Donor Sample'!O169="",'Donor Sample'!P169="",'Donor Sample'!Q169=""),"",IF('Donor Sample'!P169="",ROUND(AA152/($C$32+($AI152-0.5)*$C$31),0),'Donor Sample'!P169))</f>
        <v/>
      </c>
      <c r="AA152" s="297" t="str">
        <f>IF('Donor Sample'!Q169="","",'Donor Sample'!Q169)</f>
        <v/>
      </c>
      <c r="AB152" s="296" t="str">
        <f t="shared" si="57"/>
        <v/>
      </c>
      <c r="AC152" s="295" t="str">
        <f>IF('Donor Sample'!R169="","",'Donor Sample'!R169)</f>
        <v/>
      </c>
      <c r="AD152" s="294" t="str">
        <f>IF('Donor Sample'!S169="","",'Donor Sample'!S169/100)</f>
        <v/>
      </c>
      <c r="AE152" s="293" t="e">
        <f t="shared" si="63"/>
        <v>#VALUE!</v>
      </c>
      <c r="AF152" s="293" t="str">
        <f t="shared" si="64"/>
        <v/>
      </c>
      <c r="AG152" s="292" t="str">
        <f>IF('Donor Sample'!T169="","",'Donor Sample'!T169)</f>
        <v/>
      </c>
      <c r="AH152" s="891">
        <f t="shared" si="65"/>
        <v>2</v>
      </c>
      <c r="AI152" s="1220">
        <v>0.2259521484375</v>
      </c>
      <c r="AJ152" s="1216"/>
    </row>
    <row r="153" spans="5:36">
      <c r="E153" s="299">
        <v>145</v>
      </c>
      <c r="F153" s="308">
        <f t="shared" ca="1" si="53"/>
        <v>2916.2827452286019</v>
      </c>
      <c r="G153" s="307">
        <f t="shared" ca="1" si="54"/>
        <v>292.46467057501513</v>
      </c>
      <c r="H153" s="306">
        <f t="shared" ca="1" si="55"/>
        <v>0.41966030587593445</v>
      </c>
      <c r="I153" s="305">
        <f t="shared" ca="1" si="58"/>
        <v>120.81053230495827</v>
      </c>
      <c r="J153" s="305">
        <f t="shared" ca="1" si="59"/>
        <v>45.016571812690863</v>
      </c>
      <c r="K153" s="292">
        <f t="shared" ca="1" si="56"/>
        <v>1.3698494526896603</v>
      </c>
      <c r="L153" s="1290">
        <f t="shared" ca="1" si="60"/>
        <v>41.969386382202487</v>
      </c>
      <c r="M153" s="299">
        <v>145</v>
      </c>
      <c r="N153" s="304">
        <f t="shared" si="61"/>
        <v>3071.2954488073287</v>
      </c>
      <c r="O153" s="303">
        <v>259.60075466662147</v>
      </c>
      <c r="P153" s="302">
        <v>0.39447794454913404</v>
      </c>
      <c r="Q153" s="301">
        <v>109.26286790291174</v>
      </c>
      <c r="R153" s="301">
        <v>52.54225760833102</v>
      </c>
      <c r="S153" s="300">
        <v>1.3313385249886625</v>
      </c>
      <c r="T153" s="891">
        <f t="shared" si="62"/>
        <v>32</v>
      </c>
      <c r="U153" s="1220">
        <v>0.81253975629806519</v>
      </c>
      <c r="W153" s="299">
        <v>145</v>
      </c>
      <c r="X153" s="298">
        <f>IF('Donor Sample'!N170="",,IF('Donor Sample'!N170="F",1,0))</f>
        <v>0</v>
      </c>
      <c r="Y153" s="298" t="str">
        <f>IF('Donor Sample'!O170="","",'Donor Sample'!O170)</f>
        <v/>
      </c>
      <c r="Z153" s="298" t="str">
        <f>IF(AND('Donor Sample'!O170="",'Donor Sample'!P170="",'Donor Sample'!Q170=""),"",IF('Donor Sample'!P170="",ROUND(AA153/($C$32+($AI153-0.5)*$C$31),0),'Donor Sample'!P170))</f>
        <v/>
      </c>
      <c r="AA153" s="297" t="str">
        <f>IF('Donor Sample'!Q170="","",'Donor Sample'!Q170)</f>
        <v/>
      </c>
      <c r="AB153" s="296" t="str">
        <f t="shared" si="57"/>
        <v/>
      </c>
      <c r="AC153" s="295" t="str">
        <f>IF('Donor Sample'!R170="","",'Donor Sample'!R170)</f>
        <v/>
      </c>
      <c r="AD153" s="294" t="str">
        <f>IF('Donor Sample'!S170="","",'Donor Sample'!S170/100)</f>
        <v/>
      </c>
      <c r="AE153" s="407" t="e">
        <f t="shared" si="63"/>
        <v>#VALUE!</v>
      </c>
      <c r="AF153" s="293" t="str">
        <f t="shared" si="64"/>
        <v/>
      </c>
      <c r="AG153" s="292" t="str">
        <f>IF('Donor Sample'!T170="","",'Donor Sample'!T170)</f>
        <v/>
      </c>
      <c r="AH153" s="891">
        <f t="shared" si="65"/>
        <v>64</v>
      </c>
      <c r="AI153" s="1220">
        <v>0.4612848162651062</v>
      </c>
      <c r="AJ153" s="1216"/>
    </row>
    <row r="154" spans="5:36">
      <c r="E154" s="299">
        <v>146</v>
      </c>
      <c r="F154" s="308">
        <f t="shared" ca="1" si="53"/>
        <v>3809.2779491158676</v>
      </c>
      <c r="G154" s="307">
        <f t="shared" ca="1" si="54"/>
        <v>238.54177030195822</v>
      </c>
      <c r="H154" s="306">
        <f t="shared" ca="1" si="55"/>
        <v>0.41855868694046044</v>
      </c>
      <c r="I154" s="305">
        <f t="shared" ca="1" si="58"/>
        <v>119.51249812235972</v>
      </c>
      <c r="J154" s="305">
        <f t="shared" ca="1" si="59"/>
        <v>62.39510248532185</v>
      </c>
      <c r="K154" s="292">
        <f t="shared" ca="1" si="56"/>
        <v>13.010527501092918</v>
      </c>
      <c r="L154" s="1290">
        <f t="shared" ca="1" si="60"/>
        <v>21.611503360019523</v>
      </c>
      <c r="M154" s="299">
        <v>146</v>
      </c>
      <c r="N154" s="304">
        <f t="shared" si="61"/>
        <v>3370.8044003440436</v>
      </c>
      <c r="O154" s="303">
        <v>285.53002868287876</v>
      </c>
      <c r="P154" s="302">
        <v>0.48818244274803763</v>
      </c>
      <c r="Q154" s="301">
        <v>126.59965236252305</v>
      </c>
      <c r="R154" s="301">
        <v>53.457925273030966</v>
      </c>
      <c r="S154" s="300">
        <v>1.5242607857730279</v>
      </c>
      <c r="T154" s="891">
        <f t="shared" si="62"/>
        <v>2</v>
      </c>
      <c r="U154" s="1220">
        <v>0.20219337940216064</v>
      </c>
      <c r="W154" s="299">
        <v>146</v>
      </c>
      <c r="X154" s="298">
        <f>IF('Donor Sample'!N171="",,IF('Donor Sample'!N171="F",1,0))</f>
        <v>0</v>
      </c>
      <c r="Y154" s="298" t="str">
        <f>IF('Donor Sample'!O171="","",'Donor Sample'!O171)</f>
        <v/>
      </c>
      <c r="Z154" s="298" t="str">
        <f>IF(AND('Donor Sample'!O171="",'Donor Sample'!P171="",'Donor Sample'!Q171=""),"",IF('Donor Sample'!P171="",ROUND(AA154/($C$32+($AI154-0.5)*$C$31),0),'Donor Sample'!P171))</f>
        <v/>
      </c>
      <c r="AA154" s="297" t="str">
        <f>IF('Donor Sample'!Q171="","",'Donor Sample'!Q171)</f>
        <v/>
      </c>
      <c r="AB154" s="296" t="str">
        <f t="shared" si="57"/>
        <v/>
      </c>
      <c r="AC154" s="295" t="str">
        <f>IF('Donor Sample'!R171="","",'Donor Sample'!R171)</f>
        <v/>
      </c>
      <c r="AD154" s="294" t="str">
        <f>IF('Donor Sample'!S171="","",'Donor Sample'!S171/100)</f>
        <v/>
      </c>
      <c r="AE154" s="293" t="e">
        <f t="shared" si="63"/>
        <v>#VALUE!</v>
      </c>
      <c r="AF154" s="293" t="str">
        <f t="shared" si="64"/>
        <v/>
      </c>
      <c r="AG154" s="292" t="str">
        <f>IF('Donor Sample'!T171="","",'Donor Sample'!T171)</f>
        <v/>
      </c>
      <c r="AH154" s="891">
        <f t="shared" si="65"/>
        <v>2</v>
      </c>
      <c r="AI154" s="1220">
        <v>0.1412121057510376</v>
      </c>
      <c r="AJ154" s="1216"/>
    </row>
    <row r="155" spans="5:36">
      <c r="E155" s="299">
        <v>147</v>
      </c>
      <c r="F155" s="308">
        <f t="shared" ca="1" si="53"/>
        <v>3828.6326533196398</v>
      </c>
      <c r="G155" s="307">
        <f t="shared" ca="1" si="54"/>
        <v>287.0556012660096</v>
      </c>
      <c r="H155" s="306">
        <f t="shared" ca="1" si="55"/>
        <v>0.50584629655638413</v>
      </c>
      <c r="I155" s="305">
        <f t="shared" ca="1" si="58"/>
        <v>132.76548121341966</v>
      </c>
      <c r="J155" s="305">
        <f t="shared" ca="1" si="59"/>
        <v>59.809414536989209</v>
      </c>
      <c r="K155" s="292">
        <f t="shared" ca="1" si="56"/>
        <v>14.30989658150245</v>
      </c>
      <c r="L155" s="1290">
        <f t="shared" ca="1" si="60"/>
        <v>26.128755841047028</v>
      </c>
      <c r="M155" s="299">
        <v>147</v>
      </c>
      <c r="N155" s="304">
        <f t="shared" si="61"/>
        <v>3195.6505927825783</v>
      </c>
      <c r="O155" s="303">
        <v>179.61377164889024</v>
      </c>
      <c r="P155" s="302">
        <v>0.46599421840907351</v>
      </c>
      <c r="Q155" s="301">
        <v>108.41000224164404</v>
      </c>
      <c r="R155" s="301">
        <v>55.157507335492951</v>
      </c>
      <c r="S155" s="300">
        <v>1.9514291620100703</v>
      </c>
      <c r="T155" s="891">
        <f t="shared" si="62"/>
        <v>2</v>
      </c>
      <c r="U155" s="1220">
        <v>0.10397225618362427</v>
      </c>
      <c r="W155" s="299">
        <v>147</v>
      </c>
      <c r="X155" s="298">
        <f>IF('Donor Sample'!N172="",,IF('Donor Sample'!N172="F",1,0))</f>
        <v>0</v>
      </c>
      <c r="Y155" s="298" t="str">
        <f>IF('Donor Sample'!O172="","",'Donor Sample'!O172)</f>
        <v/>
      </c>
      <c r="Z155" s="298" t="str">
        <f>IF(AND('Donor Sample'!O172="",'Donor Sample'!P172="",'Donor Sample'!Q172=""),"",IF('Donor Sample'!P172="",ROUND(AA155/($C$32+($AI155-0.5)*$C$31),0),'Donor Sample'!P172))</f>
        <v/>
      </c>
      <c r="AA155" s="297" t="str">
        <f>IF('Donor Sample'!Q172="","",'Donor Sample'!Q172)</f>
        <v/>
      </c>
      <c r="AB155" s="296" t="str">
        <f t="shared" si="57"/>
        <v/>
      </c>
      <c r="AC155" s="295" t="str">
        <f>IF('Donor Sample'!R172="","",'Donor Sample'!R172)</f>
        <v/>
      </c>
      <c r="AD155" s="294" t="str">
        <f>IF('Donor Sample'!S172="","",'Donor Sample'!S172/100)</f>
        <v/>
      </c>
      <c r="AE155" s="293" t="e">
        <f t="shared" si="63"/>
        <v>#VALUE!</v>
      </c>
      <c r="AF155" s="293" t="str">
        <f t="shared" si="64"/>
        <v/>
      </c>
      <c r="AG155" s="292" t="str">
        <f>IF('Donor Sample'!T172="","",'Donor Sample'!T172)</f>
        <v/>
      </c>
      <c r="AH155" s="891">
        <f t="shared" si="65"/>
        <v>2</v>
      </c>
      <c r="AI155" s="1220">
        <v>0.13115435838699341</v>
      </c>
      <c r="AJ155" s="1216"/>
    </row>
    <row r="156" spans="5:36">
      <c r="E156" s="299">
        <v>148</v>
      </c>
      <c r="F156" s="308">
        <f t="shared" ca="1" si="53"/>
        <v>3915.3664067015143</v>
      </c>
      <c r="G156" s="307">
        <f t="shared" ca="1" si="54"/>
        <v>198.57808814299685</v>
      </c>
      <c r="H156" s="306">
        <f t="shared" ca="1" si="55"/>
        <v>0.4249654775325154</v>
      </c>
      <c r="I156" s="305">
        <f t="shared" ca="1" si="58"/>
        <v>155.51917387747059</v>
      </c>
      <c r="J156" s="305">
        <f t="shared" ca="1" si="59"/>
        <v>55.733231096336603</v>
      </c>
      <c r="K156" s="292">
        <f t="shared" ca="1" si="56"/>
        <v>1.3827712794694518</v>
      </c>
      <c r="L156" s="1290">
        <f t="shared" ca="1" si="60"/>
        <v>35.247486779615265</v>
      </c>
      <c r="M156" s="299">
        <v>148</v>
      </c>
      <c r="N156" s="304">
        <f t="shared" si="61"/>
        <v>3917.4236118279177</v>
      </c>
      <c r="O156" s="303">
        <v>249.6882844453763</v>
      </c>
      <c r="P156" s="302">
        <v>0.44023717781837285</v>
      </c>
      <c r="Q156" s="301">
        <v>145.68505873721023</v>
      </c>
      <c r="R156" s="301">
        <v>58.220157566056841</v>
      </c>
      <c r="S156" s="300">
        <v>1.2508118954199059</v>
      </c>
      <c r="T156" s="891">
        <f t="shared" si="62"/>
        <v>64</v>
      </c>
      <c r="U156" s="1220">
        <v>0.6239163875579834</v>
      </c>
      <c r="W156" s="299">
        <v>148</v>
      </c>
      <c r="X156" s="298">
        <f>IF('Donor Sample'!N173="",,IF('Donor Sample'!N173="F",1,0))</f>
        <v>0</v>
      </c>
      <c r="Y156" s="298" t="str">
        <f>IF('Donor Sample'!O173="","",'Donor Sample'!O173)</f>
        <v/>
      </c>
      <c r="Z156" s="298" t="str">
        <f>IF(AND('Donor Sample'!O173="",'Donor Sample'!P173="",'Donor Sample'!Q173=""),"",IF('Donor Sample'!P173="",ROUND(AA156/($C$32+($AI156-0.5)*$C$31),0),'Donor Sample'!P173))</f>
        <v/>
      </c>
      <c r="AA156" s="297" t="str">
        <f>IF('Donor Sample'!Q173="","",'Donor Sample'!Q173)</f>
        <v/>
      </c>
      <c r="AB156" s="296" t="str">
        <f t="shared" si="57"/>
        <v/>
      </c>
      <c r="AC156" s="295" t="str">
        <f>IF('Donor Sample'!R173="","",'Donor Sample'!R173)</f>
        <v/>
      </c>
      <c r="AD156" s="294" t="str">
        <f>IF('Donor Sample'!S173="","",'Donor Sample'!S173/100)</f>
        <v/>
      </c>
      <c r="AE156" s="407" t="e">
        <f t="shared" si="63"/>
        <v>#VALUE!</v>
      </c>
      <c r="AF156" s="293" t="str">
        <f t="shared" si="64"/>
        <v/>
      </c>
      <c r="AG156" s="292" t="str">
        <f>IF('Donor Sample'!T173="","",'Donor Sample'!T173)</f>
        <v/>
      </c>
      <c r="AH156" s="891">
        <f t="shared" si="65"/>
        <v>64</v>
      </c>
      <c r="AI156" s="1220">
        <v>0.50965523719787598</v>
      </c>
      <c r="AJ156" s="1216"/>
    </row>
    <row r="157" spans="5:36">
      <c r="E157" s="299">
        <v>149</v>
      </c>
      <c r="F157" s="308">
        <f t="shared" ca="1" si="53"/>
        <v>2643.1180416787365</v>
      </c>
      <c r="G157" s="307">
        <f t="shared" ca="1" si="54"/>
        <v>207.52574407927051</v>
      </c>
      <c r="H157" s="306">
        <f t="shared" ca="1" si="55"/>
        <v>0.37244993457587883</v>
      </c>
      <c r="I157" s="305">
        <f t="shared" ca="1" si="58"/>
        <v>94.89120153857904</v>
      </c>
      <c r="J157" s="305">
        <f t="shared" ca="1" si="59"/>
        <v>47.729616360629208</v>
      </c>
      <c r="K157" s="292">
        <f t="shared" ca="1" si="56"/>
        <v>4.2332888577781951</v>
      </c>
      <c r="L157" s="1290">
        <f t="shared" ca="1" si="60"/>
        <v>29.323966704534012</v>
      </c>
      <c r="M157" s="299">
        <v>149</v>
      </c>
      <c r="N157" s="304">
        <f t="shared" si="61"/>
        <v>3582.9510546273486</v>
      </c>
      <c r="O157" s="303">
        <v>240.23961603066695</v>
      </c>
      <c r="P157" s="302">
        <v>0.39748289404954029</v>
      </c>
      <c r="Q157" s="301">
        <v>119.10668940721744</v>
      </c>
      <c r="R157" s="301">
        <v>59.083579597506457</v>
      </c>
      <c r="S157" s="300">
        <v>5.7198093242443946</v>
      </c>
      <c r="T157" s="891">
        <f t="shared" si="62"/>
        <v>2</v>
      </c>
      <c r="U157" s="1220">
        <v>7.5741708278656006E-2</v>
      </c>
      <c r="W157" s="299">
        <v>149</v>
      </c>
      <c r="X157" s="298">
        <f>IF('Donor Sample'!N174="",,IF('Donor Sample'!N174="F",1,0))</f>
        <v>0</v>
      </c>
      <c r="Y157" s="298" t="str">
        <f>IF('Donor Sample'!O174="","",'Donor Sample'!O174)</f>
        <v/>
      </c>
      <c r="Z157" s="298" t="str">
        <f>IF(AND('Donor Sample'!O174="",'Donor Sample'!P174="",'Donor Sample'!Q174=""),"",IF('Donor Sample'!P174="",ROUND(AA157/($C$32+($AI157-0.5)*$C$31),0),'Donor Sample'!P174))</f>
        <v/>
      </c>
      <c r="AA157" s="297" t="str">
        <f>IF('Donor Sample'!Q174="","",'Donor Sample'!Q174)</f>
        <v/>
      </c>
      <c r="AB157" s="296" t="str">
        <f t="shared" si="57"/>
        <v/>
      </c>
      <c r="AC157" s="295" t="str">
        <f>IF('Donor Sample'!R174="","",'Donor Sample'!R174)</f>
        <v/>
      </c>
      <c r="AD157" s="294" t="str">
        <f>IF('Donor Sample'!S174="","",'Donor Sample'!S174/100)</f>
        <v/>
      </c>
      <c r="AE157" s="293" t="e">
        <f t="shared" si="63"/>
        <v>#VALUE!</v>
      </c>
      <c r="AF157" s="293" t="str">
        <f t="shared" si="64"/>
        <v/>
      </c>
      <c r="AG157" s="292" t="str">
        <f>IF('Donor Sample'!T174="","",'Donor Sample'!T174)</f>
        <v/>
      </c>
      <c r="AH157" s="891">
        <f t="shared" si="65"/>
        <v>2</v>
      </c>
      <c r="AI157" s="1220">
        <v>1.6669690608978271E-2</v>
      </c>
      <c r="AJ157" s="1216"/>
    </row>
    <row r="158" spans="5:36">
      <c r="E158" s="299">
        <v>150</v>
      </c>
      <c r="F158" s="308">
        <f t="shared" ca="1" si="53"/>
        <v>2749.6297298183581</v>
      </c>
      <c r="G158" s="307">
        <f t="shared" ca="1" si="54"/>
        <v>187.13563561586071</v>
      </c>
      <c r="H158" s="306">
        <f t="shared" ca="1" si="55"/>
        <v>0.46210972287624613</v>
      </c>
      <c r="I158" s="305">
        <f t="shared" ca="1" si="58"/>
        <v>92.332741778349771</v>
      </c>
      <c r="J158" s="305">
        <f t="shared" ca="1" si="59"/>
        <v>51.001574994585035</v>
      </c>
      <c r="K158" s="292">
        <f t="shared" ca="1" si="56"/>
        <v>2.1433481736382882</v>
      </c>
      <c r="L158" s="1290">
        <f t="shared" ca="1" si="60"/>
        <v>24.989709944970542</v>
      </c>
      <c r="M158" s="299">
        <v>150</v>
      </c>
      <c r="N158" s="304">
        <f t="shared" si="61"/>
        <v>3850.7289895417885</v>
      </c>
      <c r="O158" s="303">
        <v>240.57636359701803</v>
      </c>
      <c r="P158" s="302">
        <v>0.43052207136635656</v>
      </c>
      <c r="Q158" s="301">
        <v>146.02253450245712</v>
      </c>
      <c r="R158" s="301">
        <v>57.024216585580213</v>
      </c>
      <c r="S158" s="300">
        <v>2.0493710685473592</v>
      </c>
      <c r="T158" s="891">
        <f t="shared" si="62"/>
        <v>64</v>
      </c>
      <c r="U158" s="1220">
        <v>0.62279260158538818</v>
      </c>
      <c r="W158" s="299">
        <v>150</v>
      </c>
      <c r="X158" s="298">
        <f>IF('Donor Sample'!N175="",,IF('Donor Sample'!N175="F",1,0))</f>
        <v>0</v>
      </c>
      <c r="Y158" s="298" t="str">
        <f>IF('Donor Sample'!O175="","",'Donor Sample'!O175)</f>
        <v/>
      </c>
      <c r="Z158" s="298" t="str">
        <f>IF(AND('Donor Sample'!O175="",'Donor Sample'!P175="",'Donor Sample'!Q175=""),"",IF('Donor Sample'!P175="",ROUND(AA158/($C$32+($AI158-0.5)*$C$31),0),'Donor Sample'!P175))</f>
        <v/>
      </c>
      <c r="AA158" s="297" t="str">
        <f>IF('Donor Sample'!Q175="","",'Donor Sample'!Q175)</f>
        <v/>
      </c>
      <c r="AB158" s="296" t="str">
        <f t="shared" si="57"/>
        <v/>
      </c>
      <c r="AC158" s="295" t="str">
        <f>IF('Donor Sample'!R175="","",'Donor Sample'!R175)</f>
        <v/>
      </c>
      <c r="AD158" s="294" t="str">
        <f>IF('Donor Sample'!S175="","",'Donor Sample'!S175/100)</f>
        <v/>
      </c>
      <c r="AE158" s="293" t="e">
        <f t="shared" si="63"/>
        <v>#VALUE!</v>
      </c>
      <c r="AF158" s="293" t="str">
        <f t="shared" si="64"/>
        <v/>
      </c>
      <c r="AG158" s="292" t="str">
        <f>IF('Donor Sample'!T175="","",'Donor Sample'!T175)</f>
        <v/>
      </c>
      <c r="AH158" s="891">
        <f t="shared" si="65"/>
        <v>64</v>
      </c>
      <c r="AI158" s="1220">
        <v>0.50557506084442139</v>
      </c>
      <c r="AJ158" s="1216"/>
    </row>
    <row r="159" spans="5:36">
      <c r="E159" s="299">
        <v>151</v>
      </c>
      <c r="F159" s="308">
        <f t="shared" ca="1" si="53"/>
        <v>4119.3624726581274</v>
      </c>
      <c r="G159" s="307">
        <f t="shared" ca="1" si="54"/>
        <v>209.3265675442066</v>
      </c>
      <c r="H159" s="306">
        <f t="shared" ca="1" si="55"/>
        <v>0.37496493206096804</v>
      </c>
      <c r="I159" s="305">
        <f t="shared" ca="1" si="58"/>
        <v>161.22409271548457</v>
      </c>
      <c r="J159" s="305">
        <f t="shared" ca="1" si="59"/>
        <v>57.809461511370209</v>
      </c>
      <c r="K159" s="292">
        <f t="shared" ca="1" si="56"/>
        <v>1.7761229967621732</v>
      </c>
      <c r="L159" s="1290">
        <f t="shared" ca="1" si="60"/>
        <v>33.962898937500711</v>
      </c>
      <c r="M159" s="299">
        <v>151</v>
      </c>
      <c r="N159" s="304">
        <f t="shared" si="61"/>
        <v>4397.6476647137642</v>
      </c>
      <c r="O159" s="303">
        <v>183.83249982834511</v>
      </c>
      <c r="P159" s="302">
        <v>0.36770029223408707</v>
      </c>
      <c r="Q159" s="301">
        <v>165.12150738137996</v>
      </c>
      <c r="R159" s="301">
        <v>61.270935396396098</v>
      </c>
      <c r="S159" s="300">
        <v>2.1993662114144934</v>
      </c>
      <c r="T159" s="891">
        <f t="shared" si="62"/>
        <v>64</v>
      </c>
      <c r="U159" s="1220">
        <v>0.46155935525894165</v>
      </c>
      <c r="W159" s="299">
        <v>151</v>
      </c>
      <c r="X159" s="298">
        <f>IF('Donor Sample'!N176="",,IF('Donor Sample'!N176="F",1,0))</f>
        <v>0</v>
      </c>
      <c r="Y159" s="298" t="str">
        <f>IF('Donor Sample'!O176="","",'Donor Sample'!O176)</f>
        <v/>
      </c>
      <c r="Z159" s="298" t="str">
        <f>IF(AND('Donor Sample'!O176="",'Donor Sample'!P176="",'Donor Sample'!Q176=""),"",IF('Donor Sample'!P176="",ROUND(AA159/($C$32+($AI159-0.5)*$C$31),0),'Donor Sample'!P176))</f>
        <v/>
      </c>
      <c r="AA159" s="297" t="str">
        <f>IF('Donor Sample'!Q176="","",'Donor Sample'!Q176)</f>
        <v/>
      </c>
      <c r="AB159" s="296" t="str">
        <f t="shared" si="57"/>
        <v/>
      </c>
      <c r="AC159" s="295" t="str">
        <f>IF('Donor Sample'!R176="","",'Donor Sample'!R176)</f>
        <v/>
      </c>
      <c r="AD159" s="294" t="str">
        <f>IF('Donor Sample'!S176="","",'Donor Sample'!S176/100)</f>
        <v/>
      </c>
      <c r="AE159" s="407" t="e">
        <f t="shared" si="63"/>
        <v>#VALUE!</v>
      </c>
      <c r="AF159" s="293" t="str">
        <f t="shared" si="64"/>
        <v/>
      </c>
      <c r="AG159" s="292" t="str">
        <f>IF('Donor Sample'!T176="","",'Donor Sample'!T176)</f>
        <v/>
      </c>
      <c r="AH159" s="891">
        <f t="shared" si="65"/>
        <v>2</v>
      </c>
      <c r="AI159" s="1220">
        <v>0.19651275873184204</v>
      </c>
      <c r="AJ159" s="1216"/>
    </row>
    <row r="160" spans="5:36">
      <c r="E160" s="299">
        <v>152</v>
      </c>
      <c r="F160" s="308">
        <f t="shared" ca="1" si="53"/>
        <v>3424.4235380627879</v>
      </c>
      <c r="G160" s="307">
        <f t="shared" ca="1" si="54"/>
        <v>265.42996164002227</v>
      </c>
      <c r="H160" s="306">
        <f t="shared" ca="1" si="55"/>
        <v>0.35557941846371732</v>
      </c>
      <c r="I160" s="305">
        <f t="shared" ca="1" si="58"/>
        <v>115.42145638940869</v>
      </c>
      <c r="J160" s="305">
        <f t="shared" ca="1" si="59"/>
        <v>57.371133649569934</v>
      </c>
      <c r="K160" s="292">
        <f t="shared" ca="1" si="56"/>
        <v>1.7613481672829356</v>
      </c>
      <c r="L160" s="1290">
        <f t="shared" ca="1" si="60"/>
        <v>24.687229016536158</v>
      </c>
      <c r="M160" s="299">
        <v>152</v>
      </c>
      <c r="N160" s="304">
        <f t="shared" si="61"/>
        <v>3648.3264728497243</v>
      </c>
      <c r="O160" s="303">
        <v>259.70964536337834</v>
      </c>
      <c r="P160" s="302">
        <v>0.37382058521755512</v>
      </c>
      <c r="Q160" s="301">
        <v>133.81991338129893</v>
      </c>
      <c r="R160" s="301">
        <v>56.607802803625816</v>
      </c>
      <c r="S160" s="300">
        <v>2.1946591522643097</v>
      </c>
      <c r="T160" s="891">
        <f t="shared" si="62"/>
        <v>128</v>
      </c>
      <c r="U160" s="1220">
        <v>0.94300079345703125</v>
      </c>
      <c r="W160" s="299">
        <v>152</v>
      </c>
      <c r="X160" s="298">
        <f>IF('Donor Sample'!N177="",,IF('Donor Sample'!N177="F",1,0))</f>
        <v>0</v>
      </c>
      <c r="Y160" s="298" t="str">
        <f>IF('Donor Sample'!O177="","",'Donor Sample'!O177)</f>
        <v/>
      </c>
      <c r="Z160" s="298" t="str">
        <f>IF(AND('Donor Sample'!O177="",'Donor Sample'!P177="",'Donor Sample'!Q177=""),"",IF('Donor Sample'!P177="",ROUND(AA160/($C$32+($AI160-0.5)*$C$31),0),'Donor Sample'!P177))</f>
        <v/>
      </c>
      <c r="AA160" s="297" t="str">
        <f>IF('Donor Sample'!Q177="","",'Donor Sample'!Q177)</f>
        <v/>
      </c>
      <c r="AB160" s="296" t="str">
        <f t="shared" si="57"/>
        <v/>
      </c>
      <c r="AC160" s="295" t="str">
        <f>IF('Donor Sample'!R177="","",'Donor Sample'!R177)</f>
        <v/>
      </c>
      <c r="AD160" s="294" t="str">
        <f>IF('Donor Sample'!S177="","",'Donor Sample'!S177/100)</f>
        <v/>
      </c>
      <c r="AE160" s="293" t="e">
        <f t="shared" si="63"/>
        <v>#VALUE!</v>
      </c>
      <c r="AF160" s="293" t="str">
        <f t="shared" si="64"/>
        <v/>
      </c>
      <c r="AG160" s="292" t="str">
        <f>IF('Donor Sample'!T177="","",'Donor Sample'!T177)</f>
        <v/>
      </c>
      <c r="AH160" s="891">
        <f t="shared" si="65"/>
        <v>2</v>
      </c>
      <c r="AI160" s="1220">
        <v>8.8238239288330078E-2</v>
      </c>
      <c r="AJ160" s="1216"/>
    </row>
    <row r="161" spans="5:36">
      <c r="E161" s="299">
        <v>153</v>
      </c>
      <c r="F161" s="308">
        <f t="shared" ca="1" si="53"/>
        <v>3075.208025826807</v>
      </c>
      <c r="G161" s="307">
        <f t="shared" ca="1" si="54"/>
        <v>288.00836007181772</v>
      </c>
      <c r="H161" s="306">
        <f t="shared" ca="1" si="55"/>
        <v>0.37703471734495669</v>
      </c>
      <c r="I161" s="305">
        <f t="shared" ca="1" si="58"/>
        <v>109.23696749675433</v>
      </c>
      <c r="J161" s="305">
        <f t="shared" ca="1" si="59"/>
        <v>52.628289975126961</v>
      </c>
      <c r="K161" s="292">
        <f t="shared" ca="1" si="56"/>
        <v>1.5366343953534092</v>
      </c>
      <c r="L161" s="1290">
        <f t="shared" ca="1" si="60"/>
        <v>27.765389903742978</v>
      </c>
      <c r="M161" s="299">
        <v>153</v>
      </c>
      <c r="N161" s="304">
        <f t="shared" si="61"/>
        <v>4173.9813219311545</v>
      </c>
      <c r="O161" s="303">
        <v>263.5819104230946</v>
      </c>
      <c r="P161" s="302">
        <v>0.43527329495638617</v>
      </c>
      <c r="Q161" s="301">
        <v>161.91753103955281</v>
      </c>
      <c r="R161" s="301">
        <v>58.538423509146938</v>
      </c>
      <c r="S161" s="300">
        <v>2.7740591804319208</v>
      </c>
      <c r="T161" s="891">
        <f t="shared" si="62"/>
        <v>2</v>
      </c>
      <c r="U161" s="1220">
        <v>0.19295138120651245</v>
      </c>
      <c r="W161" s="299">
        <v>153</v>
      </c>
      <c r="X161" s="298">
        <f>IF('Donor Sample'!N178="",,IF('Donor Sample'!N178="F",1,0))</f>
        <v>0</v>
      </c>
      <c r="Y161" s="298" t="str">
        <f>IF('Donor Sample'!O178="","",'Donor Sample'!O178)</f>
        <v/>
      </c>
      <c r="Z161" s="298" t="str">
        <f>IF(AND('Donor Sample'!O178="",'Donor Sample'!P178="",'Donor Sample'!Q178=""),"",IF('Donor Sample'!P178="",ROUND(AA161/($C$32+($AI161-0.5)*$C$31),0),'Donor Sample'!P178))</f>
        <v/>
      </c>
      <c r="AA161" s="297" t="str">
        <f>IF('Donor Sample'!Q178="","",'Donor Sample'!Q178)</f>
        <v/>
      </c>
      <c r="AB161" s="296" t="str">
        <f t="shared" si="57"/>
        <v/>
      </c>
      <c r="AC161" s="295" t="str">
        <f>IF('Donor Sample'!R178="","",'Donor Sample'!R178)</f>
        <v/>
      </c>
      <c r="AD161" s="294" t="str">
        <f>IF('Donor Sample'!S178="","",'Donor Sample'!S178/100)</f>
        <v/>
      </c>
      <c r="AE161" s="293" t="e">
        <f t="shared" si="63"/>
        <v>#VALUE!</v>
      </c>
      <c r="AF161" s="293" t="str">
        <f t="shared" si="64"/>
        <v/>
      </c>
      <c r="AG161" s="292" t="str">
        <f>IF('Donor Sample'!T178="","",'Donor Sample'!T178)</f>
        <v/>
      </c>
      <c r="AH161" s="891">
        <f t="shared" si="65"/>
        <v>2</v>
      </c>
      <c r="AI161" s="1220">
        <v>0.20694607496261597</v>
      </c>
      <c r="AJ161" s="1216"/>
    </row>
    <row r="162" spans="5:36">
      <c r="E162" s="299">
        <v>154</v>
      </c>
      <c r="F162" s="308">
        <f t="shared" ca="1" si="53"/>
        <v>3459.0052839871905</v>
      </c>
      <c r="G162" s="307">
        <f t="shared" ca="1" si="54"/>
        <v>223.97685189192893</v>
      </c>
      <c r="H162" s="306">
        <f t="shared" ca="1" si="55"/>
        <v>0.40349399735508967</v>
      </c>
      <c r="I162" s="305">
        <f t="shared" ca="1" si="58"/>
        <v>110.72425127824073</v>
      </c>
      <c r="J162" s="305">
        <f t="shared" ca="1" si="59"/>
        <v>59.058757525228977</v>
      </c>
      <c r="K162" s="292">
        <f t="shared" ca="1" si="56"/>
        <v>3.9709404779255872</v>
      </c>
      <c r="L162" s="1290">
        <f t="shared" ca="1" si="60"/>
        <v>22.348418697401193</v>
      </c>
      <c r="M162" s="299">
        <v>154</v>
      </c>
      <c r="N162" s="304">
        <f t="shared" si="61"/>
        <v>3529.3863674276608</v>
      </c>
      <c r="O162" s="303">
        <v>197.2920383993023</v>
      </c>
      <c r="P162" s="302">
        <v>0.44310708989251973</v>
      </c>
      <c r="Q162" s="301">
        <v>126.9386183016737</v>
      </c>
      <c r="R162" s="301">
        <v>56.286349595671147</v>
      </c>
      <c r="S162" s="300">
        <v>5.6648776836429002</v>
      </c>
      <c r="T162" s="891">
        <f t="shared" si="62"/>
        <v>2</v>
      </c>
      <c r="U162" s="1220">
        <v>0.29777491092681885</v>
      </c>
      <c r="W162" s="299">
        <v>154</v>
      </c>
      <c r="X162" s="298">
        <f>IF('Donor Sample'!N179="",,IF('Donor Sample'!N179="F",1,0))</f>
        <v>0</v>
      </c>
      <c r="Y162" s="298" t="str">
        <f>IF('Donor Sample'!O179="","",'Donor Sample'!O179)</f>
        <v/>
      </c>
      <c r="Z162" s="298" t="str">
        <f>IF(AND('Donor Sample'!O179="",'Donor Sample'!P179="",'Donor Sample'!Q179=""),"",IF('Donor Sample'!P179="",ROUND(AA162/($C$32+($AI162-0.5)*$C$31),0),'Donor Sample'!P179))</f>
        <v/>
      </c>
      <c r="AA162" s="297" t="str">
        <f>IF('Donor Sample'!Q179="","",'Donor Sample'!Q179)</f>
        <v/>
      </c>
      <c r="AB162" s="296" t="str">
        <f t="shared" si="57"/>
        <v/>
      </c>
      <c r="AC162" s="295" t="str">
        <f>IF('Donor Sample'!R179="","",'Donor Sample'!R179)</f>
        <v/>
      </c>
      <c r="AD162" s="294" t="str">
        <f>IF('Donor Sample'!S179="","",'Donor Sample'!S179/100)</f>
        <v/>
      </c>
      <c r="AE162" s="407" t="e">
        <f t="shared" si="63"/>
        <v>#VALUE!</v>
      </c>
      <c r="AF162" s="293" t="str">
        <f t="shared" si="64"/>
        <v/>
      </c>
      <c r="AG162" s="292" t="str">
        <f>IF('Donor Sample'!T179="","",'Donor Sample'!T179)</f>
        <v/>
      </c>
      <c r="AH162" s="891">
        <f t="shared" si="65"/>
        <v>4</v>
      </c>
      <c r="AI162" s="1220">
        <v>0.4066697359085083</v>
      </c>
      <c r="AJ162" s="1216"/>
    </row>
    <row r="163" spans="5:36">
      <c r="E163" s="299">
        <v>155</v>
      </c>
      <c r="F163" s="308">
        <f t="shared" ca="1" si="53"/>
        <v>3504.7296597187424</v>
      </c>
      <c r="G163" s="307">
        <f t="shared" ca="1" si="54"/>
        <v>235.68662865534839</v>
      </c>
      <c r="H163" s="306">
        <f t="shared" ca="1" si="55"/>
        <v>0.35312475768042945</v>
      </c>
      <c r="I163" s="305">
        <f t="shared" ca="1" si="58"/>
        <v>108.09683656113997</v>
      </c>
      <c r="J163" s="305">
        <f t="shared" ca="1" si="59"/>
        <v>60.366218423394137</v>
      </c>
      <c r="K163" s="292">
        <f t="shared" ca="1" si="56"/>
        <v>1.8671093998444239</v>
      </c>
      <c r="L163" s="1290">
        <f t="shared" ca="1" si="60"/>
        <v>20.883231464631969</v>
      </c>
      <c r="M163" s="299">
        <v>155</v>
      </c>
      <c r="N163" s="304">
        <f t="shared" si="61"/>
        <v>2692.1434747517915</v>
      </c>
      <c r="O163" s="303">
        <v>246.11380462865367</v>
      </c>
      <c r="P163" s="302">
        <v>0.39081903409175989</v>
      </c>
      <c r="Q163" s="301">
        <v>104.16742763858905</v>
      </c>
      <c r="R163" s="301">
        <v>45.526509738635767</v>
      </c>
      <c r="S163" s="300">
        <v>1.759594587432967</v>
      </c>
      <c r="T163" s="891">
        <f t="shared" si="62"/>
        <v>64</v>
      </c>
      <c r="U163" s="1220">
        <v>0.60677844285964966</v>
      </c>
      <c r="W163" s="299">
        <v>155</v>
      </c>
      <c r="X163" s="298">
        <f>IF('Donor Sample'!N180="",,IF('Donor Sample'!N180="F",1,0))</f>
        <v>0</v>
      </c>
      <c r="Y163" s="298" t="str">
        <f>IF('Donor Sample'!O180="","",'Donor Sample'!O180)</f>
        <v/>
      </c>
      <c r="Z163" s="298" t="str">
        <f>IF(AND('Donor Sample'!O180="",'Donor Sample'!P180="",'Donor Sample'!Q180=""),"",IF('Donor Sample'!P180="",ROUND(AA163/($C$32+($AI163-0.5)*$C$31),0),'Donor Sample'!P180))</f>
        <v/>
      </c>
      <c r="AA163" s="297" t="str">
        <f>IF('Donor Sample'!Q180="","",'Donor Sample'!Q180)</f>
        <v/>
      </c>
      <c r="AB163" s="296" t="str">
        <f t="shared" si="57"/>
        <v/>
      </c>
      <c r="AC163" s="295" t="str">
        <f>IF('Donor Sample'!R180="","",'Donor Sample'!R180)</f>
        <v/>
      </c>
      <c r="AD163" s="294" t="str">
        <f>IF('Donor Sample'!S180="","",'Donor Sample'!S180/100)</f>
        <v/>
      </c>
      <c r="AE163" s="293" t="e">
        <f t="shared" si="63"/>
        <v>#VALUE!</v>
      </c>
      <c r="AF163" s="293" t="str">
        <f t="shared" si="64"/>
        <v/>
      </c>
      <c r="AG163" s="292" t="str">
        <f>IF('Donor Sample'!T180="","",'Donor Sample'!T180)</f>
        <v/>
      </c>
      <c r="AH163" s="891">
        <f t="shared" si="65"/>
        <v>2</v>
      </c>
      <c r="AI163" s="1220">
        <v>0.3274572491645813</v>
      </c>
      <c r="AJ163" s="1216"/>
    </row>
    <row r="164" spans="5:36">
      <c r="E164" s="299">
        <v>156</v>
      </c>
      <c r="F164" s="308">
        <f t="shared" ca="1" si="53"/>
        <v>3478.8192480535986</v>
      </c>
      <c r="G164" s="307">
        <f t="shared" ca="1" si="54"/>
        <v>214.60848028319998</v>
      </c>
      <c r="H164" s="306">
        <f t="shared" ca="1" si="55"/>
        <v>0.4383191179314001</v>
      </c>
      <c r="I164" s="305">
        <f t="shared" ca="1" si="58"/>
        <v>121.50705528442991</v>
      </c>
      <c r="J164" s="305">
        <f t="shared" ca="1" si="59"/>
        <v>56.784780599390785</v>
      </c>
      <c r="K164" s="292">
        <f t="shared" ca="1" si="56"/>
        <v>5.7434551469711037</v>
      </c>
      <c r="L164" s="1290">
        <f t="shared" ca="1" si="60"/>
        <v>26.528350735013593</v>
      </c>
      <c r="M164" s="299">
        <v>156</v>
      </c>
      <c r="N164" s="304">
        <f t="shared" si="61"/>
        <v>3259.6278158815267</v>
      </c>
      <c r="O164" s="303">
        <v>227.7509083936346</v>
      </c>
      <c r="P164" s="302">
        <v>0.46454857647413222</v>
      </c>
      <c r="Q164" s="301">
        <v>100.822832092683</v>
      </c>
      <c r="R164" s="301">
        <v>58.174201517429047</v>
      </c>
      <c r="S164" s="300">
        <v>1.591714860844238</v>
      </c>
      <c r="T164" s="891">
        <f t="shared" si="62"/>
        <v>2</v>
      </c>
      <c r="U164" s="1220">
        <v>0.24684548377990723</v>
      </c>
      <c r="W164" s="299">
        <v>156</v>
      </c>
      <c r="X164" s="298">
        <f>IF('Donor Sample'!N181="",,IF('Donor Sample'!N181="F",1,0))</f>
        <v>0</v>
      </c>
      <c r="Y164" s="298" t="str">
        <f>IF('Donor Sample'!O181="","",'Donor Sample'!O181)</f>
        <v/>
      </c>
      <c r="Z164" s="298" t="str">
        <f>IF(AND('Donor Sample'!O181="",'Donor Sample'!P181="",'Donor Sample'!Q181=""),"",IF('Donor Sample'!P181="",ROUND(AA164/($C$32+($AI164-0.5)*$C$31),0),'Donor Sample'!P181))</f>
        <v/>
      </c>
      <c r="AA164" s="297" t="str">
        <f>IF('Donor Sample'!Q181="","",'Donor Sample'!Q181)</f>
        <v/>
      </c>
      <c r="AB164" s="296" t="str">
        <f t="shared" si="57"/>
        <v/>
      </c>
      <c r="AC164" s="295" t="str">
        <f>IF('Donor Sample'!R181="","",'Donor Sample'!R181)</f>
        <v/>
      </c>
      <c r="AD164" s="294" t="str">
        <f>IF('Donor Sample'!S181="","",'Donor Sample'!S181/100)</f>
        <v/>
      </c>
      <c r="AE164" s="293" t="e">
        <f t="shared" si="63"/>
        <v>#VALUE!</v>
      </c>
      <c r="AF164" s="293" t="str">
        <f t="shared" si="64"/>
        <v/>
      </c>
      <c r="AG164" s="292" t="str">
        <f>IF('Donor Sample'!T181="","",'Donor Sample'!T181)</f>
        <v/>
      </c>
      <c r="AH164" s="891">
        <f t="shared" si="65"/>
        <v>64</v>
      </c>
      <c r="AI164" s="1220">
        <v>0.4427192211151123</v>
      </c>
      <c r="AJ164" s="1216"/>
    </row>
    <row r="165" spans="5:36">
      <c r="E165" s="299">
        <v>157</v>
      </c>
      <c r="F165" s="308">
        <f t="shared" ca="1" si="53"/>
        <v>2939.9138520624415</v>
      </c>
      <c r="G165" s="307">
        <f t="shared" ca="1" si="54"/>
        <v>246.33602816208835</v>
      </c>
      <c r="H165" s="306">
        <f t="shared" ca="1" si="55"/>
        <v>0.43821472713912257</v>
      </c>
      <c r="I165" s="305">
        <f t="shared" ca="1" si="58"/>
        <v>92.255289342361692</v>
      </c>
      <c r="J165" s="305">
        <f t="shared" ca="1" si="59"/>
        <v>54.792840586375036</v>
      </c>
      <c r="K165" s="292">
        <f t="shared" ca="1" si="56"/>
        <v>5.408692868055498</v>
      </c>
      <c r="L165" s="1290">
        <f t="shared" ca="1" si="60"/>
        <v>21.63297770735344</v>
      </c>
      <c r="M165" s="299">
        <v>157</v>
      </c>
      <c r="N165" s="304">
        <f t="shared" si="61"/>
        <v>3019.2242515117714</v>
      </c>
      <c r="O165" s="303">
        <v>236.96980426494841</v>
      </c>
      <c r="P165" s="302">
        <v>0.46909048894138239</v>
      </c>
      <c r="Q165" s="301">
        <v>122.16393365477357</v>
      </c>
      <c r="R165" s="301">
        <v>47.186175688847285</v>
      </c>
      <c r="S165" s="300">
        <v>2.3888701035622986</v>
      </c>
      <c r="T165" s="891">
        <f t="shared" si="62"/>
        <v>2</v>
      </c>
      <c r="U165" s="1220">
        <v>0.31291145086288452</v>
      </c>
      <c r="W165" s="299">
        <v>157</v>
      </c>
      <c r="X165" s="298">
        <f>IF('Donor Sample'!N182="",,IF('Donor Sample'!N182="F",1,0))</f>
        <v>0</v>
      </c>
      <c r="Y165" s="298" t="str">
        <f>IF('Donor Sample'!O182="","",'Donor Sample'!O182)</f>
        <v/>
      </c>
      <c r="Z165" s="298" t="str">
        <f>IF(AND('Donor Sample'!O182="",'Donor Sample'!P182="",'Donor Sample'!Q182=""),"",IF('Donor Sample'!P182="",ROUND(AA165/($C$32+($AI165-0.5)*$C$31),0),'Donor Sample'!P182))</f>
        <v/>
      </c>
      <c r="AA165" s="297" t="str">
        <f>IF('Donor Sample'!Q182="","",'Donor Sample'!Q182)</f>
        <v/>
      </c>
      <c r="AB165" s="296" t="str">
        <f t="shared" si="57"/>
        <v/>
      </c>
      <c r="AC165" s="295" t="str">
        <f>IF('Donor Sample'!R182="","",'Donor Sample'!R182)</f>
        <v/>
      </c>
      <c r="AD165" s="294" t="str">
        <f>IF('Donor Sample'!S182="","",'Donor Sample'!S182/100)</f>
        <v/>
      </c>
      <c r="AE165" s="407" t="e">
        <f t="shared" si="63"/>
        <v>#VALUE!</v>
      </c>
      <c r="AF165" s="293" t="str">
        <f t="shared" si="64"/>
        <v/>
      </c>
      <c r="AG165" s="292" t="str">
        <f>IF('Donor Sample'!T182="","",'Donor Sample'!T182)</f>
        <v/>
      </c>
      <c r="AH165" s="891">
        <f t="shared" si="65"/>
        <v>2</v>
      </c>
      <c r="AI165" s="1220">
        <v>0.15155977010726929</v>
      </c>
      <c r="AJ165" s="1216"/>
    </row>
    <row r="166" spans="5:36">
      <c r="E166" s="299">
        <v>158</v>
      </c>
      <c r="F166" s="308">
        <f t="shared" ca="1" si="53"/>
        <v>3452.6530333472238</v>
      </c>
      <c r="G166" s="307">
        <f t="shared" ca="1" si="54"/>
        <v>273.36821271814512</v>
      </c>
      <c r="H166" s="306">
        <f t="shared" ca="1" si="55"/>
        <v>0.35222123132486144</v>
      </c>
      <c r="I166" s="305">
        <f t="shared" ca="1" si="58"/>
        <v>122.88444032775762</v>
      </c>
      <c r="J166" s="305">
        <f t="shared" ca="1" si="59"/>
        <v>62.526691009317872</v>
      </c>
      <c r="K166" s="292">
        <f t="shared" ca="1" si="56"/>
        <v>4.037824349016284</v>
      </c>
      <c r="L166" s="1290">
        <f t="shared" ca="1" si="60"/>
        <v>22.127821693384984</v>
      </c>
      <c r="M166" s="299">
        <v>158</v>
      </c>
      <c r="N166" s="304">
        <f t="shared" si="61"/>
        <v>4240.4518035142464</v>
      </c>
      <c r="O166" s="303">
        <v>249.92268454373266</v>
      </c>
      <c r="P166" s="302">
        <v>0.46334599890473938</v>
      </c>
      <c r="Q166" s="301">
        <v>131.06330444850539</v>
      </c>
      <c r="R166" s="301">
        <v>71.035017370864878</v>
      </c>
      <c r="S166" s="300">
        <v>4.3320826141231015</v>
      </c>
      <c r="T166" s="891">
        <f t="shared" si="62"/>
        <v>2</v>
      </c>
      <c r="U166" s="1220">
        <v>9.3412280082702637E-2</v>
      </c>
      <c r="W166" s="299">
        <v>158</v>
      </c>
      <c r="X166" s="298">
        <f>IF('Donor Sample'!N183="",,IF('Donor Sample'!N183="F",1,0))</f>
        <v>0</v>
      </c>
      <c r="Y166" s="298" t="str">
        <f>IF('Donor Sample'!O183="","",'Donor Sample'!O183)</f>
        <v/>
      </c>
      <c r="Z166" s="298" t="str">
        <f>IF(AND('Donor Sample'!O183="",'Donor Sample'!P183="",'Donor Sample'!Q183=""),"",IF('Donor Sample'!P183="",ROUND(AA166/($C$32+($AI166-0.5)*$C$31),0),'Donor Sample'!P183))</f>
        <v/>
      </c>
      <c r="AA166" s="297" t="str">
        <f>IF('Donor Sample'!Q183="","",'Donor Sample'!Q183)</f>
        <v/>
      </c>
      <c r="AB166" s="296" t="str">
        <f t="shared" si="57"/>
        <v/>
      </c>
      <c r="AC166" s="295" t="str">
        <f>IF('Donor Sample'!R183="","",'Donor Sample'!R183)</f>
        <v/>
      </c>
      <c r="AD166" s="294" t="str">
        <f>IF('Donor Sample'!S183="","",'Donor Sample'!S183/100)</f>
        <v/>
      </c>
      <c r="AE166" s="293" t="e">
        <f t="shared" si="63"/>
        <v>#VALUE!</v>
      </c>
      <c r="AF166" s="293" t="str">
        <f t="shared" si="64"/>
        <v/>
      </c>
      <c r="AG166" s="292" t="str">
        <f>IF('Donor Sample'!T183="","",'Donor Sample'!T183)</f>
        <v/>
      </c>
      <c r="AH166" s="891">
        <f t="shared" si="65"/>
        <v>32</v>
      </c>
      <c r="AI166" s="1220">
        <v>0.79865872859954834</v>
      </c>
      <c r="AJ166" s="1216"/>
    </row>
    <row r="167" spans="5:36">
      <c r="E167" s="299">
        <v>159</v>
      </c>
      <c r="F167" s="308">
        <f t="shared" ca="1" si="53"/>
        <v>3949.3664999427874</v>
      </c>
      <c r="G167" s="307">
        <f t="shared" ca="1" si="54"/>
        <v>264.31693885245778</v>
      </c>
      <c r="H167" s="306">
        <f t="shared" ca="1" si="55"/>
        <v>0.36857771172725756</v>
      </c>
      <c r="I167" s="305">
        <f t="shared" ca="1" si="58"/>
        <v>145.33090438523044</v>
      </c>
      <c r="J167" s="305">
        <f t="shared" ca="1" si="59"/>
        <v>58.821014428262693</v>
      </c>
      <c r="K167" s="292">
        <f t="shared" ca="1" si="56"/>
        <v>1.5080470624485212</v>
      </c>
      <c r="L167" s="1290">
        <f t="shared" ca="1" si="60"/>
        <v>29.570973025862855</v>
      </c>
      <c r="M167" s="299">
        <v>159</v>
      </c>
      <c r="N167" s="304">
        <f t="shared" si="61"/>
        <v>2631.4721200866297</v>
      </c>
      <c r="O167" s="303">
        <v>248.70479145811501</v>
      </c>
      <c r="P167" s="302">
        <v>0.41510447109289794</v>
      </c>
      <c r="Q167" s="301">
        <v>106.31564086106489</v>
      </c>
      <c r="R167" s="301">
        <v>42.91791121071126</v>
      </c>
      <c r="S167" s="300">
        <v>3.8073068863815434</v>
      </c>
      <c r="T167" s="891">
        <f t="shared" si="62"/>
        <v>2</v>
      </c>
      <c r="U167" s="1220">
        <v>3.313601016998291E-3</v>
      </c>
      <c r="W167" s="299">
        <v>159</v>
      </c>
      <c r="X167" s="298">
        <f>IF('Donor Sample'!N184="",,IF('Donor Sample'!N184="F",1,0))</f>
        <v>0</v>
      </c>
      <c r="Y167" s="298" t="str">
        <f>IF('Donor Sample'!O184="","",'Donor Sample'!O184)</f>
        <v/>
      </c>
      <c r="Z167" s="298" t="str">
        <f>IF(AND('Donor Sample'!O184="",'Donor Sample'!P184="",'Donor Sample'!Q184=""),"",IF('Donor Sample'!P184="",ROUND(AA167/($C$32+($AI167-0.5)*$C$31),0),'Donor Sample'!P184))</f>
        <v/>
      </c>
      <c r="AA167" s="297" t="str">
        <f>IF('Donor Sample'!Q184="","",'Donor Sample'!Q184)</f>
        <v/>
      </c>
      <c r="AB167" s="296" t="str">
        <f t="shared" si="57"/>
        <v/>
      </c>
      <c r="AC167" s="295" t="str">
        <f>IF('Donor Sample'!R184="","",'Donor Sample'!R184)</f>
        <v/>
      </c>
      <c r="AD167" s="294" t="str">
        <f>IF('Donor Sample'!S184="","",'Donor Sample'!S184/100)</f>
        <v/>
      </c>
      <c r="AE167" s="293" t="e">
        <f t="shared" si="63"/>
        <v>#VALUE!</v>
      </c>
      <c r="AF167" s="293" t="str">
        <f t="shared" si="64"/>
        <v/>
      </c>
      <c r="AG167" s="292" t="str">
        <f>IF('Donor Sample'!T184="","",'Donor Sample'!T184)</f>
        <v/>
      </c>
      <c r="AH167" s="891">
        <f t="shared" si="65"/>
        <v>64</v>
      </c>
      <c r="AI167" s="1220">
        <v>0.72400003671646118</v>
      </c>
      <c r="AJ167" s="1216"/>
    </row>
    <row r="168" spans="5:36">
      <c r="E168" s="299">
        <v>160</v>
      </c>
      <c r="F168" s="308">
        <f t="shared" ca="1" si="53"/>
        <v>3339.3095407638216</v>
      </c>
      <c r="G168" s="307">
        <f t="shared" ca="1" si="54"/>
        <v>212.54356493308373</v>
      </c>
      <c r="H168" s="306">
        <f t="shared" ca="1" si="55"/>
        <v>0.40838325595626562</v>
      </c>
      <c r="I168" s="305">
        <f t="shared" ca="1" si="58"/>
        <v>121.44173789105083</v>
      </c>
      <c r="J168" s="305">
        <f t="shared" ca="1" si="59"/>
        <v>61.156948466444312</v>
      </c>
      <c r="K168" s="292">
        <f t="shared" ca="1" si="56"/>
        <v>2.4980197150366035</v>
      </c>
      <c r="L168" s="1290">
        <f t="shared" ca="1" si="60"/>
        <v>22.85856788737744</v>
      </c>
      <c r="M168" s="299">
        <v>160</v>
      </c>
      <c r="N168" s="304">
        <f t="shared" si="61"/>
        <v>3424.492975885451</v>
      </c>
      <c r="O168" s="303">
        <v>226.43132523224642</v>
      </c>
      <c r="P168" s="302">
        <v>0.4101563118915007</v>
      </c>
      <c r="Q168" s="301">
        <v>115.47163704418509</v>
      </c>
      <c r="R168" s="301">
        <v>63.717138219937873</v>
      </c>
      <c r="S168" s="300">
        <v>2.6102284041997921</v>
      </c>
      <c r="T168" s="891">
        <f t="shared" si="62"/>
        <v>16</v>
      </c>
      <c r="U168" s="1220">
        <v>0.95689821243286133</v>
      </c>
      <c r="W168" s="299">
        <v>160</v>
      </c>
      <c r="X168" s="298">
        <f>IF('Donor Sample'!N185="",,IF('Donor Sample'!N185="F",1,0))</f>
        <v>0</v>
      </c>
      <c r="Y168" s="298" t="str">
        <f>IF('Donor Sample'!O185="","",'Donor Sample'!O185)</f>
        <v/>
      </c>
      <c r="Z168" s="298" t="str">
        <f>IF(AND('Donor Sample'!O185="",'Donor Sample'!P185="",'Donor Sample'!Q185=""),"",IF('Donor Sample'!P185="",ROUND(AA168/($C$32+($AI168-0.5)*$C$31),0),'Donor Sample'!P185))</f>
        <v/>
      </c>
      <c r="AA168" s="297" t="str">
        <f>IF('Donor Sample'!Q185="","",'Donor Sample'!Q185)</f>
        <v/>
      </c>
      <c r="AB168" s="296" t="str">
        <f t="shared" si="57"/>
        <v/>
      </c>
      <c r="AC168" s="295" t="str">
        <f>IF('Donor Sample'!R185="","",'Donor Sample'!R185)</f>
        <v/>
      </c>
      <c r="AD168" s="294" t="str">
        <f>IF('Donor Sample'!S185="","",'Donor Sample'!S185/100)</f>
        <v/>
      </c>
      <c r="AE168" s="407" t="e">
        <f t="shared" si="63"/>
        <v>#VALUE!</v>
      </c>
      <c r="AF168" s="293" t="str">
        <f t="shared" si="64"/>
        <v/>
      </c>
      <c r="AG168" s="292" t="str">
        <f>IF('Donor Sample'!T185="","",'Donor Sample'!T185)</f>
        <v/>
      </c>
      <c r="AH168" s="891">
        <f t="shared" si="65"/>
        <v>32</v>
      </c>
      <c r="AI168" s="1220">
        <v>0.78556156158447266</v>
      </c>
      <c r="AJ168" s="1216"/>
    </row>
    <row r="169" spans="5:36">
      <c r="E169" s="299">
        <v>161</v>
      </c>
      <c r="F169" s="308">
        <f t="shared" ca="1" si="53"/>
        <v>3469.120854216781</v>
      </c>
      <c r="G169" s="307">
        <f t="shared" ca="1" si="54"/>
        <v>205.12829642779485</v>
      </c>
      <c r="H169" s="306">
        <f t="shared" ca="1" si="55"/>
        <v>0.42429023491874057</v>
      </c>
      <c r="I169" s="305">
        <f t="shared" ca="1" si="58"/>
        <v>143.49612975428462</v>
      </c>
      <c r="J169" s="305">
        <f t="shared" ca="1" si="59"/>
        <v>57.918379482979333</v>
      </c>
      <c r="K169" s="292">
        <f t="shared" ca="1" si="56"/>
        <v>1.5022245155493601</v>
      </c>
      <c r="L169" s="1290">
        <f t="shared" ca="1" si="60"/>
        <v>30.11480412822733</v>
      </c>
      <c r="M169" s="299">
        <v>161</v>
      </c>
      <c r="N169" s="304">
        <f t="shared" si="61"/>
        <v>3073.4803324813556</v>
      </c>
      <c r="O169" s="303">
        <v>275.24217126995188</v>
      </c>
      <c r="P169" s="302">
        <v>0.39295431895444</v>
      </c>
      <c r="Q169" s="301">
        <v>105.71131021554945</v>
      </c>
      <c r="R169" s="301">
        <v>60.697231230763506</v>
      </c>
      <c r="S169" s="300">
        <v>1.7149627585314715</v>
      </c>
      <c r="T169" s="891">
        <f t="shared" si="62"/>
        <v>64</v>
      </c>
      <c r="U169" s="1220">
        <v>0.73377865552902222</v>
      </c>
      <c r="W169" s="299">
        <v>161</v>
      </c>
      <c r="X169" s="298">
        <f>IF('Donor Sample'!N186="",,IF('Donor Sample'!N186="F",1,0))</f>
        <v>0</v>
      </c>
      <c r="Y169" s="298" t="str">
        <f>IF('Donor Sample'!O186="","",'Donor Sample'!O186)</f>
        <v/>
      </c>
      <c r="Z169" s="298" t="str">
        <f>IF(AND('Donor Sample'!O186="",'Donor Sample'!P186="",'Donor Sample'!Q186=""),"",IF('Donor Sample'!P186="",ROUND(AA169/($C$32+($AI169-0.5)*$C$31),0),'Donor Sample'!P186))</f>
        <v/>
      </c>
      <c r="AA169" s="297" t="str">
        <f>IF('Donor Sample'!Q186="","",'Donor Sample'!Q186)</f>
        <v/>
      </c>
      <c r="AB169" s="296" t="str">
        <f t="shared" si="57"/>
        <v/>
      </c>
      <c r="AC169" s="295" t="str">
        <f>IF('Donor Sample'!R186="","",'Donor Sample'!R186)</f>
        <v/>
      </c>
      <c r="AD169" s="294" t="str">
        <f>IF('Donor Sample'!S186="","",'Donor Sample'!S186/100)</f>
        <v/>
      </c>
      <c r="AE169" s="293" t="e">
        <f t="shared" si="63"/>
        <v>#VALUE!</v>
      </c>
      <c r="AF169" s="293" t="str">
        <f t="shared" si="64"/>
        <v/>
      </c>
      <c r="AG169" s="292" t="str">
        <f>IF('Donor Sample'!T186="","",'Donor Sample'!T186)</f>
        <v/>
      </c>
      <c r="AH169" s="891">
        <f t="shared" si="65"/>
        <v>32</v>
      </c>
      <c r="AI169" s="1220">
        <v>0.77562063932418823</v>
      </c>
      <c r="AJ169" s="1216"/>
    </row>
    <row r="170" spans="5:36">
      <c r="E170" s="299">
        <v>162</v>
      </c>
      <c r="F170" s="308">
        <f t="shared" ca="1" si="53"/>
        <v>3430.7559204101776</v>
      </c>
      <c r="G170" s="307">
        <f t="shared" ca="1" si="54"/>
        <v>308.63655164672235</v>
      </c>
      <c r="H170" s="306">
        <f t="shared" ca="1" si="55"/>
        <v>0.46265657569398749</v>
      </c>
      <c r="I170" s="305">
        <f t="shared" ca="1" si="58"/>
        <v>134.31340849770842</v>
      </c>
      <c r="J170" s="305">
        <f t="shared" ca="1" si="59"/>
        <v>52.415880451449773</v>
      </c>
      <c r="K170" s="292">
        <f t="shared" ca="1" si="56"/>
        <v>1.6990506183110521</v>
      </c>
      <c r="L170" s="1290">
        <f t="shared" ca="1" si="60"/>
        <v>34.416464865031443</v>
      </c>
      <c r="M170" s="299">
        <v>162</v>
      </c>
      <c r="N170" s="304">
        <f t="shared" si="61"/>
        <v>3134.1596098142791</v>
      </c>
      <c r="O170" s="303">
        <v>240.426685705273</v>
      </c>
      <c r="P170" s="302">
        <v>0.39616514325035934</v>
      </c>
      <c r="Q170" s="301">
        <v>121.30765722971019</v>
      </c>
      <c r="R170" s="301">
        <v>50.167277713517919</v>
      </c>
      <c r="S170" s="300">
        <v>2.3357630045381983</v>
      </c>
      <c r="T170" s="891">
        <f t="shared" si="62"/>
        <v>4</v>
      </c>
      <c r="U170" s="1220">
        <v>0.42773449420928955</v>
      </c>
      <c r="W170" s="299">
        <v>162</v>
      </c>
      <c r="X170" s="298">
        <f>IF('Donor Sample'!N187="",,IF('Donor Sample'!N187="F",1,0))</f>
        <v>0</v>
      </c>
      <c r="Y170" s="298" t="str">
        <f>IF('Donor Sample'!O187="","",'Donor Sample'!O187)</f>
        <v/>
      </c>
      <c r="Z170" s="298" t="str">
        <f>IF(AND('Donor Sample'!O187="",'Donor Sample'!P187="",'Donor Sample'!Q187=""),"",IF('Donor Sample'!P187="",ROUND(AA170/($C$32+($AI170-0.5)*$C$31),0),'Donor Sample'!P187))</f>
        <v/>
      </c>
      <c r="AA170" s="297" t="str">
        <f>IF('Donor Sample'!Q187="","",'Donor Sample'!Q187)</f>
        <v/>
      </c>
      <c r="AB170" s="296" t="str">
        <f t="shared" si="57"/>
        <v/>
      </c>
      <c r="AC170" s="295" t="str">
        <f>IF('Donor Sample'!R187="","",'Donor Sample'!R187)</f>
        <v/>
      </c>
      <c r="AD170" s="294" t="str">
        <f>IF('Donor Sample'!S187="","",'Donor Sample'!S187/100)</f>
        <v/>
      </c>
      <c r="AE170" s="293" t="e">
        <f t="shared" si="63"/>
        <v>#VALUE!</v>
      </c>
      <c r="AF170" s="293" t="str">
        <f t="shared" si="64"/>
        <v/>
      </c>
      <c r="AG170" s="292" t="str">
        <f>IF('Donor Sample'!T187="","",'Donor Sample'!T187)</f>
        <v/>
      </c>
      <c r="AH170" s="891">
        <f t="shared" si="65"/>
        <v>2</v>
      </c>
      <c r="AI170" s="1220">
        <v>0.2187124490737915</v>
      </c>
      <c r="AJ170" s="1216"/>
    </row>
    <row r="171" spans="5:36">
      <c r="E171" s="299">
        <v>163</v>
      </c>
      <c r="F171" s="308">
        <f t="shared" ca="1" si="53"/>
        <v>3589.6803105782478</v>
      </c>
      <c r="G171" s="307">
        <f t="shared" ca="1" si="54"/>
        <v>181.86011536155019</v>
      </c>
      <c r="H171" s="306">
        <f t="shared" ca="1" si="55"/>
        <v>0.37257267461344346</v>
      </c>
      <c r="I171" s="305">
        <f t="shared" ca="1" si="58"/>
        <v>149.99890937482331</v>
      </c>
      <c r="J171" s="305">
        <f t="shared" ca="1" si="59"/>
        <v>58.307739966099327</v>
      </c>
      <c r="K171" s="292">
        <f t="shared" ca="1" si="56"/>
        <v>3.5466065917858192</v>
      </c>
      <c r="L171" s="1290">
        <f t="shared" ca="1" si="60"/>
        <v>31.060492944459607</v>
      </c>
      <c r="M171" s="299">
        <v>163</v>
      </c>
      <c r="N171" s="304">
        <f t="shared" si="61"/>
        <v>3201.6631714867331</v>
      </c>
      <c r="O171" s="303">
        <v>208.26560884641353</v>
      </c>
      <c r="P171" s="302">
        <v>0.39156160138055868</v>
      </c>
      <c r="Q171" s="301">
        <v>101.93721068823889</v>
      </c>
      <c r="R171" s="301">
        <v>63.437114642724318</v>
      </c>
      <c r="S171" s="300">
        <v>2.028962640011581</v>
      </c>
      <c r="T171" s="891">
        <f t="shared" si="62"/>
        <v>64</v>
      </c>
      <c r="U171" s="1220">
        <v>0.45957547426223755</v>
      </c>
      <c r="W171" s="299">
        <v>163</v>
      </c>
      <c r="X171" s="298">
        <f>IF('Donor Sample'!N188="",,IF('Donor Sample'!N188="F",1,0))</f>
        <v>0</v>
      </c>
      <c r="Y171" s="298" t="str">
        <f>IF('Donor Sample'!O188="","",'Donor Sample'!O188)</f>
        <v/>
      </c>
      <c r="Z171" s="298" t="str">
        <f>IF(AND('Donor Sample'!O188="",'Donor Sample'!P188="",'Donor Sample'!Q188=""),"",IF('Donor Sample'!P188="",ROUND(AA171/($C$32+($AI171-0.5)*$C$31),0),'Donor Sample'!P188))</f>
        <v/>
      </c>
      <c r="AA171" s="297" t="str">
        <f>IF('Donor Sample'!Q188="","",'Donor Sample'!Q188)</f>
        <v/>
      </c>
      <c r="AB171" s="296" t="str">
        <f t="shared" si="57"/>
        <v/>
      </c>
      <c r="AC171" s="295" t="str">
        <f>IF('Donor Sample'!R188="","",'Donor Sample'!R188)</f>
        <v/>
      </c>
      <c r="AD171" s="294" t="str">
        <f>IF('Donor Sample'!S188="","",'Donor Sample'!S188/100)</f>
        <v/>
      </c>
      <c r="AE171" s="407" t="e">
        <f t="shared" si="63"/>
        <v>#VALUE!</v>
      </c>
      <c r="AF171" s="293" t="str">
        <f t="shared" si="64"/>
        <v/>
      </c>
      <c r="AG171" s="292" t="str">
        <f>IF('Donor Sample'!T188="","",'Donor Sample'!T188)</f>
        <v/>
      </c>
      <c r="AH171" s="891">
        <f t="shared" si="65"/>
        <v>32</v>
      </c>
      <c r="AI171" s="1220">
        <v>0.83712989091873169</v>
      </c>
      <c r="AJ171" s="1216"/>
    </row>
    <row r="172" spans="5:36">
      <c r="E172" s="299">
        <v>164</v>
      </c>
      <c r="F172" s="308">
        <f t="shared" ca="1" si="53"/>
        <v>3767.2516371579409</v>
      </c>
      <c r="G172" s="307">
        <f t="shared" ca="1" si="54"/>
        <v>263.74754842199832</v>
      </c>
      <c r="H172" s="306">
        <f t="shared" ca="1" si="55"/>
        <v>0.45810602163722974</v>
      </c>
      <c r="I172" s="305">
        <f t="shared" ca="1" si="58"/>
        <v>147.18464465425535</v>
      </c>
      <c r="J172" s="305">
        <f t="shared" ca="1" si="59"/>
        <v>55.257400697656664</v>
      </c>
      <c r="K172" s="292">
        <f t="shared" ca="1" si="56"/>
        <v>2.0955871335221428</v>
      </c>
      <c r="L172" s="1290">
        <f t="shared" ca="1" si="60"/>
        <v>33.935500519003035</v>
      </c>
      <c r="M172" s="299">
        <v>164</v>
      </c>
      <c r="N172" s="304">
        <f t="shared" si="61"/>
        <v>3327.4583903535736</v>
      </c>
      <c r="O172" s="303">
        <v>259.76890497878236</v>
      </c>
      <c r="P172" s="302">
        <v>0.37188233974679141</v>
      </c>
      <c r="Q172" s="301">
        <v>115.05948413720161</v>
      </c>
      <c r="R172" s="301">
        <v>55.783227091017167</v>
      </c>
      <c r="S172" s="300">
        <v>2.9254895043779503</v>
      </c>
      <c r="T172" s="891">
        <f t="shared" si="62"/>
        <v>64</v>
      </c>
      <c r="U172" s="1220">
        <v>0.46042704582214355</v>
      </c>
      <c r="W172" s="299">
        <v>164</v>
      </c>
      <c r="X172" s="298">
        <f>IF('Donor Sample'!N189="",,IF('Donor Sample'!N189="F",1,0))</f>
        <v>0</v>
      </c>
      <c r="Y172" s="298" t="str">
        <f>IF('Donor Sample'!O189="","",'Donor Sample'!O189)</f>
        <v/>
      </c>
      <c r="Z172" s="298" t="str">
        <f>IF(AND('Donor Sample'!O189="",'Donor Sample'!P189="",'Donor Sample'!Q189=""),"",IF('Donor Sample'!P189="",ROUND(AA172/($C$32+($AI172-0.5)*$C$31),0),'Donor Sample'!P189))</f>
        <v/>
      </c>
      <c r="AA172" s="297" t="str">
        <f>IF('Donor Sample'!Q189="","",'Donor Sample'!Q189)</f>
        <v/>
      </c>
      <c r="AB172" s="296" t="str">
        <f t="shared" si="57"/>
        <v/>
      </c>
      <c r="AC172" s="295" t="str">
        <f>IF('Donor Sample'!R189="","",'Donor Sample'!R189)</f>
        <v/>
      </c>
      <c r="AD172" s="294" t="str">
        <f>IF('Donor Sample'!S189="","",'Donor Sample'!S189/100)</f>
        <v/>
      </c>
      <c r="AE172" s="293" t="e">
        <f t="shared" si="63"/>
        <v>#VALUE!</v>
      </c>
      <c r="AF172" s="293" t="str">
        <f t="shared" si="64"/>
        <v/>
      </c>
      <c r="AG172" s="292" t="str">
        <f>IF('Donor Sample'!T189="","",'Donor Sample'!T189)</f>
        <v/>
      </c>
      <c r="AH172" s="891">
        <f t="shared" si="65"/>
        <v>64</v>
      </c>
      <c r="AI172" s="1220">
        <v>0.57629895210266113</v>
      </c>
      <c r="AJ172" s="1216"/>
    </row>
    <row r="173" spans="5:36">
      <c r="E173" s="299">
        <v>165</v>
      </c>
      <c r="F173" s="308">
        <f t="shared" ca="1" si="53"/>
        <v>3946.1507028665123</v>
      </c>
      <c r="G173" s="307">
        <f t="shared" ca="1" si="54"/>
        <v>224.92509018854412</v>
      </c>
      <c r="H173" s="306">
        <f t="shared" ca="1" si="55"/>
        <v>0.41889878174769168</v>
      </c>
      <c r="I173" s="305">
        <f t="shared" ca="1" si="58"/>
        <v>137.74449807381853</v>
      </c>
      <c r="J173" s="305">
        <f t="shared" ca="1" si="59"/>
        <v>60.496257349903829</v>
      </c>
      <c r="K173" s="292">
        <f t="shared" ca="1" si="56"/>
        <v>6.3654492641986913</v>
      </c>
      <c r="L173" s="1290">
        <f t="shared" ca="1" si="60"/>
        <v>26.496585078579059</v>
      </c>
      <c r="M173" s="299">
        <v>165</v>
      </c>
      <c r="N173" s="304">
        <f t="shared" si="61"/>
        <v>2777.6286967655387</v>
      </c>
      <c r="O173" s="303">
        <v>231.69657281360949</v>
      </c>
      <c r="P173" s="302">
        <v>0.40032903710168588</v>
      </c>
      <c r="Q173" s="301">
        <v>95.689489536921045</v>
      </c>
      <c r="R173" s="301">
        <v>50.549758171112984</v>
      </c>
      <c r="S173" s="300">
        <v>7.7983113336249898</v>
      </c>
      <c r="T173" s="891">
        <f t="shared" si="62"/>
        <v>256</v>
      </c>
      <c r="U173" s="1220">
        <v>0.85624879598617554</v>
      </c>
      <c r="W173" s="299">
        <v>165</v>
      </c>
      <c r="X173" s="298">
        <f>IF('Donor Sample'!N190="",,IF('Donor Sample'!N190="F",1,0))</f>
        <v>0</v>
      </c>
      <c r="Y173" s="298" t="str">
        <f>IF('Donor Sample'!O190="","",'Donor Sample'!O190)</f>
        <v/>
      </c>
      <c r="Z173" s="298" t="str">
        <f>IF(AND('Donor Sample'!O190="",'Donor Sample'!P190="",'Donor Sample'!Q190=""),"",IF('Donor Sample'!P190="",ROUND(AA173/($C$32+($AI173-0.5)*$C$31),0),'Donor Sample'!P190))</f>
        <v/>
      </c>
      <c r="AA173" s="297" t="str">
        <f>IF('Donor Sample'!Q190="","",'Donor Sample'!Q190)</f>
        <v/>
      </c>
      <c r="AB173" s="296" t="str">
        <f t="shared" si="57"/>
        <v/>
      </c>
      <c r="AC173" s="295" t="str">
        <f>IF('Donor Sample'!R190="","",'Donor Sample'!R190)</f>
        <v/>
      </c>
      <c r="AD173" s="294" t="str">
        <f>IF('Donor Sample'!S190="","",'Donor Sample'!S190/100)</f>
        <v/>
      </c>
      <c r="AE173" s="293" t="e">
        <f t="shared" si="63"/>
        <v>#VALUE!</v>
      </c>
      <c r="AF173" s="293" t="str">
        <f t="shared" si="64"/>
        <v/>
      </c>
      <c r="AG173" s="292" t="str">
        <f>IF('Donor Sample'!T190="","",'Donor Sample'!T190)</f>
        <v/>
      </c>
      <c r="AH173" s="891">
        <f t="shared" si="65"/>
        <v>2</v>
      </c>
      <c r="AI173" s="1220">
        <v>0.2630276083946228</v>
      </c>
      <c r="AJ173" s="1216"/>
    </row>
    <row r="174" spans="5:36">
      <c r="E174" s="299">
        <v>166</v>
      </c>
      <c r="F174" s="308">
        <f t="shared" ca="1" si="53"/>
        <v>3418.4062666677391</v>
      </c>
      <c r="G174" s="307">
        <f t="shared" ca="1" si="54"/>
        <v>224.36867938195135</v>
      </c>
      <c r="H174" s="306">
        <f t="shared" ca="1" si="55"/>
        <v>0.43921032047731701</v>
      </c>
      <c r="I174" s="305">
        <f t="shared" ca="1" si="58"/>
        <v>128.45397240165715</v>
      </c>
      <c r="J174" s="305">
        <f t="shared" ca="1" si="59"/>
        <v>53.85328375038268</v>
      </c>
      <c r="K174" s="292">
        <f t="shared" ca="1" si="56"/>
        <v>1.4516657118971206</v>
      </c>
      <c r="L174" s="1290">
        <f t="shared" ca="1" si="60"/>
        <v>31.181414937618641</v>
      </c>
      <c r="M174" s="299">
        <v>166</v>
      </c>
      <c r="N174" s="304">
        <f t="shared" si="61"/>
        <v>3121.3501973232155</v>
      </c>
      <c r="O174" s="303">
        <v>212.05878709042383</v>
      </c>
      <c r="P174" s="302">
        <v>0.42091254939736344</v>
      </c>
      <c r="Q174" s="301">
        <v>100.60165791110346</v>
      </c>
      <c r="R174" s="301">
        <v>55.871748838567918</v>
      </c>
      <c r="S174" s="300">
        <v>2.4021030890348345</v>
      </c>
      <c r="T174" s="891">
        <f t="shared" si="62"/>
        <v>4</v>
      </c>
      <c r="U174" s="1220">
        <v>0.41115415096282959</v>
      </c>
      <c r="W174" s="299">
        <v>166</v>
      </c>
      <c r="X174" s="298">
        <f>IF('Donor Sample'!N191="",,IF('Donor Sample'!N191="F",1,0))</f>
        <v>0</v>
      </c>
      <c r="Y174" s="298" t="str">
        <f>IF('Donor Sample'!O191="","",'Donor Sample'!O191)</f>
        <v/>
      </c>
      <c r="Z174" s="298" t="str">
        <f>IF(AND('Donor Sample'!O191="",'Donor Sample'!P191="",'Donor Sample'!Q191=""),"",IF('Donor Sample'!P191="",ROUND(AA174/($C$32+($AI174-0.5)*$C$31),0),'Donor Sample'!P191))</f>
        <v/>
      </c>
      <c r="AA174" s="297" t="str">
        <f>IF('Donor Sample'!Q191="","",'Donor Sample'!Q191)</f>
        <v/>
      </c>
      <c r="AB174" s="296" t="str">
        <f t="shared" si="57"/>
        <v/>
      </c>
      <c r="AC174" s="295" t="str">
        <f>IF('Donor Sample'!R191="","",'Donor Sample'!R191)</f>
        <v/>
      </c>
      <c r="AD174" s="294" t="str">
        <f>IF('Donor Sample'!S191="","",'Donor Sample'!S191/100)</f>
        <v/>
      </c>
      <c r="AE174" s="407" t="e">
        <f t="shared" si="63"/>
        <v>#VALUE!</v>
      </c>
      <c r="AF174" s="293" t="str">
        <f t="shared" si="64"/>
        <v/>
      </c>
      <c r="AG174" s="292" t="str">
        <f>IF('Donor Sample'!T191="","",'Donor Sample'!T191)</f>
        <v/>
      </c>
      <c r="AH174" s="891">
        <f t="shared" si="65"/>
        <v>4</v>
      </c>
      <c r="AI174" s="1220">
        <v>0.42763411998748779</v>
      </c>
      <c r="AJ174" s="1216"/>
    </row>
    <row r="175" spans="5:36">
      <c r="E175" s="299">
        <v>167</v>
      </c>
      <c r="F175" s="308">
        <f t="shared" ca="1" si="53"/>
        <v>2678.1121900526596</v>
      </c>
      <c r="G175" s="307">
        <f t="shared" ca="1" si="54"/>
        <v>205.42430041399777</v>
      </c>
      <c r="H175" s="306">
        <f t="shared" ca="1" si="55"/>
        <v>0.43534101178615792</v>
      </c>
      <c r="I175" s="305">
        <f t="shared" ca="1" si="58"/>
        <v>84.512632623052326</v>
      </c>
      <c r="J175" s="305">
        <f t="shared" ca="1" si="59"/>
        <v>51.895059823731941</v>
      </c>
      <c r="K175" s="292">
        <f t="shared" ca="1" si="56"/>
        <v>1.4756987005764446</v>
      </c>
      <c r="L175" s="1290">
        <f t="shared" ca="1" si="60"/>
        <v>22.09236733567824</v>
      </c>
      <c r="M175" s="299">
        <v>167</v>
      </c>
      <c r="N175" s="304">
        <f t="shared" si="61"/>
        <v>2780.3869313214891</v>
      </c>
      <c r="O175" s="303">
        <v>283.83696023614476</v>
      </c>
      <c r="P175" s="302">
        <v>0.35898424389994871</v>
      </c>
      <c r="Q175" s="301">
        <v>101.91927684986054</v>
      </c>
      <c r="R175" s="301">
        <v>48.558661351711564</v>
      </c>
      <c r="S175" s="300">
        <v>1.2771608952729934</v>
      </c>
      <c r="T175" s="891">
        <f t="shared" si="62"/>
        <v>64</v>
      </c>
      <c r="U175" s="1220">
        <v>0.70682626962661743</v>
      </c>
      <c r="W175" s="299">
        <v>167</v>
      </c>
      <c r="X175" s="298">
        <f>IF('Donor Sample'!N192="",,IF('Donor Sample'!N192="F",1,0))</f>
        <v>0</v>
      </c>
      <c r="Y175" s="298" t="str">
        <f>IF('Donor Sample'!O192="","",'Donor Sample'!O192)</f>
        <v/>
      </c>
      <c r="Z175" s="298" t="str">
        <f>IF(AND('Donor Sample'!O192="",'Donor Sample'!P192="",'Donor Sample'!Q192=""),"",IF('Donor Sample'!P192="",ROUND(AA175/($C$32+($AI175-0.5)*$C$31),0),'Donor Sample'!P192))</f>
        <v/>
      </c>
      <c r="AA175" s="297" t="str">
        <f>IF('Donor Sample'!Q192="","",'Donor Sample'!Q192)</f>
        <v/>
      </c>
      <c r="AB175" s="296" t="str">
        <f t="shared" si="57"/>
        <v/>
      </c>
      <c r="AC175" s="295" t="str">
        <f>IF('Donor Sample'!R192="","",'Donor Sample'!R192)</f>
        <v/>
      </c>
      <c r="AD175" s="294" t="str">
        <f>IF('Donor Sample'!S192="","",'Donor Sample'!S192/100)</f>
        <v/>
      </c>
      <c r="AE175" s="293" t="e">
        <f t="shared" si="63"/>
        <v>#VALUE!</v>
      </c>
      <c r="AF175" s="293" t="str">
        <f t="shared" si="64"/>
        <v/>
      </c>
      <c r="AG175" s="292" t="str">
        <f>IF('Donor Sample'!T192="","",'Donor Sample'!T192)</f>
        <v/>
      </c>
      <c r="AH175" s="891">
        <f t="shared" si="65"/>
        <v>64</v>
      </c>
      <c r="AI175" s="1220">
        <v>0.44693714380264282</v>
      </c>
      <c r="AJ175" s="1216"/>
    </row>
    <row r="176" spans="5:36">
      <c r="E176" s="299">
        <v>168</v>
      </c>
      <c r="F176" s="308">
        <f t="shared" ca="1" si="53"/>
        <v>3013.7430167249468</v>
      </c>
      <c r="G176" s="307">
        <f t="shared" ca="1" si="54"/>
        <v>214.49411197912977</v>
      </c>
      <c r="H176" s="306">
        <f t="shared" ca="1" si="55"/>
        <v>0.44572231272066076</v>
      </c>
      <c r="I176" s="305">
        <f t="shared" ca="1" si="58"/>
        <v>110.53796620426536</v>
      </c>
      <c r="J176" s="305">
        <f t="shared" ca="1" si="59"/>
        <v>50.965676206773864</v>
      </c>
      <c r="K176" s="292">
        <f t="shared" ca="1" si="56"/>
        <v>2.9497693352007537</v>
      </c>
      <c r="L176" s="1290">
        <f t="shared" ca="1" si="60"/>
        <v>29.959085150174488</v>
      </c>
      <c r="M176" s="299">
        <v>168</v>
      </c>
      <c r="N176" s="304">
        <f t="shared" si="61"/>
        <v>2921.1848979887136</v>
      </c>
      <c r="O176" s="303">
        <v>220.44958499878373</v>
      </c>
      <c r="P176" s="302">
        <v>0.37497902717199982</v>
      </c>
      <c r="Q176" s="301">
        <v>114.48096480774163</v>
      </c>
      <c r="R176" s="301">
        <v>47.535494899233079</v>
      </c>
      <c r="S176" s="300">
        <v>13.608758175378838</v>
      </c>
      <c r="T176" s="891">
        <f t="shared" si="62"/>
        <v>4</v>
      </c>
      <c r="U176" s="1220">
        <v>0.37614536285400391</v>
      </c>
      <c r="W176" s="299">
        <v>168</v>
      </c>
      <c r="X176" s="298">
        <f>IF('Donor Sample'!N193="",,IF('Donor Sample'!N193="F",1,0))</f>
        <v>0</v>
      </c>
      <c r="Y176" s="298" t="str">
        <f>IF('Donor Sample'!O193="","",'Donor Sample'!O193)</f>
        <v/>
      </c>
      <c r="Z176" s="298" t="str">
        <f>IF(AND('Donor Sample'!O193="",'Donor Sample'!P193="",'Donor Sample'!Q193=""),"",IF('Donor Sample'!P193="",ROUND(AA176/($C$32+($AI176-0.5)*$C$31),0),'Donor Sample'!P193))</f>
        <v/>
      </c>
      <c r="AA176" s="297" t="str">
        <f>IF('Donor Sample'!Q193="","",'Donor Sample'!Q193)</f>
        <v/>
      </c>
      <c r="AB176" s="296" t="str">
        <f t="shared" si="57"/>
        <v/>
      </c>
      <c r="AC176" s="295" t="str">
        <f>IF('Donor Sample'!R193="","",'Donor Sample'!R193)</f>
        <v/>
      </c>
      <c r="AD176" s="294" t="str">
        <f>IF('Donor Sample'!S193="","",'Donor Sample'!S193/100)</f>
        <v/>
      </c>
      <c r="AE176" s="293" t="e">
        <f t="shared" si="63"/>
        <v>#VALUE!</v>
      </c>
      <c r="AF176" s="293" t="str">
        <f t="shared" si="64"/>
        <v/>
      </c>
      <c r="AG176" s="292" t="str">
        <f>IF('Donor Sample'!T193="","",'Donor Sample'!T193)</f>
        <v/>
      </c>
      <c r="AH176" s="891">
        <f t="shared" si="65"/>
        <v>2</v>
      </c>
      <c r="AI176" s="1220">
        <v>0.28716039657592773</v>
      </c>
      <c r="AJ176" s="1216"/>
    </row>
    <row r="177" spans="5:36">
      <c r="E177" s="299">
        <v>169</v>
      </c>
      <c r="F177" s="308">
        <f t="shared" ca="1" si="53"/>
        <v>4700.5765466353714</v>
      </c>
      <c r="G177" s="307">
        <f t="shared" ca="1" si="54"/>
        <v>259.97053089970814</v>
      </c>
      <c r="H177" s="306">
        <f t="shared" ca="1" si="55"/>
        <v>0.47963060059358509</v>
      </c>
      <c r="I177" s="305">
        <f t="shared" ca="1" si="58"/>
        <v>159.04785842159504</v>
      </c>
      <c r="J177" s="305">
        <f t="shared" ca="1" si="59"/>
        <v>66.581033769099278</v>
      </c>
      <c r="K177" s="292">
        <f t="shared" ca="1" si="56"/>
        <v>3.6212155461640685</v>
      </c>
      <c r="L177" s="1290">
        <f t="shared" ca="1" si="60"/>
        <v>25.258026640411586</v>
      </c>
      <c r="M177" s="299">
        <v>169</v>
      </c>
      <c r="N177" s="304">
        <f t="shared" si="61"/>
        <v>3083.3462329356753</v>
      </c>
      <c r="O177" s="303">
        <v>155.95852800457865</v>
      </c>
      <c r="P177" s="302">
        <v>0.47358722137817744</v>
      </c>
      <c r="Q177" s="301">
        <v>116.22505700117249</v>
      </c>
      <c r="R177" s="301">
        <v>50.677416327763183</v>
      </c>
      <c r="S177" s="300">
        <v>13.69816033672326</v>
      </c>
      <c r="T177" s="891">
        <f t="shared" si="62"/>
        <v>4</v>
      </c>
      <c r="U177" s="1220">
        <v>0.38668173551559448</v>
      </c>
      <c r="W177" s="299">
        <v>169</v>
      </c>
      <c r="X177" s="298">
        <f>IF('Donor Sample'!N194="",,IF('Donor Sample'!N194="F",1,0))</f>
        <v>0</v>
      </c>
      <c r="Y177" s="298" t="str">
        <f>IF('Donor Sample'!O194="","",'Donor Sample'!O194)</f>
        <v/>
      </c>
      <c r="Z177" s="298" t="str">
        <f>IF(AND('Donor Sample'!O194="",'Donor Sample'!P194="",'Donor Sample'!Q194=""),"",IF('Donor Sample'!P194="",ROUND(AA177/($C$32+($AI177-0.5)*$C$31),0),'Donor Sample'!P194))</f>
        <v/>
      </c>
      <c r="AA177" s="297" t="str">
        <f>IF('Donor Sample'!Q194="","",'Donor Sample'!Q194)</f>
        <v/>
      </c>
      <c r="AB177" s="296" t="str">
        <f t="shared" si="57"/>
        <v/>
      </c>
      <c r="AC177" s="295" t="str">
        <f>IF('Donor Sample'!R194="","",'Donor Sample'!R194)</f>
        <v/>
      </c>
      <c r="AD177" s="294" t="str">
        <f>IF('Donor Sample'!S194="","",'Donor Sample'!S194/100)</f>
        <v/>
      </c>
      <c r="AE177" s="407" t="e">
        <f t="shared" si="63"/>
        <v>#VALUE!</v>
      </c>
      <c r="AF177" s="293" t="str">
        <f t="shared" si="64"/>
        <v/>
      </c>
      <c r="AG177" s="292" t="str">
        <f>IF('Donor Sample'!T194="","",'Donor Sample'!T194)</f>
        <v/>
      </c>
      <c r="AH177" s="891">
        <f t="shared" si="65"/>
        <v>64</v>
      </c>
      <c r="AI177" s="1220">
        <v>0.759593665599823</v>
      </c>
      <c r="AJ177" s="1216"/>
    </row>
    <row r="178" spans="5:36">
      <c r="E178" s="299">
        <v>170</v>
      </c>
      <c r="F178" s="308">
        <f t="shared" ca="1" si="53"/>
        <v>3935.3401910223538</v>
      </c>
      <c r="G178" s="307">
        <f t="shared" ca="1" si="54"/>
        <v>215.34411142801505</v>
      </c>
      <c r="H178" s="306">
        <f t="shared" ca="1" si="55"/>
        <v>0.3674469990670351</v>
      </c>
      <c r="I178" s="305">
        <f t="shared" ca="1" si="58"/>
        <v>127.12076388205053</v>
      </c>
      <c r="J178" s="305">
        <f t="shared" ca="1" si="59"/>
        <v>62.607738424587154</v>
      </c>
      <c r="K178" s="292">
        <f t="shared" ca="1" si="56"/>
        <v>17.369754351148135</v>
      </c>
      <c r="L178" s="1290">
        <f t="shared" ca="1" si="60"/>
        <v>22.8314303905054</v>
      </c>
      <c r="M178" s="299">
        <v>170</v>
      </c>
      <c r="N178" s="304">
        <f t="shared" si="61"/>
        <v>3145.5969017521466</v>
      </c>
      <c r="O178" s="303">
        <v>269.54789271683779</v>
      </c>
      <c r="P178" s="302">
        <v>0.36864474363092958</v>
      </c>
      <c r="Q178" s="301">
        <v>126.56513339013395</v>
      </c>
      <c r="R178" s="301">
        <v>48.684849354888364</v>
      </c>
      <c r="S178" s="300">
        <v>1.5174316077960879</v>
      </c>
      <c r="T178" s="891">
        <f t="shared" si="62"/>
        <v>2</v>
      </c>
      <c r="U178" s="1220">
        <v>0.23709166049957275</v>
      </c>
      <c r="W178" s="299">
        <v>170</v>
      </c>
      <c r="X178" s="298">
        <f>IF('Donor Sample'!N195="",,IF('Donor Sample'!N195="F",1,0))</f>
        <v>0</v>
      </c>
      <c r="Y178" s="298" t="str">
        <f>IF('Donor Sample'!O195="","",'Donor Sample'!O195)</f>
        <v/>
      </c>
      <c r="Z178" s="298" t="str">
        <f>IF(AND('Donor Sample'!O195="",'Donor Sample'!P195="",'Donor Sample'!Q195=""),"",IF('Donor Sample'!P195="",ROUND(AA178/($C$32+($AI178-0.5)*$C$31),0),'Donor Sample'!P195))</f>
        <v/>
      </c>
      <c r="AA178" s="297" t="str">
        <f>IF('Donor Sample'!Q195="","",'Donor Sample'!Q195)</f>
        <v/>
      </c>
      <c r="AB178" s="296" t="str">
        <f t="shared" si="57"/>
        <v/>
      </c>
      <c r="AC178" s="295" t="str">
        <f>IF('Donor Sample'!R195="","",'Donor Sample'!R195)</f>
        <v/>
      </c>
      <c r="AD178" s="294" t="str">
        <f>IF('Donor Sample'!S195="","",'Donor Sample'!S195/100)</f>
        <v/>
      </c>
      <c r="AE178" s="293" t="e">
        <f t="shared" si="63"/>
        <v>#VALUE!</v>
      </c>
      <c r="AF178" s="293" t="str">
        <f t="shared" si="64"/>
        <v/>
      </c>
      <c r="AG178" s="292" t="str">
        <f>IF('Donor Sample'!T195="","",'Donor Sample'!T195)</f>
        <v/>
      </c>
      <c r="AH178" s="891">
        <f t="shared" si="65"/>
        <v>2</v>
      </c>
      <c r="AI178" s="1220">
        <v>0.30048477649688721</v>
      </c>
      <c r="AJ178" s="1216"/>
    </row>
    <row r="179" spans="5:36">
      <c r="E179" s="299">
        <v>171</v>
      </c>
      <c r="F179" s="308">
        <f t="shared" ca="1" si="53"/>
        <v>3990.5195263069163</v>
      </c>
      <c r="G179" s="307">
        <f t="shared" ca="1" si="54"/>
        <v>227.63628307403323</v>
      </c>
      <c r="H179" s="306">
        <f t="shared" ca="1" si="55"/>
        <v>0.4374773386292346</v>
      </c>
      <c r="I179" s="305">
        <f t="shared" ca="1" si="58"/>
        <v>135.60109567561963</v>
      </c>
      <c r="J179" s="305">
        <f t="shared" ca="1" si="59"/>
        <v>67.235250890266769</v>
      </c>
      <c r="K179" s="292">
        <f t="shared" ca="1" si="56"/>
        <v>2.2920279613803549</v>
      </c>
      <c r="L179" s="1290">
        <f t="shared" ca="1" si="60"/>
        <v>21.11746573884626</v>
      </c>
      <c r="M179" s="299">
        <v>171</v>
      </c>
      <c r="N179" s="304">
        <f t="shared" si="61"/>
        <v>3560.8612926981159</v>
      </c>
      <c r="O179" s="303">
        <v>229.57544391549834</v>
      </c>
      <c r="P179" s="302">
        <v>0.43523017202876063</v>
      </c>
      <c r="Q179" s="301">
        <v>132.3330893831056</v>
      </c>
      <c r="R179" s="301">
        <v>62.032990284851458</v>
      </c>
      <c r="S179" s="300">
        <v>3.7852542635360988</v>
      </c>
      <c r="T179" s="891">
        <f t="shared" si="62"/>
        <v>2</v>
      </c>
      <c r="U179" s="1220">
        <v>0.22730475664138794</v>
      </c>
      <c r="W179" s="299">
        <v>171</v>
      </c>
      <c r="X179" s="298">
        <f>IF('Donor Sample'!N196="",,IF('Donor Sample'!N196="F",1,0))</f>
        <v>0</v>
      </c>
      <c r="Y179" s="298" t="str">
        <f>IF('Donor Sample'!O196="","",'Donor Sample'!O196)</f>
        <v/>
      </c>
      <c r="Z179" s="298" t="str">
        <f>IF(AND('Donor Sample'!O196="",'Donor Sample'!P196="",'Donor Sample'!Q196=""),"",IF('Donor Sample'!P196="",ROUND(AA179/($C$32+($AI179-0.5)*$C$31),0),'Donor Sample'!P196))</f>
        <v/>
      </c>
      <c r="AA179" s="297" t="str">
        <f>IF('Donor Sample'!Q196="","",'Donor Sample'!Q196)</f>
        <v/>
      </c>
      <c r="AB179" s="296" t="str">
        <f t="shared" si="57"/>
        <v/>
      </c>
      <c r="AC179" s="295" t="str">
        <f>IF('Donor Sample'!R196="","",'Donor Sample'!R196)</f>
        <v/>
      </c>
      <c r="AD179" s="294" t="str">
        <f>IF('Donor Sample'!S196="","",'Donor Sample'!S196/100)</f>
        <v/>
      </c>
      <c r="AE179" s="293" t="e">
        <f t="shared" si="63"/>
        <v>#VALUE!</v>
      </c>
      <c r="AF179" s="293" t="str">
        <f t="shared" si="64"/>
        <v/>
      </c>
      <c r="AG179" s="292" t="str">
        <f>IF('Donor Sample'!T196="","",'Donor Sample'!T196)</f>
        <v/>
      </c>
      <c r="AH179" s="891">
        <f t="shared" si="65"/>
        <v>8</v>
      </c>
      <c r="AI179" s="1220">
        <v>0.99073868989944458</v>
      </c>
      <c r="AJ179" s="1216"/>
    </row>
    <row r="180" spans="5:36">
      <c r="E180" s="299">
        <v>172</v>
      </c>
      <c r="F180" s="308">
        <f t="shared" ca="1" si="53"/>
        <v>3678.5382611556115</v>
      </c>
      <c r="G180" s="307">
        <f t="shared" ca="1" si="54"/>
        <v>236.17063139653288</v>
      </c>
      <c r="H180" s="306">
        <f t="shared" ca="1" si="55"/>
        <v>0.3812703268439418</v>
      </c>
      <c r="I180" s="305">
        <f t="shared" ca="1" si="58"/>
        <v>140.88963842923908</v>
      </c>
      <c r="J180" s="305">
        <f t="shared" ca="1" si="59"/>
        <v>55.315332864733485</v>
      </c>
      <c r="K180" s="292">
        <f t="shared" ca="1" si="56"/>
        <v>2.4276266497426113</v>
      </c>
      <c r="L180" s="1290">
        <f t="shared" ca="1" si="60"/>
        <v>32.416091790551953</v>
      </c>
      <c r="M180" s="299">
        <v>172</v>
      </c>
      <c r="N180" s="304">
        <f t="shared" si="61"/>
        <v>2921.1194603135</v>
      </c>
      <c r="O180" s="303">
        <v>262.91123391572143</v>
      </c>
      <c r="P180" s="302">
        <v>0.46028338290888066</v>
      </c>
      <c r="Q180" s="301">
        <v>107.72089334589515</v>
      </c>
      <c r="R180" s="301">
        <v>49.841914042543848</v>
      </c>
      <c r="S180" s="300">
        <v>1.8896293327143863</v>
      </c>
      <c r="T180" s="891">
        <f t="shared" si="62"/>
        <v>2</v>
      </c>
      <c r="U180" s="1220">
        <v>6.9836854934692383E-2</v>
      </c>
      <c r="W180" s="299">
        <v>172</v>
      </c>
      <c r="X180" s="298">
        <f>IF('Donor Sample'!N197="",,IF('Donor Sample'!N197="F",1,0))</f>
        <v>0</v>
      </c>
      <c r="Y180" s="298" t="str">
        <f>IF('Donor Sample'!O197="","",'Donor Sample'!O197)</f>
        <v/>
      </c>
      <c r="Z180" s="298" t="str">
        <f>IF(AND('Donor Sample'!O197="",'Donor Sample'!P197="",'Donor Sample'!Q197=""),"",IF('Donor Sample'!P197="",ROUND(AA180/($C$32+($AI180-0.5)*$C$31),0),'Donor Sample'!P197))</f>
        <v/>
      </c>
      <c r="AA180" s="297" t="str">
        <f>IF('Donor Sample'!Q197="","",'Donor Sample'!Q197)</f>
        <v/>
      </c>
      <c r="AB180" s="296" t="str">
        <f t="shared" si="57"/>
        <v/>
      </c>
      <c r="AC180" s="295" t="str">
        <f>IF('Donor Sample'!R197="","",'Donor Sample'!R197)</f>
        <v/>
      </c>
      <c r="AD180" s="294" t="str">
        <f>IF('Donor Sample'!S197="","",'Donor Sample'!S197/100)</f>
        <v/>
      </c>
      <c r="AE180" s="407" t="e">
        <f t="shared" si="63"/>
        <v>#VALUE!</v>
      </c>
      <c r="AF180" s="293" t="str">
        <f t="shared" si="64"/>
        <v/>
      </c>
      <c r="AG180" s="292" t="str">
        <f>IF('Donor Sample'!T197="","",'Donor Sample'!T197)</f>
        <v/>
      </c>
      <c r="AH180" s="891">
        <f t="shared" si="65"/>
        <v>4</v>
      </c>
      <c r="AI180" s="1220">
        <v>0.41869521141052246</v>
      </c>
      <c r="AJ180" s="1216"/>
    </row>
    <row r="181" spans="5:36">
      <c r="E181" s="299">
        <v>173</v>
      </c>
      <c r="F181" s="308">
        <f t="shared" ca="1" si="53"/>
        <v>2734.785932894632</v>
      </c>
      <c r="G181" s="307">
        <f t="shared" ca="1" si="54"/>
        <v>203.68352531086737</v>
      </c>
      <c r="H181" s="306">
        <f t="shared" ca="1" si="55"/>
        <v>0.39965554698598027</v>
      </c>
      <c r="I181" s="305">
        <f t="shared" ca="1" si="58"/>
        <v>94.73308866815826</v>
      </c>
      <c r="J181" s="305">
        <f t="shared" ca="1" si="59"/>
        <v>49.915199758012612</v>
      </c>
      <c r="K181" s="292">
        <f t="shared" ca="1" si="56"/>
        <v>1.3673775438874261</v>
      </c>
      <c r="L181" s="1290">
        <f t="shared" ca="1" si="60"/>
        <v>26.767556584918378</v>
      </c>
      <c r="M181" s="299">
        <v>173</v>
      </c>
      <c r="N181" s="304">
        <f t="shared" si="61"/>
        <v>3164.9608616369242</v>
      </c>
      <c r="O181" s="303">
        <v>252.08670723108824</v>
      </c>
      <c r="P181" s="302">
        <v>0.38218280131677645</v>
      </c>
      <c r="Q181" s="301">
        <v>102.73883071404414</v>
      </c>
      <c r="R181" s="301">
        <v>56.091266651971253</v>
      </c>
      <c r="S181" s="300">
        <v>8.6872949992601942</v>
      </c>
      <c r="T181" s="891">
        <f t="shared" si="62"/>
        <v>32</v>
      </c>
      <c r="U181" s="1220">
        <v>0.79022639989852905</v>
      </c>
      <c r="W181" s="299">
        <v>173</v>
      </c>
      <c r="X181" s="298">
        <f>IF('Donor Sample'!N198="",,IF('Donor Sample'!N198="F",1,0))</f>
        <v>0</v>
      </c>
      <c r="Y181" s="298" t="str">
        <f>IF('Donor Sample'!O198="","",'Donor Sample'!O198)</f>
        <v/>
      </c>
      <c r="Z181" s="298" t="str">
        <f>IF(AND('Donor Sample'!O198="",'Donor Sample'!P198="",'Donor Sample'!Q198=""),"",IF('Donor Sample'!P198="",ROUND(AA181/($C$32+($AI181-0.5)*$C$31),0),'Donor Sample'!P198))</f>
        <v/>
      </c>
      <c r="AA181" s="297" t="str">
        <f>IF('Donor Sample'!Q198="","",'Donor Sample'!Q198)</f>
        <v/>
      </c>
      <c r="AB181" s="296" t="str">
        <f t="shared" si="57"/>
        <v/>
      </c>
      <c r="AC181" s="295" t="str">
        <f>IF('Donor Sample'!R198="","",'Donor Sample'!R198)</f>
        <v/>
      </c>
      <c r="AD181" s="294" t="str">
        <f>IF('Donor Sample'!S198="","",'Donor Sample'!S198/100)</f>
        <v/>
      </c>
      <c r="AE181" s="293" t="e">
        <f t="shared" si="63"/>
        <v>#VALUE!</v>
      </c>
      <c r="AF181" s="293" t="str">
        <f t="shared" si="64"/>
        <v/>
      </c>
      <c r="AG181" s="292" t="str">
        <f>IF('Donor Sample'!T198="","",'Donor Sample'!T198)</f>
        <v/>
      </c>
      <c r="AH181" s="891">
        <f t="shared" si="65"/>
        <v>2</v>
      </c>
      <c r="AI181" s="1220">
        <v>0.32617086172103882</v>
      </c>
      <c r="AJ181" s="1216"/>
    </row>
    <row r="182" spans="5:36">
      <c r="E182" s="299">
        <v>174</v>
      </c>
      <c r="F182" s="308">
        <f t="shared" ca="1" si="53"/>
        <v>2623.2723287937611</v>
      </c>
      <c r="G182" s="307">
        <f t="shared" ca="1" si="54"/>
        <v>264.82877244472405</v>
      </c>
      <c r="H182" s="306">
        <f t="shared" ca="1" si="55"/>
        <v>0.39802162571579652</v>
      </c>
      <c r="I182" s="305">
        <f t="shared" ca="1" si="58"/>
        <v>101.87380361515572</v>
      </c>
      <c r="J182" s="305">
        <f t="shared" ca="1" si="59"/>
        <v>53.869658805275385</v>
      </c>
      <c r="K182" s="292">
        <f t="shared" ca="1" si="56"/>
        <v>1.2471317243414191</v>
      </c>
      <c r="L182" s="1290">
        <f t="shared" ca="1" si="60"/>
        <v>24.714209904444122</v>
      </c>
      <c r="M182" s="299">
        <v>174</v>
      </c>
      <c r="N182" s="304">
        <f t="shared" si="61"/>
        <v>2888.7861964728004</v>
      </c>
      <c r="O182" s="303">
        <v>238.42685944816876</v>
      </c>
      <c r="P182" s="302">
        <v>0.37389111616176279</v>
      </c>
      <c r="Q182" s="301">
        <v>121.38269441144918</v>
      </c>
      <c r="R182" s="301">
        <v>53.33041441534948</v>
      </c>
      <c r="S182" s="300">
        <v>1.2865127904943148</v>
      </c>
      <c r="T182" s="891">
        <f t="shared" si="62"/>
        <v>32</v>
      </c>
      <c r="U182" s="1220">
        <v>0.82260024547576904</v>
      </c>
      <c r="W182" s="299">
        <v>174</v>
      </c>
      <c r="X182" s="298">
        <f>IF('Donor Sample'!N199="",,IF('Donor Sample'!N199="F",1,0))</f>
        <v>0</v>
      </c>
      <c r="Y182" s="298" t="str">
        <f>IF('Donor Sample'!O199="","",'Donor Sample'!O199)</f>
        <v/>
      </c>
      <c r="Z182" s="298" t="str">
        <f>IF(AND('Donor Sample'!O199="",'Donor Sample'!P199="",'Donor Sample'!Q199=""),"",IF('Donor Sample'!P199="",ROUND(AA182/($C$32+($AI182-0.5)*$C$31),0),'Donor Sample'!P199))</f>
        <v/>
      </c>
      <c r="AA182" s="297" t="str">
        <f>IF('Donor Sample'!Q199="","",'Donor Sample'!Q199)</f>
        <v/>
      </c>
      <c r="AB182" s="296" t="str">
        <f t="shared" si="57"/>
        <v/>
      </c>
      <c r="AC182" s="295" t="str">
        <f>IF('Donor Sample'!R199="","",'Donor Sample'!R199)</f>
        <v/>
      </c>
      <c r="AD182" s="294" t="str">
        <f>IF('Donor Sample'!S199="","",'Donor Sample'!S199/100)</f>
        <v/>
      </c>
      <c r="AE182" s="293" t="e">
        <f t="shared" si="63"/>
        <v>#VALUE!</v>
      </c>
      <c r="AF182" s="293" t="str">
        <f t="shared" si="64"/>
        <v/>
      </c>
      <c r="AG182" s="292" t="str">
        <f>IF('Donor Sample'!T199="","",'Donor Sample'!T199)</f>
        <v/>
      </c>
      <c r="AH182" s="891">
        <f t="shared" si="65"/>
        <v>16</v>
      </c>
      <c r="AI182" s="1220">
        <v>0.96720826625823975</v>
      </c>
      <c r="AJ182" s="1216"/>
    </row>
    <row r="183" spans="5:36">
      <c r="E183" s="299">
        <v>175</v>
      </c>
      <c r="F183" s="308">
        <f t="shared" ca="1" si="53"/>
        <v>3657.3252556914413</v>
      </c>
      <c r="G183" s="307">
        <f t="shared" ca="1" si="54"/>
        <v>195.51185709214772</v>
      </c>
      <c r="H183" s="306">
        <f t="shared" ca="1" si="55"/>
        <v>0.47226700762598517</v>
      </c>
      <c r="I183" s="305">
        <f t="shared" ca="1" si="58"/>
        <v>129.73713793078952</v>
      </c>
      <c r="J183" s="305">
        <f t="shared" ca="1" si="59"/>
        <v>57.770818140544122</v>
      </c>
      <c r="K183" s="292">
        <f t="shared" ca="1" si="56"/>
        <v>3.3761169408009466</v>
      </c>
      <c r="L183" s="1290">
        <f t="shared" ca="1" si="60"/>
        <v>27.366542762284752</v>
      </c>
      <c r="M183" s="299">
        <v>175</v>
      </c>
      <c r="N183" s="304">
        <f t="shared" si="61"/>
        <v>3802.9465286191084</v>
      </c>
      <c r="O183" s="303">
        <v>260.49914674543282</v>
      </c>
      <c r="P183" s="302">
        <v>0.38335672677109167</v>
      </c>
      <c r="Q183" s="301">
        <v>131.43215323925335</v>
      </c>
      <c r="R183" s="301">
        <v>59.71285837630154</v>
      </c>
      <c r="S183" s="300">
        <v>1.2409201024558765</v>
      </c>
      <c r="T183" s="891">
        <f t="shared" si="62"/>
        <v>2</v>
      </c>
      <c r="U183" s="1220">
        <v>0.33235126733779907</v>
      </c>
      <c r="W183" s="299">
        <v>175</v>
      </c>
      <c r="X183" s="298">
        <f>IF('Donor Sample'!N200="",,IF('Donor Sample'!N200="F",1,0))</f>
        <v>0</v>
      </c>
      <c r="Y183" s="298" t="str">
        <f>IF('Donor Sample'!O200="","",'Donor Sample'!O200)</f>
        <v/>
      </c>
      <c r="Z183" s="298" t="str">
        <f>IF(AND('Donor Sample'!O200="",'Donor Sample'!P200="",'Donor Sample'!Q200=""),"",IF('Donor Sample'!P200="",ROUND(AA183/($C$32+($AI183-0.5)*$C$31),0),'Donor Sample'!P200))</f>
        <v/>
      </c>
      <c r="AA183" s="297" t="str">
        <f>IF('Donor Sample'!Q200="","",'Donor Sample'!Q200)</f>
        <v/>
      </c>
      <c r="AB183" s="296" t="str">
        <f t="shared" si="57"/>
        <v/>
      </c>
      <c r="AC183" s="295" t="str">
        <f>IF('Donor Sample'!R200="","",'Donor Sample'!R200)</f>
        <v/>
      </c>
      <c r="AD183" s="294" t="str">
        <f>IF('Donor Sample'!S200="","",'Donor Sample'!S200/100)</f>
        <v/>
      </c>
      <c r="AE183" s="407" t="e">
        <f t="shared" si="63"/>
        <v>#VALUE!</v>
      </c>
      <c r="AF183" s="293" t="str">
        <f t="shared" si="64"/>
        <v/>
      </c>
      <c r="AG183" s="292" t="str">
        <f>IF('Donor Sample'!T200="","",'Donor Sample'!T200)</f>
        <v/>
      </c>
      <c r="AH183" s="891">
        <f t="shared" si="65"/>
        <v>2</v>
      </c>
      <c r="AI183" s="1220">
        <v>0.14120298624038696</v>
      </c>
      <c r="AJ183" s="1216"/>
    </row>
    <row r="184" spans="5:36">
      <c r="E184" s="299">
        <v>176</v>
      </c>
      <c r="F184" s="308">
        <f t="shared" ca="1" si="53"/>
        <v>3227.5014961484972</v>
      </c>
      <c r="G184" s="307">
        <f t="shared" ca="1" si="54"/>
        <v>182.28141934005237</v>
      </c>
      <c r="H184" s="306">
        <f t="shared" ca="1" si="55"/>
        <v>0.41510704728963321</v>
      </c>
      <c r="I184" s="305">
        <f t="shared" ca="1" si="58"/>
        <v>105.58693360476411</v>
      </c>
      <c r="J184" s="305">
        <f t="shared" ca="1" si="59"/>
        <v>56.458200740279437</v>
      </c>
      <c r="K184" s="292">
        <f t="shared" ca="1" si="56"/>
        <v>15.785517254803889</v>
      </c>
      <c r="L184" s="1290">
        <f t="shared" ca="1" si="60"/>
        <v>23.320012000145695</v>
      </c>
      <c r="M184" s="299">
        <v>176</v>
      </c>
      <c r="N184" s="304">
        <f t="shared" si="61"/>
        <v>3812.7879925541906</v>
      </c>
      <c r="O184" s="303">
        <v>279.5743837224303</v>
      </c>
      <c r="P184" s="302">
        <v>0.39621517782911442</v>
      </c>
      <c r="Q184" s="301">
        <v>127.08290637160336</v>
      </c>
      <c r="R184" s="301">
        <v>60.832173392166993</v>
      </c>
      <c r="S184" s="300">
        <v>2.415992755976736</v>
      </c>
      <c r="T184" s="891">
        <f t="shared" si="62"/>
        <v>4</v>
      </c>
      <c r="U184" s="1220">
        <v>0.41998052597045898</v>
      </c>
      <c r="W184" s="299">
        <v>176</v>
      </c>
      <c r="X184" s="298">
        <f>IF('Donor Sample'!N201="",,IF('Donor Sample'!N201="F",1,0))</f>
        <v>0</v>
      </c>
      <c r="Y184" s="298" t="str">
        <f>IF('Donor Sample'!O201="","",'Donor Sample'!O201)</f>
        <v/>
      </c>
      <c r="Z184" s="298" t="str">
        <f>IF(AND('Donor Sample'!O201="",'Donor Sample'!P201="",'Donor Sample'!Q201=""),"",IF('Donor Sample'!P201="",ROUND(AA184/($C$32+($AI184-0.5)*$C$31),0),'Donor Sample'!P201))</f>
        <v/>
      </c>
      <c r="AA184" s="297" t="str">
        <f>IF('Donor Sample'!Q201="","",'Donor Sample'!Q201)</f>
        <v/>
      </c>
      <c r="AB184" s="296" t="str">
        <f t="shared" si="57"/>
        <v/>
      </c>
      <c r="AC184" s="295" t="str">
        <f>IF('Donor Sample'!R201="","",'Donor Sample'!R201)</f>
        <v/>
      </c>
      <c r="AD184" s="294" t="str">
        <f>IF('Donor Sample'!S201="","",'Donor Sample'!S201/100)</f>
        <v/>
      </c>
      <c r="AE184" s="293" t="e">
        <f t="shared" si="63"/>
        <v>#VALUE!</v>
      </c>
      <c r="AF184" s="293" t="str">
        <f t="shared" si="64"/>
        <v/>
      </c>
      <c r="AG184" s="292" t="str">
        <f>IF('Donor Sample'!T201="","",'Donor Sample'!T201)</f>
        <v/>
      </c>
      <c r="AH184" s="891">
        <f t="shared" si="65"/>
        <v>64</v>
      </c>
      <c r="AI184" s="1220">
        <v>0.76539802551269531</v>
      </c>
      <c r="AJ184" s="1216"/>
    </row>
    <row r="185" spans="5:36">
      <c r="E185" s="299">
        <v>177</v>
      </c>
      <c r="F185" s="308">
        <f t="shared" ca="1" si="53"/>
        <v>3068.103350564304</v>
      </c>
      <c r="G185" s="307">
        <f t="shared" ca="1" si="54"/>
        <v>240.37442336664478</v>
      </c>
      <c r="H185" s="306">
        <f t="shared" ca="1" si="55"/>
        <v>0.39247284138691391</v>
      </c>
      <c r="I185" s="305">
        <f t="shared" ca="1" si="58"/>
        <v>101.97121153289086</v>
      </c>
      <c r="J185" s="305">
        <f t="shared" ca="1" si="59"/>
        <v>54.539346468629311</v>
      </c>
      <c r="K185" s="292">
        <f t="shared" ca="1" si="56"/>
        <v>15.542291180899555</v>
      </c>
      <c r="L185" s="1290">
        <f t="shared" ca="1" si="60"/>
        <v>24.134059504918351</v>
      </c>
      <c r="M185" s="299">
        <v>177</v>
      </c>
      <c r="N185" s="304">
        <f t="shared" si="61"/>
        <v>3452.1135711072402</v>
      </c>
      <c r="O185" s="303">
        <v>191.22816953787134</v>
      </c>
      <c r="P185" s="302">
        <v>0.45093030027782288</v>
      </c>
      <c r="Q185" s="301">
        <v>132.3721723665472</v>
      </c>
      <c r="R185" s="301">
        <v>53.400247922728788</v>
      </c>
      <c r="S185" s="300">
        <v>7.6150957030776008</v>
      </c>
      <c r="T185" s="891">
        <f t="shared" si="62"/>
        <v>8</v>
      </c>
      <c r="U185" s="1220">
        <v>0.99394577741622925</v>
      </c>
      <c r="W185" s="299">
        <v>177</v>
      </c>
      <c r="X185" s="298">
        <f>IF('Donor Sample'!N202="",,IF('Donor Sample'!N202="F",1,0))</f>
        <v>0</v>
      </c>
      <c r="Y185" s="298" t="str">
        <f>IF('Donor Sample'!O202="","",'Donor Sample'!O202)</f>
        <v/>
      </c>
      <c r="Z185" s="298" t="str">
        <f>IF(AND('Donor Sample'!O202="",'Donor Sample'!P202="",'Donor Sample'!Q202=""),"",IF('Donor Sample'!P202="",ROUND(AA185/($C$32+($AI185-0.5)*$C$31),0),'Donor Sample'!P202))</f>
        <v/>
      </c>
      <c r="AA185" s="297" t="str">
        <f>IF('Donor Sample'!Q202="","",'Donor Sample'!Q202)</f>
        <v/>
      </c>
      <c r="AB185" s="296" t="str">
        <f t="shared" si="57"/>
        <v/>
      </c>
      <c r="AC185" s="295" t="str">
        <f>IF('Donor Sample'!R202="","",'Donor Sample'!R202)</f>
        <v/>
      </c>
      <c r="AD185" s="294" t="str">
        <f>IF('Donor Sample'!S202="","",'Donor Sample'!S202/100)</f>
        <v/>
      </c>
      <c r="AE185" s="293" t="e">
        <f t="shared" si="63"/>
        <v>#VALUE!</v>
      </c>
      <c r="AF185" s="293" t="str">
        <f t="shared" si="64"/>
        <v/>
      </c>
      <c r="AG185" s="292" t="str">
        <f>IF('Donor Sample'!T202="","",'Donor Sample'!T202)</f>
        <v/>
      </c>
      <c r="AH185" s="891">
        <f t="shared" si="65"/>
        <v>2</v>
      </c>
      <c r="AI185" s="1220">
        <v>0.14177531003952026</v>
      </c>
      <c r="AJ185" s="1216"/>
    </row>
    <row r="186" spans="5:36">
      <c r="E186" s="299">
        <v>178</v>
      </c>
      <c r="F186" s="308">
        <f t="shared" ca="1" si="53"/>
        <v>4067.1272554682291</v>
      </c>
      <c r="G186" s="307">
        <f t="shared" ca="1" si="54"/>
        <v>241.16075618095658</v>
      </c>
      <c r="H186" s="306">
        <f t="shared" ca="1" si="55"/>
        <v>0.36901957135289765</v>
      </c>
      <c r="I186" s="305">
        <f t="shared" ca="1" si="58"/>
        <v>160.63898663716657</v>
      </c>
      <c r="J186" s="305">
        <f t="shared" ca="1" si="59"/>
        <v>57.075289802582652</v>
      </c>
      <c r="K186" s="292">
        <f t="shared" ca="1" si="56"/>
        <v>1.9833153778147417</v>
      </c>
      <c r="L186" s="1290">
        <f t="shared" ca="1" si="60"/>
        <v>34.715814916283449</v>
      </c>
      <c r="M186" s="299">
        <v>178</v>
      </c>
      <c r="N186" s="304">
        <f t="shared" si="61"/>
        <v>3146.0223031401679</v>
      </c>
      <c r="O186" s="303">
        <v>283.24057456608591</v>
      </c>
      <c r="P186" s="302">
        <v>0.40252835636009771</v>
      </c>
      <c r="Q186" s="301">
        <v>102.14635356025354</v>
      </c>
      <c r="R186" s="301">
        <v>55.909369495797506</v>
      </c>
      <c r="S186" s="300">
        <v>2.8328789712675913</v>
      </c>
      <c r="T186" s="891">
        <f t="shared" si="62"/>
        <v>64</v>
      </c>
      <c r="U186" s="1220">
        <v>0.69899094104766846</v>
      </c>
      <c r="W186" s="299">
        <v>178</v>
      </c>
      <c r="X186" s="298">
        <f>IF('Donor Sample'!N203="",,IF('Donor Sample'!N203="F",1,0))</f>
        <v>0</v>
      </c>
      <c r="Y186" s="298" t="str">
        <f>IF('Donor Sample'!O203="","",'Donor Sample'!O203)</f>
        <v/>
      </c>
      <c r="Z186" s="298" t="str">
        <f>IF(AND('Donor Sample'!O203="",'Donor Sample'!P203="",'Donor Sample'!Q203=""),"",IF('Donor Sample'!P203="",ROUND(AA186/($C$32+($AI186-0.5)*$C$31),0),'Donor Sample'!P203))</f>
        <v/>
      </c>
      <c r="AA186" s="297" t="str">
        <f>IF('Donor Sample'!Q203="","",'Donor Sample'!Q203)</f>
        <v/>
      </c>
      <c r="AB186" s="296" t="str">
        <f t="shared" si="57"/>
        <v/>
      </c>
      <c r="AC186" s="295" t="str">
        <f>IF('Donor Sample'!R203="","",'Donor Sample'!R203)</f>
        <v/>
      </c>
      <c r="AD186" s="294" t="str">
        <f>IF('Donor Sample'!S203="","",'Donor Sample'!S203/100)</f>
        <v/>
      </c>
      <c r="AE186" s="407" t="e">
        <f t="shared" si="63"/>
        <v>#VALUE!</v>
      </c>
      <c r="AF186" s="293" t="str">
        <f t="shared" si="64"/>
        <v/>
      </c>
      <c r="AG186" s="292" t="str">
        <f>IF('Donor Sample'!T203="","",'Donor Sample'!T203)</f>
        <v/>
      </c>
      <c r="AH186" s="891">
        <f t="shared" si="65"/>
        <v>2</v>
      </c>
      <c r="AI186" s="1220">
        <v>0.20325624942779541</v>
      </c>
      <c r="AJ186" s="1216"/>
    </row>
    <row r="187" spans="5:36">
      <c r="E187" s="299">
        <v>179</v>
      </c>
      <c r="F187" s="308">
        <f t="shared" ca="1" si="53"/>
        <v>3686.0306403469008</v>
      </c>
      <c r="G187" s="307">
        <f t="shared" ca="1" si="54"/>
        <v>171.6056373705801</v>
      </c>
      <c r="H187" s="306">
        <f t="shared" ca="1" si="55"/>
        <v>0.36519253607350732</v>
      </c>
      <c r="I187" s="305">
        <f t="shared" ca="1" si="58"/>
        <v>144.2120359883819</v>
      </c>
      <c r="J187" s="305">
        <f t="shared" ca="1" si="59"/>
        <v>54.561914568110005</v>
      </c>
      <c r="K187" s="292">
        <f t="shared" ca="1" si="56"/>
        <v>1.5556156871297078</v>
      </c>
      <c r="L187" s="1290">
        <f t="shared" ca="1" si="60"/>
        <v>34.103186882824616</v>
      </c>
      <c r="M187" s="299">
        <v>179</v>
      </c>
      <c r="N187" s="304">
        <f t="shared" si="61"/>
        <v>3184.0462388373999</v>
      </c>
      <c r="O187" s="303">
        <v>214.21381719500368</v>
      </c>
      <c r="P187" s="302">
        <v>0.39727439150992239</v>
      </c>
      <c r="Q187" s="301">
        <v>98.661722332041464</v>
      </c>
      <c r="R187" s="301">
        <v>57.443725187494337</v>
      </c>
      <c r="S187" s="300">
        <v>1.9101092562088973</v>
      </c>
      <c r="T187" s="891">
        <f t="shared" si="62"/>
        <v>64</v>
      </c>
      <c r="U187" s="1220">
        <v>0.49053269624710083</v>
      </c>
      <c r="W187" s="299">
        <v>179</v>
      </c>
      <c r="X187" s="298">
        <f>IF('Donor Sample'!N204="",,IF('Donor Sample'!N204="F",1,0))</f>
        <v>0</v>
      </c>
      <c r="Y187" s="298" t="str">
        <f>IF('Donor Sample'!O204="","",'Donor Sample'!O204)</f>
        <v/>
      </c>
      <c r="Z187" s="298" t="str">
        <f>IF(AND('Donor Sample'!O204="",'Donor Sample'!P204="",'Donor Sample'!Q204=""),"",IF('Donor Sample'!P204="",ROUND(AA187/($C$32+($AI187-0.5)*$C$31),0),'Donor Sample'!P204))</f>
        <v/>
      </c>
      <c r="AA187" s="297" t="str">
        <f>IF('Donor Sample'!Q204="","",'Donor Sample'!Q204)</f>
        <v/>
      </c>
      <c r="AB187" s="296" t="str">
        <f t="shared" si="57"/>
        <v/>
      </c>
      <c r="AC187" s="295" t="str">
        <f>IF('Donor Sample'!R204="","",'Donor Sample'!R204)</f>
        <v/>
      </c>
      <c r="AD187" s="294" t="str">
        <f>IF('Donor Sample'!S204="","",'Donor Sample'!S204/100)</f>
        <v/>
      </c>
      <c r="AE187" s="293" t="e">
        <f t="shared" si="63"/>
        <v>#VALUE!</v>
      </c>
      <c r="AF187" s="293" t="str">
        <f t="shared" si="64"/>
        <v/>
      </c>
      <c r="AG187" s="292" t="str">
        <f>IF('Donor Sample'!T204="","",'Donor Sample'!T204)</f>
        <v/>
      </c>
      <c r="AH187" s="891">
        <f t="shared" si="65"/>
        <v>64</v>
      </c>
      <c r="AI187" s="1220">
        <v>0.63447505235671997</v>
      </c>
      <c r="AJ187" s="1216"/>
    </row>
    <row r="188" spans="5:36">
      <c r="E188" s="299">
        <v>180</v>
      </c>
      <c r="F188" s="308">
        <f t="shared" ca="1" si="53"/>
        <v>3664.5325999572369</v>
      </c>
      <c r="G188" s="307">
        <f t="shared" ca="1" si="54"/>
        <v>221.97494222666742</v>
      </c>
      <c r="H188" s="306">
        <f t="shared" ca="1" si="55"/>
        <v>0.45954483170591048</v>
      </c>
      <c r="I188" s="305">
        <f t="shared" ca="1" si="58"/>
        <v>127.10288647842968</v>
      </c>
      <c r="J188" s="305">
        <f t="shared" ca="1" si="59"/>
        <v>64.62674003236252</v>
      </c>
      <c r="K188" s="292">
        <f t="shared" ca="1" si="56"/>
        <v>1.2608358588062649</v>
      </c>
      <c r="L188" s="1290">
        <f t="shared" ca="1" si="60"/>
        <v>21.424148691171414</v>
      </c>
      <c r="M188" s="299">
        <v>180</v>
      </c>
      <c r="N188" s="304">
        <f t="shared" si="61"/>
        <v>3236.4101835076472</v>
      </c>
      <c r="O188" s="303">
        <v>299.98966890427471</v>
      </c>
      <c r="P188" s="302">
        <v>0.3603454465558984</v>
      </c>
      <c r="Q188" s="301">
        <v>112.45080498739023</v>
      </c>
      <c r="R188" s="301">
        <v>61.64132253773392</v>
      </c>
      <c r="S188" s="300">
        <v>1.5064386857329024</v>
      </c>
      <c r="T188" s="891">
        <f t="shared" si="62"/>
        <v>32</v>
      </c>
      <c r="U188" s="1220">
        <v>0.83337569236755371</v>
      </c>
      <c r="W188" s="299">
        <v>180</v>
      </c>
      <c r="X188" s="298">
        <f>IF('Donor Sample'!N205="",,IF('Donor Sample'!N205="F",1,0))</f>
        <v>0</v>
      </c>
      <c r="Y188" s="298" t="str">
        <f>IF('Donor Sample'!O205="","",'Donor Sample'!O205)</f>
        <v/>
      </c>
      <c r="Z188" s="298" t="str">
        <f>IF(AND('Donor Sample'!O205="",'Donor Sample'!P205="",'Donor Sample'!Q205=""),"",IF('Donor Sample'!P205="",ROUND(AA188/($C$32+($AI188-0.5)*$C$31),0),'Donor Sample'!P205))</f>
        <v/>
      </c>
      <c r="AA188" s="297" t="str">
        <f>IF('Donor Sample'!Q205="","",'Donor Sample'!Q205)</f>
        <v/>
      </c>
      <c r="AB188" s="296" t="str">
        <f t="shared" si="57"/>
        <v/>
      </c>
      <c r="AC188" s="295" t="str">
        <f>IF('Donor Sample'!R205="","",'Donor Sample'!R205)</f>
        <v/>
      </c>
      <c r="AD188" s="294" t="str">
        <f>IF('Donor Sample'!S205="","",'Donor Sample'!S205/100)</f>
        <v/>
      </c>
      <c r="AE188" s="293" t="e">
        <f t="shared" si="63"/>
        <v>#VALUE!</v>
      </c>
      <c r="AF188" s="293" t="str">
        <f t="shared" si="64"/>
        <v/>
      </c>
      <c r="AG188" s="292" t="str">
        <f>IF('Donor Sample'!T205="","",'Donor Sample'!T205)</f>
        <v/>
      </c>
      <c r="AH188" s="891">
        <f t="shared" si="65"/>
        <v>128</v>
      </c>
      <c r="AI188" s="1220">
        <v>0.93133378028869629</v>
      </c>
      <c r="AJ188" s="1216"/>
    </row>
    <row r="189" spans="5:36">
      <c r="E189" s="299">
        <v>181</v>
      </c>
      <c r="F189" s="308">
        <f t="shared" ca="1" si="53"/>
        <v>3979.9963444170216</v>
      </c>
      <c r="G189" s="307">
        <f t="shared" ca="1" si="54"/>
        <v>298.57090036760292</v>
      </c>
      <c r="H189" s="306">
        <f t="shared" ca="1" si="55"/>
        <v>0.36965914445207315</v>
      </c>
      <c r="I189" s="305">
        <f t="shared" ca="1" si="58"/>
        <v>167.12617093375701</v>
      </c>
      <c r="J189" s="305">
        <f t="shared" ca="1" si="59"/>
        <v>60.468323682740106</v>
      </c>
      <c r="K189" s="292">
        <f t="shared" ca="1" si="56"/>
        <v>8.9511146213077648</v>
      </c>
      <c r="L189" s="1290">
        <f t="shared" ca="1" si="60"/>
        <v>32.178164230466805</v>
      </c>
      <c r="M189" s="299">
        <v>181</v>
      </c>
      <c r="N189" s="304">
        <f t="shared" si="61"/>
        <v>2986.8299556720008</v>
      </c>
      <c r="O189" s="303">
        <v>231.07220231896463</v>
      </c>
      <c r="P189" s="302">
        <v>0.41555621674722232</v>
      </c>
      <c r="Q189" s="301">
        <v>105.26578170904308</v>
      </c>
      <c r="R189" s="301">
        <v>59.431024273320382</v>
      </c>
      <c r="S189" s="300">
        <v>11.435828185800238</v>
      </c>
      <c r="T189" s="891">
        <f t="shared" si="62"/>
        <v>2</v>
      </c>
      <c r="U189" s="1220">
        <v>0.33994191884994507</v>
      </c>
      <c r="W189" s="299">
        <v>181</v>
      </c>
      <c r="X189" s="298">
        <f>IF('Donor Sample'!N206="",,IF('Donor Sample'!N206="F",1,0))</f>
        <v>0</v>
      </c>
      <c r="Y189" s="298" t="str">
        <f>IF('Donor Sample'!O206="","",'Donor Sample'!O206)</f>
        <v/>
      </c>
      <c r="Z189" s="298" t="str">
        <f>IF(AND('Donor Sample'!O206="",'Donor Sample'!P206="",'Donor Sample'!Q206=""),"",IF('Donor Sample'!P206="",ROUND(AA189/($C$32+($AI189-0.5)*$C$31),0),'Donor Sample'!P206))</f>
        <v/>
      </c>
      <c r="AA189" s="297" t="str">
        <f>IF('Donor Sample'!Q206="","",'Donor Sample'!Q206)</f>
        <v/>
      </c>
      <c r="AB189" s="296" t="str">
        <f t="shared" si="57"/>
        <v/>
      </c>
      <c r="AC189" s="295" t="str">
        <f>IF('Donor Sample'!R206="","",'Donor Sample'!R206)</f>
        <v/>
      </c>
      <c r="AD189" s="294" t="str">
        <f>IF('Donor Sample'!S206="","",'Donor Sample'!S206/100)</f>
        <v/>
      </c>
      <c r="AE189" s="407" t="e">
        <f t="shared" si="63"/>
        <v>#VALUE!</v>
      </c>
      <c r="AF189" s="293" t="str">
        <f t="shared" si="64"/>
        <v/>
      </c>
      <c r="AG189" s="292" t="str">
        <f>IF('Donor Sample'!T206="","",'Donor Sample'!T206)</f>
        <v/>
      </c>
      <c r="AH189" s="891">
        <f t="shared" si="65"/>
        <v>16</v>
      </c>
      <c r="AI189" s="1220">
        <v>0.95671218633651733</v>
      </c>
      <c r="AJ189" s="1216"/>
    </row>
    <row r="190" spans="5:36">
      <c r="E190" s="299">
        <v>182</v>
      </c>
      <c r="F190" s="308">
        <f t="shared" ca="1" si="53"/>
        <v>2917.3435769372672</v>
      </c>
      <c r="G190" s="307">
        <f t="shared" ca="1" si="54"/>
        <v>294.11847725077109</v>
      </c>
      <c r="H190" s="306">
        <f t="shared" ca="1" si="55"/>
        <v>0.39030718122449237</v>
      </c>
      <c r="I190" s="305">
        <f t="shared" ca="1" si="58"/>
        <v>92.374318985837846</v>
      </c>
      <c r="J190" s="305">
        <f t="shared" ca="1" si="59"/>
        <v>54.340197449651221</v>
      </c>
      <c r="K190" s="292">
        <f t="shared" ca="1" si="56"/>
        <v>1.5512420751982148</v>
      </c>
      <c r="L190" s="1290">
        <f t="shared" ca="1" si="60"/>
        <v>22.023253841816647</v>
      </c>
      <c r="M190" s="299">
        <v>182</v>
      </c>
      <c r="N190" s="304">
        <f t="shared" si="61"/>
        <v>4131.6274387602734</v>
      </c>
      <c r="O190" s="303">
        <v>221.21093779877549</v>
      </c>
      <c r="P190" s="302">
        <v>0.3830551041408401</v>
      </c>
      <c r="Q190" s="301">
        <v>130.68374379391304</v>
      </c>
      <c r="R190" s="301">
        <v>64.58528809770614</v>
      </c>
      <c r="S190" s="300">
        <v>2.7926504746110998</v>
      </c>
      <c r="T190" s="891">
        <f t="shared" si="62"/>
        <v>2</v>
      </c>
      <c r="U190" s="1220">
        <v>0.152457594871521</v>
      </c>
      <c r="W190" s="299">
        <v>182</v>
      </c>
      <c r="X190" s="298">
        <f>IF('Donor Sample'!N207="",,IF('Donor Sample'!N207="F",1,0))</f>
        <v>0</v>
      </c>
      <c r="Y190" s="298" t="str">
        <f>IF('Donor Sample'!O207="","",'Donor Sample'!O207)</f>
        <v/>
      </c>
      <c r="Z190" s="298" t="str">
        <f>IF(AND('Donor Sample'!O207="",'Donor Sample'!P207="",'Donor Sample'!Q207=""),"",IF('Donor Sample'!P207="",ROUND(AA190/($C$32+($AI190-0.5)*$C$31),0),'Donor Sample'!P207))</f>
        <v/>
      </c>
      <c r="AA190" s="297" t="str">
        <f>IF('Donor Sample'!Q207="","",'Donor Sample'!Q207)</f>
        <v/>
      </c>
      <c r="AB190" s="296" t="str">
        <f t="shared" si="57"/>
        <v/>
      </c>
      <c r="AC190" s="295" t="str">
        <f>IF('Donor Sample'!R207="","",'Donor Sample'!R207)</f>
        <v/>
      </c>
      <c r="AD190" s="294" t="str">
        <f>IF('Donor Sample'!S207="","",'Donor Sample'!S207/100)</f>
        <v/>
      </c>
      <c r="AE190" s="293" t="e">
        <f t="shared" si="63"/>
        <v>#VALUE!</v>
      </c>
      <c r="AF190" s="293" t="str">
        <f t="shared" si="64"/>
        <v/>
      </c>
      <c r="AG190" s="292" t="str">
        <f>IF('Donor Sample'!T207="","",'Donor Sample'!T207)</f>
        <v/>
      </c>
      <c r="AH190" s="891">
        <f t="shared" si="65"/>
        <v>2</v>
      </c>
      <c r="AI190" s="1220">
        <v>7.0213198661804199E-2</v>
      </c>
      <c r="AJ190" s="1216"/>
    </row>
    <row r="191" spans="5:36">
      <c r="E191" s="299">
        <v>183</v>
      </c>
      <c r="F191" s="308">
        <f t="shared" ca="1" si="53"/>
        <v>3264.9984305186226</v>
      </c>
      <c r="G191" s="307">
        <f t="shared" ca="1" si="54"/>
        <v>295.41522993818523</v>
      </c>
      <c r="H191" s="306">
        <f t="shared" ca="1" si="55"/>
        <v>0.42348960074350289</v>
      </c>
      <c r="I191" s="305">
        <f t="shared" ca="1" si="58"/>
        <v>105.64349692211336</v>
      </c>
      <c r="J191" s="305">
        <f t="shared" ca="1" si="59"/>
        <v>57.088993267024385</v>
      </c>
      <c r="K191" s="292">
        <f t="shared" ca="1" si="56"/>
        <v>3.7557051306819416</v>
      </c>
      <c r="L191" s="1290">
        <f t="shared" ca="1" si="60"/>
        <v>22.819738244579835</v>
      </c>
      <c r="M191" s="299">
        <v>183</v>
      </c>
      <c r="N191" s="304">
        <f t="shared" si="61"/>
        <v>2794.1907635515918</v>
      </c>
      <c r="O191" s="303">
        <v>230.05083746735548</v>
      </c>
      <c r="P191" s="302">
        <v>0.37310605763134819</v>
      </c>
      <c r="Q191" s="301">
        <v>90.931102211511259</v>
      </c>
      <c r="R191" s="301">
        <v>52.351556918972186</v>
      </c>
      <c r="S191" s="300">
        <v>1.8302209827345786</v>
      </c>
      <c r="T191" s="891">
        <f t="shared" si="62"/>
        <v>256</v>
      </c>
      <c r="U191" s="1220">
        <v>0.90576750040054321</v>
      </c>
      <c r="W191" s="299">
        <v>183</v>
      </c>
      <c r="X191" s="298">
        <f>IF('Donor Sample'!N208="",,IF('Donor Sample'!N208="F",1,0))</f>
        <v>0</v>
      </c>
      <c r="Y191" s="298" t="str">
        <f>IF('Donor Sample'!O208="","",'Donor Sample'!O208)</f>
        <v/>
      </c>
      <c r="Z191" s="298" t="str">
        <f>IF(AND('Donor Sample'!O208="",'Donor Sample'!P208="",'Donor Sample'!Q208=""),"",IF('Donor Sample'!P208="",ROUND(AA191/($C$32+($AI191-0.5)*$C$31),0),'Donor Sample'!P208))</f>
        <v/>
      </c>
      <c r="AA191" s="297" t="str">
        <f>IF('Donor Sample'!Q208="","",'Donor Sample'!Q208)</f>
        <v/>
      </c>
      <c r="AB191" s="296" t="str">
        <f t="shared" si="57"/>
        <v/>
      </c>
      <c r="AC191" s="295" t="str">
        <f>IF('Donor Sample'!R208="","",'Donor Sample'!R208)</f>
        <v/>
      </c>
      <c r="AD191" s="294" t="str">
        <f>IF('Donor Sample'!S208="","",'Donor Sample'!S208/100)</f>
        <v/>
      </c>
      <c r="AE191" s="293" t="e">
        <f t="shared" si="63"/>
        <v>#VALUE!</v>
      </c>
      <c r="AF191" s="293" t="str">
        <f t="shared" si="64"/>
        <v/>
      </c>
      <c r="AG191" s="292" t="str">
        <f>IF('Donor Sample'!T208="","",'Donor Sample'!T208)</f>
        <v/>
      </c>
      <c r="AH191" s="891">
        <f t="shared" si="65"/>
        <v>2</v>
      </c>
      <c r="AI191" s="1220">
        <v>0.3483014702796936</v>
      </c>
      <c r="AJ191" s="1216"/>
    </row>
    <row r="192" spans="5:36">
      <c r="E192" s="299">
        <v>184</v>
      </c>
      <c r="F192" s="308">
        <f t="shared" ca="1" si="53"/>
        <v>3575.5189142227778</v>
      </c>
      <c r="G192" s="307">
        <f t="shared" ca="1" si="54"/>
        <v>261.32576876384269</v>
      </c>
      <c r="H192" s="306">
        <f t="shared" ca="1" si="55"/>
        <v>0.41130387825635323</v>
      </c>
      <c r="I192" s="305">
        <f t="shared" ca="1" si="58"/>
        <v>111.8474787687596</v>
      </c>
      <c r="J192" s="305">
        <f t="shared" ca="1" si="59"/>
        <v>60.609134138895527</v>
      </c>
      <c r="K192" s="292">
        <f t="shared" ca="1" si="56"/>
        <v>2.9536100575748789</v>
      </c>
      <c r="L192" s="1290">
        <f t="shared" ca="1" si="60"/>
        <v>21.434961040741356</v>
      </c>
      <c r="M192" s="299">
        <v>184</v>
      </c>
      <c r="N192" s="304">
        <f t="shared" si="61"/>
        <v>2996.5728176164525</v>
      </c>
      <c r="O192" s="303">
        <v>251.19867458182136</v>
      </c>
      <c r="P192" s="302">
        <v>0.4295647685341587</v>
      </c>
      <c r="Q192" s="301">
        <v>94.239084492807009</v>
      </c>
      <c r="R192" s="301">
        <v>55.299611524308773</v>
      </c>
      <c r="S192" s="300">
        <v>2.8096627963881891</v>
      </c>
      <c r="T192" s="891">
        <f t="shared" si="62"/>
        <v>64</v>
      </c>
      <c r="U192" s="1220">
        <v>0.51076698303222656</v>
      </c>
      <c r="W192" s="299">
        <v>184</v>
      </c>
      <c r="X192" s="298">
        <f>IF('Donor Sample'!N209="",,IF('Donor Sample'!N209="F",1,0))</f>
        <v>0</v>
      </c>
      <c r="Y192" s="298" t="str">
        <f>IF('Donor Sample'!O209="","",'Donor Sample'!O209)</f>
        <v/>
      </c>
      <c r="Z192" s="298" t="str">
        <f>IF(AND('Donor Sample'!O209="",'Donor Sample'!P209="",'Donor Sample'!Q209=""),"",IF('Donor Sample'!P209="",ROUND(AA192/($C$32+($AI192-0.5)*$C$31),0),'Donor Sample'!P209))</f>
        <v/>
      </c>
      <c r="AA192" s="297" t="str">
        <f>IF('Donor Sample'!Q209="","",'Donor Sample'!Q209)</f>
        <v/>
      </c>
      <c r="AB192" s="296" t="str">
        <f t="shared" si="57"/>
        <v/>
      </c>
      <c r="AC192" s="295" t="str">
        <f>IF('Donor Sample'!R209="","",'Donor Sample'!R209)</f>
        <v/>
      </c>
      <c r="AD192" s="294" t="str">
        <f>IF('Donor Sample'!S209="","",'Donor Sample'!S209/100)</f>
        <v/>
      </c>
      <c r="AE192" s="407" t="e">
        <f t="shared" si="63"/>
        <v>#VALUE!</v>
      </c>
      <c r="AF192" s="293" t="str">
        <f t="shared" si="64"/>
        <v/>
      </c>
      <c r="AG192" s="292" t="str">
        <f>IF('Donor Sample'!T209="","",'Donor Sample'!T209)</f>
        <v/>
      </c>
      <c r="AH192" s="891">
        <f t="shared" si="65"/>
        <v>2</v>
      </c>
      <c r="AI192" s="1220">
        <v>9.5762729644775391E-2</v>
      </c>
      <c r="AJ192" s="1216"/>
    </row>
    <row r="193" spans="5:36">
      <c r="E193" s="299">
        <v>185</v>
      </c>
      <c r="F193" s="308">
        <f t="shared" ca="1" si="53"/>
        <v>3375.0022758461232</v>
      </c>
      <c r="G193" s="307">
        <f t="shared" ca="1" si="54"/>
        <v>235.36794484594458</v>
      </c>
      <c r="H193" s="306">
        <f t="shared" ca="1" si="55"/>
        <v>0.37489778353454961</v>
      </c>
      <c r="I193" s="305">
        <f t="shared" ca="1" si="58"/>
        <v>107.97948303342768</v>
      </c>
      <c r="J193" s="305">
        <f t="shared" ca="1" si="59"/>
        <v>64.590072921619694</v>
      </c>
      <c r="K193" s="292">
        <f t="shared" ca="1" si="56"/>
        <v>18.87341311659716</v>
      </c>
      <c r="L193" s="1290">
        <f t="shared" ca="1" si="60"/>
        <v>18.221425650858016</v>
      </c>
      <c r="M193" s="299">
        <v>185</v>
      </c>
      <c r="N193" s="304">
        <f t="shared" si="61"/>
        <v>3439.1404892982346</v>
      </c>
      <c r="O193" s="303">
        <v>224.09182033708157</v>
      </c>
      <c r="P193" s="302">
        <v>0.40859271295069705</v>
      </c>
      <c r="Q193" s="301">
        <v>131.72682253872827</v>
      </c>
      <c r="R193" s="301">
        <v>60.313792132596667</v>
      </c>
      <c r="S193" s="300">
        <v>3.4600136270637214</v>
      </c>
      <c r="T193" s="891">
        <f t="shared" si="62"/>
        <v>32</v>
      </c>
      <c r="U193" s="1220">
        <v>0.78848093748092651</v>
      </c>
      <c r="W193" s="299">
        <v>185</v>
      </c>
      <c r="X193" s="298">
        <f>IF('Donor Sample'!N210="",,IF('Donor Sample'!N210="F",1,0))</f>
        <v>0</v>
      </c>
      <c r="Y193" s="298" t="str">
        <f>IF('Donor Sample'!O210="","",'Donor Sample'!O210)</f>
        <v/>
      </c>
      <c r="Z193" s="298" t="str">
        <f>IF(AND('Donor Sample'!O210="",'Donor Sample'!P210="",'Donor Sample'!Q210=""),"",IF('Donor Sample'!P210="",ROUND(AA193/($C$32+($AI193-0.5)*$C$31),0),'Donor Sample'!P210))</f>
        <v/>
      </c>
      <c r="AA193" s="297" t="str">
        <f>IF('Donor Sample'!Q210="","",'Donor Sample'!Q210)</f>
        <v/>
      </c>
      <c r="AB193" s="296" t="str">
        <f t="shared" si="57"/>
        <v/>
      </c>
      <c r="AC193" s="295" t="str">
        <f>IF('Donor Sample'!R210="","",'Donor Sample'!R210)</f>
        <v/>
      </c>
      <c r="AD193" s="294" t="str">
        <f>IF('Donor Sample'!S210="","",'Donor Sample'!S210/100)</f>
        <v/>
      </c>
      <c r="AE193" s="293" t="e">
        <f t="shared" si="63"/>
        <v>#VALUE!</v>
      </c>
      <c r="AF193" s="293" t="str">
        <f t="shared" si="64"/>
        <v/>
      </c>
      <c r="AG193" s="292" t="str">
        <f>IF('Donor Sample'!T210="","",'Donor Sample'!T210)</f>
        <v/>
      </c>
      <c r="AH193" s="891">
        <f t="shared" si="65"/>
        <v>32</v>
      </c>
      <c r="AI193" s="1220">
        <v>0.79570072889328003</v>
      </c>
      <c r="AJ193" s="1216"/>
    </row>
    <row r="194" spans="5:36">
      <c r="E194" s="299">
        <v>186</v>
      </c>
      <c r="F194" s="308">
        <f t="shared" ca="1" si="53"/>
        <v>3173.4979522781891</v>
      </c>
      <c r="G194" s="307">
        <f t="shared" ca="1" si="54"/>
        <v>269.22141374024591</v>
      </c>
      <c r="H194" s="306">
        <f t="shared" ca="1" si="55"/>
        <v>0.46396947768152752</v>
      </c>
      <c r="I194" s="305">
        <f t="shared" ca="1" si="58"/>
        <v>109.13614813674867</v>
      </c>
      <c r="J194" s="305">
        <f t="shared" ca="1" si="59"/>
        <v>61.442337787689667</v>
      </c>
      <c r="K194" s="292">
        <f t="shared" ca="1" si="56"/>
        <v>1.3369274824559432</v>
      </c>
      <c r="L194" s="1290">
        <f t="shared" ca="1" si="60"/>
        <v>20.3519401892266</v>
      </c>
      <c r="M194" s="299">
        <v>186</v>
      </c>
      <c r="N194" s="304">
        <f t="shared" si="61"/>
        <v>3182.2671256492426</v>
      </c>
      <c r="O194" s="303">
        <v>221.9079649041357</v>
      </c>
      <c r="P194" s="302">
        <v>0.38014343221273722</v>
      </c>
      <c r="Q194" s="301">
        <v>118.65305027901722</v>
      </c>
      <c r="R194" s="301">
        <v>59.344013703481508</v>
      </c>
      <c r="S194" s="300">
        <v>17.503228929541137</v>
      </c>
      <c r="T194" s="891">
        <f t="shared" si="62"/>
        <v>64</v>
      </c>
      <c r="U194" s="1220">
        <v>0.61470186710357666</v>
      </c>
      <c r="W194" s="299">
        <v>186</v>
      </c>
      <c r="X194" s="298">
        <f>IF('Donor Sample'!N211="",,IF('Donor Sample'!N211="F",1,0))</f>
        <v>0</v>
      </c>
      <c r="Y194" s="298" t="str">
        <f>IF('Donor Sample'!O211="","",'Donor Sample'!O211)</f>
        <v/>
      </c>
      <c r="Z194" s="298" t="str">
        <f>IF(AND('Donor Sample'!O211="",'Donor Sample'!P211="",'Donor Sample'!Q211=""),"",IF('Donor Sample'!P211="",ROUND(AA194/($C$32+($AI194-0.5)*$C$31),0),'Donor Sample'!P211))</f>
        <v/>
      </c>
      <c r="AA194" s="297" t="str">
        <f>IF('Donor Sample'!Q211="","",'Donor Sample'!Q211)</f>
        <v/>
      </c>
      <c r="AB194" s="296" t="str">
        <f t="shared" si="57"/>
        <v/>
      </c>
      <c r="AC194" s="295" t="str">
        <f>IF('Donor Sample'!R211="","",'Donor Sample'!R211)</f>
        <v/>
      </c>
      <c r="AD194" s="294" t="str">
        <f>IF('Donor Sample'!S211="","",'Donor Sample'!S211/100)</f>
        <v/>
      </c>
      <c r="AE194" s="293" t="e">
        <f t="shared" si="63"/>
        <v>#VALUE!</v>
      </c>
      <c r="AF194" s="293" t="str">
        <f t="shared" si="64"/>
        <v/>
      </c>
      <c r="AG194" s="292" t="str">
        <f>IF('Donor Sample'!T211="","",'Donor Sample'!T211)</f>
        <v/>
      </c>
      <c r="AH194" s="891">
        <f t="shared" si="65"/>
        <v>32</v>
      </c>
      <c r="AI194" s="1220">
        <v>0.80642139911651611</v>
      </c>
      <c r="AJ194" s="1216"/>
    </row>
    <row r="195" spans="5:36">
      <c r="E195" s="299">
        <v>187</v>
      </c>
      <c r="F195" s="308">
        <f t="shared" ca="1" si="53"/>
        <v>3881.2641518718692</v>
      </c>
      <c r="G195" s="307">
        <f t="shared" ca="1" si="54"/>
        <v>228.5395492564864</v>
      </c>
      <c r="H195" s="306">
        <f t="shared" ca="1" si="55"/>
        <v>0.44673422380334488</v>
      </c>
      <c r="I195" s="305">
        <f t="shared" ca="1" si="58"/>
        <v>138.47600764147228</v>
      </c>
      <c r="J195" s="305">
        <f t="shared" ca="1" si="59"/>
        <v>59.329075377814092</v>
      </c>
      <c r="K195" s="292">
        <f t="shared" ca="1" si="56"/>
        <v>2.6912483331212491</v>
      </c>
      <c r="L195" s="1290">
        <f t="shared" ca="1" si="60"/>
        <v>27.695680024777328</v>
      </c>
      <c r="M195" s="299">
        <v>187</v>
      </c>
      <c r="N195" s="304">
        <f t="shared" si="61"/>
        <v>4206.5601828901463</v>
      </c>
      <c r="O195" s="303">
        <v>230.09976527820001</v>
      </c>
      <c r="P195" s="302">
        <v>0.40208731771185596</v>
      </c>
      <c r="Q195" s="301">
        <v>154.03893812453779</v>
      </c>
      <c r="R195" s="301">
        <v>60.835381442073462</v>
      </c>
      <c r="S195" s="300">
        <v>15.974241932058563</v>
      </c>
      <c r="T195" s="891">
        <f t="shared" si="62"/>
        <v>2</v>
      </c>
      <c r="U195" s="1220">
        <v>0.34545069932937622</v>
      </c>
      <c r="W195" s="299">
        <v>187</v>
      </c>
      <c r="X195" s="298">
        <f>IF('Donor Sample'!N212="",,IF('Donor Sample'!N212="F",1,0))</f>
        <v>0</v>
      </c>
      <c r="Y195" s="298" t="str">
        <f>IF('Donor Sample'!O212="","",'Donor Sample'!O212)</f>
        <v/>
      </c>
      <c r="Z195" s="298" t="str">
        <f>IF(AND('Donor Sample'!O212="",'Donor Sample'!P212="",'Donor Sample'!Q212=""),"",IF('Donor Sample'!P212="",ROUND(AA195/($C$32+($AI195-0.5)*$C$31),0),'Donor Sample'!P212))</f>
        <v/>
      </c>
      <c r="AA195" s="297" t="str">
        <f>IF('Donor Sample'!Q212="","",'Donor Sample'!Q212)</f>
        <v/>
      </c>
      <c r="AB195" s="296" t="str">
        <f t="shared" si="57"/>
        <v/>
      </c>
      <c r="AC195" s="295" t="str">
        <f>IF('Donor Sample'!R212="","",'Donor Sample'!R212)</f>
        <v/>
      </c>
      <c r="AD195" s="294" t="str">
        <f>IF('Donor Sample'!S212="","",'Donor Sample'!S212/100)</f>
        <v/>
      </c>
      <c r="AE195" s="407" t="e">
        <f t="shared" si="63"/>
        <v>#VALUE!</v>
      </c>
      <c r="AF195" s="293" t="str">
        <f t="shared" si="64"/>
        <v/>
      </c>
      <c r="AG195" s="292" t="str">
        <f>IF('Donor Sample'!T212="","",'Donor Sample'!T212)</f>
        <v/>
      </c>
      <c r="AH195" s="891">
        <f t="shared" si="65"/>
        <v>64</v>
      </c>
      <c r="AI195" s="1220">
        <v>0.63015538454055786</v>
      </c>
      <c r="AJ195" s="1216"/>
    </row>
    <row r="196" spans="5:36">
      <c r="E196" s="299">
        <v>188</v>
      </c>
      <c r="F196" s="308">
        <f t="shared" ca="1" si="53"/>
        <v>3464.7692998894245</v>
      </c>
      <c r="G196" s="307">
        <f t="shared" ca="1" si="54"/>
        <v>247.37646280337418</v>
      </c>
      <c r="H196" s="306">
        <f t="shared" ca="1" si="55"/>
        <v>0.47855226562090963</v>
      </c>
      <c r="I196" s="305">
        <f t="shared" ca="1" si="58"/>
        <v>130.65525698355987</v>
      </c>
      <c r="J196" s="305">
        <f t="shared" ca="1" si="59"/>
        <v>54.123857367848515</v>
      </c>
      <c r="K196" s="292">
        <f t="shared" ca="1" si="56"/>
        <v>2.4087740244924571</v>
      </c>
      <c r="L196" s="1290">
        <f t="shared" ca="1" si="60"/>
        <v>31.399451802356825</v>
      </c>
      <c r="M196" s="299">
        <v>188</v>
      </c>
      <c r="N196" s="304">
        <f t="shared" si="61"/>
        <v>3074.8859370405235</v>
      </c>
      <c r="O196" s="303">
        <v>232.88644320794515</v>
      </c>
      <c r="P196" s="302">
        <v>0.3510210132927003</v>
      </c>
      <c r="Q196" s="301">
        <v>126.23495883961358</v>
      </c>
      <c r="R196" s="301">
        <v>47.091976554302185</v>
      </c>
      <c r="S196" s="300">
        <v>1.3733416685375077</v>
      </c>
      <c r="T196" s="891">
        <f t="shared" si="62"/>
        <v>16</v>
      </c>
      <c r="U196" s="1220">
        <v>0.96246933937072754</v>
      </c>
      <c r="W196" s="299">
        <v>188</v>
      </c>
      <c r="X196" s="298">
        <f>IF('Donor Sample'!N213="",,IF('Donor Sample'!N213="F",1,0))</f>
        <v>0</v>
      </c>
      <c r="Y196" s="298" t="str">
        <f>IF('Donor Sample'!O213="","",'Donor Sample'!O213)</f>
        <v/>
      </c>
      <c r="Z196" s="298" t="str">
        <f>IF(AND('Donor Sample'!O213="",'Donor Sample'!P213="",'Donor Sample'!Q213=""),"",IF('Donor Sample'!P213="",ROUND(AA196/($C$32+($AI196-0.5)*$C$31),0),'Donor Sample'!P213))</f>
        <v/>
      </c>
      <c r="AA196" s="297" t="str">
        <f>IF('Donor Sample'!Q213="","",'Donor Sample'!Q213)</f>
        <v/>
      </c>
      <c r="AB196" s="296" t="str">
        <f t="shared" si="57"/>
        <v/>
      </c>
      <c r="AC196" s="295" t="str">
        <f>IF('Donor Sample'!R213="","",'Donor Sample'!R213)</f>
        <v/>
      </c>
      <c r="AD196" s="294" t="str">
        <f>IF('Donor Sample'!S213="","",'Donor Sample'!S213/100)</f>
        <v/>
      </c>
      <c r="AE196" s="293" t="e">
        <f t="shared" si="63"/>
        <v>#VALUE!</v>
      </c>
      <c r="AF196" s="293" t="str">
        <f t="shared" si="64"/>
        <v/>
      </c>
      <c r="AG196" s="292" t="str">
        <f>IF('Donor Sample'!T213="","",'Donor Sample'!T213)</f>
        <v/>
      </c>
      <c r="AH196" s="891">
        <f t="shared" si="65"/>
        <v>2</v>
      </c>
      <c r="AI196" s="1220">
        <v>2.8765439987182617E-2</v>
      </c>
      <c r="AJ196" s="1216"/>
    </row>
    <row r="197" spans="5:36">
      <c r="E197" s="299">
        <v>189</v>
      </c>
      <c r="F197" s="308">
        <f t="shared" ca="1" si="53"/>
        <v>3690.8361239988408</v>
      </c>
      <c r="G197" s="307">
        <f t="shared" ca="1" si="54"/>
        <v>208.47027024466956</v>
      </c>
      <c r="H197" s="306">
        <f t="shared" ca="1" si="55"/>
        <v>0.39579469741149642</v>
      </c>
      <c r="I197" s="305">
        <f t="shared" ca="1" si="58"/>
        <v>119.02218751501587</v>
      </c>
      <c r="J197" s="305">
        <f t="shared" ca="1" si="59"/>
        <v>66.58448857661061</v>
      </c>
      <c r="K197" s="292">
        <f t="shared" ca="1" si="56"/>
        <v>1.3058303560234186</v>
      </c>
      <c r="L197" s="1290">
        <f t="shared" ca="1" si="60"/>
        <v>18.899679972803202</v>
      </c>
      <c r="M197" s="299">
        <v>189</v>
      </c>
      <c r="N197" s="304">
        <f t="shared" si="61"/>
        <v>3129.7214434104953</v>
      </c>
      <c r="O197" s="303">
        <v>235.01914755387918</v>
      </c>
      <c r="P197" s="302">
        <v>0.3997287612519147</v>
      </c>
      <c r="Q197" s="301">
        <v>104.47584601180041</v>
      </c>
      <c r="R197" s="301">
        <v>61.835195321042356</v>
      </c>
      <c r="S197" s="300">
        <v>1.6123016229726617</v>
      </c>
      <c r="T197" s="891">
        <f t="shared" si="62"/>
        <v>4</v>
      </c>
      <c r="U197" s="1220">
        <v>0.37111800909042358</v>
      </c>
      <c r="W197" s="299">
        <v>189</v>
      </c>
      <c r="X197" s="298">
        <f>IF('Donor Sample'!N214="",,IF('Donor Sample'!N214="F",1,0))</f>
        <v>0</v>
      </c>
      <c r="Y197" s="298" t="str">
        <f>IF('Donor Sample'!O214="","",'Donor Sample'!O214)</f>
        <v/>
      </c>
      <c r="Z197" s="298" t="str">
        <f>IF(AND('Donor Sample'!O214="",'Donor Sample'!P214="",'Donor Sample'!Q214=""),"",IF('Donor Sample'!P214="",ROUND(AA197/($C$32+($AI197-0.5)*$C$31),0),'Donor Sample'!P214))</f>
        <v/>
      </c>
      <c r="AA197" s="297" t="str">
        <f>IF('Donor Sample'!Q214="","",'Donor Sample'!Q214)</f>
        <v/>
      </c>
      <c r="AB197" s="296" t="str">
        <f t="shared" si="57"/>
        <v/>
      </c>
      <c r="AC197" s="295" t="str">
        <f>IF('Donor Sample'!R214="","",'Donor Sample'!R214)</f>
        <v/>
      </c>
      <c r="AD197" s="294" t="str">
        <f>IF('Donor Sample'!S214="","",'Donor Sample'!S214/100)</f>
        <v/>
      </c>
      <c r="AE197" s="293" t="e">
        <f t="shared" si="63"/>
        <v>#VALUE!</v>
      </c>
      <c r="AF197" s="293" t="str">
        <f t="shared" si="64"/>
        <v/>
      </c>
      <c r="AG197" s="292" t="str">
        <f>IF('Donor Sample'!T214="","",'Donor Sample'!T214)</f>
        <v/>
      </c>
      <c r="AH197" s="891">
        <f t="shared" si="65"/>
        <v>256</v>
      </c>
      <c r="AI197" s="1220">
        <v>0.91099923849105835</v>
      </c>
      <c r="AJ197" s="1216"/>
    </row>
    <row r="198" spans="5:36">
      <c r="E198" s="299">
        <v>190</v>
      </c>
      <c r="F198" s="308">
        <f t="shared" ca="1" si="53"/>
        <v>3623.5051011621258</v>
      </c>
      <c r="G198" s="307">
        <f t="shared" ca="1" si="54"/>
        <v>218.73696889566736</v>
      </c>
      <c r="H198" s="306">
        <f t="shared" ca="1" si="55"/>
        <v>0.45193191581647069</v>
      </c>
      <c r="I198" s="305">
        <f t="shared" ca="1" si="58"/>
        <v>111.70214170071951</v>
      </c>
      <c r="J198" s="305">
        <f t="shared" ca="1" si="59"/>
        <v>67.127282574335922</v>
      </c>
      <c r="K198" s="292">
        <f t="shared" ca="1" si="56"/>
        <v>1.7311434723518011</v>
      </c>
      <c r="L198" s="1290">
        <f t="shared" ca="1" si="60"/>
        <v>17.451631178714393</v>
      </c>
      <c r="M198" s="299">
        <v>190</v>
      </c>
      <c r="N198" s="304">
        <f t="shared" si="61"/>
        <v>2964.3894192586836</v>
      </c>
      <c r="O198" s="303">
        <v>270.26411394147573</v>
      </c>
      <c r="P198" s="302">
        <v>0.39302819382739379</v>
      </c>
      <c r="Q198" s="301">
        <v>105.02071920545534</v>
      </c>
      <c r="R198" s="301">
        <v>59.125966661246835</v>
      </c>
      <c r="S198" s="300">
        <v>1.9799776851648134</v>
      </c>
      <c r="T198" s="891">
        <f t="shared" si="62"/>
        <v>2</v>
      </c>
      <c r="U198" s="1220">
        <v>0.30355823040008545</v>
      </c>
      <c r="W198" s="299">
        <v>190</v>
      </c>
      <c r="X198" s="298">
        <f>IF('Donor Sample'!N215="",,IF('Donor Sample'!N215="F",1,0))</f>
        <v>0</v>
      </c>
      <c r="Y198" s="298" t="str">
        <f>IF('Donor Sample'!O215="","",'Donor Sample'!O215)</f>
        <v/>
      </c>
      <c r="Z198" s="298" t="str">
        <f>IF(AND('Donor Sample'!O215="",'Donor Sample'!P215="",'Donor Sample'!Q215=""),"",IF('Donor Sample'!P215="",ROUND(AA198/($C$32+($AI198-0.5)*$C$31),0),'Donor Sample'!P215))</f>
        <v/>
      </c>
      <c r="AA198" s="297" t="str">
        <f>IF('Donor Sample'!Q215="","",'Donor Sample'!Q215)</f>
        <v/>
      </c>
      <c r="AB198" s="296" t="str">
        <f t="shared" si="57"/>
        <v/>
      </c>
      <c r="AC198" s="295" t="str">
        <f>IF('Donor Sample'!R215="","",'Donor Sample'!R215)</f>
        <v/>
      </c>
      <c r="AD198" s="294" t="str">
        <f>IF('Donor Sample'!S215="","",'Donor Sample'!S215/100)</f>
        <v/>
      </c>
      <c r="AE198" s="407" t="e">
        <f t="shared" si="63"/>
        <v>#VALUE!</v>
      </c>
      <c r="AF198" s="293" t="str">
        <f t="shared" si="64"/>
        <v/>
      </c>
      <c r="AG198" s="292" t="str">
        <f>IF('Donor Sample'!T215="","",'Donor Sample'!T215)</f>
        <v/>
      </c>
      <c r="AH198" s="891">
        <f t="shared" si="65"/>
        <v>16</v>
      </c>
      <c r="AI198" s="1220">
        <v>0.96760594844818115</v>
      </c>
      <c r="AJ198" s="1216"/>
    </row>
    <row r="199" spans="5:36">
      <c r="E199" s="299">
        <v>191</v>
      </c>
      <c r="F199" s="308">
        <f t="shared" ca="1" si="53"/>
        <v>3421.2455293140838</v>
      </c>
      <c r="G199" s="307">
        <f t="shared" ca="1" si="54"/>
        <v>213.55969703016962</v>
      </c>
      <c r="H199" s="306">
        <f t="shared" ca="1" si="55"/>
        <v>0.45714689856071156</v>
      </c>
      <c r="I199" s="305">
        <f t="shared" ca="1" si="58"/>
        <v>142.78968458073601</v>
      </c>
      <c r="J199" s="305">
        <f t="shared" ca="1" si="59"/>
        <v>57.276449655149435</v>
      </c>
      <c r="K199" s="292">
        <f t="shared" ca="1" si="56"/>
        <v>8.8427629075114904</v>
      </c>
      <c r="L199" s="1290">
        <f t="shared" ca="1" si="60"/>
        <v>30.642014488251878</v>
      </c>
      <c r="M199" s="299">
        <v>191</v>
      </c>
      <c r="N199" s="304">
        <f t="shared" si="61"/>
        <v>3096.7682031735667</v>
      </c>
      <c r="O199" s="303">
        <v>247.18353318595786</v>
      </c>
      <c r="P199" s="302">
        <v>0.36356844822575157</v>
      </c>
      <c r="Q199" s="301">
        <v>113.78788033943157</v>
      </c>
      <c r="R199" s="301">
        <v>59.140202330121021</v>
      </c>
      <c r="S199" s="300">
        <v>2.5445579735784083</v>
      </c>
      <c r="T199" s="891">
        <f t="shared" si="62"/>
        <v>2</v>
      </c>
      <c r="U199" s="1220">
        <v>0.21857887506484985</v>
      </c>
      <c r="W199" s="299">
        <v>191</v>
      </c>
      <c r="X199" s="298">
        <f>IF('Donor Sample'!N216="",,IF('Donor Sample'!N216="F",1,0))</f>
        <v>0</v>
      </c>
      <c r="Y199" s="298" t="str">
        <f>IF('Donor Sample'!O216="","",'Donor Sample'!O216)</f>
        <v/>
      </c>
      <c r="Z199" s="298" t="str">
        <f>IF(AND('Donor Sample'!O216="",'Donor Sample'!P216="",'Donor Sample'!Q216=""),"",IF('Donor Sample'!P216="",ROUND(AA199/($C$32+($AI199-0.5)*$C$31),0),'Donor Sample'!P216))</f>
        <v/>
      </c>
      <c r="AA199" s="297" t="str">
        <f>IF('Donor Sample'!Q216="","",'Donor Sample'!Q216)</f>
        <v/>
      </c>
      <c r="AB199" s="296" t="str">
        <f t="shared" si="57"/>
        <v/>
      </c>
      <c r="AC199" s="295" t="str">
        <f>IF('Donor Sample'!R216="","",'Donor Sample'!R216)</f>
        <v/>
      </c>
      <c r="AD199" s="294" t="str">
        <f>IF('Donor Sample'!S216="","",'Donor Sample'!S216/100)</f>
        <v/>
      </c>
      <c r="AE199" s="293" t="e">
        <f t="shared" si="63"/>
        <v>#VALUE!</v>
      </c>
      <c r="AF199" s="293" t="str">
        <f t="shared" si="64"/>
        <v/>
      </c>
      <c r="AG199" s="292" t="str">
        <f>IF('Donor Sample'!T216="","",'Donor Sample'!T216)</f>
        <v/>
      </c>
      <c r="AH199" s="891">
        <f t="shared" si="65"/>
        <v>256</v>
      </c>
      <c r="AI199" s="1220">
        <v>0.87536150217056274</v>
      </c>
      <c r="AJ199" s="1216"/>
    </row>
    <row r="200" spans="5:36">
      <c r="E200" s="299">
        <v>192</v>
      </c>
      <c r="F200" s="308">
        <f t="shared" ca="1" si="53"/>
        <v>3479.7449882454698</v>
      </c>
      <c r="G200" s="307">
        <f t="shared" ca="1" si="54"/>
        <v>306.0794595804341</v>
      </c>
      <c r="H200" s="306">
        <f t="shared" ca="1" si="55"/>
        <v>0.44025310880640861</v>
      </c>
      <c r="I200" s="305">
        <f t="shared" ca="1" si="58"/>
        <v>108.64653712103123</v>
      </c>
      <c r="J200" s="305">
        <f t="shared" ca="1" si="59"/>
        <v>59.85972915880749</v>
      </c>
      <c r="K200" s="292">
        <f t="shared" ca="1" si="56"/>
        <v>12.413205107733308</v>
      </c>
      <c r="L200" s="1290">
        <f t="shared" ca="1" si="60"/>
        <v>21.346125222703805</v>
      </c>
      <c r="M200" s="299">
        <v>192</v>
      </c>
      <c r="N200" s="304">
        <f t="shared" si="61"/>
        <v>3543.0529685467554</v>
      </c>
      <c r="O200" s="303">
        <v>194.73495947853843</v>
      </c>
      <c r="P200" s="302">
        <v>0.37935828252591991</v>
      </c>
      <c r="Q200" s="301">
        <v>120.04001941396734</v>
      </c>
      <c r="R200" s="301">
        <v>58.220925220211761</v>
      </c>
      <c r="S200" s="300">
        <v>1.9005562160651854</v>
      </c>
      <c r="T200" s="891">
        <f t="shared" si="62"/>
        <v>32</v>
      </c>
      <c r="U200" s="1220">
        <v>0.77399301528930664</v>
      </c>
      <c r="W200" s="299">
        <v>192</v>
      </c>
      <c r="X200" s="298">
        <f>IF('Donor Sample'!N217="",,IF('Donor Sample'!N217="F",1,0))</f>
        <v>0</v>
      </c>
      <c r="Y200" s="298" t="str">
        <f>IF('Donor Sample'!O217="","",'Donor Sample'!O217)</f>
        <v/>
      </c>
      <c r="Z200" s="298" t="str">
        <f>IF(AND('Donor Sample'!O217="",'Donor Sample'!P217="",'Donor Sample'!Q217=""),"",IF('Donor Sample'!P217="",ROUND(AA200/($C$32+($AI200-0.5)*$C$31),0),'Donor Sample'!P217))</f>
        <v/>
      </c>
      <c r="AA200" s="297" t="str">
        <f>IF('Donor Sample'!Q217="","",'Donor Sample'!Q217)</f>
        <v/>
      </c>
      <c r="AB200" s="296" t="str">
        <f t="shared" si="57"/>
        <v/>
      </c>
      <c r="AC200" s="295" t="str">
        <f>IF('Donor Sample'!R217="","",'Donor Sample'!R217)</f>
        <v/>
      </c>
      <c r="AD200" s="294" t="str">
        <f>IF('Donor Sample'!S217="","",'Donor Sample'!S217/100)</f>
        <v/>
      </c>
      <c r="AE200" s="293" t="e">
        <f t="shared" si="63"/>
        <v>#VALUE!</v>
      </c>
      <c r="AF200" s="293" t="str">
        <f t="shared" si="64"/>
        <v/>
      </c>
      <c r="AG200" s="292" t="str">
        <f>IF('Donor Sample'!T217="","",'Donor Sample'!T217)</f>
        <v/>
      </c>
      <c r="AH200" s="891">
        <f t="shared" si="65"/>
        <v>2</v>
      </c>
      <c r="AI200" s="1220">
        <v>0.35686779022216797</v>
      </c>
      <c r="AJ200" s="1216"/>
    </row>
    <row r="201" spans="5:36">
      <c r="E201" s="299">
        <v>193</v>
      </c>
      <c r="F201" s="308">
        <f t="shared" ref="F201:F264" ca="1" si="66">NORMINV(NORMDIST($C$9,$C$7,$C$8,1)+RAND()*(NORMDIST($C$10,$C$7,$C$8,1)-NORMDIST($C$9,$C$7,$C$8,1)),$C$7,$C$8)</f>
        <v>2955.5853122434296</v>
      </c>
      <c r="G201" s="307">
        <f t="shared" ref="G201:G264" ca="1" si="67">NORMINV(NORMDIST($C$13,$C$11,$C$12,1)+RAND()*(NORMDIST($C$14,$C$11,$C$12,1)-NORMDIST($C$13,$C$11,$C$12,1)),$C$11,$C$12)</f>
        <v>239.57703001034298</v>
      </c>
      <c r="H201" s="306">
        <f t="shared" ref="H201:H264" ca="1" si="68">NORMINV(NORMDIST($C$17,$C$15,$C$16,1)+RAND()*(NORMDIST($C$18,$C$15,$C$16,1)-NORMDIST($C$17,$C$15,$C$16,1)),$C$15,$C$16)/100</f>
        <v>0.45504475733982275</v>
      </c>
      <c r="I201" s="305">
        <f t="shared" ca="1" si="58"/>
        <v>91.586837625092969</v>
      </c>
      <c r="J201" s="305">
        <f t="shared" ca="1" si="59"/>
        <v>62.120718318246034</v>
      </c>
      <c r="K201" s="292">
        <f t="shared" ref="K201:K264" ca="1" si="69">$C$23/($C$24+RAND())</f>
        <v>9.2342574083449236</v>
      </c>
      <c r="L201" s="1290">
        <f t="shared" ca="1" si="60"/>
        <v>16.70832002153001</v>
      </c>
      <c r="M201" s="299">
        <v>193</v>
      </c>
      <c r="N201" s="304">
        <f t="shared" si="61"/>
        <v>3489.4845352434245</v>
      </c>
      <c r="O201" s="303">
        <v>268.10180939035172</v>
      </c>
      <c r="P201" s="302">
        <v>0.38600189867103774</v>
      </c>
      <c r="Q201" s="301">
        <v>117.40962167978357</v>
      </c>
      <c r="R201" s="301">
        <v>64.218636688694716</v>
      </c>
      <c r="S201" s="300">
        <v>1.6560742055893294</v>
      </c>
      <c r="T201" s="891">
        <f t="shared" si="62"/>
        <v>256</v>
      </c>
      <c r="U201" s="1220">
        <v>0.89382237195968628</v>
      </c>
      <c r="W201" s="299">
        <v>193</v>
      </c>
      <c r="X201" s="298">
        <f>IF('Donor Sample'!N218="",,IF('Donor Sample'!N218="F",1,0))</f>
        <v>0</v>
      </c>
      <c r="Y201" s="298" t="str">
        <f>IF('Donor Sample'!O218="","",'Donor Sample'!O218)</f>
        <v/>
      </c>
      <c r="Z201" s="298" t="str">
        <f>IF(AND('Donor Sample'!O218="",'Donor Sample'!P218="",'Donor Sample'!Q218=""),"",IF('Donor Sample'!P218="",ROUND(AA201/($C$32+($AI201-0.5)*$C$31),0),'Donor Sample'!P218))</f>
        <v/>
      </c>
      <c r="AA201" s="297" t="str">
        <f>IF('Donor Sample'!Q218="","",'Donor Sample'!Q218)</f>
        <v/>
      </c>
      <c r="AB201" s="296" t="str">
        <f t="shared" ref="AB201:AB264" si="70">IF(AND(Y201="",Z201="",AA201=""),"",IF(AA201="",IF(X201=0,604+IF($AB$2=1,0.006012,0.0003669)*Y201^3+IF($AB$2=1,14.6,32.187)*Z201,183+IF($AB$2=1,0.005835,0.0003561)*Y201^3+IF($AB$2=1,15,33.069)*Z201),AA201))</f>
        <v/>
      </c>
      <c r="AC201" s="295" t="str">
        <f>IF('Donor Sample'!R218="","",'Donor Sample'!R218)</f>
        <v/>
      </c>
      <c r="AD201" s="294" t="str">
        <f>IF('Donor Sample'!S218="","",'Donor Sample'!S218/100)</f>
        <v/>
      </c>
      <c r="AE201" s="407" t="e">
        <f t="shared" si="63"/>
        <v>#VALUE!</v>
      </c>
      <c r="AF201" s="293" t="str">
        <f t="shared" si="64"/>
        <v/>
      </c>
      <c r="AG201" s="292" t="str">
        <f>IF('Donor Sample'!T218="","",'Donor Sample'!T218)</f>
        <v/>
      </c>
      <c r="AH201" s="891">
        <f t="shared" si="65"/>
        <v>16</v>
      </c>
      <c r="AI201" s="1220">
        <v>0.98553007841110229</v>
      </c>
      <c r="AJ201" s="1216"/>
    </row>
    <row r="202" spans="5:36">
      <c r="E202" s="299">
        <v>194</v>
      </c>
      <c r="F202" s="308">
        <f t="shared" ca="1" si="66"/>
        <v>2779.3668024196868</v>
      </c>
      <c r="G202" s="307">
        <f t="shared" ca="1" si="67"/>
        <v>255.52156496951466</v>
      </c>
      <c r="H202" s="306">
        <f t="shared" ca="1" si="68"/>
        <v>0.46674712629189519</v>
      </c>
      <c r="I202" s="305">
        <f t="shared" ref="I202:I265" ca="1" si="71">F202/($C$32+(RAND()-0.5)*$C$31)</f>
        <v>107.60209864024833</v>
      </c>
      <c r="J202" s="305">
        <f t="shared" ref="J202:J265" ca="1" si="72">IF(AI202&lt;=$C$33,((F202-604-14.6*I202)/0.006012)^(1/3),((F202-183-15*I202)/0.005835)^(1/3))</f>
        <v>55.217020281590671</v>
      </c>
      <c r="K202" s="292">
        <f t="shared" ca="1" si="69"/>
        <v>1.7618691776129425</v>
      </c>
      <c r="L202" s="1290">
        <f t="shared" ref="L202:L265" ca="1" si="73">704*I202/J202^2</f>
        <v>24.845484341858942</v>
      </c>
      <c r="M202" s="299">
        <v>194</v>
      </c>
      <c r="N202" s="304">
        <f t="shared" ref="N202:N265" si="74">IF(AI202&gt;$C$33,183+0.005835*R202^3+15*Q202,604+0.006012*R202^3+14.6*Q202)</f>
        <v>3305.7673641589563</v>
      </c>
      <c r="O202" s="303">
        <v>212.63146117308315</v>
      </c>
      <c r="P202" s="302">
        <v>0.42348026371122349</v>
      </c>
      <c r="Q202" s="301">
        <v>104.48628376380873</v>
      </c>
      <c r="R202" s="301">
        <v>64.358692958982175</v>
      </c>
      <c r="S202" s="300">
        <v>2.3137827446051165</v>
      </c>
      <c r="T202" s="891">
        <f t="shared" ref="T202:T265" si="75">HLOOKUP(U202,$AL$32:$AT$34,3)</f>
        <v>2</v>
      </c>
      <c r="U202" s="1220">
        <v>0.11361896991729736</v>
      </c>
      <c r="W202" s="299">
        <v>194</v>
      </c>
      <c r="X202" s="298">
        <f>IF('Donor Sample'!N219="",,IF('Donor Sample'!N219="F",1,0))</f>
        <v>0</v>
      </c>
      <c r="Y202" s="298" t="str">
        <f>IF('Donor Sample'!O219="","",'Donor Sample'!O219)</f>
        <v/>
      </c>
      <c r="Z202" s="298" t="str">
        <f>IF(AND('Donor Sample'!O219="",'Donor Sample'!P219="",'Donor Sample'!Q219=""),"",IF('Donor Sample'!P219="",ROUND(AA202/($C$32+($AI202-0.5)*$C$31),0),'Donor Sample'!P219))</f>
        <v/>
      </c>
      <c r="AA202" s="297" t="str">
        <f>IF('Donor Sample'!Q219="","",'Donor Sample'!Q219)</f>
        <v/>
      </c>
      <c r="AB202" s="296" t="str">
        <f t="shared" si="70"/>
        <v/>
      </c>
      <c r="AC202" s="295" t="str">
        <f>IF('Donor Sample'!R219="","",'Donor Sample'!R219)</f>
        <v/>
      </c>
      <c r="AD202" s="294" t="str">
        <f>IF('Donor Sample'!S219="","",'Donor Sample'!S219/100)</f>
        <v/>
      </c>
      <c r="AE202" s="293" t="e">
        <f t="shared" ref="AE202:AE265" si="76">IF($AB$2=1,Z202,2.2*Z202)</f>
        <v>#VALUE!</v>
      </c>
      <c r="AF202" s="293" t="str">
        <f t="shared" ref="AF202:AF265" si="77">IF(AND(Y202="",AA202=""),"",IF(AA202="",IF($AB$2=1,Y202,Y202/2.54),IF(AI202&lt;=$C$33,((AB202-604-14.6*Z202)/0.006012)^(1/3),((AB202-183-15*Z202)/0.005835)^(1/3))))</f>
        <v/>
      </c>
      <c r="AG202" s="292" t="str">
        <f>IF('Donor Sample'!T219="","",'Donor Sample'!T219)</f>
        <v/>
      </c>
      <c r="AH202" s="891">
        <f t="shared" ref="AH202:AH265" si="78">HLOOKUP(AI202,$AL$32:$AT$34,3)</f>
        <v>32</v>
      </c>
      <c r="AI202" s="1220">
        <v>0.81749975681304932</v>
      </c>
      <c r="AJ202" s="1216"/>
    </row>
    <row r="203" spans="5:36">
      <c r="E203" s="299">
        <v>195</v>
      </c>
      <c r="F203" s="308">
        <f t="shared" ca="1" si="66"/>
        <v>3929.9936603897031</v>
      </c>
      <c r="G203" s="307">
        <f t="shared" ca="1" si="67"/>
        <v>273.08190615154189</v>
      </c>
      <c r="H203" s="306">
        <f t="shared" ca="1" si="68"/>
        <v>0.40131807547252374</v>
      </c>
      <c r="I203" s="305">
        <f t="shared" ca="1" si="71"/>
        <v>122.04068654470471</v>
      </c>
      <c r="J203" s="305">
        <f t="shared" ca="1" si="72"/>
        <v>63.566479271828555</v>
      </c>
      <c r="K203" s="292">
        <f t="shared" ca="1" si="69"/>
        <v>2.0542355514542865</v>
      </c>
      <c r="L203" s="1290">
        <f t="shared" ca="1" si="73"/>
        <v>21.262825998758359</v>
      </c>
      <c r="M203" s="299">
        <v>195</v>
      </c>
      <c r="N203" s="304">
        <f t="shared" si="74"/>
        <v>4296.6002054269011</v>
      </c>
      <c r="O203" s="303">
        <v>323.26793988868906</v>
      </c>
      <c r="P203" s="302">
        <v>0.44550438174194373</v>
      </c>
      <c r="Q203" s="301">
        <v>134.87685410644997</v>
      </c>
      <c r="R203" s="301">
        <v>65.935942069056765</v>
      </c>
      <c r="S203" s="300">
        <v>1.4353298609601475</v>
      </c>
      <c r="T203" s="891">
        <f t="shared" si="75"/>
        <v>256</v>
      </c>
      <c r="U203" s="1220">
        <v>0.90387517213821411</v>
      </c>
      <c r="W203" s="299">
        <v>195</v>
      </c>
      <c r="X203" s="298">
        <f>IF('Donor Sample'!N220="",,IF('Donor Sample'!N220="F",1,0))</f>
        <v>0</v>
      </c>
      <c r="Y203" s="298" t="str">
        <f>IF('Donor Sample'!O220="","",'Donor Sample'!O220)</f>
        <v/>
      </c>
      <c r="Z203" s="298" t="str">
        <f>IF(AND('Donor Sample'!O220="",'Donor Sample'!P220="",'Donor Sample'!Q220=""),"",IF('Donor Sample'!P220="",ROUND(AA203/($C$32+($AI203-0.5)*$C$31),0),'Donor Sample'!P220))</f>
        <v/>
      </c>
      <c r="AA203" s="297" t="str">
        <f>IF('Donor Sample'!Q220="","",'Donor Sample'!Q220)</f>
        <v/>
      </c>
      <c r="AB203" s="296" t="str">
        <f t="shared" si="70"/>
        <v/>
      </c>
      <c r="AC203" s="295" t="str">
        <f>IF('Donor Sample'!R220="","",'Donor Sample'!R220)</f>
        <v/>
      </c>
      <c r="AD203" s="294" t="str">
        <f>IF('Donor Sample'!S220="","",'Donor Sample'!S220/100)</f>
        <v/>
      </c>
      <c r="AE203" s="293" t="e">
        <f t="shared" si="76"/>
        <v>#VALUE!</v>
      </c>
      <c r="AF203" s="293" t="str">
        <f t="shared" si="77"/>
        <v/>
      </c>
      <c r="AG203" s="292" t="str">
        <f>IF('Donor Sample'!T220="","",'Donor Sample'!T220)</f>
        <v/>
      </c>
      <c r="AH203" s="891">
        <f t="shared" si="78"/>
        <v>2</v>
      </c>
      <c r="AI203" s="1220">
        <v>0.35522109270095825</v>
      </c>
      <c r="AJ203" s="1216"/>
    </row>
    <row r="204" spans="5:36">
      <c r="E204" s="299">
        <v>196</v>
      </c>
      <c r="F204" s="308">
        <f t="shared" ca="1" si="66"/>
        <v>3361.0299890662491</v>
      </c>
      <c r="G204" s="307">
        <f t="shared" ca="1" si="67"/>
        <v>291.66242440970746</v>
      </c>
      <c r="H204" s="306">
        <f t="shared" ca="1" si="68"/>
        <v>0.36880461362016481</v>
      </c>
      <c r="I204" s="305">
        <f t="shared" ca="1" si="71"/>
        <v>129.81961397929501</v>
      </c>
      <c r="J204" s="305">
        <f t="shared" ca="1" si="72"/>
        <v>52.332674378858457</v>
      </c>
      <c r="K204" s="292">
        <f t="shared" ca="1" si="69"/>
        <v>2.282270906680993</v>
      </c>
      <c r="L204" s="1290">
        <f t="shared" ca="1" si="73"/>
        <v>33.370838106756516</v>
      </c>
      <c r="M204" s="299">
        <v>196</v>
      </c>
      <c r="N204" s="304">
        <f t="shared" si="74"/>
        <v>2966.1488140339279</v>
      </c>
      <c r="O204" s="303">
        <v>288.04299951305507</v>
      </c>
      <c r="P204" s="302">
        <v>0.48685278011302169</v>
      </c>
      <c r="Q204" s="301">
        <v>119.24596731925983</v>
      </c>
      <c r="R204" s="301">
        <v>46.923921369432058</v>
      </c>
      <c r="S204" s="300">
        <v>3.5748627518505938</v>
      </c>
      <c r="T204" s="891">
        <f t="shared" si="75"/>
        <v>64</v>
      </c>
      <c r="U204" s="1220">
        <v>0.62166857719421387</v>
      </c>
      <c r="W204" s="299">
        <v>196</v>
      </c>
      <c r="X204" s="298">
        <f>IF('Donor Sample'!N221="",,IF('Donor Sample'!N221="F",1,0))</f>
        <v>0</v>
      </c>
      <c r="Y204" s="298" t="str">
        <f>IF('Donor Sample'!O221="","",'Donor Sample'!O221)</f>
        <v/>
      </c>
      <c r="Z204" s="298" t="str">
        <f>IF(AND('Donor Sample'!O221="",'Donor Sample'!P221="",'Donor Sample'!Q221=""),"",IF('Donor Sample'!P221="",ROUND(AA204/($C$32+($AI204-0.5)*$C$31),0),'Donor Sample'!P221))</f>
        <v/>
      </c>
      <c r="AA204" s="297" t="str">
        <f>IF('Donor Sample'!Q221="","",'Donor Sample'!Q221)</f>
        <v/>
      </c>
      <c r="AB204" s="296" t="str">
        <f t="shared" si="70"/>
        <v/>
      </c>
      <c r="AC204" s="295" t="str">
        <f>IF('Donor Sample'!R221="","",'Donor Sample'!R221)</f>
        <v/>
      </c>
      <c r="AD204" s="294" t="str">
        <f>IF('Donor Sample'!S221="","",'Donor Sample'!S221/100)</f>
        <v/>
      </c>
      <c r="AE204" s="407" t="e">
        <f t="shared" si="76"/>
        <v>#VALUE!</v>
      </c>
      <c r="AF204" s="293" t="str">
        <f t="shared" si="77"/>
        <v/>
      </c>
      <c r="AG204" s="292" t="str">
        <f>IF('Donor Sample'!T221="","",'Donor Sample'!T221)</f>
        <v/>
      </c>
      <c r="AH204" s="891">
        <f t="shared" si="78"/>
        <v>2</v>
      </c>
      <c r="AI204" s="1220">
        <v>7.8665971755981445E-2</v>
      </c>
      <c r="AJ204" s="1216"/>
    </row>
    <row r="205" spans="5:36">
      <c r="E205" s="299">
        <v>197</v>
      </c>
      <c r="F205" s="308">
        <f t="shared" ca="1" si="66"/>
        <v>3116.9158807585886</v>
      </c>
      <c r="G205" s="307">
        <f t="shared" ca="1" si="67"/>
        <v>261.86675880875123</v>
      </c>
      <c r="H205" s="306">
        <f t="shared" ca="1" si="68"/>
        <v>0.44843878398378256</v>
      </c>
      <c r="I205" s="305">
        <f t="shared" ca="1" si="71"/>
        <v>116.4631190162697</v>
      </c>
      <c r="J205" s="305">
        <f t="shared" ca="1" si="72"/>
        <v>51.318956224385026</v>
      </c>
      <c r="K205" s="292">
        <f t="shared" ca="1" si="69"/>
        <v>3.3080711614648202</v>
      </c>
      <c r="L205" s="1290">
        <f t="shared" ca="1" si="73"/>
        <v>31.131887085850021</v>
      </c>
      <c r="M205" s="299">
        <v>197</v>
      </c>
      <c r="N205" s="304">
        <f t="shared" si="74"/>
        <v>3384.7770453103249</v>
      </c>
      <c r="O205" s="303">
        <v>246.51681131351967</v>
      </c>
      <c r="P205" s="302">
        <v>0.41502613922851611</v>
      </c>
      <c r="Q205" s="301">
        <v>129.68126392370783</v>
      </c>
      <c r="R205" s="301">
        <v>52.849206943502004</v>
      </c>
      <c r="S205" s="300">
        <v>5.3441860444194003</v>
      </c>
      <c r="T205" s="891">
        <f t="shared" si="75"/>
        <v>256</v>
      </c>
      <c r="U205" s="1220">
        <v>0.8901023268699646</v>
      </c>
      <c r="W205" s="299">
        <v>197</v>
      </c>
      <c r="X205" s="298">
        <f>IF('Donor Sample'!N222="",,IF('Donor Sample'!N222="F",1,0))</f>
        <v>0</v>
      </c>
      <c r="Y205" s="298" t="str">
        <f>IF('Donor Sample'!O222="","",'Donor Sample'!O222)</f>
        <v/>
      </c>
      <c r="Z205" s="298" t="str">
        <f>IF(AND('Donor Sample'!O222="",'Donor Sample'!P222="",'Donor Sample'!Q222=""),"",IF('Donor Sample'!P222="",ROUND(AA205/($C$32+($AI205-0.5)*$C$31),0),'Donor Sample'!P222))</f>
        <v/>
      </c>
      <c r="AA205" s="297" t="str">
        <f>IF('Donor Sample'!Q222="","",'Donor Sample'!Q222)</f>
        <v/>
      </c>
      <c r="AB205" s="296" t="str">
        <f t="shared" si="70"/>
        <v/>
      </c>
      <c r="AC205" s="295" t="str">
        <f>IF('Donor Sample'!R222="","",'Donor Sample'!R222)</f>
        <v/>
      </c>
      <c r="AD205" s="294" t="str">
        <f>IF('Donor Sample'!S222="","",'Donor Sample'!S222/100)</f>
        <v/>
      </c>
      <c r="AE205" s="293" t="e">
        <f t="shared" si="76"/>
        <v>#VALUE!</v>
      </c>
      <c r="AF205" s="293" t="str">
        <f t="shared" si="77"/>
        <v/>
      </c>
      <c r="AG205" s="292" t="str">
        <f>IF('Donor Sample'!T222="","",'Donor Sample'!T222)</f>
        <v/>
      </c>
      <c r="AH205" s="891">
        <f t="shared" si="78"/>
        <v>64</v>
      </c>
      <c r="AI205" s="1220">
        <v>0.58600467443466187</v>
      </c>
      <c r="AJ205" s="1216"/>
    </row>
    <row r="206" spans="5:36">
      <c r="E206" s="299">
        <v>198</v>
      </c>
      <c r="F206" s="308">
        <f t="shared" ca="1" si="66"/>
        <v>4147.1909377739557</v>
      </c>
      <c r="G206" s="307">
        <f t="shared" ca="1" si="67"/>
        <v>279.94757060868051</v>
      </c>
      <c r="H206" s="306">
        <f t="shared" ca="1" si="68"/>
        <v>0.41119882548461928</v>
      </c>
      <c r="I206" s="305">
        <f t="shared" ca="1" si="71"/>
        <v>161.52332541028147</v>
      </c>
      <c r="J206" s="305">
        <f t="shared" ca="1" si="72"/>
        <v>64.163192146833765</v>
      </c>
      <c r="K206" s="292">
        <f t="shared" ca="1" si="69"/>
        <v>1.2492535241990257</v>
      </c>
      <c r="L206" s="1290">
        <f t="shared" ca="1" si="73"/>
        <v>27.620782754445447</v>
      </c>
      <c r="M206" s="299">
        <v>198</v>
      </c>
      <c r="N206" s="304">
        <f t="shared" si="74"/>
        <v>3423.7393800728696</v>
      </c>
      <c r="O206" s="303">
        <v>207.39653867536634</v>
      </c>
      <c r="P206" s="302">
        <v>0.38975069296151715</v>
      </c>
      <c r="Q206" s="301">
        <v>136.16663785890583</v>
      </c>
      <c r="R206" s="301">
        <v>58.997593189103227</v>
      </c>
      <c r="S206" s="300">
        <v>2.443787566579767</v>
      </c>
      <c r="T206" s="891">
        <f t="shared" si="75"/>
        <v>64</v>
      </c>
      <c r="U206" s="1220">
        <v>0.7568591833114624</v>
      </c>
      <c r="W206" s="299">
        <v>198</v>
      </c>
      <c r="X206" s="298">
        <f>IF('Donor Sample'!N223="",,IF('Donor Sample'!N223="F",1,0))</f>
        <v>0</v>
      </c>
      <c r="Y206" s="298" t="str">
        <f>IF('Donor Sample'!O223="","",'Donor Sample'!O223)</f>
        <v/>
      </c>
      <c r="Z206" s="298" t="str">
        <f>IF(AND('Donor Sample'!O223="",'Donor Sample'!P223="",'Donor Sample'!Q223=""),"",IF('Donor Sample'!P223="",ROUND(AA206/($C$32+($AI206-0.5)*$C$31),0),'Donor Sample'!P223))</f>
        <v/>
      </c>
      <c r="AA206" s="297" t="str">
        <f>IF('Donor Sample'!Q223="","",'Donor Sample'!Q223)</f>
        <v/>
      </c>
      <c r="AB206" s="296" t="str">
        <f t="shared" si="70"/>
        <v/>
      </c>
      <c r="AC206" s="295" t="str">
        <f>IF('Donor Sample'!R223="","",'Donor Sample'!R223)</f>
        <v/>
      </c>
      <c r="AD206" s="294" t="str">
        <f>IF('Donor Sample'!S223="","",'Donor Sample'!S223/100)</f>
        <v/>
      </c>
      <c r="AE206" s="293" t="e">
        <f t="shared" si="76"/>
        <v>#VALUE!</v>
      </c>
      <c r="AF206" s="293" t="str">
        <f t="shared" si="77"/>
        <v/>
      </c>
      <c r="AG206" s="292" t="str">
        <f>IF('Donor Sample'!T223="","",'Donor Sample'!T223)</f>
        <v/>
      </c>
      <c r="AH206" s="891">
        <f t="shared" si="78"/>
        <v>16</v>
      </c>
      <c r="AI206" s="1220">
        <v>0.96846854686737061</v>
      </c>
      <c r="AJ206" s="1216"/>
    </row>
    <row r="207" spans="5:36">
      <c r="E207" s="299">
        <v>199</v>
      </c>
      <c r="F207" s="308">
        <f t="shared" ca="1" si="66"/>
        <v>4012.743620747849</v>
      </c>
      <c r="G207" s="307">
        <f t="shared" ca="1" si="67"/>
        <v>233.39710007303717</v>
      </c>
      <c r="H207" s="306">
        <f t="shared" ca="1" si="68"/>
        <v>0.43267001815826478</v>
      </c>
      <c r="I207" s="305">
        <f t="shared" ca="1" si="71"/>
        <v>123.72001626812563</v>
      </c>
      <c r="J207" s="305">
        <f t="shared" ca="1" si="72"/>
        <v>64.355671077923262</v>
      </c>
      <c r="K207" s="292">
        <f t="shared" ca="1" si="69"/>
        <v>2.952838175131669</v>
      </c>
      <c r="L207" s="1290">
        <f t="shared" ca="1" si="73"/>
        <v>21.029985871116789</v>
      </c>
      <c r="M207" s="299">
        <v>199</v>
      </c>
      <c r="N207" s="304">
        <f t="shared" si="74"/>
        <v>2983.350050544037</v>
      </c>
      <c r="O207" s="303">
        <v>288.56427328877209</v>
      </c>
      <c r="P207" s="302">
        <v>0.49519028368758067</v>
      </c>
      <c r="Q207" s="301">
        <v>115.66048010749797</v>
      </c>
      <c r="R207" s="301">
        <v>48.613658265886471</v>
      </c>
      <c r="S207" s="300">
        <v>1.87235509356635</v>
      </c>
      <c r="T207" s="891">
        <f t="shared" si="75"/>
        <v>2</v>
      </c>
      <c r="U207" s="1220">
        <v>0.32791429758071899</v>
      </c>
      <c r="W207" s="299">
        <v>199</v>
      </c>
      <c r="X207" s="298">
        <f>IF('Donor Sample'!N224="",,IF('Donor Sample'!N224="F",1,0))</f>
        <v>0</v>
      </c>
      <c r="Y207" s="298" t="str">
        <f>IF('Donor Sample'!O224="","",'Donor Sample'!O224)</f>
        <v/>
      </c>
      <c r="Z207" s="298" t="str">
        <f>IF(AND('Donor Sample'!O224="",'Donor Sample'!P224="",'Donor Sample'!Q224=""),"",IF('Donor Sample'!P224="",ROUND(AA207/($C$32+($AI207-0.5)*$C$31),0),'Donor Sample'!P224))</f>
        <v/>
      </c>
      <c r="AA207" s="297" t="str">
        <f>IF('Donor Sample'!Q224="","",'Donor Sample'!Q224)</f>
        <v/>
      </c>
      <c r="AB207" s="296" t="str">
        <f t="shared" si="70"/>
        <v/>
      </c>
      <c r="AC207" s="295" t="str">
        <f>IF('Donor Sample'!R224="","",'Donor Sample'!R224)</f>
        <v/>
      </c>
      <c r="AD207" s="294" t="str">
        <f>IF('Donor Sample'!S224="","",'Donor Sample'!S224/100)</f>
        <v/>
      </c>
      <c r="AE207" s="407" t="e">
        <f t="shared" si="76"/>
        <v>#VALUE!</v>
      </c>
      <c r="AF207" s="293" t="str">
        <f t="shared" si="77"/>
        <v/>
      </c>
      <c r="AG207" s="292" t="str">
        <f>IF('Donor Sample'!T224="","",'Donor Sample'!T224)</f>
        <v/>
      </c>
      <c r="AH207" s="891">
        <f t="shared" si="78"/>
        <v>2</v>
      </c>
      <c r="AI207" s="1220">
        <v>0.29513698816299438</v>
      </c>
      <c r="AJ207" s="1216"/>
    </row>
    <row r="208" spans="5:36">
      <c r="E208" s="299">
        <v>200</v>
      </c>
      <c r="F208" s="308">
        <f t="shared" ca="1" si="66"/>
        <v>4346.5965940250435</v>
      </c>
      <c r="G208" s="307">
        <f t="shared" ca="1" si="67"/>
        <v>174.44045786774473</v>
      </c>
      <c r="H208" s="306">
        <f t="shared" ca="1" si="68"/>
        <v>0.45103853396611426</v>
      </c>
      <c r="I208" s="305">
        <f t="shared" ca="1" si="71"/>
        <v>168.1497310807172</v>
      </c>
      <c r="J208" s="305">
        <f t="shared" ca="1" si="72"/>
        <v>59.830391981668569</v>
      </c>
      <c r="K208" s="292">
        <f t="shared" ca="1" si="69"/>
        <v>5.0533243548161044</v>
      </c>
      <c r="L208" s="1290">
        <f t="shared" ca="1" si="73"/>
        <v>33.069310501821668</v>
      </c>
      <c r="M208" s="299">
        <v>200</v>
      </c>
      <c r="N208" s="304">
        <f t="shared" si="74"/>
        <v>3583.8003829915356</v>
      </c>
      <c r="O208" s="303">
        <v>244.73895500863298</v>
      </c>
      <c r="P208" s="302">
        <v>0.43070346896656958</v>
      </c>
      <c r="Q208" s="301">
        <v>149.17870768462871</v>
      </c>
      <c r="R208" s="301">
        <v>51.09135807981076</v>
      </c>
      <c r="S208" s="300">
        <v>1.8821508933021585</v>
      </c>
      <c r="T208" s="891">
        <f t="shared" si="75"/>
        <v>64</v>
      </c>
      <c r="U208" s="1220">
        <v>0.53827190399169922</v>
      </c>
      <c r="W208" s="299">
        <v>200</v>
      </c>
      <c r="X208" s="298">
        <f>IF('Donor Sample'!N225="",,IF('Donor Sample'!N225="F",1,0))</f>
        <v>0</v>
      </c>
      <c r="Y208" s="298" t="str">
        <f>IF('Donor Sample'!O225="","",'Donor Sample'!O225)</f>
        <v/>
      </c>
      <c r="Z208" s="298" t="str">
        <f>IF(AND('Donor Sample'!O225="",'Donor Sample'!P225="",'Donor Sample'!Q225=""),"",IF('Donor Sample'!P225="",ROUND(AA208/($C$32+($AI208-0.5)*$C$31),0),'Donor Sample'!P225))</f>
        <v/>
      </c>
      <c r="AA208" s="297" t="str">
        <f>IF('Donor Sample'!Q225="","",'Donor Sample'!Q225)</f>
        <v/>
      </c>
      <c r="AB208" s="296" t="str">
        <f t="shared" si="70"/>
        <v/>
      </c>
      <c r="AC208" s="295" t="str">
        <f>IF('Donor Sample'!R225="","",'Donor Sample'!R225)</f>
        <v/>
      </c>
      <c r="AD208" s="294" t="str">
        <f>IF('Donor Sample'!S225="","",'Donor Sample'!S225/100)</f>
        <v/>
      </c>
      <c r="AE208" s="293" t="e">
        <f t="shared" si="76"/>
        <v>#VALUE!</v>
      </c>
      <c r="AF208" s="293" t="str">
        <f t="shared" si="77"/>
        <v/>
      </c>
      <c r="AG208" s="292" t="str">
        <f>IF('Donor Sample'!T225="","",'Donor Sample'!T225)</f>
        <v/>
      </c>
      <c r="AH208" s="891">
        <f t="shared" si="78"/>
        <v>2</v>
      </c>
      <c r="AI208" s="1220">
        <v>0.33045148849487305</v>
      </c>
      <c r="AJ208" s="1216"/>
    </row>
    <row r="209" spans="5:36">
      <c r="E209" s="299">
        <v>201</v>
      </c>
      <c r="F209" s="308">
        <f t="shared" ca="1" si="66"/>
        <v>3284.9928242555834</v>
      </c>
      <c r="G209" s="307">
        <f t="shared" ca="1" si="67"/>
        <v>156.86436229611053</v>
      </c>
      <c r="H209" s="306">
        <f t="shared" ca="1" si="68"/>
        <v>0.43234881290786531</v>
      </c>
      <c r="I209" s="305">
        <f t="shared" ca="1" si="71"/>
        <v>117.20316967895862</v>
      </c>
      <c r="J209" s="305">
        <f t="shared" ca="1" si="72"/>
        <v>61.298085215998036</v>
      </c>
      <c r="K209" s="292">
        <f t="shared" ca="1" si="69"/>
        <v>5.2032209055718912</v>
      </c>
      <c r="L209" s="1290">
        <f t="shared" ca="1" si="73"/>
        <v>21.959285191429213</v>
      </c>
      <c r="M209" s="299">
        <v>201</v>
      </c>
      <c r="N209" s="304">
        <f t="shared" si="74"/>
        <v>3475.8536635611645</v>
      </c>
      <c r="O209" s="303">
        <v>227.28751647085033</v>
      </c>
      <c r="P209" s="302">
        <v>0.42986578771963724</v>
      </c>
      <c r="Q209" s="301">
        <v>144.8461243524884</v>
      </c>
      <c r="R209" s="301">
        <v>57.687267193993193</v>
      </c>
      <c r="S209" s="300">
        <v>1.2422448389092156</v>
      </c>
      <c r="T209" s="891">
        <f t="shared" si="75"/>
        <v>32</v>
      </c>
      <c r="U209" s="1220">
        <v>0.82413023710250854</v>
      </c>
      <c r="W209" s="299">
        <v>201</v>
      </c>
      <c r="X209" s="298">
        <f>IF('Donor Sample'!N226="",,IF('Donor Sample'!N226="F",1,0))</f>
        <v>0</v>
      </c>
      <c r="Y209" s="298" t="str">
        <f>IF('Donor Sample'!O226="","",'Donor Sample'!O226)</f>
        <v/>
      </c>
      <c r="Z209" s="298" t="str">
        <f>IF(AND('Donor Sample'!O226="",'Donor Sample'!P226="",'Donor Sample'!Q226=""),"",IF('Donor Sample'!P226="",ROUND(AA209/($C$32+($AI209-0.5)*$C$31),0),'Donor Sample'!P226))</f>
        <v/>
      </c>
      <c r="AA209" s="297" t="str">
        <f>IF('Donor Sample'!Q226="","",'Donor Sample'!Q226)</f>
        <v/>
      </c>
      <c r="AB209" s="296" t="str">
        <f t="shared" si="70"/>
        <v/>
      </c>
      <c r="AC209" s="295" t="str">
        <f>IF('Donor Sample'!R226="","",'Donor Sample'!R226)</f>
        <v/>
      </c>
      <c r="AD209" s="294" t="str">
        <f>IF('Donor Sample'!S226="","",'Donor Sample'!S226/100)</f>
        <v/>
      </c>
      <c r="AE209" s="293" t="e">
        <f t="shared" si="76"/>
        <v>#VALUE!</v>
      </c>
      <c r="AF209" s="293" t="str">
        <f t="shared" si="77"/>
        <v/>
      </c>
      <c r="AG209" s="292" t="str">
        <f>IF('Donor Sample'!T226="","",'Donor Sample'!T226)</f>
        <v/>
      </c>
      <c r="AH209" s="891">
        <f t="shared" si="78"/>
        <v>256</v>
      </c>
      <c r="AI209" s="1220">
        <v>0.86604851484298706</v>
      </c>
      <c r="AJ209" s="1216"/>
    </row>
    <row r="210" spans="5:36">
      <c r="E210" s="299">
        <v>202</v>
      </c>
      <c r="F210" s="308">
        <f t="shared" ca="1" si="66"/>
        <v>3634.5043168904422</v>
      </c>
      <c r="G210" s="307">
        <f t="shared" ca="1" si="67"/>
        <v>240.28199961881214</v>
      </c>
      <c r="H210" s="306">
        <f t="shared" ca="1" si="68"/>
        <v>0.51861775822983536</v>
      </c>
      <c r="I210" s="305">
        <f t="shared" ca="1" si="71"/>
        <v>125.3729295715427</v>
      </c>
      <c r="J210" s="305">
        <f t="shared" ca="1" si="72"/>
        <v>58.442386386588801</v>
      </c>
      <c r="K210" s="292">
        <f t="shared" ca="1" si="69"/>
        <v>7.8508214173619928</v>
      </c>
      <c r="L210" s="1290">
        <f t="shared" ca="1" si="73"/>
        <v>25.841668485191725</v>
      </c>
      <c r="M210" s="299">
        <v>202</v>
      </c>
      <c r="N210" s="304">
        <f t="shared" si="74"/>
        <v>2765.300085711915</v>
      </c>
      <c r="O210" s="303">
        <v>219.32829726643567</v>
      </c>
      <c r="P210" s="302">
        <v>0.41461634565679989</v>
      </c>
      <c r="Q210" s="301">
        <v>95.262692382279909</v>
      </c>
      <c r="R210" s="301">
        <v>50.417109016322733</v>
      </c>
      <c r="S210" s="300">
        <v>2.1683709519084569</v>
      </c>
      <c r="T210" s="891">
        <f t="shared" si="75"/>
        <v>2</v>
      </c>
      <c r="U210" s="1220">
        <v>0.15326178073883057</v>
      </c>
      <c r="W210" s="299">
        <v>202</v>
      </c>
      <c r="X210" s="298">
        <f>IF('Donor Sample'!N227="",,IF('Donor Sample'!N227="F",1,0))</f>
        <v>0</v>
      </c>
      <c r="Y210" s="298" t="str">
        <f>IF('Donor Sample'!O227="","",'Donor Sample'!O227)</f>
        <v/>
      </c>
      <c r="Z210" s="298" t="str">
        <f>IF(AND('Donor Sample'!O227="",'Donor Sample'!P227="",'Donor Sample'!Q227=""),"",IF('Donor Sample'!P227="",ROUND(AA210/($C$32+($AI210-0.5)*$C$31),0),'Donor Sample'!P227))</f>
        <v/>
      </c>
      <c r="AA210" s="297" t="str">
        <f>IF('Donor Sample'!Q227="","",'Donor Sample'!Q227)</f>
        <v/>
      </c>
      <c r="AB210" s="296" t="str">
        <f t="shared" si="70"/>
        <v/>
      </c>
      <c r="AC210" s="295" t="str">
        <f>IF('Donor Sample'!R227="","",'Donor Sample'!R227)</f>
        <v/>
      </c>
      <c r="AD210" s="294" t="str">
        <f>IF('Donor Sample'!S227="","",'Donor Sample'!S227/100)</f>
        <v/>
      </c>
      <c r="AE210" s="407" t="e">
        <f t="shared" si="76"/>
        <v>#VALUE!</v>
      </c>
      <c r="AF210" s="293" t="str">
        <f t="shared" si="77"/>
        <v/>
      </c>
      <c r="AG210" s="292" t="str">
        <f>IF('Donor Sample'!T227="","",'Donor Sample'!T227)</f>
        <v/>
      </c>
      <c r="AH210" s="891">
        <f t="shared" si="78"/>
        <v>2</v>
      </c>
      <c r="AI210" s="1220">
        <v>0.27213585376739502</v>
      </c>
      <c r="AJ210" s="1216"/>
    </row>
    <row r="211" spans="5:36">
      <c r="E211" s="299">
        <v>203</v>
      </c>
      <c r="F211" s="308">
        <f t="shared" ca="1" si="66"/>
        <v>3665.6978420550167</v>
      </c>
      <c r="G211" s="307">
        <f t="shared" ca="1" si="67"/>
        <v>287.82994129002151</v>
      </c>
      <c r="H211" s="306">
        <f t="shared" ca="1" si="68"/>
        <v>0.39125637908831778</v>
      </c>
      <c r="I211" s="305">
        <f t="shared" ca="1" si="71"/>
        <v>122.71441343495697</v>
      </c>
      <c r="J211" s="305">
        <f t="shared" ca="1" si="72"/>
        <v>59.55742780216007</v>
      </c>
      <c r="K211" s="292">
        <f t="shared" ca="1" si="69"/>
        <v>2.0363537412938277</v>
      </c>
      <c r="L211" s="1290">
        <f t="shared" ca="1" si="73"/>
        <v>24.355461828540086</v>
      </c>
      <c r="M211" s="299">
        <v>203</v>
      </c>
      <c r="N211" s="304">
        <f t="shared" si="74"/>
        <v>3781.0665213632401</v>
      </c>
      <c r="O211" s="303">
        <v>187.51284813129874</v>
      </c>
      <c r="P211" s="302">
        <v>0.37234444472801298</v>
      </c>
      <c r="Q211" s="301">
        <v>154.20045821777188</v>
      </c>
      <c r="R211" s="301">
        <v>53.598996588841487</v>
      </c>
      <c r="S211" s="300">
        <v>3.8132256260541801</v>
      </c>
      <c r="T211" s="891">
        <f t="shared" si="75"/>
        <v>32</v>
      </c>
      <c r="U211" s="1220">
        <v>0.7932475209236145</v>
      </c>
      <c r="W211" s="299">
        <v>203</v>
      </c>
      <c r="X211" s="298">
        <f>IF('Donor Sample'!N228="",,IF('Donor Sample'!N228="F",1,0))</f>
        <v>0</v>
      </c>
      <c r="Y211" s="298" t="str">
        <f>IF('Donor Sample'!O228="","",'Donor Sample'!O228)</f>
        <v/>
      </c>
      <c r="Z211" s="298" t="str">
        <f>IF(AND('Donor Sample'!O228="",'Donor Sample'!P228="",'Donor Sample'!Q228=""),"",IF('Donor Sample'!P228="",ROUND(AA211/($C$32+($AI211-0.5)*$C$31),0),'Donor Sample'!P228))</f>
        <v/>
      </c>
      <c r="AA211" s="297" t="str">
        <f>IF('Donor Sample'!Q228="","",'Donor Sample'!Q228)</f>
        <v/>
      </c>
      <c r="AB211" s="296" t="str">
        <f t="shared" si="70"/>
        <v/>
      </c>
      <c r="AC211" s="295" t="str">
        <f>IF('Donor Sample'!R228="","",'Donor Sample'!R228)</f>
        <v/>
      </c>
      <c r="AD211" s="294" t="str">
        <f>IF('Donor Sample'!S228="","",'Donor Sample'!S228/100)</f>
        <v/>
      </c>
      <c r="AE211" s="293" t="e">
        <f t="shared" si="76"/>
        <v>#VALUE!</v>
      </c>
      <c r="AF211" s="293" t="str">
        <f t="shared" si="77"/>
        <v/>
      </c>
      <c r="AG211" s="292" t="str">
        <f>IF('Donor Sample'!T228="","",'Donor Sample'!T228)</f>
        <v/>
      </c>
      <c r="AH211" s="891">
        <f t="shared" si="78"/>
        <v>2</v>
      </c>
      <c r="AI211" s="1220">
        <v>0.20273858308792114</v>
      </c>
      <c r="AJ211" s="1216"/>
    </row>
    <row r="212" spans="5:36">
      <c r="E212" s="299">
        <v>204</v>
      </c>
      <c r="F212" s="308">
        <f t="shared" ca="1" si="66"/>
        <v>2879.3296596314708</v>
      </c>
      <c r="G212" s="307">
        <f t="shared" ca="1" si="67"/>
        <v>251.36338763280537</v>
      </c>
      <c r="H212" s="306">
        <f t="shared" ca="1" si="68"/>
        <v>0.4379013471517576</v>
      </c>
      <c r="I212" s="305">
        <f t="shared" ca="1" si="71"/>
        <v>90.911785644731808</v>
      </c>
      <c r="J212" s="305">
        <f t="shared" ca="1" si="72"/>
        <v>54.025543062448882</v>
      </c>
      <c r="K212" s="292">
        <f t="shared" ca="1" si="69"/>
        <v>2.0377808829794923</v>
      </c>
      <c r="L212" s="1290">
        <f t="shared" ca="1" si="73"/>
        <v>21.927774936386967</v>
      </c>
      <c r="M212" s="299">
        <v>204</v>
      </c>
      <c r="N212" s="304">
        <f t="shared" si="74"/>
        <v>3791.805684687155</v>
      </c>
      <c r="O212" s="303">
        <v>242.10086260220876</v>
      </c>
      <c r="P212" s="302">
        <v>0.35142923823819971</v>
      </c>
      <c r="Q212" s="301">
        <v>130.05924570316753</v>
      </c>
      <c r="R212" s="301">
        <v>59.850987658927842</v>
      </c>
      <c r="S212" s="300">
        <v>2.0647029698107029</v>
      </c>
      <c r="T212" s="891">
        <f t="shared" si="75"/>
        <v>4</v>
      </c>
      <c r="U212" s="1220">
        <v>0.4286491870880127</v>
      </c>
      <c r="W212" s="299">
        <v>204</v>
      </c>
      <c r="X212" s="298">
        <f>IF('Donor Sample'!N229="",,IF('Donor Sample'!N229="F",1,0))</f>
        <v>0</v>
      </c>
      <c r="Y212" s="298" t="str">
        <f>IF('Donor Sample'!O229="","",'Donor Sample'!O229)</f>
        <v/>
      </c>
      <c r="Z212" s="298" t="str">
        <f>IF(AND('Donor Sample'!O229="",'Donor Sample'!P229="",'Donor Sample'!Q229=""),"",IF('Donor Sample'!P229="",ROUND(AA212/($C$32+($AI212-0.5)*$C$31),0),'Donor Sample'!P229))</f>
        <v/>
      </c>
      <c r="AA212" s="297" t="str">
        <f>IF('Donor Sample'!Q229="","",'Donor Sample'!Q229)</f>
        <v/>
      </c>
      <c r="AB212" s="296" t="str">
        <f t="shared" si="70"/>
        <v/>
      </c>
      <c r="AC212" s="295" t="str">
        <f>IF('Donor Sample'!R229="","",'Donor Sample'!R229)</f>
        <v/>
      </c>
      <c r="AD212" s="294" t="str">
        <f>IF('Donor Sample'!S229="","",'Donor Sample'!S229/100)</f>
        <v/>
      </c>
      <c r="AE212" s="293" t="e">
        <f t="shared" si="76"/>
        <v>#VALUE!</v>
      </c>
      <c r="AF212" s="293" t="str">
        <f t="shared" si="77"/>
        <v/>
      </c>
      <c r="AG212" s="292" t="str">
        <f>IF('Donor Sample'!T229="","",'Donor Sample'!T229)</f>
        <v/>
      </c>
      <c r="AH212" s="891">
        <f t="shared" si="78"/>
        <v>4</v>
      </c>
      <c r="AI212" s="1220">
        <v>0.40183615684509277</v>
      </c>
      <c r="AJ212" s="1216"/>
    </row>
    <row r="213" spans="5:36">
      <c r="E213" s="299">
        <v>205</v>
      </c>
      <c r="F213" s="308">
        <f t="shared" ca="1" si="66"/>
        <v>4631.2321275622335</v>
      </c>
      <c r="G213" s="307">
        <f t="shared" ca="1" si="67"/>
        <v>213.58357794219862</v>
      </c>
      <c r="H213" s="306">
        <f t="shared" ca="1" si="68"/>
        <v>0.45276935051449735</v>
      </c>
      <c r="I213" s="305">
        <f t="shared" ca="1" si="71"/>
        <v>144.78313826343103</v>
      </c>
      <c r="J213" s="305">
        <f t="shared" ca="1" si="72"/>
        <v>68.275067465856992</v>
      </c>
      <c r="K213" s="292">
        <f t="shared" ca="1" si="69"/>
        <v>13.013797069691938</v>
      </c>
      <c r="L213" s="1290">
        <f t="shared" ca="1" si="73"/>
        <v>21.865850236860272</v>
      </c>
      <c r="M213" s="299">
        <v>205</v>
      </c>
      <c r="N213" s="304">
        <f t="shared" si="74"/>
        <v>3428.5168160422982</v>
      </c>
      <c r="O213" s="303">
        <v>215.28863192512651</v>
      </c>
      <c r="P213" s="302">
        <v>0.39048946711167409</v>
      </c>
      <c r="Q213" s="301">
        <v>108.27955575270843</v>
      </c>
      <c r="R213" s="301">
        <v>59.141366713271424</v>
      </c>
      <c r="S213" s="300">
        <v>2.6113954255152394</v>
      </c>
      <c r="T213" s="891">
        <f t="shared" si="75"/>
        <v>64</v>
      </c>
      <c r="U213" s="1220">
        <v>0.54386752843856812</v>
      </c>
      <c r="W213" s="299">
        <v>205</v>
      </c>
      <c r="X213" s="298">
        <f>IF('Donor Sample'!N230="",,IF('Donor Sample'!N230="F",1,0))</f>
        <v>0</v>
      </c>
      <c r="Y213" s="298" t="str">
        <f>IF('Donor Sample'!O230="","",'Donor Sample'!O230)</f>
        <v/>
      </c>
      <c r="Z213" s="298" t="str">
        <f>IF(AND('Donor Sample'!O230="",'Donor Sample'!P230="",'Donor Sample'!Q230=""),"",IF('Donor Sample'!P230="",ROUND(AA213/($C$32+($AI213-0.5)*$C$31),0),'Donor Sample'!P230))</f>
        <v/>
      </c>
      <c r="AA213" s="297" t="str">
        <f>IF('Donor Sample'!Q230="","",'Donor Sample'!Q230)</f>
        <v/>
      </c>
      <c r="AB213" s="296" t="str">
        <f t="shared" si="70"/>
        <v/>
      </c>
      <c r="AC213" s="295" t="str">
        <f>IF('Donor Sample'!R230="","",'Donor Sample'!R230)</f>
        <v/>
      </c>
      <c r="AD213" s="294" t="str">
        <f>IF('Donor Sample'!S230="","",'Donor Sample'!S230/100)</f>
        <v/>
      </c>
      <c r="AE213" s="407" t="e">
        <f t="shared" si="76"/>
        <v>#VALUE!</v>
      </c>
      <c r="AF213" s="293" t="str">
        <f t="shared" si="77"/>
        <v/>
      </c>
      <c r="AG213" s="292" t="str">
        <f>IF('Donor Sample'!T230="","",'Donor Sample'!T230)</f>
        <v/>
      </c>
      <c r="AH213" s="891">
        <f t="shared" si="78"/>
        <v>64</v>
      </c>
      <c r="AI213" s="1220">
        <v>0.51932615041732788</v>
      </c>
      <c r="AJ213" s="1216"/>
    </row>
    <row r="214" spans="5:36">
      <c r="E214" s="299">
        <v>206</v>
      </c>
      <c r="F214" s="308">
        <f t="shared" ca="1" si="66"/>
        <v>3347.8431323408295</v>
      </c>
      <c r="G214" s="307">
        <f t="shared" ca="1" si="67"/>
        <v>290.25005602305862</v>
      </c>
      <c r="H214" s="306">
        <f t="shared" ca="1" si="68"/>
        <v>0.35710831293671808</v>
      </c>
      <c r="I214" s="305">
        <f t="shared" ca="1" si="71"/>
        <v>116.920600579603</v>
      </c>
      <c r="J214" s="305">
        <f t="shared" ca="1" si="72"/>
        <v>62.301554849638045</v>
      </c>
      <c r="K214" s="292">
        <f t="shared" ca="1" si="69"/>
        <v>1.3682652545903768</v>
      </c>
      <c r="L214" s="1290">
        <f t="shared" ca="1" si="73"/>
        <v>21.206350043448456</v>
      </c>
      <c r="M214" s="299">
        <v>206</v>
      </c>
      <c r="N214" s="304">
        <f t="shared" si="74"/>
        <v>3704.4458386963443</v>
      </c>
      <c r="O214" s="303">
        <v>285.34754658990676</v>
      </c>
      <c r="P214" s="302">
        <v>0.42427808757684415</v>
      </c>
      <c r="Q214" s="301">
        <v>128.32014379239226</v>
      </c>
      <c r="R214" s="301">
        <v>64.921575225263339</v>
      </c>
      <c r="S214" s="300">
        <v>2.9111119206688074</v>
      </c>
      <c r="T214" s="891">
        <f t="shared" si="75"/>
        <v>2</v>
      </c>
      <c r="U214" s="1220">
        <v>7.1442484855651855E-2</v>
      </c>
      <c r="W214" s="299">
        <v>206</v>
      </c>
      <c r="X214" s="298">
        <f>IF('Donor Sample'!N231="",,IF('Donor Sample'!N231="F",1,0))</f>
        <v>0</v>
      </c>
      <c r="Y214" s="298" t="str">
        <f>IF('Donor Sample'!O231="","",'Donor Sample'!O231)</f>
        <v/>
      </c>
      <c r="Z214" s="298" t="str">
        <f>IF(AND('Donor Sample'!O231="",'Donor Sample'!P231="",'Donor Sample'!Q231=""),"",IF('Donor Sample'!P231="",ROUND(AA214/($C$32+($AI214-0.5)*$C$31),0),'Donor Sample'!P231))</f>
        <v/>
      </c>
      <c r="AA214" s="297" t="str">
        <f>IF('Donor Sample'!Q231="","",'Donor Sample'!Q231)</f>
        <v/>
      </c>
      <c r="AB214" s="296" t="str">
        <f t="shared" si="70"/>
        <v/>
      </c>
      <c r="AC214" s="295" t="str">
        <f>IF('Donor Sample'!R231="","",'Donor Sample'!R231)</f>
        <v/>
      </c>
      <c r="AD214" s="294" t="str">
        <f>IF('Donor Sample'!S231="","",'Donor Sample'!S231/100)</f>
        <v/>
      </c>
      <c r="AE214" s="293" t="e">
        <f t="shared" si="76"/>
        <v>#VALUE!</v>
      </c>
      <c r="AF214" s="293" t="str">
        <f t="shared" si="77"/>
        <v/>
      </c>
      <c r="AG214" s="292" t="str">
        <f>IF('Donor Sample'!T231="","",'Donor Sample'!T231)</f>
        <v/>
      </c>
      <c r="AH214" s="891">
        <f t="shared" si="78"/>
        <v>16</v>
      </c>
      <c r="AI214" s="1220">
        <v>0.96000802516937256</v>
      </c>
      <c r="AJ214" s="1216"/>
    </row>
    <row r="215" spans="5:36">
      <c r="E215" s="299">
        <v>207</v>
      </c>
      <c r="F215" s="308">
        <f t="shared" ca="1" si="66"/>
        <v>3097.8127940485069</v>
      </c>
      <c r="G215" s="307">
        <f t="shared" ca="1" si="67"/>
        <v>232.76469075303635</v>
      </c>
      <c r="H215" s="306">
        <f t="shared" ca="1" si="68"/>
        <v>0.42487816417714486</v>
      </c>
      <c r="I215" s="305">
        <f t="shared" ca="1" si="71"/>
        <v>99.734763683382383</v>
      </c>
      <c r="J215" s="305">
        <f t="shared" ca="1" si="72"/>
        <v>55.67782005699317</v>
      </c>
      <c r="K215" s="292">
        <f t="shared" ca="1" si="69"/>
        <v>1.2759981807024006</v>
      </c>
      <c r="L215" s="1290">
        <f t="shared" ca="1" si="73"/>
        <v>22.649299567158636</v>
      </c>
      <c r="M215" s="299">
        <v>207</v>
      </c>
      <c r="N215" s="304">
        <f t="shared" si="74"/>
        <v>3296.4278383586898</v>
      </c>
      <c r="O215" s="303">
        <v>235.29170944830349</v>
      </c>
      <c r="P215" s="302">
        <v>0.37575199008719468</v>
      </c>
      <c r="Q215" s="301">
        <v>128.11905634973542</v>
      </c>
      <c r="R215" s="301">
        <v>51.514739393345636</v>
      </c>
      <c r="S215" s="300">
        <v>3.85521386687812</v>
      </c>
      <c r="T215" s="891">
        <f t="shared" si="75"/>
        <v>2</v>
      </c>
      <c r="U215" s="1220">
        <v>5.6527674198150635E-2</v>
      </c>
      <c r="W215" s="299">
        <v>207</v>
      </c>
      <c r="X215" s="298">
        <f>IF('Donor Sample'!N232="",,IF('Donor Sample'!N232="F",1,0))</f>
        <v>0</v>
      </c>
      <c r="Y215" s="298" t="str">
        <f>IF('Donor Sample'!O232="","",'Donor Sample'!O232)</f>
        <v/>
      </c>
      <c r="Z215" s="298" t="str">
        <f>IF(AND('Donor Sample'!O232="",'Donor Sample'!P232="",'Donor Sample'!Q232=""),"",IF('Donor Sample'!P232="",ROUND(AA215/($C$32+($AI215-0.5)*$C$31),0),'Donor Sample'!P232))</f>
        <v/>
      </c>
      <c r="AA215" s="297" t="str">
        <f>IF('Donor Sample'!Q232="","",'Donor Sample'!Q232)</f>
        <v/>
      </c>
      <c r="AB215" s="296" t="str">
        <f t="shared" si="70"/>
        <v/>
      </c>
      <c r="AC215" s="295" t="str">
        <f>IF('Donor Sample'!R232="","",'Donor Sample'!R232)</f>
        <v/>
      </c>
      <c r="AD215" s="294" t="str">
        <f>IF('Donor Sample'!S232="","",'Donor Sample'!S232/100)</f>
        <v/>
      </c>
      <c r="AE215" s="293" t="e">
        <f t="shared" si="76"/>
        <v>#VALUE!</v>
      </c>
      <c r="AF215" s="293" t="str">
        <f t="shared" si="77"/>
        <v/>
      </c>
      <c r="AG215" s="292" t="str">
        <f>IF('Donor Sample'!T232="","",'Donor Sample'!T232)</f>
        <v/>
      </c>
      <c r="AH215" s="891">
        <f t="shared" si="78"/>
        <v>64</v>
      </c>
      <c r="AI215" s="1220">
        <v>0.44600683450698853</v>
      </c>
      <c r="AJ215" s="1216"/>
    </row>
    <row r="216" spans="5:36">
      <c r="E216" s="299">
        <v>208</v>
      </c>
      <c r="F216" s="308">
        <f t="shared" ca="1" si="66"/>
        <v>4040.283325547091</v>
      </c>
      <c r="G216" s="307">
        <f t="shared" ca="1" si="67"/>
        <v>285.21127987090256</v>
      </c>
      <c r="H216" s="306">
        <f t="shared" ca="1" si="68"/>
        <v>0.46853438545359899</v>
      </c>
      <c r="I216" s="305">
        <f t="shared" ca="1" si="71"/>
        <v>153.40718356859435</v>
      </c>
      <c r="J216" s="305">
        <f t="shared" ca="1" si="72"/>
        <v>58.385171709157092</v>
      </c>
      <c r="K216" s="292">
        <f t="shared" ca="1" si="69"/>
        <v>1.4328705165455988</v>
      </c>
      <c r="L216" s="1290">
        <f t="shared" ca="1" si="73"/>
        <v>31.682046880523373</v>
      </c>
      <c r="M216" s="299">
        <v>208</v>
      </c>
      <c r="N216" s="304">
        <f t="shared" si="74"/>
        <v>2747.8436917551303</v>
      </c>
      <c r="O216" s="303">
        <v>328.47118829582212</v>
      </c>
      <c r="P216" s="302">
        <v>0.48950170225061235</v>
      </c>
      <c r="Q216" s="301">
        <v>106.29443568927543</v>
      </c>
      <c r="R216" s="301">
        <v>46.176475113371971</v>
      </c>
      <c r="S216" s="300">
        <v>1.4429360146588937</v>
      </c>
      <c r="T216" s="891">
        <f t="shared" si="75"/>
        <v>32</v>
      </c>
      <c r="U216" s="1220">
        <v>0.8353419303894043</v>
      </c>
      <c r="W216" s="299">
        <v>208</v>
      </c>
      <c r="X216" s="298">
        <f>IF('Donor Sample'!N233="",,IF('Donor Sample'!N233="F",1,0))</f>
        <v>0</v>
      </c>
      <c r="Y216" s="298" t="str">
        <f>IF('Donor Sample'!O233="","",'Donor Sample'!O233)</f>
        <v/>
      </c>
      <c r="Z216" s="298" t="str">
        <f>IF(AND('Donor Sample'!O233="",'Donor Sample'!P233="",'Donor Sample'!Q233=""),"",IF('Donor Sample'!P233="",ROUND(AA216/($C$32+($AI216-0.5)*$C$31),0),'Donor Sample'!P233))</f>
        <v/>
      </c>
      <c r="AA216" s="297" t="str">
        <f>IF('Donor Sample'!Q233="","",'Donor Sample'!Q233)</f>
        <v/>
      </c>
      <c r="AB216" s="296" t="str">
        <f t="shared" si="70"/>
        <v/>
      </c>
      <c r="AC216" s="295" t="str">
        <f>IF('Donor Sample'!R233="","",'Donor Sample'!R233)</f>
        <v/>
      </c>
      <c r="AD216" s="294" t="str">
        <f>IF('Donor Sample'!S233="","",'Donor Sample'!S233/100)</f>
        <v/>
      </c>
      <c r="AE216" s="407" t="e">
        <f t="shared" si="76"/>
        <v>#VALUE!</v>
      </c>
      <c r="AF216" s="293" t="str">
        <f t="shared" si="77"/>
        <v/>
      </c>
      <c r="AG216" s="292" t="str">
        <f>IF('Donor Sample'!T233="","",'Donor Sample'!T233)</f>
        <v/>
      </c>
      <c r="AH216" s="891">
        <f t="shared" si="78"/>
        <v>2</v>
      </c>
      <c r="AI216" s="1220">
        <v>1.377105712890625E-3</v>
      </c>
      <c r="AJ216" s="1216"/>
    </row>
    <row r="217" spans="5:36">
      <c r="E217" s="299">
        <v>209</v>
      </c>
      <c r="F217" s="308">
        <f t="shared" ca="1" si="66"/>
        <v>4178.7093798311289</v>
      </c>
      <c r="G217" s="307">
        <f t="shared" ca="1" si="67"/>
        <v>204.60678432791599</v>
      </c>
      <c r="H217" s="306">
        <f t="shared" ca="1" si="68"/>
        <v>0.45810139690132595</v>
      </c>
      <c r="I217" s="305">
        <f t="shared" ca="1" si="71"/>
        <v>151.09340671916391</v>
      </c>
      <c r="J217" s="305">
        <f t="shared" ca="1" si="72"/>
        <v>66.672056849799844</v>
      </c>
      <c r="K217" s="292">
        <f t="shared" ca="1" si="69"/>
        <v>1.2972489385463954</v>
      </c>
      <c r="L217" s="1290">
        <f t="shared" ca="1" si="73"/>
        <v>23.929325964409525</v>
      </c>
      <c r="M217" s="299">
        <v>209</v>
      </c>
      <c r="N217" s="304">
        <f t="shared" si="74"/>
        <v>3767.3027071231509</v>
      </c>
      <c r="O217" s="303">
        <v>182.99619326795812</v>
      </c>
      <c r="P217" s="302">
        <v>0.4130802820101187</v>
      </c>
      <c r="Q217" s="301">
        <v>143.63727542831293</v>
      </c>
      <c r="R217" s="301">
        <v>62.575706908998271</v>
      </c>
      <c r="S217" s="300">
        <v>2.5215013450920156</v>
      </c>
      <c r="T217" s="891">
        <f t="shared" si="75"/>
        <v>16</v>
      </c>
      <c r="U217" s="1220">
        <v>0.98418968915939331</v>
      </c>
      <c r="W217" s="299">
        <v>209</v>
      </c>
      <c r="X217" s="298">
        <f>IF('Donor Sample'!N234="",,IF('Donor Sample'!N234="F",1,0))</f>
        <v>0</v>
      </c>
      <c r="Y217" s="298" t="str">
        <f>IF('Donor Sample'!O234="","",'Donor Sample'!O234)</f>
        <v/>
      </c>
      <c r="Z217" s="298" t="str">
        <f>IF(AND('Donor Sample'!O234="",'Donor Sample'!P234="",'Donor Sample'!Q234=""),"",IF('Donor Sample'!P234="",ROUND(AA217/($C$32+($AI217-0.5)*$C$31),0),'Donor Sample'!P234))</f>
        <v/>
      </c>
      <c r="AA217" s="297" t="str">
        <f>IF('Donor Sample'!Q234="","",'Donor Sample'!Q234)</f>
        <v/>
      </c>
      <c r="AB217" s="296" t="str">
        <f t="shared" si="70"/>
        <v/>
      </c>
      <c r="AC217" s="295" t="str">
        <f>IF('Donor Sample'!R234="","",'Donor Sample'!R234)</f>
        <v/>
      </c>
      <c r="AD217" s="294" t="str">
        <f>IF('Donor Sample'!S234="","",'Donor Sample'!S234/100)</f>
        <v/>
      </c>
      <c r="AE217" s="293" t="e">
        <f t="shared" si="76"/>
        <v>#VALUE!</v>
      </c>
      <c r="AF217" s="293" t="str">
        <f t="shared" si="77"/>
        <v/>
      </c>
      <c r="AG217" s="292" t="str">
        <f>IF('Donor Sample'!T234="","",'Donor Sample'!T234)</f>
        <v/>
      </c>
      <c r="AH217" s="891">
        <f t="shared" si="78"/>
        <v>16</v>
      </c>
      <c r="AI217" s="1220">
        <v>0.98266619443893433</v>
      </c>
      <c r="AJ217" s="1216"/>
    </row>
    <row r="218" spans="5:36">
      <c r="E218" s="299">
        <v>210</v>
      </c>
      <c r="F218" s="308">
        <f t="shared" ca="1" si="66"/>
        <v>2784.6016401882343</v>
      </c>
      <c r="G218" s="307">
        <f t="shared" ca="1" si="67"/>
        <v>242.00474192831157</v>
      </c>
      <c r="H218" s="306">
        <f t="shared" ca="1" si="68"/>
        <v>0.46103926518191019</v>
      </c>
      <c r="I218" s="305">
        <f t="shared" ca="1" si="71"/>
        <v>91.264656659322711</v>
      </c>
      <c r="J218" s="305">
        <f t="shared" ca="1" si="72"/>
        <v>52.05739806486735</v>
      </c>
      <c r="K218" s="292">
        <f t="shared" ca="1" si="69"/>
        <v>1.4704466629585931</v>
      </c>
      <c r="L218" s="1290">
        <f t="shared" ca="1" si="73"/>
        <v>23.708843431297474</v>
      </c>
      <c r="M218" s="299">
        <v>210</v>
      </c>
      <c r="N218" s="304">
        <f t="shared" si="74"/>
        <v>3252.0224036753625</v>
      </c>
      <c r="O218" s="303">
        <v>239.1062629771811</v>
      </c>
      <c r="P218" s="302">
        <v>0.46238796482944944</v>
      </c>
      <c r="Q218" s="301">
        <v>121.92203352170861</v>
      </c>
      <c r="R218" s="301">
        <v>52.459848519177136</v>
      </c>
      <c r="S218" s="300">
        <v>5.446164963993537</v>
      </c>
      <c r="T218" s="891">
        <f t="shared" si="75"/>
        <v>2</v>
      </c>
      <c r="U218" s="1220">
        <v>1.927483081817627E-2</v>
      </c>
      <c r="W218" s="299">
        <v>210</v>
      </c>
      <c r="X218" s="298">
        <f>IF('Donor Sample'!N235="",,IF('Donor Sample'!N235="F",1,0))</f>
        <v>0</v>
      </c>
      <c r="Y218" s="298" t="str">
        <f>IF('Donor Sample'!O235="","",'Donor Sample'!O235)</f>
        <v/>
      </c>
      <c r="Z218" s="298" t="str">
        <f>IF(AND('Donor Sample'!O235="",'Donor Sample'!P235="",'Donor Sample'!Q235=""),"",IF('Donor Sample'!P235="",ROUND(AA218/($C$32+($AI218-0.5)*$C$31),0),'Donor Sample'!P235))</f>
        <v/>
      </c>
      <c r="AA218" s="297" t="str">
        <f>IF('Donor Sample'!Q235="","",'Donor Sample'!Q235)</f>
        <v/>
      </c>
      <c r="AB218" s="296" t="str">
        <f t="shared" si="70"/>
        <v/>
      </c>
      <c r="AC218" s="295" t="str">
        <f>IF('Donor Sample'!R235="","",'Donor Sample'!R235)</f>
        <v/>
      </c>
      <c r="AD218" s="294" t="str">
        <f>IF('Donor Sample'!S235="","",'Donor Sample'!S235/100)</f>
        <v/>
      </c>
      <c r="AE218" s="293" t="e">
        <f t="shared" si="76"/>
        <v>#VALUE!</v>
      </c>
      <c r="AF218" s="293" t="str">
        <f t="shared" si="77"/>
        <v/>
      </c>
      <c r="AG218" s="292" t="str">
        <f>IF('Donor Sample'!T235="","",'Donor Sample'!T235)</f>
        <v/>
      </c>
      <c r="AH218" s="891">
        <f t="shared" si="78"/>
        <v>2</v>
      </c>
      <c r="AI218" s="1220">
        <v>3.4099221229553223E-2</v>
      </c>
      <c r="AJ218" s="1216"/>
    </row>
    <row r="219" spans="5:36">
      <c r="E219" s="299">
        <v>211</v>
      </c>
      <c r="F219" s="308">
        <f t="shared" ca="1" si="66"/>
        <v>4159.2579240210634</v>
      </c>
      <c r="G219" s="307">
        <f t="shared" ca="1" si="67"/>
        <v>222.84630758864401</v>
      </c>
      <c r="H219" s="306">
        <f t="shared" ca="1" si="68"/>
        <v>0.43728386587053303</v>
      </c>
      <c r="I219" s="305">
        <f t="shared" ca="1" si="71"/>
        <v>162.78286337573476</v>
      </c>
      <c r="J219" s="305">
        <f t="shared" ca="1" si="72"/>
        <v>58.092394150067044</v>
      </c>
      <c r="K219" s="292">
        <f t="shared" ca="1" si="69"/>
        <v>4.9440640932158262</v>
      </c>
      <c r="L219" s="1290">
        <f t="shared" ca="1" si="73"/>
        <v>33.958053795298859</v>
      </c>
      <c r="M219" s="299">
        <v>211</v>
      </c>
      <c r="N219" s="304">
        <f t="shared" si="74"/>
        <v>3230.2459937121184</v>
      </c>
      <c r="O219" s="303">
        <v>183.61220435392462</v>
      </c>
      <c r="P219" s="302">
        <v>0.36917150114091934</v>
      </c>
      <c r="Q219" s="301">
        <v>132.95919216596363</v>
      </c>
      <c r="R219" s="301">
        <v>48.480381744647175</v>
      </c>
      <c r="S219" s="300">
        <v>2.8913844716266919</v>
      </c>
      <c r="T219" s="891">
        <f t="shared" si="75"/>
        <v>64</v>
      </c>
      <c r="U219" s="1220">
        <v>0.65663415193557739</v>
      </c>
      <c r="W219" s="299">
        <v>211</v>
      </c>
      <c r="X219" s="298">
        <f>IF('Donor Sample'!N236="",,IF('Donor Sample'!N236="F",1,0))</f>
        <v>0</v>
      </c>
      <c r="Y219" s="298" t="str">
        <f>IF('Donor Sample'!O236="","",'Donor Sample'!O236)</f>
        <v/>
      </c>
      <c r="Z219" s="298" t="str">
        <f>IF(AND('Donor Sample'!O236="",'Donor Sample'!P236="",'Donor Sample'!Q236=""),"",IF('Donor Sample'!P236="",ROUND(AA219/($C$32+($AI219-0.5)*$C$31),0),'Donor Sample'!P236))</f>
        <v/>
      </c>
      <c r="AA219" s="297" t="str">
        <f>IF('Donor Sample'!Q236="","",'Donor Sample'!Q236)</f>
        <v/>
      </c>
      <c r="AB219" s="296" t="str">
        <f t="shared" si="70"/>
        <v/>
      </c>
      <c r="AC219" s="295" t="str">
        <f>IF('Donor Sample'!R236="","",'Donor Sample'!R236)</f>
        <v/>
      </c>
      <c r="AD219" s="294" t="str">
        <f>IF('Donor Sample'!S236="","",'Donor Sample'!S236/100)</f>
        <v/>
      </c>
      <c r="AE219" s="407" t="e">
        <f t="shared" si="76"/>
        <v>#VALUE!</v>
      </c>
      <c r="AF219" s="293" t="str">
        <f t="shared" si="77"/>
        <v/>
      </c>
      <c r="AG219" s="292" t="str">
        <f>IF('Donor Sample'!T236="","",'Donor Sample'!T236)</f>
        <v/>
      </c>
      <c r="AH219" s="891">
        <f t="shared" si="78"/>
        <v>2</v>
      </c>
      <c r="AI219" s="1220">
        <v>8.1399261951446533E-2</v>
      </c>
      <c r="AJ219" s="1216"/>
    </row>
    <row r="220" spans="5:36">
      <c r="E220" s="299">
        <v>212</v>
      </c>
      <c r="F220" s="308">
        <f t="shared" ca="1" si="66"/>
        <v>3396.2527061918422</v>
      </c>
      <c r="G220" s="307">
        <f t="shared" ca="1" si="67"/>
        <v>262.92566202960347</v>
      </c>
      <c r="H220" s="306">
        <f t="shared" ca="1" si="68"/>
        <v>0.44977166485021874</v>
      </c>
      <c r="I220" s="305">
        <f t="shared" ca="1" si="71"/>
        <v>138.243630651226</v>
      </c>
      <c r="J220" s="305">
        <f t="shared" ca="1" si="72"/>
        <v>58.019008659824095</v>
      </c>
      <c r="K220" s="292">
        <f t="shared" ca="1" si="69"/>
        <v>3.5881633397443009</v>
      </c>
      <c r="L220" s="1290">
        <f t="shared" ca="1" si="73"/>
        <v>28.911936557782195</v>
      </c>
      <c r="M220" s="299">
        <v>212</v>
      </c>
      <c r="N220" s="304">
        <f t="shared" si="74"/>
        <v>2936.1644632455509</v>
      </c>
      <c r="O220" s="303">
        <v>235.36302375231023</v>
      </c>
      <c r="P220" s="302">
        <v>0.41423335264452193</v>
      </c>
      <c r="Q220" s="301">
        <v>115.4687943876683</v>
      </c>
      <c r="R220" s="301">
        <v>55.934584912961483</v>
      </c>
      <c r="S220" s="300">
        <v>1.6292313731456167</v>
      </c>
      <c r="T220" s="891">
        <f t="shared" si="75"/>
        <v>16</v>
      </c>
      <c r="U220" s="1220">
        <v>0.95421195030212402</v>
      </c>
      <c r="W220" s="299">
        <v>212</v>
      </c>
      <c r="X220" s="298">
        <f>IF('Donor Sample'!N237="",,IF('Donor Sample'!N237="F",1,0))</f>
        <v>0</v>
      </c>
      <c r="Y220" s="298" t="str">
        <f>IF('Donor Sample'!O237="","",'Donor Sample'!O237)</f>
        <v/>
      </c>
      <c r="Z220" s="298" t="str">
        <f>IF(AND('Donor Sample'!O237="",'Donor Sample'!P237="",'Donor Sample'!Q237=""),"",IF('Donor Sample'!P237="",ROUND(AA220/($C$32+($AI220-0.5)*$C$31),0),'Donor Sample'!P237))</f>
        <v/>
      </c>
      <c r="AA220" s="297" t="str">
        <f>IF('Donor Sample'!Q237="","",'Donor Sample'!Q237)</f>
        <v/>
      </c>
      <c r="AB220" s="296" t="str">
        <f t="shared" si="70"/>
        <v/>
      </c>
      <c r="AC220" s="295" t="str">
        <f>IF('Donor Sample'!R237="","",'Donor Sample'!R237)</f>
        <v/>
      </c>
      <c r="AD220" s="294" t="str">
        <f>IF('Donor Sample'!S237="","",'Donor Sample'!S237/100)</f>
        <v/>
      </c>
      <c r="AE220" s="293" t="e">
        <f t="shared" si="76"/>
        <v>#VALUE!</v>
      </c>
      <c r="AF220" s="293" t="str">
        <f t="shared" si="77"/>
        <v/>
      </c>
      <c r="AG220" s="292" t="str">
        <f>IF('Donor Sample'!T237="","",'Donor Sample'!T237)</f>
        <v/>
      </c>
      <c r="AH220" s="891">
        <f t="shared" si="78"/>
        <v>32</v>
      </c>
      <c r="AI220" s="1220">
        <v>0.7722017765045166</v>
      </c>
      <c r="AJ220" s="1216"/>
    </row>
    <row r="221" spans="5:36">
      <c r="E221" s="299">
        <v>213</v>
      </c>
      <c r="F221" s="308">
        <f t="shared" ca="1" si="66"/>
        <v>3532.4459581591495</v>
      </c>
      <c r="G221" s="307">
        <f t="shared" ca="1" si="67"/>
        <v>235.35918956098217</v>
      </c>
      <c r="H221" s="306">
        <f t="shared" ca="1" si="68"/>
        <v>0.41434084593085446</v>
      </c>
      <c r="I221" s="305">
        <f t="shared" ca="1" si="71"/>
        <v>145.42895551682486</v>
      </c>
      <c r="J221" s="305">
        <f t="shared" ca="1" si="72"/>
        <v>58.497247973731064</v>
      </c>
      <c r="K221" s="292">
        <f t="shared" ca="1" si="69"/>
        <v>1.6939748786346309</v>
      </c>
      <c r="L221" s="1290">
        <f t="shared" ca="1" si="73"/>
        <v>29.919385817145134</v>
      </c>
      <c r="M221" s="299">
        <v>213</v>
      </c>
      <c r="N221" s="304">
        <f t="shared" si="74"/>
        <v>3511.8038168768162</v>
      </c>
      <c r="O221" s="303">
        <v>244.21722169727246</v>
      </c>
      <c r="P221" s="302">
        <v>0.40402240330395783</v>
      </c>
      <c r="Q221" s="301">
        <v>131.21376456051598</v>
      </c>
      <c r="R221" s="301">
        <v>61.550216748008324</v>
      </c>
      <c r="S221" s="300">
        <v>1.7141948471867308</v>
      </c>
      <c r="T221" s="891">
        <f t="shared" si="75"/>
        <v>2</v>
      </c>
      <c r="U221" s="1220">
        <v>0.12001127004623413</v>
      </c>
      <c r="W221" s="299">
        <v>213</v>
      </c>
      <c r="X221" s="298">
        <f>IF('Donor Sample'!N238="",,IF('Donor Sample'!N238="F",1,0))</f>
        <v>0</v>
      </c>
      <c r="Y221" s="298" t="str">
        <f>IF('Donor Sample'!O238="","",'Donor Sample'!O238)</f>
        <v/>
      </c>
      <c r="Z221" s="298" t="str">
        <f>IF(AND('Donor Sample'!O238="",'Donor Sample'!P238="",'Donor Sample'!Q238=""),"",IF('Donor Sample'!P238="",ROUND(AA221/($C$32+($AI221-0.5)*$C$31),0),'Donor Sample'!P238))</f>
        <v/>
      </c>
      <c r="AA221" s="297" t="str">
        <f>IF('Donor Sample'!Q238="","",'Donor Sample'!Q238)</f>
        <v/>
      </c>
      <c r="AB221" s="296" t="str">
        <f t="shared" si="70"/>
        <v/>
      </c>
      <c r="AC221" s="295" t="str">
        <f>IF('Donor Sample'!R238="","",'Donor Sample'!R238)</f>
        <v/>
      </c>
      <c r="AD221" s="294" t="str">
        <f>IF('Donor Sample'!S238="","",'Donor Sample'!S238/100)</f>
        <v/>
      </c>
      <c r="AE221" s="293" t="e">
        <f t="shared" si="76"/>
        <v>#VALUE!</v>
      </c>
      <c r="AF221" s="293" t="str">
        <f t="shared" si="77"/>
        <v/>
      </c>
      <c r="AG221" s="292" t="str">
        <f>IF('Donor Sample'!T238="","",'Donor Sample'!T238)</f>
        <v/>
      </c>
      <c r="AH221" s="891">
        <f t="shared" si="78"/>
        <v>256</v>
      </c>
      <c r="AI221" s="1220">
        <v>0.8891863226890564</v>
      </c>
      <c r="AJ221" s="1216"/>
    </row>
    <row r="222" spans="5:36">
      <c r="E222" s="299">
        <v>214</v>
      </c>
      <c r="F222" s="308">
        <f t="shared" ca="1" si="66"/>
        <v>2603.4167100197583</v>
      </c>
      <c r="G222" s="307">
        <f t="shared" ca="1" si="67"/>
        <v>171.78910673137062</v>
      </c>
      <c r="H222" s="306">
        <f t="shared" ca="1" si="68"/>
        <v>0.40501498711925876</v>
      </c>
      <c r="I222" s="305">
        <f t="shared" ca="1" si="71"/>
        <v>109.31293751289927</v>
      </c>
      <c r="J222" s="305">
        <f t="shared" ca="1" si="72"/>
        <v>51.146820235582489</v>
      </c>
      <c r="K222" s="292">
        <f t="shared" ca="1" si="69"/>
        <v>1.2996254501200826</v>
      </c>
      <c r="L222" s="1290">
        <f t="shared" ca="1" si="73"/>
        <v>29.417580192563914</v>
      </c>
      <c r="M222" s="299">
        <v>214</v>
      </c>
      <c r="N222" s="304">
        <f t="shared" si="74"/>
        <v>2657.2865546464291</v>
      </c>
      <c r="O222" s="303">
        <v>227.04798442748506</v>
      </c>
      <c r="P222" s="302">
        <v>0.48079844130378829</v>
      </c>
      <c r="Q222" s="301">
        <v>92.727568585914099</v>
      </c>
      <c r="R222" s="301">
        <v>57.048695653322127</v>
      </c>
      <c r="S222" s="300">
        <v>1.4758821779777629</v>
      </c>
      <c r="T222" s="891">
        <f t="shared" si="75"/>
        <v>4</v>
      </c>
      <c r="U222" s="1220">
        <v>0.38451516628265381</v>
      </c>
      <c r="W222" s="299">
        <v>214</v>
      </c>
      <c r="X222" s="298">
        <f>IF('Donor Sample'!N239="",,IF('Donor Sample'!N239="F",1,0))</f>
        <v>0</v>
      </c>
      <c r="Y222" s="298" t="str">
        <f>IF('Donor Sample'!O239="","",'Donor Sample'!O239)</f>
        <v/>
      </c>
      <c r="Z222" s="298" t="str">
        <f>IF(AND('Donor Sample'!O239="",'Donor Sample'!P239="",'Donor Sample'!Q239=""),"",IF('Donor Sample'!P239="",ROUND(AA222/($C$32+($AI222-0.5)*$C$31),0),'Donor Sample'!P239))</f>
        <v/>
      </c>
      <c r="AA222" s="297" t="str">
        <f>IF('Donor Sample'!Q239="","",'Donor Sample'!Q239)</f>
        <v/>
      </c>
      <c r="AB222" s="296" t="str">
        <f t="shared" si="70"/>
        <v/>
      </c>
      <c r="AC222" s="295" t="str">
        <f>IF('Donor Sample'!R239="","",'Donor Sample'!R239)</f>
        <v/>
      </c>
      <c r="AD222" s="294" t="str">
        <f>IF('Donor Sample'!S239="","",'Donor Sample'!S239/100)</f>
        <v/>
      </c>
      <c r="AE222" s="407" t="e">
        <f t="shared" si="76"/>
        <v>#VALUE!</v>
      </c>
      <c r="AF222" s="293" t="str">
        <f t="shared" si="77"/>
        <v/>
      </c>
      <c r="AG222" s="292" t="str">
        <f>IF('Donor Sample'!T239="","",'Donor Sample'!T239)</f>
        <v/>
      </c>
      <c r="AH222" s="891">
        <f t="shared" si="78"/>
        <v>256</v>
      </c>
      <c r="AI222" s="1220">
        <v>0.90755641460418701</v>
      </c>
      <c r="AJ222" s="1216"/>
    </row>
    <row r="223" spans="5:36">
      <c r="E223" s="299">
        <v>215</v>
      </c>
      <c r="F223" s="308">
        <f t="shared" ca="1" si="66"/>
        <v>3257.8765136121997</v>
      </c>
      <c r="G223" s="307">
        <f t="shared" ca="1" si="67"/>
        <v>223.63016695603918</v>
      </c>
      <c r="H223" s="306">
        <f t="shared" ca="1" si="68"/>
        <v>0.43194285471924276</v>
      </c>
      <c r="I223" s="305">
        <f t="shared" ca="1" si="71"/>
        <v>106.23934194197464</v>
      </c>
      <c r="J223" s="305">
        <f t="shared" ca="1" si="72"/>
        <v>63.318806981193475</v>
      </c>
      <c r="K223" s="292">
        <f t="shared" ca="1" si="69"/>
        <v>3.5561459484606126</v>
      </c>
      <c r="L223" s="1290">
        <f t="shared" ca="1" si="73"/>
        <v>18.654885340457266</v>
      </c>
      <c r="M223" s="299">
        <v>215</v>
      </c>
      <c r="N223" s="304">
        <f t="shared" si="74"/>
        <v>3308.939681546648</v>
      </c>
      <c r="O223" s="303">
        <v>284.11743511881554</v>
      </c>
      <c r="P223" s="302">
        <v>0.48161182424630256</v>
      </c>
      <c r="Q223" s="301">
        <v>114.2398057327825</v>
      </c>
      <c r="R223" s="301">
        <v>62.320806604502522</v>
      </c>
      <c r="S223" s="300">
        <v>2.9874427056792832</v>
      </c>
      <c r="T223" s="891">
        <f t="shared" si="75"/>
        <v>64</v>
      </c>
      <c r="U223" s="1220">
        <v>0.49279791116714478</v>
      </c>
      <c r="W223" s="299">
        <v>215</v>
      </c>
      <c r="X223" s="298">
        <f>IF('Donor Sample'!N240="",,IF('Donor Sample'!N240="F",1,0))</f>
        <v>0</v>
      </c>
      <c r="Y223" s="298" t="str">
        <f>IF('Donor Sample'!O240="","",'Donor Sample'!O240)</f>
        <v/>
      </c>
      <c r="Z223" s="298" t="str">
        <f>IF(AND('Donor Sample'!O240="",'Donor Sample'!P240="",'Donor Sample'!Q240=""),"",IF('Donor Sample'!P240="",ROUND(AA223/($C$32+($AI223-0.5)*$C$31),0),'Donor Sample'!P240))</f>
        <v/>
      </c>
      <c r="AA223" s="297" t="str">
        <f>IF('Donor Sample'!Q240="","",'Donor Sample'!Q240)</f>
        <v/>
      </c>
      <c r="AB223" s="296" t="str">
        <f t="shared" si="70"/>
        <v/>
      </c>
      <c r="AC223" s="295" t="str">
        <f>IF('Donor Sample'!R240="","",'Donor Sample'!R240)</f>
        <v/>
      </c>
      <c r="AD223" s="294" t="str">
        <f>IF('Donor Sample'!S240="","",'Donor Sample'!S240/100)</f>
        <v/>
      </c>
      <c r="AE223" s="293" t="e">
        <f t="shared" si="76"/>
        <v>#VALUE!</v>
      </c>
      <c r="AF223" s="293" t="str">
        <f t="shared" si="77"/>
        <v/>
      </c>
      <c r="AG223" s="292" t="str">
        <f>IF('Donor Sample'!T240="","",'Donor Sample'!T240)</f>
        <v/>
      </c>
      <c r="AH223" s="891">
        <f t="shared" si="78"/>
        <v>128</v>
      </c>
      <c r="AI223" s="1220">
        <v>0.93197494745254517</v>
      </c>
      <c r="AJ223" s="1216"/>
    </row>
    <row r="224" spans="5:36">
      <c r="E224" s="299">
        <v>216</v>
      </c>
      <c r="F224" s="308">
        <f t="shared" ca="1" si="66"/>
        <v>3079.3055587314861</v>
      </c>
      <c r="G224" s="307">
        <f t="shared" ca="1" si="67"/>
        <v>251.52893938385907</v>
      </c>
      <c r="H224" s="306">
        <f t="shared" ca="1" si="68"/>
        <v>0.36356891693282106</v>
      </c>
      <c r="I224" s="305">
        <f t="shared" ca="1" si="71"/>
        <v>112.27103791754384</v>
      </c>
      <c r="J224" s="305">
        <f t="shared" ca="1" si="72"/>
        <v>51.810939151906709</v>
      </c>
      <c r="K224" s="292">
        <f t="shared" ca="1" si="69"/>
        <v>1.6521998216095026</v>
      </c>
      <c r="L224" s="1290">
        <f t="shared" ca="1" si="73"/>
        <v>29.444044643215062</v>
      </c>
      <c r="M224" s="299">
        <v>216</v>
      </c>
      <c r="N224" s="304">
        <f t="shared" si="74"/>
        <v>4104.9643464437022</v>
      </c>
      <c r="O224" s="303">
        <v>243.39891415350402</v>
      </c>
      <c r="P224" s="302">
        <v>0.42640333505767858</v>
      </c>
      <c r="Q224" s="301">
        <v>153.64979602056036</v>
      </c>
      <c r="R224" s="301">
        <v>59.363124715470725</v>
      </c>
      <c r="S224" s="300">
        <v>11.214664399791074</v>
      </c>
      <c r="T224" s="891">
        <f t="shared" si="75"/>
        <v>256</v>
      </c>
      <c r="U224" s="1220">
        <v>0.90006637573242188</v>
      </c>
      <c r="W224" s="299">
        <v>216</v>
      </c>
      <c r="X224" s="298">
        <f>IF('Donor Sample'!N241="",,IF('Donor Sample'!N241="F",1,0))</f>
        <v>0</v>
      </c>
      <c r="Y224" s="298" t="str">
        <f>IF('Donor Sample'!O241="","",'Donor Sample'!O241)</f>
        <v/>
      </c>
      <c r="Z224" s="298" t="str">
        <f>IF(AND('Donor Sample'!O241="",'Donor Sample'!P241="",'Donor Sample'!Q241=""),"",IF('Donor Sample'!P241="",ROUND(AA224/($C$32+($AI224-0.5)*$C$31),0),'Donor Sample'!P241))</f>
        <v/>
      </c>
      <c r="AA224" s="297" t="str">
        <f>IF('Donor Sample'!Q241="","",'Donor Sample'!Q241)</f>
        <v/>
      </c>
      <c r="AB224" s="296" t="str">
        <f t="shared" si="70"/>
        <v/>
      </c>
      <c r="AC224" s="295" t="str">
        <f>IF('Donor Sample'!R241="","",'Donor Sample'!R241)</f>
        <v/>
      </c>
      <c r="AD224" s="294" t="str">
        <f>IF('Donor Sample'!S241="","",'Donor Sample'!S241/100)</f>
        <v/>
      </c>
      <c r="AE224" s="293" t="e">
        <f t="shared" si="76"/>
        <v>#VALUE!</v>
      </c>
      <c r="AF224" s="293" t="str">
        <f t="shared" si="77"/>
        <v/>
      </c>
      <c r="AG224" s="292" t="str">
        <f>IF('Donor Sample'!T241="","",'Donor Sample'!T241)</f>
        <v/>
      </c>
      <c r="AH224" s="891">
        <f t="shared" si="78"/>
        <v>2</v>
      </c>
      <c r="AI224" s="1220">
        <v>5.7632923126220703E-2</v>
      </c>
      <c r="AJ224" s="1216"/>
    </row>
    <row r="225" spans="5:36">
      <c r="E225" s="299">
        <v>217</v>
      </c>
      <c r="F225" s="308">
        <f t="shared" ca="1" si="66"/>
        <v>3105.7693319221466</v>
      </c>
      <c r="G225" s="307">
        <f t="shared" ca="1" si="67"/>
        <v>235.53985686879048</v>
      </c>
      <c r="H225" s="306">
        <f t="shared" ca="1" si="68"/>
        <v>0.42631233732626655</v>
      </c>
      <c r="I225" s="305">
        <f t="shared" ca="1" si="71"/>
        <v>105.16526702637097</v>
      </c>
      <c r="J225" s="305">
        <f t="shared" ca="1" si="72"/>
        <v>61.318527849742765</v>
      </c>
      <c r="K225" s="292">
        <f t="shared" ca="1" si="69"/>
        <v>1.2340380363950751</v>
      </c>
      <c r="L225" s="1290">
        <f t="shared" ca="1" si="73"/>
        <v>19.690717828889827</v>
      </c>
      <c r="M225" s="299">
        <v>217</v>
      </c>
      <c r="N225" s="304">
        <f t="shared" si="74"/>
        <v>2565.8941534687056</v>
      </c>
      <c r="O225" s="303">
        <v>223.18034672222481</v>
      </c>
      <c r="P225" s="302">
        <v>0.44084811724730388</v>
      </c>
      <c r="Q225" s="301">
        <v>82.290525262024119</v>
      </c>
      <c r="R225" s="301">
        <v>58.17029754767313</v>
      </c>
      <c r="S225" s="300">
        <v>5.8856999823263436</v>
      </c>
      <c r="T225" s="891">
        <f t="shared" si="75"/>
        <v>2</v>
      </c>
      <c r="U225" s="1220">
        <v>0.16941088438034058</v>
      </c>
      <c r="W225" s="299">
        <v>217</v>
      </c>
      <c r="X225" s="298">
        <f>IF('Donor Sample'!N242="",,IF('Donor Sample'!N242="F",1,0))</f>
        <v>0</v>
      </c>
      <c r="Y225" s="298" t="str">
        <f>IF('Donor Sample'!O242="","",'Donor Sample'!O242)</f>
        <v/>
      </c>
      <c r="Z225" s="298" t="str">
        <f>IF(AND('Donor Sample'!O242="",'Donor Sample'!P242="",'Donor Sample'!Q242=""),"",IF('Donor Sample'!P242="",ROUND(AA225/($C$32+($AI225-0.5)*$C$31),0),'Donor Sample'!P242))</f>
        <v/>
      </c>
      <c r="AA225" s="297" t="str">
        <f>IF('Donor Sample'!Q242="","",'Donor Sample'!Q242)</f>
        <v/>
      </c>
      <c r="AB225" s="296" t="str">
        <f t="shared" si="70"/>
        <v/>
      </c>
      <c r="AC225" s="295" t="str">
        <f>IF('Donor Sample'!R242="","",'Donor Sample'!R242)</f>
        <v/>
      </c>
      <c r="AD225" s="294" t="str">
        <f>IF('Donor Sample'!S242="","",'Donor Sample'!S242/100)</f>
        <v/>
      </c>
      <c r="AE225" s="407" t="e">
        <f t="shared" si="76"/>
        <v>#VALUE!</v>
      </c>
      <c r="AF225" s="293" t="str">
        <f t="shared" si="77"/>
        <v/>
      </c>
      <c r="AG225" s="292" t="str">
        <f>IF('Donor Sample'!T242="","",'Donor Sample'!T242)</f>
        <v/>
      </c>
      <c r="AH225" s="891">
        <f t="shared" si="78"/>
        <v>32</v>
      </c>
      <c r="AI225" s="1220">
        <v>0.77141827344894409</v>
      </c>
      <c r="AJ225" s="1216"/>
    </row>
    <row r="226" spans="5:36">
      <c r="E226" s="299">
        <v>218</v>
      </c>
      <c r="F226" s="308">
        <f t="shared" ca="1" si="66"/>
        <v>4739.7777632068955</v>
      </c>
      <c r="G226" s="307">
        <f t="shared" ca="1" si="67"/>
        <v>287.87101593767568</v>
      </c>
      <c r="H226" s="306">
        <f t="shared" ca="1" si="68"/>
        <v>0.40376554688983524</v>
      </c>
      <c r="I226" s="305">
        <f t="shared" ca="1" si="71"/>
        <v>198.82451552667365</v>
      </c>
      <c r="J226" s="305">
        <f t="shared" ca="1" si="72"/>
        <v>58.971336563086567</v>
      </c>
      <c r="K226" s="292">
        <f t="shared" ca="1" si="69"/>
        <v>2.0513479803442793</v>
      </c>
      <c r="L226" s="1290">
        <f t="shared" ca="1" si="73"/>
        <v>40.249514856305638</v>
      </c>
      <c r="M226" s="299">
        <v>218</v>
      </c>
      <c r="N226" s="304">
        <f t="shared" si="74"/>
        <v>3235.6115106519019</v>
      </c>
      <c r="O226" s="303">
        <v>186.87297240320498</v>
      </c>
      <c r="P226" s="302">
        <v>0.4205487125962768</v>
      </c>
      <c r="Q226" s="301">
        <v>135.56643789343369</v>
      </c>
      <c r="R226" s="301">
        <v>47.696372360642158</v>
      </c>
      <c r="S226" s="300">
        <v>2.646802935508298</v>
      </c>
      <c r="T226" s="891">
        <f t="shared" si="75"/>
        <v>32</v>
      </c>
      <c r="U226" s="1220">
        <v>0.82542765140533447</v>
      </c>
      <c r="W226" s="299">
        <v>218</v>
      </c>
      <c r="X226" s="298">
        <f>IF('Donor Sample'!N243="",,IF('Donor Sample'!N243="F",1,0))</f>
        <v>0</v>
      </c>
      <c r="Y226" s="298" t="str">
        <f>IF('Donor Sample'!O243="","",'Donor Sample'!O243)</f>
        <v/>
      </c>
      <c r="Z226" s="298" t="str">
        <f>IF(AND('Donor Sample'!O243="",'Donor Sample'!P243="",'Donor Sample'!Q243=""),"",IF('Donor Sample'!P243="",ROUND(AA226/($C$32+($AI226-0.5)*$C$31),0),'Donor Sample'!P243))</f>
        <v/>
      </c>
      <c r="AA226" s="297" t="str">
        <f>IF('Donor Sample'!Q243="","",'Donor Sample'!Q243)</f>
        <v/>
      </c>
      <c r="AB226" s="296" t="str">
        <f t="shared" si="70"/>
        <v/>
      </c>
      <c r="AC226" s="295" t="str">
        <f>IF('Donor Sample'!R243="","",'Donor Sample'!R243)</f>
        <v/>
      </c>
      <c r="AD226" s="294" t="str">
        <f>IF('Donor Sample'!S243="","",'Donor Sample'!S243/100)</f>
        <v/>
      </c>
      <c r="AE226" s="293" t="e">
        <f t="shared" si="76"/>
        <v>#VALUE!</v>
      </c>
      <c r="AF226" s="293" t="str">
        <f t="shared" si="77"/>
        <v/>
      </c>
      <c r="AG226" s="292" t="str">
        <f>IF('Donor Sample'!T243="","",'Donor Sample'!T243)</f>
        <v/>
      </c>
      <c r="AH226" s="891">
        <f t="shared" si="78"/>
        <v>2</v>
      </c>
      <c r="AI226" s="1220">
        <v>0.29528439044952393</v>
      </c>
      <c r="AJ226" s="1216"/>
    </row>
    <row r="227" spans="5:36">
      <c r="E227" s="299">
        <v>219</v>
      </c>
      <c r="F227" s="308">
        <f t="shared" ca="1" si="66"/>
        <v>4172.6693733929005</v>
      </c>
      <c r="G227" s="307">
        <f t="shared" ca="1" si="67"/>
        <v>206.40436303996438</v>
      </c>
      <c r="H227" s="306">
        <f t="shared" ca="1" si="68"/>
        <v>0.38687241698067681</v>
      </c>
      <c r="I227" s="305">
        <f t="shared" ca="1" si="71"/>
        <v>139.86490999250282</v>
      </c>
      <c r="J227" s="305">
        <f t="shared" ca="1" si="72"/>
        <v>68.696847419388789</v>
      </c>
      <c r="K227" s="292">
        <f t="shared" ca="1" si="69"/>
        <v>2.7005726813565287</v>
      </c>
      <c r="L227" s="1290">
        <f t="shared" ca="1" si="73"/>
        <v>20.864491987011714</v>
      </c>
      <c r="M227" s="299">
        <v>219</v>
      </c>
      <c r="N227" s="304">
        <f t="shared" si="74"/>
        <v>3091.1646239669403</v>
      </c>
      <c r="O227" s="303">
        <v>251.35276850129785</v>
      </c>
      <c r="P227" s="302">
        <v>0.3828912709628336</v>
      </c>
      <c r="Q227" s="301">
        <v>123.9423709495485</v>
      </c>
      <c r="R227" s="301">
        <v>56.439378083783318</v>
      </c>
      <c r="S227" s="300">
        <v>1.4341215323362151</v>
      </c>
      <c r="T227" s="891">
        <f t="shared" si="75"/>
        <v>64</v>
      </c>
      <c r="U227" s="1220">
        <v>0.65272647142410278</v>
      </c>
      <c r="W227" s="299">
        <v>219</v>
      </c>
      <c r="X227" s="298">
        <f>IF('Donor Sample'!N244="",,IF('Donor Sample'!N244="F",1,0))</f>
        <v>0</v>
      </c>
      <c r="Y227" s="298" t="str">
        <f>IF('Donor Sample'!O244="","",'Donor Sample'!O244)</f>
        <v/>
      </c>
      <c r="Z227" s="298" t="str">
        <f>IF(AND('Donor Sample'!O244="",'Donor Sample'!P244="",'Donor Sample'!Q244=""),"",IF('Donor Sample'!P244="",ROUND(AA227/($C$32+($AI227-0.5)*$C$31),0),'Donor Sample'!P244))</f>
        <v/>
      </c>
      <c r="AA227" s="297" t="str">
        <f>IF('Donor Sample'!Q244="","",'Donor Sample'!Q244)</f>
        <v/>
      </c>
      <c r="AB227" s="296" t="str">
        <f t="shared" si="70"/>
        <v/>
      </c>
      <c r="AC227" s="295" t="str">
        <f>IF('Donor Sample'!R244="","",'Donor Sample'!R244)</f>
        <v/>
      </c>
      <c r="AD227" s="294" t="str">
        <f>IF('Donor Sample'!S244="","",'Donor Sample'!S244/100)</f>
        <v/>
      </c>
      <c r="AE227" s="293" t="e">
        <f t="shared" si="76"/>
        <v>#VALUE!</v>
      </c>
      <c r="AF227" s="293" t="str">
        <f t="shared" si="77"/>
        <v/>
      </c>
      <c r="AG227" s="292" t="str">
        <f>IF('Donor Sample'!T244="","",'Donor Sample'!T244)</f>
        <v/>
      </c>
      <c r="AH227" s="891">
        <f t="shared" si="78"/>
        <v>256</v>
      </c>
      <c r="AI227" s="1220">
        <v>0.91551953554153442</v>
      </c>
      <c r="AJ227" s="1216"/>
    </row>
    <row r="228" spans="5:36">
      <c r="E228" s="299">
        <v>220</v>
      </c>
      <c r="F228" s="308">
        <f t="shared" ca="1" si="66"/>
        <v>3962.743690850366</v>
      </c>
      <c r="G228" s="307">
        <f t="shared" ca="1" si="67"/>
        <v>157.07037228846374</v>
      </c>
      <c r="H228" s="306">
        <f t="shared" ca="1" si="68"/>
        <v>0.43780596972323432</v>
      </c>
      <c r="I228" s="305">
        <f t="shared" ca="1" si="71"/>
        <v>135.43713061344636</v>
      </c>
      <c r="J228" s="305">
        <f t="shared" ca="1" si="72"/>
        <v>66.913793709511566</v>
      </c>
      <c r="K228" s="292">
        <f t="shared" ca="1" si="69"/>
        <v>4.8942443201162815</v>
      </c>
      <c r="L228" s="1290">
        <f t="shared" ca="1" si="73"/>
        <v>21.295071230999056</v>
      </c>
      <c r="M228" s="299">
        <v>220</v>
      </c>
      <c r="N228" s="304">
        <f t="shared" si="74"/>
        <v>3767.6544232897377</v>
      </c>
      <c r="O228" s="303">
        <v>245.27709175851936</v>
      </c>
      <c r="P228" s="302">
        <v>0.47517757657053705</v>
      </c>
      <c r="Q228" s="301">
        <v>116.88069639802875</v>
      </c>
      <c r="R228" s="301">
        <v>67.959617526029461</v>
      </c>
      <c r="S228" s="300">
        <v>2.2043640696371392</v>
      </c>
      <c r="T228" s="891">
        <f t="shared" si="75"/>
        <v>2</v>
      </c>
      <c r="U228" s="1220">
        <v>0.22228264808654785</v>
      </c>
      <c r="W228" s="299">
        <v>220</v>
      </c>
      <c r="X228" s="298">
        <f>IF('Donor Sample'!N245="",,IF('Donor Sample'!N245="F",1,0))</f>
        <v>0</v>
      </c>
      <c r="Y228" s="298" t="str">
        <f>IF('Donor Sample'!O245="","",'Donor Sample'!O245)</f>
        <v/>
      </c>
      <c r="Z228" s="298" t="str">
        <f>IF(AND('Donor Sample'!O245="",'Donor Sample'!P245="",'Donor Sample'!Q245=""),"",IF('Donor Sample'!P245="",ROUND(AA228/($C$32+($AI228-0.5)*$C$31),0),'Donor Sample'!P245))</f>
        <v/>
      </c>
      <c r="AA228" s="297" t="str">
        <f>IF('Donor Sample'!Q245="","",'Donor Sample'!Q245)</f>
        <v/>
      </c>
      <c r="AB228" s="296" t="str">
        <f t="shared" si="70"/>
        <v/>
      </c>
      <c r="AC228" s="295" t="str">
        <f>IF('Donor Sample'!R245="","",'Donor Sample'!R245)</f>
        <v/>
      </c>
      <c r="AD228" s="294" t="str">
        <f>IF('Donor Sample'!S245="","",'Donor Sample'!S245/100)</f>
        <v/>
      </c>
      <c r="AE228" s="407" t="e">
        <f t="shared" si="76"/>
        <v>#VALUE!</v>
      </c>
      <c r="AF228" s="293" t="str">
        <f t="shared" si="77"/>
        <v/>
      </c>
      <c r="AG228" s="292" t="str">
        <f>IF('Donor Sample'!T245="","",'Donor Sample'!T245)</f>
        <v/>
      </c>
      <c r="AH228" s="891">
        <f t="shared" si="78"/>
        <v>256</v>
      </c>
      <c r="AI228" s="1220">
        <v>0.91681361198425293</v>
      </c>
      <c r="AJ228" s="1216"/>
    </row>
    <row r="229" spans="5:36">
      <c r="E229" s="299">
        <v>221</v>
      </c>
      <c r="F229" s="308">
        <f t="shared" ca="1" si="66"/>
        <v>3094.2031951101867</v>
      </c>
      <c r="G229" s="307">
        <f t="shared" ca="1" si="67"/>
        <v>181.58572058780754</v>
      </c>
      <c r="H229" s="306">
        <f t="shared" ca="1" si="68"/>
        <v>0.38593337531136812</v>
      </c>
      <c r="I229" s="305">
        <f t="shared" ca="1" si="71"/>
        <v>117.67479228091436</v>
      </c>
      <c r="J229" s="305">
        <f t="shared" ca="1" si="72"/>
        <v>50.453867787815703</v>
      </c>
      <c r="K229" s="292">
        <f t="shared" ca="1" si="69"/>
        <v>5.492758170266292</v>
      </c>
      <c r="L229" s="1290">
        <f t="shared" ca="1" si="73"/>
        <v>32.54371814199034</v>
      </c>
      <c r="M229" s="299">
        <v>221</v>
      </c>
      <c r="N229" s="304">
        <f t="shared" si="74"/>
        <v>3576.0457255929973</v>
      </c>
      <c r="O229" s="303">
        <v>240.68426861278809</v>
      </c>
      <c r="P229" s="302">
        <v>0.36697304479888682</v>
      </c>
      <c r="Q229" s="301">
        <v>144.1778270021843</v>
      </c>
      <c r="R229" s="301">
        <v>52.441483074588319</v>
      </c>
      <c r="S229" s="300">
        <v>1.2975376798621547</v>
      </c>
      <c r="T229" s="891">
        <f t="shared" si="75"/>
        <v>2</v>
      </c>
      <c r="U229" s="1220">
        <v>4.6756207942962646E-2</v>
      </c>
      <c r="W229" s="299">
        <v>221</v>
      </c>
      <c r="X229" s="298">
        <f>IF('Donor Sample'!N246="",,IF('Donor Sample'!N246="F",1,0))</f>
        <v>0</v>
      </c>
      <c r="Y229" s="298" t="str">
        <f>IF('Donor Sample'!O246="","",'Donor Sample'!O246)</f>
        <v/>
      </c>
      <c r="Z229" s="298" t="str">
        <f>IF(AND('Donor Sample'!O246="",'Donor Sample'!P246="",'Donor Sample'!Q246=""),"",IF('Donor Sample'!P246="",ROUND(AA229/($C$32+($AI229-0.5)*$C$31),0),'Donor Sample'!P246))</f>
        <v/>
      </c>
      <c r="AA229" s="297" t="str">
        <f>IF('Donor Sample'!Q246="","",'Donor Sample'!Q246)</f>
        <v/>
      </c>
      <c r="AB229" s="296" t="str">
        <f t="shared" si="70"/>
        <v/>
      </c>
      <c r="AC229" s="295" t="str">
        <f>IF('Donor Sample'!R246="","",'Donor Sample'!R246)</f>
        <v/>
      </c>
      <c r="AD229" s="294" t="str">
        <f>IF('Donor Sample'!S246="","",'Donor Sample'!S246/100)</f>
        <v/>
      </c>
      <c r="AE229" s="293" t="e">
        <f t="shared" si="76"/>
        <v>#VALUE!</v>
      </c>
      <c r="AF229" s="293" t="str">
        <f t="shared" si="77"/>
        <v/>
      </c>
      <c r="AG229" s="292" t="str">
        <f>IF('Donor Sample'!T246="","",'Donor Sample'!T246)</f>
        <v/>
      </c>
      <c r="AH229" s="891">
        <f t="shared" si="78"/>
        <v>2</v>
      </c>
      <c r="AI229" s="1220">
        <v>1.4432847499847412E-2</v>
      </c>
      <c r="AJ229" s="1216"/>
    </row>
    <row r="230" spans="5:36">
      <c r="E230" s="299">
        <v>222</v>
      </c>
      <c r="F230" s="308">
        <f t="shared" ca="1" si="66"/>
        <v>3647.6292303437563</v>
      </c>
      <c r="G230" s="307">
        <f t="shared" ca="1" si="67"/>
        <v>269.84438801748087</v>
      </c>
      <c r="H230" s="306">
        <f t="shared" ca="1" si="68"/>
        <v>0.46439757489718347</v>
      </c>
      <c r="I230" s="305">
        <f t="shared" ca="1" si="71"/>
        <v>142.83569571442885</v>
      </c>
      <c r="J230" s="305">
        <f t="shared" ca="1" si="72"/>
        <v>54.218808916263448</v>
      </c>
      <c r="K230" s="292">
        <f t="shared" ca="1" si="69"/>
        <v>4.2851505276362962</v>
      </c>
      <c r="L230" s="1290">
        <f t="shared" ca="1" si="73"/>
        <v>34.206565262118353</v>
      </c>
      <c r="M230" s="299">
        <v>222</v>
      </c>
      <c r="N230" s="304">
        <f t="shared" si="74"/>
        <v>2969.1954764052798</v>
      </c>
      <c r="O230" s="303">
        <v>228.66895813213046</v>
      </c>
      <c r="P230" s="302">
        <v>0.49147559754133452</v>
      </c>
      <c r="Q230" s="301">
        <v>109.01435423877631</v>
      </c>
      <c r="R230" s="301">
        <v>50.485096646283175</v>
      </c>
      <c r="S230" s="300">
        <v>3.6202982679712643</v>
      </c>
      <c r="T230" s="891">
        <f t="shared" si="75"/>
        <v>256</v>
      </c>
      <c r="U230" s="1220">
        <v>0.91140925884246826</v>
      </c>
      <c r="W230" s="299">
        <v>222</v>
      </c>
      <c r="X230" s="298">
        <f>IF('Donor Sample'!N247="",,IF('Donor Sample'!N247="F",1,0))</f>
        <v>0</v>
      </c>
      <c r="Y230" s="298" t="str">
        <f>IF('Donor Sample'!O247="","",'Donor Sample'!O247)</f>
        <v/>
      </c>
      <c r="Z230" s="298" t="str">
        <f>IF(AND('Donor Sample'!O247="",'Donor Sample'!P247="",'Donor Sample'!Q247=""),"",IF('Donor Sample'!P247="",ROUND(AA230/($C$32+($AI230-0.5)*$C$31),0),'Donor Sample'!P247))</f>
        <v/>
      </c>
      <c r="AA230" s="297" t="str">
        <f>IF('Donor Sample'!Q247="","",'Donor Sample'!Q247)</f>
        <v/>
      </c>
      <c r="AB230" s="296" t="str">
        <f t="shared" si="70"/>
        <v/>
      </c>
      <c r="AC230" s="295" t="str">
        <f>IF('Donor Sample'!R247="","",'Donor Sample'!R247)</f>
        <v/>
      </c>
      <c r="AD230" s="294" t="str">
        <f>IF('Donor Sample'!S247="","",'Donor Sample'!S247/100)</f>
        <v/>
      </c>
      <c r="AE230" s="293" t="e">
        <f t="shared" si="76"/>
        <v>#VALUE!</v>
      </c>
      <c r="AF230" s="293" t="str">
        <f t="shared" si="77"/>
        <v/>
      </c>
      <c r="AG230" s="292" t="str">
        <f>IF('Donor Sample'!T247="","",'Donor Sample'!T247)</f>
        <v/>
      </c>
      <c r="AH230" s="891">
        <f t="shared" si="78"/>
        <v>2</v>
      </c>
      <c r="AI230" s="1220">
        <v>0.35457074642181396</v>
      </c>
      <c r="AJ230" s="1216"/>
    </row>
    <row r="231" spans="5:36">
      <c r="E231" s="299">
        <v>223</v>
      </c>
      <c r="F231" s="308">
        <f t="shared" ca="1" si="66"/>
        <v>3368.7352582282988</v>
      </c>
      <c r="G231" s="307">
        <f t="shared" ca="1" si="67"/>
        <v>259.46235481911071</v>
      </c>
      <c r="H231" s="306">
        <f t="shared" ca="1" si="68"/>
        <v>0.38832251252571015</v>
      </c>
      <c r="I231" s="305">
        <f t="shared" ca="1" si="71"/>
        <v>118.02389011884135</v>
      </c>
      <c r="J231" s="305">
        <f t="shared" ca="1" si="72"/>
        <v>55.747507112762257</v>
      </c>
      <c r="K231" s="292">
        <f t="shared" ca="1" si="69"/>
        <v>5.8112489581716336</v>
      </c>
      <c r="L231" s="1290">
        <f t="shared" ca="1" si="73"/>
        <v>26.735707487417066</v>
      </c>
      <c r="M231" s="299">
        <v>223</v>
      </c>
      <c r="N231" s="304">
        <f t="shared" si="74"/>
        <v>2694.5308856126321</v>
      </c>
      <c r="O231" s="303">
        <v>214.5665089065028</v>
      </c>
      <c r="P231" s="302">
        <v>0.41698683220874438</v>
      </c>
      <c r="Q231" s="301">
        <v>99.996127471254027</v>
      </c>
      <c r="R231" s="301">
        <v>47.160178971418041</v>
      </c>
      <c r="S231" s="300">
        <v>3.4231162604394227</v>
      </c>
      <c r="T231" s="891">
        <f t="shared" si="75"/>
        <v>64</v>
      </c>
      <c r="U231" s="1220">
        <v>0.49072891473770142</v>
      </c>
      <c r="W231" s="299">
        <v>223</v>
      </c>
      <c r="X231" s="298">
        <f>IF('Donor Sample'!N248="",,IF('Donor Sample'!N248="F",1,0))</f>
        <v>0</v>
      </c>
      <c r="Y231" s="298" t="str">
        <f>IF('Donor Sample'!O248="","",'Donor Sample'!O248)</f>
        <v/>
      </c>
      <c r="Z231" s="298" t="str">
        <f>IF(AND('Donor Sample'!O248="",'Donor Sample'!P248="",'Donor Sample'!Q248=""),"",IF('Donor Sample'!P248="",ROUND(AA231/($C$32+($AI231-0.5)*$C$31),0),'Donor Sample'!P248))</f>
        <v/>
      </c>
      <c r="AA231" s="297" t="str">
        <f>IF('Donor Sample'!Q248="","",'Donor Sample'!Q248)</f>
        <v/>
      </c>
      <c r="AB231" s="296" t="str">
        <f t="shared" si="70"/>
        <v/>
      </c>
      <c r="AC231" s="295" t="str">
        <f>IF('Donor Sample'!R248="","",'Donor Sample'!R248)</f>
        <v/>
      </c>
      <c r="AD231" s="294" t="str">
        <f>IF('Donor Sample'!S248="","",'Donor Sample'!S248/100)</f>
        <v/>
      </c>
      <c r="AE231" s="407" t="e">
        <f t="shared" si="76"/>
        <v>#VALUE!</v>
      </c>
      <c r="AF231" s="293" t="str">
        <f t="shared" si="77"/>
        <v/>
      </c>
      <c r="AG231" s="292" t="str">
        <f>IF('Donor Sample'!T248="","",'Donor Sample'!T248)</f>
        <v/>
      </c>
      <c r="AH231" s="891">
        <f t="shared" si="78"/>
        <v>64</v>
      </c>
      <c r="AI231" s="1220">
        <v>0.62267023324966431</v>
      </c>
      <c r="AJ231" s="1216"/>
    </row>
    <row r="232" spans="5:36">
      <c r="E232" s="299">
        <v>224</v>
      </c>
      <c r="F232" s="308">
        <f t="shared" ca="1" si="66"/>
        <v>2906.6225938703892</v>
      </c>
      <c r="G232" s="307">
        <f t="shared" ca="1" si="67"/>
        <v>229.88957046280359</v>
      </c>
      <c r="H232" s="306">
        <f t="shared" ca="1" si="68"/>
        <v>0.37589833171628295</v>
      </c>
      <c r="I232" s="305">
        <f t="shared" ca="1" si="71"/>
        <v>104.11768084517601</v>
      </c>
      <c r="J232" s="305">
        <f t="shared" ca="1" si="72"/>
        <v>50.678367362392812</v>
      </c>
      <c r="K232" s="292">
        <f t="shared" ca="1" si="69"/>
        <v>2.329759432056393</v>
      </c>
      <c r="L232" s="1290">
        <f t="shared" ca="1" si="73"/>
        <v>28.539864992444187</v>
      </c>
      <c r="M232" s="299">
        <v>224</v>
      </c>
      <c r="N232" s="304">
        <f t="shared" si="74"/>
        <v>2536.9217799675857</v>
      </c>
      <c r="O232" s="303">
        <v>267.10671097854981</v>
      </c>
      <c r="P232" s="302">
        <v>0.45005772914805209</v>
      </c>
      <c r="Q232" s="301">
        <v>102.94651086651945</v>
      </c>
      <c r="R232" s="301">
        <v>41.50659181599994</v>
      </c>
      <c r="S232" s="300">
        <v>11.313360594938626</v>
      </c>
      <c r="T232" s="891">
        <f t="shared" si="75"/>
        <v>64</v>
      </c>
      <c r="U232" s="1220">
        <v>0.67043352127075195</v>
      </c>
      <c r="W232" s="299">
        <v>224</v>
      </c>
      <c r="X232" s="298">
        <f>IF('Donor Sample'!N249="",,IF('Donor Sample'!N249="F",1,0))</f>
        <v>0</v>
      </c>
      <c r="Y232" s="298" t="str">
        <f>IF('Donor Sample'!O249="","",'Donor Sample'!O249)</f>
        <v/>
      </c>
      <c r="Z232" s="298" t="str">
        <f>IF(AND('Donor Sample'!O249="",'Donor Sample'!P249="",'Donor Sample'!Q249=""),"",IF('Donor Sample'!P249="",ROUND(AA232/($C$32+($AI232-0.5)*$C$31),0),'Donor Sample'!P249))</f>
        <v/>
      </c>
      <c r="AA232" s="297" t="str">
        <f>IF('Donor Sample'!Q249="","",'Donor Sample'!Q249)</f>
        <v/>
      </c>
      <c r="AB232" s="296" t="str">
        <f t="shared" si="70"/>
        <v/>
      </c>
      <c r="AC232" s="295" t="str">
        <f>IF('Donor Sample'!R249="","",'Donor Sample'!R249)</f>
        <v/>
      </c>
      <c r="AD232" s="294" t="str">
        <f>IF('Donor Sample'!S249="","",'Donor Sample'!S249/100)</f>
        <v/>
      </c>
      <c r="AE232" s="293" t="e">
        <f t="shared" si="76"/>
        <v>#VALUE!</v>
      </c>
      <c r="AF232" s="293" t="str">
        <f t="shared" si="77"/>
        <v/>
      </c>
      <c r="AG232" s="292" t="str">
        <f>IF('Donor Sample'!T249="","",'Donor Sample'!T249)</f>
        <v/>
      </c>
      <c r="AH232" s="891">
        <f t="shared" si="78"/>
        <v>4</v>
      </c>
      <c r="AI232" s="1220">
        <v>0.39033222198486328</v>
      </c>
      <c r="AJ232" s="1216"/>
    </row>
    <row r="233" spans="5:36">
      <c r="E233" s="299">
        <v>225</v>
      </c>
      <c r="F233" s="308">
        <f t="shared" ca="1" si="66"/>
        <v>3223.1697463596356</v>
      </c>
      <c r="G233" s="307">
        <f t="shared" ca="1" si="67"/>
        <v>217.4806344284159</v>
      </c>
      <c r="H233" s="306">
        <f t="shared" ca="1" si="68"/>
        <v>0.42322948296384155</v>
      </c>
      <c r="I233" s="305">
        <f t="shared" ca="1" si="71"/>
        <v>132.711493201146</v>
      </c>
      <c r="J233" s="305">
        <f t="shared" ca="1" si="72"/>
        <v>48.39862631228025</v>
      </c>
      <c r="K233" s="292">
        <f t="shared" ca="1" si="69"/>
        <v>6.0764111322498167</v>
      </c>
      <c r="L233" s="1290">
        <f t="shared" ca="1" si="73"/>
        <v>39.885507663755398</v>
      </c>
      <c r="M233" s="299">
        <v>225</v>
      </c>
      <c r="N233" s="304">
        <f t="shared" si="74"/>
        <v>2822.4401433897228</v>
      </c>
      <c r="O233" s="303">
        <v>177.01142686375272</v>
      </c>
      <c r="P233" s="302">
        <v>0.36074444277806023</v>
      </c>
      <c r="Q233" s="301">
        <v>101.57508257447529</v>
      </c>
      <c r="R233" s="301">
        <v>49.641344268942866</v>
      </c>
      <c r="S233" s="300">
        <v>2.4866421302294919</v>
      </c>
      <c r="T233" s="891">
        <f t="shared" si="75"/>
        <v>2</v>
      </c>
      <c r="U233" s="1220">
        <v>6.5828979015350342E-2</v>
      </c>
      <c r="W233" s="299">
        <v>225</v>
      </c>
      <c r="X233" s="298">
        <f>IF('Donor Sample'!N250="",,IF('Donor Sample'!N250="F",1,0))</f>
        <v>0</v>
      </c>
      <c r="Y233" s="298" t="str">
        <f>IF('Donor Sample'!O250="","",'Donor Sample'!O250)</f>
        <v/>
      </c>
      <c r="Z233" s="298" t="str">
        <f>IF(AND('Donor Sample'!O250="",'Donor Sample'!P250="",'Donor Sample'!Q250=""),"",IF('Donor Sample'!P250="",ROUND(AA233/($C$32+($AI233-0.5)*$C$31),0),'Donor Sample'!P250))</f>
        <v/>
      </c>
      <c r="AA233" s="297" t="str">
        <f>IF('Donor Sample'!Q250="","",'Donor Sample'!Q250)</f>
        <v/>
      </c>
      <c r="AB233" s="296" t="str">
        <f t="shared" si="70"/>
        <v/>
      </c>
      <c r="AC233" s="295" t="str">
        <f>IF('Donor Sample'!R250="","",'Donor Sample'!R250)</f>
        <v/>
      </c>
      <c r="AD233" s="294" t="str">
        <f>IF('Donor Sample'!S250="","",'Donor Sample'!S250/100)</f>
        <v/>
      </c>
      <c r="AE233" s="293" t="e">
        <f t="shared" si="76"/>
        <v>#VALUE!</v>
      </c>
      <c r="AF233" s="293" t="str">
        <f t="shared" si="77"/>
        <v/>
      </c>
      <c r="AG233" s="292" t="str">
        <f>IF('Donor Sample'!T250="","",'Donor Sample'!T250)</f>
        <v/>
      </c>
      <c r="AH233" s="891">
        <f t="shared" si="78"/>
        <v>2</v>
      </c>
      <c r="AI233" s="1220">
        <v>5.8964908123016357E-2</v>
      </c>
      <c r="AJ233" s="1216"/>
    </row>
    <row r="234" spans="5:36">
      <c r="E234" s="299">
        <v>226</v>
      </c>
      <c r="F234" s="308">
        <f t="shared" ca="1" si="66"/>
        <v>3065.1879547024641</v>
      </c>
      <c r="G234" s="307">
        <f t="shared" ca="1" si="67"/>
        <v>287.39283105049316</v>
      </c>
      <c r="H234" s="306">
        <f t="shared" ca="1" si="68"/>
        <v>0.42352583557857282</v>
      </c>
      <c r="I234" s="305">
        <f t="shared" ca="1" si="71"/>
        <v>101.77745192540182</v>
      </c>
      <c r="J234" s="305">
        <f t="shared" ca="1" si="72"/>
        <v>54.537733978965299</v>
      </c>
      <c r="K234" s="292">
        <f t="shared" ca="1" si="69"/>
        <v>3.6405488625857316</v>
      </c>
      <c r="L234" s="1290">
        <f t="shared" ca="1" si="73"/>
        <v>24.089625834535774</v>
      </c>
      <c r="M234" s="299">
        <v>226</v>
      </c>
      <c r="N234" s="304">
        <f t="shared" si="74"/>
        <v>3202.2819578856984</v>
      </c>
      <c r="O234" s="303">
        <v>182.05784425576155</v>
      </c>
      <c r="P234" s="302">
        <v>0.43174941815518186</v>
      </c>
      <c r="Q234" s="301">
        <v>131.00639480344333</v>
      </c>
      <c r="R234" s="301">
        <v>48.493277452962957</v>
      </c>
      <c r="S234" s="300">
        <v>1.7526265511701193</v>
      </c>
      <c r="T234" s="891">
        <f t="shared" si="75"/>
        <v>2</v>
      </c>
      <c r="U234" s="1220">
        <v>1.3614773750305176E-2</v>
      </c>
      <c r="W234" s="299">
        <v>226</v>
      </c>
      <c r="X234" s="298">
        <f>IF('Donor Sample'!N251="",,IF('Donor Sample'!N251="F",1,0))</f>
        <v>0</v>
      </c>
      <c r="Y234" s="298" t="str">
        <f>IF('Donor Sample'!O251="","",'Donor Sample'!O251)</f>
        <v/>
      </c>
      <c r="Z234" s="298" t="str">
        <f>IF(AND('Donor Sample'!O251="",'Donor Sample'!P251="",'Donor Sample'!Q251=""),"",IF('Donor Sample'!P251="",ROUND(AA234/($C$32+($AI234-0.5)*$C$31),0),'Donor Sample'!P251))</f>
        <v/>
      </c>
      <c r="AA234" s="297" t="str">
        <f>IF('Donor Sample'!Q251="","",'Donor Sample'!Q251)</f>
        <v/>
      </c>
      <c r="AB234" s="296" t="str">
        <f t="shared" si="70"/>
        <v/>
      </c>
      <c r="AC234" s="295" t="str">
        <f>IF('Donor Sample'!R251="","",'Donor Sample'!R251)</f>
        <v/>
      </c>
      <c r="AD234" s="294" t="str">
        <f>IF('Donor Sample'!S251="","",'Donor Sample'!S251/100)</f>
        <v/>
      </c>
      <c r="AE234" s="407" t="e">
        <f t="shared" si="76"/>
        <v>#VALUE!</v>
      </c>
      <c r="AF234" s="293" t="str">
        <f t="shared" si="77"/>
        <v/>
      </c>
      <c r="AG234" s="292" t="str">
        <f>IF('Donor Sample'!T251="","",'Donor Sample'!T251)</f>
        <v/>
      </c>
      <c r="AH234" s="891">
        <f t="shared" si="78"/>
        <v>2</v>
      </c>
      <c r="AI234" s="1220">
        <v>7.5710892677307129E-2</v>
      </c>
      <c r="AJ234" s="1216"/>
    </row>
    <row r="235" spans="5:36">
      <c r="E235" s="299">
        <v>227</v>
      </c>
      <c r="F235" s="308">
        <f t="shared" ca="1" si="66"/>
        <v>2804.7847790874703</v>
      </c>
      <c r="G235" s="307">
        <f t="shared" ca="1" si="67"/>
        <v>154.09183352228271</v>
      </c>
      <c r="H235" s="306">
        <f t="shared" ca="1" si="68"/>
        <v>0.4283100033800607</v>
      </c>
      <c r="I235" s="305">
        <f t="shared" ca="1" si="71"/>
        <v>94.759794637516123</v>
      </c>
      <c r="J235" s="305">
        <f t="shared" ca="1" si="72"/>
        <v>51.418497963818588</v>
      </c>
      <c r="K235" s="292">
        <f t="shared" ca="1" si="69"/>
        <v>10.318799383392456</v>
      </c>
      <c r="L235" s="1290">
        <f t="shared" ca="1" si="73"/>
        <v>25.232367316839227</v>
      </c>
      <c r="M235" s="299">
        <v>227</v>
      </c>
      <c r="N235" s="304">
        <f t="shared" si="74"/>
        <v>3211.4809623427891</v>
      </c>
      <c r="O235" s="303">
        <v>226.51656734202217</v>
      </c>
      <c r="P235" s="302">
        <v>0.43842533080736457</v>
      </c>
      <c r="Q235" s="301">
        <v>105.73121259263543</v>
      </c>
      <c r="R235" s="301">
        <v>56.141117565879014</v>
      </c>
      <c r="S235" s="300">
        <v>2.0341729246411067</v>
      </c>
      <c r="T235" s="891">
        <f t="shared" si="75"/>
        <v>16</v>
      </c>
      <c r="U235" s="1220">
        <v>0.95584088563919067</v>
      </c>
      <c r="W235" s="299">
        <v>227</v>
      </c>
      <c r="X235" s="298">
        <f>IF('Donor Sample'!N252="",,IF('Donor Sample'!N252="F",1,0))</f>
        <v>0</v>
      </c>
      <c r="Y235" s="298" t="str">
        <f>IF('Donor Sample'!O252="","",'Donor Sample'!O252)</f>
        <v/>
      </c>
      <c r="Z235" s="298" t="str">
        <f>IF(AND('Donor Sample'!O252="",'Donor Sample'!P252="",'Donor Sample'!Q252=""),"",IF('Donor Sample'!P252="",ROUND(AA235/($C$32+($AI235-0.5)*$C$31),0),'Donor Sample'!P252))</f>
        <v/>
      </c>
      <c r="AA235" s="297" t="str">
        <f>IF('Donor Sample'!Q252="","",'Donor Sample'!Q252)</f>
        <v/>
      </c>
      <c r="AB235" s="296" t="str">
        <f t="shared" si="70"/>
        <v/>
      </c>
      <c r="AC235" s="295" t="str">
        <f>IF('Donor Sample'!R252="","",'Donor Sample'!R252)</f>
        <v/>
      </c>
      <c r="AD235" s="294" t="str">
        <f>IF('Donor Sample'!S252="","",'Donor Sample'!S252/100)</f>
        <v/>
      </c>
      <c r="AE235" s="293" t="e">
        <f t="shared" si="76"/>
        <v>#VALUE!</v>
      </c>
      <c r="AF235" s="293" t="str">
        <f t="shared" si="77"/>
        <v/>
      </c>
      <c r="AG235" s="292" t="str">
        <f>IF('Donor Sample'!T252="","",'Donor Sample'!T252)</f>
        <v/>
      </c>
      <c r="AH235" s="891">
        <f t="shared" si="78"/>
        <v>2</v>
      </c>
      <c r="AI235" s="1220">
        <v>0.14504081010818481</v>
      </c>
      <c r="AJ235" s="1216"/>
    </row>
    <row r="236" spans="5:36">
      <c r="E236" s="299">
        <v>228</v>
      </c>
      <c r="F236" s="308">
        <f t="shared" ca="1" si="66"/>
        <v>3310.9879982399216</v>
      </c>
      <c r="G236" s="307">
        <f t="shared" ca="1" si="67"/>
        <v>210.06671865148283</v>
      </c>
      <c r="H236" s="306">
        <f t="shared" ca="1" si="68"/>
        <v>0.37706099396590681</v>
      </c>
      <c r="I236" s="305">
        <f t="shared" ca="1" si="71"/>
        <v>118.12775434937531</v>
      </c>
      <c r="J236" s="305">
        <f t="shared" ca="1" si="72"/>
        <v>54.669497477096115</v>
      </c>
      <c r="K236" s="292">
        <f t="shared" ca="1" si="69"/>
        <v>1.3382936356774982</v>
      </c>
      <c r="L236" s="1290">
        <f t="shared" ca="1" si="73"/>
        <v>27.824953251698755</v>
      </c>
      <c r="M236" s="299">
        <v>228</v>
      </c>
      <c r="N236" s="304">
        <f t="shared" si="74"/>
        <v>2795.4610910769475</v>
      </c>
      <c r="O236" s="303">
        <v>211.69009047357861</v>
      </c>
      <c r="P236" s="302">
        <v>0.42254579696755895</v>
      </c>
      <c r="Q236" s="301">
        <v>108.3689096313468</v>
      </c>
      <c r="R236" s="301">
        <v>46.6227762905635</v>
      </c>
      <c r="S236" s="300">
        <v>2.6090257076910159</v>
      </c>
      <c r="T236" s="891">
        <f t="shared" si="75"/>
        <v>2</v>
      </c>
      <c r="U236" s="1220">
        <v>0.20991206169128418</v>
      </c>
      <c r="W236" s="299">
        <v>228</v>
      </c>
      <c r="X236" s="298">
        <f>IF('Donor Sample'!N253="",,IF('Donor Sample'!N253="F",1,0))</f>
        <v>0</v>
      </c>
      <c r="Y236" s="298" t="str">
        <f>IF('Donor Sample'!O253="","",'Donor Sample'!O253)</f>
        <v/>
      </c>
      <c r="Z236" s="298" t="str">
        <f>IF(AND('Donor Sample'!O253="",'Donor Sample'!P253="",'Donor Sample'!Q253=""),"",IF('Donor Sample'!P253="",ROUND(AA236/($C$32+($AI236-0.5)*$C$31),0),'Donor Sample'!P253))</f>
        <v/>
      </c>
      <c r="AA236" s="297" t="str">
        <f>IF('Donor Sample'!Q253="","",'Donor Sample'!Q253)</f>
        <v/>
      </c>
      <c r="AB236" s="296" t="str">
        <f t="shared" si="70"/>
        <v/>
      </c>
      <c r="AC236" s="295" t="str">
        <f>IF('Donor Sample'!R253="","",'Donor Sample'!R253)</f>
        <v/>
      </c>
      <c r="AD236" s="294" t="str">
        <f>IF('Donor Sample'!S253="","",'Donor Sample'!S253/100)</f>
        <v/>
      </c>
      <c r="AE236" s="293" t="e">
        <f t="shared" si="76"/>
        <v>#VALUE!</v>
      </c>
      <c r="AF236" s="293" t="str">
        <f t="shared" si="77"/>
        <v/>
      </c>
      <c r="AG236" s="292" t="str">
        <f>IF('Donor Sample'!T253="","",'Donor Sample'!T253)</f>
        <v/>
      </c>
      <c r="AH236" s="891">
        <f t="shared" si="78"/>
        <v>2</v>
      </c>
      <c r="AI236" s="1220">
        <v>1.5847444534301758E-2</v>
      </c>
      <c r="AJ236" s="1216"/>
    </row>
    <row r="237" spans="5:36">
      <c r="E237" s="299">
        <v>229</v>
      </c>
      <c r="F237" s="308">
        <f t="shared" ca="1" si="66"/>
        <v>3030.5813891076191</v>
      </c>
      <c r="G237" s="307">
        <f t="shared" ca="1" si="67"/>
        <v>224.3923334446844</v>
      </c>
      <c r="H237" s="306">
        <f t="shared" ca="1" si="68"/>
        <v>0.35839086693319255</v>
      </c>
      <c r="I237" s="305">
        <f t="shared" ca="1" si="71"/>
        <v>100.13023421043397</v>
      </c>
      <c r="J237" s="305">
        <f t="shared" ca="1" si="72"/>
        <v>61.323655938080265</v>
      </c>
      <c r="K237" s="292">
        <f t="shared" ca="1" si="69"/>
        <v>1.4063863664450451</v>
      </c>
      <c r="L237" s="1290">
        <f t="shared" ca="1" si="73"/>
        <v>18.744843311270181</v>
      </c>
      <c r="M237" s="299">
        <v>229</v>
      </c>
      <c r="N237" s="304">
        <f t="shared" si="74"/>
        <v>4076.3152390948903</v>
      </c>
      <c r="O237" s="303">
        <v>199.39503912635521</v>
      </c>
      <c r="P237" s="302">
        <v>0.41838089384603916</v>
      </c>
      <c r="Q237" s="301">
        <v>171.40202102355994</v>
      </c>
      <c r="R237" s="301">
        <v>60.966986437948869</v>
      </c>
      <c r="S237" s="300">
        <v>7.7250156106435277</v>
      </c>
      <c r="T237" s="891">
        <f t="shared" si="75"/>
        <v>256</v>
      </c>
      <c r="U237" s="1220">
        <v>0.89294999837875366</v>
      </c>
      <c r="W237" s="299">
        <v>229</v>
      </c>
      <c r="X237" s="298">
        <f>IF('Donor Sample'!N254="",,IF('Donor Sample'!N254="F",1,0))</f>
        <v>0</v>
      </c>
      <c r="Y237" s="298" t="str">
        <f>IF('Donor Sample'!O254="","",'Donor Sample'!O254)</f>
        <v/>
      </c>
      <c r="Z237" s="298" t="str">
        <f>IF(AND('Donor Sample'!O254="",'Donor Sample'!P254="",'Donor Sample'!Q254=""),"",IF('Donor Sample'!P254="",ROUND(AA237/($C$32+($AI237-0.5)*$C$31),0),'Donor Sample'!P254))</f>
        <v/>
      </c>
      <c r="AA237" s="297" t="str">
        <f>IF('Donor Sample'!Q254="","",'Donor Sample'!Q254)</f>
        <v/>
      </c>
      <c r="AB237" s="296" t="str">
        <f t="shared" si="70"/>
        <v/>
      </c>
      <c r="AC237" s="295" t="str">
        <f>IF('Donor Sample'!R254="","",'Donor Sample'!R254)</f>
        <v/>
      </c>
      <c r="AD237" s="294" t="str">
        <f>IF('Donor Sample'!S254="","",'Donor Sample'!S254/100)</f>
        <v/>
      </c>
      <c r="AE237" s="407" t="e">
        <f t="shared" si="76"/>
        <v>#VALUE!</v>
      </c>
      <c r="AF237" s="293" t="str">
        <f t="shared" si="77"/>
        <v/>
      </c>
      <c r="AG237" s="292" t="str">
        <f>IF('Donor Sample'!T254="","",'Donor Sample'!T254)</f>
        <v/>
      </c>
      <c r="AH237" s="891">
        <f t="shared" si="78"/>
        <v>256</v>
      </c>
      <c r="AI237" s="1220">
        <v>0.85453838109970093</v>
      </c>
      <c r="AJ237" s="1216"/>
    </row>
    <row r="238" spans="5:36">
      <c r="E238" s="299">
        <v>230</v>
      </c>
      <c r="F238" s="308">
        <f t="shared" ca="1" si="66"/>
        <v>3253.8131400631864</v>
      </c>
      <c r="G238" s="307">
        <f t="shared" ca="1" si="67"/>
        <v>225.08561474621345</v>
      </c>
      <c r="H238" s="306">
        <f t="shared" ca="1" si="68"/>
        <v>0.45415576906670835</v>
      </c>
      <c r="I238" s="305">
        <f t="shared" ca="1" si="71"/>
        <v>110.32164823225827</v>
      </c>
      <c r="J238" s="305">
        <f t="shared" ca="1" si="72"/>
        <v>62.374385502551917</v>
      </c>
      <c r="K238" s="292">
        <f t="shared" ca="1" si="69"/>
        <v>3.8250240632352499</v>
      </c>
      <c r="L238" s="1290">
        <f t="shared" ca="1" si="73"/>
        <v>19.962771726118746</v>
      </c>
      <c r="M238" s="299">
        <v>230</v>
      </c>
      <c r="N238" s="304">
        <f t="shared" si="74"/>
        <v>3551.3439259439992</v>
      </c>
      <c r="O238" s="303">
        <v>228.71314621015156</v>
      </c>
      <c r="P238" s="302">
        <v>0.45160912378774065</v>
      </c>
      <c r="Q238" s="301">
        <v>146.61127418299571</v>
      </c>
      <c r="R238" s="301">
        <v>58.516660083539797</v>
      </c>
      <c r="S238" s="300">
        <v>1.4444875578977181</v>
      </c>
      <c r="T238" s="891">
        <f t="shared" si="75"/>
        <v>64</v>
      </c>
      <c r="U238" s="1220">
        <v>0.44558179378509521</v>
      </c>
      <c r="W238" s="299">
        <v>230</v>
      </c>
      <c r="X238" s="298">
        <f>IF('Donor Sample'!N255="",,IF('Donor Sample'!N255="F",1,0))</f>
        <v>0</v>
      </c>
      <c r="Y238" s="298" t="str">
        <f>IF('Donor Sample'!O255="","",'Donor Sample'!O255)</f>
        <v/>
      </c>
      <c r="Z238" s="298" t="str">
        <f>IF(AND('Donor Sample'!O255="",'Donor Sample'!P255="",'Donor Sample'!Q255=""),"",IF('Donor Sample'!P255="",ROUND(AA238/($C$32+($AI238-0.5)*$C$31),0),'Donor Sample'!P255))</f>
        <v/>
      </c>
      <c r="AA238" s="297" t="str">
        <f>IF('Donor Sample'!Q255="","",'Donor Sample'!Q255)</f>
        <v/>
      </c>
      <c r="AB238" s="296" t="str">
        <f t="shared" si="70"/>
        <v/>
      </c>
      <c r="AC238" s="295" t="str">
        <f>IF('Donor Sample'!R255="","",'Donor Sample'!R255)</f>
        <v/>
      </c>
      <c r="AD238" s="294" t="str">
        <f>IF('Donor Sample'!S255="","",'Donor Sample'!S255/100)</f>
        <v/>
      </c>
      <c r="AE238" s="293" t="e">
        <f t="shared" si="76"/>
        <v>#VALUE!</v>
      </c>
      <c r="AF238" s="293" t="str">
        <f t="shared" si="77"/>
        <v/>
      </c>
      <c r="AG238" s="292" t="str">
        <f>IF('Donor Sample'!T255="","",'Donor Sample'!T255)</f>
        <v/>
      </c>
      <c r="AH238" s="891">
        <f t="shared" si="78"/>
        <v>256</v>
      </c>
      <c r="AI238" s="1220">
        <v>0.92263305187225342</v>
      </c>
      <c r="AJ238" s="1216"/>
    </row>
    <row r="239" spans="5:36">
      <c r="E239" s="299">
        <v>231</v>
      </c>
      <c r="F239" s="308">
        <f t="shared" ca="1" si="66"/>
        <v>3450.2897027558629</v>
      </c>
      <c r="G239" s="307">
        <f t="shared" ca="1" si="67"/>
        <v>251.24730192033118</v>
      </c>
      <c r="H239" s="306">
        <f t="shared" ca="1" si="68"/>
        <v>0.39206320270014472</v>
      </c>
      <c r="I239" s="305">
        <f t="shared" ca="1" si="71"/>
        <v>117.15620812803472</v>
      </c>
      <c r="J239" s="305">
        <f t="shared" ca="1" si="72"/>
        <v>57.380208159671611</v>
      </c>
      <c r="K239" s="292">
        <f t="shared" ca="1" si="69"/>
        <v>1.4795813278158865</v>
      </c>
      <c r="L239" s="1290">
        <f t="shared" ca="1" si="73"/>
        <v>25.050345907542621</v>
      </c>
      <c r="M239" s="299">
        <v>231</v>
      </c>
      <c r="N239" s="304">
        <f t="shared" si="74"/>
        <v>3294.9473799331727</v>
      </c>
      <c r="O239" s="303">
        <v>221.7435685803365</v>
      </c>
      <c r="P239" s="302">
        <v>0.40730952748946864</v>
      </c>
      <c r="Q239" s="301">
        <v>138.24782764308495</v>
      </c>
      <c r="R239" s="301">
        <v>48.183391863076523</v>
      </c>
      <c r="S239" s="300">
        <v>2.8624949033334754</v>
      </c>
      <c r="T239" s="891">
        <f t="shared" si="75"/>
        <v>2</v>
      </c>
      <c r="U239" s="1220">
        <v>0.16994959115982056</v>
      </c>
      <c r="W239" s="299">
        <v>231</v>
      </c>
      <c r="X239" s="298">
        <f>IF('Donor Sample'!N256="",,IF('Donor Sample'!N256="F",1,0))</f>
        <v>0</v>
      </c>
      <c r="Y239" s="298" t="str">
        <f>IF('Donor Sample'!O256="","",'Donor Sample'!O256)</f>
        <v/>
      </c>
      <c r="Z239" s="298" t="str">
        <f>IF(AND('Donor Sample'!O256="",'Donor Sample'!P256="",'Donor Sample'!Q256=""),"",IF('Donor Sample'!P256="",ROUND(AA239/($C$32+($AI239-0.5)*$C$31),0),'Donor Sample'!P256))</f>
        <v/>
      </c>
      <c r="AA239" s="297" t="str">
        <f>IF('Donor Sample'!Q256="","",'Donor Sample'!Q256)</f>
        <v/>
      </c>
      <c r="AB239" s="296" t="str">
        <f t="shared" si="70"/>
        <v/>
      </c>
      <c r="AC239" s="295" t="str">
        <f>IF('Donor Sample'!R256="","",'Donor Sample'!R256)</f>
        <v/>
      </c>
      <c r="AD239" s="294" t="str">
        <f>IF('Donor Sample'!S256="","",'Donor Sample'!S256/100)</f>
        <v/>
      </c>
      <c r="AE239" s="293" t="e">
        <f t="shared" si="76"/>
        <v>#VALUE!</v>
      </c>
      <c r="AF239" s="293" t="str">
        <f t="shared" si="77"/>
        <v/>
      </c>
      <c r="AG239" s="292" t="str">
        <f>IF('Donor Sample'!T256="","",'Donor Sample'!T256)</f>
        <v/>
      </c>
      <c r="AH239" s="891">
        <f t="shared" si="78"/>
        <v>2</v>
      </c>
      <c r="AI239" s="1220">
        <v>0.15334659814834595</v>
      </c>
      <c r="AJ239" s="1216"/>
    </row>
    <row r="240" spans="5:36">
      <c r="E240" s="299">
        <v>232</v>
      </c>
      <c r="F240" s="308">
        <f t="shared" ca="1" si="66"/>
        <v>2716.0927524610943</v>
      </c>
      <c r="G240" s="307">
        <f t="shared" ca="1" si="67"/>
        <v>264.24961813312643</v>
      </c>
      <c r="H240" s="306">
        <f t="shared" ca="1" si="68"/>
        <v>0.44307754288938983</v>
      </c>
      <c r="I240" s="305">
        <f t="shared" ca="1" si="71"/>
        <v>102.72016133863097</v>
      </c>
      <c r="J240" s="305">
        <f t="shared" ca="1" si="72"/>
        <v>46.701801100077859</v>
      </c>
      <c r="K240" s="292">
        <f t="shared" ca="1" si="69"/>
        <v>2.7304160000313646</v>
      </c>
      <c r="L240" s="1290">
        <f t="shared" ca="1" si="73"/>
        <v>33.155920699701149</v>
      </c>
      <c r="M240" s="299">
        <v>232</v>
      </c>
      <c r="N240" s="304">
        <f t="shared" si="74"/>
        <v>3501.4751477000841</v>
      </c>
      <c r="O240" s="303">
        <v>259.69039656753768</v>
      </c>
      <c r="P240" s="302">
        <v>0.35058597610119163</v>
      </c>
      <c r="Q240" s="301">
        <v>140.71996732368106</v>
      </c>
      <c r="R240" s="301">
        <v>51.951324080250444</v>
      </c>
      <c r="S240" s="300">
        <v>3.9108659977748634</v>
      </c>
      <c r="T240" s="891">
        <f t="shared" si="75"/>
        <v>2</v>
      </c>
      <c r="U240" s="1220">
        <v>0.28755664825439453</v>
      </c>
      <c r="W240" s="299">
        <v>232</v>
      </c>
      <c r="X240" s="298">
        <f>IF('Donor Sample'!N257="",,IF('Donor Sample'!N257="F",1,0))</f>
        <v>0</v>
      </c>
      <c r="Y240" s="298" t="str">
        <f>IF('Donor Sample'!O257="","",'Donor Sample'!O257)</f>
        <v/>
      </c>
      <c r="Z240" s="298" t="str">
        <f>IF(AND('Donor Sample'!O257="",'Donor Sample'!P257="",'Donor Sample'!Q257=""),"",IF('Donor Sample'!P257="",ROUND(AA240/($C$32+($AI240-0.5)*$C$31),0),'Donor Sample'!P257))</f>
        <v/>
      </c>
      <c r="AA240" s="297" t="str">
        <f>IF('Donor Sample'!Q257="","",'Donor Sample'!Q257)</f>
        <v/>
      </c>
      <c r="AB240" s="296" t="str">
        <f t="shared" si="70"/>
        <v/>
      </c>
      <c r="AC240" s="295" t="str">
        <f>IF('Donor Sample'!R257="","",'Donor Sample'!R257)</f>
        <v/>
      </c>
      <c r="AD240" s="294" t="str">
        <f>IF('Donor Sample'!S257="","",'Donor Sample'!S257/100)</f>
        <v/>
      </c>
      <c r="AE240" s="407" t="e">
        <f t="shared" si="76"/>
        <v>#VALUE!</v>
      </c>
      <c r="AF240" s="293" t="str">
        <f t="shared" si="77"/>
        <v/>
      </c>
      <c r="AG240" s="292" t="str">
        <f>IF('Donor Sample'!T257="","",'Donor Sample'!T257)</f>
        <v/>
      </c>
      <c r="AH240" s="891">
        <f t="shared" si="78"/>
        <v>64</v>
      </c>
      <c r="AI240" s="1220">
        <v>0.59371328353881836</v>
      </c>
      <c r="AJ240" s="1216"/>
    </row>
    <row r="241" spans="5:36">
      <c r="E241" s="299">
        <v>233</v>
      </c>
      <c r="F241" s="308">
        <f t="shared" ca="1" si="66"/>
        <v>3285.216492652653</v>
      </c>
      <c r="G241" s="307">
        <f t="shared" ca="1" si="67"/>
        <v>235.4182001810301</v>
      </c>
      <c r="H241" s="306">
        <f t="shared" ca="1" si="68"/>
        <v>0.4017321734207136</v>
      </c>
      <c r="I241" s="305">
        <f t="shared" ca="1" si="71"/>
        <v>112.53191796065028</v>
      </c>
      <c r="J241" s="305">
        <f t="shared" ca="1" si="72"/>
        <v>55.687927798001958</v>
      </c>
      <c r="K241" s="292">
        <f t="shared" ca="1" si="69"/>
        <v>2.8105018787586369</v>
      </c>
      <c r="L241" s="1290">
        <f t="shared" ca="1" si="73"/>
        <v>25.546197458751951</v>
      </c>
      <c r="M241" s="299">
        <v>233</v>
      </c>
      <c r="N241" s="304">
        <f t="shared" si="74"/>
        <v>3232.0311367070408</v>
      </c>
      <c r="O241" s="303">
        <v>242.21797977368828</v>
      </c>
      <c r="P241" s="302">
        <v>0.377509548432783</v>
      </c>
      <c r="Q241" s="301">
        <v>128.30110072172937</v>
      </c>
      <c r="R241" s="301">
        <v>50.073855505817669</v>
      </c>
      <c r="S241" s="300">
        <v>3.4068998218046684</v>
      </c>
      <c r="T241" s="891">
        <f t="shared" si="75"/>
        <v>64</v>
      </c>
      <c r="U241" s="1220">
        <v>0.75010412931442261</v>
      </c>
      <c r="W241" s="299">
        <v>233</v>
      </c>
      <c r="X241" s="298">
        <f>IF('Donor Sample'!N258="",,IF('Donor Sample'!N258="F",1,0))</f>
        <v>0</v>
      </c>
      <c r="Y241" s="298" t="str">
        <f>IF('Donor Sample'!O258="","",'Donor Sample'!O258)</f>
        <v/>
      </c>
      <c r="Z241" s="298" t="str">
        <f>IF(AND('Donor Sample'!O258="",'Donor Sample'!P258="",'Donor Sample'!Q258=""),"",IF('Donor Sample'!P258="",ROUND(AA241/($C$32+($AI241-0.5)*$C$31),0),'Donor Sample'!P258))</f>
        <v/>
      </c>
      <c r="AA241" s="297" t="str">
        <f>IF('Donor Sample'!Q258="","",'Donor Sample'!Q258)</f>
        <v/>
      </c>
      <c r="AB241" s="296" t="str">
        <f t="shared" si="70"/>
        <v/>
      </c>
      <c r="AC241" s="295" t="str">
        <f>IF('Donor Sample'!R258="","",'Donor Sample'!R258)</f>
        <v/>
      </c>
      <c r="AD241" s="294" t="str">
        <f>IF('Donor Sample'!S258="","",'Donor Sample'!S258/100)</f>
        <v/>
      </c>
      <c r="AE241" s="293" t="e">
        <f t="shared" si="76"/>
        <v>#VALUE!</v>
      </c>
      <c r="AF241" s="293" t="str">
        <f t="shared" si="77"/>
        <v/>
      </c>
      <c r="AG241" s="292" t="str">
        <f>IF('Donor Sample'!T258="","",'Donor Sample'!T258)</f>
        <v/>
      </c>
      <c r="AH241" s="891">
        <f t="shared" si="78"/>
        <v>64</v>
      </c>
      <c r="AI241" s="1220">
        <v>0.56259125471115112</v>
      </c>
      <c r="AJ241" s="1216"/>
    </row>
    <row r="242" spans="5:36">
      <c r="E242" s="299">
        <v>234</v>
      </c>
      <c r="F242" s="308">
        <f t="shared" ca="1" si="66"/>
        <v>3043.167674632723</v>
      </c>
      <c r="G242" s="307">
        <f t="shared" ca="1" si="67"/>
        <v>168.1118189410245</v>
      </c>
      <c r="H242" s="306">
        <f t="shared" ca="1" si="68"/>
        <v>0.40397932757795069</v>
      </c>
      <c r="I242" s="305">
        <f t="shared" ca="1" si="71"/>
        <v>102.09790471480193</v>
      </c>
      <c r="J242" s="305">
        <f t="shared" ca="1" si="72"/>
        <v>54.035432009272867</v>
      </c>
      <c r="K242" s="292">
        <f t="shared" ca="1" si="69"/>
        <v>2.7041592143304678</v>
      </c>
      <c r="L242" s="1290">
        <f t="shared" ca="1" si="73"/>
        <v>24.616836017377615</v>
      </c>
      <c r="M242" s="299">
        <v>234</v>
      </c>
      <c r="N242" s="304">
        <f t="shared" si="74"/>
        <v>2592.7300012550063</v>
      </c>
      <c r="O242" s="303">
        <v>266.14617258612151</v>
      </c>
      <c r="P242" s="302">
        <v>0.47500918055373631</v>
      </c>
      <c r="Q242" s="301">
        <v>92.619502839244973</v>
      </c>
      <c r="R242" s="301">
        <v>47.306751455040633</v>
      </c>
      <c r="S242" s="300">
        <v>1.4483782368759754</v>
      </c>
      <c r="T242" s="891">
        <f t="shared" si="75"/>
        <v>256</v>
      </c>
      <c r="U242" s="1220">
        <v>0.85385572910308838</v>
      </c>
      <c r="W242" s="299">
        <v>234</v>
      </c>
      <c r="X242" s="298">
        <f>IF('Donor Sample'!N259="",,IF('Donor Sample'!N259="F",1,0))</f>
        <v>0</v>
      </c>
      <c r="Y242" s="298" t="str">
        <f>IF('Donor Sample'!O259="","",'Donor Sample'!O259)</f>
        <v/>
      </c>
      <c r="Z242" s="298" t="str">
        <f>IF(AND('Donor Sample'!O259="",'Donor Sample'!P259="",'Donor Sample'!Q259=""),"",IF('Donor Sample'!P259="",ROUND(AA242/($C$32+($AI242-0.5)*$C$31),0),'Donor Sample'!P259))</f>
        <v/>
      </c>
      <c r="AA242" s="297" t="str">
        <f>IF('Donor Sample'!Q259="","",'Donor Sample'!Q259)</f>
        <v/>
      </c>
      <c r="AB242" s="296" t="str">
        <f t="shared" si="70"/>
        <v/>
      </c>
      <c r="AC242" s="295" t="str">
        <f>IF('Donor Sample'!R259="","",'Donor Sample'!R259)</f>
        <v/>
      </c>
      <c r="AD242" s="294" t="str">
        <f>IF('Donor Sample'!S259="","",'Donor Sample'!S259/100)</f>
        <v/>
      </c>
      <c r="AE242" s="293" t="e">
        <f t="shared" si="76"/>
        <v>#VALUE!</v>
      </c>
      <c r="AF242" s="293" t="str">
        <f t="shared" si="77"/>
        <v/>
      </c>
      <c r="AG242" s="292" t="str">
        <f>IF('Donor Sample'!T259="","",'Donor Sample'!T259)</f>
        <v/>
      </c>
      <c r="AH242" s="891">
        <f t="shared" si="78"/>
        <v>64</v>
      </c>
      <c r="AI242" s="1220">
        <v>0.72352325916290283</v>
      </c>
      <c r="AJ242" s="1216"/>
    </row>
    <row r="243" spans="5:36">
      <c r="E243" s="299">
        <v>235</v>
      </c>
      <c r="F243" s="308">
        <f t="shared" ca="1" si="66"/>
        <v>2971.8394891770376</v>
      </c>
      <c r="G243" s="307">
        <f t="shared" ca="1" si="67"/>
        <v>252.54526172480993</v>
      </c>
      <c r="H243" s="306">
        <f t="shared" ca="1" si="68"/>
        <v>0.47494849114943705</v>
      </c>
      <c r="I243" s="305">
        <f t="shared" ca="1" si="71"/>
        <v>122.66120858422357</v>
      </c>
      <c r="J243" s="305">
        <f t="shared" ca="1" si="72"/>
        <v>45.784175260237973</v>
      </c>
      <c r="K243" s="292">
        <f t="shared" ca="1" si="69"/>
        <v>13.023711947193785</v>
      </c>
      <c r="L243" s="1290">
        <f t="shared" ca="1" si="73"/>
        <v>41.195436401751586</v>
      </c>
      <c r="M243" s="299">
        <v>235</v>
      </c>
      <c r="N243" s="304">
        <f t="shared" si="74"/>
        <v>3400.2490072591127</v>
      </c>
      <c r="O243" s="303">
        <v>287.11314147633732</v>
      </c>
      <c r="P243" s="302">
        <v>0.39301444198086011</v>
      </c>
      <c r="Q243" s="301">
        <v>108.35464275246579</v>
      </c>
      <c r="R243" s="301">
        <v>58.672182519421739</v>
      </c>
      <c r="S243" s="300">
        <v>4.5517143042096508</v>
      </c>
      <c r="T243" s="891">
        <f t="shared" si="75"/>
        <v>2</v>
      </c>
      <c r="U243" s="1220">
        <v>0.25591880083084106</v>
      </c>
      <c r="W243" s="299">
        <v>235</v>
      </c>
      <c r="X243" s="298">
        <f>IF('Donor Sample'!N260="",,IF('Donor Sample'!N260="F",1,0))</f>
        <v>0</v>
      </c>
      <c r="Y243" s="298" t="str">
        <f>IF('Donor Sample'!O260="","",'Donor Sample'!O260)</f>
        <v/>
      </c>
      <c r="Z243" s="298" t="str">
        <f>IF(AND('Donor Sample'!O260="",'Donor Sample'!P260="",'Donor Sample'!Q260=""),"",IF('Donor Sample'!P260="",ROUND(AA243/($C$32+($AI243-0.5)*$C$31),0),'Donor Sample'!P260))</f>
        <v/>
      </c>
      <c r="AA243" s="297" t="str">
        <f>IF('Donor Sample'!Q260="","",'Donor Sample'!Q260)</f>
        <v/>
      </c>
      <c r="AB243" s="296" t="str">
        <f t="shared" si="70"/>
        <v/>
      </c>
      <c r="AC243" s="295" t="str">
        <f>IF('Donor Sample'!R260="","",'Donor Sample'!R260)</f>
        <v/>
      </c>
      <c r="AD243" s="294" t="str">
        <f>IF('Donor Sample'!S260="","",'Donor Sample'!S260/100)</f>
        <v/>
      </c>
      <c r="AE243" s="407" t="e">
        <f t="shared" si="76"/>
        <v>#VALUE!</v>
      </c>
      <c r="AF243" s="293" t="str">
        <f t="shared" si="77"/>
        <v/>
      </c>
      <c r="AG243" s="292" t="str">
        <f>IF('Donor Sample'!T260="","",'Donor Sample'!T260)</f>
        <v/>
      </c>
      <c r="AH243" s="891">
        <f t="shared" si="78"/>
        <v>2</v>
      </c>
      <c r="AI243" s="1220">
        <v>0.22552949190139771</v>
      </c>
      <c r="AJ243" s="1216"/>
    </row>
    <row r="244" spans="5:36">
      <c r="E244" s="299">
        <v>236</v>
      </c>
      <c r="F244" s="308">
        <f t="shared" ca="1" si="66"/>
        <v>3977.441183138023</v>
      </c>
      <c r="G244" s="307">
        <f t="shared" ca="1" si="67"/>
        <v>304.35213501091641</v>
      </c>
      <c r="H244" s="306">
        <f t="shared" ca="1" si="68"/>
        <v>0.40571768259717145</v>
      </c>
      <c r="I244" s="305">
        <f t="shared" ca="1" si="71"/>
        <v>159.94405043270382</v>
      </c>
      <c r="J244" s="305">
        <f t="shared" ca="1" si="72"/>
        <v>55.688062896700053</v>
      </c>
      <c r="K244" s="292">
        <f t="shared" ca="1" si="69"/>
        <v>1.3105883302686749</v>
      </c>
      <c r="L244" s="1290">
        <f t="shared" ca="1" si="73"/>
        <v>36.309187151238199</v>
      </c>
      <c r="M244" s="299">
        <v>236</v>
      </c>
      <c r="N244" s="304">
        <f t="shared" si="74"/>
        <v>3767.0877396715596</v>
      </c>
      <c r="O244" s="303">
        <v>201.12277988339386</v>
      </c>
      <c r="P244" s="302">
        <v>0.38416196777247158</v>
      </c>
      <c r="Q244" s="301">
        <v>123.56271450676191</v>
      </c>
      <c r="R244" s="301">
        <v>60.917374308396312</v>
      </c>
      <c r="S244" s="300">
        <v>18.211975795684264</v>
      </c>
      <c r="T244" s="891">
        <f t="shared" si="75"/>
        <v>2</v>
      </c>
      <c r="U244" s="1220">
        <v>0.34727597236633301</v>
      </c>
      <c r="W244" s="299">
        <v>236</v>
      </c>
      <c r="X244" s="298">
        <f>IF('Donor Sample'!N261="",,IF('Donor Sample'!N261="F",1,0))</f>
        <v>0</v>
      </c>
      <c r="Y244" s="298" t="str">
        <f>IF('Donor Sample'!O261="","",'Donor Sample'!O261)</f>
        <v/>
      </c>
      <c r="Z244" s="298" t="str">
        <f>IF(AND('Donor Sample'!O261="",'Donor Sample'!P261="",'Donor Sample'!Q261=""),"",IF('Donor Sample'!P261="",ROUND(AA244/($C$32+($AI244-0.5)*$C$31),0),'Donor Sample'!P261))</f>
        <v/>
      </c>
      <c r="AA244" s="297" t="str">
        <f>IF('Donor Sample'!Q261="","",'Donor Sample'!Q261)</f>
        <v/>
      </c>
      <c r="AB244" s="296" t="str">
        <f t="shared" si="70"/>
        <v/>
      </c>
      <c r="AC244" s="295" t="str">
        <f>IF('Donor Sample'!R261="","",'Donor Sample'!R261)</f>
        <v/>
      </c>
      <c r="AD244" s="294" t="str">
        <f>IF('Donor Sample'!S261="","",'Donor Sample'!S261/100)</f>
        <v/>
      </c>
      <c r="AE244" s="293" t="e">
        <f t="shared" si="76"/>
        <v>#VALUE!</v>
      </c>
      <c r="AF244" s="293" t="str">
        <f t="shared" si="77"/>
        <v/>
      </c>
      <c r="AG244" s="292" t="str">
        <f>IF('Donor Sample'!T261="","",'Donor Sample'!T261)</f>
        <v/>
      </c>
      <c r="AH244" s="891">
        <f t="shared" si="78"/>
        <v>2</v>
      </c>
      <c r="AI244" s="1220">
        <v>0.20260405540466309</v>
      </c>
      <c r="AJ244" s="1216"/>
    </row>
    <row r="245" spans="5:36">
      <c r="E245" s="299">
        <v>237</v>
      </c>
      <c r="F245" s="308">
        <f t="shared" ca="1" si="66"/>
        <v>3079.630596451836</v>
      </c>
      <c r="G245" s="307">
        <f t="shared" ca="1" si="67"/>
        <v>185.95398978603384</v>
      </c>
      <c r="H245" s="306">
        <f t="shared" ca="1" si="68"/>
        <v>0.46517924791018145</v>
      </c>
      <c r="I245" s="305">
        <f t="shared" ca="1" si="71"/>
        <v>101.84317113011501</v>
      </c>
      <c r="J245" s="305">
        <f t="shared" ca="1" si="72"/>
        <v>54.787921655161306</v>
      </c>
      <c r="K245" s="292">
        <f t="shared" ca="1" si="69"/>
        <v>2.5625664518232996</v>
      </c>
      <c r="L245" s="1290">
        <f t="shared" ca="1" si="73"/>
        <v>23.885532106874244</v>
      </c>
      <c r="M245" s="299">
        <v>237</v>
      </c>
      <c r="N245" s="304">
        <f t="shared" si="74"/>
        <v>3328.1177439717794</v>
      </c>
      <c r="O245" s="303">
        <v>265.24227106080082</v>
      </c>
      <c r="P245" s="302">
        <v>0.35619876956136581</v>
      </c>
      <c r="Q245" s="301">
        <v>119.17183255736491</v>
      </c>
      <c r="R245" s="301">
        <v>54.704466257405791</v>
      </c>
      <c r="S245" s="300">
        <v>1.6084429102588649</v>
      </c>
      <c r="T245" s="891">
        <f t="shared" si="75"/>
        <v>256</v>
      </c>
      <c r="U245" s="1220">
        <v>0.86806529760360718</v>
      </c>
      <c r="W245" s="299">
        <v>237</v>
      </c>
      <c r="X245" s="298">
        <f>IF('Donor Sample'!N262="",,IF('Donor Sample'!N262="F",1,0))</f>
        <v>0</v>
      </c>
      <c r="Y245" s="298" t="str">
        <f>IF('Donor Sample'!O262="","",'Donor Sample'!O262)</f>
        <v/>
      </c>
      <c r="Z245" s="298" t="str">
        <f>IF(AND('Donor Sample'!O262="",'Donor Sample'!P262="",'Donor Sample'!Q262=""),"",IF('Donor Sample'!P262="",ROUND(AA245/($C$32+($AI245-0.5)*$C$31),0),'Donor Sample'!P262))</f>
        <v/>
      </c>
      <c r="AA245" s="297" t="str">
        <f>IF('Donor Sample'!Q262="","",'Donor Sample'!Q262)</f>
        <v/>
      </c>
      <c r="AB245" s="296" t="str">
        <f t="shared" si="70"/>
        <v/>
      </c>
      <c r="AC245" s="295" t="str">
        <f>IF('Donor Sample'!R262="","",'Donor Sample'!R262)</f>
        <v/>
      </c>
      <c r="AD245" s="294" t="str">
        <f>IF('Donor Sample'!S262="","",'Donor Sample'!S262/100)</f>
        <v/>
      </c>
      <c r="AE245" s="293" t="e">
        <f t="shared" si="76"/>
        <v>#VALUE!</v>
      </c>
      <c r="AF245" s="293" t="str">
        <f t="shared" si="77"/>
        <v/>
      </c>
      <c r="AG245" s="292" t="str">
        <f>IF('Donor Sample'!T262="","",'Donor Sample'!T262)</f>
        <v/>
      </c>
      <c r="AH245" s="891">
        <f t="shared" si="78"/>
        <v>64</v>
      </c>
      <c r="AI245" s="1220">
        <v>0.50960057973861694</v>
      </c>
      <c r="AJ245" s="1216"/>
    </row>
    <row r="246" spans="5:36">
      <c r="E246" s="299">
        <v>238</v>
      </c>
      <c r="F246" s="308">
        <f t="shared" ca="1" si="66"/>
        <v>2918.4104727709223</v>
      </c>
      <c r="G246" s="307">
        <f t="shared" ca="1" si="67"/>
        <v>255.84796444420226</v>
      </c>
      <c r="H246" s="306">
        <f t="shared" ca="1" si="68"/>
        <v>0.38698255121190656</v>
      </c>
      <c r="I246" s="305">
        <f t="shared" ca="1" si="71"/>
        <v>115.7566562565312</v>
      </c>
      <c r="J246" s="305">
        <f t="shared" ca="1" si="72"/>
        <v>55.528634606324765</v>
      </c>
      <c r="K246" s="292">
        <f t="shared" ca="1" si="69"/>
        <v>1.6604493854983313</v>
      </c>
      <c r="L246" s="1290">
        <f t="shared" ca="1" si="73"/>
        <v>26.429238065851916</v>
      </c>
      <c r="M246" s="299">
        <v>238</v>
      </c>
      <c r="N246" s="304">
        <f t="shared" si="74"/>
        <v>3339.8884654374069</v>
      </c>
      <c r="O246" s="303">
        <v>257.57234216104371</v>
      </c>
      <c r="P246" s="302">
        <v>0.38489051357036941</v>
      </c>
      <c r="Q246" s="301">
        <v>123.11427860321538</v>
      </c>
      <c r="R246" s="301">
        <v>60.780285690347377</v>
      </c>
      <c r="S246" s="300">
        <v>1.3067425140404043</v>
      </c>
      <c r="T246" s="891">
        <f t="shared" si="75"/>
        <v>256</v>
      </c>
      <c r="U246" s="1220">
        <v>0.85861480236053467</v>
      </c>
      <c r="W246" s="299">
        <v>238</v>
      </c>
      <c r="X246" s="298">
        <f>IF('Donor Sample'!N263="",,IF('Donor Sample'!N263="F",1,0))</f>
        <v>0</v>
      </c>
      <c r="Y246" s="298" t="str">
        <f>IF('Donor Sample'!O263="","",'Donor Sample'!O263)</f>
        <v/>
      </c>
      <c r="Z246" s="298" t="str">
        <f>IF(AND('Donor Sample'!O263="",'Donor Sample'!P263="",'Donor Sample'!Q263=""),"",IF('Donor Sample'!P263="",ROUND(AA246/($C$32+($AI246-0.5)*$C$31),0),'Donor Sample'!P263))</f>
        <v/>
      </c>
      <c r="AA246" s="297" t="str">
        <f>IF('Donor Sample'!Q263="","",'Donor Sample'!Q263)</f>
        <v/>
      </c>
      <c r="AB246" s="296" t="str">
        <f t="shared" si="70"/>
        <v/>
      </c>
      <c r="AC246" s="295" t="str">
        <f>IF('Donor Sample'!R263="","",'Donor Sample'!R263)</f>
        <v/>
      </c>
      <c r="AD246" s="294" t="str">
        <f>IF('Donor Sample'!S263="","",'Donor Sample'!S263/100)</f>
        <v/>
      </c>
      <c r="AE246" s="407" t="e">
        <f t="shared" si="76"/>
        <v>#VALUE!</v>
      </c>
      <c r="AF246" s="293" t="str">
        <f t="shared" si="77"/>
        <v/>
      </c>
      <c r="AG246" s="292" t="str">
        <f>IF('Donor Sample'!T263="","",'Donor Sample'!T263)</f>
        <v/>
      </c>
      <c r="AH246" s="891">
        <f t="shared" si="78"/>
        <v>32</v>
      </c>
      <c r="AI246" s="1220">
        <v>0.81145036220550537</v>
      </c>
      <c r="AJ246" s="1216"/>
    </row>
    <row r="247" spans="5:36">
      <c r="E247" s="299">
        <v>239</v>
      </c>
      <c r="F247" s="308">
        <f t="shared" ca="1" si="66"/>
        <v>2980.5928160596186</v>
      </c>
      <c r="G247" s="307">
        <f t="shared" ca="1" si="67"/>
        <v>197.92106867972845</v>
      </c>
      <c r="H247" s="306">
        <f t="shared" ca="1" si="68"/>
        <v>0.37618995878765715</v>
      </c>
      <c r="I247" s="305">
        <f t="shared" ca="1" si="71"/>
        <v>105.39028270864235</v>
      </c>
      <c r="J247" s="305">
        <f t="shared" ca="1" si="72"/>
        <v>51.846982860552011</v>
      </c>
      <c r="K247" s="292">
        <f t="shared" ca="1" si="69"/>
        <v>1.2456985481391463</v>
      </c>
      <c r="L247" s="1290">
        <f t="shared" ca="1" si="73"/>
        <v>27.601091172309367</v>
      </c>
      <c r="M247" s="299">
        <v>239</v>
      </c>
      <c r="N247" s="304">
        <f t="shared" si="74"/>
        <v>2726.108010741862</v>
      </c>
      <c r="O247" s="303">
        <v>261.19332749131047</v>
      </c>
      <c r="P247" s="302">
        <v>0.43399231807051086</v>
      </c>
      <c r="Q247" s="301">
        <v>107.9764181999676</v>
      </c>
      <c r="R247" s="301">
        <v>44.93992473650723</v>
      </c>
      <c r="S247" s="300">
        <v>2.545564513639277</v>
      </c>
      <c r="T247" s="891">
        <f t="shared" si="75"/>
        <v>4</v>
      </c>
      <c r="U247" s="1220">
        <v>0.4157138466835022</v>
      </c>
      <c r="W247" s="299">
        <v>239</v>
      </c>
      <c r="X247" s="298">
        <f>IF('Donor Sample'!N264="",,IF('Donor Sample'!N264="F",1,0))</f>
        <v>0</v>
      </c>
      <c r="Y247" s="298" t="str">
        <f>IF('Donor Sample'!O264="","",'Donor Sample'!O264)</f>
        <v/>
      </c>
      <c r="Z247" s="298" t="str">
        <f>IF(AND('Donor Sample'!O264="",'Donor Sample'!P264="",'Donor Sample'!Q264=""),"",IF('Donor Sample'!P264="",ROUND(AA247/($C$32+($AI247-0.5)*$C$31),0),'Donor Sample'!P264))</f>
        <v/>
      </c>
      <c r="AA247" s="297" t="str">
        <f>IF('Donor Sample'!Q264="","",'Donor Sample'!Q264)</f>
        <v/>
      </c>
      <c r="AB247" s="296" t="str">
        <f t="shared" si="70"/>
        <v/>
      </c>
      <c r="AC247" s="295" t="str">
        <f>IF('Donor Sample'!R264="","",'Donor Sample'!R264)</f>
        <v/>
      </c>
      <c r="AD247" s="294" t="str">
        <f>IF('Donor Sample'!S264="","",'Donor Sample'!S264/100)</f>
        <v/>
      </c>
      <c r="AE247" s="293" t="e">
        <f t="shared" si="76"/>
        <v>#VALUE!</v>
      </c>
      <c r="AF247" s="293" t="str">
        <f t="shared" si="77"/>
        <v/>
      </c>
      <c r="AG247" s="292" t="str">
        <f>IF('Donor Sample'!T264="","",'Donor Sample'!T264)</f>
        <v/>
      </c>
      <c r="AH247" s="891">
        <f t="shared" si="78"/>
        <v>4</v>
      </c>
      <c r="AI247" s="1220">
        <v>0.42488294839859009</v>
      </c>
      <c r="AJ247" s="1216"/>
    </row>
    <row r="248" spans="5:36">
      <c r="E248" s="299">
        <v>240</v>
      </c>
      <c r="F248" s="308">
        <f t="shared" ca="1" si="66"/>
        <v>4296.5168967263571</v>
      </c>
      <c r="G248" s="307">
        <f t="shared" ca="1" si="67"/>
        <v>235.13314332103809</v>
      </c>
      <c r="H248" s="306">
        <f t="shared" ca="1" si="68"/>
        <v>0.37318407481321408</v>
      </c>
      <c r="I248" s="305">
        <f t="shared" ca="1" si="71"/>
        <v>156.72304288048775</v>
      </c>
      <c r="J248" s="305">
        <f t="shared" ca="1" si="72"/>
        <v>61.586644362713052</v>
      </c>
      <c r="K248" s="292">
        <f t="shared" ca="1" si="69"/>
        <v>3.7115697899700821</v>
      </c>
      <c r="L248" s="1290">
        <f t="shared" ca="1" si="73"/>
        <v>29.089243776097778</v>
      </c>
      <c r="M248" s="299">
        <v>240</v>
      </c>
      <c r="N248" s="304">
        <f t="shared" si="74"/>
        <v>3820.5740997342218</v>
      </c>
      <c r="O248" s="303">
        <v>184.15793300848918</v>
      </c>
      <c r="P248" s="302">
        <v>0.46206934692493035</v>
      </c>
      <c r="Q248" s="301">
        <v>147.62536015663505</v>
      </c>
      <c r="R248" s="301">
        <v>56.096022725833372</v>
      </c>
      <c r="S248" s="300">
        <v>2.8248793207953256</v>
      </c>
      <c r="T248" s="891">
        <f t="shared" si="75"/>
        <v>64</v>
      </c>
      <c r="U248" s="1220">
        <v>0.59567403793334961</v>
      </c>
      <c r="W248" s="299">
        <v>240</v>
      </c>
      <c r="X248" s="298">
        <f>IF('Donor Sample'!N265="",,IF('Donor Sample'!N265="F",1,0))</f>
        <v>0</v>
      </c>
      <c r="Y248" s="298" t="str">
        <f>IF('Donor Sample'!O265="","",'Donor Sample'!O265)</f>
        <v/>
      </c>
      <c r="Z248" s="298" t="str">
        <f>IF(AND('Donor Sample'!O265="",'Donor Sample'!P265="",'Donor Sample'!Q265=""),"",IF('Donor Sample'!P265="",ROUND(AA248/($C$32+($AI248-0.5)*$C$31),0),'Donor Sample'!P265))</f>
        <v/>
      </c>
      <c r="AA248" s="297" t="str">
        <f>IF('Donor Sample'!Q265="","",'Donor Sample'!Q265)</f>
        <v/>
      </c>
      <c r="AB248" s="296" t="str">
        <f t="shared" si="70"/>
        <v/>
      </c>
      <c r="AC248" s="295" t="str">
        <f>IF('Donor Sample'!R265="","",'Donor Sample'!R265)</f>
        <v/>
      </c>
      <c r="AD248" s="294" t="str">
        <f>IF('Donor Sample'!S265="","",'Donor Sample'!S265/100)</f>
        <v/>
      </c>
      <c r="AE248" s="293" t="e">
        <f t="shared" si="76"/>
        <v>#VALUE!</v>
      </c>
      <c r="AF248" s="293" t="str">
        <f t="shared" si="77"/>
        <v/>
      </c>
      <c r="AG248" s="292" t="str">
        <f>IF('Donor Sample'!T265="","",'Donor Sample'!T265)</f>
        <v/>
      </c>
      <c r="AH248" s="891">
        <f t="shared" si="78"/>
        <v>64</v>
      </c>
      <c r="AI248" s="1220">
        <v>0.46513938903808594</v>
      </c>
      <c r="AJ248" s="1216"/>
    </row>
    <row r="249" spans="5:36">
      <c r="E249" s="299">
        <v>241</v>
      </c>
      <c r="F249" s="308">
        <f t="shared" ca="1" si="66"/>
        <v>3737.4987628521467</v>
      </c>
      <c r="G249" s="307">
        <f t="shared" ca="1" si="67"/>
        <v>226.03645175784249</v>
      </c>
      <c r="H249" s="306">
        <f t="shared" ca="1" si="68"/>
        <v>0.36617859961850868</v>
      </c>
      <c r="I249" s="305">
        <f t="shared" ca="1" si="71"/>
        <v>152.9082359354542</v>
      </c>
      <c r="J249" s="305">
        <f t="shared" ca="1" si="72"/>
        <v>53.117969062464418</v>
      </c>
      <c r="K249" s="292">
        <f t="shared" ca="1" si="69"/>
        <v>2.6739779509053356</v>
      </c>
      <c r="L249" s="1290">
        <f t="shared" ca="1" si="73"/>
        <v>38.152290286046991</v>
      </c>
      <c r="M249" s="299">
        <v>241</v>
      </c>
      <c r="N249" s="304">
        <f t="shared" si="74"/>
        <v>4060.4241818882256</v>
      </c>
      <c r="O249" s="303">
        <v>224.98911107607015</v>
      </c>
      <c r="P249" s="302">
        <v>0.46926854075502683</v>
      </c>
      <c r="Q249" s="301">
        <v>126.16361217148925</v>
      </c>
      <c r="R249" s="301">
        <v>64.515970888345606</v>
      </c>
      <c r="S249" s="300">
        <v>1.3182940989052918</v>
      </c>
      <c r="T249" s="891">
        <f t="shared" si="75"/>
        <v>2</v>
      </c>
      <c r="U249" s="1220">
        <v>0.18952149152755737</v>
      </c>
      <c r="W249" s="299">
        <v>241</v>
      </c>
      <c r="X249" s="298">
        <f>IF('Donor Sample'!N266="",,IF('Donor Sample'!N266="F",1,0))</f>
        <v>0</v>
      </c>
      <c r="Y249" s="298" t="str">
        <f>IF('Donor Sample'!O266="","",'Donor Sample'!O266)</f>
        <v/>
      </c>
      <c r="Z249" s="298" t="str">
        <f>IF(AND('Donor Sample'!O266="",'Donor Sample'!P266="",'Donor Sample'!Q266=""),"",IF('Donor Sample'!P266="",ROUND(AA249/($C$32+($AI249-0.5)*$C$31),0),'Donor Sample'!P266))</f>
        <v/>
      </c>
      <c r="AA249" s="297" t="str">
        <f>IF('Donor Sample'!Q266="","",'Donor Sample'!Q266)</f>
        <v/>
      </c>
      <c r="AB249" s="296" t="str">
        <f t="shared" si="70"/>
        <v/>
      </c>
      <c r="AC249" s="295" t="str">
        <f>IF('Donor Sample'!R266="","",'Donor Sample'!R266)</f>
        <v/>
      </c>
      <c r="AD249" s="294" t="str">
        <f>IF('Donor Sample'!S266="","",'Donor Sample'!S266/100)</f>
        <v/>
      </c>
      <c r="AE249" s="407" t="e">
        <f t="shared" si="76"/>
        <v>#VALUE!</v>
      </c>
      <c r="AF249" s="293" t="str">
        <f t="shared" si="77"/>
        <v/>
      </c>
      <c r="AG249" s="292" t="str">
        <f>IF('Donor Sample'!T266="","",'Donor Sample'!T266)</f>
        <v/>
      </c>
      <c r="AH249" s="891">
        <f t="shared" si="78"/>
        <v>4</v>
      </c>
      <c r="AI249" s="1220">
        <v>0.39020746946334839</v>
      </c>
      <c r="AJ249" s="1216"/>
    </row>
    <row r="250" spans="5:36">
      <c r="E250" s="299">
        <v>242</v>
      </c>
      <c r="F250" s="308">
        <f t="shared" ca="1" si="66"/>
        <v>3790.8935286532092</v>
      </c>
      <c r="G250" s="307">
        <f t="shared" ca="1" si="67"/>
        <v>249.31667568061516</v>
      </c>
      <c r="H250" s="306">
        <f t="shared" ca="1" si="68"/>
        <v>0.36186536435714856</v>
      </c>
      <c r="I250" s="305">
        <f t="shared" ca="1" si="71"/>
        <v>142.160191854229</v>
      </c>
      <c r="J250" s="305">
        <f t="shared" ca="1" si="72"/>
        <v>56.965412049683657</v>
      </c>
      <c r="K250" s="292">
        <f t="shared" ca="1" si="69"/>
        <v>1.5531655693315787</v>
      </c>
      <c r="L250" s="1290">
        <f t="shared" ca="1" si="73"/>
        <v>30.840980291480598</v>
      </c>
      <c r="M250" s="299">
        <v>242</v>
      </c>
      <c r="N250" s="304">
        <f t="shared" si="74"/>
        <v>3319.8345930421278</v>
      </c>
      <c r="O250" s="303">
        <v>333.47789309728495</v>
      </c>
      <c r="P250" s="302">
        <v>0.40781450885105164</v>
      </c>
      <c r="Q250" s="301">
        <v>109.54993545426562</v>
      </c>
      <c r="R250" s="301">
        <v>57.051579129428909</v>
      </c>
      <c r="S250" s="300">
        <v>7.7881769429523482</v>
      </c>
      <c r="T250" s="891">
        <f t="shared" si="75"/>
        <v>128</v>
      </c>
      <c r="U250" s="1220">
        <v>0.94429504871368408</v>
      </c>
      <c r="W250" s="299">
        <v>242</v>
      </c>
      <c r="X250" s="298">
        <f>IF('Donor Sample'!N267="",,IF('Donor Sample'!N267="F",1,0))</f>
        <v>0</v>
      </c>
      <c r="Y250" s="298" t="str">
        <f>IF('Donor Sample'!O267="","",'Donor Sample'!O267)</f>
        <v/>
      </c>
      <c r="Z250" s="298" t="str">
        <f>IF(AND('Donor Sample'!O267="",'Donor Sample'!P267="",'Donor Sample'!Q267=""),"",IF('Donor Sample'!P267="",ROUND(AA250/($C$32+($AI250-0.5)*$C$31),0),'Donor Sample'!P267))</f>
        <v/>
      </c>
      <c r="AA250" s="297" t="str">
        <f>IF('Donor Sample'!Q267="","",'Donor Sample'!Q267)</f>
        <v/>
      </c>
      <c r="AB250" s="296" t="str">
        <f t="shared" si="70"/>
        <v/>
      </c>
      <c r="AC250" s="295" t="str">
        <f>IF('Donor Sample'!R267="","",'Donor Sample'!R267)</f>
        <v/>
      </c>
      <c r="AD250" s="294" t="str">
        <f>IF('Donor Sample'!S267="","",'Donor Sample'!S267/100)</f>
        <v/>
      </c>
      <c r="AE250" s="293" t="e">
        <f t="shared" si="76"/>
        <v>#VALUE!</v>
      </c>
      <c r="AF250" s="293" t="str">
        <f t="shared" si="77"/>
        <v/>
      </c>
      <c r="AG250" s="292" t="str">
        <f>IF('Donor Sample'!T267="","",'Donor Sample'!T267)</f>
        <v/>
      </c>
      <c r="AH250" s="891">
        <f t="shared" si="78"/>
        <v>4</v>
      </c>
      <c r="AI250" s="1220">
        <v>0.41499102115631104</v>
      </c>
      <c r="AJ250" s="1216"/>
    </row>
    <row r="251" spans="5:36">
      <c r="E251" s="299">
        <v>243</v>
      </c>
      <c r="F251" s="308">
        <f t="shared" ca="1" si="66"/>
        <v>3867.1084242601028</v>
      </c>
      <c r="G251" s="307">
        <f t="shared" ca="1" si="67"/>
        <v>178.75203154337157</v>
      </c>
      <c r="H251" s="306">
        <f t="shared" ca="1" si="68"/>
        <v>0.47635910623627048</v>
      </c>
      <c r="I251" s="305">
        <f t="shared" ca="1" si="71"/>
        <v>153.15133404897318</v>
      </c>
      <c r="J251" s="305">
        <f t="shared" ca="1" si="72"/>
        <v>55.487833808381438</v>
      </c>
      <c r="K251" s="292">
        <f t="shared" ca="1" si="69"/>
        <v>1.8795255874360415</v>
      </c>
      <c r="L251" s="1290">
        <f t="shared" ca="1" si="73"/>
        <v>35.018529231184033</v>
      </c>
      <c r="M251" s="299">
        <v>243</v>
      </c>
      <c r="N251" s="304">
        <f t="shared" si="74"/>
        <v>3251.2688873061475</v>
      </c>
      <c r="O251" s="303">
        <v>241.18055011871181</v>
      </c>
      <c r="P251" s="302">
        <v>0.38436285316600172</v>
      </c>
      <c r="Q251" s="301">
        <v>113.94831397815517</v>
      </c>
      <c r="R251" s="301">
        <v>54.693616590196918</v>
      </c>
      <c r="S251" s="300">
        <v>3.1865196559658924</v>
      </c>
      <c r="T251" s="891">
        <f t="shared" si="75"/>
        <v>2</v>
      </c>
      <c r="U251" s="1220">
        <v>0.25852662324905396</v>
      </c>
      <c r="W251" s="299">
        <v>243</v>
      </c>
      <c r="X251" s="298">
        <f>IF('Donor Sample'!N268="",,IF('Donor Sample'!N268="F",1,0))</f>
        <v>0</v>
      </c>
      <c r="Y251" s="298" t="str">
        <f>IF('Donor Sample'!O268="","",'Donor Sample'!O268)</f>
        <v/>
      </c>
      <c r="Z251" s="298" t="str">
        <f>IF(AND('Donor Sample'!O268="",'Donor Sample'!P268="",'Donor Sample'!Q268=""),"",IF('Donor Sample'!P268="",ROUND(AA251/($C$32+($AI251-0.5)*$C$31),0),'Donor Sample'!P268))</f>
        <v/>
      </c>
      <c r="AA251" s="297" t="str">
        <f>IF('Donor Sample'!Q268="","",'Donor Sample'!Q268)</f>
        <v/>
      </c>
      <c r="AB251" s="296" t="str">
        <f t="shared" si="70"/>
        <v/>
      </c>
      <c r="AC251" s="295" t="str">
        <f>IF('Donor Sample'!R268="","",'Donor Sample'!R268)</f>
        <v/>
      </c>
      <c r="AD251" s="294" t="str">
        <f>IF('Donor Sample'!S268="","",'Donor Sample'!S268/100)</f>
        <v/>
      </c>
      <c r="AE251" s="293" t="e">
        <f t="shared" si="76"/>
        <v>#VALUE!</v>
      </c>
      <c r="AF251" s="293" t="str">
        <f t="shared" si="77"/>
        <v/>
      </c>
      <c r="AG251" s="292" t="str">
        <f>IF('Donor Sample'!T268="","",'Donor Sample'!T268)</f>
        <v/>
      </c>
      <c r="AH251" s="891">
        <f t="shared" si="78"/>
        <v>2</v>
      </c>
      <c r="AI251" s="1220">
        <v>0.1281769871711731</v>
      </c>
      <c r="AJ251" s="1216"/>
    </row>
    <row r="252" spans="5:36">
      <c r="E252" s="299">
        <v>244</v>
      </c>
      <c r="F252" s="308">
        <f t="shared" ca="1" si="66"/>
        <v>3821.3547853687223</v>
      </c>
      <c r="G252" s="307">
        <f t="shared" ca="1" si="67"/>
        <v>270.962125653204</v>
      </c>
      <c r="H252" s="306">
        <f t="shared" ca="1" si="68"/>
        <v>0.38315125764636238</v>
      </c>
      <c r="I252" s="305">
        <f t="shared" ca="1" si="71"/>
        <v>126.70718303838011</v>
      </c>
      <c r="J252" s="305">
        <f t="shared" ca="1" si="72"/>
        <v>61.041992525268903</v>
      </c>
      <c r="K252" s="292">
        <f t="shared" ca="1" si="69"/>
        <v>19.792789442346386</v>
      </c>
      <c r="L252" s="1290">
        <f t="shared" ca="1" si="73"/>
        <v>23.939578091213953</v>
      </c>
      <c r="M252" s="299">
        <v>244</v>
      </c>
      <c r="N252" s="304">
        <f t="shared" si="74"/>
        <v>3768.3766874002295</v>
      </c>
      <c r="O252" s="303">
        <v>251.02397152141788</v>
      </c>
      <c r="P252" s="302">
        <v>0.42621155541416172</v>
      </c>
      <c r="Q252" s="301">
        <v>142.0990632568593</v>
      </c>
      <c r="R252" s="301">
        <v>56.593518227322839</v>
      </c>
      <c r="S252" s="300">
        <v>1.6640032500167052</v>
      </c>
      <c r="T252" s="891">
        <f t="shared" si="75"/>
        <v>2</v>
      </c>
      <c r="U252" s="1220">
        <v>1.7675161361694336E-2</v>
      </c>
      <c r="W252" s="299">
        <v>244</v>
      </c>
      <c r="X252" s="298">
        <f>IF('Donor Sample'!N269="",,IF('Donor Sample'!N269="F",1,0))</f>
        <v>0</v>
      </c>
      <c r="Y252" s="298" t="str">
        <f>IF('Donor Sample'!O269="","",'Donor Sample'!O269)</f>
        <v/>
      </c>
      <c r="Z252" s="298" t="str">
        <f>IF(AND('Donor Sample'!O269="",'Donor Sample'!P269="",'Donor Sample'!Q269=""),"",IF('Donor Sample'!P269="",ROUND(AA252/($C$32+($AI252-0.5)*$C$31),0),'Donor Sample'!P269))</f>
        <v/>
      </c>
      <c r="AA252" s="297" t="str">
        <f>IF('Donor Sample'!Q269="","",'Donor Sample'!Q269)</f>
        <v/>
      </c>
      <c r="AB252" s="296" t="str">
        <f t="shared" si="70"/>
        <v/>
      </c>
      <c r="AC252" s="295" t="str">
        <f>IF('Donor Sample'!R269="","",'Donor Sample'!R269)</f>
        <v/>
      </c>
      <c r="AD252" s="294" t="str">
        <f>IF('Donor Sample'!S269="","",'Donor Sample'!S269/100)</f>
        <v/>
      </c>
      <c r="AE252" s="407" t="e">
        <f t="shared" si="76"/>
        <v>#VALUE!</v>
      </c>
      <c r="AF252" s="293" t="str">
        <f t="shared" si="77"/>
        <v/>
      </c>
      <c r="AG252" s="292" t="str">
        <f>IF('Donor Sample'!T269="","",'Donor Sample'!T269)</f>
        <v/>
      </c>
      <c r="AH252" s="891">
        <f t="shared" si="78"/>
        <v>2</v>
      </c>
      <c r="AI252" s="1220">
        <v>6.3509225845336914E-2</v>
      </c>
      <c r="AJ252" s="1216"/>
    </row>
    <row r="253" spans="5:36">
      <c r="E253" s="299">
        <v>245</v>
      </c>
      <c r="F253" s="308">
        <f t="shared" ca="1" si="66"/>
        <v>2910.4895048905182</v>
      </c>
      <c r="G253" s="307">
        <f t="shared" ca="1" si="67"/>
        <v>293.99323093708722</v>
      </c>
      <c r="H253" s="306">
        <f t="shared" ca="1" si="68"/>
        <v>0.39545786178925724</v>
      </c>
      <c r="I253" s="305">
        <f t="shared" ca="1" si="71"/>
        <v>109.72965183011887</v>
      </c>
      <c r="J253" s="305">
        <f t="shared" ca="1" si="72"/>
        <v>48.933653719647232</v>
      </c>
      <c r="K253" s="292">
        <f t="shared" ca="1" si="69"/>
        <v>1.3900537455353701</v>
      </c>
      <c r="L253" s="1290">
        <f t="shared" ca="1" si="73"/>
        <v>32.261263445686531</v>
      </c>
      <c r="M253" s="299">
        <v>245</v>
      </c>
      <c r="N253" s="304">
        <f t="shared" si="74"/>
        <v>3541.4014450841141</v>
      </c>
      <c r="O253" s="303">
        <v>193.03410967163018</v>
      </c>
      <c r="P253" s="302">
        <v>0.39645019911408974</v>
      </c>
      <c r="Q253" s="301">
        <v>126.00444413870579</v>
      </c>
      <c r="R253" s="301">
        <v>56.731776807990869</v>
      </c>
      <c r="S253" s="300">
        <v>13.040834124037442</v>
      </c>
      <c r="T253" s="891">
        <f t="shared" si="75"/>
        <v>2</v>
      </c>
      <c r="U253" s="1220">
        <v>0.32219976186752319</v>
      </c>
      <c r="W253" s="299">
        <v>245</v>
      </c>
      <c r="X253" s="298">
        <f>IF('Donor Sample'!N270="",,IF('Donor Sample'!N270="F",1,0))</f>
        <v>0</v>
      </c>
      <c r="Y253" s="298" t="str">
        <f>IF('Donor Sample'!O270="","",'Donor Sample'!O270)</f>
        <v/>
      </c>
      <c r="Z253" s="298" t="str">
        <f>IF(AND('Donor Sample'!O270="",'Donor Sample'!P270="",'Donor Sample'!Q270=""),"",IF('Donor Sample'!P270="",ROUND(AA253/($C$32+($AI253-0.5)*$C$31),0),'Donor Sample'!P270))</f>
        <v/>
      </c>
      <c r="AA253" s="297" t="str">
        <f>IF('Donor Sample'!Q270="","",'Donor Sample'!Q270)</f>
        <v/>
      </c>
      <c r="AB253" s="296" t="str">
        <f t="shared" si="70"/>
        <v/>
      </c>
      <c r="AC253" s="295" t="str">
        <f>IF('Donor Sample'!R270="","",'Donor Sample'!R270)</f>
        <v/>
      </c>
      <c r="AD253" s="294" t="str">
        <f>IF('Donor Sample'!S270="","",'Donor Sample'!S270/100)</f>
        <v/>
      </c>
      <c r="AE253" s="293" t="e">
        <f t="shared" si="76"/>
        <v>#VALUE!</v>
      </c>
      <c r="AF253" s="293" t="str">
        <f t="shared" si="77"/>
        <v/>
      </c>
      <c r="AG253" s="292" t="str">
        <f>IF('Donor Sample'!T270="","",'Donor Sample'!T270)</f>
        <v/>
      </c>
      <c r="AH253" s="891">
        <f t="shared" si="78"/>
        <v>64</v>
      </c>
      <c r="AI253" s="1220">
        <v>0.72034209966659546</v>
      </c>
      <c r="AJ253" s="1216"/>
    </row>
    <row r="254" spans="5:36">
      <c r="E254" s="299">
        <v>246</v>
      </c>
      <c r="F254" s="308">
        <f t="shared" ca="1" si="66"/>
        <v>2778.349842513393</v>
      </c>
      <c r="G254" s="307">
        <f t="shared" ca="1" si="67"/>
        <v>269.58992779614817</v>
      </c>
      <c r="H254" s="306">
        <f t="shared" ca="1" si="68"/>
        <v>0.38566957312006955</v>
      </c>
      <c r="I254" s="305">
        <f t="shared" ca="1" si="71"/>
        <v>99.605490741442011</v>
      </c>
      <c r="J254" s="305">
        <f t="shared" ca="1" si="72"/>
        <v>49.293905162684808</v>
      </c>
      <c r="K254" s="292">
        <f t="shared" ca="1" si="69"/>
        <v>2.8975774504856457</v>
      </c>
      <c r="L254" s="1290">
        <f t="shared" ca="1" si="73"/>
        <v>28.858216566579799</v>
      </c>
      <c r="M254" s="299">
        <v>246</v>
      </c>
      <c r="N254" s="304">
        <f t="shared" si="74"/>
        <v>3216.823566490209</v>
      </c>
      <c r="O254" s="303">
        <v>251.00715044570501</v>
      </c>
      <c r="P254" s="302">
        <v>0.40457694001183014</v>
      </c>
      <c r="Q254" s="301">
        <v>116.48046246250074</v>
      </c>
      <c r="R254" s="301">
        <v>53.336571735102758</v>
      </c>
      <c r="S254" s="300">
        <v>2.3674390284752094</v>
      </c>
      <c r="T254" s="891">
        <f t="shared" si="75"/>
        <v>64</v>
      </c>
      <c r="U254" s="1220">
        <v>0.60021531581878662</v>
      </c>
      <c r="W254" s="299">
        <v>246</v>
      </c>
      <c r="X254" s="298">
        <f>IF('Donor Sample'!N271="",,IF('Donor Sample'!N271="F",1,0))</f>
        <v>0</v>
      </c>
      <c r="Y254" s="298" t="str">
        <f>IF('Donor Sample'!O271="","",'Donor Sample'!O271)</f>
        <v/>
      </c>
      <c r="Z254" s="298" t="str">
        <f>IF(AND('Donor Sample'!O271="",'Donor Sample'!P271="",'Donor Sample'!Q271=""),"",IF('Donor Sample'!P271="",ROUND(AA254/($C$32+($AI254-0.5)*$C$31),0),'Donor Sample'!P271))</f>
        <v/>
      </c>
      <c r="AA254" s="297" t="str">
        <f>IF('Donor Sample'!Q271="","",'Donor Sample'!Q271)</f>
        <v/>
      </c>
      <c r="AB254" s="296" t="str">
        <f t="shared" si="70"/>
        <v/>
      </c>
      <c r="AC254" s="295" t="str">
        <f>IF('Donor Sample'!R271="","",'Donor Sample'!R271)</f>
        <v/>
      </c>
      <c r="AD254" s="294" t="str">
        <f>IF('Donor Sample'!S271="","",'Donor Sample'!S271/100)</f>
        <v/>
      </c>
      <c r="AE254" s="293" t="e">
        <f t="shared" si="76"/>
        <v>#VALUE!</v>
      </c>
      <c r="AF254" s="293" t="str">
        <f t="shared" si="77"/>
        <v/>
      </c>
      <c r="AG254" s="292" t="str">
        <f>IF('Donor Sample'!T271="","",'Donor Sample'!T271)</f>
        <v/>
      </c>
      <c r="AH254" s="891">
        <f t="shared" si="78"/>
        <v>2</v>
      </c>
      <c r="AI254" s="1220">
        <v>0.29885470867156982</v>
      </c>
      <c r="AJ254" s="1216"/>
    </row>
    <row r="255" spans="5:36">
      <c r="E255" s="299">
        <v>247</v>
      </c>
      <c r="F255" s="308">
        <f t="shared" ca="1" si="66"/>
        <v>4314.6050863285218</v>
      </c>
      <c r="G255" s="307">
        <f t="shared" ca="1" si="67"/>
        <v>202.93010024420374</v>
      </c>
      <c r="H255" s="306">
        <f t="shared" ca="1" si="68"/>
        <v>0.42890608969371458</v>
      </c>
      <c r="I255" s="305">
        <f t="shared" ca="1" si="71"/>
        <v>177.06045576291541</v>
      </c>
      <c r="J255" s="305">
        <f t="shared" ca="1" si="72"/>
        <v>57.206458300786686</v>
      </c>
      <c r="K255" s="292">
        <f t="shared" ca="1" si="69"/>
        <v>3.2089573760417771</v>
      </c>
      <c r="L255" s="1290">
        <f t="shared" ca="1" si="73"/>
        <v>38.08939853199869</v>
      </c>
      <c r="M255" s="299">
        <v>247</v>
      </c>
      <c r="N255" s="304">
        <f t="shared" si="74"/>
        <v>3801.9903933706869</v>
      </c>
      <c r="O255" s="303">
        <v>233.3315891896446</v>
      </c>
      <c r="P255" s="302">
        <v>0.38403336271681732</v>
      </c>
      <c r="Q255" s="301">
        <v>127.65077611084396</v>
      </c>
      <c r="R255" s="301">
        <v>60.544818925203359</v>
      </c>
      <c r="S255" s="300">
        <v>2.2654377920299527</v>
      </c>
      <c r="T255" s="891">
        <f t="shared" si="75"/>
        <v>4</v>
      </c>
      <c r="U255" s="1220">
        <v>0.37890058755874634</v>
      </c>
      <c r="W255" s="299">
        <v>247</v>
      </c>
      <c r="X255" s="298">
        <f>IF('Donor Sample'!N272="",,IF('Donor Sample'!N272="F",1,0))</f>
        <v>0</v>
      </c>
      <c r="Y255" s="298" t="str">
        <f>IF('Donor Sample'!O272="","",'Donor Sample'!O272)</f>
        <v/>
      </c>
      <c r="Z255" s="298" t="str">
        <f>IF(AND('Donor Sample'!O272="",'Donor Sample'!P272="",'Donor Sample'!Q272=""),"",IF('Donor Sample'!P272="",ROUND(AA255/($C$32+($AI255-0.5)*$C$31),0),'Donor Sample'!P272))</f>
        <v/>
      </c>
      <c r="AA255" s="297" t="str">
        <f>IF('Donor Sample'!Q272="","",'Donor Sample'!Q272)</f>
        <v/>
      </c>
      <c r="AB255" s="296" t="str">
        <f t="shared" si="70"/>
        <v/>
      </c>
      <c r="AC255" s="295" t="str">
        <f>IF('Donor Sample'!R272="","",'Donor Sample'!R272)</f>
        <v/>
      </c>
      <c r="AD255" s="294" t="str">
        <f>IF('Donor Sample'!S272="","",'Donor Sample'!S272/100)</f>
        <v/>
      </c>
      <c r="AE255" s="407" t="e">
        <f t="shared" si="76"/>
        <v>#VALUE!</v>
      </c>
      <c r="AF255" s="293" t="str">
        <f t="shared" si="77"/>
        <v/>
      </c>
      <c r="AG255" s="292" t="str">
        <f>IF('Donor Sample'!T272="","",'Donor Sample'!T272)</f>
        <v/>
      </c>
      <c r="AH255" s="891">
        <f t="shared" si="78"/>
        <v>2</v>
      </c>
      <c r="AI255" s="1220">
        <v>0.10378319025039673</v>
      </c>
      <c r="AJ255" s="1216"/>
    </row>
    <row r="256" spans="5:36">
      <c r="E256" s="299">
        <v>248</v>
      </c>
      <c r="F256" s="308">
        <f t="shared" ca="1" si="66"/>
        <v>4730.3070894207412</v>
      </c>
      <c r="G256" s="307">
        <f t="shared" ca="1" si="67"/>
        <v>238.59560910728823</v>
      </c>
      <c r="H256" s="306">
        <f t="shared" ca="1" si="68"/>
        <v>0.40128588652216407</v>
      </c>
      <c r="I256" s="305">
        <f t="shared" ca="1" si="71"/>
        <v>174.52487075316552</v>
      </c>
      <c r="J256" s="305">
        <f t="shared" ca="1" si="72"/>
        <v>64.030229166403657</v>
      </c>
      <c r="K256" s="292">
        <f t="shared" ca="1" si="69"/>
        <v>2.0432860377870918</v>
      </c>
      <c r="L256" s="1290">
        <f t="shared" ca="1" si="73"/>
        <v>29.968145722921626</v>
      </c>
      <c r="M256" s="299">
        <v>248</v>
      </c>
      <c r="N256" s="304">
        <f t="shared" si="74"/>
        <v>3943.5803107089528</v>
      </c>
      <c r="O256" s="303">
        <v>318.21586015336356</v>
      </c>
      <c r="P256" s="302">
        <v>0.40764229778642352</v>
      </c>
      <c r="Q256" s="301">
        <v>158.98075797265196</v>
      </c>
      <c r="R256" s="301">
        <v>55.331848413802184</v>
      </c>
      <c r="S256" s="300">
        <v>2.9680291946799544</v>
      </c>
      <c r="T256" s="891">
        <f t="shared" si="75"/>
        <v>64</v>
      </c>
      <c r="U256" s="1220">
        <v>0.64214897155761719</v>
      </c>
      <c r="W256" s="299">
        <v>248</v>
      </c>
      <c r="X256" s="298">
        <f>IF('Donor Sample'!N273="",,IF('Donor Sample'!N273="F",1,0))</f>
        <v>0</v>
      </c>
      <c r="Y256" s="298" t="str">
        <f>IF('Donor Sample'!O273="","",'Donor Sample'!O273)</f>
        <v/>
      </c>
      <c r="Z256" s="298" t="str">
        <f>IF(AND('Donor Sample'!O273="",'Donor Sample'!P273="",'Donor Sample'!Q273=""),"",IF('Donor Sample'!P273="",ROUND(AA256/($C$32+($AI256-0.5)*$C$31),0),'Donor Sample'!P273))</f>
        <v/>
      </c>
      <c r="AA256" s="297" t="str">
        <f>IF('Donor Sample'!Q273="","",'Donor Sample'!Q273)</f>
        <v/>
      </c>
      <c r="AB256" s="296" t="str">
        <f t="shared" si="70"/>
        <v/>
      </c>
      <c r="AC256" s="295" t="str">
        <f>IF('Donor Sample'!R273="","",'Donor Sample'!R273)</f>
        <v/>
      </c>
      <c r="AD256" s="294" t="str">
        <f>IF('Donor Sample'!S273="","",'Donor Sample'!S273/100)</f>
        <v/>
      </c>
      <c r="AE256" s="293" t="e">
        <f t="shared" si="76"/>
        <v>#VALUE!</v>
      </c>
      <c r="AF256" s="293" t="str">
        <f t="shared" si="77"/>
        <v/>
      </c>
      <c r="AG256" s="292" t="str">
        <f>IF('Donor Sample'!T273="","",'Donor Sample'!T273)</f>
        <v/>
      </c>
      <c r="AH256" s="891">
        <f t="shared" si="78"/>
        <v>64</v>
      </c>
      <c r="AI256" s="1220">
        <v>0.50509881973266602</v>
      </c>
      <c r="AJ256" s="1216"/>
    </row>
    <row r="257" spans="5:36">
      <c r="E257" s="299">
        <v>249</v>
      </c>
      <c r="F257" s="308">
        <f t="shared" ca="1" si="66"/>
        <v>3024.4070669311332</v>
      </c>
      <c r="G257" s="307">
        <f t="shared" ca="1" si="67"/>
        <v>249.95999035889039</v>
      </c>
      <c r="H257" s="306">
        <f t="shared" ca="1" si="68"/>
        <v>0.37110811659719362</v>
      </c>
      <c r="I257" s="305">
        <f t="shared" ca="1" si="71"/>
        <v>105.9400959864319</v>
      </c>
      <c r="J257" s="305">
        <f t="shared" ca="1" si="72"/>
        <v>52.57485497294919</v>
      </c>
      <c r="K257" s="292">
        <f t="shared" ca="1" si="69"/>
        <v>1.6429124735364458</v>
      </c>
      <c r="L257" s="1290">
        <f t="shared" ca="1" si="73"/>
        <v>26.982168775403011</v>
      </c>
      <c r="M257" s="299">
        <v>249</v>
      </c>
      <c r="N257" s="304">
        <f t="shared" si="74"/>
        <v>2968.1811776914524</v>
      </c>
      <c r="O257" s="303">
        <v>191.29667128993486</v>
      </c>
      <c r="P257" s="302">
        <v>0.41222117157011662</v>
      </c>
      <c r="Q257" s="301">
        <v>123.00134026015056</v>
      </c>
      <c r="R257" s="301">
        <v>45.554916465624892</v>
      </c>
      <c r="S257" s="300">
        <v>1.6370728217584569</v>
      </c>
      <c r="T257" s="891">
        <f t="shared" si="75"/>
        <v>64</v>
      </c>
      <c r="U257" s="1220">
        <v>0.74199122190475464</v>
      </c>
      <c r="W257" s="299">
        <v>249</v>
      </c>
      <c r="X257" s="298">
        <f>IF('Donor Sample'!N274="",,IF('Donor Sample'!N274="F",1,0))</f>
        <v>0</v>
      </c>
      <c r="Y257" s="298" t="str">
        <f>IF('Donor Sample'!O274="","",'Donor Sample'!O274)</f>
        <v/>
      </c>
      <c r="Z257" s="298" t="str">
        <f>IF(AND('Donor Sample'!O274="",'Donor Sample'!P274="",'Donor Sample'!Q274=""),"",IF('Donor Sample'!P274="",ROUND(AA257/($C$32+($AI257-0.5)*$C$31),0),'Donor Sample'!P274))</f>
        <v/>
      </c>
      <c r="AA257" s="297" t="str">
        <f>IF('Donor Sample'!Q274="","",'Donor Sample'!Q274)</f>
        <v/>
      </c>
      <c r="AB257" s="296" t="str">
        <f t="shared" si="70"/>
        <v/>
      </c>
      <c r="AC257" s="295" t="str">
        <f>IF('Donor Sample'!R274="","",'Donor Sample'!R274)</f>
        <v/>
      </c>
      <c r="AD257" s="294" t="str">
        <f>IF('Donor Sample'!S274="","",'Donor Sample'!S274/100)</f>
        <v/>
      </c>
      <c r="AE257" s="293" t="e">
        <f t="shared" si="76"/>
        <v>#VALUE!</v>
      </c>
      <c r="AF257" s="293" t="str">
        <f t="shared" si="77"/>
        <v/>
      </c>
      <c r="AG257" s="292" t="str">
        <f>IF('Donor Sample'!T274="","",'Donor Sample'!T274)</f>
        <v/>
      </c>
      <c r="AH257" s="891">
        <f t="shared" si="78"/>
        <v>64</v>
      </c>
      <c r="AI257" s="1220">
        <v>0.54034870862960815</v>
      </c>
      <c r="AJ257" s="1216"/>
    </row>
    <row r="258" spans="5:36">
      <c r="E258" s="299">
        <v>250</v>
      </c>
      <c r="F258" s="308">
        <f t="shared" ca="1" si="66"/>
        <v>3173.6405699467109</v>
      </c>
      <c r="G258" s="307">
        <f t="shared" ca="1" si="67"/>
        <v>225.33070665911788</v>
      </c>
      <c r="H258" s="306">
        <f t="shared" ca="1" si="68"/>
        <v>0.40248870696167038</v>
      </c>
      <c r="I258" s="305">
        <f t="shared" ca="1" si="71"/>
        <v>118.38723264010862</v>
      </c>
      <c r="J258" s="305">
        <f t="shared" ca="1" si="72"/>
        <v>51.914800435670678</v>
      </c>
      <c r="K258" s="292">
        <f t="shared" ca="1" si="69"/>
        <v>4.5591232428687851</v>
      </c>
      <c r="L258" s="1290">
        <f t="shared" ca="1" si="73"/>
        <v>30.923963371349448</v>
      </c>
      <c r="M258" s="299">
        <v>250</v>
      </c>
      <c r="N258" s="304">
        <f t="shared" si="74"/>
        <v>2721.1896904183</v>
      </c>
      <c r="O258" s="303">
        <v>240.8052333824466</v>
      </c>
      <c r="P258" s="302">
        <v>0.47757051860177108</v>
      </c>
      <c r="Q258" s="301">
        <v>107.55833728830841</v>
      </c>
      <c r="R258" s="301">
        <v>44.972451535385808</v>
      </c>
      <c r="S258" s="300">
        <v>10.220863076582992</v>
      </c>
      <c r="T258" s="891">
        <f t="shared" si="75"/>
        <v>64</v>
      </c>
      <c r="U258" s="1220">
        <v>0.71120226383209229</v>
      </c>
      <c r="W258" s="299">
        <v>250</v>
      </c>
      <c r="X258" s="298">
        <f>IF('Donor Sample'!N275="",,IF('Donor Sample'!N275="F",1,0))</f>
        <v>0</v>
      </c>
      <c r="Y258" s="298" t="str">
        <f>IF('Donor Sample'!O275="","",'Donor Sample'!O275)</f>
        <v/>
      </c>
      <c r="Z258" s="298" t="str">
        <f>IF(AND('Donor Sample'!O275="",'Donor Sample'!P275="",'Donor Sample'!Q275=""),"",IF('Donor Sample'!P275="",ROUND(AA258/($C$32+($AI258-0.5)*$C$31),0),'Donor Sample'!P275))</f>
        <v/>
      </c>
      <c r="AA258" s="297" t="str">
        <f>IF('Donor Sample'!Q275="","",'Donor Sample'!Q275)</f>
        <v/>
      </c>
      <c r="AB258" s="296" t="str">
        <f t="shared" si="70"/>
        <v/>
      </c>
      <c r="AC258" s="295" t="str">
        <f>IF('Donor Sample'!R275="","",'Donor Sample'!R275)</f>
        <v/>
      </c>
      <c r="AD258" s="294" t="str">
        <f>IF('Donor Sample'!S275="","",'Donor Sample'!S275/100)</f>
        <v/>
      </c>
      <c r="AE258" s="407" t="e">
        <f t="shared" si="76"/>
        <v>#VALUE!</v>
      </c>
      <c r="AF258" s="293" t="str">
        <f t="shared" si="77"/>
        <v/>
      </c>
      <c r="AG258" s="292" t="str">
        <f>IF('Donor Sample'!T275="","",'Donor Sample'!T275)</f>
        <v/>
      </c>
      <c r="AH258" s="891">
        <f t="shared" si="78"/>
        <v>64</v>
      </c>
      <c r="AI258" s="1220">
        <v>0.65450870990753174</v>
      </c>
      <c r="AJ258" s="1216"/>
    </row>
    <row r="259" spans="5:36">
      <c r="E259" s="299">
        <v>251</v>
      </c>
      <c r="F259" s="308">
        <f t="shared" ca="1" si="66"/>
        <v>3382.5994366922482</v>
      </c>
      <c r="G259" s="307">
        <f t="shared" ca="1" si="67"/>
        <v>287.44990630728353</v>
      </c>
      <c r="H259" s="306">
        <f t="shared" ca="1" si="68"/>
        <v>0.45028375404314752</v>
      </c>
      <c r="I259" s="305">
        <f t="shared" ca="1" si="71"/>
        <v>109.373035306856</v>
      </c>
      <c r="J259" s="305">
        <f t="shared" ca="1" si="72"/>
        <v>64.407352519425089</v>
      </c>
      <c r="K259" s="292">
        <f t="shared" ca="1" si="69"/>
        <v>1.4955227809661511</v>
      </c>
      <c r="L259" s="1290">
        <f t="shared" ca="1" si="73"/>
        <v>18.561455497155844</v>
      </c>
      <c r="M259" s="299">
        <v>251</v>
      </c>
      <c r="N259" s="304">
        <f t="shared" si="74"/>
        <v>3930.0282219315877</v>
      </c>
      <c r="O259" s="303">
        <v>227.14624768767283</v>
      </c>
      <c r="P259" s="302">
        <v>0.42755533357808473</v>
      </c>
      <c r="Q259" s="301">
        <v>155.83260833685534</v>
      </c>
      <c r="R259" s="301">
        <v>62.279543710048223</v>
      </c>
      <c r="S259" s="300">
        <v>1.3102051813449413</v>
      </c>
      <c r="T259" s="891">
        <f t="shared" si="75"/>
        <v>2</v>
      </c>
      <c r="U259" s="1220">
        <v>0.18485575914382935</v>
      </c>
      <c r="W259" s="299">
        <v>251</v>
      </c>
      <c r="X259" s="298">
        <f>IF('Donor Sample'!N276="",,IF('Donor Sample'!N276="F",1,0))</f>
        <v>0</v>
      </c>
      <c r="Y259" s="298" t="str">
        <f>IF('Donor Sample'!O276="","",'Donor Sample'!O276)</f>
        <v/>
      </c>
      <c r="Z259" s="298" t="str">
        <f>IF(AND('Donor Sample'!O276="",'Donor Sample'!P276="",'Donor Sample'!Q276=""),"",IF('Donor Sample'!P276="",ROUND(AA259/($C$32+($AI259-0.5)*$C$31),0),'Donor Sample'!P276))</f>
        <v/>
      </c>
      <c r="AA259" s="297" t="str">
        <f>IF('Donor Sample'!Q276="","",'Donor Sample'!Q276)</f>
        <v/>
      </c>
      <c r="AB259" s="296" t="str">
        <f t="shared" si="70"/>
        <v/>
      </c>
      <c r="AC259" s="295" t="str">
        <f>IF('Donor Sample'!R276="","",'Donor Sample'!R276)</f>
        <v/>
      </c>
      <c r="AD259" s="294" t="str">
        <f>IF('Donor Sample'!S276="","",'Donor Sample'!S276/100)</f>
        <v/>
      </c>
      <c r="AE259" s="293" t="e">
        <f t="shared" si="76"/>
        <v>#VALUE!</v>
      </c>
      <c r="AF259" s="293" t="str">
        <f t="shared" si="77"/>
        <v/>
      </c>
      <c r="AG259" s="292" t="str">
        <f>IF('Donor Sample'!T276="","",'Donor Sample'!T276)</f>
        <v/>
      </c>
      <c r="AH259" s="891">
        <f t="shared" si="78"/>
        <v>32</v>
      </c>
      <c r="AI259" s="1220">
        <v>0.83979970216751099</v>
      </c>
      <c r="AJ259" s="1216"/>
    </row>
    <row r="260" spans="5:36">
      <c r="E260" s="299">
        <v>252</v>
      </c>
      <c r="F260" s="308">
        <f t="shared" ca="1" si="66"/>
        <v>3036.5500993842361</v>
      </c>
      <c r="G260" s="307">
        <f t="shared" ca="1" si="67"/>
        <v>176.62844990939774</v>
      </c>
      <c r="H260" s="306">
        <f t="shared" ca="1" si="68"/>
        <v>0.44212293551958204</v>
      </c>
      <c r="I260" s="305">
        <f t="shared" ca="1" si="71"/>
        <v>119.43652206177478</v>
      </c>
      <c r="J260" s="305">
        <f t="shared" ca="1" si="72"/>
        <v>48.568332798630607</v>
      </c>
      <c r="K260" s="292">
        <f t="shared" ca="1" si="69"/>
        <v>1.8474011887475501</v>
      </c>
      <c r="L260" s="1290">
        <f t="shared" ca="1" si="73"/>
        <v>35.645393724007988</v>
      </c>
      <c r="M260" s="299">
        <v>252</v>
      </c>
      <c r="N260" s="304">
        <f t="shared" si="74"/>
        <v>2855.2913035345009</v>
      </c>
      <c r="O260" s="303">
        <v>241.49605350902033</v>
      </c>
      <c r="P260" s="302">
        <v>0.37615501231778914</v>
      </c>
      <c r="Q260" s="301">
        <v>97.455835467451408</v>
      </c>
      <c r="R260" s="301">
        <v>51.651152390471211</v>
      </c>
      <c r="S260" s="300">
        <v>3.7348662385631108</v>
      </c>
      <c r="T260" s="891">
        <f t="shared" si="75"/>
        <v>2</v>
      </c>
      <c r="U260" s="1220">
        <v>5.7535409927368164E-2</v>
      </c>
      <c r="W260" s="299">
        <v>252</v>
      </c>
      <c r="X260" s="298">
        <f>IF('Donor Sample'!N277="",,IF('Donor Sample'!N277="F",1,0))</f>
        <v>0</v>
      </c>
      <c r="Y260" s="298" t="str">
        <f>IF('Donor Sample'!O277="","",'Donor Sample'!O277)</f>
        <v/>
      </c>
      <c r="Z260" s="298" t="str">
        <f>IF(AND('Donor Sample'!O277="",'Donor Sample'!P277="",'Donor Sample'!Q277=""),"",IF('Donor Sample'!P277="",ROUND(AA260/($C$32+($AI260-0.5)*$C$31),0),'Donor Sample'!P277))</f>
        <v/>
      </c>
      <c r="AA260" s="297" t="str">
        <f>IF('Donor Sample'!Q277="","",'Donor Sample'!Q277)</f>
        <v/>
      </c>
      <c r="AB260" s="296" t="str">
        <f t="shared" si="70"/>
        <v/>
      </c>
      <c r="AC260" s="295" t="str">
        <f>IF('Donor Sample'!R277="","",'Donor Sample'!R277)</f>
        <v/>
      </c>
      <c r="AD260" s="294" t="str">
        <f>IF('Donor Sample'!S277="","",'Donor Sample'!S277/100)</f>
        <v/>
      </c>
      <c r="AE260" s="293" t="e">
        <f t="shared" si="76"/>
        <v>#VALUE!</v>
      </c>
      <c r="AF260" s="293" t="str">
        <f t="shared" si="77"/>
        <v/>
      </c>
      <c r="AG260" s="292" t="str">
        <f>IF('Donor Sample'!T277="","",'Donor Sample'!T277)</f>
        <v/>
      </c>
      <c r="AH260" s="891">
        <f t="shared" si="78"/>
        <v>2</v>
      </c>
      <c r="AI260" s="1220">
        <v>0.13811373710632324</v>
      </c>
      <c r="AJ260" s="1216"/>
    </row>
    <row r="261" spans="5:36">
      <c r="E261" s="299">
        <v>253</v>
      </c>
      <c r="F261" s="308">
        <f t="shared" ca="1" si="66"/>
        <v>3549.0106604365305</v>
      </c>
      <c r="G261" s="307">
        <f t="shared" ca="1" si="67"/>
        <v>212.84251543208177</v>
      </c>
      <c r="H261" s="306">
        <f t="shared" ca="1" si="68"/>
        <v>0.42145700667347397</v>
      </c>
      <c r="I261" s="305">
        <f t="shared" ca="1" si="71"/>
        <v>133.90043782972933</v>
      </c>
      <c r="J261" s="305">
        <f t="shared" ca="1" si="72"/>
        <v>54.812734872271051</v>
      </c>
      <c r="K261" s="292">
        <f t="shared" ca="1" si="69"/>
        <v>2.7850846532685654</v>
      </c>
      <c r="L261" s="1290">
        <f t="shared" ca="1" si="73"/>
        <v>31.375576393906783</v>
      </c>
      <c r="M261" s="299">
        <v>253</v>
      </c>
      <c r="N261" s="304">
        <f t="shared" si="74"/>
        <v>4152.8473667659064</v>
      </c>
      <c r="O261" s="303">
        <v>250.16963706081597</v>
      </c>
      <c r="P261" s="302">
        <v>0.42399959049015817</v>
      </c>
      <c r="Q261" s="301">
        <v>128.17858491612682</v>
      </c>
      <c r="R261" s="301">
        <v>65.344545760813759</v>
      </c>
      <c r="S261" s="300">
        <v>1.3402501541498058</v>
      </c>
      <c r="T261" s="891">
        <f t="shared" si="75"/>
        <v>2</v>
      </c>
      <c r="U261" s="1220">
        <v>0.24607604742050171</v>
      </c>
      <c r="W261" s="299">
        <v>253</v>
      </c>
      <c r="X261" s="298">
        <f>IF('Donor Sample'!N278="",,IF('Donor Sample'!N278="F",1,0))</f>
        <v>0</v>
      </c>
      <c r="Y261" s="298" t="str">
        <f>IF('Donor Sample'!O278="","",'Donor Sample'!O278)</f>
        <v/>
      </c>
      <c r="Z261" s="298" t="str">
        <f>IF(AND('Donor Sample'!O278="",'Donor Sample'!P278="",'Donor Sample'!Q278=""),"",IF('Donor Sample'!P278="",ROUND(AA261/($C$32+($AI261-0.5)*$C$31),0),'Donor Sample'!P278))</f>
        <v/>
      </c>
      <c r="AA261" s="297" t="str">
        <f>IF('Donor Sample'!Q278="","",'Donor Sample'!Q278)</f>
        <v/>
      </c>
      <c r="AB261" s="296" t="str">
        <f t="shared" si="70"/>
        <v/>
      </c>
      <c r="AC261" s="295" t="str">
        <f>IF('Donor Sample'!R278="","",'Donor Sample'!R278)</f>
        <v/>
      </c>
      <c r="AD261" s="294" t="str">
        <f>IF('Donor Sample'!S278="","",'Donor Sample'!S278/100)</f>
        <v/>
      </c>
      <c r="AE261" s="407" t="e">
        <f t="shared" si="76"/>
        <v>#VALUE!</v>
      </c>
      <c r="AF261" s="293" t="str">
        <f t="shared" si="77"/>
        <v/>
      </c>
      <c r="AG261" s="292" t="str">
        <f>IF('Donor Sample'!T278="","",'Donor Sample'!T278)</f>
        <v/>
      </c>
      <c r="AH261" s="891">
        <f t="shared" si="78"/>
        <v>4</v>
      </c>
      <c r="AI261" s="1220">
        <v>0.36811059713363647</v>
      </c>
      <c r="AJ261" s="1216"/>
    </row>
    <row r="262" spans="5:36">
      <c r="E262" s="299">
        <v>254</v>
      </c>
      <c r="F262" s="308">
        <f t="shared" ca="1" si="66"/>
        <v>3620.123750789769</v>
      </c>
      <c r="G262" s="307">
        <f t="shared" ca="1" si="67"/>
        <v>236.89334189566944</v>
      </c>
      <c r="H262" s="306">
        <f t="shared" ca="1" si="68"/>
        <v>0.35607664670214434</v>
      </c>
      <c r="I262" s="305">
        <f t="shared" ca="1" si="71"/>
        <v>125.54911882718639</v>
      </c>
      <c r="J262" s="305">
        <f t="shared" ca="1" si="72"/>
        <v>58.165880092434463</v>
      </c>
      <c r="K262" s="292">
        <f t="shared" ca="1" si="69"/>
        <v>7.4843134118503549</v>
      </c>
      <c r="L262" s="1290">
        <f t="shared" ca="1" si="73"/>
        <v>26.124604280238845</v>
      </c>
      <c r="M262" s="299">
        <v>254</v>
      </c>
      <c r="N262" s="304">
        <f t="shared" si="74"/>
        <v>3818.4367922067077</v>
      </c>
      <c r="O262" s="303">
        <v>260.7261038100267</v>
      </c>
      <c r="P262" s="302">
        <v>0.42866101313643051</v>
      </c>
      <c r="Q262" s="301">
        <v>135.43046600014605</v>
      </c>
      <c r="R262" s="301">
        <v>59.038415776882914</v>
      </c>
      <c r="S262" s="300">
        <v>1.769124812163682</v>
      </c>
      <c r="T262" s="891">
        <f t="shared" si="75"/>
        <v>2</v>
      </c>
      <c r="U262" s="1220">
        <v>0.19821536540985107</v>
      </c>
      <c r="W262" s="299">
        <v>254</v>
      </c>
      <c r="X262" s="298">
        <f>IF('Donor Sample'!N279="",,IF('Donor Sample'!N279="F",1,0))</f>
        <v>0</v>
      </c>
      <c r="Y262" s="298" t="str">
        <f>IF('Donor Sample'!O279="","",'Donor Sample'!O279)</f>
        <v/>
      </c>
      <c r="Z262" s="298" t="str">
        <f>IF(AND('Donor Sample'!O279="",'Donor Sample'!P279="",'Donor Sample'!Q279=""),"",IF('Donor Sample'!P279="",ROUND(AA262/($C$32+($AI262-0.5)*$C$31),0),'Donor Sample'!P279))</f>
        <v/>
      </c>
      <c r="AA262" s="297" t="str">
        <f>IF('Donor Sample'!Q279="","",'Donor Sample'!Q279)</f>
        <v/>
      </c>
      <c r="AB262" s="296" t="str">
        <f t="shared" si="70"/>
        <v/>
      </c>
      <c r="AC262" s="295" t="str">
        <f>IF('Donor Sample'!R279="","",'Donor Sample'!R279)</f>
        <v/>
      </c>
      <c r="AD262" s="294" t="str">
        <f>IF('Donor Sample'!S279="","",'Donor Sample'!S279/100)</f>
        <v/>
      </c>
      <c r="AE262" s="293" t="e">
        <f t="shared" si="76"/>
        <v>#VALUE!</v>
      </c>
      <c r="AF262" s="293" t="str">
        <f t="shared" si="77"/>
        <v/>
      </c>
      <c r="AG262" s="292" t="str">
        <f>IF('Donor Sample'!T279="","",'Donor Sample'!T279)</f>
        <v/>
      </c>
      <c r="AH262" s="891">
        <f t="shared" si="78"/>
        <v>2</v>
      </c>
      <c r="AI262" s="1220">
        <v>0.24080312252044678</v>
      </c>
      <c r="AJ262" s="1216"/>
    </row>
    <row r="263" spans="5:36">
      <c r="E263" s="299">
        <v>255</v>
      </c>
      <c r="F263" s="308">
        <f t="shared" ca="1" si="66"/>
        <v>3130.4519692076924</v>
      </c>
      <c r="G263" s="307">
        <f t="shared" ca="1" si="67"/>
        <v>255.10061547948391</v>
      </c>
      <c r="H263" s="306">
        <f t="shared" ca="1" si="68"/>
        <v>0.39671978466791302</v>
      </c>
      <c r="I263" s="305">
        <f t="shared" ca="1" si="71"/>
        <v>101.58955778216327</v>
      </c>
      <c r="J263" s="305">
        <f t="shared" ca="1" si="72"/>
        <v>55.777070448806406</v>
      </c>
      <c r="K263" s="292">
        <f t="shared" ca="1" si="69"/>
        <v>1.351061386498069</v>
      </c>
      <c r="L263" s="1290">
        <f t="shared" ca="1" si="73"/>
        <v>22.98848379866585</v>
      </c>
      <c r="M263" s="299">
        <v>255</v>
      </c>
      <c r="N263" s="304">
        <f t="shared" si="74"/>
        <v>3627.6821861390254</v>
      </c>
      <c r="O263" s="303">
        <v>256.29904460282683</v>
      </c>
      <c r="P263" s="302">
        <v>0.37046051846571054</v>
      </c>
      <c r="Q263" s="301">
        <v>152.51807762583596</v>
      </c>
      <c r="R263" s="301">
        <v>50.987642732227606</v>
      </c>
      <c r="S263" s="300">
        <v>1.2746298049563829</v>
      </c>
      <c r="T263" s="891">
        <f t="shared" si="75"/>
        <v>16</v>
      </c>
      <c r="U263" s="1220">
        <v>0.97601372003555298</v>
      </c>
      <c r="W263" s="299">
        <v>255</v>
      </c>
      <c r="X263" s="298">
        <f>IF('Donor Sample'!N280="",,IF('Donor Sample'!N280="F",1,0))</f>
        <v>0</v>
      </c>
      <c r="Y263" s="298" t="str">
        <f>IF('Donor Sample'!O280="","",'Donor Sample'!O280)</f>
        <v/>
      </c>
      <c r="Z263" s="298" t="str">
        <f>IF(AND('Donor Sample'!O280="",'Donor Sample'!P280="",'Donor Sample'!Q280=""),"",IF('Donor Sample'!P280="",ROUND(AA263/($C$32+($AI263-0.5)*$C$31),0),'Donor Sample'!P280))</f>
        <v/>
      </c>
      <c r="AA263" s="297" t="str">
        <f>IF('Donor Sample'!Q280="","",'Donor Sample'!Q280)</f>
        <v/>
      </c>
      <c r="AB263" s="296" t="str">
        <f t="shared" si="70"/>
        <v/>
      </c>
      <c r="AC263" s="295" t="str">
        <f>IF('Donor Sample'!R280="","",'Donor Sample'!R280)</f>
        <v/>
      </c>
      <c r="AD263" s="294" t="str">
        <f>IF('Donor Sample'!S280="","",'Donor Sample'!S280/100)</f>
        <v/>
      </c>
      <c r="AE263" s="293" t="e">
        <f t="shared" si="76"/>
        <v>#VALUE!</v>
      </c>
      <c r="AF263" s="293" t="str">
        <f t="shared" si="77"/>
        <v/>
      </c>
      <c r="AG263" s="292" t="str">
        <f>IF('Donor Sample'!T280="","",'Donor Sample'!T280)</f>
        <v/>
      </c>
      <c r="AH263" s="891">
        <f t="shared" si="78"/>
        <v>2</v>
      </c>
      <c r="AI263" s="1220">
        <v>0.12217622995376587</v>
      </c>
      <c r="AJ263" s="1216"/>
    </row>
    <row r="264" spans="5:36">
      <c r="E264" s="299">
        <v>256</v>
      </c>
      <c r="F264" s="308">
        <f t="shared" ca="1" si="66"/>
        <v>3026.7863044181918</v>
      </c>
      <c r="G264" s="307">
        <f t="shared" ca="1" si="67"/>
        <v>241.46005724886726</v>
      </c>
      <c r="H264" s="306">
        <f t="shared" ca="1" si="68"/>
        <v>0.35917289496430849</v>
      </c>
      <c r="I264" s="305">
        <f t="shared" ca="1" si="71"/>
        <v>105.84687099884736</v>
      </c>
      <c r="J264" s="305">
        <f t="shared" ca="1" si="72"/>
        <v>52.649774307260458</v>
      </c>
      <c r="K264" s="292">
        <f t="shared" ca="1" si="69"/>
        <v>2.1941891152972817</v>
      </c>
      <c r="L264" s="1290">
        <f t="shared" ca="1" si="73"/>
        <v>26.881757286874944</v>
      </c>
      <c r="M264" s="299">
        <v>256</v>
      </c>
      <c r="N264" s="304">
        <f t="shared" si="74"/>
        <v>2938.7158149792385</v>
      </c>
      <c r="O264" s="303">
        <v>226.91906496933942</v>
      </c>
      <c r="P264" s="302">
        <v>0.41455464000135289</v>
      </c>
      <c r="Q264" s="301">
        <v>97.856278186651849</v>
      </c>
      <c r="R264" s="301">
        <v>53.215564089925593</v>
      </c>
      <c r="S264" s="300">
        <v>1.6358553854796081</v>
      </c>
      <c r="T264" s="891">
        <f t="shared" si="75"/>
        <v>2</v>
      </c>
      <c r="U264" s="1220">
        <v>0.17746973037719727</v>
      </c>
      <c r="W264" s="299">
        <v>256</v>
      </c>
      <c r="X264" s="298">
        <f>IF('Donor Sample'!N281="",,IF('Donor Sample'!N281="F",1,0))</f>
        <v>0</v>
      </c>
      <c r="Y264" s="298" t="str">
        <f>IF('Donor Sample'!O281="","",'Donor Sample'!O281)</f>
        <v/>
      </c>
      <c r="Z264" s="298" t="str">
        <f>IF(AND('Donor Sample'!O281="",'Donor Sample'!P281="",'Donor Sample'!Q281=""),"",IF('Donor Sample'!P281="",ROUND(AA264/($C$32+($AI264-0.5)*$C$31),0),'Donor Sample'!P281))</f>
        <v/>
      </c>
      <c r="AA264" s="297" t="str">
        <f>IF('Donor Sample'!Q281="","",'Donor Sample'!Q281)</f>
        <v/>
      </c>
      <c r="AB264" s="296" t="str">
        <f t="shared" si="70"/>
        <v/>
      </c>
      <c r="AC264" s="295" t="str">
        <f>IF('Donor Sample'!R281="","",'Donor Sample'!R281)</f>
        <v/>
      </c>
      <c r="AD264" s="294" t="str">
        <f>IF('Donor Sample'!S281="","",'Donor Sample'!S281/100)</f>
        <v/>
      </c>
      <c r="AE264" s="407" t="e">
        <f t="shared" si="76"/>
        <v>#VALUE!</v>
      </c>
      <c r="AF264" s="293" t="str">
        <f t="shared" si="77"/>
        <v/>
      </c>
      <c r="AG264" s="292" t="str">
        <f>IF('Donor Sample'!T281="","",'Donor Sample'!T281)</f>
        <v/>
      </c>
      <c r="AH264" s="891">
        <f t="shared" si="78"/>
        <v>4</v>
      </c>
      <c r="AI264" s="1220">
        <v>0.41720485687255859</v>
      </c>
      <c r="AJ264" s="1216"/>
    </row>
    <row r="265" spans="5:36">
      <c r="E265" s="299">
        <v>257</v>
      </c>
      <c r="F265" s="308">
        <f t="shared" ref="F265:F328" ca="1" si="79">NORMINV(NORMDIST($C$9,$C$7,$C$8,1)+RAND()*(NORMDIST($C$10,$C$7,$C$8,1)-NORMDIST($C$9,$C$7,$C$8,1)),$C$7,$C$8)</f>
        <v>2977.3147612752477</v>
      </c>
      <c r="G265" s="307">
        <f t="shared" ref="G265:G328" ca="1" si="80">NORMINV(NORMDIST($C$13,$C$11,$C$12,1)+RAND()*(NORMDIST($C$14,$C$11,$C$12,1)-NORMDIST($C$13,$C$11,$C$12,1)),$C$11,$C$12)</f>
        <v>181.29226430932039</v>
      </c>
      <c r="H265" s="306">
        <f t="shared" ref="H265:H328" ca="1" si="81">NORMINV(NORMDIST($C$17,$C$15,$C$16,1)+RAND()*(NORMDIST($C$18,$C$15,$C$16,1)-NORMDIST($C$17,$C$15,$C$16,1)),$C$15,$C$16)/100</f>
        <v>0.38441891719661525</v>
      </c>
      <c r="I265" s="305">
        <f t="shared" ca="1" si="71"/>
        <v>106.31801200039665</v>
      </c>
      <c r="J265" s="305">
        <f t="shared" ca="1" si="72"/>
        <v>51.497646968433557</v>
      </c>
      <c r="K265" s="292">
        <f t="shared" ref="K265:K328" ca="1" si="82">$C$23/($C$24+RAND())</f>
        <v>1.4980331610607582</v>
      </c>
      <c r="L265" s="1290">
        <f t="shared" ca="1" si="73"/>
        <v>28.223101331470779</v>
      </c>
      <c r="M265" s="299">
        <v>257</v>
      </c>
      <c r="N265" s="304">
        <f t="shared" si="74"/>
        <v>3889.4367411870189</v>
      </c>
      <c r="O265" s="303">
        <v>177.02515747782087</v>
      </c>
      <c r="P265" s="302">
        <v>0.38270151267638219</v>
      </c>
      <c r="Q265" s="301">
        <v>120.97819683924713</v>
      </c>
      <c r="R265" s="301">
        <v>63.220953981374173</v>
      </c>
      <c r="S265" s="300">
        <v>1.937320555241699</v>
      </c>
      <c r="T265" s="891">
        <f t="shared" si="75"/>
        <v>64</v>
      </c>
      <c r="U265" s="1220">
        <v>0.6560484766960144</v>
      </c>
      <c r="W265" s="299">
        <v>257</v>
      </c>
      <c r="X265" s="298">
        <f>IF('Donor Sample'!N282="",,IF('Donor Sample'!N282="F",1,0))</f>
        <v>0</v>
      </c>
      <c r="Y265" s="298" t="str">
        <f>IF('Donor Sample'!O282="","",'Donor Sample'!O282)</f>
        <v/>
      </c>
      <c r="Z265" s="298" t="str">
        <f>IF(AND('Donor Sample'!O282="",'Donor Sample'!P282="",'Donor Sample'!Q282=""),"",IF('Donor Sample'!P282="",ROUND(AA265/($C$32+($AI265-0.5)*$C$31),0),'Donor Sample'!P282))</f>
        <v/>
      </c>
      <c r="AA265" s="297" t="str">
        <f>IF('Donor Sample'!Q282="","",'Donor Sample'!Q282)</f>
        <v/>
      </c>
      <c r="AB265" s="296" t="str">
        <f t="shared" ref="AB265:AB308" si="83">IF(AND(Y265="",Z265="",AA265=""),"",IF(AA265="",IF(X265=0,604+IF($AB$2=1,0.006012,0.0003669)*Y265^3+IF($AB$2=1,14.6,32.187)*Z265,183+IF($AB$2=1,0.005835,0.0003561)*Y265^3+IF($AB$2=1,15,33.069)*Z265),AA265))</f>
        <v/>
      </c>
      <c r="AC265" s="295" t="str">
        <f>IF('Donor Sample'!R282="","",'Donor Sample'!R282)</f>
        <v/>
      </c>
      <c r="AD265" s="294" t="str">
        <f>IF('Donor Sample'!S282="","",'Donor Sample'!S282/100)</f>
        <v/>
      </c>
      <c r="AE265" s="293" t="e">
        <f t="shared" si="76"/>
        <v>#VALUE!</v>
      </c>
      <c r="AF265" s="293" t="str">
        <f t="shared" si="77"/>
        <v/>
      </c>
      <c r="AG265" s="292" t="str">
        <f>IF('Donor Sample'!T282="","",'Donor Sample'!T282)</f>
        <v/>
      </c>
      <c r="AH265" s="891">
        <f t="shared" si="78"/>
        <v>4</v>
      </c>
      <c r="AI265" s="1220">
        <v>0.40217512845993042</v>
      </c>
      <c r="AJ265" s="1216"/>
    </row>
    <row r="266" spans="5:36">
      <c r="E266" s="299">
        <v>258</v>
      </c>
      <c r="F266" s="308">
        <f t="shared" ca="1" si="79"/>
        <v>3930.7063568451613</v>
      </c>
      <c r="G266" s="307">
        <f t="shared" ca="1" si="80"/>
        <v>253.57710074137708</v>
      </c>
      <c r="H266" s="306">
        <f t="shared" ca="1" si="81"/>
        <v>0.36251836709621221</v>
      </c>
      <c r="I266" s="305">
        <f t="shared" ref="I266:I329" ca="1" si="84">F266/($C$32+(RAND()-0.5)*$C$31)</f>
        <v>131.16882272825742</v>
      </c>
      <c r="J266" s="305">
        <f t="shared" ref="J266:J329" ca="1" si="85">IF(AI266&lt;=$C$33,((F266-604-14.6*I266)/0.006012)^(1/3),((F266-183-15*I266)/0.005835)^(1/3))</f>
        <v>67.3194458585333</v>
      </c>
      <c r="K266" s="292">
        <f t="shared" ca="1" si="82"/>
        <v>7.0032528496123074</v>
      </c>
      <c r="L266" s="1290">
        <f t="shared" ref="L266:L329" ca="1" si="86">704*I266/J266^2</f>
        <v>20.376154031684301</v>
      </c>
      <c r="M266" s="299">
        <v>258</v>
      </c>
      <c r="N266" s="304">
        <f t="shared" ref="N266:N329" si="87">IF(AI266&gt;$C$33,183+0.005835*R266^3+15*Q266,604+0.006012*R266^3+14.6*Q266)</f>
        <v>2982.5048973991666</v>
      </c>
      <c r="O266" s="303">
        <v>207.98327943914541</v>
      </c>
      <c r="P266" s="302">
        <v>0.35733933187008565</v>
      </c>
      <c r="Q266" s="301">
        <v>109.37704669673224</v>
      </c>
      <c r="R266" s="301">
        <v>58.343886351309976</v>
      </c>
      <c r="S266" s="300">
        <v>3.1666108005000093</v>
      </c>
      <c r="T266" s="891">
        <f t="shared" ref="T266:T329" si="88">HLOOKUP(U266,$AL$32:$AT$34,3)</f>
        <v>256</v>
      </c>
      <c r="U266" s="1220">
        <v>0.90897190570831299</v>
      </c>
      <c r="W266" s="299">
        <v>258</v>
      </c>
      <c r="X266" s="298">
        <f>IF('Donor Sample'!N283="",,IF('Donor Sample'!N283="F",1,0))</f>
        <v>0</v>
      </c>
      <c r="Y266" s="298" t="str">
        <f>IF('Donor Sample'!O283="","",'Donor Sample'!O283)</f>
        <v/>
      </c>
      <c r="Z266" s="298" t="str">
        <f>IF(AND('Donor Sample'!O283="",'Donor Sample'!P283="",'Donor Sample'!Q283=""),"",IF('Donor Sample'!P283="",ROUND(AA266/($C$32+($AI266-0.5)*$C$31),0),'Donor Sample'!P283))</f>
        <v/>
      </c>
      <c r="AA266" s="297" t="str">
        <f>IF('Donor Sample'!Q283="","",'Donor Sample'!Q283)</f>
        <v/>
      </c>
      <c r="AB266" s="296" t="str">
        <f t="shared" si="83"/>
        <v/>
      </c>
      <c r="AC266" s="295" t="str">
        <f>IF('Donor Sample'!R283="","",'Donor Sample'!R283)</f>
        <v/>
      </c>
      <c r="AD266" s="294" t="str">
        <f>IF('Donor Sample'!S283="","",'Donor Sample'!S283/100)</f>
        <v/>
      </c>
      <c r="AE266" s="293" t="e">
        <f t="shared" ref="AE266:AE329" si="89">IF($AB$2=1,Z266,2.2*Z266)</f>
        <v>#VALUE!</v>
      </c>
      <c r="AF266" s="293" t="str">
        <f t="shared" ref="AF266:AF329" si="90">IF(AND(Y266="",AA266=""),"",IF(AA266="",IF($AB$2=1,Y266,Y266/2.54),IF(AI266&lt;=$C$33,((AB266-604-14.6*Z266)/0.006012)^(1/3),((AB266-183-15*Z266)/0.005835)^(1/3))))</f>
        <v/>
      </c>
      <c r="AG266" s="292" t="str">
        <f>IF('Donor Sample'!T283="","",'Donor Sample'!T283)</f>
        <v/>
      </c>
      <c r="AH266" s="891">
        <f t="shared" ref="AH266:AH329" si="91">HLOOKUP(AI266,$AL$32:$AT$34,3)</f>
        <v>32</v>
      </c>
      <c r="AI266" s="1220">
        <v>0.77459585666656494</v>
      </c>
      <c r="AJ266" s="1216"/>
    </row>
    <row r="267" spans="5:36">
      <c r="E267" s="299">
        <v>259</v>
      </c>
      <c r="F267" s="308">
        <f t="shared" ca="1" si="79"/>
        <v>2824.6787882471317</v>
      </c>
      <c r="G267" s="307">
        <f t="shared" ca="1" si="80"/>
        <v>287.66201821840286</v>
      </c>
      <c r="H267" s="306">
        <f t="shared" ca="1" si="81"/>
        <v>0.43443120551386022</v>
      </c>
      <c r="I267" s="305">
        <f t="shared" ca="1" si="84"/>
        <v>109.45800019018931</v>
      </c>
      <c r="J267" s="305">
        <f t="shared" ca="1" si="85"/>
        <v>55.542492204217524</v>
      </c>
      <c r="K267" s="292">
        <f t="shared" ca="1" si="82"/>
        <v>2.5463725095231546</v>
      </c>
      <c r="L267" s="1290">
        <f t="shared" ca="1" si="86"/>
        <v>24.97867761898712</v>
      </c>
      <c r="M267" s="299">
        <v>259</v>
      </c>
      <c r="N267" s="304">
        <f t="shared" si="87"/>
        <v>2964.7144527234054</v>
      </c>
      <c r="O267" s="303">
        <v>285.03291887916447</v>
      </c>
      <c r="P267" s="302">
        <v>0.38376504645231441</v>
      </c>
      <c r="Q267" s="301">
        <v>124.56857358918781</v>
      </c>
      <c r="R267" s="301">
        <v>53.889741970984197</v>
      </c>
      <c r="S267" s="300">
        <v>6.9562438726704183</v>
      </c>
      <c r="T267" s="891">
        <f t="shared" si="88"/>
        <v>2</v>
      </c>
      <c r="U267" s="1220">
        <v>0.27172261476516724</v>
      </c>
      <c r="W267" s="299">
        <v>259</v>
      </c>
      <c r="X267" s="298">
        <f>IF('Donor Sample'!N284="",,IF('Donor Sample'!N284="F",1,0))</f>
        <v>0</v>
      </c>
      <c r="Y267" s="298" t="str">
        <f>IF('Donor Sample'!O284="","",'Donor Sample'!O284)</f>
        <v/>
      </c>
      <c r="Z267" s="298" t="str">
        <f>IF(AND('Donor Sample'!O284="",'Donor Sample'!P284="",'Donor Sample'!Q284=""),"",IF('Donor Sample'!P284="",ROUND(AA267/($C$32+($AI267-0.5)*$C$31),0),'Donor Sample'!P284))</f>
        <v/>
      </c>
      <c r="AA267" s="297" t="str">
        <f>IF('Donor Sample'!Q284="","",'Donor Sample'!Q284)</f>
        <v/>
      </c>
      <c r="AB267" s="296" t="str">
        <f t="shared" si="83"/>
        <v/>
      </c>
      <c r="AC267" s="295" t="str">
        <f>IF('Donor Sample'!R284="","",'Donor Sample'!R284)</f>
        <v/>
      </c>
      <c r="AD267" s="294" t="str">
        <f>IF('Donor Sample'!S284="","",'Donor Sample'!S284/100)</f>
        <v/>
      </c>
      <c r="AE267" s="407" t="e">
        <f t="shared" si="89"/>
        <v>#VALUE!</v>
      </c>
      <c r="AF267" s="293" t="str">
        <f t="shared" si="90"/>
        <v/>
      </c>
      <c r="AG267" s="292" t="str">
        <f>IF('Donor Sample'!T284="","",'Donor Sample'!T284)</f>
        <v/>
      </c>
      <c r="AH267" s="891">
        <f t="shared" si="91"/>
        <v>256</v>
      </c>
      <c r="AI267" s="1220">
        <v>0.86283904314041138</v>
      </c>
      <c r="AJ267" s="1216"/>
    </row>
    <row r="268" spans="5:36">
      <c r="E268" s="299">
        <v>260</v>
      </c>
      <c r="F268" s="308">
        <f t="shared" ca="1" si="79"/>
        <v>2915.4311278868327</v>
      </c>
      <c r="G268" s="307">
        <f t="shared" ca="1" si="80"/>
        <v>255.24418556919832</v>
      </c>
      <c r="H268" s="306">
        <f t="shared" ca="1" si="81"/>
        <v>0.41553838418047911</v>
      </c>
      <c r="I268" s="305">
        <f t="shared" ca="1" si="84"/>
        <v>96.944517005646716</v>
      </c>
      <c r="J268" s="305">
        <f t="shared" ca="1" si="85"/>
        <v>53.019586018054099</v>
      </c>
      <c r="K268" s="292">
        <f t="shared" ca="1" si="82"/>
        <v>1.6570683988719566</v>
      </c>
      <c r="L268" s="1290">
        <f t="shared" ca="1" si="86"/>
        <v>24.278577952229373</v>
      </c>
      <c r="M268" s="299">
        <v>260</v>
      </c>
      <c r="N268" s="304">
        <f t="shared" si="87"/>
        <v>2747.1337830395996</v>
      </c>
      <c r="O268" s="303">
        <v>272.91158737704399</v>
      </c>
      <c r="P268" s="302">
        <v>0.4363339107659806</v>
      </c>
      <c r="Q268" s="301">
        <v>107.37336145408823</v>
      </c>
      <c r="R268" s="301">
        <v>45.744382380888872</v>
      </c>
      <c r="S268" s="300">
        <v>1.7419049434220046</v>
      </c>
      <c r="T268" s="891">
        <f t="shared" si="88"/>
        <v>2</v>
      </c>
      <c r="U268" s="1220">
        <v>0.25640749931335449</v>
      </c>
      <c r="W268" s="299">
        <v>260</v>
      </c>
      <c r="X268" s="298">
        <f>IF('Donor Sample'!N285="",,IF('Donor Sample'!N285="F",1,0))</f>
        <v>0</v>
      </c>
      <c r="Y268" s="298" t="str">
        <f>IF('Donor Sample'!O285="","",'Donor Sample'!O285)</f>
        <v/>
      </c>
      <c r="Z268" s="298" t="str">
        <f>IF(AND('Donor Sample'!O285="",'Donor Sample'!P285="",'Donor Sample'!Q285=""),"",IF('Donor Sample'!P285="",ROUND(AA268/($C$32+($AI268-0.5)*$C$31),0),'Donor Sample'!P285))</f>
        <v/>
      </c>
      <c r="AA268" s="297" t="str">
        <f>IF('Donor Sample'!Q285="","",'Donor Sample'!Q285)</f>
        <v/>
      </c>
      <c r="AB268" s="296" t="str">
        <f t="shared" si="83"/>
        <v/>
      </c>
      <c r="AC268" s="295" t="str">
        <f>IF('Donor Sample'!R285="","",'Donor Sample'!R285)</f>
        <v/>
      </c>
      <c r="AD268" s="294" t="str">
        <f>IF('Donor Sample'!S285="","",'Donor Sample'!S285/100)</f>
        <v/>
      </c>
      <c r="AE268" s="293" t="e">
        <f t="shared" si="89"/>
        <v>#VALUE!</v>
      </c>
      <c r="AF268" s="293" t="str">
        <f t="shared" si="90"/>
        <v/>
      </c>
      <c r="AG268" s="292" t="str">
        <f>IF('Donor Sample'!T285="","",'Donor Sample'!T285)</f>
        <v/>
      </c>
      <c r="AH268" s="891">
        <f t="shared" si="91"/>
        <v>4</v>
      </c>
      <c r="AI268" s="1220">
        <v>0.41909337043762207</v>
      </c>
      <c r="AJ268" s="1216"/>
    </row>
    <row r="269" spans="5:36">
      <c r="E269" s="299">
        <v>261</v>
      </c>
      <c r="F269" s="308">
        <f t="shared" ca="1" si="79"/>
        <v>3528.1926022127495</v>
      </c>
      <c r="G269" s="307">
        <f t="shared" ca="1" si="80"/>
        <v>288.33796861751995</v>
      </c>
      <c r="H269" s="306">
        <f t="shared" ca="1" si="81"/>
        <v>0.43730296600971569</v>
      </c>
      <c r="I269" s="305">
        <f t="shared" ca="1" si="84"/>
        <v>131.43592682109104</v>
      </c>
      <c r="J269" s="305">
        <f t="shared" ca="1" si="85"/>
        <v>61.746469849574524</v>
      </c>
      <c r="K269" s="292">
        <f t="shared" ca="1" si="82"/>
        <v>1.7143795469922076</v>
      </c>
      <c r="L269" s="1290">
        <f t="shared" ca="1" si="86"/>
        <v>24.269592507511334</v>
      </c>
      <c r="M269" s="299">
        <v>261</v>
      </c>
      <c r="N269" s="304">
        <f t="shared" si="87"/>
        <v>3243.2991388636456</v>
      </c>
      <c r="O269" s="303">
        <v>224.3651174254228</v>
      </c>
      <c r="P269" s="302">
        <v>0.37494609735173001</v>
      </c>
      <c r="Q269" s="301">
        <v>106.82431118770572</v>
      </c>
      <c r="R269" s="301">
        <v>62.984310779447192</v>
      </c>
      <c r="S269" s="300">
        <v>3.6829637533772686</v>
      </c>
      <c r="T269" s="891">
        <f t="shared" si="88"/>
        <v>32</v>
      </c>
      <c r="U269" s="1220">
        <v>0.77104181051254272</v>
      </c>
      <c r="W269" s="299">
        <v>261</v>
      </c>
      <c r="X269" s="298">
        <f>IF('Donor Sample'!N286="",,IF('Donor Sample'!N286="F",1,0))</f>
        <v>0</v>
      </c>
      <c r="Y269" s="298" t="str">
        <f>IF('Donor Sample'!O286="","",'Donor Sample'!O286)</f>
        <v/>
      </c>
      <c r="Z269" s="298" t="str">
        <f>IF(AND('Donor Sample'!O286="",'Donor Sample'!P286="",'Donor Sample'!Q286=""),"",IF('Donor Sample'!P286="",ROUND(AA269/($C$32+($AI269-0.5)*$C$31),0),'Donor Sample'!P286))</f>
        <v/>
      </c>
      <c r="AA269" s="297" t="str">
        <f>IF('Donor Sample'!Q286="","",'Donor Sample'!Q286)</f>
        <v/>
      </c>
      <c r="AB269" s="296" t="str">
        <f t="shared" si="83"/>
        <v/>
      </c>
      <c r="AC269" s="295" t="str">
        <f>IF('Donor Sample'!R286="","",'Donor Sample'!R286)</f>
        <v/>
      </c>
      <c r="AD269" s="294" t="str">
        <f>IF('Donor Sample'!S286="","",'Donor Sample'!S286/100)</f>
        <v/>
      </c>
      <c r="AE269" s="293" t="e">
        <f t="shared" si="89"/>
        <v>#VALUE!</v>
      </c>
      <c r="AF269" s="293" t="str">
        <f t="shared" si="90"/>
        <v/>
      </c>
      <c r="AG269" s="292" t="str">
        <f>IF('Donor Sample'!T286="","",'Donor Sample'!T286)</f>
        <v/>
      </c>
      <c r="AH269" s="891">
        <f t="shared" si="91"/>
        <v>16</v>
      </c>
      <c r="AI269" s="1220">
        <v>0.97487872838973999</v>
      </c>
      <c r="AJ269" s="1216"/>
    </row>
    <row r="270" spans="5:36">
      <c r="E270" s="299">
        <v>262</v>
      </c>
      <c r="F270" s="308">
        <f t="shared" ca="1" si="79"/>
        <v>3584.9284032278683</v>
      </c>
      <c r="G270" s="307">
        <f t="shared" ca="1" si="80"/>
        <v>240.9867354358276</v>
      </c>
      <c r="H270" s="306">
        <f t="shared" ca="1" si="81"/>
        <v>0.35948062454756907</v>
      </c>
      <c r="I270" s="305">
        <f t="shared" ca="1" si="84"/>
        <v>131.42673657368172</v>
      </c>
      <c r="J270" s="305">
        <f t="shared" ca="1" si="85"/>
        <v>56.11106947500484</v>
      </c>
      <c r="K270" s="292">
        <f t="shared" ca="1" si="82"/>
        <v>1.4118342916045887</v>
      </c>
      <c r="L270" s="1290">
        <f t="shared" ca="1" si="86"/>
        <v>29.387273203174658</v>
      </c>
      <c r="M270" s="299">
        <v>262</v>
      </c>
      <c r="N270" s="304">
        <f t="shared" si="87"/>
        <v>3172.9414226592025</v>
      </c>
      <c r="O270" s="303">
        <v>234.46909176169547</v>
      </c>
      <c r="P270" s="302">
        <v>0.36774649401368897</v>
      </c>
      <c r="Q270" s="301">
        <v>131.50617420388838</v>
      </c>
      <c r="R270" s="301">
        <v>47.613602323398901</v>
      </c>
      <c r="S270" s="300">
        <v>1.3160373891939232</v>
      </c>
      <c r="T270" s="891">
        <f t="shared" si="88"/>
        <v>64</v>
      </c>
      <c r="U270" s="1220">
        <v>0.75857198238372803</v>
      </c>
      <c r="W270" s="299">
        <v>262</v>
      </c>
      <c r="X270" s="298">
        <f>IF('Donor Sample'!N287="",,IF('Donor Sample'!N287="F",1,0))</f>
        <v>0</v>
      </c>
      <c r="Y270" s="298" t="str">
        <f>IF('Donor Sample'!O287="","",'Donor Sample'!O287)</f>
        <v/>
      </c>
      <c r="Z270" s="298" t="str">
        <f>IF(AND('Donor Sample'!O287="",'Donor Sample'!P287="",'Donor Sample'!Q287=""),"",IF('Donor Sample'!P287="",ROUND(AA270/($C$32+($AI270-0.5)*$C$31),0),'Donor Sample'!P287))</f>
        <v/>
      </c>
      <c r="AA270" s="297" t="str">
        <f>IF('Donor Sample'!Q287="","",'Donor Sample'!Q287)</f>
        <v/>
      </c>
      <c r="AB270" s="296" t="str">
        <f t="shared" si="83"/>
        <v/>
      </c>
      <c r="AC270" s="295" t="str">
        <f>IF('Donor Sample'!R287="","",'Donor Sample'!R287)</f>
        <v/>
      </c>
      <c r="AD270" s="294" t="str">
        <f>IF('Donor Sample'!S287="","",'Donor Sample'!S287/100)</f>
        <v/>
      </c>
      <c r="AE270" s="407" t="e">
        <f t="shared" si="89"/>
        <v>#VALUE!</v>
      </c>
      <c r="AF270" s="293" t="str">
        <f t="shared" si="90"/>
        <v/>
      </c>
      <c r="AG270" s="292" t="str">
        <f>IF('Donor Sample'!T287="","",'Donor Sample'!T287)</f>
        <v/>
      </c>
      <c r="AH270" s="891">
        <f t="shared" si="91"/>
        <v>64</v>
      </c>
      <c r="AI270" s="1220">
        <v>0.57137763500213623</v>
      </c>
      <c r="AJ270" s="1216"/>
    </row>
    <row r="271" spans="5:36">
      <c r="E271" s="299">
        <v>263</v>
      </c>
      <c r="F271" s="308">
        <f t="shared" ca="1" si="79"/>
        <v>2677.1365847624329</v>
      </c>
      <c r="G271" s="307">
        <f t="shared" ca="1" si="80"/>
        <v>171.59779168787912</v>
      </c>
      <c r="H271" s="306">
        <f t="shared" ca="1" si="81"/>
        <v>0.39944066246754079</v>
      </c>
      <c r="I271" s="305">
        <f t="shared" ca="1" si="84"/>
        <v>92.191081581378981</v>
      </c>
      <c r="J271" s="305">
        <f t="shared" ca="1" si="85"/>
        <v>49.453956274581543</v>
      </c>
      <c r="K271" s="292">
        <f t="shared" ca="1" si="82"/>
        <v>4.8895859206806307</v>
      </c>
      <c r="L271" s="1290">
        <f t="shared" ca="1" si="86"/>
        <v>26.53746829083931</v>
      </c>
      <c r="M271" s="299">
        <v>263</v>
      </c>
      <c r="N271" s="304">
        <f t="shared" si="87"/>
        <v>3601.2924125373411</v>
      </c>
      <c r="O271" s="303">
        <v>217.08665141591948</v>
      </c>
      <c r="P271" s="302">
        <v>0.38501048201996046</v>
      </c>
      <c r="Q271" s="301">
        <v>123.68245347052496</v>
      </c>
      <c r="R271" s="301">
        <v>58.303572340983031</v>
      </c>
      <c r="S271" s="300">
        <v>3.4472698949134477</v>
      </c>
      <c r="T271" s="891">
        <f t="shared" si="88"/>
        <v>4</v>
      </c>
      <c r="U271" s="1220">
        <v>0.38918215036392212</v>
      </c>
      <c r="W271" s="299">
        <v>263</v>
      </c>
      <c r="X271" s="298">
        <f>IF('Donor Sample'!N288="",,IF('Donor Sample'!N288="F",1,0))</f>
        <v>0</v>
      </c>
      <c r="Y271" s="298" t="str">
        <f>IF('Donor Sample'!O288="","",'Donor Sample'!O288)</f>
        <v/>
      </c>
      <c r="Z271" s="298" t="str">
        <f>IF(AND('Donor Sample'!O288="",'Donor Sample'!P288="",'Donor Sample'!Q288=""),"",IF('Donor Sample'!P288="",ROUND(AA271/($C$32+($AI271-0.5)*$C$31),0),'Donor Sample'!P288))</f>
        <v/>
      </c>
      <c r="AA271" s="297" t="str">
        <f>IF('Donor Sample'!Q288="","",'Donor Sample'!Q288)</f>
        <v/>
      </c>
      <c r="AB271" s="296" t="str">
        <f t="shared" si="83"/>
        <v/>
      </c>
      <c r="AC271" s="295" t="str">
        <f>IF('Donor Sample'!R288="","",'Donor Sample'!R288)</f>
        <v/>
      </c>
      <c r="AD271" s="294" t="str">
        <f>IF('Donor Sample'!S288="","",'Donor Sample'!S288/100)</f>
        <v/>
      </c>
      <c r="AE271" s="293" t="e">
        <f t="shared" si="89"/>
        <v>#VALUE!</v>
      </c>
      <c r="AF271" s="293" t="str">
        <f t="shared" si="90"/>
        <v/>
      </c>
      <c r="AG271" s="292" t="str">
        <f>IF('Donor Sample'!T288="","",'Donor Sample'!T288)</f>
        <v/>
      </c>
      <c r="AH271" s="891">
        <f t="shared" si="91"/>
        <v>2</v>
      </c>
      <c r="AI271" s="1220">
        <v>0.17781597375869751</v>
      </c>
      <c r="AJ271" s="1216"/>
    </row>
    <row r="272" spans="5:36">
      <c r="E272" s="299">
        <v>264</v>
      </c>
      <c r="F272" s="308">
        <f t="shared" ca="1" si="79"/>
        <v>3761.4195617406785</v>
      </c>
      <c r="G272" s="307">
        <f t="shared" ca="1" si="80"/>
        <v>249.30116919758748</v>
      </c>
      <c r="H272" s="306">
        <f t="shared" ca="1" si="81"/>
        <v>0.37951399395805979</v>
      </c>
      <c r="I272" s="305">
        <f t="shared" ca="1" si="84"/>
        <v>144.58997560682255</v>
      </c>
      <c r="J272" s="305">
        <f t="shared" ca="1" si="85"/>
        <v>55.833356698745106</v>
      </c>
      <c r="K272" s="292">
        <f t="shared" ca="1" si="82"/>
        <v>4.331769950547554</v>
      </c>
      <c r="L272" s="1290">
        <f t="shared" ca="1" si="86"/>
        <v>32.653020937531956</v>
      </c>
      <c r="M272" s="299">
        <v>264</v>
      </c>
      <c r="N272" s="304">
        <f t="shared" si="87"/>
        <v>2551.5965436694514</v>
      </c>
      <c r="O272" s="303">
        <v>281.7184348998137</v>
      </c>
      <c r="P272" s="302">
        <v>0.45035370928189589</v>
      </c>
      <c r="Q272" s="301">
        <v>96.08531114801886</v>
      </c>
      <c r="R272" s="301">
        <v>44.915167297351559</v>
      </c>
      <c r="S272" s="300">
        <v>1.3227705533061338</v>
      </c>
      <c r="T272" s="891">
        <f t="shared" si="88"/>
        <v>2</v>
      </c>
      <c r="U272" s="1220">
        <v>0.15524959564208984</v>
      </c>
      <c r="W272" s="299">
        <v>264</v>
      </c>
      <c r="X272" s="298">
        <f>IF('Donor Sample'!N289="",,IF('Donor Sample'!N289="F",1,0))</f>
        <v>0</v>
      </c>
      <c r="Y272" s="298" t="str">
        <f>IF('Donor Sample'!O289="","",'Donor Sample'!O289)</f>
        <v/>
      </c>
      <c r="Z272" s="298" t="str">
        <f>IF(AND('Donor Sample'!O289="",'Donor Sample'!P289="",'Donor Sample'!Q289=""),"",IF('Donor Sample'!P289="",ROUND(AA272/($C$32+($AI272-0.5)*$C$31),0),'Donor Sample'!P289))</f>
        <v/>
      </c>
      <c r="AA272" s="297" t="str">
        <f>IF('Donor Sample'!Q289="","",'Donor Sample'!Q289)</f>
        <v/>
      </c>
      <c r="AB272" s="296" t="str">
        <f t="shared" si="83"/>
        <v/>
      </c>
      <c r="AC272" s="295" t="str">
        <f>IF('Donor Sample'!R289="","",'Donor Sample'!R289)</f>
        <v/>
      </c>
      <c r="AD272" s="294" t="str">
        <f>IF('Donor Sample'!S289="","",'Donor Sample'!S289/100)</f>
        <v/>
      </c>
      <c r="AE272" s="293" t="e">
        <f t="shared" si="89"/>
        <v>#VALUE!</v>
      </c>
      <c r="AF272" s="293" t="str">
        <f t="shared" si="90"/>
        <v/>
      </c>
      <c r="AG272" s="292" t="str">
        <f>IF('Donor Sample'!T289="","",'Donor Sample'!T289)</f>
        <v/>
      </c>
      <c r="AH272" s="891">
        <f t="shared" si="91"/>
        <v>64</v>
      </c>
      <c r="AI272" s="1220">
        <v>0.60819578170776367</v>
      </c>
      <c r="AJ272" s="1216"/>
    </row>
    <row r="273" spans="5:36">
      <c r="E273" s="299">
        <v>265</v>
      </c>
      <c r="F273" s="308">
        <f t="shared" ca="1" si="79"/>
        <v>2969.4098339311749</v>
      </c>
      <c r="G273" s="307">
        <f t="shared" ca="1" si="80"/>
        <v>239.75681675703123</v>
      </c>
      <c r="H273" s="306">
        <f t="shared" ca="1" si="81"/>
        <v>0.43195861398847751</v>
      </c>
      <c r="I273" s="305">
        <f t="shared" ca="1" si="84"/>
        <v>103.73219836650905</v>
      </c>
      <c r="J273" s="305">
        <f t="shared" ca="1" si="85"/>
        <v>52.11425598483595</v>
      </c>
      <c r="K273" s="292">
        <f t="shared" ca="1" si="82"/>
        <v>4.6253192693317864</v>
      </c>
      <c r="L273" s="1290">
        <f t="shared" ca="1" si="86"/>
        <v>26.888907505696796</v>
      </c>
      <c r="M273" s="299">
        <v>265</v>
      </c>
      <c r="N273" s="304">
        <f t="shared" si="87"/>
        <v>3465.1769855424182</v>
      </c>
      <c r="O273" s="303">
        <v>229.87977118241253</v>
      </c>
      <c r="P273" s="302">
        <v>0.43248087943538882</v>
      </c>
      <c r="Q273" s="301">
        <v>130.16524287783952</v>
      </c>
      <c r="R273" s="301">
        <v>54.266604642679916</v>
      </c>
      <c r="S273" s="300">
        <v>11.35702748766658</v>
      </c>
      <c r="T273" s="891">
        <f t="shared" si="88"/>
        <v>64</v>
      </c>
      <c r="U273" s="1220">
        <v>0.57085341215133667</v>
      </c>
      <c r="W273" s="299">
        <v>265</v>
      </c>
      <c r="X273" s="298">
        <f>IF('Donor Sample'!N290="",,IF('Donor Sample'!N290="F",1,0))</f>
        <v>0</v>
      </c>
      <c r="Y273" s="298" t="str">
        <f>IF('Donor Sample'!O290="","",'Donor Sample'!O290)</f>
        <v/>
      </c>
      <c r="Z273" s="298" t="str">
        <f>IF(AND('Donor Sample'!O290="",'Donor Sample'!P290="",'Donor Sample'!Q290=""),"",IF('Donor Sample'!P290="",ROUND(AA273/($C$32+($AI273-0.5)*$C$31),0),'Donor Sample'!P290))</f>
        <v/>
      </c>
      <c r="AA273" s="297" t="str">
        <f>IF('Donor Sample'!Q290="","",'Donor Sample'!Q290)</f>
        <v/>
      </c>
      <c r="AB273" s="296" t="str">
        <f t="shared" si="83"/>
        <v/>
      </c>
      <c r="AC273" s="295" t="str">
        <f>IF('Donor Sample'!R290="","",'Donor Sample'!R290)</f>
        <v/>
      </c>
      <c r="AD273" s="294" t="str">
        <f>IF('Donor Sample'!S290="","",'Donor Sample'!S290/100)</f>
        <v/>
      </c>
      <c r="AE273" s="407" t="e">
        <f t="shared" si="89"/>
        <v>#VALUE!</v>
      </c>
      <c r="AF273" s="293" t="str">
        <f t="shared" si="90"/>
        <v/>
      </c>
      <c r="AG273" s="292" t="str">
        <f>IF('Donor Sample'!T290="","",'Donor Sample'!T290)</f>
        <v/>
      </c>
      <c r="AH273" s="891">
        <f t="shared" si="91"/>
        <v>2</v>
      </c>
      <c r="AI273" s="1220">
        <v>0.25547188520431519</v>
      </c>
      <c r="AJ273" s="1216"/>
    </row>
    <row r="274" spans="5:36">
      <c r="E274" s="299">
        <v>266</v>
      </c>
      <c r="F274" s="308">
        <f t="shared" ca="1" si="79"/>
        <v>3063.7886363074776</v>
      </c>
      <c r="G274" s="307">
        <f t="shared" ca="1" si="80"/>
        <v>232.84503208905198</v>
      </c>
      <c r="H274" s="306">
        <f t="shared" ca="1" si="81"/>
        <v>0.35335464168847663</v>
      </c>
      <c r="I274" s="305">
        <f t="shared" ca="1" si="84"/>
        <v>107.55555975865454</v>
      </c>
      <c r="J274" s="305">
        <f t="shared" ca="1" si="85"/>
        <v>52.88980823656393</v>
      </c>
      <c r="K274" s="292">
        <f t="shared" ca="1" si="82"/>
        <v>19.875717115628454</v>
      </c>
      <c r="L274" s="1290">
        <f t="shared" ca="1" si="86"/>
        <v>27.068334780998658</v>
      </c>
      <c r="M274" s="299">
        <v>266</v>
      </c>
      <c r="N274" s="304">
        <f t="shared" si="87"/>
        <v>4188.4505112015167</v>
      </c>
      <c r="O274" s="303">
        <v>319.73286067748529</v>
      </c>
      <c r="P274" s="302">
        <v>0.47507707740862926</v>
      </c>
      <c r="Q274" s="301">
        <v>176.22691022568637</v>
      </c>
      <c r="R274" s="301">
        <v>55.20617901671627</v>
      </c>
      <c r="S274" s="300">
        <v>3.1678162234980149</v>
      </c>
      <c r="T274" s="891">
        <f t="shared" si="88"/>
        <v>2</v>
      </c>
      <c r="U274" s="1220">
        <v>0.12012350559234619</v>
      </c>
      <c r="W274" s="299">
        <v>266</v>
      </c>
      <c r="X274" s="298">
        <f>IF('Donor Sample'!N291="",,IF('Donor Sample'!N291="F",1,0))</f>
        <v>0</v>
      </c>
      <c r="Y274" s="298" t="str">
        <f>IF('Donor Sample'!O291="","",'Donor Sample'!O291)</f>
        <v/>
      </c>
      <c r="Z274" s="298" t="str">
        <f>IF(AND('Donor Sample'!O291="",'Donor Sample'!P291="",'Donor Sample'!Q291=""),"",IF('Donor Sample'!P291="",ROUND(AA274/($C$32+($AI274-0.5)*$C$31),0),'Donor Sample'!P291))</f>
        <v/>
      </c>
      <c r="AA274" s="297" t="str">
        <f>IF('Donor Sample'!Q291="","",'Donor Sample'!Q291)</f>
        <v/>
      </c>
      <c r="AB274" s="296" t="str">
        <f t="shared" si="83"/>
        <v/>
      </c>
      <c r="AC274" s="295" t="str">
        <f>IF('Donor Sample'!R291="","",'Donor Sample'!R291)</f>
        <v/>
      </c>
      <c r="AD274" s="294" t="str">
        <f>IF('Donor Sample'!S291="","",'Donor Sample'!S291/100)</f>
        <v/>
      </c>
      <c r="AE274" s="293" t="e">
        <f t="shared" si="89"/>
        <v>#VALUE!</v>
      </c>
      <c r="AF274" s="293" t="str">
        <f t="shared" si="90"/>
        <v/>
      </c>
      <c r="AG274" s="292" t="str">
        <f>IF('Donor Sample'!T291="","",'Donor Sample'!T291)</f>
        <v/>
      </c>
      <c r="AH274" s="891">
        <f t="shared" si="91"/>
        <v>64</v>
      </c>
      <c r="AI274" s="1220">
        <v>0.43589699268341064</v>
      </c>
      <c r="AJ274" s="1216"/>
    </row>
    <row r="275" spans="5:36">
      <c r="E275" s="299">
        <v>267</v>
      </c>
      <c r="F275" s="308">
        <f t="shared" ca="1" si="79"/>
        <v>2993.3848159112808</v>
      </c>
      <c r="G275" s="307">
        <f t="shared" ca="1" si="80"/>
        <v>266.44282476265045</v>
      </c>
      <c r="H275" s="306">
        <f t="shared" ca="1" si="81"/>
        <v>0.38299047337554648</v>
      </c>
      <c r="I275" s="305">
        <f t="shared" ca="1" si="84"/>
        <v>111.35880060069761</v>
      </c>
      <c r="J275" s="305">
        <f t="shared" ca="1" si="85"/>
        <v>50.265746904354422</v>
      </c>
      <c r="K275" s="292">
        <f t="shared" ca="1" si="82"/>
        <v>1.8231654806652857</v>
      </c>
      <c r="L275" s="1290">
        <f t="shared" ca="1" si="86"/>
        <v>31.027938609004146</v>
      </c>
      <c r="M275" s="299">
        <v>267</v>
      </c>
      <c r="N275" s="304">
        <f t="shared" si="87"/>
        <v>2831.1878146624299</v>
      </c>
      <c r="O275" s="303">
        <v>255.80349019917568</v>
      </c>
      <c r="P275" s="302">
        <v>0.41177793901060811</v>
      </c>
      <c r="Q275" s="301">
        <v>98.46594493733781</v>
      </c>
      <c r="R275" s="301">
        <v>50.830764611302705</v>
      </c>
      <c r="S275" s="300">
        <v>2.9275436952858072</v>
      </c>
      <c r="T275" s="891">
        <f t="shared" si="88"/>
        <v>2</v>
      </c>
      <c r="U275" s="1220">
        <v>0.27156859636306763</v>
      </c>
      <c r="W275" s="299">
        <v>267</v>
      </c>
      <c r="X275" s="298">
        <f>IF('Donor Sample'!N292="",,IF('Donor Sample'!N292="F",1,0))</f>
        <v>0</v>
      </c>
      <c r="Y275" s="298" t="str">
        <f>IF('Donor Sample'!O292="","",'Donor Sample'!O292)</f>
        <v/>
      </c>
      <c r="Z275" s="298" t="str">
        <f>IF(AND('Donor Sample'!O292="",'Donor Sample'!P292="",'Donor Sample'!Q292=""),"",IF('Donor Sample'!P292="",ROUND(AA275/($C$32+($AI275-0.5)*$C$31),0),'Donor Sample'!P292))</f>
        <v/>
      </c>
      <c r="AA275" s="297" t="str">
        <f>IF('Donor Sample'!Q292="","",'Donor Sample'!Q292)</f>
        <v/>
      </c>
      <c r="AB275" s="296" t="str">
        <f t="shared" si="83"/>
        <v/>
      </c>
      <c r="AC275" s="295" t="str">
        <f>IF('Donor Sample'!R292="","",'Donor Sample'!R292)</f>
        <v/>
      </c>
      <c r="AD275" s="294" t="str">
        <f>IF('Donor Sample'!S292="","",'Donor Sample'!S292/100)</f>
        <v/>
      </c>
      <c r="AE275" s="293" t="e">
        <f t="shared" si="89"/>
        <v>#VALUE!</v>
      </c>
      <c r="AF275" s="293" t="str">
        <f t="shared" si="90"/>
        <v/>
      </c>
      <c r="AG275" s="292" t="str">
        <f>IF('Donor Sample'!T292="","",'Donor Sample'!T292)</f>
        <v/>
      </c>
      <c r="AH275" s="891">
        <f t="shared" si="91"/>
        <v>64</v>
      </c>
      <c r="AI275" s="1220">
        <v>0.71536141633987427</v>
      </c>
      <c r="AJ275" s="1216"/>
    </row>
    <row r="276" spans="5:36">
      <c r="E276" s="299">
        <v>268</v>
      </c>
      <c r="F276" s="308">
        <f t="shared" ca="1" si="79"/>
        <v>3404.6899374415507</v>
      </c>
      <c r="G276" s="307">
        <f t="shared" ca="1" si="80"/>
        <v>253.6919766536966</v>
      </c>
      <c r="H276" s="306">
        <f t="shared" ca="1" si="81"/>
        <v>0.3868296532869705</v>
      </c>
      <c r="I276" s="305">
        <f t="shared" ca="1" si="84"/>
        <v>124.04107798661363</v>
      </c>
      <c r="J276" s="305">
        <f t="shared" ca="1" si="85"/>
        <v>61.557399936448327</v>
      </c>
      <c r="K276" s="292">
        <f t="shared" ca="1" si="82"/>
        <v>1.7049004548681252</v>
      </c>
      <c r="L276" s="1290">
        <f t="shared" ca="1" si="86"/>
        <v>23.045050034429725</v>
      </c>
      <c r="M276" s="299">
        <v>268</v>
      </c>
      <c r="N276" s="304">
        <f t="shared" si="87"/>
        <v>3099.0728688519039</v>
      </c>
      <c r="O276" s="303">
        <v>252.18234498176676</v>
      </c>
      <c r="P276" s="302">
        <v>0.3539259761406226</v>
      </c>
      <c r="Q276" s="301">
        <v>105.86708068290852</v>
      </c>
      <c r="R276" s="301">
        <v>61.055717296679674</v>
      </c>
      <c r="S276" s="300">
        <v>4.2436192769514065</v>
      </c>
      <c r="T276" s="891">
        <f t="shared" si="88"/>
        <v>256</v>
      </c>
      <c r="U276" s="1220">
        <v>0.85696721076965332</v>
      </c>
      <c r="W276" s="299">
        <v>268</v>
      </c>
      <c r="X276" s="298">
        <f>IF('Donor Sample'!N293="",,IF('Donor Sample'!N293="F",1,0))</f>
        <v>0</v>
      </c>
      <c r="Y276" s="298" t="str">
        <f>IF('Donor Sample'!O293="","",'Donor Sample'!O293)</f>
        <v/>
      </c>
      <c r="Z276" s="298" t="str">
        <f>IF(AND('Donor Sample'!O293="",'Donor Sample'!P293="",'Donor Sample'!Q293=""),"",IF('Donor Sample'!P293="",ROUND(AA276/($C$32+($AI276-0.5)*$C$31),0),'Donor Sample'!P293))</f>
        <v/>
      </c>
      <c r="AA276" s="297" t="str">
        <f>IF('Donor Sample'!Q293="","",'Donor Sample'!Q293)</f>
        <v/>
      </c>
      <c r="AB276" s="296" t="str">
        <f t="shared" si="83"/>
        <v/>
      </c>
      <c r="AC276" s="295" t="str">
        <f>IF('Donor Sample'!R293="","",'Donor Sample'!R293)</f>
        <v/>
      </c>
      <c r="AD276" s="294" t="str">
        <f>IF('Donor Sample'!S293="","",'Donor Sample'!S293/100)</f>
        <v/>
      </c>
      <c r="AE276" s="407" t="e">
        <f t="shared" si="89"/>
        <v>#VALUE!</v>
      </c>
      <c r="AF276" s="293" t="str">
        <f t="shared" si="90"/>
        <v/>
      </c>
      <c r="AG276" s="292" t="str">
        <f>IF('Donor Sample'!T293="","",'Donor Sample'!T293)</f>
        <v/>
      </c>
      <c r="AH276" s="891">
        <f t="shared" si="91"/>
        <v>256</v>
      </c>
      <c r="AI276" s="1220">
        <v>0.8522489070892334</v>
      </c>
      <c r="AJ276" s="1216"/>
    </row>
    <row r="277" spans="5:36">
      <c r="E277" s="299">
        <v>269</v>
      </c>
      <c r="F277" s="308">
        <f t="shared" ca="1" si="79"/>
        <v>3021.0154441539121</v>
      </c>
      <c r="G277" s="307">
        <f t="shared" ca="1" si="80"/>
        <v>236.33673618864429</v>
      </c>
      <c r="H277" s="306">
        <f t="shared" ca="1" si="81"/>
        <v>0.37239462757387065</v>
      </c>
      <c r="I277" s="305">
        <f t="shared" ca="1" si="84"/>
        <v>126.79975614045581</v>
      </c>
      <c r="J277" s="305">
        <f t="shared" ca="1" si="85"/>
        <v>45.484740013591676</v>
      </c>
      <c r="K277" s="292">
        <f t="shared" ca="1" si="82"/>
        <v>1.4631564288091523</v>
      </c>
      <c r="L277" s="1290">
        <f t="shared" ca="1" si="86"/>
        <v>43.147898071208665</v>
      </c>
      <c r="M277" s="299">
        <v>269</v>
      </c>
      <c r="N277" s="304">
        <f t="shared" si="87"/>
        <v>2977.417860305105</v>
      </c>
      <c r="O277" s="303">
        <v>264.89345634303299</v>
      </c>
      <c r="P277" s="302">
        <v>0.45620203732524095</v>
      </c>
      <c r="Q277" s="301">
        <v>107.11352700964318</v>
      </c>
      <c r="R277" s="301">
        <v>51.25584787809872</v>
      </c>
      <c r="S277" s="300">
        <v>4.8762320802193972</v>
      </c>
      <c r="T277" s="891">
        <f t="shared" si="88"/>
        <v>64</v>
      </c>
      <c r="U277" s="1220">
        <v>0.66906970739364624</v>
      </c>
      <c r="W277" s="299">
        <v>269</v>
      </c>
      <c r="X277" s="298">
        <f>IF('Donor Sample'!N294="",,IF('Donor Sample'!N294="F",1,0))</f>
        <v>0</v>
      </c>
      <c r="Y277" s="298" t="str">
        <f>IF('Donor Sample'!O294="","",'Donor Sample'!O294)</f>
        <v/>
      </c>
      <c r="Z277" s="298" t="str">
        <f>IF(AND('Donor Sample'!O294="",'Donor Sample'!P294="",'Donor Sample'!Q294=""),"",IF('Donor Sample'!P294="",ROUND(AA277/($C$32+($AI277-0.5)*$C$31),0),'Donor Sample'!P294))</f>
        <v/>
      </c>
      <c r="AA277" s="297" t="str">
        <f>IF('Donor Sample'!Q294="","",'Donor Sample'!Q294)</f>
        <v/>
      </c>
      <c r="AB277" s="296" t="str">
        <f t="shared" si="83"/>
        <v/>
      </c>
      <c r="AC277" s="295" t="str">
        <f>IF('Donor Sample'!R294="","",'Donor Sample'!R294)</f>
        <v/>
      </c>
      <c r="AD277" s="294" t="str">
        <f>IF('Donor Sample'!S294="","",'Donor Sample'!S294/100)</f>
        <v/>
      </c>
      <c r="AE277" s="293" t="e">
        <f t="shared" si="89"/>
        <v>#VALUE!</v>
      </c>
      <c r="AF277" s="293" t="str">
        <f t="shared" si="90"/>
        <v/>
      </c>
      <c r="AG277" s="292" t="str">
        <f>IF('Donor Sample'!T294="","",'Donor Sample'!T294)</f>
        <v/>
      </c>
      <c r="AH277" s="891">
        <f t="shared" si="91"/>
        <v>2</v>
      </c>
      <c r="AI277" s="1220">
        <v>0.20324414968490601</v>
      </c>
      <c r="AJ277" s="1216"/>
    </row>
    <row r="278" spans="5:36">
      <c r="E278" s="299">
        <v>270</v>
      </c>
      <c r="F278" s="308">
        <f t="shared" ca="1" si="79"/>
        <v>3704.6628274755658</v>
      </c>
      <c r="G278" s="307">
        <f t="shared" ca="1" si="80"/>
        <v>277.93806435428314</v>
      </c>
      <c r="H278" s="306">
        <f t="shared" ca="1" si="81"/>
        <v>0.41550745139361112</v>
      </c>
      <c r="I278" s="305">
        <f t="shared" ca="1" si="84"/>
        <v>117.20535757508364</v>
      </c>
      <c r="J278" s="305">
        <f t="shared" ca="1" si="85"/>
        <v>67.109649480559639</v>
      </c>
      <c r="K278" s="292">
        <f t="shared" ca="1" si="82"/>
        <v>1.5959492409566118</v>
      </c>
      <c r="L278" s="1290">
        <f t="shared" ca="1" si="86"/>
        <v>18.321042509322801</v>
      </c>
      <c r="M278" s="299">
        <v>270</v>
      </c>
      <c r="N278" s="304">
        <f t="shared" si="87"/>
        <v>2979.7238579833074</v>
      </c>
      <c r="O278" s="303">
        <v>294.92849087317711</v>
      </c>
      <c r="P278" s="302">
        <v>0.38101131454062603</v>
      </c>
      <c r="Q278" s="301">
        <v>102.3641265754038</v>
      </c>
      <c r="R278" s="301">
        <v>60.014309312886319</v>
      </c>
      <c r="S278" s="300">
        <v>8.6867285696970438</v>
      </c>
      <c r="T278" s="891">
        <f t="shared" si="88"/>
        <v>64</v>
      </c>
      <c r="U278" s="1220">
        <v>0.46536719799041748</v>
      </c>
      <c r="W278" s="299">
        <v>270</v>
      </c>
      <c r="X278" s="298">
        <f>IF('Donor Sample'!N295="",,IF('Donor Sample'!N295="F",1,0))</f>
        <v>0</v>
      </c>
      <c r="Y278" s="298" t="str">
        <f>IF('Donor Sample'!O295="","",'Donor Sample'!O295)</f>
        <v/>
      </c>
      <c r="Z278" s="298" t="str">
        <f>IF(AND('Donor Sample'!O295="",'Donor Sample'!P295="",'Donor Sample'!Q295=""),"",IF('Donor Sample'!P295="",ROUND(AA278/($C$32+($AI278-0.5)*$C$31),0),'Donor Sample'!P295))</f>
        <v/>
      </c>
      <c r="AA278" s="297" t="str">
        <f>IF('Donor Sample'!Q295="","",'Donor Sample'!Q295)</f>
        <v/>
      </c>
      <c r="AB278" s="296" t="str">
        <f t="shared" si="83"/>
        <v/>
      </c>
      <c r="AC278" s="295" t="str">
        <f>IF('Donor Sample'!R295="","",'Donor Sample'!R295)</f>
        <v/>
      </c>
      <c r="AD278" s="294" t="str">
        <f>IF('Donor Sample'!S295="","",'Donor Sample'!S295/100)</f>
        <v/>
      </c>
      <c r="AE278" s="293" t="e">
        <f t="shared" si="89"/>
        <v>#VALUE!</v>
      </c>
      <c r="AF278" s="293" t="str">
        <f t="shared" si="90"/>
        <v/>
      </c>
      <c r="AG278" s="292" t="str">
        <f>IF('Donor Sample'!T295="","",'Donor Sample'!T295)</f>
        <v/>
      </c>
      <c r="AH278" s="891">
        <f t="shared" si="91"/>
        <v>32</v>
      </c>
      <c r="AI278" s="1220">
        <v>0.80278527736663818</v>
      </c>
      <c r="AJ278" s="1216"/>
    </row>
    <row r="279" spans="5:36">
      <c r="E279" s="299">
        <v>271</v>
      </c>
      <c r="F279" s="308">
        <f t="shared" ca="1" si="79"/>
        <v>3133.6695234694112</v>
      </c>
      <c r="G279" s="307">
        <f t="shared" ca="1" si="80"/>
        <v>231.15621957550061</v>
      </c>
      <c r="H279" s="306">
        <f t="shared" ca="1" si="81"/>
        <v>0.40003839146387982</v>
      </c>
      <c r="I279" s="305">
        <f t="shared" ca="1" si="84"/>
        <v>116.3185179818023</v>
      </c>
      <c r="J279" s="305">
        <f t="shared" ca="1" si="85"/>
        <v>51.713073751163847</v>
      </c>
      <c r="K279" s="292">
        <f t="shared" ca="1" si="82"/>
        <v>4.0648235730607754</v>
      </c>
      <c r="L279" s="1290">
        <f t="shared" ca="1" si="86"/>
        <v>30.621101888827244</v>
      </c>
      <c r="M279" s="299">
        <v>271</v>
      </c>
      <c r="N279" s="304">
        <f t="shared" si="87"/>
        <v>2520.3239288848354</v>
      </c>
      <c r="O279" s="303">
        <v>258.56684378055428</v>
      </c>
      <c r="P279" s="302">
        <v>0.38615295110685499</v>
      </c>
      <c r="Q279" s="301">
        <v>89.418174420905189</v>
      </c>
      <c r="R279" s="301">
        <v>46.662115350215089</v>
      </c>
      <c r="S279" s="300">
        <v>2.4574990061866644</v>
      </c>
      <c r="T279" s="891">
        <f t="shared" si="88"/>
        <v>64</v>
      </c>
      <c r="U279" s="1220">
        <v>0.56615978479385376</v>
      </c>
      <c r="W279" s="299">
        <v>271</v>
      </c>
      <c r="X279" s="298">
        <f>IF('Donor Sample'!N296="",,IF('Donor Sample'!N296="F",1,0))</f>
        <v>0</v>
      </c>
      <c r="Y279" s="298" t="str">
        <f>IF('Donor Sample'!O296="","",'Donor Sample'!O296)</f>
        <v/>
      </c>
      <c r="Z279" s="298" t="str">
        <f>IF(AND('Donor Sample'!O296="",'Donor Sample'!P296="",'Donor Sample'!Q296=""),"",IF('Donor Sample'!P296="",ROUND(AA279/($C$32+($AI279-0.5)*$C$31),0),'Donor Sample'!P296))</f>
        <v/>
      </c>
      <c r="AA279" s="297" t="str">
        <f>IF('Donor Sample'!Q296="","",'Donor Sample'!Q296)</f>
        <v/>
      </c>
      <c r="AB279" s="296" t="str">
        <f t="shared" si="83"/>
        <v/>
      </c>
      <c r="AC279" s="295" t="str">
        <f>IF('Donor Sample'!R296="","",'Donor Sample'!R296)</f>
        <v/>
      </c>
      <c r="AD279" s="294" t="str">
        <f>IF('Donor Sample'!S296="","",'Donor Sample'!S296/100)</f>
        <v/>
      </c>
      <c r="AE279" s="407" t="e">
        <f t="shared" si="89"/>
        <v>#VALUE!</v>
      </c>
      <c r="AF279" s="293" t="str">
        <f t="shared" si="90"/>
        <v/>
      </c>
      <c r="AG279" s="292" t="str">
        <f>IF('Donor Sample'!T296="","",'Donor Sample'!T296)</f>
        <v/>
      </c>
      <c r="AH279" s="891">
        <f t="shared" si="91"/>
        <v>2</v>
      </c>
      <c r="AI279" s="1220">
        <v>0.23408132791519165</v>
      </c>
      <c r="AJ279" s="1216"/>
    </row>
    <row r="280" spans="5:36">
      <c r="E280" s="299">
        <v>272</v>
      </c>
      <c r="F280" s="308">
        <f t="shared" ca="1" si="79"/>
        <v>3673.3857330527994</v>
      </c>
      <c r="G280" s="307">
        <f t="shared" ca="1" si="80"/>
        <v>183.83996627120274</v>
      </c>
      <c r="H280" s="306">
        <f t="shared" ca="1" si="81"/>
        <v>0.47858133186544211</v>
      </c>
      <c r="I280" s="305">
        <f t="shared" ca="1" si="84"/>
        <v>115.95787509686815</v>
      </c>
      <c r="J280" s="305">
        <f t="shared" ca="1" si="85"/>
        <v>61.175187659723136</v>
      </c>
      <c r="K280" s="292">
        <f t="shared" ca="1" si="82"/>
        <v>2.7978203104318133</v>
      </c>
      <c r="L280" s="1290">
        <f t="shared" ca="1" si="86"/>
        <v>21.813345944563974</v>
      </c>
      <c r="M280" s="299">
        <v>272</v>
      </c>
      <c r="N280" s="304">
        <f t="shared" si="87"/>
        <v>3382.565648037224</v>
      </c>
      <c r="O280" s="303">
        <v>213.28199244423826</v>
      </c>
      <c r="P280" s="302">
        <v>0.40276155959651883</v>
      </c>
      <c r="Q280" s="301">
        <v>112.4360545986321</v>
      </c>
      <c r="R280" s="301">
        <v>57.400243606569418</v>
      </c>
      <c r="S280" s="300">
        <v>3.0768400838295493</v>
      </c>
      <c r="T280" s="891">
        <f t="shared" si="88"/>
        <v>2</v>
      </c>
      <c r="U280" s="1220">
        <v>0.23222684860229492</v>
      </c>
      <c r="W280" s="299">
        <v>272</v>
      </c>
      <c r="X280" s="298">
        <f>IF('Donor Sample'!N297="",,IF('Donor Sample'!N297="F",1,0))</f>
        <v>0</v>
      </c>
      <c r="Y280" s="298" t="str">
        <f>IF('Donor Sample'!O297="","",'Donor Sample'!O297)</f>
        <v/>
      </c>
      <c r="Z280" s="298" t="str">
        <f>IF(AND('Donor Sample'!O297="",'Donor Sample'!P297="",'Donor Sample'!Q297=""),"",IF('Donor Sample'!P297="",ROUND(AA280/($C$32+($AI280-0.5)*$C$31),0),'Donor Sample'!P297))</f>
        <v/>
      </c>
      <c r="AA280" s="297" t="str">
        <f>IF('Donor Sample'!Q297="","",'Donor Sample'!Q297)</f>
        <v/>
      </c>
      <c r="AB280" s="296" t="str">
        <f t="shared" si="83"/>
        <v/>
      </c>
      <c r="AC280" s="295" t="str">
        <f>IF('Donor Sample'!R297="","",'Donor Sample'!R297)</f>
        <v/>
      </c>
      <c r="AD280" s="294" t="str">
        <f>IF('Donor Sample'!S297="","",'Donor Sample'!S297/100)</f>
        <v/>
      </c>
      <c r="AE280" s="293" t="e">
        <f t="shared" si="89"/>
        <v>#VALUE!</v>
      </c>
      <c r="AF280" s="293" t="str">
        <f t="shared" si="90"/>
        <v/>
      </c>
      <c r="AG280" s="292" t="str">
        <f>IF('Donor Sample'!T297="","",'Donor Sample'!T297)</f>
        <v/>
      </c>
      <c r="AH280" s="891">
        <f t="shared" si="91"/>
        <v>64</v>
      </c>
      <c r="AI280" s="1220">
        <v>0.68793487548828125</v>
      </c>
      <c r="AJ280" s="1216"/>
    </row>
    <row r="281" spans="5:36">
      <c r="E281" s="299">
        <v>273</v>
      </c>
      <c r="F281" s="308">
        <f t="shared" ca="1" si="79"/>
        <v>3308.5533063917301</v>
      </c>
      <c r="G281" s="307">
        <f t="shared" ca="1" si="80"/>
        <v>208.41697254488031</v>
      </c>
      <c r="H281" s="306">
        <f t="shared" ca="1" si="81"/>
        <v>0.44229035510443737</v>
      </c>
      <c r="I281" s="305">
        <f t="shared" ca="1" si="84"/>
        <v>107.6382638611861</v>
      </c>
      <c r="J281" s="305">
        <f t="shared" ca="1" si="85"/>
        <v>63.739094494731582</v>
      </c>
      <c r="K281" s="292">
        <f t="shared" ca="1" si="82"/>
        <v>1.2630115107639888</v>
      </c>
      <c r="L281" s="1290">
        <f t="shared" ca="1" si="86"/>
        <v>18.65209267280753</v>
      </c>
      <c r="M281" s="299">
        <v>273</v>
      </c>
      <c r="N281" s="304">
        <f t="shared" si="87"/>
        <v>3122.1876285266458</v>
      </c>
      <c r="O281" s="303">
        <v>291.86153014717729</v>
      </c>
      <c r="P281" s="302">
        <v>0.40763985964014443</v>
      </c>
      <c r="Q281" s="301">
        <v>110.0862811192261</v>
      </c>
      <c r="R281" s="301">
        <v>60.433769952526191</v>
      </c>
      <c r="S281" s="300">
        <v>12.315502973474135</v>
      </c>
      <c r="T281" s="891">
        <f t="shared" si="88"/>
        <v>2</v>
      </c>
      <c r="U281" s="1220">
        <v>1.6191184520721436E-2</v>
      </c>
      <c r="W281" s="299">
        <v>273</v>
      </c>
      <c r="X281" s="298">
        <f>IF('Donor Sample'!N298="",,IF('Donor Sample'!N298="F",1,0))</f>
        <v>0</v>
      </c>
      <c r="Y281" s="298" t="str">
        <f>IF('Donor Sample'!O298="","",'Donor Sample'!O298)</f>
        <v/>
      </c>
      <c r="Z281" s="298" t="str">
        <f>IF(AND('Donor Sample'!O298="",'Donor Sample'!P298="",'Donor Sample'!Q298=""),"",IF('Donor Sample'!P298="",ROUND(AA281/($C$32+($AI281-0.5)*$C$31),0),'Donor Sample'!P298))</f>
        <v/>
      </c>
      <c r="AA281" s="297" t="str">
        <f>IF('Donor Sample'!Q298="","",'Donor Sample'!Q298)</f>
        <v/>
      </c>
      <c r="AB281" s="296" t="str">
        <f t="shared" si="83"/>
        <v/>
      </c>
      <c r="AC281" s="295" t="str">
        <f>IF('Donor Sample'!R298="","",'Donor Sample'!R298)</f>
        <v/>
      </c>
      <c r="AD281" s="294" t="str">
        <f>IF('Donor Sample'!S298="","",'Donor Sample'!S298/100)</f>
        <v/>
      </c>
      <c r="AE281" s="293" t="e">
        <f t="shared" si="89"/>
        <v>#VALUE!</v>
      </c>
      <c r="AF281" s="293" t="str">
        <f t="shared" si="90"/>
        <v/>
      </c>
      <c r="AG281" s="292" t="str">
        <f>IF('Donor Sample'!T298="","",'Donor Sample'!T298)</f>
        <v/>
      </c>
      <c r="AH281" s="891">
        <f t="shared" si="91"/>
        <v>32</v>
      </c>
      <c r="AI281" s="1220">
        <v>0.77064913511276245</v>
      </c>
      <c r="AJ281" s="1216"/>
    </row>
    <row r="282" spans="5:36">
      <c r="E282" s="299">
        <v>274</v>
      </c>
      <c r="F282" s="308">
        <f t="shared" ca="1" si="79"/>
        <v>3513.7370629356001</v>
      </c>
      <c r="G282" s="307">
        <f t="shared" ca="1" si="80"/>
        <v>315.76195759188317</v>
      </c>
      <c r="H282" s="306">
        <f t="shared" ca="1" si="81"/>
        <v>0.52582161294403029</v>
      </c>
      <c r="I282" s="305">
        <f t="shared" ca="1" si="84"/>
        <v>134.24759026152759</v>
      </c>
      <c r="J282" s="305">
        <f t="shared" ca="1" si="85"/>
        <v>54.057905266596983</v>
      </c>
      <c r="K282" s="292">
        <f t="shared" ca="1" si="82"/>
        <v>1.250310330851597</v>
      </c>
      <c r="L282" s="1290">
        <f t="shared" ca="1" si="86"/>
        <v>32.341542720067167</v>
      </c>
      <c r="M282" s="299">
        <v>274</v>
      </c>
      <c r="N282" s="304">
        <f t="shared" si="87"/>
        <v>2801.6771446775056</v>
      </c>
      <c r="O282" s="303">
        <v>223.56980689152488</v>
      </c>
      <c r="P282" s="302">
        <v>0.40939410590371195</v>
      </c>
      <c r="Q282" s="301">
        <v>117.38510329713516</v>
      </c>
      <c r="R282" s="301">
        <v>43.174963428930418</v>
      </c>
      <c r="S282" s="300">
        <v>2.28096173356627</v>
      </c>
      <c r="T282" s="891">
        <f t="shared" si="88"/>
        <v>2</v>
      </c>
      <c r="U282" s="1220">
        <v>0.25530159473419189</v>
      </c>
      <c r="W282" s="299">
        <v>274</v>
      </c>
      <c r="X282" s="298">
        <f>IF('Donor Sample'!N299="",,IF('Donor Sample'!N299="F",1,0))</f>
        <v>0</v>
      </c>
      <c r="Y282" s="298" t="str">
        <f>IF('Donor Sample'!O299="","",'Donor Sample'!O299)</f>
        <v/>
      </c>
      <c r="Z282" s="298" t="str">
        <f>IF(AND('Donor Sample'!O299="",'Donor Sample'!P299="",'Donor Sample'!Q299=""),"",IF('Donor Sample'!P299="",ROUND(AA282/($C$32+($AI282-0.5)*$C$31),0),'Donor Sample'!P299))</f>
        <v/>
      </c>
      <c r="AA282" s="297" t="str">
        <f>IF('Donor Sample'!Q299="","",'Donor Sample'!Q299)</f>
        <v/>
      </c>
      <c r="AB282" s="296" t="str">
        <f t="shared" si="83"/>
        <v/>
      </c>
      <c r="AC282" s="295" t="str">
        <f>IF('Donor Sample'!R299="","",'Donor Sample'!R299)</f>
        <v/>
      </c>
      <c r="AD282" s="294" t="str">
        <f>IF('Donor Sample'!S299="","",'Donor Sample'!S299/100)</f>
        <v/>
      </c>
      <c r="AE282" s="407" t="e">
        <f t="shared" si="89"/>
        <v>#VALUE!</v>
      </c>
      <c r="AF282" s="293" t="str">
        <f t="shared" si="90"/>
        <v/>
      </c>
      <c r="AG282" s="292" t="str">
        <f>IF('Donor Sample'!T299="","",'Donor Sample'!T299)</f>
        <v/>
      </c>
      <c r="AH282" s="891">
        <f t="shared" si="91"/>
        <v>2</v>
      </c>
      <c r="AI282" s="1220">
        <v>0.12718164920806885</v>
      </c>
      <c r="AJ282" s="1216"/>
    </row>
    <row r="283" spans="5:36">
      <c r="E283" s="299">
        <v>275</v>
      </c>
      <c r="F283" s="308">
        <f t="shared" ca="1" si="79"/>
        <v>4318.1462341855777</v>
      </c>
      <c r="G283" s="307">
        <f t="shared" ca="1" si="80"/>
        <v>250.64828994164162</v>
      </c>
      <c r="H283" s="306">
        <f t="shared" ca="1" si="81"/>
        <v>0.41598221173290056</v>
      </c>
      <c r="I283" s="305">
        <f t="shared" ca="1" si="84"/>
        <v>141.4734237950212</v>
      </c>
      <c r="J283" s="305">
        <f t="shared" ca="1" si="85"/>
        <v>64.96834171229618</v>
      </c>
      <c r="K283" s="292">
        <f t="shared" ca="1" si="82"/>
        <v>2.1856249208736047</v>
      </c>
      <c r="L283" s="1290">
        <f t="shared" ca="1" si="86"/>
        <v>23.596302748572292</v>
      </c>
      <c r="M283" s="299">
        <v>275</v>
      </c>
      <c r="N283" s="304">
        <f t="shared" si="87"/>
        <v>3310.4613691783215</v>
      </c>
      <c r="O283" s="303">
        <v>210.85751901635734</v>
      </c>
      <c r="P283" s="302">
        <v>0.39984870364749497</v>
      </c>
      <c r="Q283" s="301">
        <v>121.35240637484898</v>
      </c>
      <c r="R283" s="301">
        <v>53.771679927517518</v>
      </c>
      <c r="S283" s="300">
        <v>1.383570727192752</v>
      </c>
      <c r="T283" s="891">
        <f t="shared" si="88"/>
        <v>16</v>
      </c>
      <c r="U283" s="1220">
        <v>0.95246011018753052</v>
      </c>
      <c r="W283" s="299">
        <v>275</v>
      </c>
      <c r="X283" s="298">
        <f>IF('Donor Sample'!N300="",,IF('Donor Sample'!N300="F",1,0))</f>
        <v>0</v>
      </c>
      <c r="Y283" s="298" t="str">
        <f>IF('Donor Sample'!O300="","",'Donor Sample'!O300)</f>
        <v/>
      </c>
      <c r="Z283" s="298" t="str">
        <f>IF(AND('Donor Sample'!O300="",'Donor Sample'!P300="",'Donor Sample'!Q300=""),"",IF('Donor Sample'!P300="",ROUND(AA283/($C$32+($AI283-0.5)*$C$31),0),'Donor Sample'!P300))</f>
        <v/>
      </c>
      <c r="AA283" s="297" t="str">
        <f>IF('Donor Sample'!Q300="","",'Donor Sample'!Q300)</f>
        <v/>
      </c>
      <c r="AB283" s="296" t="str">
        <f t="shared" si="83"/>
        <v/>
      </c>
      <c r="AC283" s="295" t="str">
        <f>IF('Donor Sample'!R300="","",'Donor Sample'!R300)</f>
        <v/>
      </c>
      <c r="AD283" s="294" t="str">
        <f>IF('Donor Sample'!S300="","",'Donor Sample'!S300/100)</f>
        <v/>
      </c>
      <c r="AE283" s="293" t="e">
        <f t="shared" si="89"/>
        <v>#VALUE!</v>
      </c>
      <c r="AF283" s="293" t="str">
        <f t="shared" si="90"/>
        <v/>
      </c>
      <c r="AG283" s="292" t="str">
        <f>IF('Donor Sample'!T300="","",'Donor Sample'!T300)</f>
        <v/>
      </c>
      <c r="AH283" s="891">
        <f t="shared" si="91"/>
        <v>64</v>
      </c>
      <c r="AI283" s="1220">
        <v>0.43105822801589966</v>
      </c>
      <c r="AJ283" s="1216"/>
    </row>
    <row r="284" spans="5:36">
      <c r="E284" s="299">
        <v>276</v>
      </c>
      <c r="F284" s="308">
        <f t="shared" ca="1" si="79"/>
        <v>3049.0966358329997</v>
      </c>
      <c r="G284" s="307">
        <f t="shared" ca="1" si="80"/>
        <v>239.12365585982039</v>
      </c>
      <c r="H284" s="306">
        <f t="shared" ca="1" si="81"/>
        <v>0.41923236009710735</v>
      </c>
      <c r="I284" s="305">
        <f t="shared" ca="1" si="84"/>
        <v>119.57914472599067</v>
      </c>
      <c r="J284" s="305">
        <f t="shared" ca="1" si="85"/>
        <v>56.855601610217974</v>
      </c>
      <c r="K284" s="292">
        <f t="shared" ca="1" si="82"/>
        <v>1.8743591479038271</v>
      </c>
      <c r="L284" s="1290">
        <f t="shared" ca="1" si="86"/>
        <v>26.042434669469586</v>
      </c>
      <c r="M284" s="299">
        <v>276</v>
      </c>
      <c r="N284" s="304">
        <f t="shared" si="87"/>
        <v>3181.4052948977564</v>
      </c>
      <c r="O284" s="303">
        <v>261.07092310065894</v>
      </c>
      <c r="P284" s="302">
        <v>0.39683931701732988</v>
      </c>
      <c r="Q284" s="301">
        <v>104.38584703446234</v>
      </c>
      <c r="R284" s="301">
        <v>62.617607911523017</v>
      </c>
      <c r="S284" s="300">
        <v>1.5493105499917428</v>
      </c>
      <c r="T284" s="891">
        <f t="shared" si="88"/>
        <v>2</v>
      </c>
      <c r="U284" s="1220">
        <v>5.5015325546264648E-2</v>
      </c>
      <c r="W284" s="299">
        <v>276</v>
      </c>
      <c r="X284" s="298">
        <f>IF('Donor Sample'!N301="",,IF('Donor Sample'!N301="F",1,0))</f>
        <v>0</v>
      </c>
      <c r="Y284" s="298" t="str">
        <f>IF('Donor Sample'!O301="","",'Donor Sample'!O301)</f>
        <v/>
      </c>
      <c r="Z284" s="298" t="str">
        <f>IF(AND('Donor Sample'!O301="",'Donor Sample'!P301="",'Donor Sample'!Q301=""),"",IF('Donor Sample'!P301="",ROUND(AA284/($C$32+($AI284-0.5)*$C$31),0),'Donor Sample'!P301))</f>
        <v/>
      </c>
      <c r="AA284" s="297" t="str">
        <f>IF('Donor Sample'!Q301="","",'Donor Sample'!Q301)</f>
        <v/>
      </c>
      <c r="AB284" s="296" t="str">
        <f t="shared" si="83"/>
        <v/>
      </c>
      <c r="AC284" s="295" t="str">
        <f>IF('Donor Sample'!R301="","",'Donor Sample'!R301)</f>
        <v/>
      </c>
      <c r="AD284" s="294" t="str">
        <f>IF('Donor Sample'!S301="","",'Donor Sample'!S301/100)</f>
        <v/>
      </c>
      <c r="AE284" s="293" t="e">
        <f t="shared" si="89"/>
        <v>#VALUE!</v>
      </c>
      <c r="AF284" s="293" t="str">
        <f t="shared" si="90"/>
        <v/>
      </c>
      <c r="AG284" s="292" t="str">
        <f>IF('Donor Sample'!T301="","",'Donor Sample'!T301)</f>
        <v/>
      </c>
      <c r="AH284" s="891">
        <f t="shared" si="91"/>
        <v>32</v>
      </c>
      <c r="AI284" s="1220">
        <v>0.83650612831115723</v>
      </c>
      <c r="AJ284" s="1216"/>
    </row>
    <row r="285" spans="5:36">
      <c r="E285" s="299">
        <v>277</v>
      </c>
      <c r="F285" s="308">
        <f t="shared" ca="1" si="79"/>
        <v>3686.6552115031141</v>
      </c>
      <c r="G285" s="307">
        <f t="shared" ca="1" si="80"/>
        <v>231.61759763494774</v>
      </c>
      <c r="H285" s="306">
        <f t="shared" ca="1" si="81"/>
        <v>0.36238501233233578</v>
      </c>
      <c r="I285" s="305">
        <f t="shared" ca="1" si="84"/>
        <v>116.45899317923093</v>
      </c>
      <c r="J285" s="305">
        <f t="shared" ca="1" si="85"/>
        <v>61.263258313901588</v>
      </c>
      <c r="K285" s="292">
        <f t="shared" ca="1" si="82"/>
        <v>1.3305660514282798</v>
      </c>
      <c r="L285" s="1290">
        <f t="shared" ca="1" si="86"/>
        <v>21.844670981465178</v>
      </c>
      <c r="M285" s="299">
        <v>277</v>
      </c>
      <c r="N285" s="304">
        <f t="shared" si="87"/>
        <v>4071.4182153047968</v>
      </c>
      <c r="O285" s="303">
        <v>230.96261645840286</v>
      </c>
      <c r="P285" s="302">
        <v>0.41957236545178261</v>
      </c>
      <c r="Q285" s="301">
        <v>135.46839498184713</v>
      </c>
      <c r="R285" s="301">
        <v>62.807993499106587</v>
      </c>
      <c r="S285" s="300">
        <v>1.7573181451201401</v>
      </c>
      <c r="T285" s="891">
        <f t="shared" si="88"/>
        <v>256</v>
      </c>
      <c r="U285" s="1220">
        <v>0.85275739431381226</v>
      </c>
      <c r="W285" s="299">
        <v>277</v>
      </c>
      <c r="X285" s="298">
        <f>IF('Donor Sample'!N302="",,IF('Donor Sample'!N302="F",1,0))</f>
        <v>0</v>
      </c>
      <c r="Y285" s="298" t="str">
        <f>IF('Donor Sample'!O302="","",'Donor Sample'!O302)</f>
        <v/>
      </c>
      <c r="Z285" s="298" t="str">
        <f>IF(AND('Donor Sample'!O302="",'Donor Sample'!P302="",'Donor Sample'!Q302=""),"",IF('Donor Sample'!P302="",ROUND(AA285/($C$32+($AI285-0.5)*$C$31),0),'Donor Sample'!P302))</f>
        <v/>
      </c>
      <c r="AA285" s="297" t="str">
        <f>IF('Donor Sample'!Q302="","",'Donor Sample'!Q302)</f>
        <v/>
      </c>
      <c r="AB285" s="296" t="str">
        <f t="shared" si="83"/>
        <v/>
      </c>
      <c r="AC285" s="295" t="str">
        <f>IF('Donor Sample'!R302="","",'Donor Sample'!R302)</f>
        <v/>
      </c>
      <c r="AD285" s="294" t="str">
        <f>IF('Donor Sample'!S302="","",'Donor Sample'!S302/100)</f>
        <v/>
      </c>
      <c r="AE285" s="407" t="e">
        <f t="shared" si="89"/>
        <v>#VALUE!</v>
      </c>
      <c r="AF285" s="293" t="str">
        <f t="shared" si="90"/>
        <v/>
      </c>
      <c r="AG285" s="292" t="str">
        <f>IF('Donor Sample'!T302="","",'Donor Sample'!T302)</f>
        <v/>
      </c>
      <c r="AH285" s="891">
        <f t="shared" si="91"/>
        <v>2</v>
      </c>
      <c r="AI285" s="1220">
        <v>0.35642951726913452</v>
      </c>
      <c r="AJ285" s="1216"/>
    </row>
    <row r="286" spans="5:36">
      <c r="E286" s="299">
        <v>278</v>
      </c>
      <c r="F286" s="308">
        <f t="shared" ca="1" si="79"/>
        <v>2584.3622947299914</v>
      </c>
      <c r="G286" s="307">
        <f t="shared" ca="1" si="80"/>
        <v>234.08649752249818</v>
      </c>
      <c r="H286" s="306">
        <f t="shared" ca="1" si="81"/>
        <v>0.3597258203749979</v>
      </c>
      <c r="I286" s="305">
        <f t="shared" ca="1" si="84"/>
        <v>89.574316435738297</v>
      </c>
      <c r="J286" s="305">
        <f t="shared" ca="1" si="85"/>
        <v>48.18454241773572</v>
      </c>
      <c r="K286" s="292">
        <f t="shared" ca="1" si="82"/>
        <v>1.234042726359579</v>
      </c>
      <c r="L286" s="1290">
        <f t="shared" ca="1" si="86"/>
        <v>27.160682801341157</v>
      </c>
      <c r="M286" s="299">
        <v>278</v>
      </c>
      <c r="N286" s="304">
        <f t="shared" si="87"/>
        <v>3853.5868394591116</v>
      </c>
      <c r="O286" s="303">
        <v>274.4517490816358</v>
      </c>
      <c r="P286" s="302">
        <v>0.36653559792140089</v>
      </c>
      <c r="Q286" s="301">
        <v>120.92776957739159</v>
      </c>
      <c r="R286" s="301">
        <v>62.730056961443097</v>
      </c>
      <c r="S286" s="300">
        <v>4.1787462797794008</v>
      </c>
      <c r="T286" s="891">
        <f t="shared" si="88"/>
        <v>2</v>
      </c>
      <c r="U286" s="1220">
        <v>8.0808043479919434E-2</v>
      </c>
      <c r="W286" s="299">
        <v>278</v>
      </c>
      <c r="X286" s="298">
        <f>IF('Donor Sample'!N303="",,IF('Donor Sample'!N303="F",1,0))</f>
        <v>0</v>
      </c>
      <c r="Y286" s="298" t="str">
        <f>IF('Donor Sample'!O303="","",'Donor Sample'!O303)</f>
        <v/>
      </c>
      <c r="Z286" s="298" t="str">
        <f>IF(AND('Donor Sample'!O303="",'Donor Sample'!P303="",'Donor Sample'!Q303=""),"",IF('Donor Sample'!P303="",ROUND(AA286/($C$32+($AI286-0.5)*$C$31),0),'Donor Sample'!P303))</f>
        <v/>
      </c>
      <c r="AA286" s="297" t="str">
        <f>IF('Donor Sample'!Q303="","",'Donor Sample'!Q303)</f>
        <v/>
      </c>
      <c r="AB286" s="296" t="str">
        <f t="shared" si="83"/>
        <v/>
      </c>
      <c r="AC286" s="295" t="str">
        <f>IF('Donor Sample'!R303="","",'Donor Sample'!R303)</f>
        <v/>
      </c>
      <c r="AD286" s="294" t="str">
        <f>IF('Donor Sample'!S303="","",'Donor Sample'!S303/100)</f>
        <v/>
      </c>
      <c r="AE286" s="293" t="e">
        <f t="shared" si="89"/>
        <v>#VALUE!</v>
      </c>
      <c r="AF286" s="293" t="str">
        <f t="shared" si="90"/>
        <v/>
      </c>
      <c r="AG286" s="292" t="str">
        <f>IF('Donor Sample'!T303="","",'Donor Sample'!T303)</f>
        <v/>
      </c>
      <c r="AH286" s="891">
        <f t="shared" si="91"/>
        <v>64</v>
      </c>
      <c r="AI286" s="1220">
        <v>0.52535808086395264</v>
      </c>
      <c r="AJ286" s="1216"/>
    </row>
    <row r="287" spans="5:36">
      <c r="E287" s="299">
        <v>279</v>
      </c>
      <c r="F287" s="308">
        <f t="shared" ca="1" si="79"/>
        <v>3886.342431812091</v>
      </c>
      <c r="G287" s="307">
        <f t="shared" ca="1" si="80"/>
        <v>203.84900832287769</v>
      </c>
      <c r="H287" s="306">
        <f t="shared" ca="1" si="81"/>
        <v>0.36467421702273362</v>
      </c>
      <c r="I287" s="305">
        <f t="shared" ca="1" si="84"/>
        <v>130.76939797912902</v>
      </c>
      <c r="J287" s="305">
        <f t="shared" ca="1" si="85"/>
        <v>61.126383798123307</v>
      </c>
      <c r="K287" s="292">
        <f t="shared" ca="1" si="82"/>
        <v>3.5951269214741077</v>
      </c>
      <c r="L287" s="1290">
        <f t="shared" ca="1" si="86"/>
        <v>24.638903446156935</v>
      </c>
      <c r="M287" s="299">
        <v>279</v>
      </c>
      <c r="N287" s="304">
        <f t="shared" si="87"/>
        <v>2563.4702670094866</v>
      </c>
      <c r="O287" s="303">
        <v>173.81259507343682</v>
      </c>
      <c r="P287" s="302">
        <v>0.40374521192968765</v>
      </c>
      <c r="Q287" s="301">
        <v>84.76626758428317</v>
      </c>
      <c r="R287" s="301">
        <v>49.334329804798088</v>
      </c>
      <c r="S287" s="300">
        <v>5.8309931946528115</v>
      </c>
      <c r="T287" s="891">
        <f t="shared" si="88"/>
        <v>64</v>
      </c>
      <c r="U287" s="1220">
        <v>0.7203255295753479</v>
      </c>
      <c r="W287" s="299">
        <v>279</v>
      </c>
      <c r="X287" s="298">
        <f>IF('Donor Sample'!N304="",,IF('Donor Sample'!N304="F",1,0))</f>
        <v>0</v>
      </c>
      <c r="Y287" s="298" t="str">
        <f>IF('Donor Sample'!O304="","",'Donor Sample'!O304)</f>
        <v/>
      </c>
      <c r="Z287" s="298" t="str">
        <f>IF(AND('Donor Sample'!O304="",'Donor Sample'!P304="",'Donor Sample'!Q304=""),"",IF('Donor Sample'!P304="",ROUND(AA287/($C$32+($AI287-0.5)*$C$31),0),'Donor Sample'!P304))</f>
        <v/>
      </c>
      <c r="AA287" s="297" t="str">
        <f>IF('Donor Sample'!Q304="","",'Donor Sample'!Q304)</f>
        <v/>
      </c>
      <c r="AB287" s="296" t="str">
        <f t="shared" si="83"/>
        <v/>
      </c>
      <c r="AC287" s="295" t="str">
        <f>IF('Donor Sample'!R304="","",'Donor Sample'!R304)</f>
        <v/>
      </c>
      <c r="AD287" s="294" t="str">
        <f>IF('Donor Sample'!S304="","",'Donor Sample'!S304/100)</f>
        <v/>
      </c>
      <c r="AE287" s="293" t="e">
        <f t="shared" si="89"/>
        <v>#VALUE!</v>
      </c>
      <c r="AF287" s="293" t="str">
        <f t="shared" si="90"/>
        <v/>
      </c>
      <c r="AG287" s="292" t="str">
        <f>IF('Donor Sample'!T304="","",'Donor Sample'!T304)</f>
        <v/>
      </c>
      <c r="AH287" s="891">
        <f t="shared" si="91"/>
        <v>2</v>
      </c>
      <c r="AI287" s="1220">
        <v>1.9976198673248291E-2</v>
      </c>
      <c r="AJ287" s="1216"/>
    </row>
    <row r="288" spans="5:36">
      <c r="E288" s="299">
        <v>280</v>
      </c>
      <c r="F288" s="308">
        <f t="shared" ca="1" si="79"/>
        <v>3008.6787145922603</v>
      </c>
      <c r="G288" s="307">
        <f t="shared" ca="1" si="80"/>
        <v>266.38875209574206</v>
      </c>
      <c r="H288" s="306">
        <f t="shared" ca="1" si="81"/>
        <v>0.38202801901011307</v>
      </c>
      <c r="I288" s="305">
        <f t="shared" ca="1" si="84"/>
        <v>120.74362062893093</v>
      </c>
      <c r="J288" s="305">
        <f t="shared" ca="1" si="85"/>
        <v>55.813665612538891</v>
      </c>
      <c r="K288" s="292">
        <f t="shared" ca="1" si="82"/>
        <v>2.2584998760697719</v>
      </c>
      <c r="L288" s="1290">
        <f t="shared" ca="1" si="86"/>
        <v>27.286998146040265</v>
      </c>
      <c r="M288" s="299">
        <v>280</v>
      </c>
      <c r="N288" s="304">
        <f t="shared" si="87"/>
        <v>3671.7480724254838</v>
      </c>
      <c r="O288" s="303">
        <v>162.63314362728639</v>
      </c>
      <c r="P288" s="302">
        <v>0.40149980609376779</v>
      </c>
      <c r="Q288" s="301">
        <v>123.20027899450466</v>
      </c>
      <c r="R288" s="301">
        <v>65.513878589238772</v>
      </c>
      <c r="S288" s="300">
        <v>1.3783257269268927</v>
      </c>
      <c r="T288" s="891">
        <f t="shared" si="88"/>
        <v>2</v>
      </c>
      <c r="U288" s="1220">
        <v>0.2682647705078125</v>
      </c>
      <c r="W288" s="299">
        <v>280</v>
      </c>
      <c r="X288" s="298">
        <f>IF('Donor Sample'!N305="",,IF('Donor Sample'!N305="F",1,0))</f>
        <v>0</v>
      </c>
      <c r="Y288" s="298" t="str">
        <f>IF('Donor Sample'!O305="","",'Donor Sample'!O305)</f>
        <v/>
      </c>
      <c r="Z288" s="298" t="str">
        <f>IF(AND('Donor Sample'!O305="",'Donor Sample'!P305="",'Donor Sample'!Q305=""),"",IF('Donor Sample'!P305="",ROUND(AA288/($C$32+($AI288-0.5)*$C$31),0),'Donor Sample'!P305))</f>
        <v/>
      </c>
      <c r="AA288" s="297" t="str">
        <f>IF('Donor Sample'!Q305="","",'Donor Sample'!Q305)</f>
        <v/>
      </c>
      <c r="AB288" s="296" t="str">
        <f t="shared" si="83"/>
        <v/>
      </c>
      <c r="AC288" s="295" t="str">
        <f>IF('Donor Sample'!R305="","",'Donor Sample'!R305)</f>
        <v/>
      </c>
      <c r="AD288" s="294" t="str">
        <f>IF('Donor Sample'!S305="","",'Donor Sample'!S305/100)</f>
        <v/>
      </c>
      <c r="AE288" s="407" t="e">
        <f t="shared" si="89"/>
        <v>#VALUE!</v>
      </c>
      <c r="AF288" s="293" t="str">
        <f t="shared" si="90"/>
        <v/>
      </c>
      <c r="AG288" s="292" t="str">
        <f>IF('Donor Sample'!T305="","",'Donor Sample'!T305)</f>
        <v/>
      </c>
      <c r="AH288" s="891">
        <f t="shared" si="91"/>
        <v>16</v>
      </c>
      <c r="AI288" s="1220">
        <v>0.96941041946411133</v>
      </c>
      <c r="AJ288" s="1216"/>
    </row>
    <row r="289" spans="5:36">
      <c r="E289" s="299">
        <v>281</v>
      </c>
      <c r="F289" s="308">
        <f t="shared" ca="1" si="79"/>
        <v>2688.2977688357541</v>
      </c>
      <c r="G289" s="307">
        <f t="shared" ca="1" si="80"/>
        <v>216.52770529985759</v>
      </c>
      <c r="H289" s="306">
        <f t="shared" ca="1" si="81"/>
        <v>0.37762440401040814</v>
      </c>
      <c r="I289" s="305">
        <f t="shared" ca="1" si="84"/>
        <v>93.899825824464116</v>
      </c>
      <c r="J289" s="305">
        <f t="shared" ca="1" si="85"/>
        <v>49.139415970038449</v>
      </c>
      <c r="K289" s="292">
        <f t="shared" ca="1" si="82"/>
        <v>6.749273747469811</v>
      </c>
      <c r="L289" s="1290">
        <f t="shared" ca="1" si="86"/>
        <v>27.376471044119853</v>
      </c>
      <c r="M289" s="299">
        <v>281</v>
      </c>
      <c r="N289" s="304">
        <f t="shared" si="87"/>
        <v>3092.0944072389439</v>
      </c>
      <c r="O289" s="303">
        <v>267.90499979502994</v>
      </c>
      <c r="P289" s="302">
        <v>0.45568312152579027</v>
      </c>
      <c r="Q289" s="301">
        <v>111.66594329483094</v>
      </c>
      <c r="R289" s="301">
        <v>52.253762816491239</v>
      </c>
      <c r="S289" s="300">
        <v>1.5271333865171011</v>
      </c>
      <c r="T289" s="891">
        <f t="shared" si="88"/>
        <v>256</v>
      </c>
      <c r="U289" s="1220">
        <v>0.9124719500541687</v>
      </c>
      <c r="W289" s="299">
        <v>281</v>
      </c>
      <c r="X289" s="298">
        <f>IF('Donor Sample'!N306="",,IF('Donor Sample'!N306="F",1,0))</f>
        <v>0</v>
      </c>
      <c r="Y289" s="298" t="str">
        <f>IF('Donor Sample'!O306="","",'Donor Sample'!O306)</f>
        <v/>
      </c>
      <c r="Z289" s="298" t="str">
        <f>IF(AND('Donor Sample'!O306="",'Donor Sample'!P306="",'Donor Sample'!Q306=""),"",IF('Donor Sample'!P306="",ROUND(AA289/($C$32+($AI289-0.5)*$C$31),0),'Donor Sample'!P306))</f>
        <v/>
      </c>
      <c r="AA289" s="297" t="str">
        <f>IF('Donor Sample'!Q306="","",'Donor Sample'!Q306)</f>
        <v/>
      </c>
      <c r="AB289" s="296" t="str">
        <f t="shared" si="83"/>
        <v/>
      </c>
      <c r="AC289" s="295" t="str">
        <f>IF('Donor Sample'!R306="","",'Donor Sample'!R306)</f>
        <v/>
      </c>
      <c r="AD289" s="294" t="str">
        <f>IF('Donor Sample'!S306="","",'Donor Sample'!S306/100)</f>
        <v/>
      </c>
      <c r="AE289" s="293" t="e">
        <f t="shared" si="89"/>
        <v>#VALUE!</v>
      </c>
      <c r="AF289" s="293" t="str">
        <f t="shared" si="90"/>
        <v/>
      </c>
      <c r="AG289" s="292" t="str">
        <f>IF('Donor Sample'!T306="","",'Donor Sample'!T306)</f>
        <v/>
      </c>
      <c r="AH289" s="891">
        <f t="shared" si="91"/>
        <v>64</v>
      </c>
      <c r="AI289" s="1220">
        <v>0.50874203443527222</v>
      </c>
      <c r="AJ289" s="1216"/>
    </row>
    <row r="290" spans="5:36">
      <c r="E290" s="299">
        <v>282</v>
      </c>
      <c r="F290" s="308">
        <f t="shared" ca="1" si="79"/>
        <v>3969.3008933538531</v>
      </c>
      <c r="G290" s="307">
        <f t="shared" ca="1" si="80"/>
        <v>210.85116019445806</v>
      </c>
      <c r="H290" s="306">
        <f t="shared" ca="1" si="81"/>
        <v>0.46143908359244196</v>
      </c>
      <c r="I290" s="305">
        <f t="shared" ca="1" si="84"/>
        <v>126.05009322529432</v>
      </c>
      <c r="J290" s="305">
        <f t="shared" ca="1" si="85"/>
        <v>63.301509293397828</v>
      </c>
      <c r="K290" s="292">
        <f t="shared" ca="1" si="82"/>
        <v>3.4688396051236454</v>
      </c>
      <c r="L290" s="1290">
        <f t="shared" ca="1" si="86"/>
        <v>22.145612700377857</v>
      </c>
      <c r="M290" s="299">
        <v>282</v>
      </c>
      <c r="N290" s="304">
        <f t="shared" si="87"/>
        <v>3493.5774217875714</v>
      </c>
      <c r="O290" s="303">
        <v>222.07026075878872</v>
      </c>
      <c r="P290" s="302">
        <v>0.51273686373739225</v>
      </c>
      <c r="Q290" s="301">
        <v>125.32896836870927</v>
      </c>
      <c r="R290" s="301">
        <v>56.070121295229924</v>
      </c>
      <c r="S290" s="300">
        <v>2.4519538125214124</v>
      </c>
      <c r="T290" s="891">
        <f t="shared" si="88"/>
        <v>2</v>
      </c>
      <c r="U290" s="1220">
        <v>5.3275704383850098E-2</v>
      </c>
      <c r="W290" s="299">
        <v>282</v>
      </c>
      <c r="X290" s="298">
        <f>IF('Donor Sample'!N307="",,IF('Donor Sample'!N307="F",1,0))</f>
        <v>0</v>
      </c>
      <c r="Y290" s="298" t="str">
        <f>IF('Donor Sample'!O307="","",'Donor Sample'!O307)</f>
        <v/>
      </c>
      <c r="Z290" s="298" t="str">
        <f>IF(AND('Donor Sample'!O307="",'Donor Sample'!P307="",'Donor Sample'!Q307=""),"",IF('Donor Sample'!P307="",ROUND(AA290/($C$32+($AI290-0.5)*$C$31),0),'Donor Sample'!P307))</f>
        <v/>
      </c>
      <c r="AA290" s="297" t="str">
        <f>IF('Donor Sample'!Q307="","",'Donor Sample'!Q307)</f>
        <v/>
      </c>
      <c r="AB290" s="296" t="str">
        <f t="shared" si="83"/>
        <v/>
      </c>
      <c r="AC290" s="295" t="str">
        <f>IF('Donor Sample'!R307="","",'Donor Sample'!R307)</f>
        <v/>
      </c>
      <c r="AD290" s="294" t="str">
        <f>IF('Donor Sample'!S307="","",'Donor Sample'!S307/100)</f>
        <v/>
      </c>
      <c r="AE290" s="293" t="e">
        <f t="shared" si="89"/>
        <v>#VALUE!</v>
      </c>
      <c r="AF290" s="293" t="str">
        <f t="shared" si="90"/>
        <v/>
      </c>
      <c r="AG290" s="292" t="str">
        <f>IF('Donor Sample'!T307="","",'Donor Sample'!T307)</f>
        <v/>
      </c>
      <c r="AH290" s="891">
        <f t="shared" si="91"/>
        <v>64</v>
      </c>
      <c r="AI290" s="1220">
        <v>0.66534435749053955</v>
      </c>
      <c r="AJ290" s="1216"/>
    </row>
    <row r="291" spans="5:36">
      <c r="E291" s="299">
        <v>283</v>
      </c>
      <c r="F291" s="308">
        <f t="shared" ca="1" si="79"/>
        <v>2698.9680750253215</v>
      </c>
      <c r="G291" s="307">
        <f t="shared" ca="1" si="80"/>
        <v>172.76497223988758</v>
      </c>
      <c r="H291" s="306">
        <f t="shared" ca="1" si="81"/>
        <v>0.38767245024662794</v>
      </c>
      <c r="I291" s="305">
        <f t="shared" ca="1" si="84"/>
        <v>94.225973974487403</v>
      </c>
      <c r="J291" s="305">
        <f t="shared" ca="1" si="85"/>
        <v>49.274711986284686</v>
      </c>
      <c r="K291" s="292">
        <f t="shared" ca="1" si="82"/>
        <v>2.4750142862444862</v>
      </c>
      <c r="L291" s="1290">
        <f t="shared" ca="1" si="86"/>
        <v>27.320906526922823</v>
      </c>
      <c r="M291" s="299">
        <v>283</v>
      </c>
      <c r="N291" s="304">
        <f t="shared" si="87"/>
        <v>3258.4705124840912</v>
      </c>
      <c r="O291" s="303">
        <v>161.43344097057945</v>
      </c>
      <c r="P291" s="302">
        <v>0.35294794155040693</v>
      </c>
      <c r="Q291" s="301">
        <v>115.44327566787945</v>
      </c>
      <c r="R291" s="301">
        <v>54.421194798180608</v>
      </c>
      <c r="S291" s="300">
        <v>1.4238040024941643</v>
      </c>
      <c r="T291" s="891">
        <f t="shared" si="88"/>
        <v>64</v>
      </c>
      <c r="U291" s="1220">
        <v>0.59808856248855591</v>
      </c>
      <c r="W291" s="299">
        <v>283</v>
      </c>
      <c r="X291" s="298">
        <f>IF('Donor Sample'!N308="",,IF('Donor Sample'!N308="F",1,0))</f>
        <v>0</v>
      </c>
      <c r="Y291" s="298" t="str">
        <f>IF('Donor Sample'!O308="","",'Donor Sample'!O308)</f>
        <v/>
      </c>
      <c r="Z291" s="298" t="str">
        <f>IF(AND('Donor Sample'!O308="",'Donor Sample'!P308="",'Donor Sample'!Q308=""),"",IF('Donor Sample'!P308="",ROUND(AA291/($C$32+($AI291-0.5)*$C$31),0),'Donor Sample'!P308))</f>
        <v/>
      </c>
      <c r="AA291" s="297" t="str">
        <f>IF('Donor Sample'!Q308="","",'Donor Sample'!Q308)</f>
        <v/>
      </c>
      <c r="AB291" s="296" t="str">
        <f t="shared" si="83"/>
        <v/>
      </c>
      <c r="AC291" s="295" t="str">
        <f>IF('Donor Sample'!R308="","",'Donor Sample'!R308)</f>
        <v/>
      </c>
      <c r="AD291" s="294" t="str">
        <f>IF('Donor Sample'!S308="","",'Donor Sample'!S308/100)</f>
        <v/>
      </c>
      <c r="AE291" s="407" t="e">
        <f t="shared" si="89"/>
        <v>#VALUE!</v>
      </c>
      <c r="AF291" s="293" t="str">
        <f t="shared" si="90"/>
        <v/>
      </c>
      <c r="AG291" s="292" t="str">
        <f>IF('Donor Sample'!T308="","",'Donor Sample'!T308)</f>
        <v/>
      </c>
      <c r="AH291" s="891">
        <f t="shared" si="91"/>
        <v>2</v>
      </c>
      <c r="AI291" s="1220">
        <v>5.9245884418487549E-2</v>
      </c>
      <c r="AJ291" s="1216"/>
    </row>
    <row r="292" spans="5:36">
      <c r="E292" s="299">
        <v>284</v>
      </c>
      <c r="F292" s="308">
        <f t="shared" ca="1" si="79"/>
        <v>3808.6229045705422</v>
      </c>
      <c r="G292" s="307">
        <f t="shared" ca="1" si="80"/>
        <v>253.66494028238239</v>
      </c>
      <c r="H292" s="306">
        <f t="shared" ca="1" si="81"/>
        <v>0.47187611104259036</v>
      </c>
      <c r="I292" s="305">
        <f t="shared" ca="1" si="84"/>
        <v>124.31190002936809</v>
      </c>
      <c r="J292" s="305">
        <f t="shared" ca="1" si="85"/>
        <v>61.371134215535598</v>
      </c>
      <c r="K292" s="292">
        <f t="shared" ca="1" si="82"/>
        <v>1.4925612380916471</v>
      </c>
      <c r="L292" s="1290">
        <f t="shared" ca="1" si="86"/>
        <v>23.235769747912961</v>
      </c>
      <c r="M292" s="299">
        <v>284</v>
      </c>
      <c r="N292" s="304">
        <f t="shared" si="87"/>
        <v>2634.0362507336358</v>
      </c>
      <c r="O292" s="303">
        <v>255.48664922312508</v>
      </c>
      <c r="P292" s="302">
        <v>0.39444956818629379</v>
      </c>
      <c r="Q292" s="301">
        <v>99.438716422396297</v>
      </c>
      <c r="R292" s="301">
        <v>45.817085989603882</v>
      </c>
      <c r="S292" s="300">
        <v>4.5876887615955555</v>
      </c>
      <c r="T292" s="891">
        <f t="shared" si="88"/>
        <v>64</v>
      </c>
      <c r="U292" s="1220">
        <v>0.49947762489318848</v>
      </c>
      <c r="W292" s="299">
        <v>284</v>
      </c>
      <c r="X292" s="298">
        <f>IF('Donor Sample'!N309="",,IF('Donor Sample'!N309="F",1,0))</f>
        <v>0</v>
      </c>
      <c r="Y292" s="298" t="str">
        <f>IF('Donor Sample'!O309="","",'Donor Sample'!O309)</f>
        <v/>
      </c>
      <c r="Z292" s="298" t="str">
        <f>IF(AND('Donor Sample'!O309="",'Donor Sample'!P309="",'Donor Sample'!Q309=""),"",IF('Donor Sample'!P309="",ROUND(AA292/($C$32+($AI292-0.5)*$C$31),0),'Donor Sample'!P309))</f>
        <v/>
      </c>
      <c r="AA292" s="297" t="str">
        <f>IF('Donor Sample'!Q309="","",'Donor Sample'!Q309)</f>
        <v/>
      </c>
      <c r="AB292" s="296" t="str">
        <f t="shared" si="83"/>
        <v/>
      </c>
      <c r="AC292" s="295" t="str">
        <f>IF('Donor Sample'!R309="","",'Donor Sample'!R309)</f>
        <v/>
      </c>
      <c r="AD292" s="294" t="str">
        <f>IF('Donor Sample'!S309="","",'Donor Sample'!S309/100)</f>
        <v/>
      </c>
      <c r="AE292" s="293" t="e">
        <f t="shared" si="89"/>
        <v>#VALUE!</v>
      </c>
      <c r="AF292" s="293" t="str">
        <f t="shared" si="90"/>
        <v/>
      </c>
      <c r="AG292" s="292" t="str">
        <f>IF('Donor Sample'!T309="","",'Donor Sample'!T309)</f>
        <v/>
      </c>
      <c r="AH292" s="891">
        <f t="shared" si="91"/>
        <v>64</v>
      </c>
      <c r="AI292" s="1220">
        <v>0.72391581535339355</v>
      </c>
      <c r="AJ292" s="1216"/>
    </row>
    <row r="293" spans="5:36">
      <c r="E293" s="299">
        <v>285</v>
      </c>
      <c r="F293" s="308">
        <f t="shared" ca="1" si="79"/>
        <v>3585.93062072967</v>
      </c>
      <c r="G293" s="307">
        <f t="shared" ca="1" si="80"/>
        <v>255.52558271290053</v>
      </c>
      <c r="H293" s="306">
        <f t="shared" ca="1" si="81"/>
        <v>0.3974964009153617</v>
      </c>
      <c r="I293" s="305">
        <f t="shared" ca="1" si="84"/>
        <v>150.14591851865103</v>
      </c>
      <c r="J293" s="305">
        <f t="shared" ca="1" si="85"/>
        <v>58.207509123229194</v>
      </c>
      <c r="K293" s="292">
        <f t="shared" ca="1" si="82"/>
        <v>1.7170864759620363</v>
      </c>
      <c r="L293" s="1290">
        <f t="shared" ca="1" si="86"/>
        <v>31.198101051332323</v>
      </c>
      <c r="M293" s="299">
        <v>285</v>
      </c>
      <c r="N293" s="304">
        <f t="shared" si="87"/>
        <v>3823.2949561311084</v>
      </c>
      <c r="O293" s="303">
        <v>248.20280613277637</v>
      </c>
      <c r="P293" s="302">
        <v>0.35533343100192311</v>
      </c>
      <c r="Q293" s="301">
        <v>123.91426794508334</v>
      </c>
      <c r="R293" s="301">
        <v>67.337175998577919</v>
      </c>
      <c r="S293" s="300">
        <v>1.9122276735707906</v>
      </c>
      <c r="T293" s="891">
        <f t="shared" si="88"/>
        <v>256</v>
      </c>
      <c r="U293" s="1220">
        <v>0.87532752752304077</v>
      </c>
      <c r="W293" s="299">
        <v>285</v>
      </c>
      <c r="X293" s="298">
        <f>IF('Donor Sample'!N310="",,IF('Donor Sample'!N310="F",1,0))</f>
        <v>0</v>
      </c>
      <c r="Y293" s="298" t="str">
        <f>IF('Donor Sample'!O310="","",'Donor Sample'!O310)</f>
        <v/>
      </c>
      <c r="Z293" s="298" t="str">
        <f>IF(AND('Donor Sample'!O310="",'Donor Sample'!P310="",'Donor Sample'!Q310=""),"",IF('Donor Sample'!P310="",ROUND(AA293/($C$32+($AI293-0.5)*$C$31),0),'Donor Sample'!P310))</f>
        <v/>
      </c>
      <c r="AA293" s="297" t="str">
        <f>IF('Donor Sample'!Q310="","",'Donor Sample'!Q310)</f>
        <v/>
      </c>
      <c r="AB293" s="296" t="str">
        <f t="shared" si="83"/>
        <v/>
      </c>
      <c r="AC293" s="295" t="str">
        <f>IF('Donor Sample'!R310="","",'Donor Sample'!R310)</f>
        <v/>
      </c>
      <c r="AD293" s="294" t="str">
        <f>IF('Donor Sample'!S310="","",'Donor Sample'!S310/100)</f>
        <v/>
      </c>
      <c r="AE293" s="293" t="e">
        <f t="shared" si="89"/>
        <v>#VALUE!</v>
      </c>
      <c r="AF293" s="293" t="str">
        <f t="shared" si="90"/>
        <v/>
      </c>
      <c r="AG293" s="292" t="str">
        <f>IF('Donor Sample'!T310="","",'Donor Sample'!T310)</f>
        <v/>
      </c>
      <c r="AH293" s="891">
        <f t="shared" si="91"/>
        <v>256</v>
      </c>
      <c r="AI293" s="1220">
        <v>0.87828248739242554</v>
      </c>
      <c r="AJ293" s="1216"/>
    </row>
    <row r="294" spans="5:36">
      <c r="E294" s="299">
        <v>286</v>
      </c>
      <c r="F294" s="308">
        <f t="shared" ca="1" si="79"/>
        <v>3108.7595423489083</v>
      </c>
      <c r="G294" s="307">
        <f t="shared" ca="1" si="80"/>
        <v>275.5895646192734</v>
      </c>
      <c r="H294" s="306">
        <f t="shared" ca="1" si="81"/>
        <v>0.38429126076507536</v>
      </c>
      <c r="I294" s="305">
        <f t="shared" ca="1" si="84"/>
        <v>111.00442178446679</v>
      </c>
      <c r="J294" s="305">
        <f t="shared" ca="1" si="85"/>
        <v>60.005287159555984</v>
      </c>
      <c r="K294" s="292">
        <f t="shared" ca="1" si="82"/>
        <v>1.7227262309612261</v>
      </c>
      <c r="L294" s="1290">
        <f t="shared" ca="1" si="86"/>
        <v>21.703706170738968</v>
      </c>
      <c r="M294" s="299">
        <v>286</v>
      </c>
      <c r="N294" s="304">
        <f t="shared" si="87"/>
        <v>3835.7764296986861</v>
      </c>
      <c r="O294" s="303">
        <v>214.55189968370874</v>
      </c>
      <c r="P294" s="302">
        <v>0.4145744895853975</v>
      </c>
      <c r="Q294" s="301">
        <v>126.27721784040897</v>
      </c>
      <c r="R294" s="301">
        <v>67.046621402950052</v>
      </c>
      <c r="S294" s="300">
        <v>1.5748354435471732</v>
      </c>
      <c r="T294" s="891">
        <f t="shared" si="88"/>
        <v>64</v>
      </c>
      <c r="U294" s="1220">
        <v>0.44522655010223389</v>
      </c>
      <c r="W294" s="299">
        <v>286</v>
      </c>
      <c r="X294" s="298">
        <f>IF('Donor Sample'!N311="",,IF('Donor Sample'!N311="F",1,0))</f>
        <v>0</v>
      </c>
      <c r="Y294" s="298" t="str">
        <f>IF('Donor Sample'!O311="","",'Donor Sample'!O311)</f>
        <v/>
      </c>
      <c r="Z294" s="298" t="str">
        <f>IF(AND('Donor Sample'!O311="",'Donor Sample'!P311="",'Donor Sample'!Q311=""),"",IF('Donor Sample'!P311="",ROUND(AA294/($C$32+($AI294-0.5)*$C$31),0),'Donor Sample'!P311))</f>
        <v/>
      </c>
      <c r="AA294" s="297" t="str">
        <f>IF('Donor Sample'!Q311="","",'Donor Sample'!Q311)</f>
        <v/>
      </c>
      <c r="AB294" s="296" t="str">
        <f t="shared" si="83"/>
        <v/>
      </c>
      <c r="AC294" s="295" t="str">
        <f>IF('Donor Sample'!R311="","",'Donor Sample'!R311)</f>
        <v/>
      </c>
      <c r="AD294" s="294" t="str">
        <f>IF('Donor Sample'!S311="","",'Donor Sample'!S311/100)</f>
        <v/>
      </c>
      <c r="AE294" s="407" t="e">
        <f t="shared" si="89"/>
        <v>#VALUE!</v>
      </c>
      <c r="AF294" s="293" t="str">
        <f t="shared" si="90"/>
        <v/>
      </c>
      <c r="AG294" s="292" t="str">
        <f>IF('Donor Sample'!T311="","",'Donor Sample'!T311)</f>
        <v/>
      </c>
      <c r="AH294" s="891">
        <f t="shared" si="91"/>
        <v>256</v>
      </c>
      <c r="AI294" s="1220">
        <v>0.90755307674407959</v>
      </c>
      <c r="AJ294" s="1216"/>
    </row>
    <row r="295" spans="5:36">
      <c r="E295" s="299">
        <v>287</v>
      </c>
      <c r="F295" s="308">
        <f t="shared" ca="1" si="79"/>
        <v>3296.3963182868615</v>
      </c>
      <c r="G295" s="307">
        <f t="shared" ca="1" si="80"/>
        <v>207.17760784138611</v>
      </c>
      <c r="H295" s="306">
        <f t="shared" ca="1" si="81"/>
        <v>0.357920535726171</v>
      </c>
      <c r="I295" s="305">
        <f t="shared" ca="1" si="84"/>
        <v>101.98774667160176</v>
      </c>
      <c r="J295" s="305">
        <f t="shared" ca="1" si="85"/>
        <v>58.496160823705594</v>
      </c>
      <c r="K295" s="292">
        <f t="shared" ca="1" si="82"/>
        <v>1.9825111634729222</v>
      </c>
      <c r="L295" s="1290">
        <f t="shared" ca="1" si="86"/>
        <v>20.982920164133937</v>
      </c>
      <c r="M295" s="299">
        <v>287</v>
      </c>
      <c r="N295" s="304">
        <f t="shared" si="87"/>
        <v>3844.436413680919</v>
      </c>
      <c r="O295" s="303">
        <v>257.44243754352379</v>
      </c>
      <c r="P295" s="302">
        <v>0.48278637263727187</v>
      </c>
      <c r="Q295" s="301">
        <v>135.52042308251768</v>
      </c>
      <c r="R295" s="301">
        <v>59.428518502086092</v>
      </c>
      <c r="S295" s="300">
        <v>1.7374431869028042</v>
      </c>
      <c r="T295" s="891">
        <f t="shared" si="88"/>
        <v>32</v>
      </c>
      <c r="U295" s="1220">
        <v>0.83068329095840454</v>
      </c>
      <c r="W295" s="299">
        <v>287</v>
      </c>
      <c r="X295" s="298">
        <f>IF('Donor Sample'!N312="",,IF('Donor Sample'!N312="F",1,0))</f>
        <v>0</v>
      </c>
      <c r="Y295" s="298" t="str">
        <f>IF('Donor Sample'!O312="","",'Donor Sample'!O312)</f>
        <v/>
      </c>
      <c r="Z295" s="298" t="str">
        <f>IF(AND('Donor Sample'!O312="",'Donor Sample'!P312="",'Donor Sample'!Q312=""),"",IF('Donor Sample'!P312="",ROUND(AA295/($C$32+($AI295-0.5)*$C$31),0),'Donor Sample'!P312))</f>
        <v/>
      </c>
      <c r="AA295" s="297" t="str">
        <f>IF('Donor Sample'!Q312="","",'Donor Sample'!Q312)</f>
        <v/>
      </c>
      <c r="AB295" s="296" t="str">
        <f t="shared" si="83"/>
        <v/>
      </c>
      <c r="AC295" s="295" t="str">
        <f>IF('Donor Sample'!R312="","",'Donor Sample'!R312)</f>
        <v/>
      </c>
      <c r="AD295" s="294" t="str">
        <f>IF('Donor Sample'!S312="","",'Donor Sample'!S312/100)</f>
        <v/>
      </c>
      <c r="AE295" s="293" t="e">
        <f t="shared" si="89"/>
        <v>#VALUE!</v>
      </c>
      <c r="AF295" s="293" t="str">
        <f t="shared" si="90"/>
        <v/>
      </c>
      <c r="AG295" s="292" t="str">
        <f>IF('Donor Sample'!T312="","",'Donor Sample'!T312)</f>
        <v/>
      </c>
      <c r="AH295" s="891">
        <f t="shared" si="91"/>
        <v>64</v>
      </c>
      <c r="AI295" s="1220">
        <v>0.53012949228286743</v>
      </c>
      <c r="AJ295" s="1216"/>
    </row>
    <row r="296" spans="5:36">
      <c r="E296" s="299">
        <v>288</v>
      </c>
      <c r="F296" s="308">
        <f t="shared" ca="1" si="79"/>
        <v>3394.0579234878323</v>
      </c>
      <c r="G296" s="307">
        <f t="shared" ca="1" si="80"/>
        <v>268.08893019953075</v>
      </c>
      <c r="H296" s="306">
        <f t="shared" ca="1" si="81"/>
        <v>0.46570065705794095</v>
      </c>
      <c r="I296" s="305">
        <f t="shared" ca="1" si="84"/>
        <v>123.46223696140065</v>
      </c>
      <c r="J296" s="305">
        <f t="shared" ca="1" si="85"/>
        <v>61.527997355876103</v>
      </c>
      <c r="K296" s="292">
        <f t="shared" ca="1" si="82"/>
        <v>15.106486600565587</v>
      </c>
      <c r="L296" s="1290">
        <f t="shared" ca="1" si="86"/>
        <v>22.959437368963538</v>
      </c>
      <c r="M296" s="299">
        <v>288</v>
      </c>
      <c r="N296" s="304">
        <f t="shared" si="87"/>
        <v>2948.0841915054789</v>
      </c>
      <c r="O296" s="303">
        <v>239.39478763708166</v>
      </c>
      <c r="P296" s="302">
        <v>0.4243196269996839</v>
      </c>
      <c r="Q296" s="301">
        <v>100.89276604577509</v>
      </c>
      <c r="R296" s="301">
        <v>59.862146635503322</v>
      </c>
      <c r="S296" s="300">
        <v>1.5583829326739493</v>
      </c>
      <c r="T296" s="891">
        <f t="shared" si="88"/>
        <v>32</v>
      </c>
      <c r="U296" s="1220">
        <v>0.82635164260864258</v>
      </c>
      <c r="W296" s="299">
        <v>288</v>
      </c>
      <c r="X296" s="298">
        <f>IF('Donor Sample'!N313="",,IF('Donor Sample'!N313="F",1,0))</f>
        <v>0</v>
      </c>
      <c r="Y296" s="298" t="str">
        <f>IF('Donor Sample'!O313="","",'Donor Sample'!O313)</f>
        <v/>
      </c>
      <c r="Z296" s="298" t="str">
        <f>IF(AND('Donor Sample'!O313="",'Donor Sample'!P313="",'Donor Sample'!Q313=""),"",IF('Donor Sample'!P313="",ROUND(AA296/($C$32+($AI296-0.5)*$C$31),0),'Donor Sample'!P313))</f>
        <v/>
      </c>
      <c r="AA296" s="297" t="str">
        <f>IF('Donor Sample'!Q313="","",'Donor Sample'!Q313)</f>
        <v/>
      </c>
      <c r="AB296" s="296" t="str">
        <f t="shared" si="83"/>
        <v/>
      </c>
      <c r="AC296" s="295" t="str">
        <f>IF('Donor Sample'!R313="","",'Donor Sample'!R313)</f>
        <v/>
      </c>
      <c r="AD296" s="294" t="str">
        <f>IF('Donor Sample'!S313="","",'Donor Sample'!S313/100)</f>
        <v/>
      </c>
      <c r="AE296" s="293" t="e">
        <f t="shared" si="89"/>
        <v>#VALUE!</v>
      </c>
      <c r="AF296" s="293" t="str">
        <f t="shared" si="90"/>
        <v/>
      </c>
      <c r="AG296" s="292" t="str">
        <f>IF('Donor Sample'!T313="","",'Donor Sample'!T313)</f>
        <v/>
      </c>
      <c r="AH296" s="891">
        <f t="shared" si="91"/>
        <v>16</v>
      </c>
      <c r="AI296" s="1220">
        <v>0.96873569488525391</v>
      </c>
      <c r="AJ296" s="1216"/>
    </row>
    <row r="297" spans="5:36">
      <c r="E297" s="299">
        <v>289</v>
      </c>
      <c r="F297" s="308">
        <f t="shared" ca="1" si="79"/>
        <v>2964.8230235803949</v>
      </c>
      <c r="G297" s="307">
        <f t="shared" ca="1" si="80"/>
        <v>237.98966682551719</v>
      </c>
      <c r="H297" s="306">
        <f t="shared" ca="1" si="81"/>
        <v>0.4034096692079901</v>
      </c>
      <c r="I297" s="305">
        <f t="shared" ca="1" si="84"/>
        <v>105.10913016440968</v>
      </c>
      <c r="J297" s="305">
        <f t="shared" ca="1" si="85"/>
        <v>51.605257270864257</v>
      </c>
      <c r="K297" s="292">
        <f t="shared" ca="1" si="82"/>
        <v>7.154177204661595</v>
      </c>
      <c r="L297" s="1290">
        <f t="shared" ca="1" si="86"/>
        <v>27.785947205809901</v>
      </c>
      <c r="M297" s="299">
        <v>289</v>
      </c>
      <c r="N297" s="304">
        <f t="shared" si="87"/>
        <v>3325.9296981194843</v>
      </c>
      <c r="O297" s="303">
        <v>267.03222757042317</v>
      </c>
      <c r="P297" s="302">
        <v>0.40106714949925992</v>
      </c>
      <c r="Q297" s="301">
        <v>120.18406627715135</v>
      </c>
      <c r="R297" s="301">
        <v>54.388294558079579</v>
      </c>
      <c r="S297" s="300">
        <v>5.6294802168150708</v>
      </c>
      <c r="T297" s="891">
        <f t="shared" si="88"/>
        <v>2</v>
      </c>
      <c r="U297" s="1220">
        <v>7.0730865001678467E-2</v>
      </c>
      <c r="W297" s="299">
        <v>289</v>
      </c>
      <c r="X297" s="298">
        <f>IF('Donor Sample'!N314="",,IF('Donor Sample'!N314="F",1,0))</f>
        <v>0</v>
      </c>
      <c r="Y297" s="298" t="str">
        <f>IF('Donor Sample'!O314="","",'Donor Sample'!O314)</f>
        <v/>
      </c>
      <c r="Z297" s="298" t="str">
        <f>IF(AND('Donor Sample'!O314="",'Donor Sample'!P314="",'Donor Sample'!Q314=""),"",IF('Donor Sample'!P314="",ROUND(AA297/($C$32+($AI297-0.5)*$C$31),0),'Donor Sample'!P314))</f>
        <v/>
      </c>
      <c r="AA297" s="297" t="str">
        <f>IF('Donor Sample'!Q314="","",'Donor Sample'!Q314)</f>
        <v/>
      </c>
      <c r="AB297" s="296" t="str">
        <f t="shared" si="83"/>
        <v/>
      </c>
      <c r="AC297" s="295" t="str">
        <f>IF('Donor Sample'!R314="","",'Donor Sample'!R314)</f>
        <v/>
      </c>
      <c r="AD297" s="294" t="str">
        <f>IF('Donor Sample'!S314="","",'Donor Sample'!S314/100)</f>
        <v/>
      </c>
      <c r="AE297" s="407" t="e">
        <f t="shared" si="89"/>
        <v>#VALUE!</v>
      </c>
      <c r="AF297" s="293" t="str">
        <f t="shared" si="90"/>
        <v/>
      </c>
      <c r="AG297" s="292" t="str">
        <f>IF('Donor Sample'!T314="","",'Donor Sample'!T314)</f>
        <v/>
      </c>
      <c r="AH297" s="891">
        <f t="shared" si="91"/>
        <v>4</v>
      </c>
      <c r="AI297" s="1220">
        <v>0.42141073942184448</v>
      </c>
      <c r="AJ297" s="1216"/>
    </row>
    <row r="298" spans="5:36">
      <c r="E298" s="299">
        <v>290</v>
      </c>
      <c r="F298" s="308">
        <f t="shared" ca="1" si="79"/>
        <v>2965.9918542969685</v>
      </c>
      <c r="G298" s="307">
        <f t="shared" ca="1" si="80"/>
        <v>231.59256729326296</v>
      </c>
      <c r="H298" s="306">
        <f t="shared" ca="1" si="81"/>
        <v>0.40660040859315572</v>
      </c>
      <c r="I298" s="305">
        <f t="shared" ca="1" si="84"/>
        <v>102.13098049217631</v>
      </c>
      <c r="J298" s="305">
        <f t="shared" ca="1" si="85"/>
        <v>52.518587655552118</v>
      </c>
      <c r="K298" s="292">
        <f t="shared" ca="1" si="82"/>
        <v>1.6732757971544892</v>
      </c>
      <c r="L298" s="1290">
        <f t="shared" ca="1" si="86"/>
        <v>26.067782193061447</v>
      </c>
      <c r="M298" s="299">
        <v>290</v>
      </c>
      <c r="N298" s="304">
        <f t="shared" si="87"/>
        <v>3941.5414521296198</v>
      </c>
      <c r="O298" s="303">
        <v>258.83733612356332</v>
      </c>
      <c r="P298" s="302">
        <v>0.39521398937952862</v>
      </c>
      <c r="Q298" s="301">
        <v>158.012533941855</v>
      </c>
      <c r="R298" s="301">
        <v>55.550062660042222</v>
      </c>
      <c r="S298" s="300">
        <v>1.6819331387023413</v>
      </c>
      <c r="T298" s="891">
        <f t="shared" si="88"/>
        <v>64</v>
      </c>
      <c r="U298" s="1220">
        <v>0.5809403657913208</v>
      </c>
      <c r="W298" s="299">
        <v>290</v>
      </c>
      <c r="X298" s="298">
        <f>IF('Donor Sample'!N315="",,IF('Donor Sample'!N315="F",1,0))</f>
        <v>0</v>
      </c>
      <c r="Y298" s="298" t="str">
        <f>IF('Donor Sample'!O315="","",'Donor Sample'!O315)</f>
        <v/>
      </c>
      <c r="Z298" s="298" t="str">
        <f>IF(AND('Donor Sample'!O315="",'Donor Sample'!P315="",'Donor Sample'!Q315=""),"",IF('Donor Sample'!P315="",ROUND(AA298/($C$32+($AI298-0.5)*$C$31),0),'Donor Sample'!P315))</f>
        <v/>
      </c>
      <c r="AA298" s="297" t="str">
        <f>IF('Donor Sample'!Q315="","",'Donor Sample'!Q315)</f>
        <v/>
      </c>
      <c r="AB298" s="296" t="str">
        <f t="shared" si="83"/>
        <v/>
      </c>
      <c r="AC298" s="295" t="str">
        <f>IF('Donor Sample'!R315="","",'Donor Sample'!R315)</f>
        <v/>
      </c>
      <c r="AD298" s="294" t="str">
        <f>IF('Donor Sample'!S315="","",'Donor Sample'!S315/100)</f>
        <v/>
      </c>
      <c r="AE298" s="293" t="e">
        <f t="shared" si="89"/>
        <v>#VALUE!</v>
      </c>
      <c r="AF298" s="293" t="str">
        <f t="shared" si="90"/>
        <v/>
      </c>
      <c r="AG298" s="292" t="str">
        <f>IF('Donor Sample'!T315="","",'Donor Sample'!T315)</f>
        <v/>
      </c>
      <c r="AH298" s="891">
        <f t="shared" si="91"/>
        <v>64</v>
      </c>
      <c r="AI298" s="1220">
        <v>0.69540464878082275</v>
      </c>
      <c r="AJ298" s="1216"/>
    </row>
    <row r="299" spans="5:36">
      <c r="E299" s="299">
        <v>291</v>
      </c>
      <c r="F299" s="308">
        <f t="shared" ca="1" si="79"/>
        <v>3044.7464708608741</v>
      </c>
      <c r="G299" s="307">
        <f t="shared" ca="1" si="80"/>
        <v>249.26948176352619</v>
      </c>
      <c r="H299" s="306">
        <f t="shared" ca="1" si="81"/>
        <v>0.4621058484133993</v>
      </c>
      <c r="I299" s="305">
        <f t="shared" ca="1" si="84"/>
        <v>106.03556514978938</v>
      </c>
      <c r="J299" s="305">
        <f t="shared" ca="1" si="85"/>
        <v>52.952164596059959</v>
      </c>
      <c r="K299" s="292">
        <f t="shared" ca="1" si="82"/>
        <v>1.2958039368973362</v>
      </c>
      <c r="L299" s="1290">
        <f t="shared" ca="1" si="86"/>
        <v>26.622986901848925</v>
      </c>
      <c r="M299" s="299">
        <v>291</v>
      </c>
      <c r="N299" s="304">
        <f t="shared" si="87"/>
        <v>3516.8584222337363</v>
      </c>
      <c r="O299" s="303">
        <v>220.85121132321743</v>
      </c>
      <c r="P299" s="302">
        <v>0.44627738957222413</v>
      </c>
      <c r="Q299" s="301">
        <v>146.53184940760528</v>
      </c>
      <c r="R299" s="301">
        <v>50.483084703643215</v>
      </c>
      <c r="S299" s="300">
        <v>1.2433361955081799</v>
      </c>
      <c r="T299" s="891">
        <f t="shared" si="88"/>
        <v>64</v>
      </c>
      <c r="U299" s="1220">
        <v>0.5077703595161438</v>
      </c>
      <c r="W299" s="299">
        <v>291</v>
      </c>
      <c r="X299" s="298">
        <f>IF('Donor Sample'!N316="",,IF('Donor Sample'!N316="F",1,0))</f>
        <v>0</v>
      </c>
      <c r="Y299" s="298" t="str">
        <f>IF('Donor Sample'!O316="","",'Donor Sample'!O316)</f>
        <v/>
      </c>
      <c r="Z299" s="298" t="str">
        <f>IF(AND('Donor Sample'!O316="",'Donor Sample'!P316="",'Donor Sample'!Q316=""),"",IF('Donor Sample'!P316="",ROUND(AA299/($C$32+($AI299-0.5)*$C$31),0),'Donor Sample'!P316))</f>
        <v/>
      </c>
      <c r="AA299" s="297" t="str">
        <f>IF('Donor Sample'!Q316="","",'Donor Sample'!Q316)</f>
        <v/>
      </c>
      <c r="AB299" s="296" t="str">
        <f t="shared" si="83"/>
        <v/>
      </c>
      <c r="AC299" s="295" t="str">
        <f>IF('Donor Sample'!R316="","",'Donor Sample'!R316)</f>
        <v/>
      </c>
      <c r="AD299" s="294" t="str">
        <f>IF('Donor Sample'!S316="","",'Donor Sample'!S316/100)</f>
        <v/>
      </c>
      <c r="AE299" s="293" t="e">
        <f t="shared" si="89"/>
        <v>#VALUE!</v>
      </c>
      <c r="AF299" s="293" t="str">
        <f t="shared" si="90"/>
        <v/>
      </c>
      <c r="AG299" s="292" t="str">
        <f>IF('Donor Sample'!T316="","",'Donor Sample'!T316)</f>
        <v/>
      </c>
      <c r="AH299" s="891">
        <f t="shared" si="91"/>
        <v>2</v>
      </c>
      <c r="AI299" s="1220">
        <v>0.16486579179763794</v>
      </c>
      <c r="AJ299" s="1216"/>
    </row>
    <row r="300" spans="5:36">
      <c r="E300" s="299">
        <v>292</v>
      </c>
      <c r="F300" s="308">
        <f t="shared" ca="1" si="79"/>
        <v>3216.7119536142436</v>
      </c>
      <c r="G300" s="307">
        <f t="shared" ca="1" si="80"/>
        <v>271.21312436547265</v>
      </c>
      <c r="H300" s="306">
        <f t="shared" ca="1" si="81"/>
        <v>0.37416545929152628</v>
      </c>
      <c r="I300" s="305">
        <f t="shared" ca="1" si="84"/>
        <v>126.52433739478332</v>
      </c>
      <c r="J300" s="305">
        <f t="shared" ca="1" si="85"/>
        <v>50.307631598872554</v>
      </c>
      <c r="K300" s="292">
        <f t="shared" ca="1" si="82"/>
        <v>1.2414168803100727</v>
      </c>
      <c r="L300" s="1290">
        <f t="shared" ca="1" si="86"/>
        <v>35.194839326183804</v>
      </c>
      <c r="M300" s="299">
        <v>292</v>
      </c>
      <c r="N300" s="304">
        <f t="shared" si="87"/>
        <v>2859.079229643191</v>
      </c>
      <c r="O300" s="303">
        <v>275.72202703868294</v>
      </c>
      <c r="P300" s="302">
        <v>0.40610834562572889</v>
      </c>
      <c r="Q300" s="301">
        <v>116.71282890926999</v>
      </c>
      <c r="R300" s="301">
        <v>45.088221542332676</v>
      </c>
      <c r="S300" s="300">
        <v>4.8246616486680178</v>
      </c>
      <c r="T300" s="891">
        <f t="shared" si="88"/>
        <v>32</v>
      </c>
      <c r="U300" s="1220">
        <v>0.7924048900604248</v>
      </c>
      <c r="W300" s="299">
        <v>292</v>
      </c>
      <c r="X300" s="298">
        <f>IF('Donor Sample'!N317="",,IF('Donor Sample'!N317="F",1,0))</f>
        <v>0</v>
      </c>
      <c r="Y300" s="298" t="str">
        <f>IF('Donor Sample'!O317="","",'Donor Sample'!O317)</f>
        <v/>
      </c>
      <c r="Z300" s="298" t="str">
        <f>IF(AND('Donor Sample'!O317="",'Donor Sample'!P317="",'Donor Sample'!Q317=""),"",IF('Donor Sample'!P317="",ROUND(AA300/($C$32+($AI300-0.5)*$C$31),0),'Donor Sample'!P317))</f>
        <v/>
      </c>
      <c r="AA300" s="297" t="str">
        <f>IF('Donor Sample'!Q317="","",'Donor Sample'!Q317)</f>
        <v/>
      </c>
      <c r="AB300" s="296" t="str">
        <f t="shared" si="83"/>
        <v/>
      </c>
      <c r="AC300" s="295" t="str">
        <f>IF('Donor Sample'!R317="","",'Donor Sample'!R317)</f>
        <v/>
      </c>
      <c r="AD300" s="294" t="str">
        <f>IF('Donor Sample'!S317="","",'Donor Sample'!S317/100)</f>
        <v/>
      </c>
      <c r="AE300" s="407" t="e">
        <f t="shared" si="89"/>
        <v>#VALUE!</v>
      </c>
      <c r="AF300" s="293" t="str">
        <f t="shared" si="90"/>
        <v/>
      </c>
      <c r="AG300" s="292" t="str">
        <f>IF('Donor Sample'!T317="","",'Donor Sample'!T317)</f>
        <v/>
      </c>
      <c r="AH300" s="891">
        <f t="shared" si="91"/>
        <v>2</v>
      </c>
      <c r="AI300" s="1220">
        <v>0.31965374946594238</v>
      </c>
      <c r="AJ300" s="1216"/>
    </row>
    <row r="301" spans="5:36">
      <c r="E301" s="299">
        <v>293</v>
      </c>
      <c r="F301" s="308">
        <f t="shared" ca="1" si="79"/>
        <v>3894.8221336171896</v>
      </c>
      <c r="G301" s="307">
        <f t="shared" ca="1" si="80"/>
        <v>286.58227757312221</v>
      </c>
      <c r="H301" s="306">
        <f t="shared" ca="1" si="81"/>
        <v>0.39256176972187595</v>
      </c>
      <c r="I301" s="305">
        <f t="shared" ca="1" si="84"/>
        <v>161.32355818652371</v>
      </c>
      <c r="J301" s="305">
        <f t="shared" ca="1" si="85"/>
        <v>60.497447422746184</v>
      </c>
      <c r="K301" s="292">
        <f t="shared" ca="1" si="82"/>
        <v>1.6676661626164893</v>
      </c>
      <c r="L301" s="1290">
        <f t="shared" ca="1" si="86"/>
        <v>31.031041340315568</v>
      </c>
      <c r="M301" s="299">
        <v>293</v>
      </c>
      <c r="N301" s="304">
        <f t="shared" si="87"/>
        <v>3105.2687140671724</v>
      </c>
      <c r="O301" s="303">
        <v>296.10935099707126</v>
      </c>
      <c r="P301" s="302">
        <v>0.39499520677131206</v>
      </c>
      <c r="Q301" s="301">
        <v>126.00169850931101</v>
      </c>
      <c r="R301" s="301">
        <v>56.136723632814224</v>
      </c>
      <c r="S301" s="300">
        <v>9.5168614656278105</v>
      </c>
      <c r="T301" s="891">
        <f t="shared" si="88"/>
        <v>64</v>
      </c>
      <c r="U301" s="1220">
        <v>0.43062776327133179</v>
      </c>
      <c r="W301" s="299">
        <v>293</v>
      </c>
      <c r="X301" s="298">
        <f>IF('Donor Sample'!N318="",,IF('Donor Sample'!N318="F",1,0))</f>
        <v>0</v>
      </c>
      <c r="Y301" s="298" t="str">
        <f>IF('Donor Sample'!O318="","",'Donor Sample'!O318)</f>
        <v/>
      </c>
      <c r="Z301" s="298" t="str">
        <f>IF(AND('Donor Sample'!O318="",'Donor Sample'!P318="",'Donor Sample'!Q318=""),"",IF('Donor Sample'!P318="",ROUND(AA301/($C$32+($AI301-0.5)*$C$31),0),'Donor Sample'!P318))</f>
        <v/>
      </c>
      <c r="AA301" s="297" t="str">
        <f>IF('Donor Sample'!Q318="","",'Donor Sample'!Q318)</f>
        <v/>
      </c>
      <c r="AB301" s="296" t="str">
        <f t="shared" si="83"/>
        <v/>
      </c>
      <c r="AC301" s="295" t="str">
        <f>IF('Donor Sample'!R318="","",'Donor Sample'!R318)</f>
        <v/>
      </c>
      <c r="AD301" s="294" t="str">
        <f>IF('Donor Sample'!S318="","",'Donor Sample'!S318/100)</f>
        <v/>
      </c>
      <c r="AE301" s="293" t="e">
        <f t="shared" si="89"/>
        <v>#VALUE!</v>
      </c>
      <c r="AF301" s="293" t="str">
        <f t="shared" si="90"/>
        <v/>
      </c>
      <c r="AG301" s="292" t="str">
        <f>IF('Donor Sample'!T318="","",'Donor Sample'!T318)</f>
        <v/>
      </c>
      <c r="AH301" s="891">
        <f t="shared" si="91"/>
        <v>256</v>
      </c>
      <c r="AI301" s="1220">
        <v>0.85327571630477905</v>
      </c>
      <c r="AJ301" s="1216"/>
    </row>
    <row r="302" spans="5:36">
      <c r="E302" s="299">
        <v>294</v>
      </c>
      <c r="F302" s="308">
        <f t="shared" ca="1" si="79"/>
        <v>2916.0910859370501</v>
      </c>
      <c r="G302" s="307">
        <f t="shared" ca="1" si="80"/>
        <v>238.4859838522593</v>
      </c>
      <c r="H302" s="306">
        <f t="shared" ca="1" si="81"/>
        <v>0.38792096659023356</v>
      </c>
      <c r="I302" s="305">
        <f t="shared" ca="1" si="84"/>
        <v>113.43753007841831</v>
      </c>
      <c r="J302" s="305">
        <f t="shared" ca="1" si="85"/>
        <v>47.783018475116819</v>
      </c>
      <c r="K302" s="292">
        <f t="shared" ca="1" si="82"/>
        <v>3.8840100262447481</v>
      </c>
      <c r="L302" s="1290">
        <f t="shared" ca="1" si="86"/>
        <v>34.976976021592002</v>
      </c>
      <c r="M302" s="299">
        <v>294</v>
      </c>
      <c r="N302" s="304">
        <f t="shared" si="87"/>
        <v>3342.3951649652818</v>
      </c>
      <c r="O302" s="303">
        <v>282.35809720328979</v>
      </c>
      <c r="P302" s="302">
        <v>0.36287439923735498</v>
      </c>
      <c r="Q302" s="301">
        <v>140.72614841542435</v>
      </c>
      <c r="R302" s="301">
        <v>48.450914333064027</v>
      </c>
      <c r="S302" s="300">
        <v>6.9145260234510069</v>
      </c>
      <c r="T302" s="891">
        <f t="shared" si="88"/>
        <v>16</v>
      </c>
      <c r="U302" s="1220">
        <v>0.97707974910736084</v>
      </c>
      <c r="W302" s="299">
        <v>294</v>
      </c>
      <c r="X302" s="298">
        <f>IF('Donor Sample'!N319="",,IF('Donor Sample'!N319="F",1,0))</f>
        <v>0</v>
      </c>
      <c r="Y302" s="298" t="str">
        <f>IF('Donor Sample'!O319="","",'Donor Sample'!O319)</f>
        <v/>
      </c>
      <c r="Z302" s="298" t="str">
        <f>IF(AND('Donor Sample'!O319="",'Donor Sample'!P319="",'Donor Sample'!Q319=""),"",IF('Donor Sample'!P319="",ROUND(AA302/($C$32+($AI302-0.5)*$C$31),0),'Donor Sample'!P319))</f>
        <v/>
      </c>
      <c r="AA302" s="297" t="str">
        <f>IF('Donor Sample'!Q319="","",'Donor Sample'!Q319)</f>
        <v/>
      </c>
      <c r="AB302" s="296" t="str">
        <f t="shared" si="83"/>
        <v/>
      </c>
      <c r="AC302" s="295" t="str">
        <f>IF('Donor Sample'!R319="","",'Donor Sample'!R319)</f>
        <v/>
      </c>
      <c r="AD302" s="294" t="str">
        <f>IF('Donor Sample'!S319="","",'Donor Sample'!S319/100)</f>
        <v/>
      </c>
      <c r="AE302" s="293" t="e">
        <f t="shared" si="89"/>
        <v>#VALUE!</v>
      </c>
      <c r="AF302" s="293" t="str">
        <f t="shared" si="90"/>
        <v/>
      </c>
      <c r="AG302" s="292" t="str">
        <f>IF('Donor Sample'!T319="","",'Donor Sample'!T319)</f>
        <v/>
      </c>
      <c r="AH302" s="891">
        <f t="shared" si="91"/>
        <v>2</v>
      </c>
      <c r="AI302" s="1220">
        <v>0.19595229625701904</v>
      </c>
      <c r="AJ302" s="1216"/>
    </row>
    <row r="303" spans="5:36">
      <c r="E303" s="299">
        <v>295</v>
      </c>
      <c r="F303" s="308">
        <f t="shared" ca="1" si="79"/>
        <v>2721.3041960963956</v>
      </c>
      <c r="G303" s="307">
        <f t="shared" ca="1" si="80"/>
        <v>300.68125301582955</v>
      </c>
      <c r="H303" s="306">
        <f t="shared" ca="1" si="81"/>
        <v>0.39027330651355663</v>
      </c>
      <c r="I303" s="305">
        <f t="shared" ca="1" si="84"/>
        <v>110.17522666110141</v>
      </c>
      <c r="J303" s="305">
        <f t="shared" ca="1" si="85"/>
        <v>43.902977965973143</v>
      </c>
      <c r="K303" s="292">
        <f t="shared" ca="1" si="82"/>
        <v>5.0154060084641854</v>
      </c>
      <c r="L303" s="1290">
        <f t="shared" ca="1" si="86"/>
        <v>40.240989609643798</v>
      </c>
      <c r="M303" s="299">
        <v>295</v>
      </c>
      <c r="N303" s="304">
        <f t="shared" si="87"/>
        <v>3132.5321173657749</v>
      </c>
      <c r="O303" s="303">
        <v>205.68399925400564</v>
      </c>
      <c r="P303" s="302">
        <v>0.50080526992931296</v>
      </c>
      <c r="Q303" s="301">
        <v>127.24678901992782</v>
      </c>
      <c r="R303" s="301">
        <v>48.140364054326824</v>
      </c>
      <c r="S303" s="300">
        <v>1.9697077387667841</v>
      </c>
      <c r="T303" s="891">
        <f t="shared" si="88"/>
        <v>2</v>
      </c>
      <c r="U303" s="1220">
        <v>0.14186197519302368</v>
      </c>
      <c r="W303" s="299">
        <v>295</v>
      </c>
      <c r="X303" s="298">
        <f>IF('Donor Sample'!N320="",,IF('Donor Sample'!N320="F",1,0))</f>
        <v>0</v>
      </c>
      <c r="Y303" s="298" t="str">
        <f>IF('Donor Sample'!O320="","",'Donor Sample'!O320)</f>
        <v/>
      </c>
      <c r="Z303" s="298" t="str">
        <f>IF(AND('Donor Sample'!O320="",'Donor Sample'!P320="",'Donor Sample'!Q320=""),"",IF('Donor Sample'!P320="",ROUND(AA303/($C$32+($AI303-0.5)*$C$31),0),'Donor Sample'!P320))</f>
        <v/>
      </c>
      <c r="AA303" s="297" t="str">
        <f>IF('Donor Sample'!Q320="","",'Donor Sample'!Q320)</f>
        <v/>
      </c>
      <c r="AB303" s="296" t="str">
        <f t="shared" si="83"/>
        <v/>
      </c>
      <c r="AC303" s="295" t="str">
        <f>IF('Donor Sample'!R320="","",'Donor Sample'!R320)</f>
        <v/>
      </c>
      <c r="AD303" s="294" t="str">
        <f>IF('Donor Sample'!S320="","",'Donor Sample'!S320/100)</f>
        <v/>
      </c>
      <c r="AE303" s="407" t="e">
        <f t="shared" si="89"/>
        <v>#VALUE!</v>
      </c>
      <c r="AF303" s="293" t="str">
        <f t="shared" si="90"/>
        <v/>
      </c>
      <c r="AG303" s="292" t="str">
        <f>IF('Donor Sample'!T320="","",'Donor Sample'!T320)</f>
        <v/>
      </c>
      <c r="AH303" s="891">
        <f t="shared" si="91"/>
        <v>64</v>
      </c>
      <c r="AI303" s="1220">
        <v>0.52479511499404907</v>
      </c>
      <c r="AJ303" s="1216"/>
    </row>
    <row r="304" spans="5:36">
      <c r="E304" s="299">
        <v>296</v>
      </c>
      <c r="F304" s="308">
        <f t="shared" ca="1" si="79"/>
        <v>2923.5201925474757</v>
      </c>
      <c r="G304" s="307">
        <f t="shared" ca="1" si="80"/>
        <v>244.07152332298065</v>
      </c>
      <c r="H304" s="306">
        <f t="shared" ca="1" si="81"/>
        <v>0.47197831728255152</v>
      </c>
      <c r="I304" s="305">
        <f t="shared" ca="1" si="84"/>
        <v>119.37552110923875</v>
      </c>
      <c r="J304" s="305">
        <f t="shared" ca="1" si="85"/>
        <v>54.60223483980608</v>
      </c>
      <c r="K304" s="292">
        <f t="shared" ca="1" si="82"/>
        <v>1.2765120609730123</v>
      </c>
      <c r="L304" s="1290">
        <f t="shared" ca="1" si="86"/>
        <v>28.188184313682878</v>
      </c>
      <c r="M304" s="299">
        <v>296</v>
      </c>
      <c r="N304" s="304">
        <f t="shared" si="87"/>
        <v>3201.5558308430395</v>
      </c>
      <c r="O304" s="303">
        <v>189.16353463718406</v>
      </c>
      <c r="P304" s="302">
        <v>0.53551912668093804</v>
      </c>
      <c r="Q304" s="301">
        <v>123.80681279133026</v>
      </c>
      <c r="R304" s="301">
        <v>58.387561742560614</v>
      </c>
      <c r="S304" s="300">
        <v>1.3148437874578218</v>
      </c>
      <c r="T304" s="891">
        <f t="shared" si="88"/>
        <v>64</v>
      </c>
      <c r="U304" s="1220">
        <v>0.67260074615478516</v>
      </c>
      <c r="W304" s="299">
        <v>296</v>
      </c>
      <c r="X304" s="298">
        <f>IF('Donor Sample'!N321="",,IF('Donor Sample'!N321="F",1,0))</f>
        <v>0</v>
      </c>
      <c r="Y304" s="298" t="str">
        <f>IF('Donor Sample'!O321="","",'Donor Sample'!O321)</f>
        <v/>
      </c>
      <c r="Z304" s="298" t="str">
        <f>IF(AND('Donor Sample'!O321="",'Donor Sample'!P321="",'Donor Sample'!Q321=""),"",IF('Donor Sample'!P321="",ROUND(AA304/($C$32+($AI304-0.5)*$C$31),0),'Donor Sample'!P321))</f>
        <v/>
      </c>
      <c r="AA304" s="297" t="str">
        <f>IF('Donor Sample'!Q321="","",'Donor Sample'!Q321)</f>
        <v/>
      </c>
      <c r="AB304" s="296" t="str">
        <f t="shared" si="83"/>
        <v/>
      </c>
      <c r="AC304" s="295" t="str">
        <f>IF('Donor Sample'!R321="","",'Donor Sample'!R321)</f>
        <v/>
      </c>
      <c r="AD304" s="294" t="str">
        <f>IF('Donor Sample'!S321="","",'Donor Sample'!S321/100)</f>
        <v/>
      </c>
      <c r="AE304" s="293" t="e">
        <f t="shared" si="89"/>
        <v>#VALUE!</v>
      </c>
      <c r="AF304" s="293" t="str">
        <f t="shared" si="90"/>
        <v/>
      </c>
      <c r="AG304" s="292" t="str">
        <f>IF('Donor Sample'!T321="","",'Donor Sample'!T321)</f>
        <v/>
      </c>
      <c r="AH304" s="891">
        <f t="shared" si="91"/>
        <v>256</v>
      </c>
      <c r="AI304" s="1220">
        <v>0.90514898300170898</v>
      </c>
      <c r="AJ304" s="1216"/>
    </row>
    <row r="305" spans="5:36">
      <c r="E305" s="299">
        <v>297</v>
      </c>
      <c r="F305" s="308">
        <f t="shared" ca="1" si="79"/>
        <v>3123.7457327032039</v>
      </c>
      <c r="G305" s="307">
        <f t="shared" ca="1" si="80"/>
        <v>196.59900881178453</v>
      </c>
      <c r="H305" s="306">
        <f t="shared" ca="1" si="81"/>
        <v>0.39145479737395256</v>
      </c>
      <c r="I305" s="305">
        <f t="shared" ca="1" si="84"/>
        <v>121.76174415768629</v>
      </c>
      <c r="J305" s="305">
        <f t="shared" ca="1" si="85"/>
        <v>49.788958967747085</v>
      </c>
      <c r="K305" s="292">
        <f t="shared" ca="1" si="82"/>
        <v>7.4187997575919606</v>
      </c>
      <c r="L305" s="1290">
        <f t="shared" ca="1" si="86"/>
        <v>34.579397985345196</v>
      </c>
      <c r="M305" s="299">
        <v>297</v>
      </c>
      <c r="N305" s="304">
        <f t="shared" si="87"/>
        <v>3217.0007868402208</v>
      </c>
      <c r="O305" s="303">
        <v>248.90258824015044</v>
      </c>
      <c r="P305" s="302">
        <v>0.36460768087240553</v>
      </c>
      <c r="Q305" s="301">
        <v>125.58954971389838</v>
      </c>
      <c r="R305" s="301">
        <v>50.611115561510303</v>
      </c>
      <c r="S305" s="300">
        <v>2.1395996859049329</v>
      </c>
      <c r="T305" s="891">
        <f t="shared" si="88"/>
        <v>64</v>
      </c>
      <c r="U305" s="1220">
        <v>0.69262808561325073</v>
      </c>
      <c r="W305" s="299">
        <v>297</v>
      </c>
      <c r="X305" s="298">
        <f>IF('Donor Sample'!N322="",,IF('Donor Sample'!N322="F",1,0))</f>
        <v>0</v>
      </c>
      <c r="Y305" s="298" t="str">
        <f>IF('Donor Sample'!O322="","",'Donor Sample'!O322)</f>
        <v/>
      </c>
      <c r="Z305" s="298" t="str">
        <f>IF(AND('Donor Sample'!O322="",'Donor Sample'!P322="",'Donor Sample'!Q322=""),"",IF('Donor Sample'!P322="",ROUND(AA305/($C$32+($AI305-0.5)*$C$31),0),'Donor Sample'!P322))</f>
        <v/>
      </c>
      <c r="AA305" s="297" t="str">
        <f>IF('Donor Sample'!Q322="","",'Donor Sample'!Q322)</f>
        <v/>
      </c>
      <c r="AB305" s="296" t="str">
        <f t="shared" si="83"/>
        <v/>
      </c>
      <c r="AC305" s="295" t="str">
        <f>IF('Donor Sample'!R322="","",'Donor Sample'!R322)</f>
        <v/>
      </c>
      <c r="AD305" s="294" t="str">
        <f>IF('Donor Sample'!S322="","",'Donor Sample'!S322/100)</f>
        <v/>
      </c>
      <c r="AE305" s="293" t="e">
        <f t="shared" si="89"/>
        <v>#VALUE!</v>
      </c>
      <c r="AF305" s="293" t="str">
        <f t="shared" si="90"/>
        <v/>
      </c>
      <c r="AG305" s="292" t="str">
        <f>IF('Donor Sample'!T322="","",'Donor Sample'!T322)</f>
        <v/>
      </c>
      <c r="AH305" s="891">
        <f t="shared" si="91"/>
        <v>2</v>
      </c>
      <c r="AI305" s="1220">
        <v>0.35094040632247925</v>
      </c>
      <c r="AJ305" s="1216"/>
    </row>
    <row r="306" spans="5:36">
      <c r="E306" s="299">
        <v>298</v>
      </c>
      <c r="F306" s="308">
        <f t="shared" ca="1" si="79"/>
        <v>3808.5419757045411</v>
      </c>
      <c r="G306" s="307">
        <f t="shared" ca="1" si="80"/>
        <v>234.90009507872395</v>
      </c>
      <c r="H306" s="306">
        <f t="shared" ca="1" si="81"/>
        <v>0.41096302228607734</v>
      </c>
      <c r="I306" s="305">
        <f t="shared" ca="1" si="84"/>
        <v>146.49761854624404</v>
      </c>
      <c r="J306" s="305">
        <f t="shared" ca="1" si="85"/>
        <v>56.174020137941199</v>
      </c>
      <c r="K306" s="292">
        <f t="shared" ca="1" si="82"/>
        <v>2.2713277884697747</v>
      </c>
      <c r="L306" s="1290">
        <f t="shared" ca="1" si="86"/>
        <v>32.683775053785567</v>
      </c>
      <c r="M306" s="299">
        <v>298</v>
      </c>
      <c r="N306" s="304">
        <f t="shared" si="87"/>
        <v>2548.4199788630403</v>
      </c>
      <c r="O306" s="303">
        <v>295.65753289203633</v>
      </c>
      <c r="P306" s="302">
        <v>0.42525470330067422</v>
      </c>
      <c r="Q306" s="301">
        <v>99.051615571825224</v>
      </c>
      <c r="R306" s="301">
        <v>43.599436295619505</v>
      </c>
      <c r="S306" s="300">
        <v>4.8205757090515435</v>
      </c>
      <c r="T306" s="891">
        <f t="shared" si="88"/>
        <v>64</v>
      </c>
      <c r="U306" s="1220">
        <v>0.733315110206604</v>
      </c>
      <c r="W306" s="299">
        <v>298</v>
      </c>
      <c r="X306" s="298">
        <f>IF('Donor Sample'!N323="",,IF('Donor Sample'!N323="F",1,0))</f>
        <v>0</v>
      </c>
      <c r="Y306" s="298" t="str">
        <f>IF('Donor Sample'!O323="","",'Donor Sample'!O323)</f>
        <v/>
      </c>
      <c r="Z306" s="298" t="str">
        <f>IF(AND('Donor Sample'!O323="",'Donor Sample'!P323="",'Donor Sample'!Q323=""),"",IF('Donor Sample'!P323="",ROUND(AA306/($C$32+($AI306-0.5)*$C$31),0),'Donor Sample'!P323))</f>
        <v/>
      </c>
      <c r="AA306" s="297" t="str">
        <f>IF('Donor Sample'!Q323="","",'Donor Sample'!Q323)</f>
        <v/>
      </c>
      <c r="AB306" s="296" t="str">
        <f t="shared" si="83"/>
        <v/>
      </c>
      <c r="AC306" s="295" t="str">
        <f>IF('Donor Sample'!R323="","",'Donor Sample'!R323)</f>
        <v/>
      </c>
      <c r="AD306" s="294" t="str">
        <f>IF('Donor Sample'!S323="","",'Donor Sample'!S323/100)</f>
        <v/>
      </c>
      <c r="AE306" s="407" t="e">
        <f t="shared" si="89"/>
        <v>#VALUE!</v>
      </c>
      <c r="AF306" s="293" t="str">
        <f t="shared" si="90"/>
        <v/>
      </c>
      <c r="AG306" s="292" t="str">
        <f>IF('Donor Sample'!T323="","",'Donor Sample'!T323)</f>
        <v/>
      </c>
      <c r="AH306" s="891">
        <f t="shared" si="91"/>
        <v>2</v>
      </c>
      <c r="AI306" s="1220">
        <v>0.19050705432891846</v>
      </c>
      <c r="AJ306" s="1216"/>
    </row>
    <row r="307" spans="5:36">
      <c r="E307" s="299">
        <v>299</v>
      </c>
      <c r="F307" s="308">
        <f t="shared" ca="1" si="79"/>
        <v>3510.1473936191874</v>
      </c>
      <c r="G307" s="307">
        <f t="shared" ca="1" si="80"/>
        <v>231.13030434513433</v>
      </c>
      <c r="H307" s="306">
        <f t="shared" ca="1" si="81"/>
        <v>0.40346737234122826</v>
      </c>
      <c r="I307" s="305">
        <f t="shared" ca="1" si="84"/>
        <v>142.06032633641482</v>
      </c>
      <c r="J307" s="305">
        <f t="shared" ca="1" si="85"/>
        <v>51.726494130502402</v>
      </c>
      <c r="K307" s="292">
        <f t="shared" ca="1" si="82"/>
        <v>2.2702339994279996</v>
      </c>
      <c r="L307" s="1290">
        <f t="shared" ca="1" si="86"/>
        <v>37.378285656402646</v>
      </c>
      <c r="M307" s="299">
        <v>299</v>
      </c>
      <c r="N307" s="304">
        <f t="shared" si="87"/>
        <v>3768.3504535278098</v>
      </c>
      <c r="O307" s="303">
        <v>298.78377056665369</v>
      </c>
      <c r="P307" s="302">
        <v>0.43683924665339946</v>
      </c>
      <c r="Q307" s="301">
        <v>125.87559884373758</v>
      </c>
      <c r="R307" s="301">
        <v>60.427789487468367</v>
      </c>
      <c r="S307" s="300">
        <v>4.1752066195950936</v>
      </c>
      <c r="T307" s="891">
        <f t="shared" si="88"/>
        <v>64</v>
      </c>
      <c r="U307" s="1220">
        <v>0.49644690752029419</v>
      </c>
      <c r="W307" s="299">
        <v>299</v>
      </c>
      <c r="X307" s="298">
        <f>IF('Donor Sample'!N324="",,IF('Donor Sample'!N324="F",1,0))</f>
        <v>0</v>
      </c>
      <c r="Y307" s="298" t="str">
        <f>IF('Donor Sample'!O324="","",'Donor Sample'!O324)</f>
        <v/>
      </c>
      <c r="Z307" s="298" t="str">
        <f>IF(AND('Donor Sample'!O324="",'Donor Sample'!P324="",'Donor Sample'!Q324=""),"",IF('Donor Sample'!P324="",ROUND(AA307/($C$32+($AI307-0.5)*$C$31),0),'Donor Sample'!P324))</f>
        <v/>
      </c>
      <c r="AA307" s="297" t="str">
        <f>IF('Donor Sample'!Q324="","",'Donor Sample'!Q324)</f>
        <v/>
      </c>
      <c r="AB307" s="296" t="str">
        <f t="shared" si="83"/>
        <v/>
      </c>
      <c r="AC307" s="295" t="str">
        <f>IF('Donor Sample'!R324="","",'Donor Sample'!R324)</f>
        <v/>
      </c>
      <c r="AD307" s="294" t="str">
        <f>IF('Donor Sample'!S324="","",'Donor Sample'!S324/100)</f>
        <v/>
      </c>
      <c r="AE307" s="293" t="e">
        <f t="shared" si="89"/>
        <v>#VALUE!</v>
      </c>
      <c r="AF307" s="293" t="str">
        <f t="shared" si="90"/>
        <v/>
      </c>
      <c r="AG307" s="292" t="str">
        <f>IF('Donor Sample'!T324="","",'Donor Sample'!T324)</f>
        <v/>
      </c>
      <c r="AH307" s="891">
        <f t="shared" si="91"/>
        <v>2</v>
      </c>
      <c r="AI307" s="1220">
        <v>0.32848435640335083</v>
      </c>
      <c r="AJ307" s="1216"/>
    </row>
    <row r="308" spans="5:36">
      <c r="E308" s="299">
        <v>300</v>
      </c>
      <c r="F308" s="308">
        <f t="shared" ca="1" si="79"/>
        <v>3174.746451437868</v>
      </c>
      <c r="G308" s="307">
        <f t="shared" ca="1" si="80"/>
        <v>241.19201890153749</v>
      </c>
      <c r="H308" s="306">
        <f t="shared" ca="1" si="81"/>
        <v>0.36693954663119704</v>
      </c>
      <c r="I308" s="305">
        <f t="shared" ca="1" si="84"/>
        <v>119.23809087939024</v>
      </c>
      <c r="J308" s="305">
        <f t="shared" ca="1" si="85"/>
        <v>51.680941994239994</v>
      </c>
      <c r="K308" s="292">
        <f t="shared" ca="1" si="82"/>
        <v>2.2695457449547023</v>
      </c>
      <c r="L308" s="1290">
        <f t="shared" ca="1" si="86"/>
        <v>31.428729932717438</v>
      </c>
      <c r="M308" s="299">
        <v>300</v>
      </c>
      <c r="N308" s="304">
        <f t="shared" si="87"/>
        <v>3419.6393958870981</v>
      </c>
      <c r="O308" s="303">
        <v>194.92222780154827</v>
      </c>
      <c r="P308" s="302">
        <v>0.36400844684703137</v>
      </c>
      <c r="Q308" s="301">
        <v>143.19025725161268</v>
      </c>
      <c r="R308" s="301">
        <v>49.40663991255331</v>
      </c>
      <c r="S308" s="300">
        <v>1.3418568898272722</v>
      </c>
      <c r="T308" s="891">
        <f t="shared" si="88"/>
        <v>16</v>
      </c>
      <c r="U308" s="1220">
        <v>0.98897290229797363</v>
      </c>
      <c r="W308" s="299">
        <v>300</v>
      </c>
      <c r="X308" s="298">
        <f>IF('Donor Sample'!N325="",,IF('Donor Sample'!N325="F",1,0))</f>
        <v>0</v>
      </c>
      <c r="Y308" s="298" t="str">
        <f>IF('Donor Sample'!O325="","",'Donor Sample'!O325)</f>
        <v/>
      </c>
      <c r="Z308" s="298" t="str">
        <f>IF(AND('Donor Sample'!O325="",'Donor Sample'!P325="",'Donor Sample'!Q325=""),"",IF('Donor Sample'!P325="",ROUND(AA308/($C$32+($AI308-0.5)*$C$31),0),'Donor Sample'!P325))</f>
        <v/>
      </c>
      <c r="AA308" s="297" t="str">
        <f>IF('Donor Sample'!Q325="","",'Donor Sample'!Q325)</f>
        <v/>
      </c>
      <c r="AB308" s="296" t="str">
        <f t="shared" si="83"/>
        <v/>
      </c>
      <c r="AC308" s="295" t="str">
        <f>IF('Donor Sample'!R325="","",'Donor Sample'!R325)</f>
        <v/>
      </c>
      <c r="AD308" s="294" t="str">
        <f>IF('Donor Sample'!S325="","",'Donor Sample'!S325/100)</f>
        <v/>
      </c>
      <c r="AE308" s="293" t="e">
        <f t="shared" si="89"/>
        <v>#VALUE!</v>
      </c>
      <c r="AF308" s="293" t="str">
        <f t="shared" si="90"/>
        <v/>
      </c>
      <c r="AG308" s="292" t="str">
        <f>IF('Donor Sample'!T325="","",'Donor Sample'!T325)</f>
        <v/>
      </c>
      <c r="AH308" s="891">
        <f t="shared" si="91"/>
        <v>4</v>
      </c>
      <c r="AI308" s="1220">
        <v>0.38202071189880371</v>
      </c>
      <c r="AJ308" s="1216"/>
    </row>
    <row r="309" spans="5:36">
      <c r="E309" s="299">
        <v>301</v>
      </c>
      <c r="F309" s="308">
        <f t="shared" ca="1" si="79"/>
        <v>3639.402727686404</v>
      </c>
      <c r="G309" s="307">
        <f t="shared" ca="1" si="80"/>
        <v>228.63192476634285</v>
      </c>
      <c r="H309" s="306">
        <f t="shared" ca="1" si="81"/>
        <v>0.40166389374044636</v>
      </c>
      <c r="I309" s="305">
        <f t="shared" ca="1" si="84"/>
        <v>127.99241897387481</v>
      </c>
      <c r="J309" s="305">
        <f t="shared" ca="1" si="85"/>
        <v>57.895979518201379</v>
      </c>
      <c r="K309" s="292">
        <f t="shared" ca="1" si="82"/>
        <v>2.4004455431478093</v>
      </c>
      <c r="L309" s="1290">
        <f t="shared" ca="1" si="86"/>
        <v>26.881908233562584</v>
      </c>
      <c r="M309" s="299">
        <v>301</v>
      </c>
      <c r="N309" s="304">
        <f t="shared" si="87"/>
        <v>3382.7152833047844</v>
      </c>
      <c r="O309" s="303">
        <v>222.91835727517028</v>
      </c>
      <c r="P309" s="302">
        <v>0.42143224807790902</v>
      </c>
      <c r="Q309" s="301">
        <v>107.86851182562857</v>
      </c>
      <c r="R309" s="301">
        <v>58.50361007839566</v>
      </c>
      <c r="S309" s="300">
        <v>10.393159887500836</v>
      </c>
      <c r="T309" s="891">
        <f t="shared" si="88"/>
        <v>256</v>
      </c>
      <c r="U309" s="1220">
        <v>0.8531307578086853</v>
      </c>
      <c r="W309" s="299">
        <v>301</v>
      </c>
      <c r="X309" s="298">
        <f>IF('Donor Sample'!N326="",,IF('Donor Sample'!N326="F",1,0))</f>
        <v>0</v>
      </c>
      <c r="Y309" s="298" t="str">
        <f>IF('Donor Sample'!O326="","",'Donor Sample'!O326)</f>
        <v/>
      </c>
      <c r="Z309" s="298" t="str">
        <f>IF(AND('Donor Sample'!O326="",'Donor Sample'!P326="",'Donor Sample'!Q326=""),"",IF('Donor Sample'!P326="",ROUND(AA309/($C$32+($AI309-0.5)*$C$31),0),'Donor Sample'!P326))</f>
        <v/>
      </c>
      <c r="AA309" s="297" t="str">
        <f>IF('Donor Sample'!Q326="","",'Donor Sample'!Q326)</f>
        <v/>
      </c>
      <c r="AB309" s="296" t="str">
        <f t="shared" ref="AB309" si="92">IF(AND(Y309="",Z309="",AA309=""),"",IF(AA309="",IF(X309=0,604+IF($AB$2=1,0.006012,0.0003669)*Y309^3+IF($AB$2=1,14.6,32.187)*Z309,183+IF($AB$2=1,0.005835,0.0003561)*Y309^3+IF($AB$2=1,15,33.069)*Z309),AA309))</f>
        <v/>
      </c>
      <c r="AC309" s="295" t="str">
        <f>IF('Donor Sample'!R326="","",'Donor Sample'!R326)</f>
        <v/>
      </c>
      <c r="AD309" s="294" t="str">
        <f>IF('Donor Sample'!S326="","",'Donor Sample'!S326/100)</f>
        <v/>
      </c>
      <c r="AE309" s="407" t="e">
        <f t="shared" si="89"/>
        <v>#VALUE!</v>
      </c>
      <c r="AF309" s="293" t="str">
        <f t="shared" si="90"/>
        <v/>
      </c>
      <c r="AG309" s="292" t="str">
        <f>IF('Donor Sample'!T326="","",'Donor Sample'!T326)</f>
        <v/>
      </c>
      <c r="AH309" s="891">
        <f t="shared" si="91"/>
        <v>64</v>
      </c>
      <c r="AI309" s="1220">
        <v>0.50650686025619507</v>
      </c>
      <c r="AJ309" s="1216"/>
    </row>
    <row r="310" spans="5:36">
      <c r="E310" s="299">
        <v>302</v>
      </c>
      <c r="F310" s="308">
        <f t="shared" ca="1" si="79"/>
        <v>3658.9501476230694</v>
      </c>
      <c r="G310" s="307">
        <f t="shared" ca="1" si="80"/>
        <v>233.29631405043258</v>
      </c>
      <c r="H310" s="306">
        <f t="shared" ca="1" si="81"/>
        <v>0.39562593506163785</v>
      </c>
      <c r="I310" s="305">
        <f t="shared" ca="1" si="84"/>
        <v>145.22693506694242</v>
      </c>
      <c r="J310" s="305">
        <f t="shared" ca="1" si="85"/>
        <v>53.770158470929566</v>
      </c>
      <c r="K310" s="292">
        <f t="shared" ca="1" si="82"/>
        <v>2.1652737130872852</v>
      </c>
      <c r="L310" s="1290">
        <f t="shared" ca="1" si="86"/>
        <v>35.362030809903928</v>
      </c>
      <c r="M310" s="299">
        <v>302</v>
      </c>
      <c r="N310" s="304">
        <f t="shared" si="87"/>
        <v>3068.9331190787943</v>
      </c>
      <c r="O310" s="303">
        <v>213.1629120756437</v>
      </c>
      <c r="P310" s="302">
        <v>0.42329237699261213</v>
      </c>
      <c r="Q310" s="301">
        <v>98.148220505592306</v>
      </c>
      <c r="R310" s="301">
        <v>55.575397010321318</v>
      </c>
      <c r="S310" s="300">
        <v>3.5959341785358339</v>
      </c>
      <c r="T310" s="891">
        <f t="shared" si="88"/>
        <v>2</v>
      </c>
      <c r="U310" s="1220">
        <v>0.17294967174530029</v>
      </c>
      <c r="W310" s="299">
        <v>302</v>
      </c>
      <c r="X310" s="298">
        <f>IF('Donor Sample'!N327="",,IF('Donor Sample'!N327="F",1,0))</f>
        <v>0</v>
      </c>
      <c r="Y310" s="298" t="str">
        <f>IF('Donor Sample'!O327="","",'Donor Sample'!O327)</f>
        <v/>
      </c>
      <c r="Z310" s="298" t="str">
        <f>IF(AND('Donor Sample'!O327="",'Donor Sample'!P327="",'Donor Sample'!Q327=""),"",IF('Donor Sample'!P327="",ROUND(AA310/($C$32+($AI310-0.5)*$C$31),0),'Donor Sample'!P327))</f>
        <v/>
      </c>
      <c r="AA310" s="297" t="str">
        <f>IF('Donor Sample'!Q327="","",'Donor Sample'!Q327)</f>
        <v/>
      </c>
      <c r="AB310" s="296" t="str">
        <f t="shared" ref="AB310:AB373" si="93">IF(AND(Y310="",Z310="",AA310=""),"",IF(AA310="",IF(X310=0,604+IF($AB$2=1,0.006012,0.0003669)*Y310^3+IF($AB$2=1,14.6,32.187)*Z310,183+IF($AB$2=1,0.005835,0.0003561)*Y310^3+IF($AB$2=1,15,33.069)*Z310),AA310))</f>
        <v/>
      </c>
      <c r="AC310" s="295" t="str">
        <f>IF('Donor Sample'!R327="","",'Donor Sample'!R327)</f>
        <v/>
      </c>
      <c r="AD310" s="294" t="str">
        <f>IF('Donor Sample'!S327="","",'Donor Sample'!S327/100)</f>
        <v/>
      </c>
      <c r="AE310" s="293" t="e">
        <f t="shared" si="89"/>
        <v>#VALUE!</v>
      </c>
      <c r="AF310" s="293" t="str">
        <f t="shared" si="90"/>
        <v/>
      </c>
      <c r="AG310" s="292" t="str">
        <f>IF('Donor Sample'!T327="","",'Donor Sample'!T327)</f>
        <v/>
      </c>
      <c r="AH310" s="891">
        <f t="shared" si="91"/>
        <v>2</v>
      </c>
      <c r="AI310" s="1220">
        <v>0.215262770652771</v>
      </c>
      <c r="AJ310" s="1216"/>
    </row>
    <row r="311" spans="5:36">
      <c r="E311" s="299">
        <v>303</v>
      </c>
      <c r="F311" s="308">
        <f t="shared" ca="1" si="79"/>
        <v>3467.8785070682034</v>
      </c>
      <c r="G311" s="307">
        <f t="shared" ca="1" si="80"/>
        <v>211.86237409271749</v>
      </c>
      <c r="H311" s="306">
        <f t="shared" ca="1" si="81"/>
        <v>0.35196454673607652</v>
      </c>
      <c r="I311" s="305">
        <f t="shared" ca="1" si="84"/>
        <v>127.25997076548208</v>
      </c>
      <c r="J311" s="305">
        <f t="shared" ca="1" si="85"/>
        <v>55.103115710292343</v>
      </c>
      <c r="K311" s="292">
        <f t="shared" ca="1" si="82"/>
        <v>5.939249992484303</v>
      </c>
      <c r="L311" s="1290">
        <f t="shared" ca="1" si="86"/>
        <v>29.506124211421916</v>
      </c>
      <c r="M311" s="299">
        <v>303</v>
      </c>
      <c r="N311" s="304">
        <f t="shared" si="87"/>
        <v>2690.0032399883194</v>
      </c>
      <c r="O311" s="303">
        <v>272.545339893424</v>
      </c>
      <c r="P311" s="302">
        <v>0.36069672856456109</v>
      </c>
      <c r="Q311" s="301">
        <v>86.653954579058436</v>
      </c>
      <c r="R311" s="301">
        <v>51.493124813950807</v>
      </c>
      <c r="S311" s="300">
        <v>1.2561978714726614</v>
      </c>
      <c r="T311" s="891">
        <f t="shared" si="88"/>
        <v>64</v>
      </c>
      <c r="U311" s="1220">
        <v>0.66411548852920532</v>
      </c>
      <c r="W311" s="299">
        <v>303</v>
      </c>
      <c r="X311" s="298">
        <f>IF('Donor Sample'!N328="",,IF('Donor Sample'!N328="F",1,0))</f>
        <v>0</v>
      </c>
      <c r="Y311" s="298" t="str">
        <f>IF('Donor Sample'!O328="","",'Donor Sample'!O328)</f>
        <v/>
      </c>
      <c r="Z311" s="298" t="str">
        <f>IF(AND('Donor Sample'!O328="",'Donor Sample'!P328="",'Donor Sample'!Q328=""),"",IF('Donor Sample'!P328="",ROUND(AA311/($C$32+($AI311-0.5)*$C$31),0),'Donor Sample'!P328))</f>
        <v/>
      </c>
      <c r="AA311" s="297" t="str">
        <f>IF('Donor Sample'!Q328="","",'Donor Sample'!Q328)</f>
        <v/>
      </c>
      <c r="AB311" s="296" t="str">
        <f t="shared" si="93"/>
        <v/>
      </c>
      <c r="AC311" s="295" t="str">
        <f>IF('Donor Sample'!R328="","",'Donor Sample'!R328)</f>
        <v/>
      </c>
      <c r="AD311" s="294" t="str">
        <f>IF('Donor Sample'!S328="","",'Donor Sample'!S328/100)</f>
        <v/>
      </c>
      <c r="AE311" s="293" t="e">
        <f t="shared" si="89"/>
        <v>#VALUE!</v>
      </c>
      <c r="AF311" s="293" t="str">
        <f t="shared" si="90"/>
        <v/>
      </c>
      <c r="AG311" s="292" t="str">
        <f>IF('Donor Sample'!T328="","",'Donor Sample'!T328)</f>
        <v/>
      </c>
      <c r="AH311" s="891">
        <f t="shared" si="91"/>
        <v>2</v>
      </c>
      <c r="AI311" s="1220">
        <v>2.9851973056793213E-2</v>
      </c>
      <c r="AJ311" s="1216"/>
    </row>
    <row r="312" spans="5:36">
      <c r="E312" s="299">
        <v>304</v>
      </c>
      <c r="F312" s="308">
        <f t="shared" ca="1" si="79"/>
        <v>2775.762002539514</v>
      </c>
      <c r="G312" s="307">
        <f t="shared" ca="1" si="80"/>
        <v>281.31478046489769</v>
      </c>
      <c r="H312" s="306">
        <f t="shared" ca="1" si="81"/>
        <v>0.36991456534068112</v>
      </c>
      <c r="I312" s="305">
        <f t="shared" ca="1" si="84"/>
        <v>107.77028005448288</v>
      </c>
      <c r="J312" s="305">
        <f t="shared" ca="1" si="85"/>
        <v>46.341546984611178</v>
      </c>
      <c r="K312" s="292">
        <f t="shared" ca="1" si="82"/>
        <v>4.1983468696586685</v>
      </c>
      <c r="L312" s="1290">
        <f t="shared" ca="1" si="86"/>
        <v>35.328940696072685</v>
      </c>
      <c r="M312" s="299">
        <v>304</v>
      </c>
      <c r="N312" s="304">
        <f t="shared" si="87"/>
        <v>2695.7709518246675</v>
      </c>
      <c r="O312" s="303">
        <v>225.86311547091648</v>
      </c>
      <c r="P312" s="302">
        <v>0.44396436806103579</v>
      </c>
      <c r="Q312" s="301">
        <v>111.25425358268755</v>
      </c>
      <c r="R312" s="301">
        <v>42.68167664876669</v>
      </c>
      <c r="S312" s="300">
        <v>5.4466215547806787</v>
      </c>
      <c r="T312" s="891">
        <f t="shared" si="88"/>
        <v>2</v>
      </c>
      <c r="U312" s="1220">
        <v>0.27625036239624023</v>
      </c>
      <c r="W312" s="299">
        <v>304</v>
      </c>
      <c r="X312" s="298">
        <f>IF('Donor Sample'!N329="",,IF('Donor Sample'!N329="F",1,0))</f>
        <v>0</v>
      </c>
      <c r="Y312" s="298" t="str">
        <f>IF('Donor Sample'!O329="","",'Donor Sample'!O329)</f>
        <v/>
      </c>
      <c r="Z312" s="298" t="str">
        <f>IF(AND('Donor Sample'!O329="",'Donor Sample'!P329="",'Donor Sample'!Q329=""),"",IF('Donor Sample'!P329="",ROUND(AA312/($C$32+($AI312-0.5)*$C$31),0),'Donor Sample'!P329))</f>
        <v/>
      </c>
      <c r="AA312" s="297" t="str">
        <f>IF('Donor Sample'!Q329="","",'Donor Sample'!Q329)</f>
        <v/>
      </c>
      <c r="AB312" s="296" t="str">
        <f t="shared" si="93"/>
        <v/>
      </c>
      <c r="AC312" s="295" t="str">
        <f>IF('Donor Sample'!R329="","",'Donor Sample'!R329)</f>
        <v/>
      </c>
      <c r="AD312" s="294" t="str">
        <f>IF('Donor Sample'!S329="","",'Donor Sample'!S329/100)</f>
        <v/>
      </c>
      <c r="AE312" s="407" t="e">
        <f t="shared" si="89"/>
        <v>#VALUE!</v>
      </c>
      <c r="AF312" s="293" t="str">
        <f t="shared" si="90"/>
        <v/>
      </c>
      <c r="AG312" s="292" t="str">
        <f>IF('Donor Sample'!T329="","",'Donor Sample'!T329)</f>
        <v/>
      </c>
      <c r="AH312" s="891">
        <f t="shared" si="91"/>
        <v>2</v>
      </c>
      <c r="AI312" s="1220">
        <v>0.20101356506347656</v>
      </c>
      <c r="AJ312" s="1216"/>
    </row>
    <row r="313" spans="5:36">
      <c r="E313" s="299">
        <v>305</v>
      </c>
      <c r="F313" s="308">
        <f t="shared" ca="1" si="79"/>
        <v>3356.7899752988392</v>
      </c>
      <c r="G313" s="307">
        <f t="shared" ca="1" si="80"/>
        <v>247.6884022304485</v>
      </c>
      <c r="H313" s="306">
        <f t="shared" ca="1" si="81"/>
        <v>0.37991834101209326</v>
      </c>
      <c r="I313" s="305">
        <f t="shared" ca="1" si="84"/>
        <v>139.70796282286011</v>
      </c>
      <c r="J313" s="305">
        <f t="shared" ca="1" si="85"/>
        <v>49.132375117209207</v>
      </c>
      <c r="K313" s="292">
        <f t="shared" ca="1" si="82"/>
        <v>1.9283741139376012</v>
      </c>
      <c r="L313" s="1290">
        <f t="shared" ca="1" si="86"/>
        <v>40.743496961182402</v>
      </c>
      <c r="M313" s="299">
        <v>305</v>
      </c>
      <c r="N313" s="304">
        <f t="shared" si="87"/>
        <v>2900.8853117601047</v>
      </c>
      <c r="O313" s="303">
        <v>252.32086771672499</v>
      </c>
      <c r="P313" s="302">
        <v>0.48781215803851213</v>
      </c>
      <c r="Q313" s="301">
        <v>115.54269823572707</v>
      </c>
      <c r="R313" s="301">
        <v>46.640290815075481</v>
      </c>
      <c r="S313" s="300">
        <v>1.2633256524742116</v>
      </c>
      <c r="T313" s="891">
        <f t="shared" si="88"/>
        <v>256</v>
      </c>
      <c r="U313" s="1220">
        <v>0.8704487681388855</v>
      </c>
      <c r="W313" s="299">
        <v>305</v>
      </c>
      <c r="X313" s="298">
        <f>IF('Donor Sample'!N330="",,IF('Donor Sample'!N330="F",1,0))</f>
        <v>0</v>
      </c>
      <c r="Y313" s="298" t="str">
        <f>IF('Donor Sample'!O330="","",'Donor Sample'!O330)</f>
        <v/>
      </c>
      <c r="Z313" s="298" t="str">
        <f>IF(AND('Donor Sample'!O330="",'Donor Sample'!P330="",'Donor Sample'!Q330=""),"",IF('Donor Sample'!P330="",ROUND(AA313/($C$32+($AI313-0.5)*$C$31),0),'Donor Sample'!P330))</f>
        <v/>
      </c>
      <c r="AA313" s="297" t="str">
        <f>IF('Donor Sample'!Q330="","",'Donor Sample'!Q330)</f>
        <v/>
      </c>
      <c r="AB313" s="296" t="str">
        <f t="shared" si="93"/>
        <v/>
      </c>
      <c r="AC313" s="295" t="str">
        <f>IF('Donor Sample'!R330="","",'Donor Sample'!R330)</f>
        <v/>
      </c>
      <c r="AD313" s="294" t="str">
        <f>IF('Donor Sample'!S330="","",'Donor Sample'!S330/100)</f>
        <v/>
      </c>
      <c r="AE313" s="293" t="e">
        <f t="shared" si="89"/>
        <v>#VALUE!</v>
      </c>
      <c r="AF313" s="293" t="str">
        <f t="shared" si="90"/>
        <v/>
      </c>
      <c r="AG313" s="292" t="str">
        <f>IF('Donor Sample'!T330="","",'Donor Sample'!T330)</f>
        <v/>
      </c>
      <c r="AH313" s="891">
        <f t="shared" si="91"/>
        <v>64</v>
      </c>
      <c r="AI313" s="1220">
        <v>0.53024119138717651</v>
      </c>
      <c r="AJ313" s="1216"/>
    </row>
    <row r="314" spans="5:36">
      <c r="E314" s="299">
        <v>306</v>
      </c>
      <c r="F314" s="308">
        <f t="shared" ca="1" si="79"/>
        <v>3301.0691325260204</v>
      </c>
      <c r="G314" s="307">
        <f t="shared" ca="1" si="80"/>
        <v>235.75714265176595</v>
      </c>
      <c r="H314" s="306">
        <f t="shared" ca="1" si="81"/>
        <v>0.47587968637262329</v>
      </c>
      <c r="I314" s="305">
        <f t="shared" ca="1" si="84"/>
        <v>116.95177308692382</v>
      </c>
      <c r="J314" s="305">
        <f t="shared" ca="1" si="85"/>
        <v>61.598360002248747</v>
      </c>
      <c r="K314" s="292">
        <f t="shared" ca="1" si="82"/>
        <v>4.3460373279948747</v>
      </c>
      <c r="L314" s="1290">
        <f t="shared" ca="1" si="86"/>
        <v>21.699072472965533</v>
      </c>
      <c r="M314" s="299">
        <v>306</v>
      </c>
      <c r="N314" s="304">
        <f t="shared" si="87"/>
        <v>3824.5146228775266</v>
      </c>
      <c r="O314" s="303">
        <v>257.91884775682587</v>
      </c>
      <c r="P314" s="302">
        <v>0.4309558602103033</v>
      </c>
      <c r="Q314" s="301">
        <v>130.10147468823968</v>
      </c>
      <c r="R314" s="301">
        <v>66.162916234888854</v>
      </c>
      <c r="S314" s="300">
        <v>3.2043022765563673</v>
      </c>
      <c r="T314" s="891">
        <f t="shared" si="88"/>
        <v>64</v>
      </c>
      <c r="U314" s="1220">
        <v>0.73354446887969971</v>
      </c>
      <c r="W314" s="299">
        <v>306</v>
      </c>
      <c r="X314" s="298">
        <f>IF('Donor Sample'!N331="",,IF('Donor Sample'!N331="F",1,0))</f>
        <v>0</v>
      </c>
      <c r="Y314" s="298" t="str">
        <f>IF('Donor Sample'!O331="","",'Donor Sample'!O331)</f>
        <v/>
      </c>
      <c r="Z314" s="298" t="str">
        <f>IF(AND('Donor Sample'!O331="",'Donor Sample'!P331="",'Donor Sample'!Q331=""),"",IF('Donor Sample'!P331="",ROUND(AA314/($C$32+($AI314-0.5)*$C$31),0),'Donor Sample'!P331))</f>
        <v/>
      </c>
      <c r="AA314" s="297" t="str">
        <f>IF('Donor Sample'!Q331="","",'Donor Sample'!Q331)</f>
        <v/>
      </c>
      <c r="AB314" s="296" t="str">
        <f t="shared" si="93"/>
        <v/>
      </c>
      <c r="AC314" s="295" t="str">
        <f>IF('Donor Sample'!R331="","",'Donor Sample'!R331)</f>
        <v/>
      </c>
      <c r="AD314" s="294" t="str">
        <f>IF('Donor Sample'!S331="","",'Donor Sample'!S331/100)</f>
        <v/>
      </c>
      <c r="AE314" s="293" t="e">
        <f t="shared" si="89"/>
        <v>#VALUE!</v>
      </c>
      <c r="AF314" s="293" t="str">
        <f t="shared" si="90"/>
        <v/>
      </c>
      <c r="AG314" s="292" t="str">
        <f>IF('Donor Sample'!T331="","",'Donor Sample'!T331)</f>
        <v/>
      </c>
      <c r="AH314" s="891">
        <f t="shared" si="91"/>
        <v>16</v>
      </c>
      <c r="AI314" s="1220">
        <v>0.95192110538482666</v>
      </c>
      <c r="AJ314" s="1216"/>
    </row>
    <row r="315" spans="5:36">
      <c r="E315" s="299">
        <v>307</v>
      </c>
      <c r="F315" s="308">
        <f t="shared" ca="1" si="79"/>
        <v>3827.4336227939466</v>
      </c>
      <c r="G315" s="307">
        <f t="shared" ca="1" si="80"/>
        <v>271.11650205887355</v>
      </c>
      <c r="H315" s="306">
        <f t="shared" ca="1" si="81"/>
        <v>0.46469291401375551</v>
      </c>
      <c r="I315" s="305">
        <f t="shared" ca="1" si="84"/>
        <v>132.30250220990672</v>
      </c>
      <c r="J315" s="305">
        <f t="shared" ca="1" si="85"/>
        <v>59.895475629365883</v>
      </c>
      <c r="K315" s="292">
        <f t="shared" ca="1" si="82"/>
        <v>1.7529770461407022</v>
      </c>
      <c r="L315" s="1290">
        <f t="shared" ca="1" si="86"/>
        <v>25.962868946354234</v>
      </c>
      <c r="M315" s="299">
        <v>307</v>
      </c>
      <c r="N315" s="304">
        <f t="shared" si="87"/>
        <v>3152.6591455637572</v>
      </c>
      <c r="O315" s="303">
        <v>279.32063484685347</v>
      </c>
      <c r="P315" s="302">
        <v>0.43228253669551164</v>
      </c>
      <c r="Q315" s="301">
        <v>118.63770354212579</v>
      </c>
      <c r="R315" s="301">
        <v>51.402909547456574</v>
      </c>
      <c r="S315" s="300">
        <v>1.5944377008527009</v>
      </c>
      <c r="T315" s="891">
        <f t="shared" si="88"/>
        <v>4</v>
      </c>
      <c r="U315" s="1220">
        <v>0.39468461275100708</v>
      </c>
      <c r="W315" s="299">
        <v>307</v>
      </c>
      <c r="X315" s="298">
        <f>IF('Donor Sample'!N332="",,IF('Donor Sample'!N332="F",1,0))</f>
        <v>0</v>
      </c>
      <c r="Y315" s="298" t="str">
        <f>IF('Donor Sample'!O332="","",'Donor Sample'!O332)</f>
        <v/>
      </c>
      <c r="Z315" s="298" t="str">
        <f>IF(AND('Donor Sample'!O332="",'Donor Sample'!P332="",'Donor Sample'!Q332=""),"",IF('Donor Sample'!P332="",ROUND(AA315/($C$32+($AI315-0.5)*$C$31),0),'Donor Sample'!P332))</f>
        <v/>
      </c>
      <c r="AA315" s="297" t="str">
        <f>IF('Donor Sample'!Q332="","",'Donor Sample'!Q332)</f>
        <v/>
      </c>
      <c r="AB315" s="296" t="str">
        <f t="shared" si="93"/>
        <v/>
      </c>
      <c r="AC315" s="295" t="str">
        <f>IF('Donor Sample'!R332="","",'Donor Sample'!R332)</f>
        <v/>
      </c>
      <c r="AD315" s="294" t="str">
        <f>IF('Donor Sample'!S332="","",'Donor Sample'!S332/100)</f>
        <v/>
      </c>
      <c r="AE315" s="407" t="e">
        <f t="shared" si="89"/>
        <v>#VALUE!</v>
      </c>
      <c r="AF315" s="293" t="str">
        <f t="shared" si="90"/>
        <v/>
      </c>
      <c r="AG315" s="292" t="str">
        <f>IF('Donor Sample'!T332="","",'Donor Sample'!T332)</f>
        <v/>
      </c>
      <c r="AH315" s="891">
        <f t="shared" si="91"/>
        <v>64</v>
      </c>
      <c r="AI315" s="1220">
        <v>0.64629298448562622</v>
      </c>
      <c r="AJ315" s="1216"/>
    </row>
    <row r="316" spans="5:36">
      <c r="E316" s="299">
        <v>308</v>
      </c>
      <c r="F316" s="308">
        <f t="shared" ca="1" si="79"/>
        <v>3054.3789317995306</v>
      </c>
      <c r="G316" s="307">
        <f t="shared" ca="1" si="80"/>
        <v>294.17658108725664</v>
      </c>
      <c r="H316" s="306">
        <f t="shared" ca="1" si="81"/>
        <v>0.36638846214283527</v>
      </c>
      <c r="I316" s="305">
        <f t="shared" ca="1" si="84"/>
        <v>95.602108273555686</v>
      </c>
      <c r="J316" s="305">
        <f t="shared" ca="1" si="85"/>
        <v>55.978506218420755</v>
      </c>
      <c r="K316" s="292">
        <f t="shared" ca="1" si="82"/>
        <v>1.3680071207577311</v>
      </c>
      <c r="L316" s="1290">
        <f t="shared" ca="1" si="86"/>
        <v>21.478182017082656</v>
      </c>
      <c r="M316" s="299">
        <v>308</v>
      </c>
      <c r="N316" s="304">
        <f t="shared" si="87"/>
        <v>2883.9594385647106</v>
      </c>
      <c r="O316" s="303">
        <v>241.16314706351653</v>
      </c>
      <c r="P316" s="302">
        <v>0.37946386483859967</v>
      </c>
      <c r="Q316" s="301">
        <v>113.07336456748259</v>
      </c>
      <c r="R316" s="301">
        <v>47.122777691356376</v>
      </c>
      <c r="S316" s="300">
        <v>1.8555265447475346</v>
      </c>
      <c r="T316" s="891">
        <f t="shared" si="88"/>
        <v>2</v>
      </c>
      <c r="U316" s="1220">
        <v>9.7482442855834961E-2</v>
      </c>
      <c r="W316" s="299">
        <v>308</v>
      </c>
      <c r="X316" s="298">
        <f>IF('Donor Sample'!N333="",,IF('Donor Sample'!N333="F",1,0))</f>
        <v>0</v>
      </c>
      <c r="Y316" s="298" t="str">
        <f>IF('Donor Sample'!O333="","",'Donor Sample'!O333)</f>
        <v/>
      </c>
      <c r="Z316" s="298" t="str">
        <f>IF(AND('Donor Sample'!O333="",'Donor Sample'!P333="",'Donor Sample'!Q333=""),"",IF('Donor Sample'!P333="",ROUND(AA316/($C$32+($AI316-0.5)*$C$31),0),'Donor Sample'!P333))</f>
        <v/>
      </c>
      <c r="AA316" s="297" t="str">
        <f>IF('Donor Sample'!Q333="","",'Donor Sample'!Q333)</f>
        <v/>
      </c>
      <c r="AB316" s="296" t="str">
        <f t="shared" si="93"/>
        <v/>
      </c>
      <c r="AC316" s="295" t="str">
        <f>IF('Donor Sample'!R333="","",'Donor Sample'!R333)</f>
        <v/>
      </c>
      <c r="AD316" s="294" t="str">
        <f>IF('Donor Sample'!S333="","",'Donor Sample'!S333/100)</f>
        <v/>
      </c>
      <c r="AE316" s="293" t="e">
        <f t="shared" si="89"/>
        <v>#VALUE!</v>
      </c>
      <c r="AF316" s="293" t="str">
        <f t="shared" si="90"/>
        <v/>
      </c>
      <c r="AG316" s="292" t="str">
        <f>IF('Donor Sample'!T333="","",'Donor Sample'!T333)</f>
        <v/>
      </c>
      <c r="AH316" s="891">
        <f t="shared" si="91"/>
        <v>2</v>
      </c>
      <c r="AI316" s="1220">
        <v>0.12244248390197754</v>
      </c>
      <c r="AJ316" s="1216"/>
    </row>
    <row r="317" spans="5:36">
      <c r="E317" s="299">
        <v>309</v>
      </c>
      <c r="F317" s="308">
        <f t="shared" ca="1" si="79"/>
        <v>3239.9922598309017</v>
      </c>
      <c r="G317" s="307">
        <f t="shared" ca="1" si="80"/>
        <v>281.02433242519362</v>
      </c>
      <c r="H317" s="306">
        <f t="shared" ca="1" si="81"/>
        <v>0.39433734922717506</v>
      </c>
      <c r="I317" s="305">
        <f t="shared" ca="1" si="84"/>
        <v>130.06539217642091</v>
      </c>
      <c r="J317" s="305">
        <f t="shared" ca="1" si="85"/>
        <v>49.677173508158724</v>
      </c>
      <c r="K317" s="292">
        <f t="shared" ca="1" si="82"/>
        <v>10.904249719748707</v>
      </c>
      <c r="L317" s="1290">
        <f t="shared" ca="1" si="86"/>
        <v>37.103993776715448</v>
      </c>
      <c r="M317" s="299">
        <v>309</v>
      </c>
      <c r="N317" s="304">
        <f t="shared" si="87"/>
        <v>3008.6400455238791</v>
      </c>
      <c r="O317" s="303">
        <v>256.12254622429816</v>
      </c>
      <c r="P317" s="302">
        <v>0.37399875031026747</v>
      </c>
      <c r="Q317" s="301">
        <v>120.93162538661382</v>
      </c>
      <c r="R317" s="301">
        <v>47.369918990293762</v>
      </c>
      <c r="S317" s="300">
        <v>1.3226424491490141</v>
      </c>
      <c r="T317" s="891">
        <f t="shared" si="88"/>
        <v>64</v>
      </c>
      <c r="U317" s="1220">
        <v>0.61793416738510132</v>
      </c>
      <c r="W317" s="299">
        <v>309</v>
      </c>
      <c r="X317" s="298">
        <f>IF('Donor Sample'!N334="",,IF('Donor Sample'!N334="F",1,0))</f>
        <v>0</v>
      </c>
      <c r="Y317" s="298" t="str">
        <f>IF('Donor Sample'!O334="","",'Donor Sample'!O334)</f>
        <v/>
      </c>
      <c r="Z317" s="298" t="str">
        <f>IF(AND('Donor Sample'!O334="",'Donor Sample'!P334="",'Donor Sample'!Q334=""),"",IF('Donor Sample'!P334="",ROUND(AA317/($C$32+($AI317-0.5)*$C$31),0),'Donor Sample'!P334))</f>
        <v/>
      </c>
      <c r="AA317" s="297" t="str">
        <f>IF('Donor Sample'!Q334="","",'Donor Sample'!Q334)</f>
        <v/>
      </c>
      <c r="AB317" s="296" t="str">
        <f t="shared" si="93"/>
        <v/>
      </c>
      <c r="AC317" s="295" t="str">
        <f>IF('Donor Sample'!R334="","",'Donor Sample'!R334)</f>
        <v/>
      </c>
      <c r="AD317" s="294" t="str">
        <f>IF('Donor Sample'!S334="","",'Donor Sample'!S334/100)</f>
        <v/>
      </c>
      <c r="AE317" s="293" t="e">
        <f t="shared" si="89"/>
        <v>#VALUE!</v>
      </c>
      <c r="AF317" s="293" t="str">
        <f t="shared" si="90"/>
        <v/>
      </c>
      <c r="AG317" s="292" t="str">
        <f>IF('Donor Sample'!T334="","",'Donor Sample'!T334)</f>
        <v/>
      </c>
      <c r="AH317" s="891">
        <f t="shared" si="91"/>
        <v>64</v>
      </c>
      <c r="AI317" s="1220">
        <v>0.70369857549667358</v>
      </c>
      <c r="AJ317" s="1216"/>
    </row>
    <row r="318" spans="5:36">
      <c r="E318" s="299">
        <v>310</v>
      </c>
      <c r="F318" s="308">
        <f t="shared" ca="1" si="79"/>
        <v>2780.1221258859232</v>
      </c>
      <c r="G318" s="307">
        <f t="shared" ca="1" si="80"/>
        <v>215.36433017882325</v>
      </c>
      <c r="H318" s="306">
        <f t="shared" ca="1" si="81"/>
        <v>0.35760047205503442</v>
      </c>
      <c r="I318" s="305">
        <f t="shared" ca="1" si="84"/>
        <v>91.783696499841724</v>
      </c>
      <c r="J318" s="305">
        <f t="shared" ca="1" si="85"/>
        <v>59.358533139360809</v>
      </c>
      <c r="K318" s="292">
        <f t="shared" ca="1" si="82"/>
        <v>1.7419663294774987</v>
      </c>
      <c r="L318" s="1290">
        <f t="shared" ca="1" si="86"/>
        <v>18.338840922282856</v>
      </c>
      <c r="M318" s="299">
        <v>310</v>
      </c>
      <c r="N318" s="304">
        <f t="shared" si="87"/>
        <v>3656.7980707914512</v>
      </c>
      <c r="O318" s="303">
        <v>251.8948156251451</v>
      </c>
      <c r="P318" s="302">
        <v>0.43193898044640233</v>
      </c>
      <c r="Q318" s="301">
        <v>152.01285435232401</v>
      </c>
      <c r="R318" s="301">
        <v>58.921431203272363</v>
      </c>
      <c r="S318" s="300">
        <v>5.2470483019295395</v>
      </c>
      <c r="T318" s="891">
        <f t="shared" si="88"/>
        <v>2</v>
      </c>
      <c r="U318" s="1220">
        <v>0.10754334926605225</v>
      </c>
      <c r="W318" s="299">
        <v>310</v>
      </c>
      <c r="X318" s="298">
        <f>IF('Donor Sample'!N335="",,IF('Donor Sample'!N335="F",1,0))</f>
        <v>0</v>
      </c>
      <c r="Y318" s="298" t="str">
        <f>IF('Donor Sample'!O335="","",'Donor Sample'!O335)</f>
        <v/>
      </c>
      <c r="Z318" s="298" t="str">
        <f>IF(AND('Donor Sample'!O335="",'Donor Sample'!P335="",'Donor Sample'!Q335=""),"",IF('Donor Sample'!P335="",ROUND(AA318/($C$32+($AI318-0.5)*$C$31),0),'Donor Sample'!P335))</f>
        <v/>
      </c>
      <c r="AA318" s="297" t="str">
        <f>IF('Donor Sample'!Q335="","",'Donor Sample'!Q335)</f>
        <v/>
      </c>
      <c r="AB318" s="296" t="str">
        <f t="shared" si="93"/>
        <v/>
      </c>
      <c r="AC318" s="295" t="str">
        <f>IF('Donor Sample'!R335="","",'Donor Sample'!R335)</f>
        <v/>
      </c>
      <c r="AD318" s="294" t="str">
        <f>IF('Donor Sample'!S335="","",'Donor Sample'!S335/100)</f>
        <v/>
      </c>
      <c r="AE318" s="407" t="e">
        <f t="shared" si="89"/>
        <v>#VALUE!</v>
      </c>
      <c r="AF318" s="293" t="str">
        <f t="shared" si="90"/>
        <v/>
      </c>
      <c r="AG318" s="292" t="str">
        <f>IF('Donor Sample'!T335="","",'Donor Sample'!T335)</f>
        <v/>
      </c>
      <c r="AH318" s="891">
        <f t="shared" si="91"/>
        <v>256</v>
      </c>
      <c r="AI318" s="1220">
        <v>0.86831653118133545</v>
      </c>
      <c r="AJ318" s="1216"/>
    </row>
    <row r="319" spans="5:36">
      <c r="E319" s="299">
        <v>311</v>
      </c>
      <c r="F319" s="308">
        <f t="shared" ca="1" si="79"/>
        <v>3512.3374993400935</v>
      </c>
      <c r="G319" s="307">
        <f t="shared" ca="1" si="80"/>
        <v>254.42421065557039</v>
      </c>
      <c r="H319" s="306">
        <f t="shared" ca="1" si="81"/>
        <v>0.3576754568068703</v>
      </c>
      <c r="I319" s="305">
        <f t="shared" ca="1" si="84"/>
        <v>146.21777891048225</v>
      </c>
      <c r="J319" s="305">
        <f t="shared" ca="1" si="85"/>
        <v>57.959084161440842</v>
      </c>
      <c r="K319" s="292">
        <f t="shared" ca="1" si="82"/>
        <v>1.6550864844671882</v>
      </c>
      <c r="L319" s="1290">
        <f t="shared" ca="1" si="86"/>
        <v>30.642896406242361</v>
      </c>
      <c r="M319" s="299">
        <v>311</v>
      </c>
      <c r="N319" s="304">
        <f t="shared" si="87"/>
        <v>2928.8907882262315</v>
      </c>
      <c r="O319" s="303">
        <v>257.23078098341693</v>
      </c>
      <c r="P319" s="302">
        <v>0.41434756022740038</v>
      </c>
      <c r="Q319" s="301">
        <v>103.32793730949003</v>
      </c>
      <c r="R319" s="301">
        <v>58.9603452221045</v>
      </c>
      <c r="S319" s="300">
        <v>1.2351477221440772</v>
      </c>
      <c r="T319" s="891">
        <f t="shared" si="88"/>
        <v>64</v>
      </c>
      <c r="U319" s="1220">
        <v>0.67332273721694946</v>
      </c>
      <c r="W319" s="299">
        <v>311</v>
      </c>
      <c r="X319" s="298">
        <f>IF('Donor Sample'!N336="",,IF('Donor Sample'!N336="F",1,0))</f>
        <v>0</v>
      </c>
      <c r="Y319" s="298" t="str">
        <f>IF('Donor Sample'!O336="","",'Donor Sample'!O336)</f>
        <v/>
      </c>
      <c r="Z319" s="298" t="str">
        <f>IF(AND('Donor Sample'!O336="",'Donor Sample'!P336="",'Donor Sample'!Q336=""),"",IF('Donor Sample'!P336="",ROUND(AA319/($C$32+($AI319-0.5)*$C$31),0),'Donor Sample'!P336))</f>
        <v/>
      </c>
      <c r="AA319" s="297" t="str">
        <f>IF('Donor Sample'!Q336="","",'Donor Sample'!Q336)</f>
        <v/>
      </c>
      <c r="AB319" s="296" t="str">
        <f t="shared" si="93"/>
        <v/>
      </c>
      <c r="AC319" s="295" t="str">
        <f>IF('Donor Sample'!R336="","",'Donor Sample'!R336)</f>
        <v/>
      </c>
      <c r="AD319" s="294" t="str">
        <f>IF('Donor Sample'!S336="","",'Donor Sample'!S336/100)</f>
        <v/>
      </c>
      <c r="AE319" s="293" t="e">
        <f t="shared" si="89"/>
        <v>#VALUE!</v>
      </c>
      <c r="AF319" s="293" t="str">
        <f t="shared" si="90"/>
        <v/>
      </c>
      <c r="AG319" s="292" t="str">
        <f>IF('Donor Sample'!T336="","",'Donor Sample'!T336)</f>
        <v/>
      </c>
      <c r="AH319" s="891">
        <f t="shared" si="91"/>
        <v>32</v>
      </c>
      <c r="AI319" s="1220">
        <v>0.83680397272109985</v>
      </c>
      <c r="AJ319" s="1216"/>
    </row>
    <row r="320" spans="5:36">
      <c r="E320" s="299">
        <v>312</v>
      </c>
      <c r="F320" s="308">
        <f t="shared" ca="1" si="79"/>
        <v>3667.3485869498218</v>
      </c>
      <c r="G320" s="307">
        <f t="shared" ca="1" si="80"/>
        <v>306.29745896920713</v>
      </c>
      <c r="H320" s="306">
        <f t="shared" ca="1" si="81"/>
        <v>0.48154514922981845</v>
      </c>
      <c r="I320" s="305">
        <f t="shared" ca="1" si="84"/>
        <v>151.24357198185751</v>
      </c>
      <c r="J320" s="305">
        <f t="shared" ca="1" si="85"/>
        <v>59.282693051134274</v>
      </c>
      <c r="K320" s="292">
        <f t="shared" ca="1" si="82"/>
        <v>1.3719263745193815</v>
      </c>
      <c r="L320" s="1290">
        <f t="shared" ca="1" si="86"/>
        <v>30.296589071629683</v>
      </c>
      <c r="M320" s="299">
        <v>312</v>
      </c>
      <c r="N320" s="304">
        <f t="shared" si="87"/>
        <v>2865.7596420906052</v>
      </c>
      <c r="O320" s="303">
        <v>232.60926701108636</v>
      </c>
      <c r="P320" s="302">
        <v>0.43266764246803591</v>
      </c>
      <c r="Q320" s="301">
        <v>92.857631195477992</v>
      </c>
      <c r="R320" s="301">
        <v>60.465064319547366</v>
      </c>
      <c r="S320" s="300">
        <v>3.4881971038864052</v>
      </c>
      <c r="T320" s="891">
        <f t="shared" si="88"/>
        <v>2</v>
      </c>
      <c r="U320" s="1220">
        <v>0.30966377258300781</v>
      </c>
      <c r="W320" s="299">
        <v>312</v>
      </c>
      <c r="X320" s="298">
        <f>IF('Donor Sample'!N337="",,IF('Donor Sample'!N337="F",1,0))</f>
        <v>0</v>
      </c>
      <c r="Y320" s="298" t="str">
        <f>IF('Donor Sample'!O337="","",'Donor Sample'!O337)</f>
        <v/>
      </c>
      <c r="Z320" s="298" t="str">
        <f>IF(AND('Donor Sample'!O337="",'Donor Sample'!P337="",'Donor Sample'!Q337=""),"",IF('Donor Sample'!P337="",ROUND(AA320/($C$32+($AI320-0.5)*$C$31),0),'Donor Sample'!P337))</f>
        <v/>
      </c>
      <c r="AA320" s="297" t="str">
        <f>IF('Donor Sample'!Q337="","",'Donor Sample'!Q337)</f>
        <v/>
      </c>
      <c r="AB320" s="296" t="str">
        <f t="shared" si="93"/>
        <v/>
      </c>
      <c r="AC320" s="295" t="str">
        <f>IF('Donor Sample'!R337="","",'Donor Sample'!R337)</f>
        <v/>
      </c>
      <c r="AD320" s="294" t="str">
        <f>IF('Donor Sample'!S337="","",'Donor Sample'!S337/100)</f>
        <v/>
      </c>
      <c r="AE320" s="293" t="e">
        <f t="shared" si="89"/>
        <v>#VALUE!</v>
      </c>
      <c r="AF320" s="293" t="str">
        <f t="shared" si="90"/>
        <v/>
      </c>
      <c r="AG320" s="292" t="str">
        <f>IF('Donor Sample'!T337="","",'Donor Sample'!T337)</f>
        <v/>
      </c>
      <c r="AH320" s="891">
        <f t="shared" si="91"/>
        <v>16</v>
      </c>
      <c r="AI320" s="1220">
        <v>0.98181772232055664</v>
      </c>
      <c r="AJ320" s="1216"/>
    </row>
    <row r="321" spans="5:36">
      <c r="E321" s="299">
        <v>313</v>
      </c>
      <c r="F321" s="308">
        <f t="shared" ca="1" si="79"/>
        <v>3329.6411824839597</v>
      </c>
      <c r="G321" s="307">
        <f t="shared" ca="1" si="80"/>
        <v>226.14264976140319</v>
      </c>
      <c r="H321" s="306">
        <f t="shared" ca="1" si="81"/>
        <v>0.38607425035165149</v>
      </c>
      <c r="I321" s="305">
        <f t="shared" ca="1" si="84"/>
        <v>127.49579869284766</v>
      </c>
      <c r="J321" s="305">
        <f t="shared" ca="1" si="85"/>
        <v>52.38402348244842</v>
      </c>
      <c r="K321" s="292">
        <f t="shared" ca="1" si="82"/>
        <v>1.786144449647445</v>
      </c>
      <c r="L321" s="1290">
        <f t="shared" ca="1" si="86"/>
        <v>32.709268230107909</v>
      </c>
      <c r="M321" s="299">
        <v>313</v>
      </c>
      <c r="N321" s="304">
        <f t="shared" si="87"/>
        <v>2872.9530233651167</v>
      </c>
      <c r="O321" s="303">
        <v>273.55379627481528</v>
      </c>
      <c r="P321" s="302">
        <v>0.37749737254692867</v>
      </c>
      <c r="Q321" s="301">
        <v>108.42219223024678</v>
      </c>
      <c r="R321" s="301">
        <v>48.502716567031236</v>
      </c>
      <c r="S321" s="300">
        <v>2.4955457733751931</v>
      </c>
      <c r="T321" s="891">
        <f t="shared" si="88"/>
        <v>2</v>
      </c>
      <c r="U321" s="1220">
        <v>8.7103068828582764E-2</v>
      </c>
      <c r="W321" s="299">
        <v>313</v>
      </c>
      <c r="X321" s="298">
        <f>IF('Donor Sample'!N338="",,IF('Donor Sample'!N338="F",1,0))</f>
        <v>0</v>
      </c>
      <c r="Y321" s="298" t="str">
        <f>IF('Donor Sample'!O338="","",'Donor Sample'!O338)</f>
        <v/>
      </c>
      <c r="Z321" s="298" t="str">
        <f>IF(AND('Donor Sample'!O338="",'Donor Sample'!P338="",'Donor Sample'!Q338=""),"",IF('Donor Sample'!P338="",ROUND(AA321/($C$32+($AI321-0.5)*$C$31),0),'Donor Sample'!P338))</f>
        <v/>
      </c>
      <c r="AA321" s="297" t="str">
        <f>IF('Donor Sample'!Q338="","",'Donor Sample'!Q338)</f>
        <v/>
      </c>
      <c r="AB321" s="296" t="str">
        <f t="shared" si="93"/>
        <v/>
      </c>
      <c r="AC321" s="295" t="str">
        <f>IF('Donor Sample'!R338="","",'Donor Sample'!R338)</f>
        <v/>
      </c>
      <c r="AD321" s="294" t="str">
        <f>IF('Donor Sample'!S338="","",'Donor Sample'!S338/100)</f>
        <v/>
      </c>
      <c r="AE321" s="407" t="e">
        <f t="shared" si="89"/>
        <v>#VALUE!</v>
      </c>
      <c r="AF321" s="293" t="str">
        <f t="shared" si="90"/>
        <v/>
      </c>
      <c r="AG321" s="292" t="str">
        <f>IF('Donor Sample'!T338="","",'Donor Sample'!T338)</f>
        <v/>
      </c>
      <c r="AH321" s="891">
        <f t="shared" si="91"/>
        <v>2</v>
      </c>
      <c r="AI321" s="1220">
        <v>8.2848250865936279E-2</v>
      </c>
      <c r="AJ321" s="1216"/>
    </row>
    <row r="322" spans="5:36">
      <c r="E322" s="299">
        <v>314</v>
      </c>
      <c r="F322" s="308">
        <f t="shared" ca="1" si="79"/>
        <v>3573.0473013866358</v>
      </c>
      <c r="G322" s="307">
        <f t="shared" ca="1" si="80"/>
        <v>194.13602564194662</v>
      </c>
      <c r="H322" s="306">
        <f t="shared" ca="1" si="81"/>
        <v>0.45615175087283527</v>
      </c>
      <c r="I322" s="305">
        <f t="shared" ca="1" si="84"/>
        <v>143.79070205098012</v>
      </c>
      <c r="J322" s="305">
        <f t="shared" ca="1" si="85"/>
        <v>52.49492754636524</v>
      </c>
      <c r="K322" s="292">
        <f t="shared" ca="1" si="82"/>
        <v>3.1840706992980659</v>
      </c>
      <c r="L322" s="1290">
        <f t="shared" ca="1" si="86"/>
        <v>36.734047395089284</v>
      </c>
      <c r="M322" s="299">
        <v>314</v>
      </c>
      <c r="N322" s="304">
        <f t="shared" si="87"/>
        <v>2946.9044279475879</v>
      </c>
      <c r="O322" s="303">
        <v>229.51497418853572</v>
      </c>
      <c r="P322" s="302">
        <v>0.40920708492247776</v>
      </c>
      <c r="Q322" s="301">
        <v>118.25215757946258</v>
      </c>
      <c r="R322" s="301">
        <v>46.80439155212369</v>
      </c>
      <c r="S322" s="300">
        <v>7.6140830223547438</v>
      </c>
      <c r="T322" s="891">
        <f t="shared" si="88"/>
        <v>64</v>
      </c>
      <c r="U322" s="1220">
        <v>0.63289797306060791</v>
      </c>
      <c r="W322" s="299">
        <v>314</v>
      </c>
      <c r="X322" s="298">
        <f>IF('Donor Sample'!N339="",,IF('Donor Sample'!N339="F",1,0))</f>
        <v>0</v>
      </c>
      <c r="Y322" s="298" t="str">
        <f>IF('Donor Sample'!O339="","",'Donor Sample'!O339)</f>
        <v/>
      </c>
      <c r="Z322" s="298" t="str">
        <f>IF(AND('Donor Sample'!O339="",'Donor Sample'!P339="",'Donor Sample'!Q339=""),"",IF('Donor Sample'!P339="",ROUND(AA322/($C$32+($AI322-0.5)*$C$31),0),'Donor Sample'!P339))</f>
        <v/>
      </c>
      <c r="AA322" s="297" t="str">
        <f>IF('Donor Sample'!Q339="","",'Donor Sample'!Q339)</f>
        <v/>
      </c>
      <c r="AB322" s="296" t="str">
        <f t="shared" si="93"/>
        <v/>
      </c>
      <c r="AC322" s="295" t="str">
        <f>IF('Donor Sample'!R339="","",'Donor Sample'!R339)</f>
        <v/>
      </c>
      <c r="AD322" s="294" t="str">
        <f>IF('Donor Sample'!S339="","",'Donor Sample'!S339/100)</f>
        <v/>
      </c>
      <c r="AE322" s="293" t="e">
        <f t="shared" si="89"/>
        <v>#VALUE!</v>
      </c>
      <c r="AF322" s="293" t="str">
        <f t="shared" si="90"/>
        <v/>
      </c>
      <c r="AG322" s="292" t="str">
        <f>IF('Donor Sample'!T339="","",'Donor Sample'!T339)</f>
        <v/>
      </c>
      <c r="AH322" s="891">
        <f t="shared" si="91"/>
        <v>2</v>
      </c>
      <c r="AI322" s="1220">
        <v>0.10904133319854736</v>
      </c>
      <c r="AJ322" s="1216"/>
    </row>
    <row r="323" spans="5:36">
      <c r="E323" s="299">
        <v>315</v>
      </c>
      <c r="F323" s="308">
        <f t="shared" ca="1" si="79"/>
        <v>2764.0736455222132</v>
      </c>
      <c r="G323" s="307">
        <f t="shared" ca="1" si="80"/>
        <v>225.50685770885354</v>
      </c>
      <c r="H323" s="306">
        <f t="shared" ca="1" si="81"/>
        <v>0.45687822141896056</v>
      </c>
      <c r="I323" s="305">
        <f t="shared" ca="1" si="84"/>
        <v>107.39444732756436</v>
      </c>
      <c r="J323" s="305">
        <f t="shared" ca="1" si="85"/>
        <v>46.180889527495019</v>
      </c>
      <c r="K323" s="292">
        <f t="shared" ca="1" si="82"/>
        <v>2.1984540205675156</v>
      </c>
      <c r="L323" s="1290">
        <f t="shared" ca="1" si="86"/>
        <v>35.451114963098611</v>
      </c>
      <c r="M323" s="299">
        <v>315</v>
      </c>
      <c r="N323" s="304">
        <f t="shared" si="87"/>
        <v>3801.0573325650712</v>
      </c>
      <c r="O323" s="303">
        <v>214.58292704805768</v>
      </c>
      <c r="P323" s="302">
        <v>0.44839948960864107</v>
      </c>
      <c r="Q323" s="301">
        <v>126.96292171129721</v>
      </c>
      <c r="R323" s="301">
        <v>60.682292748341425</v>
      </c>
      <c r="S323" s="300">
        <v>2.9656786299027313</v>
      </c>
      <c r="T323" s="891">
        <f t="shared" si="88"/>
        <v>64</v>
      </c>
      <c r="U323" s="1220">
        <v>0.54867488145828247</v>
      </c>
      <c r="W323" s="299">
        <v>315</v>
      </c>
      <c r="X323" s="298">
        <f>IF('Donor Sample'!N340="",,IF('Donor Sample'!N340="F",1,0))</f>
        <v>0</v>
      </c>
      <c r="Y323" s="298" t="str">
        <f>IF('Donor Sample'!O340="","",'Donor Sample'!O340)</f>
        <v/>
      </c>
      <c r="Z323" s="298" t="str">
        <f>IF(AND('Donor Sample'!O340="",'Donor Sample'!P340="",'Donor Sample'!Q340=""),"",IF('Donor Sample'!P340="",ROUND(AA323/($C$32+($AI323-0.5)*$C$31),0),'Donor Sample'!P340))</f>
        <v/>
      </c>
      <c r="AA323" s="297" t="str">
        <f>IF('Donor Sample'!Q340="","",'Donor Sample'!Q340)</f>
        <v/>
      </c>
      <c r="AB323" s="296" t="str">
        <f t="shared" si="93"/>
        <v/>
      </c>
      <c r="AC323" s="295" t="str">
        <f>IF('Donor Sample'!R340="","",'Donor Sample'!R340)</f>
        <v/>
      </c>
      <c r="AD323" s="294" t="str">
        <f>IF('Donor Sample'!S340="","",'Donor Sample'!S340/100)</f>
        <v/>
      </c>
      <c r="AE323" s="293" t="e">
        <f t="shared" si="89"/>
        <v>#VALUE!</v>
      </c>
      <c r="AF323" s="293" t="str">
        <f t="shared" si="90"/>
        <v/>
      </c>
      <c r="AG323" s="292" t="str">
        <f>IF('Donor Sample'!T340="","",'Donor Sample'!T340)</f>
        <v/>
      </c>
      <c r="AH323" s="891">
        <f t="shared" si="91"/>
        <v>2</v>
      </c>
      <c r="AI323" s="1220">
        <v>0.23010808229446411</v>
      </c>
      <c r="AJ323" s="1216"/>
    </row>
    <row r="324" spans="5:36">
      <c r="E324" s="299">
        <v>316</v>
      </c>
      <c r="F324" s="308">
        <f t="shared" ca="1" si="79"/>
        <v>2941.2294211027061</v>
      </c>
      <c r="G324" s="307">
        <f t="shared" ca="1" si="80"/>
        <v>287.64442627244586</v>
      </c>
      <c r="H324" s="306">
        <f t="shared" ca="1" si="81"/>
        <v>0.39523019904867845</v>
      </c>
      <c r="I324" s="305">
        <f t="shared" ca="1" si="84"/>
        <v>114.43868854837677</v>
      </c>
      <c r="J324" s="305">
        <f t="shared" ca="1" si="85"/>
        <v>48.037162085927292</v>
      </c>
      <c r="K324" s="292">
        <f t="shared" ca="1" si="82"/>
        <v>1.7215008975116461</v>
      </c>
      <c r="L324" s="1290">
        <f t="shared" ca="1" si="86"/>
        <v>34.913295675460752</v>
      </c>
      <c r="M324" s="299">
        <v>316</v>
      </c>
      <c r="N324" s="304">
        <f t="shared" si="87"/>
        <v>3742.0496636633575</v>
      </c>
      <c r="O324" s="303">
        <v>283.54276857003646</v>
      </c>
      <c r="P324" s="302">
        <v>0.46204287990704906</v>
      </c>
      <c r="Q324" s="301">
        <v>151.04308160529095</v>
      </c>
      <c r="R324" s="301">
        <v>53.735306452297387</v>
      </c>
      <c r="S324" s="300">
        <v>2.9007398645583282</v>
      </c>
      <c r="T324" s="891">
        <f t="shared" si="88"/>
        <v>64</v>
      </c>
      <c r="U324" s="1220">
        <v>0.57935929298400879</v>
      </c>
      <c r="W324" s="299">
        <v>316</v>
      </c>
      <c r="X324" s="298">
        <f>IF('Donor Sample'!N341="",,IF('Donor Sample'!N341="F",1,0))</f>
        <v>0</v>
      </c>
      <c r="Y324" s="298" t="str">
        <f>IF('Donor Sample'!O341="","",'Donor Sample'!O341)</f>
        <v/>
      </c>
      <c r="Z324" s="298" t="str">
        <f>IF(AND('Donor Sample'!O341="",'Donor Sample'!P341="",'Donor Sample'!Q341=""),"",IF('Donor Sample'!P341="",ROUND(AA324/($C$32+($AI324-0.5)*$C$31),0),'Donor Sample'!P341))</f>
        <v/>
      </c>
      <c r="AA324" s="297" t="str">
        <f>IF('Donor Sample'!Q341="","",'Donor Sample'!Q341)</f>
        <v/>
      </c>
      <c r="AB324" s="296" t="str">
        <f t="shared" si="93"/>
        <v/>
      </c>
      <c r="AC324" s="295" t="str">
        <f>IF('Donor Sample'!R341="","",'Donor Sample'!R341)</f>
        <v/>
      </c>
      <c r="AD324" s="294" t="str">
        <f>IF('Donor Sample'!S341="","",'Donor Sample'!S341/100)</f>
        <v/>
      </c>
      <c r="AE324" s="407" t="e">
        <f t="shared" si="89"/>
        <v>#VALUE!</v>
      </c>
      <c r="AF324" s="293" t="str">
        <f t="shared" si="90"/>
        <v/>
      </c>
      <c r="AG324" s="292" t="str">
        <f>IF('Donor Sample'!T341="","",'Donor Sample'!T341)</f>
        <v/>
      </c>
      <c r="AH324" s="891">
        <f t="shared" si="91"/>
        <v>64</v>
      </c>
      <c r="AI324" s="1220">
        <v>0.70546984672546387</v>
      </c>
      <c r="AJ324" s="1216"/>
    </row>
    <row r="325" spans="5:36">
      <c r="E325" s="299">
        <v>317</v>
      </c>
      <c r="F325" s="308">
        <f t="shared" ca="1" si="79"/>
        <v>3130.0182402653236</v>
      </c>
      <c r="G325" s="307">
        <f t="shared" ca="1" si="80"/>
        <v>262.62493448375176</v>
      </c>
      <c r="H325" s="306">
        <f t="shared" ca="1" si="81"/>
        <v>0.42429543264375924</v>
      </c>
      <c r="I325" s="305">
        <f t="shared" ca="1" si="84"/>
        <v>118.3983633533441</v>
      </c>
      <c r="J325" s="305">
        <f t="shared" ca="1" si="85"/>
        <v>50.997960409653963</v>
      </c>
      <c r="K325" s="292">
        <f t="shared" ca="1" si="82"/>
        <v>3.3328238826419674</v>
      </c>
      <c r="L325" s="1290">
        <f t="shared" ca="1" si="86"/>
        <v>32.048871609952023</v>
      </c>
      <c r="M325" s="299">
        <v>317</v>
      </c>
      <c r="N325" s="304">
        <f t="shared" si="87"/>
        <v>3606.8150716888517</v>
      </c>
      <c r="O325" s="303">
        <v>248.17763700682752</v>
      </c>
      <c r="P325" s="302">
        <v>0.40986908432462366</v>
      </c>
      <c r="Q325" s="301">
        <v>120.53340705873487</v>
      </c>
      <c r="R325" s="301">
        <v>59.131727703102804</v>
      </c>
      <c r="S325" s="300">
        <v>14.922121554563518</v>
      </c>
      <c r="T325" s="891">
        <f t="shared" si="88"/>
        <v>256</v>
      </c>
      <c r="U325" s="1220">
        <v>0.84076064825057983</v>
      </c>
      <c r="W325" s="299">
        <v>317</v>
      </c>
      <c r="X325" s="298">
        <f>IF('Donor Sample'!N342="",,IF('Donor Sample'!N342="F",1,0))</f>
        <v>0</v>
      </c>
      <c r="Y325" s="298" t="str">
        <f>IF('Donor Sample'!O342="","",'Donor Sample'!O342)</f>
        <v/>
      </c>
      <c r="Z325" s="298" t="str">
        <f>IF(AND('Donor Sample'!O342="",'Donor Sample'!P342="",'Donor Sample'!Q342=""),"",IF('Donor Sample'!P342="",ROUND(AA325/($C$32+($AI325-0.5)*$C$31),0),'Donor Sample'!P342))</f>
        <v/>
      </c>
      <c r="AA325" s="297" t="str">
        <f>IF('Donor Sample'!Q342="","",'Donor Sample'!Q342)</f>
        <v/>
      </c>
      <c r="AB325" s="296" t="str">
        <f t="shared" si="93"/>
        <v/>
      </c>
      <c r="AC325" s="295" t="str">
        <f>IF('Donor Sample'!R342="","",'Donor Sample'!R342)</f>
        <v/>
      </c>
      <c r="AD325" s="294" t="str">
        <f>IF('Donor Sample'!S342="","",'Donor Sample'!S342/100)</f>
        <v/>
      </c>
      <c r="AE325" s="293" t="e">
        <f t="shared" si="89"/>
        <v>#VALUE!</v>
      </c>
      <c r="AF325" s="293" t="str">
        <f t="shared" si="90"/>
        <v/>
      </c>
      <c r="AG325" s="292" t="str">
        <f>IF('Donor Sample'!T342="","",'Donor Sample'!T342)</f>
        <v/>
      </c>
      <c r="AH325" s="891">
        <f t="shared" si="91"/>
        <v>64</v>
      </c>
      <c r="AI325" s="1220">
        <v>0.4511985182762146</v>
      </c>
      <c r="AJ325" s="1216"/>
    </row>
    <row r="326" spans="5:36">
      <c r="E326" s="299">
        <v>318</v>
      </c>
      <c r="F326" s="308">
        <f t="shared" ca="1" si="79"/>
        <v>3262.4932248979003</v>
      </c>
      <c r="G326" s="307">
        <f t="shared" ca="1" si="80"/>
        <v>202.32485450718292</v>
      </c>
      <c r="H326" s="306">
        <f t="shared" ca="1" si="81"/>
        <v>0.43884542283243827</v>
      </c>
      <c r="I326" s="305">
        <f t="shared" ca="1" si="84"/>
        <v>106.35067883249079</v>
      </c>
      <c r="J326" s="305">
        <f t="shared" ca="1" si="85"/>
        <v>56.869888609641698</v>
      </c>
      <c r="K326" s="292">
        <f t="shared" ca="1" si="82"/>
        <v>1.8279934239972215</v>
      </c>
      <c r="L326" s="1290">
        <f t="shared" ca="1" si="86"/>
        <v>23.149849409513191</v>
      </c>
      <c r="M326" s="299">
        <v>318</v>
      </c>
      <c r="N326" s="304">
        <f t="shared" si="87"/>
        <v>3760.0384541095837</v>
      </c>
      <c r="O326" s="303">
        <v>301.69577460908505</v>
      </c>
      <c r="P326" s="302">
        <v>0.51062347580685208</v>
      </c>
      <c r="Q326" s="301">
        <v>131.51201597630063</v>
      </c>
      <c r="R326" s="301">
        <v>59.019496713335052</v>
      </c>
      <c r="S326" s="300">
        <v>3.4517161060950103</v>
      </c>
      <c r="T326" s="891">
        <f t="shared" si="88"/>
        <v>128</v>
      </c>
      <c r="U326" s="1220">
        <v>0.9336928129196167</v>
      </c>
      <c r="W326" s="299">
        <v>318</v>
      </c>
      <c r="X326" s="298">
        <f>IF('Donor Sample'!N343="",,IF('Donor Sample'!N343="F",1,0))</f>
        <v>0</v>
      </c>
      <c r="Y326" s="298" t="str">
        <f>IF('Donor Sample'!O343="","",'Donor Sample'!O343)</f>
        <v/>
      </c>
      <c r="Z326" s="298" t="str">
        <f>IF(AND('Donor Sample'!O343="",'Donor Sample'!P343="",'Donor Sample'!Q343=""),"",IF('Donor Sample'!P343="",ROUND(AA326/($C$32+($AI326-0.5)*$C$31),0),'Donor Sample'!P343))</f>
        <v/>
      </c>
      <c r="AA326" s="297" t="str">
        <f>IF('Donor Sample'!Q343="","",'Donor Sample'!Q343)</f>
        <v/>
      </c>
      <c r="AB326" s="296" t="str">
        <f t="shared" si="93"/>
        <v/>
      </c>
      <c r="AC326" s="295" t="str">
        <f>IF('Donor Sample'!R343="","",'Donor Sample'!R343)</f>
        <v/>
      </c>
      <c r="AD326" s="294" t="str">
        <f>IF('Donor Sample'!S343="","",'Donor Sample'!S343/100)</f>
        <v/>
      </c>
      <c r="AE326" s="293" t="e">
        <f t="shared" si="89"/>
        <v>#VALUE!</v>
      </c>
      <c r="AF326" s="293" t="str">
        <f t="shared" si="90"/>
        <v/>
      </c>
      <c r="AG326" s="292" t="str">
        <f>IF('Donor Sample'!T343="","",'Donor Sample'!T343)</f>
        <v/>
      </c>
      <c r="AH326" s="891">
        <f t="shared" si="91"/>
        <v>64</v>
      </c>
      <c r="AI326" s="1220">
        <v>0.6360706090927124</v>
      </c>
      <c r="AJ326" s="1216"/>
    </row>
    <row r="327" spans="5:36">
      <c r="E327" s="299">
        <v>319</v>
      </c>
      <c r="F327" s="308">
        <f t="shared" ca="1" si="79"/>
        <v>3261.1574173478539</v>
      </c>
      <c r="G327" s="307">
        <f t="shared" ca="1" si="80"/>
        <v>250.33865085103332</v>
      </c>
      <c r="H327" s="306">
        <f t="shared" ca="1" si="81"/>
        <v>0.41456232268945969</v>
      </c>
      <c r="I327" s="305">
        <f t="shared" ca="1" si="84"/>
        <v>114.14669693617172</v>
      </c>
      <c r="J327" s="305">
        <f t="shared" ca="1" si="85"/>
        <v>54.822908186907028</v>
      </c>
      <c r="K327" s="292">
        <f t="shared" ca="1" si="82"/>
        <v>10.547050145036275</v>
      </c>
      <c r="L327" s="1290">
        <f t="shared" ca="1" si="86"/>
        <v>26.736950275044851</v>
      </c>
      <c r="M327" s="299">
        <v>319</v>
      </c>
      <c r="N327" s="304">
        <f t="shared" si="87"/>
        <v>3684.823219063107</v>
      </c>
      <c r="O327" s="303">
        <v>255.21588778024659</v>
      </c>
      <c r="P327" s="302">
        <v>0.40393733187839997</v>
      </c>
      <c r="Q327" s="301">
        <v>134.57719548750205</v>
      </c>
      <c r="R327" s="301">
        <v>57.04460493532811</v>
      </c>
      <c r="S327" s="300">
        <v>2.1243638977660848</v>
      </c>
      <c r="T327" s="891">
        <f t="shared" si="88"/>
        <v>2</v>
      </c>
      <c r="U327" s="1220">
        <v>0.2109876275062561</v>
      </c>
      <c r="W327" s="299">
        <v>319</v>
      </c>
      <c r="X327" s="298">
        <f>IF('Donor Sample'!N344="",,IF('Donor Sample'!N344="F",1,0))</f>
        <v>0</v>
      </c>
      <c r="Y327" s="298" t="str">
        <f>IF('Donor Sample'!O344="","",'Donor Sample'!O344)</f>
        <v/>
      </c>
      <c r="Z327" s="298" t="str">
        <f>IF(AND('Donor Sample'!O344="",'Donor Sample'!P344="",'Donor Sample'!Q344=""),"",IF('Donor Sample'!P344="",ROUND(AA327/($C$32+($AI327-0.5)*$C$31),0),'Donor Sample'!P344))</f>
        <v/>
      </c>
      <c r="AA327" s="297" t="str">
        <f>IF('Donor Sample'!Q344="","",'Donor Sample'!Q344)</f>
        <v/>
      </c>
      <c r="AB327" s="296" t="str">
        <f t="shared" si="93"/>
        <v/>
      </c>
      <c r="AC327" s="295" t="str">
        <f>IF('Donor Sample'!R344="","",'Donor Sample'!R344)</f>
        <v/>
      </c>
      <c r="AD327" s="294" t="str">
        <f>IF('Donor Sample'!S344="","",'Donor Sample'!S344/100)</f>
        <v/>
      </c>
      <c r="AE327" s="407" t="e">
        <f t="shared" si="89"/>
        <v>#VALUE!</v>
      </c>
      <c r="AF327" s="293" t="str">
        <f t="shared" si="90"/>
        <v/>
      </c>
      <c r="AG327" s="292" t="str">
        <f>IF('Donor Sample'!T344="","",'Donor Sample'!T344)</f>
        <v/>
      </c>
      <c r="AH327" s="891">
        <f t="shared" si="91"/>
        <v>2</v>
      </c>
      <c r="AI327" s="1220">
        <v>2.7800202369689941E-3</v>
      </c>
      <c r="AJ327" s="1216"/>
    </row>
    <row r="328" spans="5:36">
      <c r="E328" s="299">
        <v>320</v>
      </c>
      <c r="F328" s="308">
        <f t="shared" ca="1" si="79"/>
        <v>2606.3289910808348</v>
      </c>
      <c r="G328" s="307">
        <f t="shared" ca="1" si="80"/>
        <v>230.40890179384976</v>
      </c>
      <c r="H328" s="306">
        <f t="shared" ca="1" si="81"/>
        <v>0.42937570205230391</v>
      </c>
      <c r="I328" s="305">
        <f t="shared" ca="1" si="84"/>
        <v>92.852885422986844</v>
      </c>
      <c r="J328" s="305">
        <f t="shared" ca="1" si="85"/>
        <v>47.557912539346425</v>
      </c>
      <c r="K328" s="292">
        <f t="shared" ca="1" si="82"/>
        <v>1.4997608251467989</v>
      </c>
      <c r="L328" s="1290">
        <f t="shared" ca="1" si="86"/>
        <v>28.901640555371898</v>
      </c>
      <c r="M328" s="299">
        <v>320</v>
      </c>
      <c r="N328" s="304">
        <f t="shared" si="87"/>
        <v>3325.1126240309159</v>
      </c>
      <c r="O328" s="303">
        <v>283.57686948104032</v>
      </c>
      <c r="P328" s="302">
        <v>0.37115342721440925</v>
      </c>
      <c r="Q328" s="301">
        <v>133.71947840272884</v>
      </c>
      <c r="R328" s="301">
        <v>50.380949992284073</v>
      </c>
      <c r="S328" s="300">
        <v>4.7207120534300611</v>
      </c>
      <c r="T328" s="891">
        <f t="shared" si="88"/>
        <v>2</v>
      </c>
      <c r="U328" s="1220">
        <v>0.14832925796508789</v>
      </c>
      <c r="W328" s="299">
        <v>320</v>
      </c>
      <c r="X328" s="298">
        <f>IF('Donor Sample'!N345="",,IF('Donor Sample'!N345="F",1,0))</f>
        <v>0</v>
      </c>
      <c r="Y328" s="298" t="str">
        <f>IF('Donor Sample'!O345="","",'Donor Sample'!O345)</f>
        <v/>
      </c>
      <c r="Z328" s="298" t="str">
        <f>IF(AND('Donor Sample'!O345="",'Donor Sample'!P345="",'Donor Sample'!Q345=""),"",IF('Donor Sample'!P345="",ROUND(AA328/($C$32+($AI328-0.5)*$C$31),0),'Donor Sample'!P345))</f>
        <v/>
      </c>
      <c r="AA328" s="297" t="str">
        <f>IF('Donor Sample'!Q345="","",'Donor Sample'!Q345)</f>
        <v/>
      </c>
      <c r="AB328" s="296" t="str">
        <f t="shared" si="93"/>
        <v/>
      </c>
      <c r="AC328" s="295" t="str">
        <f>IF('Donor Sample'!R345="","",'Donor Sample'!R345)</f>
        <v/>
      </c>
      <c r="AD328" s="294" t="str">
        <f>IF('Donor Sample'!S345="","",'Donor Sample'!S345/100)</f>
        <v/>
      </c>
      <c r="AE328" s="293" t="e">
        <f t="shared" si="89"/>
        <v>#VALUE!</v>
      </c>
      <c r="AF328" s="293" t="str">
        <f t="shared" si="90"/>
        <v/>
      </c>
      <c r="AG328" s="292" t="str">
        <f>IF('Donor Sample'!T345="","",'Donor Sample'!T345)</f>
        <v/>
      </c>
      <c r="AH328" s="891">
        <f t="shared" si="91"/>
        <v>64</v>
      </c>
      <c r="AI328" s="1220">
        <v>0.57617473602294922</v>
      </c>
      <c r="AJ328" s="1216"/>
    </row>
    <row r="329" spans="5:36">
      <c r="E329" s="299">
        <v>321</v>
      </c>
      <c r="F329" s="308">
        <f t="shared" ref="F329:F392" ca="1" si="94">NORMINV(NORMDIST($C$9,$C$7,$C$8,1)+RAND()*(NORMDIST($C$10,$C$7,$C$8,1)-NORMDIST($C$9,$C$7,$C$8,1)),$C$7,$C$8)</f>
        <v>4401.5367049375627</v>
      </c>
      <c r="G329" s="307">
        <f t="shared" ref="G329:G392" ca="1" si="95">NORMINV(NORMDIST($C$13,$C$11,$C$12,1)+RAND()*(NORMDIST($C$14,$C$11,$C$12,1)-NORMDIST($C$13,$C$11,$C$12,1)),$C$11,$C$12)</f>
        <v>213.10013879436872</v>
      </c>
      <c r="H329" s="306">
        <f t="shared" ref="H329:H392" ca="1" si="96">NORMINV(NORMDIST($C$17,$C$15,$C$16,1)+RAND()*(NORMDIST($C$18,$C$15,$C$16,1)-NORMDIST($C$17,$C$15,$C$16,1)),$C$15,$C$16)/100</f>
        <v>0.45055614779911757</v>
      </c>
      <c r="I329" s="305">
        <f t="shared" ca="1" si="84"/>
        <v>171.995770418414</v>
      </c>
      <c r="J329" s="305">
        <f t="shared" ca="1" si="85"/>
        <v>59.81161275336531</v>
      </c>
      <c r="K329" s="292">
        <f t="shared" ref="K329:K392" ca="1" si="97">$C$23/($C$24+RAND())</f>
        <v>5.5450888647165835</v>
      </c>
      <c r="L329" s="1290">
        <f t="shared" ca="1" si="86"/>
        <v>33.846939154420355</v>
      </c>
      <c r="M329" s="299">
        <v>321</v>
      </c>
      <c r="N329" s="304">
        <f t="shared" si="87"/>
        <v>3587.6443358268043</v>
      </c>
      <c r="O329" s="303">
        <v>285.48520954501606</v>
      </c>
      <c r="P329" s="302">
        <v>0.36982065602264025</v>
      </c>
      <c r="Q329" s="301">
        <v>127.57074989301219</v>
      </c>
      <c r="R329" s="301">
        <v>57.131627682133391</v>
      </c>
      <c r="S329" s="300">
        <v>7.0680638966404246</v>
      </c>
      <c r="T329" s="891">
        <f t="shared" si="88"/>
        <v>64</v>
      </c>
      <c r="U329" s="1220">
        <v>0.71612614393234253</v>
      </c>
      <c r="W329" s="299">
        <v>321</v>
      </c>
      <c r="X329" s="298">
        <f>IF('Donor Sample'!N346="",,IF('Donor Sample'!N346="F",1,0))</f>
        <v>0</v>
      </c>
      <c r="Y329" s="298" t="str">
        <f>IF('Donor Sample'!O346="","",'Donor Sample'!O346)</f>
        <v/>
      </c>
      <c r="Z329" s="298" t="str">
        <f>IF(AND('Donor Sample'!O346="",'Donor Sample'!P346="",'Donor Sample'!Q346=""),"",IF('Donor Sample'!P346="",ROUND(AA329/($C$32+($AI329-0.5)*$C$31),0),'Donor Sample'!P346))</f>
        <v/>
      </c>
      <c r="AA329" s="297" t="str">
        <f>IF('Donor Sample'!Q346="","",'Donor Sample'!Q346)</f>
        <v/>
      </c>
      <c r="AB329" s="296" t="str">
        <f t="shared" si="93"/>
        <v/>
      </c>
      <c r="AC329" s="295" t="str">
        <f>IF('Donor Sample'!R346="","",'Donor Sample'!R346)</f>
        <v/>
      </c>
      <c r="AD329" s="294" t="str">
        <f>IF('Donor Sample'!S346="","",'Donor Sample'!S346/100)</f>
        <v/>
      </c>
      <c r="AE329" s="293" t="e">
        <f t="shared" si="89"/>
        <v>#VALUE!</v>
      </c>
      <c r="AF329" s="293" t="str">
        <f t="shared" si="90"/>
        <v/>
      </c>
      <c r="AG329" s="292" t="str">
        <f>IF('Donor Sample'!T346="","",'Donor Sample'!T346)</f>
        <v/>
      </c>
      <c r="AH329" s="891">
        <f t="shared" si="91"/>
        <v>64</v>
      </c>
      <c r="AI329" s="1220">
        <v>0.52292174100875854</v>
      </c>
      <c r="AJ329" s="1216"/>
    </row>
    <row r="330" spans="5:36">
      <c r="E330" s="299">
        <v>322</v>
      </c>
      <c r="F330" s="308">
        <f t="shared" ca="1" si="94"/>
        <v>3065.4279432505095</v>
      </c>
      <c r="G330" s="307">
        <f t="shared" ca="1" si="95"/>
        <v>242.77982709270267</v>
      </c>
      <c r="H330" s="306">
        <f t="shared" ca="1" si="96"/>
        <v>0.37085672969068262</v>
      </c>
      <c r="I330" s="305">
        <f t="shared" ref="I330:I393" ca="1" si="98">F330/($C$32+(RAND()-0.5)*$C$31)</f>
        <v>111.67526831755212</v>
      </c>
      <c r="J330" s="305">
        <f t="shared" ref="J330:J393" ca="1" si="99">IF(AI330&lt;=$C$33,((F330-604-14.6*I330)/0.006012)^(1/3),((F330-183-15*I330)/0.005835)^(1/3))</f>
        <v>51.703739481125012</v>
      </c>
      <c r="K330" s="292">
        <f t="shared" ca="1" si="97"/>
        <v>1.2821833929871631</v>
      </c>
      <c r="L330" s="1290">
        <f t="shared" ref="L330:L393" ca="1" si="100">704*I330/J330^2</f>
        <v>29.409372247779803</v>
      </c>
      <c r="M330" s="299">
        <v>322</v>
      </c>
      <c r="N330" s="304">
        <f t="shared" ref="N330:N393" si="101">IF(AI330&gt;$C$33,183+0.005835*R330^3+15*Q330,604+0.006012*R330^3+14.6*Q330)</f>
        <v>4099.5215253158431</v>
      </c>
      <c r="O330" s="303">
        <v>233.51814851587585</v>
      </c>
      <c r="P330" s="302">
        <v>0.410299308928606</v>
      </c>
      <c r="Q330" s="301">
        <v>133.08373380111868</v>
      </c>
      <c r="R330" s="301">
        <v>63.680156223815715</v>
      </c>
      <c r="S330" s="300">
        <v>1.3154343692270156</v>
      </c>
      <c r="T330" s="891">
        <f t="shared" ref="T330:T393" si="102">HLOOKUP(U330,$AL$32:$AT$34,3)</f>
        <v>32</v>
      </c>
      <c r="U330" s="1220">
        <v>0.81077015399932861</v>
      </c>
      <c r="W330" s="299">
        <v>322</v>
      </c>
      <c r="X330" s="298">
        <f>IF('Donor Sample'!N347="",,IF('Donor Sample'!N347="F",1,0))</f>
        <v>0</v>
      </c>
      <c r="Y330" s="298" t="str">
        <f>IF('Donor Sample'!O347="","",'Donor Sample'!O347)</f>
        <v/>
      </c>
      <c r="Z330" s="298" t="str">
        <f>IF(AND('Donor Sample'!O347="",'Donor Sample'!P347="",'Donor Sample'!Q347=""),"",IF('Donor Sample'!P347="",ROUND(AA330/($C$32+($AI330-0.5)*$C$31),0),'Donor Sample'!P347))</f>
        <v/>
      </c>
      <c r="AA330" s="297" t="str">
        <f>IF('Donor Sample'!Q347="","",'Donor Sample'!Q347)</f>
        <v/>
      </c>
      <c r="AB330" s="296" t="str">
        <f t="shared" si="93"/>
        <v/>
      </c>
      <c r="AC330" s="295" t="str">
        <f>IF('Donor Sample'!R347="","",'Donor Sample'!R347)</f>
        <v/>
      </c>
      <c r="AD330" s="294" t="str">
        <f>IF('Donor Sample'!S347="","",'Donor Sample'!S347/100)</f>
        <v/>
      </c>
      <c r="AE330" s="407" t="e">
        <f t="shared" ref="AE330:AE393" si="103">IF($AB$2=1,Z330,2.2*Z330)</f>
        <v>#VALUE!</v>
      </c>
      <c r="AF330" s="293" t="str">
        <f t="shared" ref="AF330:AF393" si="104">IF(AND(Y330="",AA330=""),"",IF(AA330="",IF($AB$2=1,Y330,Y330/2.54),IF(AI330&lt;=$C$33,((AB330-604-14.6*Z330)/0.006012)^(1/3),((AB330-183-15*Z330)/0.005835)^(1/3))))</f>
        <v/>
      </c>
      <c r="AG330" s="292" t="str">
        <f>IF('Donor Sample'!T347="","",'Donor Sample'!T347)</f>
        <v/>
      </c>
      <c r="AH330" s="891">
        <f t="shared" ref="AH330:AH393" si="105">HLOOKUP(AI330,$AL$32:$AT$34,3)</f>
        <v>64</v>
      </c>
      <c r="AI330" s="1220">
        <v>0.61938726902008057</v>
      </c>
      <c r="AJ330" s="1216"/>
    </row>
    <row r="331" spans="5:36">
      <c r="E331" s="299">
        <v>323</v>
      </c>
      <c r="F331" s="308">
        <f t="shared" ca="1" si="94"/>
        <v>3583.002841143285</v>
      </c>
      <c r="G331" s="307">
        <f t="shared" ca="1" si="95"/>
        <v>254.41251297943535</v>
      </c>
      <c r="H331" s="306">
        <f t="shared" ca="1" si="96"/>
        <v>0.35499676031383876</v>
      </c>
      <c r="I331" s="305">
        <f t="shared" ca="1" si="98"/>
        <v>114.31149664660938</v>
      </c>
      <c r="J331" s="305">
        <f t="shared" ca="1" si="99"/>
        <v>60.176027969798227</v>
      </c>
      <c r="K331" s="292">
        <f t="shared" ca="1" si="97"/>
        <v>5.1323997658903666</v>
      </c>
      <c r="L331" s="1290">
        <f t="shared" ca="1" si="100"/>
        <v>22.223657440083983</v>
      </c>
      <c r="M331" s="299">
        <v>323</v>
      </c>
      <c r="N331" s="304">
        <f t="shared" si="101"/>
        <v>2970.5203204337358</v>
      </c>
      <c r="O331" s="303">
        <v>306.99238281452256</v>
      </c>
      <c r="P331" s="302">
        <v>0.38210022308591546</v>
      </c>
      <c r="Q331" s="301">
        <v>102.23967262828232</v>
      </c>
      <c r="R331" s="301">
        <v>52.577651704916327</v>
      </c>
      <c r="S331" s="300">
        <v>2.3261263663498752</v>
      </c>
      <c r="T331" s="891">
        <f t="shared" si="102"/>
        <v>2</v>
      </c>
      <c r="U331" s="1220">
        <v>0.32023411989212036</v>
      </c>
      <c r="W331" s="299">
        <v>323</v>
      </c>
      <c r="X331" s="298">
        <f>IF('Donor Sample'!N348="",,IF('Donor Sample'!N348="F",1,0))</f>
        <v>0</v>
      </c>
      <c r="Y331" s="298" t="str">
        <f>IF('Donor Sample'!O348="","",'Donor Sample'!O348)</f>
        <v/>
      </c>
      <c r="Z331" s="298" t="str">
        <f>IF(AND('Donor Sample'!O348="",'Donor Sample'!P348="",'Donor Sample'!Q348=""),"",IF('Donor Sample'!P348="",ROUND(AA331/($C$32+($AI331-0.5)*$C$31),0),'Donor Sample'!P348))</f>
        <v/>
      </c>
      <c r="AA331" s="297" t="str">
        <f>IF('Donor Sample'!Q348="","",'Donor Sample'!Q348)</f>
        <v/>
      </c>
      <c r="AB331" s="296" t="str">
        <f t="shared" si="93"/>
        <v/>
      </c>
      <c r="AC331" s="295" t="str">
        <f>IF('Donor Sample'!R348="","",'Donor Sample'!R348)</f>
        <v/>
      </c>
      <c r="AD331" s="294" t="str">
        <f>IF('Donor Sample'!S348="","",'Donor Sample'!S348/100)</f>
        <v/>
      </c>
      <c r="AE331" s="293" t="e">
        <f t="shared" si="103"/>
        <v>#VALUE!</v>
      </c>
      <c r="AF331" s="293" t="str">
        <f t="shared" si="104"/>
        <v/>
      </c>
      <c r="AG331" s="292" t="str">
        <f>IF('Donor Sample'!T348="","",'Donor Sample'!T348)</f>
        <v/>
      </c>
      <c r="AH331" s="891">
        <f t="shared" si="105"/>
        <v>64</v>
      </c>
      <c r="AI331" s="1220">
        <v>0.7073710560798645</v>
      </c>
      <c r="AJ331" s="1216"/>
    </row>
    <row r="332" spans="5:36">
      <c r="E332" s="299">
        <v>324</v>
      </c>
      <c r="F332" s="308">
        <f t="shared" ca="1" si="94"/>
        <v>3708.6136753210612</v>
      </c>
      <c r="G332" s="307">
        <f t="shared" ca="1" si="95"/>
        <v>248.87435197856402</v>
      </c>
      <c r="H332" s="306">
        <f t="shared" ca="1" si="96"/>
        <v>0.39106776808485888</v>
      </c>
      <c r="I332" s="305">
        <f t="shared" ca="1" si="98"/>
        <v>124.53145417956847</v>
      </c>
      <c r="J332" s="305">
        <f t="shared" ca="1" si="99"/>
        <v>59.81248046075283</v>
      </c>
      <c r="K332" s="292">
        <f t="shared" ca="1" si="97"/>
        <v>1.5233111089082749</v>
      </c>
      <c r="L332" s="1290">
        <f t="shared" ca="1" si="100"/>
        <v>24.50575527359053</v>
      </c>
      <c r="M332" s="299">
        <v>324</v>
      </c>
      <c r="N332" s="304">
        <f t="shared" si="101"/>
        <v>3773.0679713739273</v>
      </c>
      <c r="O332" s="303">
        <v>215.15924577635806</v>
      </c>
      <c r="P332" s="302">
        <v>0.39785883462847382</v>
      </c>
      <c r="Q332" s="301">
        <v>130.43521459334576</v>
      </c>
      <c r="R332" s="301">
        <v>59.473628112375231</v>
      </c>
      <c r="S332" s="300">
        <v>2.5829418099838146</v>
      </c>
      <c r="T332" s="891">
        <f t="shared" si="102"/>
        <v>256</v>
      </c>
      <c r="U332" s="1220">
        <v>0.84915423393249512</v>
      </c>
      <c r="W332" s="299">
        <v>324</v>
      </c>
      <c r="X332" s="298">
        <f>IF('Donor Sample'!N349="",,IF('Donor Sample'!N349="F",1,0))</f>
        <v>0</v>
      </c>
      <c r="Y332" s="298" t="str">
        <f>IF('Donor Sample'!O349="","",'Donor Sample'!O349)</f>
        <v/>
      </c>
      <c r="Z332" s="298" t="str">
        <f>IF(AND('Donor Sample'!O349="",'Donor Sample'!P349="",'Donor Sample'!Q349=""),"",IF('Donor Sample'!P349="",ROUND(AA332/($C$32+($AI332-0.5)*$C$31),0),'Donor Sample'!P349))</f>
        <v/>
      </c>
      <c r="AA332" s="297" t="str">
        <f>IF('Donor Sample'!Q349="","",'Donor Sample'!Q349)</f>
        <v/>
      </c>
      <c r="AB332" s="296" t="str">
        <f t="shared" si="93"/>
        <v/>
      </c>
      <c r="AC332" s="295" t="str">
        <f>IF('Donor Sample'!R349="","",'Donor Sample'!R349)</f>
        <v/>
      </c>
      <c r="AD332" s="294" t="str">
        <f>IF('Donor Sample'!S349="","",'Donor Sample'!S349/100)</f>
        <v/>
      </c>
      <c r="AE332" s="293" t="e">
        <f t="shared" si="103"/>
        <v>#VALUE!</v>
      </c>
      <c r="AF332" s="293" t="str">
        <f t="shared" si="104"/>
        <v/>
      </c>
      <c r="AG332" s="292" t="str">
        <f>IF('Donor Sample'!T349="","",'Donor Sample'!T349)</f>
        <v/>
      </c>
      <c r="AH332" s="891">
        <f t="shared" si="105"/>
        <v>64</v>
      </c>
      <c r="AI332" s="1220">
        <v>0.7487785816192627</v>
      </c>
      <c r="AJ332" s="1216"/>
    </row>
    <row r="333" spans="5:36">
      <c r="E333" s="299">
        <v>325</v>
      </c>
      <c r="F333" s="308">
        <f t="shared" ca="1" si="94"/>
        <v>2925.3444836017484</v>
      </c>
      <c r="G333" s="307">
        <f t="shared" ca="1" si="95"/>
        <v>288.36356207770376</v>
      </c>
      <c r="H333" s="306">
        <f t="shared" ca="1" si="96"/>
        <v>0.38567920597066441</v>
      </c>
      <c r="I333" s="305">
        <f t="shared" ca="1" si="98"/>
        <v>123.12819957806624</v>
      </c>
      <c r="J333" s="305">
        <f t="shared" ca="1" si="99"/>
        <v>44.328224838955911</v>
      </c>
      <c r="K333" s="292">
        <f t="shared" ca="1" si="97"/>
        <v>1.4023410362592339</v>
      </c>
      <c r="L333" s="1290">
        <f t="shared" ca="1" si="100"/>
        <v>44.113296030327419</v>
      </c>
      <c r="M333" s="299">
        <v>325</v>
      </c>
      <c r="N333" s="304">
        <f t="shared" si="101"/>
        <v>3610.4131008269869</v>
      </c>
      <c r="O333" s="303">
        <v>224.86960814268821</v>
      </c>
      <c r="P333" s="302">
        <v>0.41697175116606638</v>
      </c>
      <c r="Q333" s="301">
        <v>121.17978851087315</v>
      </c>
      <c r="R333" s="301">
        <v>59.038991606875427</v>
      </c>
      <c r="S333" s="300">
        <v>14.110533938475008</v>
      </c>
      <c r="T333" s="891">
        <f t="shared" si="102"/>
        <v>32</v>
      </c>
      <c r="U333" s="1220">
        <v>0.77795785665512085</v>
      </c>
      <c r="W333" s="299">
        <v>325</v>
      </c>
      <c r="X333" s="298">
        <f>IF('Donor Sample'!N350="",,IF('Donor Sample'!N350="F",1,0))</f>
        <v>0</v>
      </c>
      <c r="Y333" s="298" t="str">
        <f>IF('Donor Sample'!O350="","",'Donor Sample'!O350)</f>
        <v/>
      </c>
      <c r="Z333" s="298" t="str">
        <f>IF(AND('Donor Sample'!O350="",'Donor Sample'!P350="",'Donor Sample'!Q350=""),"",IF('Donor Sample'!P350="",ROUND(AA333/($C$32+($AI333-0.5)*$C$31),0),'Donor Sample'!P350))</f>
        <v/>
      </c>
      <c r="AA333" s="297" t="str">
        <f>IF('Donor Sample'!Q350="","",'Donor Sample'!Q350)</f>
        <v/>
      </c>
      <c r="AB333" s="296" t="str">
        <f t="shared" si="93"/>
        <v/>
      </c>
      <c r="AC333" s="295" t="str">
        <f>IF('Donor Sample'!R350="","",'Donor Sample'!R350)</f>
        <v/>
      </c>
      <c r="AD333" s="294" t="str">
        <f>IF('Donor Sample'!S350="","",'Donor Sample'!S350/100)</f>
        <v/>
      </c>
      <c r="AE333" s="407" t="e">
        <f t="shared" si="103"/>
        <v>#VALUE!</v>
      </c>
      <c r="AF333" s="293" t="str">
        <f t="shared" si="104"/>
        <v/>
      </c>
      <c r="AG333" s="292" t="str">
        <f>IF('Donor Sample'!T350="","",'Donor Sample'!T350)</f>
        <v/>
      </c>
      <c r="AH333" s="891">
        <f t="shared" si="105"/>
        <v>4</v>
      </c>
      <c r="AI333" s="1220">
        <v>0.39597934484481812</v>
      </c>
      <c r="AJ333" s="1216"/>
    </row>
    <row r="334" spans="5:36">
      <c r="E334" s="299">
        <v>326</v>
      </c>
      <c r="F334" s="308">
        <f t="shared" ca="1" si="94"/>
        <v>2666.3881715861603</v>
      </c>
      <c r="G334" s="307">
        <f t="shared" ca="1" si="95"/>
        <v>260.64240146666759</v>
      </c>
      <c r="H334" s="306">
        <f t="shared" ca="1" si="96"/>
        <v>0.36149575760431624</v>
      </c>
      <c r="I334" s="305">
        <f t="shared" ca="1" si="98"/>
        <v>88.896795656337247</v>
      </c>
      <c r="J334" s="305">
        <f t="shared" ca="1" si="99"/>
        <v>50.286554964800395</v>
      </c>
      <c r="K334" s="292">
        <f t="shared" ca="1" si="97"/>
        <v>2.9115319874159407</v>
      </c>
      <c r="L334" s="1290">
        <f t="shared" ca="1" si="100"/>
        <v>24.748848551519497</v>
      </c>
      <c r="M334" s="299">
        <v>326</v>
      </c>
      <c r="N334" s="304">
        <f t="shared" si="101"/>
        <v>3705.973807992536</v>
      </c>
      <c r="O334" s="303">
        <v>161.79296125288846</v>
      </c>
      <c r="P334" s="302">
        <v>0.43401289479960314</v>
      </c>
      <c r="Q334" s="301">
        <v>148.92040600525459</v>
      </c>
      <c r="R334" s="301">
        <v>53.637491716340143</v>
      </c>
      <c r="S334" s="300">
        <v>1.2854005287627652</v>
      </c>
      <c r="T334" s="891">
        <f t="shared" si="102"/>
        <v>4</v>
      </c>
      <c r="U334" s="1220">
        <v>0.38235509395599365</v>
      </c>
      <c r="W334" s="299">
        <v>326</v>
      </c>
      <c r="X334" s="298">
        <f>IF('Donor Sample'!N351="",,IF('Donor Sample'!N351="F",1,0))</f>
        <v>0</v>
      </c>
      <c r="Y334" s="298" t="str">
        <f>IF('Donor Sample'!O351="","",'Donor Sample'!O351)</f>
        <v/>
      </c>
      <c r="Z334" s="298" t="str">
        <f>IF(AND('Donor Sample'!O351="",'Donor Sample'!P351="",'Donor Sample'!Q351=""),"",IF('Donor Sample'!P351="",ROUND(AA334/($C$32+($AI334-0.5)*$C$31),0),'Donor Sample'!P351))</f>
        <v/>
      </c>
      <c r="AA334" s="297" t="str">
        <f>IF('Donor Sample'!Q351="","",'Donor Sample'!Q351)</f>
        <v/>
      </c>
      <c r="AB334" s="296" t="str">
        <f t="shared" si="93"/>
        <v/>
      </c>
      <c r="AC334" s="295" t="str">
        <f>IF('Donor Sample'!R351="","",'Donor Sample'!R351)</f>
        <v/>
      </c>
      <c r="AD334" s="294" t="str">
        <f>IF('Donor Sample'!S351="","",'Donor Sample'!S351/100)</f>
        <v/>
      </c>
      <c r="AE334" s="293" t="e">
        <f t="shared" si="103"/>
        <v>#VALUE!</v>
      </c>
      <c r="AF334" s="293" t="str">
        <f t="shared" si="104"/>
        <v/>
      </c>
      <c r="AG334" s="292" t="str">
        <f>IF('Donor Sample'!T351="","",'Donor Sample'!T351)</f>
        <v/>
      </c>
      <c r="AH334" s="891">
        <f t="shared" si="105"/>
        <v>2</v>
      </c>
      <c r="AI334" s="1220">
        <v>7.7607035636901855E-2</v>
      </c>
      <c r="AJ334" s="1216"/>
    </row>
    <row r="335" spans="5:36">
      <c r="E335" s="299">
        <v>327</v>
      </c>
      <c r="F335" s="308">
        <f t="shared" ca="1" si="94"/>
        <v>3403.2159281526456</v>
      </c>
      <c r="G335" s="307">
        <f t="shared" ca="1" si="95"/>
        <v>160.30750106107314</v>
      </c>
      <c r="H335" s="306">
        <f t="shared" ca="1" si="96"/>
        <v>0.405974499705551</v>
      </c>
      <c r="I335" s="305">
        <f t="shared" ca="1" si="98"/>
        <v>108.564444423539</v>
      </c>
      <c r="J335" s="305">
        <f t="shared" ca="1" si="99"/>
        <v>58.670633319920341</v>
      </c>
      <c r="K335" s="292">
        <f t="shared" ca="1" si="97"/>
        <v>2.6950789606109984</v>
      </c>
      <c r="L335" s="1290">
        <f t="shared" ca="1" si="100"/>
        <v>22.20336104077705</v>
      </c>
      <c r="M335" s="299">
        <v>327</v>
      </c>
      <c r="N335" s="304">
        <f t="shared" si="101"/>
        <v>3736.7474793052625</v>
      </c>
      <c r="O335" s="303">
        <v>291.84111326664873</v>
      </c>
      <c r="P335" s="302">
        <v>0.43331842227185724</v>
      </c>
      <c r="Q335" s="301">
        <v>138.69987532960278</v>
      </c>
      <c r="R335" s="301">
        <v>56.903400950435646</v>
      </c>
      <c r="S335" s="300">
        <v>1.8884132095419925</v>
      </c>
      <c r="T335" s="891">
        <f t="shared" si="102"/>
        <v>64</v>
      </c>
      <c r="U335" s="1220">
        <v>0.58423906564712524</v>
      </c>
      <c r="W335" s="299">
        <v>327</v>
      </c>
      <c r="X335" s="298">
        <f>IF('Donor Sample'!N352="",,IF('Donor Sample'!N352="F",1,0))</f>
        <v>0</v>
      </c>
      <c r="Y335" s="298" t="str">
        <f>IF('Donor Sample'!O352="","",'Donor Sample'!O352)</f>
        <v/>
      </c>
      <c r="Z335" s="298" t="str">
        <f>IF(AND('Donor Sample'!O352="",'Donor Sample'!P352="",'Donor Sample'!Q352=""),"",IF('Donor Sample'!P352="",ROUND(AA335/($C$32+($AI335-0.5)*$C$31),0),'Donor Sample'!P352))</f>
        <v/>
      </c>
      <c r="AA335" s="297" t="str">
        <f>IF('Donor Sample'!Q352="","",'Donor Sample'!Q352)</f>
        <v/>
      </c>
      <c r="AB335" s="296" t="str">
        <f t="shared" si="93"/>
        <v/>
      </c>
      <c r="AC335" s="295" t="str">
        <f>IF('Donor Sample'!R352="","",'Donor Sample'!R352)</f>
        <v/>
      </c>
      <c r="AD335" s="294" t="str">
        <f>IF('Donor Sample'!S352="","",'Donor Sample'!S352/100)</f>
        <v/>
      </c>
      <c r="AE335" s="293" t="e">
        <f t="shared" si="103"/>
        <v>#VALUE!</v>
      </c>
      <c r="AF335" s="293" t="str">
        <f t="shared" si="104"/>
        <v/>
      </c>
      <c r="AG335" s="292" t="str">
        <f>IF('Donor Sample'!T352="","",'Donor Sample'!T352)</f>
        <v/>
      </c>
      <c r="AH335" s="891">
        <f t="shared" si="105"/>
        <v>2</v>
      </c>
      <c r="AI335" s="1220">
        <v>0.35053402185440063</v>
      </c>
      <c r="AJ335" s="1216"/>
    </row>
    <row r="336" spans="5:36">
      <c r="E336" s="299">
        <v>328</v>
      </c>
      <c r="F336" s="308">
        <f t="shared" ca="1" si="94"/>
        <v>3893.357666813486</v>
      </c>
      <c r="G336" s="307">
        <f t="shared" ca="1" si="95"/>
        <v>246.33588721775573</v>
      </c>
      <c r="H336" s="306">
        <f t="shared" ca="1" si="96"/>
        <v>0.36197567472363884</v>
      </c>
      <c r="I336" s="305">
        <f t="shared" ca="1" si="98"/>
        <v>159.64985933774332</v>
      </c>
      <c r="J336" s="305">
        <f t="shared" ca="1" si="99"/>
        <v>54.223366196714501</v>
      </c>
      <c r="K336" s="292">
        <f t="shared" ca="1" si="97"/>
        <v>1.2368572862859555</v>
      </c>
      <c r="L336" s="1290">
        <f t="shared" ca="1" si="100"/>
        <v>38.226826818988947</v>
      </c>
      <c r="M336" s="299">
        <v>328</v>
      </c>
      <c r="N336" s="304">
        <f t="shared" si="101"/>
        <v>4287.9799906318631</v>
      </c>
      <c r="O336" s="303">
        <v>164.05418469215283</v>
      </c>
      <c r="P336" s="302">
        <v>0.46028220590831026</v>
      </c>
      <c r="Q336" s="301">
        <v>161.82416954504771</v>
      </c>
      <c r="R336" s="301">
        <v>60.348430950909147</v>
      </c>
      <c r="S336" s="300">
        <v>5.2676846539565192</v>
      </c>
      <c r="T336" s="891">
        <f t="shared" si="102"/>
        <v>4</v>
      </c>
      <c r="U336" s="1220">
        <v>0.37086009979248047</v>
      </c>
      <c r="W336" s="299">
        <v>328</v>
      </c>
      <c r="X336" s="298">
        <f>IF('Donor Sample'!N353="",,IF('Donor Sample'!N353="F",1,0))</f>
        <v>0</v>
      </c>
      <c r="Y336" s="298" t="str">
        <f>IF('Donor Sample'!O353="","",'Donor Sample'!O353)</f>
        <v/>
      </c>
      <c r="Z336" s="298" t="str">
        <f>IF(AND('Donor Sample'!O353="",'Donor Sample'!P353="",'Donor Sample'!Q353=""),"",IF('Donor Sample'!P353="",ROUND(AA336/($C$32+($AI336-0.5)*$C$31),0),'Donor Sample'!P353))</f>
        <v/>
      </c>
      <c r="AA336" s="297" t="str">
        <f>IF('Donor Sample'!Q353="","",'Donor Sample'!Q353)</f>
        <v/>
      </c>
      <c r="AB336" s="296" t="str">
        <f t="shared" si="93"/>
        <v/>
      </c>
      <c r="AC336" s="295" t="str">
        <f>IF('Donor Sample'!R353="","",'Donor Sample'!R353)</f>
        <v/>
      </c>
      <c r="AD336" s="294" t="str">
        <f>IF('Donor Sample'!S353="","",'Donor Sample'!S353/100)</f>
        <v/>
      </c>
      <c r="AE336" s="407" t="e">
        <f t="shared" si="103"/>
        <v>#VALUE!</v>
      </c>
      <c r="AF336" s="293" t="str">
        <f t="shared" si="104"/>
        <v/>
      </c>
      <c r="AG336" s="292" t="str">
        <f>IF('Donor Sample'!T353="","",'Donor Sample'!T353)</f>
        <v/>
      </c>
      <c r="AH336" s="891">
        <f t="shared" si="105"/>
        <v>2</v>
      </c>
      <c r="AI336" s="1220">
        <v>1.5822887420654297E-2</v>
      </c>
      <c r="AJ336" s="1216"/>
    </row>
    <row r="337" spans="5:36">
      <c r="E337" s="299">
        <v>329</v>
      </c>
      <c r="F337" s="308">
        <f t="shared" ca="1" si="94"/>
        <v>2714.9795312825727</v>
      </c>
      <c r="G337" s="307">
        <f t="shared" ca="1" si="95"/>
        <v>209.57221103109811</v>
      </c>
      <c r="H337" s="306">
        <f t="shared" ca="1" si="96"/>
        <v>0.42971807628402947</v>
      </c>
      <c r="I337" s="305">
        <f t="shared" ca="1" si="98"/>
        <v>112.32954673851454</v>
      </c>
      <c r="J337" s="305">
        <f t="shared" ca="1" si="99"/>
        <v>42.788216879713787</v>
      </c>
      <c r="K337" s="292">
        <f t="shared" ca="1" si="97"/>
        <v>3.1119341839567558</v>
      </c>
      <c r="L337" s="1290">
        <f t="shared" ca="1" si="100"/>
        <v>43.193489265471079</v>
      </c>
      <c r="M337" s="299">
        <v>329</v>
      </c>
      <c r="N337" s="304">
        <f t="shared" si="101"/>
        <v>4477.8846840840579</v>
      </c>
      <c r="O337" s="303">
        <v>152.02720720584608</v>
      </c>
      <c r="P337" s="302">
        <v>0.35617044569371187</v>
      </c>
      <c r="Q337" s="301">
        <v>181.05421050134848</v>
      </c>
      <c r="R337" s="301">
        <v>58.932303479190686</v>
      </c>
      <c r="S337" s="300">
        <v>1.6731695549618573</v>
      </c>
      <c r="T337" s="891">
        <f t="shared" si="102"/>
        <v>64</v>
      </c>
      <c r="U337" s="1220">
        <v>0.52167814970016479</v>
      </c>
      <c r="W337" s="299">
        <v>329</v>
      </c>
      <c r="X337" s="298">
        <f>IF('Donor Sample'!N354="",,IF('Donor Sample'!N354="F",1,0))</f>
        <v>0</v>
      </c>
      <c r="Y337" s="298" t="str">
        <f>IF('Donor Sample'!O354="","",'Donor Sample'!O354)</f>
        <v/>
      </c>
      <c r="Z337" s="298" t="str">
        <f>IF(AND('Donor Sample'!O354="",'Donor Sample'!P354="",'Donor Sample'!Q354=""),"",IF('Donor Sample'!P354="",ROUND(AA337/($C$32+($AI337-0.5)*$C$31),0),'Donor Sample'!P354))</f>
        <v/>
      </c>
      <c r="AA337" s="297" t="str">
        <f>IF('Donor Sample'!Q354="","",'Donor Sample'!Q354)</f>
        <v/>
      </c>
      <c r="AB337" s="296" t="str">
        <f t="shared" si="93"/>
        <v/>
      </c>
      <c r="AC337" s="295" t="str">
        <f>IF('Donor Sample'!R354="","",'Donor Sample'!R354)</f>
        <v/>
      </c>
      <c r="AD337" s="294" t="str">
        <f>IF('Donor Sample'!S354="","",'Donor Sample'!S354/100)</f>
        <v/>
      </c>
      <c r="AE337" s="293" t="e">
        <f t="shared" si="103"/>
        <v>#VALUE!</v>
      </c>
      <c r="AF337" s="293" t="str">
        <f t="shared" si="104"/>
        <v/>
      </c>
      <c r="AG337" s="292" t="str">
        <f>IF('Donor Sample'!T354="","",'Donor Sample'!T354)</f>
        <v/>
      </c>
      <c r="AH337" s="891">
        <f t="shared" si="105"/>
        <v>2</v>
      </c>
      <c r="AI337" s="1220">
        <v>0.25524681806564331</v>
      </c>
      <c r="AJ337" s="1216"/>
    </row>
    <row r="338" spans="5:36">
      <c r="E338" s="299">
        <v>330</v>
      </c>
      <c r="F338" s="308">
        <f t="shared" ca="1" si="94"/>
        <v>3840.3108794976952</v>
      </c>
      <c r="G338" s="307">
        <f t="shared" ca="1" si="95"/>
        <v>223.97997945555178</v>
      </c>
      <c r="H338" s="306">
        <f t="shared" ca="1" si="96"/>
        <v>0.41380802229032132</v>
      </c>
      <c r="I338" s="305">
        <f t="shared" ca="1" si="98"/>
        <v>153.39130359480615</v>
      </c>
      <c r="J338" s="305">
        <f t="shared" ca="1" si="99"/>
        <v>61.487483270636375</v>
      </c>
      <c r="K338" s="292">
        <f t="shared" ca="1" si="97"/>
        <v>3.6202479601387347</v>
      </c>
      <c r="L338" s="1290">
        <f t="shared" ca="1" si="100"/>
        <v>28.562746315610756</v>
      </c>
      <c r="M338" s="299">
        <v>330</v>
      </c>
      <c r="N338" s="304">
        <f t="shared" si="101"/>
        <v>3725.3040200711685</v>
      </c>
      <c r="O338" s="303">
        <v>262.25000030699522</v>
      </c>
      <c r="P338" s="302">
        <v>0.39828489421366142</v>
      </c>
      <c r="Q338" s="301">
        <v>139.24964876978467</v>
      </c>
      <c r="R338" s="301">
        <v>62.921243479669947</v>
      </c>
      <c r="S338" s="300">
        <v>3.8905866500848192</v>
      </c>
      <c r="T338" s="891">
        <f t="shared" si="102"/>
        <v>64</v>
      </c>
      <c r="U338" s="1220">
        <v>0.47468054294586182</v>
      </c>
      <c r="W338" s="299">
        <v>330</v>
      </c>
      <c r="X338" s="298">
        <f>IF('Donor Sample'!N355="",,IF('Donor Sample'!N355="F",1,0))</f>
        <v>0</v>
      </c>
      <c r="Y338" s="298" t="str">
        <f>IF('Donor Sample'!O355="","",'Donor Sample'!O355)</f>
        <v/>
      </c>
      <c r="Z338" s="298" t="str">
        <f>IF(AND('Donor Sample'!O355="",'Donor Sample'!P355="",'Donor Sample'!Q355=""),"",IF('Donor Sample'!P355="",ROUND(AA338/($C$32+($AI338-0.5)*$C$31),0),'Donor Sample'!P355))</f>
        <v/>
      </c>
      <c r="AA338" s="297" t="str">
        <f>IF('Donor Sample'!Q355="","",'Donor Sample'!Q355)</f>
        <v/>
      </c>
      <c r="AB338" s="296" t="str">
        <f t="shared" si="93"/>
        <v/>
      </c>
      <c r="AC338" s="295" t="str">
        <f>IF('Donor Sample'!R355="","",'Donor Sample'!R355)</f>
        <v/>
      </c>
      <c r="AD338" s="294" t="str">
        <f>IF('Donor Sample'!S355="","",'Donor Sample'!S355/100)</f>
        <v/>
      </c>
      <c r="AE338" s="293" t="e">
        <f t="shared" si="103"/>
        <v>#VALUE!</v>
      </c>
      <c r="AF338" s="293" t="str">
        <f t="shared" si="104"/>
        <v/>
      </c>
      <c r="AG338" s="292" t="str">
        <f>IF('Donor Sample'!T355="","",'Donor Sample'!T355)</f>
        <v/>
      </c>
      <c r="AH338" s="891">
        <f t="shared" si="105"/>
        <v>64</v>
      </c>
      <c r="AI338" s="1220">
        <v>0.76860344409942627</v>
      </c>
      <c r="AJ338" s="1216"/>
    </row>
    <row r="339" spans="5:36">
      <c r="E339" s="299">
        <v>331</v>
      </c>
      <c r="F339" s="308">
        <f t="shared" ca="1" si="94"/>
        <v>3718.6327505707732</v>
      </c>
      <c r="G339" s="307">
        <f t="shared" ca="1" si="95"/>
        <v>231.40411138556277</v>
      </c>
      <c r="H339" s="306">
        <f t="shared" ca="1" si="96"/>
        <v>0.38457046111689031</v>
      </c>
      <c r="I339" s="305">
        <f t="shared" ca="1" si="98"/>
        <v>119.3505563336893</v>
      </c>
      <c r="J339" s="305">
        <f t="shared" ca="1" si="99"/>
        <v>61.11162154162767</v>
      </c>
      <c r="K339" s="292">
        <f t="shared" ca="1" si="97"/>
        <v>5.8332317178746669</v>
      </c>
      <c r="L339" s="1290">
        <f t="shared" ca="1" si="100"/>
        <v>22.498289038498761</v>
      </c>
      <c r="M339" s="299">
        <v>331</v>
      </c>
      <c r="N339" s="304">
        <f t="shared" si="101"/>
        <v>3905.90373305915</v>
      </c>
      <c r="O339" s="303">
        <v>281.0349313689419</v>
      </c>
      <c r="P339" s="302">
        <v>0.4142121104924017</v>
      </c>
      <c r="Q339" s="301">
        <v>143.13548434425772</v>
      </c>
      <c r="R339" s="301">
        <v>58.637605129269424</v>
      </c>
      <c r="S339" s="300">
        <v>1.3159959381220938</v>
      </c>
      <c r="T339" s="891">
        <f t="shared" si="102"/>
        <v>64</v>
      </c>
      <c r="U339" s="1220">
        <v>0.58680373430252075</v>
      </c>
      <c r="W339" s="299">
        <v>331</v>
      </c>
      <c r="X339" s="298">
        <f>IF('Donor Sample'!N356="",,IF('Donor Sample'!N356="F",1,0))</f>
        <v>0</v>
      </c>
      <c r="Y339" s="298" t="str">
        <f>IF('Donor Sample'!O356="","",'Donor Sample'!O356)</f>
        <v/>
      </c>
      <c r="Z339" s="298" t="str">
        <f>IF(AND('Donor Sample'!O356="",'Donor Sample'!P356="",'Donor Sample'!Q356=""),"",IF('Donor Sample'!P356="",ROUND(AA339/($C$32+($AI339-0.5)*$C$31),0),'Donor Sample'!P356))</f>
        <v/>
      </c>
      <c r="AA339" s="297" t="str">
        <f>IF('Donor Sample'!Q356="","",'Donor Sample'!Q356)</f>
        <v/>
      </c>
      <c r="AB339" s="296" t="str">
        <f t="shared" si="93"/>
        <v/>
      </c>
      <c r="AC339" s="295" t="str">
        <f>IF('Donor Sample'!R356="","",'Donor Sample'!R356)</f>
        <v/>
      </c>
      <c r="AD339" s="294" t="str">
        <f>IF('Donor Sample'!S356="","",'Donor Sample'!S356/100)</f>
        <v/>
      </c>
      <c r="AE339" s="407" t="e">
        <f t="shared" si="103"/>
        <v>#VALUE!</v>
      </c>
      <c r="AF339" s="293" t="str">
        <f t="shared" si="104"/>
        <v/>
      </c>
      <c r="AG339" s="292" t="str">
        <f>IF('Donor Sample'!T356="","",'Donor Sample'!T356)</f>
        <v/>
      </c>
      <c r="AH339" s="891">
        <f t="shared" si="105"/>
        <v>64</v>
      </c>
      <c r="AI339" s="1220">
        <v>0.72114831209182739</v>
      </c>
      <c r="AJ339" s="1216"/>
    </row>
    <row r="340" spans="5:36">
      <c r="E340" s="299">
        <v>332</v>
      </c>
      <c r="F340" s="308">
        <f t="shared" ca="1" si="94"/>
        <v>2763.8814839803699</v>
      </c>
      <c r="G340" s="307">
        <f t="shared" ca="1" si="95"/>
        <v>220.43568073137141</v>
      </c>
      <c r="H340" s="306">
        <f t="shared" ca="1" si="96"/>
        <v>0.47890654018391005</v>
      </c>
      <c r="I340" s="305">
        <f t="shared" ca="1" si="98"/>
        <v>100.67378060944587</v>
      </c>
      <c r="J340" s="305">
        <f t="shared" ca="1" si="99"/>
        <v>56.826698299076511</v>
      </c>
      <c r="K340" s="292">
        <f t="shared" ca="1" si="97"/>
        <v>1.5565875450194278</v>
      </c>
      <c r="L340" s="1290">
        <f t="shared" ca="1" si="100"/>
        <v>21.947456133941525</v>
      </c>
      <c r="M340" s="299">
        <v>332</v>
      </c>
      <c r="N340" s="304">
        <f t="shared" si="101"/>
        <v>3470.1876164964051</v>
      </c>
      <c r="O340" s="303">
        <v>218.4035942713829</v>
      </c>
      <c r="P340" s="302">
        <v>0.40744064847035555</v>
      </c>
      <c r="Q340" s="301">
        <v>117.95018356184248</v>
      </c>
      <c r="R340" s="301">
        <v>63.83674852326606</v>
      </c>
      <c r="S340" s="300">
        <v>1.5598770248600566</v>
      </c>
      <c r="T340" s="891">
        <f t="shared" si="102"/>
        <v>32</v>
      </c>
      <c r="U340" s="1220">
        <v>0.77454304695129395</v>
      </c>
      <c r="W340" s="299">
        <v>332</v>
      </c>
      <c r="X340" s="298">
        <f>IF('Donor Sample'!N357="",,IF('Donor Sample'!N357="F",1,0))</f>
        <v>0</v>
      </c>
      <c r="Y340" s="298" t="str">
        <f>IF('Donor Sample'!O357="","",'Donor Sample'!O357)</f>
        <v/>
      </c>
      <c r="Z340" s="298" t="str">
        <f>IF(AND('Donor Sample'!O357="",'Donor Sample'!P357="",'Donor Sample'!Q357=""),"",IF('Donor Sample'!P357="",ROUND(AA340/($C$32+($AI340-0.5)*$C$31),0),'Donor Sample'!P357))</f>
        <v/>
      </c>
      <c r="AA340" s="297" t="str">
        <f>IF('Donor Sample'!Q357="","",'Donor Sample'!Q357)</f>
        <v/>
      </c>
      <c r="AB340" s="296" t="str">
        <f t="shared" si="93"/>
        <v/>
      </c>
      <c r="AC340" s="295" t="str">
        <f>IF('Donor Sample'!R357="","",'Donor Sample'!R357)</f>
        <v/>
      </c>
      <c r="AD340" s="294" t="str">
        <f>IF('Donor Sample'!S357="","",'Donor Sample'!S357/100)</f>
        <v/>
      </c>
      <c r="AE340" s="293" t="e">
        <f t="shared" si="103"/>
        <v>#VALUE!</v>
      </c>
      <c r="AF340" s="293" t="str">
        <f t="shared" si="104"/>
        <v/>
      </c>
      <c r="AG340" s="292" t="str">
        <f>IF('Donor Sample'!T357="","",'Donor Sample'!T357)</f>
        <v/>
      </c>
      <c r="AH340" s="891">
        <f t="shared" si="105"/>
        <v>32</v>
      </c>
      <c r="AI340" s="1220">
        <v>0.82316946983337402</v>
      </c>
      <c r="AJ340" s="1216"/>
    </row>
    <row r="341" spans="5:36">
      <c r="E341" s="299">
        <v>333</v>
      </c>
      <c r="F341" s="308">
        <f t="shared" ca="1" si="94"/>
        <v>3566.8282378523036</v>
      </c>
      <c r="G341" s="307">
        <f t="shared" ca="1" si="95"/>
        <v>192.84846933128301</v>
      </c>
      <c r="H341" s="306">
        <f t="shared" ca="1" si="96"/>
        <v>0.35493185506086133</v>
      </c>
      <c r="I341" s="305">
        <f t="shared" ca="1" si="98"/>
        <v>124.94538989723334</v>
      </c>
      <c r="J341" s="305">
        <f t="shared" ca="1" si="99"/>
        <v>57.427597839195677</v>
      </c>
      <c r="K341" s="292">
        <f t="shared" ca="1" si="97"/>
        <v>1.277093276051263</v>
      </c>
      <c r="L341" s="1290">
        <f t="shared" ca="1" si="100"/>
        <v>26.67175511021447</v>
      </c>
      <c r="M341" s="299">
        <v>333</v>
      </c>
      <c r="N341" s="304">
        <f t="shared" si="101"/>
        <v>3235.3405672262447</v>
      </c>
      <c r="O341" s="303">
        <v>198.63258419150389</v>
      </c>
      <c r="P341" s="302">
        <v>0.41713941118517556</v>
      </c>
      <c r="Q341" s="301">
        <v>133.62608335604114</v>
      </c>
      <c r="R341" s="301">
        <v>48.370627846878065</v>
      </c>
      <c r="S341" s="300">
        <v>4.4087175101691827</v>
      </c>
      <c r="T341" s="891">
        <f t="shared" si="102"/>
        <v>2</v>
      </c>
      <c r="U341" s="1220">
        <v>0.32649844884872437</v>
      </c>
      <c r="W341" s="299">
        <v>333</v>
      </c>
      <c r="X341" s="298">
        <f>IF('Donor Sample'!N358="",,IF('Donor Sample'!N358="F",1,0))</f>
        <v>0</v>
      </c>
      <c r="Y341" s="298" t="str">
        <f>IF('Donor Sample'!O358="","",'Donor Sample'!O358)</f>
        <v/>
      </c>
      <c r="Z341" s="298" t="str">
        <f>IF(AND('Donor Sample'!O358="",'Donor Sample'!P358="",'Donor Sample'!Q358=""),"",IF('Donor Sample'!P358="",ROUND(AA341/($C$32+($AI341-0.5)*$C$31),0),'Donor Sample'!P358))</f>
        <v/>
      </c>
      <c r="AA341" s="297" t="str">
        <f>IF('Donor Sample'!Q358="","",'Donor Sample'!Q358)</f>
        <v/>
      </c>
      <c r="AB341" s="296" t="str">
        <f t="shared" si="93"/>
        <v/>
      </c>
      <c r="AC341" s="295" t="str">
        <f>IF('Donor Sample'!R358="","",'Donor Sample'!R358)</f>
        <v/>
      </c>
      <c r="AD341" s="294" t="str">
        <f>IF('Donor Sample'!S358="","",'Donor Sample'!S358/100)</f>
        <v/>
      </c>
      <c r="AE341" s="293" t="e">
        <f t="shared" si="103"/>
        <v>#VALUE!</v>
      </c>
      <c r="AF341" s="293" t="str">
        <f t="shared" si="104"/>
        <v/>
      </c>
      <c r="AG341" s="292" t="str">
        <f>IF('Donor Sample'!T358="","",'Donor Sample'!T358)</f>
        <v/>
      </c>
      <c r="AH341" s="891">
        <f t="shared" si="105"/>
        <v>2</v>
      </c>
      <c r="AI341" s="1220">
        <v>0.32563871145248413</v>
      </c>
      <c r="AJ341" s="1216"/>
    </row>
    <row r="342" spans="5:36">
      <c r="E342" s="299">
        <v>334</v>
      </c>
      <c r="F342" s="308">
        <f t="shared" ca="1" si="94"/>
        <v>3195.6572578718083</v>
      </c>
      <c r="G342" s="307">
        <f t="shared" ca="1" si="95"/>
        <v>213.27991782971128</v>
      </c>
      <c r="H342" s="306">
        <f t="shared" ca="1" si="96"/>
        <v>0.40506087299841248</v>
      </c>
      <c r="I342" s="305">
        <f t="shared" ca="1" si="98"/>
        <v>110.442890329574</v>
      </c>
      <c r="J342" s="305">
        <f t="shared" ca="1" si="99"/>
        <v>54.611338679596358</v>
      </c>
      <c r="K342" s="292">
        <f t="shared" ca="1" si="97"/>
        <v>2.7659416839089892</v>
      </c>
      <c r="L342" s="1290">
        <f t="shared" ca="1" si="100"/>
        <v>26.070224915744443</v>
      </c>
      <c r="M342" s="299">
        <v>334</v>
      </c>
      <c r="N342" s="304">
        <f t="shared" si="101"/>
        <v>3045.3765347061903</v>
      </c>
      <c r="O342" s="303">
        <v>283.73905431250722</v>
      </c>
      <c r="P342" s="302">
        <v>0.45269554678649981</v>
      </c>
      <c r="Q342" s="301">
        <v>115.55353414672186</v>
      </c>
      <c r="R342" s="301">
        <v>50.061909034882881</v>
      </c>
      <c r="S342" s="300">
        <v>1.6234234443479698</v>
      </c>
      <c r="T342" s="891">
        <f t="shared" si="102"/>
        <v>2</v>
      </c>
      <c r="U342" s="1220">
        <v>0.26261222362518311</v>
      </c>
      <c r="W342" s="299">
        <v>334</v>
      </c>
      <c r="X342" s="298">
        <f>IF('Donor Sample'!N359="",,IF('Donor Sample'!N359="F",1,0))</f>
        <v>0</v>
      </c>
      <c r="Y342" s="298" t="str">
        <f>IF('Donor Sample'!O359="","",'Donor Sample'!O359)</f>
        <v/>
      </c>
      <c r="Z342" s="298" t="str">
        <f>IF(AND('Donor Sample'!O359="",'Donor Sample'!P359="",'Donor Sample'!Q359=""),"",IF('Donor Sample'!P359="",ROUND(AA342/($C$32+($AI342-0.5)*$C$31),0),'Donor Sample'!P359))</f>
        <v/>
      </c>
      <c r="AA342" s="297" t="str">
        <f>IF('Donor Sample'!Q359="","",'Donor Sample'!Q359)</f>
        <v/>
      </c>
      <c r="AB342" s="296" t="str">
        <f t="shared" si="93"/>
        <v/>
      </c>
      <c r="AC342" s="295" t="str">
        <f>IF('Donor Sample'!R359="","",'Donor Sample'!R359)</f>
        <v/>
      </c>
      <c r="AD342" s="294" t="str">
        <f>IF('Donor Sample'!S359="","",'Donor Sample'!S359/100)</f>
        <v/>
      </c>
      <c r="AE342" s="407" t="e">
        <f t="shared" si="103"/>
        <v>#VALUE!</v>
      </c>
      <c r="AF342" s="293" t="str">
        <f t="shared" si="104"/>
        <v/>
      </c>
      <c r="AG342" s="292" t="str">
        <f>IF('Donor Sample'!T359="","",'Donor Sample'!T359)</f>
        <v/>
      </c>
      <c r="AH342" s="891">
        <f t="shared" si="105"/>
        <v>2</v>
      </c>
      <c r="AI342" s="1220">
        <v>0.33013284206390381</v>
      </c>
      <c r="AJ342" s="1216"/>
    </row>
    <row r="343" spans="5:36">
      <c r="E343" s="299">
        <v>335</v>
      </c>
      <c r="F343" s="308">
        <f t="shared" ca="1" si="94"/>
        <v>3225.9161449356466</v>
      </c>
      <c r="G343" s="307">
        <f t="shared" ca="1" si="95"/>
        <v>217.58961343371226</v>
      </c>
      <c r="H343" s="306">
        <f t="shared" ca="1" si="96"/>
        <v>0.44228482465939528</v>
      </c>
      <c r="I343" s="305">
        <f t="shared" ca="1" si="98"/>
        <v>102.19726473927908</v>
      </c>
      <c r="J343" s="305">
        <f t="shared" ca="1" si="99"/>
        <v>63.724718127376484</v>
      </c>
      <c r="K343" s="292">
        <f t="shared" ca="1" si="97"/>
        <v>2.4168531112651372</v>
      </c>
      <c r="L343" s="1290">
        <f t="shared" ca="1" si="100"/>
        <v>17.717240690176684</v>
      </c>
      <c r="M343" s="299">
        <v>335</v>
      </c>
      <c r="N343" s="304">
        <f t="shared" si="101"/>
        <v>3780.0202869520062</v>
      </c>
      <c r="O343" s="303">
        <v>246.6687048197914</v>
      </c>
      <c r="P343" s="302">
        <v>0.36043801226885358</v>
      </c>
      <c r="Q343" s="301">
        <v>148.98506128475526</v>
      </c>
      <c r="R343" s="301">
        <v>61.57504248897088</v>
      </c>
      <c r="S343" s="300">
        <v>4.5047029507715877</v>
      </c>
      <c r="T343" s="891">
        <f t="shared" si="102"/>
        <v>256</v>
      </c>
      <c r="U343" s="1220">
        <v>0.86583095788955688</v>
      </c>
      <c r="W343" s="299">
        <v>335</v>
      </c>
      <c r="X343" s="298">
        <f>IF('Donor Sample'!N360="",,IF('Donor Sample'!N360="F",1,0))</f>
        <v>0</v>
      </c>
      <c r="Y343" s="298" t="str">
        <f>IF('Donor Sample'!O360="","",'Donor Sample'!O360)</f>
        <v/>
      </c>
      <c r="Z343" s="298" t="str">
        <f>IF(AND('Donor Sample'!O360="",'Donor Sample'!P360="",'Donor Sample'!Q360=""),"",IF('Donor Sample'!P360="",ROUND(AA343/($C$32+($AI343-0.5)*$C$31),0),'Donor Sample'!P360))</f>
        <v/>
      </c>
      <c r="AA343" s="297" t="str">
        <f>IF('Donor Sample'!Q360="","",'Donor Sample'!Q360)</f>
        <v/>
      </c>
      <c r="AB343" s="296" t="str">
        <f t="shared" si="93"/>
        <v/>
      </c>
      <c r="AC343" s="295" t="str">
        <f>IF('Donor Sample'!R360="","",'Donor Sample'!R360)</f>
        <v/>
      </c>
      <c r="AD343" s="294" t="str">
        <f>IF('Donor Sample'!S360="","",'Donor Sample'!S360/100)</f>
        <v/>
      </c>
      <c r="AE343" s="293" t="e">
        <f t="shared" si="103"/>
        <v>#VALUE!</v>
      </c>
      <c r="AF343" s="293" t="str">
        <f t="shared" si="104"/>
        <v/>
      </c>
      <c r="AG343" s="292" t="str">
        <f>IF('Donor Sample'!T360="","",'Donor Sample'!T360)</f>
        <v/>
      </c>
      <c r="AH343" s="891">
        <f t="shared" si="105"/>
        <v>16</v>
      </c>
      <c r="AI343" s="1220">
        <v>0.96844488382339478</v>
      </c>
      <c r="AJ343" s="1216"/>
    </row>
    <row r="344" spans="5:36">
      <c r="E344" s="299">
        <v>336</v>
      </c>
      <c r="F344" s="308">
        <f t="shared" ca="1" si="94"/>
        <v>2604.0234167470885</v>
      </c>
      <c r="G344" s="307">
        <f t="shared" ca="1" si="95"/>
        <v>250.1778678296202</v>
      </c>
      <c r="H344" s="306">
        <f t="shared" ca="1" si="96"/>
        <v>0.45070187649869026</v>
      </c>
      <c r="I344" s="305">
        <f t="shared" ca="1" si="98"/>
        <v>99.11799998506099</v>
      </c>
      <c r="J344" s="305">
        <f t="shared" ca="1" si="99"/>
        <v>45.138040396835038</v>
      </c>
      <c r="K344" s="292">
        <f t="shared" ca="1" si="97"/>
        <v>9.4077547837954718</v>
      </c>
      <c r="L344" s="1290">
        <f t="shared" ca="1" si="100"/>
        <v>34.2483606053298</v>
      </c>
      <c r="M344" s="299">
        <v>336</v>
      </c>
      <c r="N344" s="304">
        <f t="shared" si="101"/>
        <v>3398.2923623773868</v>
      </c>
      <c r="O344" s="303">
        <v>198.12992969420756</v>
      </c>
      <c r="P344" s="302">
        <v>0.36087978398886372</v>
      </c>
      <c r="Q344" s="301">
        <v>122.43183874201472</v>
      </c>
      <c r="R344" s="301">
        <v>55.119628698531024</v>
      </c>
      <c r="S344" s="300">
        <v>3.4620444021844472</v>
      </c>
      <c r="T344" s="891">
        <f t="shared" si="102"/>
        <v>2</v>
      </c>
      <c r="U344" s="1220">
        <v>0.25899457931518555</v>
      </c>
      <c r="W344" s="299">
        <v>336</v>
      </c>
      <c r="X344" s="298">
        <f>IF('Donor Sample'!N361="",,IF('Donor Sample'!N361="F",1,0))</f>
        <v>0</v>
      </c>
      <c r="Y344" s="298" t="str">
        <f>IF('Donor Sample'!O361="","",'Donor Sample'!O361)</f>
        <v/>
      </c>
      <c r="Z344" s="298" t="str">
        <f>IF(AND('Donor Sample'!O361="",'Donor Sample'!P361="",'Donor Sample'!Q361=""),"",IF('Donor Sample'!P361="",ROUND(AA344/($C$32+($AI344-0.5)*$C$31),0),'Donor Sample'!P361))</f>
        <v/>
      </c>
      <c r="AA344" s="297" t="str">
        <f>IF('Donor Sample'!Q361="","",'Donor Sample'!Q361)</f>
        <v/>
      </c>
      <c r="AB344" s="296" t="str">
        <f t="shared" si="93"/>
        <v/>
      </c>
      <c r="AC344" s="295" t="str">
        <f>IF('Donor Sample'!R361="","",'Donor Sample'!R361)</f>
        <v/>
      </c>
      <c r="AD344" s="294" t="str">
        <f>IF('Donor Sample'!S361="","",'Donor Sample'!S361/100)</f>
        <v/>
      </c>
      <c r="AE344" s="293" t="e">
        <f t="shared" si="103"/>
        <v>#VALUE!</v>
      </c>
      <c r="AF344" s="293" t="str">
        <f t="shared" si="104"/>
        <v/>
      </c>
      <c r="AG344" s="292" t="str">
        <f>IF('Donor Sample'!T361="","",'Donor Sample'!T361)</f>
        <v/>
      </c>
      <c r="AH344" s="891">
        <f t="shared" si="105"/>
        <v>64</v>
      </c>
      <c r="AI344" s="1220">
        <v>0.53562545776367188</v>
      </c>
      <c r="AJ344" s="1216"/>
    </row>
    <row r="345" spans="5:36">
      <c r="E345" s="299">
        <v>337</v>
      </c>
      <c r="F345" s="308">
        <f t="shared" ca="1" si="94"/>
        <v>4008.5674213959055</v>
      </c>
      <c r="G345" s="307">
        <f t="shared" ca="1" si="95"/>
        <v>196.80388216717398</v>
      </c>
      <c r="H345" s="306">
        <f t="shared" ca="1" si="96"/>
        <v>0.40532087715658427</v>
      </c>
      <c r="I345" s="305">
        <f t="shared" ca="1" si="98"/>
        <v>134.052351572964</v>
      </c>
      <c r="J345" s="305">
        <f t="shared" ca="1" si="99"/>
        <v>62.209518656520636</v>
      </c>
      <c r="K345" s="292">
        <f t="shared" ca="1" si="97"/>
        <v>1.4447850439431096</v>
      </c>
      <c r="L345" s="1290">
        <f t="shared" ca="1" si="100"/>
        <v>24.385598216031259</v>
      </c>
      <c r="M345" s="299">
        <v>337</v>
      </c>
      <c r="N345" s="304">
        <f t="shared" si="101"/>
        <v>4187.6749595464962</v>
      </c>
      <c r="O345" s="303">
        <v>264.73398858662313</v>
      </c>
      <c r="P345" s="302">
        <v>0.3532870905224943</v>
      </c>
      <c r="Q345" s="301">
        <v>135.16127685507021</v>
      </c>
      <c r="R345" s="301">
        <v>64.461108099802559</v>
      </c>
      <c r="S345" s="300">
        <v>1.2694106933089739</v>
      </c>
      <c r="T345" s="891">
        <f t="shared" si="102"/>
        <v>2</v>
      </c>
      <c r="U345" s="1220">
        <v>0.15854424238204956</v>
      </c>
      <c r="W345" s="299">
        <v>337</v>
      </c>
      <c r="X345" s="298">
        <f>IF('Donor Sample'!N362="",,IF('Donor Sample'!N362="F",1,0))</f>
        <v>0</v>
      </c>
      <c r="Y345" s="298" t="str">
        <f>IF('Donor Sample'!O362="","",'Donor Sample'!O362)</f>
        <v/>
      </c>
      <c r="Z345" s="298" t="str">
        <f>IF(AND('Donor Sample'!O362="",'Donor Sample'!P362="",'Donor Sample'!Q362=""),"",IF('Donor Sample'!P362="",ROUND(AA345/($C$32+($AI345-0.5)*$C$31),0),'Donor Sample'!P362))</f>
        <v/>
      </c>
      <c r="AA345" s="297" t="str">
        <f>IF('Donor Sample'!Q362="","",'Donor Sample'!Q362)</f>
        <v/>
      </c>
      <c r="AB345" s="296" t="str">
        <f t="shared" si="93"/>
        <v/>
      </c>
      <c r="AC345" s="295" t="str">
        <f>IF('Donor Sample'!R362="","",'Donor Sample'!R362)</f>
        <v/>
      </c>
      <c r="AD345" s="294" t="str">
        <f>IF('Donor Sample'!S362="","",'Donor Sample'!S362/100)</f>
        <v/>
      </c>
      <c r="AE345" s="407" t="e">
        <f t="shared" si="103"/>
        <v>#VALUE!</v>
      </c>
      <c r="AF345" s="293" t="str">
        <f t="shared" si="104"/>
        <v/>
      </c>
      <c r="AG345" s="292" t="str">
        <f>IF('Donor Sample'!T362="","",'Donor Sample'!T362)</f>
        <v/>
      </c>
      <c r="AH345" s="891">
        <f t="shared" si="105"/>
        <v>2</v>
      </c>
      <c r="AI345" s="1220">
        <v>7.5233638286590576E-2</v>
      </c>
      <c r="AJ345" s="1216"/>
    </row>
    <row r="346" spans="5:36">
      <c r="E346" s="299">
        <v>338</v>
      </c>
      <c r="F346" s="308">
        <f t="shared" ca="1" si="94"/>
        <v>2991.0414032687254</v>
      </c>
      <c r="G346" s="307">
        <f t="shared" ca="1" si="95"/>
        <v>216.54871396290238</v>
      </c>
      <c r="H346" s="306">
        <f t="shared" ca="1" si="96"/>
        <v>0.38773692313851649</v>
      </c>
      <c r="I346" s="305">
        <f t="shared" ca="1" si="98"/>
        <v>94.650315407472007</v>
      </c>
      <c r="J346" s="305">
        <f t="shared" ca="1" si="99"/>
        <v>55.089670387297886</v>
      </c>
      <c r="K346" s="292">
        <f t="shared" ca="1" si="97"/>
        <v>6.2356798716949537</v>
      </c>
      <c r="L346" s="1290">
        <f t="shared" ca="1" si="100"/>
        <v>21.956058378395184</v>
      </c>
      <c r="M346" s="299">
        <v>338</v>
      </c>
      <c r="N346" s="304">
        <f t="shared" si="101"/>
        <v>2655.2007999502484</v>
      </c>
      <c r="O346" s="303">
        <v>248.48456718063085</v>
      </c>
      <c r="P346" s="302">
        <v>0.44842464647730951</v>
      </c>
      <c r="Q346" s="301">
        <v>110.82924749379102</v>
      </c>
      <c r="R346" s="301">
        <v>41.609036597454121</v>
      </c>
      <c r="S346" s="300">
        <v>6.7788039413341492</v>
      </c>
      <c r="T346" s="891">
        <f t="shared" si="102"/>
        <v>2</v>
      </c>
      <c r="U346" s="1220">
        <v>0.16027367115020752</v>
      </c>
      <c r="W346" s="299">
        <v>338</v>
      </c>
      <c r="X346" s="298">
        <f>IF('Donor Sample'!N363="",,IF('Donor Sample'!N363="F",1,0))</f>
        <v>0</v>
      </c>
      <c r="Y346" s="298" t="str">
        <f>IF('Donor Sample'!O363="","",'Donor Sample'!O363)</f>
        <v/>
      </c>
      <c r="Z346" s="298" t="str">
        <f>IF(AND('Donor Sample'!O363="",'Donor Sample'!P363="",'Donor Sample'!Q363=""),"",IF('Donor Sample'!P363="",ROUND(AA346/($C$32+($AI346-0.5)*$C$31),0),'Donor Sample'!P363))</f>
        <v/>
      </c>
      <c r="AA346" s="297" t="str">
        <f>IF('Donor Sample'!Q363="","",'Donor Sample'!Q363)</f>
        <v/>
      </c>
      <c r="AB346" s="296" t="str">
        <f t="shared" si="93"/>
        <v/>
      </c>
      <c r="AC346" s="295" t="str">
        <f>IF('Donor Sample'!R363="","",'Donor Sample'!R363)</f>
        <v/>
      </c>
      <c r="AD346" s="294" t="str">
        <f>IF('Donor Sample'!S363="","",'Donor Sample'!S363/100)</f>
        <v/>
      </c>
      <c r="AE346" s="293" t="e">
        <f t="shared" si="103"/>
        <v>#VALUE!</v>
      </c>
      <c r="AF346" s="293" t="str">
        <f t="shared" si="104"/>
        <v/>
      </c>
      <c r="AG346" s="292" t="str">
        <f>IF('Donor Sample'!T363="","",'Donor Sample'!T363)</f>
        <v/>
      </c>
      <c r="AH346" s="891">
        <f t="shared" si="105"/>
        <v>64</v>
      </c>
      <c r="AI346" s="1220">
        <v>0.67045938968658447</v>
      </c>
      <c r="AJ346" s="1216"/>
    </row>
    <row r="347" spans="5:36">
      <c r="E347" s="299">
        <v>339</v>
      </c>
      <c r="F347" s="308">
        <f t="shared" ca="1" si="94"/>
        <v>2676.728696678193</v>
      </c>
      <c r="G347" s="307">
        <f t="shared" ca="1" si="95"/>
        <v>246.42889212264421</v>
      </c>
      <c r="H347" s="306">
        <f t="shared" ca="1" si="96"/>
        <v>0.42995785879201753</v>
      </c>
      <c r="I347" s="305">
        <f t="shared" ca="1" si="98"/>
        <v>94.542645182387886</v>
      </c>
      <c r="J347" s="305">
        <f t="shared" ca="1" si="99"/>
        <v>48.653486403372249</v>
      </c>
      <c r="K347" s="292">
        <f t="shared" ca="1" si="97"/>
        <v>3.2596391417094384</v>
      </c>
      <c r="L347" s="1290">
        <f t="shared" ca="1" si="100"/>
        <v>28.117226257132266</v>
      </c>
      <c r="M347" s="299">
        <v>339</v>
      </c>
      <c r="N347" s="304">
        <f t="shared" si="101"/>
        <v>3014.2005147874293</v>
      </c>
      <c r="O347" s="303">
        <v>226.77788674221438</v>
      </c>
      <c r="P347" s="302">
        <v>0.39390771578296913</v>
      </c>
      <c r="Q347" s="301">
        <v>110.09541445315413</v>
      </c>
      <c r="R347" s="301">
        <v>51.112933845971455</v>
      </c>
      <c r="S347" s="300">
        <v>1.6276870031438035</v>
      </c>
      <c r="T347" s="891">
        <f t="shared" si="102"/>
        <v>2</v>
      </c>
      <c r="U347" s="1220">
        <v>0.24145013093948364</v>
      </c>
      <c r="W347" s="299">
        <v>339</v>
      </c>
      <c r="X347" s="298">
        <f>IF('Donor Sample'!N364="",,IF('Donor Sample'!N364="F",1,0))</f>
        <v>0</v>
      </c>
      <c r="Y347" s="298" t="str">
        <f>IF('Donor Sample'!O364="","",'Donor Sample'!O364)</f>
        <v/>
      </c>
      <c r="Z347" s="298" t="str">
        <f>IF(AND('Donor Sample'!O364="",'Donor Sample'!P364="",'Donor Sample'!Q364=""),"",IF('Donor Sample'!P364="",ROUND(AA347/($C$32+($AI347-0.5)*$C$31),0),'Donor Sample'!P364))</f>
        <v/>
      </c>
      <c r="AA347" s="297" t="str">
        <f>IF('Donor Sample'!Q364="","",'Donor Sample'!Q364)</f>
        <v/>
      </c>
      <c r="AB347" s="296" t="str">
        <f t="shared" si="93"/>
        <v/>
      </c>
      <c r="AC347" s="295" t="str">
        <f>IF('Donor Sample'!R364="","",'Donor Sample'!R364)</f>
        <v/>
      </c>
      <c r="AD347" s="294" t="str">
        <f>IF('Donor Sample'!S364="","",'Donor Sample'!S364/100)</f>
        <v/>
      </c>
      <c r="AE347" s="293" t="e">
        <f t="shared" si="103"/>
        <v>#VALUE!</v>
      </c>
      <c r="AF347" s="293" t="str">
        <f t="shared" si="104"/>
        <v/>
      </c>
      <c r="AG347" s="292" t="str">
        <f>IF('Donor Sample'!T364="","",'Donor Sample'!T364)</f>
        <v/>
      </c>
      <c r="AH347" s="891">
        <f t="shared" si="105"/>
        <v>64</v>
      </c>
      <c r="AI347" s="1220">
        <v>0.43013125658035278</v>
      </c>
      <c r="AJ347" s="1216"/>
    </row>
    <row r="348" spans="5:36">
      <c r="E348" s="299">
        <v>340</v>
      </c>
      <c r="F348" s="308">
        <f t="shared" ca="1" si="94"/>
        <v>3565.9125715175333</v>
      </c>
      <c r="G348" s="307">
        <f t="shared" ca="1" si="95"/>
        <v>288.34918016395443</v>
      </c>
      <c r="H348" s="306">
        <f t="shared" ca="1" si="96"/>
        <v>0.43121836557736964</v>
      </c>
      <c r="I348" s="305">
        <f t="shared" ca="1" si="98"/>
        <v>137.56636096181438</v>
      </c>
      <c r="J348" s="305">
        <f t="shared" ca="1" si="99"/>
        <v>60.922879544723564</v>
      </c>
      <c r="K348" s="292">
        <f t="shared" ca="1" si="97"/>
        <v>1.3090712169165524</v>
      </c>
      <c r="L348" s="1290">
        <f t="shared" ca="1" si="100"/>
        <v>26.093002969108799</v>
      </c>
      <c r="M348" s="299">
        <v>340</v>
      </c>
      <c r="N348" s="304">
        <f t="shared" si="101"/>
        <v>3527.0466953600417</v>
      </c>
      <c r="O348" s="303">
        <v>196.26606831050665</v>
      </c>
      <c r="P348" s="302">
        <v>0.47060411376047201</v>
      </c>
      <c r="Q348" s="301">
        <v>133.14141039165605</v>
      </c>
      <c r="R348" s="301">
        <v>61.343362204793742</v>
      </c>
      <c r="S348" s="300">
        <v>1.3443519063094771</v>
      </c>
      <c r="T348" s="891">
        <f t="shared" si="102"/>
        <v>2</v>
      </c>
      <c r="U348" s="1220">
        <v>0.17632651329040527</v>
      </c>
      <c r="W348" s="299">
        <v>340</v>
      </c>
      <c r="X348" s="298">
        <f>IF('Donor Sample'!N365="",,IF('Donor Sample'!N365="F",1,0))</f>
        <v>0</v>
      </c>
      <c r="Y348" s="298" t="str">
        <f>IF('Donor Sample'!O365="","",'Donor Sample'!O365)</f>
        <v/>
      </c>
      <c r="Z348" s="298" t="str">
        <f>IF(AND('Donor Sample'!O365="",'Donor Sample'!P365="",'Donor Sample'!Q365=""),"",IF('Donor Sample'!P365="",ROUND(AA348/($C$32+($AI348-0.5)*$C$31),0),'Donor Sample'!P365))</f>
        <v/>
      </c>
      <c r="AA348" s="297" t="str">
        <f>IF('Donor Sample'!Q365="","",'Donor Sample'!Q365)</f>
        <v/>
      </c>
      <c r="AB348" s="296" t="str">
        <f t="shared" si="93"/>
        <v/>
      </c>
      <c r="AC348" s="295" t="str">
        <f>IF('Donor Sample'!R365="","",'Donor Sample'!R365)</f>
        <v/>
      </c>
      <c r="AD348" s="294" t="str">
        <f>IF('Donor Sample'!S365="","",'Donor Sample'!S365/100)</f>
        <v/>
      </c>
      <c r="AE348" s="407" t="e">
        <f t="shared" si="103"/>
        <v>#VALUE!</v>
      </c>
      <c r="AF348" s="293" t="str">
        <f t="shared" si="104"/>
        <v/>
      </c>
      <c r="AG348" s="292" t="str">
        <f>IF('Donor Sample'!T365="","",'Donor Sample'!T365)</f>
        <v/>
      </c>
      <c r="AH348" s="891">
        <f t="shared" si="105"/>
        <v>16</v>
      </c>
      <c r="AI348" s="1220">
        <v>0.95256829261779785</v>
      </c>
      <c r="AJ348" s="1216"/>
    </row>
    <row r="349" spans="5:36">
      <c r="E349" s="299">
        <v>341</v>
      </c>
      <c r="F349" s="308">
        <f t="shared" ca="1" si="94"/>
        <v>2669.6248015851938</v>
      </c>
      <c r="G349" s="307">
        <f t="shared" ca="1" si="95"/>
        <v>264.14717719258789</v>
      </c>
      <c r="H349" s="306">
        <f t="shared" ca="1" si="96"/>
        <v>0.3818742734849222</v>
      </c>
      <c r="I349" s="305">
        <f t="shared" ca="1" si="98"/>
        <v>91.864023116699443</v>
      </c>
      <c r="J349" s="305">
        <f t="shared" ca="1" si="99"/>
        <v>49.391835734235741</v>
      </c>
      <c r="K349" s="292">
        <f t="shared" ca="1" si="97"/>
        <v>1.711051993479644</v>
      </c>
      <c r="L349" s="1290">
        <f t="shared" ca="1" si="100"/>
        <v>26.509881393885077</v>
      </c>
      <c r="M349" s="299">
        <v>341</v>
      </c>
      <c r="N349" s="304">
        <f t="shared" si="101"/>
        <v>3848.6417181337615</v>
      </c>
      <c r="O349" s="303">
        <v>272.84126119514781</v>
      </c>
      <c r="P349" s="302">
        <v>0.50343164182513933</v>
      </c>
      <c r="Q349" s="301">
        <v>135.93046792668622</v>
      </c>
      <c r="R349" s="301">
        <v>59.40054004452044</v>
      </c>
      <c r="S349" s="300">
        <v>1.2906056944961852</v>
      </c>
      <c r="T349" s="891">
        <f t="shared" si="102"/>
        <v>64</v>
      </c>
      <c r="U349" s="1220">
        <v>0.52398008108139038</v>
      </c>
      <c r="W349" s="299">
        <v>341</v>
      </c>
      <c r="X349" s="298">
        <f>IF('Donor Sample'!N366="",,IF('Donor Sample'!N366="F",1,0))</f>
        <v>0</v>
      </c>
      <c r="Y349" s="298" t="str">
        <f>IF('Donor Sample'!O366="","",'Donor Sample'!O366)</f>
        <v/>
      </c>
      <c r="Z349" s="298" t="str">
        <f>IF(AND('Donor Sample'!O366="",'Donor Sample'!P366="",'Donor Sample'!Q366=""),"",IF('Donor Sample'!P366="",ROUND(AA349/($C$32+($AI349-0.5)*$C$31),0),'Donor Sample'!P366))</f>
        <v/>
      </c>
      <c r="AA349" s="297" t="str">
        <f>IF('Donor Sample'!Q366="","",'Donor Sample'!Q366)</f>
        <v/>
      </c>
      <c r="AB349" s="296" t="str">
        <f t="shared" si="93"/>
        <v/>
      </c>
      <c r="AC349" s="295" t="str">
        <f>IF('Donor Sample'!R366="","",'Donor Sample'!R366)</f>
        <v/>
      </c>
      <c r="AD349" s="294" t="str">
        <f>IF('Donor Sample'!S366="","",'Donor Sample'!S366/100)</f>
        <v/>
      </c>
      <c r="AE349" s="293" t="e">
        <f t="shared" si="103"/>
        <v>#VALUE!</v>
      </c>
      <c r="AF349" s="293" t="str">
        <f t="shared" si="104"/>
        <v/>
      </c>
      <c r="AG349" s="292" t="str">
        <f>IF('Donor Sample'!T366="","",'Donor Sample'!T366)</f>
        <v/>
      </c>
      <c r="AH349" s="891">
        <f t="shared" si="105"/>
        <v>64</v>
      </c>
      <c r="AI349" s="1220">
        <v>0.66839927434921265</v>
      </c>
      <c r="AJ349" s="1216"/>
    </row>
    <row r="350" spans="5:36">
      <c r="E350" s="299">
        <v>342</v>
      </c>
      <c r="F350" s="308">
        <f t="shared" ca="1" si="94"/>
        <v>3239.1752720469344</v>
      </c>
      <c r="G350" s="307">
        <f t="shared" ca="1" si="95"/>
        <v>235.00612110189365</v>
      </c>
      <c r="H350" s="306">
        <f t="shared" ca="1" si="96"/>
        <v>0.40817479165632753</v>
      </c>
      <c r="I350" s="305">
        <f t="shared" ca="1" si="98"/>
        <v>124.92034465506481</v>
      </c>
      <c r="J350" s="305">
        <f t="shared" ca="1" si="99"/>
        <v>51.293341404596298</v>
      </c>
      <c r="K350" s="292">
        <f t="shared" ca="1" si="97"/>
        <v>3.1281009884412141</v>
      </c>
      <c r="L350" s="1290">
        <f t="shared" ca="1" si="100"/>
        <v>33.425957019763722</v>
      </c>
      <c r="M350" s="299">
        <v>342</v>
      </c>
      <c r="N350" s="304">
        <f t="shared" si="101"/>
        <v>3263.5416355921625</v>
      </c>
      <c r="O350" s="303">
        <v>199.99778231514199</v>
      </c>
      <c r="P350" s="302">
        <v>0.38695402996425554</v>
      </c>
      <c r="Q350" s="301">
        <v>109.2785709137587</v>
      </c>
      <c r="R350" s="301">
        <v>56.145853476016306</v>
      </c>
      <c r="S350" s="300">
        <v>3.6099239498649367</v>
      </c>
      <c r="T350" s="891">
        <f t="shared" si="102"/>
        <v>16</v>
      </c>
      <c r="U350" s="1220">
        <v>0.96167123317718506</v>
      </c>
      <c r="W350" s="299">
        <v>342</v>
      </c>
      <c r="X350" s="298">
        <f>IF('Donor Sample'!N367="",,IF('Donor Sample'!N367="F",1,0))</f>
        <v>0</v>
      </c>
      <c r="Y350" s="298" t="str">
        <f>IF('Donor Sample'!O367="","",'Donor Sample'!O367)</f>
        <v/>
      </c>
      <c r="Z350" s="298" t="str">
        <f>IF(AND('Donor Sample'!O367="",'Donor Sample'!P367="",'Donor Sample'!Q367=""),"",IF('Donor Sample'!P367="",ROUND(AA350/($C$32+($AI350-0.5)*$C$31),0),'Donor Sample'!P367))</f>
        <v/>
      </c>
      <c r="AA350" s="297" t="str">
        <f>IF('Donor Sample'!Q367="","",'Donor Sample'!Q367)</f>
        <v/>
      </c>
      <c r="AB350" s="296" t="str">
        <f t="shared" si="93"/>
        <v/>
      </c>
      <c r="AC350" s="295" t="str">
        <f>IF('Donor Sample'!R367="","",'Donor Sample'!R367)</f>
        <v/>
      </c>
      <c r="AD350" s="294" t="str">
        <f>IF('Donor Sample'!S367="","",'Donor Sample'!S367/100)</f>
        <v/>
      </c>
      <c r="AE350" s="293" t="e">
        <f t="shared" si="103"/>
        <v>#VALUE!</v>
      </c>
      <c r="AF350" s="293" t="str">
        <f t="shared" si="104"/>
        <v/>
      </c>
      <c r="AG350" s="292" t="str">
        <f>IF('Donor Sample'!T367="","",'Donor Sample'!T367)</f>
        <v/>
      </c>
      <c r="AH350" s="891">
        <f t="shared" si="105"/>
        <v>64</v>
      </c>
      <c r="AI350" s="1220">
        <v>0.60898005962371826</v>
      </c>
      <c r="AJ350" s="1216"/>
    </row>
    <row r="351" spans="5:36">
      <c r="E351" s="299">
        <v>343</v>
      </c>
      <c r="F351" s="308">
        <f t="shared" ca="1" si="94"/>
        <v>4328.8385101721569</v>
      </c>
      <c r="G351" s="307">
        <f t="shared" ca="1" si="95"/>
        <v>274.59453139135115</v>
      </c>
      <c r="H351" s="306">
        <f t="shared" ca="1" si="96"/>
        <v>0.39539610512367251</v>
      </c>
      <c r="I351" s="305">
        <f t="shared" ca="1" si="98"/>
        <v>177.09369669712879</v>
      </c>
      <c r="J351" s="305">
        <f t="shared" ca="1" si="99"/>
        <v>57.438439392649911</v>
      </c>
      <c r="K351" s="292">
        <f t="shared" ca="1" si="97"/>
        <v>10.12411680707908</v>
      </c>
      <c r="L351" s="1290">
        <f t="shared" ca="1" si="100"/>
        <v>37.789443778148531</v>
      </c>
      <c r="M351" s="299">
        <v>343</v>
      </c>
      <c r="N351" s="304">
        <f t="shared" si="101"/>
        <v>3157.845767392535</v>
      </c>
      <c r="O351" s="303">
        <v>218.90959995798642</v>
      </c>
      <c r="P351" s="302">
        <v>0.36009657549435842</v>
      </c>
      <c r="Q351" s="301">
        <v>126.70002578598107</v>
      </c>
      <c r="R351" s="301">
        <v>48.924130600631216</v>
      </c>
      <c r="S351" s="300">
        <v>1.6580572297018317</v>
      </c>
      <c r="T351" s="891">
        <f t="shared" si="102"/>
        <v>4</v>
      </c>
      <c r="U351" s="1220">
        <v>0.39414221048355103</v>
      </c>
      <c r="W351" s="299">
        <v>343</v>
      </c>
      <c r="X351" s="298">
        <f>IF('Donor Sample'!N368="",,IF('Donor Sample'!N368="F",1,0))</f>
        <v>0</v>
      </c>
      <c r="Y351" s="298" t="str">
        <f>IF('Donor Sample'!O368="","",'Donor Sample'!O368)</f>
        <v/>
      </c>
      <c r="Z351" s="298" t="str">
        <f>IF(AND('Donor Sample'!O368="",'Donor Sample'!P368="",'Donor Sample'!Q368=""),"",IF('Donor Sample'!P368="",ROUND(AA351/($C$32+($AI351-0.5)*$C$31),0),'Donor Sample'!P368))</f>
        <v/>
      </c>
      <c r="AA351" s="297" t="str">
        <f>IF('Donor Sample'!Q368="","",'Donor Sample'!Q368)</f>
        <v/>
      </c>
      <c r="AB351" s="296" t="str">
        <f t="shared" si="93"/>
        <v/>
      </c>
      <c r="AC351" s="295" t="str">
        <f>IF('Donor Sample'!R368="","",'Donor Sample'!R368)</f>
        <v/>
      </c>
      <c r="AD351" s="294" t="str">
        <f>IF('Donor Sample'!S368="","",'Donor Sample'!S368/100)</f>
        <v/>
      </c>
      <c r="AE351" s="407" t="e">
        <f t="shared" si="103"/>
        <v>#VALUE!</v>
      </c>
      <c r="AF351" s="293" t="str">
        <f t="shared" si="104"/>
        <v/>
      </c>
      <c r="AG351" s="292" t="str">
        <f>IF('Donor Sample'!T368="","",'Donor Sample'!T368)</f>
        <v/>
      </c>
      <c r="AH351" s="891">
        <f t="shared" si="105"/>
        <v>64</v>
      </c>
      <c r="AI351" s="1220">
        <v>0.71051651239395142</v>
      </c>
      <c r="AJ351" s="1216"/>
    </row>
    <row r="352" spans="5:36">
      <c r="E352" s="299">
        <v>344</v>
      </c>
      <c r="F352" s="308">
        <f t="shared" ca="1" si="94"/>
        <v>3414.5063204450139</v>
      </c>
      <c r="G352" s="307">
        <f t="shared" ca="1" si="95"/>
        <v>245.005185035002</v>
      </c>
      <c r="H352" s="306">
        <f t="shared" ca="1" si="96"/>
        <v>0.44957606151817464</v>
      </c>
      <c r="I352" s="305">
        <f t="shared" ca="1" si="98"/>
        <v>108.23078614036663</v>
      </c>
      <c r="J352" s="305">
        <f t="shared" ca="1" si="99"/>
        <v>58.929807050691331</v>
      </c>
      <c r="K352" s="292">
        <f t="shared" ca="1" si="97"/>
        <v>10.999492471463888</v>
      </c>
      <c r="L352" s="1290">
        <f t="shared" ca="1" si="100"/>
        <v>21.940849268535558</v>
      </c>
      <c r="M352" s="299">
        <v>344</v>
      </c>
      <c r="N352" s="304">
        <f t="shared" si="101"/>
        <v>3458.9363560593106</v>
      </c>
      <c r="O352" s="303">
        <v>213.26271006377877</v>
      </c>
      <c r="P352" s="302">
        <v>0.44599897903467012</v>
      </c>
      <c r="Q352" s="301">
        <v>144.57569054414844</v>
      </c>
      <c r="R352" s="301">
        <v>49.836040313235536</v>
      </c>
      <c r="S352" s="300">
        <v>3.4636005776941885</v>
      </c>
      <c r="T352" s="891">
        <f t="shared" si="102"/>
        <v>2</v>
      </c>
      <c r="U352" s="1220">
        <v>0.29759597778320313</v>
      </c>
      <c r="W352" s="299">
        <v>344</v>
      </c>
      <c r="X352" s="298">
        <f>IF('Donor Sample'!N369="",,IF('Donor Sample'!N369="F",1,0))</f>
        <v>0</v>
      </c>
      <c r="Y352" s="298" t="str">
        <f>IF('Donor Sample'!O369="","",'Donor Sample'!O369)</f>
        <v/>
      </c>
      <c r="Z352" s="298" t="str">
        <f>IF(AND('Donor Sample'!O369="",'Donor Sample'!P369="",'Donor Sample'!Q369=""),"",IF('Donor Sample'!P369="",ROUND(AA352/($C$32+($AI352-0.5)*$C$31),0),'Donor Sample'!P369))</f>
        <v/>
      </c>
      <c r="AA352" s="297" t="str">
        <f>IF('Donor Sample'!Q369="","",'Donor Sample'!Q369)</f>
        <v/>
      </c>
      <c r="AB352" s="296" t="str">
        <f t="shared" si="93"/>
        <v/>
      </c>
      <c r="AC352" s="295" t="str">
        <f>IF('Donor Sample'!R369="","",'Donor Sample'!R369)</f>
        <v/>
      </c>
      <c r="AD352" s="294" t="str">
        <f>IF('Donor Sample'!S369="","",'Donor Sample'!S369/100)</f>
        <v/>
      </c>
      <c r="AE352" s="293" t="e">
        <f t="shared" si="103"/>
        <v>#VALUE!</v>
      </c>
      <c r="AF352" s="293" t="str">
        <f t="shared" si="104"/>
        <v/>
      </c>
      <c r="AG352" s="292" t="str">
        <f>IF('Donor Sample'!T369="","",'Donor Sample'!T369)</f>
        <v/>
      </c>
      <c r="AH352" s="891">
        <f t="shared" si="105"/>
        <v>2</v>
      </c>
      <c r="AI352" s="1220">
        <v>7.3570728302001953E-2</v>
      </c>
      <c r="AJ352" s="1216"/>
    </row>
    <row r="353" spans="5:36">
      <c r="E353" s="299">
        <v>345</v>
      </c>
      <c r="F353" s="308">
        <f t="shared" ca="1" si="94"/>
        <v>3286.6287844949406</v>
      </c>
      <c r="G353" s="307">
        <f t="shared" ca="1" si="95"/>
        <v>221.82381269400915</v>
      </c>
      <c r="H353" s="306">
        <f t="shared" ca="1" si="96"/>
        <v>0.38600521907594454</v>
      </c>
      <c r="I353" s="305">
        <f t="shared" ca="1" si="98"/>
        <v>101.51503474054689</v>
      </c>
      <c r="J353" s="305">
        <f t="shared" ca="1" si="99"/>
        <v>58.449686062343567</v>
      </c>
      <c r="K353" s="292">
        <f t="shared" ca="1" si="97"/>
        <v>1.4484903117649897</v>
      </c>
      <c r="L353" s="1290">
        <f t="shared" ca="1" si="100"/>
        <v>20.918891191596607</v>
      </c>
      <c r="M353" s="299">
        <v>345</v>
      </c>
      <c r="N353" s="304">
        <f t="shared" si="101"/>
        <v>3137.7353456288965</v>
      </c>
      <c r="O353" s="303">
        <v>222.73819478004643</v>
      </c>
      <c r="P353" s="302">
        <v>0.41205365915891334</v>
      </c>
      <c r="Q353" s="301">
        <v>128.76566189880037</v>
      </c>
      <c r="R353" s="301">
        <v>47.730837672895568</v>
      </c>
      <c r="S353" s="300">
        <v>2.7283976334118161</v>
      </c>
      <c r="T353" s="891">
        <f t="shared" si="102"/>
        <v>64</v>
      </c>
      <c r="U353" s="1220">
        <v>0.67213457822799683</v>
      </c>
      <c r="W353" s="299">
        <v>345</v>
      </c>
      <c r="X353" s="298">
        <f>IF('Donor Sample'!N370="",,IF('Donor Sample'!N370="F",1,0))</f>
        <v>0</v>
      </c>
      <c r="Y353" s="298" t="str">
        <f>IF('Donor Sample'!O370="","",'Donor Sample'!O370)</f>
        <v/>
      </c>
      <c r="Z353" s="298" t="str">
        <f>IF(AND('Donor Sample'!O370="",'Donor Sample'!P370="",'Donor Sample'!Q370=""),"",IF('Donor Sample'!P370="",ROUND(AA353/($C$32+($AI353-0.5)*$C$31),0),'Donor Sample'!P370))</f>
        <v/>
      </c>
      <c r="AA353" s="297" t="str">
        <f>IF('Donor Sample'!Q370="","",'Donor Sample'!Q370)</f>
        <v/>
      </c>
      <c r="AB353" s="296" t="str">
        <f t="shared" si="93"/>
        <v/>
      </c>
      <c r="AC353" s="295" t="str">
        <f>IF('Donor Sample'!R370="","",'Donor Sample'!R370)</f>
        <v/>
      </c>
      <c r="AD353" s="294" t="str">
        <f>IF('Donor Sample'!S370="","",'Donor Sample'!S370/100)</f>
        <v/>
      </c>
      <c r="AE353" s="293" t="e">
        <f t="shared" si="103"/>
        <v>#VALUE!</v>
      </c>
      <c r="AF353" s="293" t="str">
        <f t="shared" si="104"/>
        <v/>
      </c>
      <c r="AG353" s="292" t="str">
        <f>IF('Donor Sample'!T370="","",'Donor Sample'!T370)</f>
        <v/>
      </c>
      <c r="AH353" s="891">
        <f t="shared" si="105"/>
        <v>64</v>
      </c>
      <c r="AI353" s="1220">
        <v>0.66891735792160034</v>
      </c>
      <c r="AJ353" s="1216"/>
    </row>
    <row r="354" spans="5:36">
      <c r="E354" s="299">
        <v>346</v>
      </c>
      <c r="F354" s="308">
        <f t="shared" ca="1" si="94"/>
        <v>3016.4217728637859</v>
      </c>
      <c r="G354" s="307">
        <f t="shared" ca="1" si="95"/>
        <v>285.01288260912389</v>
      </c>
      <c r="H354" s="306">
        <f t="shared" ca="1" si="96"/>
        <v>0.43778071403696778</v>
      </c>
      <c r="I354" s="305">
        <f t="shared" ca="1" si="98"/>
        <v>103.19438019266488</v>
      </c>
      <c r="J354" s="305">
        <f t="shared" ca="1" si="99"/>
        <v>53.211054133008659</v>
      </c>
      <c r="K354" s="292">
        <f t="shared" ca="1" si="97"/>
        <v>10.955072779445175</v>
      </c>
      <c r="L354" s="1290">
        <f t="shared" ca="1" si="100"/>
        <v>25.658128802489585</v>
      </c>
      <c r="M354" s="299">
        <v>346</v>
      </c>
      <c r="N354" s="304">
        <f t="shared" si="101"/>
        <v>3534.9876126141521</v>
      </c>
      <c r="O354" s="303">
        <v>266.66267880006058</v>
      </c>
      <c r="P354" s="302">
        <v>0.3888220902637668</v>
      </c>
      <c r="Q354" s="301">
        <v>117.09203962767123</v>
      </c>
      <c r="R354" s="301">
        <v>58.787479890541888</v>
      </c>
      <c r="S354" s="300">
        <v>1.5216419728452655</v>
      </c>
      <c r="T354" s="891">
        <f t="shared" si="102"/>
        <v>2</v>
      </c>
      <c r="U354" s="1220">
        <v>0.23131906986236572</v>
      </c>
      <c r="W354" s="299">
        <v>346</v>
      </c>
      <c r="X354" s="298">
        <f>IF('Donor Sample'!N371="",,IF('Donor Sample'!N371="F",1,0))</f>
        <v>0</v>
      </c>
      <c r="Y354" s="298" t="str">
        <f>IF('Donor Sample'!O371="","",'Donor Sample'!O371)</f>
        <v/>
      </c>
      <c r="Z354" s="298" t="str">
        <f>IF(AND('Donor Sample'!O371="",'Donor Sample'!P371="",'Donor Sample'!Q371=""),"",IF('Donor Sample'!P371="",ROUND(AA354/($C$32+($AI354-0.5)*$C$31),0),'Donor Sample'!P371))</f>
        <v/>
      </c>
      <c r="AA354" s="297" t="str">
        <f>IF('Donor Sample'!Q371="","",'Donor Sample'!Q371)</f>
        <v/>
      </c>
      <c r="AB354" s="296" t="str">
        <f t="shared" si="93"/>
        <v/>
      </c>
      <c r="AC354" s="295" t="str">
        <f>IF('Donor Sample'!R371="","",'Donor Sample'!R371)</f>
        <v/>
      </c>
      <c r="AD354" s="294" t="str">
        <f>IF('Donor Sample'!S371="","",'Donor Sample'!S371/100)</f>
        <v/>
      </c>
      <c r="AE354" s="407" t="e">
        <f t="shared" si="103"/>
        <v>#VALUE!</v>
      </c>
      <c r="AF354" s="293" t="str">
        <f t="shared" si="104"/>
        <v/>
      </c>
      <c r="AG354" s="292" t="str">
        <f>IF('Donor Sample'!T371="","",'Donor Sample'!T371)</f>
        <v/>
      </c>
      <c r="AH354" s="891">
        <f t="shared" si="105"/>
        <v>64</v>
      </c>
      <c r="AI354" s="1220">
        <v>0.76684963703155518</v>
      </c>
      <c r="AJ354" s="1216"/>
    </row>
    <row r="355" spans="5:36">
      <c r="E355" s="299">
        <v>347</v>
      </c>
      <c r="F355" s="308">
        <f t="shared" ca="1" si="94"/>
        <v>2902.26604484364</v>
      </c>
      <c r="G355" s="307">
        <f t="shared" ca="1" si="95"/>
        <v>236.19535667498886</v>
      </c>
      <c r="H355" s="306">
        <f t="shared" ca="1" si="96"/>
        <v>0.37441415132268885</v>
      </c>
      <c r="I355" s="305">
        <f t="shared" ca="1" si="98"/>
        <v>101.70296067594496</v>
      </c>
      <c r="J355" s="305">
        <f t="shared" ca="1" si="99"/>
        <v>51.336812567739948</v>
      </c>
      <c r="K355" s="292">
        <f t="shared" ca="1" si="97"/>
        <v>2.3388654332229506</v>
      </c>
      <c r="L355" s="1290">
        <f t="shared" ca="1" si="100"/>
        <v>27.167423583555152</v>
      </c>
      <c r="M355" s="299">
        <v>347</v>
      </c>
      <c r="N355" s="304">
        <f t="shared" si="101"/>
        <v>3118.1400367102287</v>
      </c>
      <c r="O355" s="303">
        <v>211.63237002439058</v>
      </c>
      <c r="P355" s="302">
        <v>0.36433235268632042</v>
      </c>
      <c r="Q355" s="301">
        <v>110.45871534083589</v>
      </c>
      <c r="R355" s="301">
        <v>53.125912130819671</v>
      </c>
      <c r="S355" s="300">
        <v>1.3352601231778207</v>
      </c>
      <c r="T355" s="891">
        <f t="shared" si="102"/>
        <v>64</v>
      </c>
      <c r="U355" s="1220">
        <v>0.69286471605300903</v>
      </c>
      <c r="W355" s="299">
        <v>347</v>
      </c>
      <c r="X355" s="298">
        <f>IF('Donor Sample'!N372="",,IF('Donor Sample'!N372="F",1,0))</f>
        <v>0</v>
      </c>
      <c r="Y355" s="298" t="str">
        <f>IF('Donor Sample'!O372="","",'Donor Sample'!O372)</f>
        <v/>
      </c>
      <c r="Z355" s="298" t="str">
        <f>IF(AND('Donor Sample'!O372="",'Donor Sample'!P372="",'Donor Sample'!Q372=""),"",IF('Donor Sample'!P372="",ROUND(AA355/($C$32+($AI355-0.5)*$C$31),0),'Donor Sample'!P372))</f>
        <v/>
      </c>
      <c r="AA355" s="297" t="str">
        <f>IF('Donor Sample'!Q372="","",'Donor Sample'!Q372)</f>
        <v/>
      </c>
      <c r="AB355" s="296" t="str">
        <f t="shared" si="93"/>
        <v/>
      </c>
      <c r="AC355" s="295" t="str">
        <f>IF('Donor Sample'!R372="","",'Donor Sample'!R372)</f>
        <v/>
      </c>
      <c r="AD355" s="294" t="str">
        <f>IF('Donor Sample'!S372="","",'Donor Sample'!S372/100)</f>
        <v/>
      </c>
      <c r="AE355" s="293" t="e">
        <f t="shared" si="103"/>
        <v>#VALUE!</v>
      </c>
      <c r="AF355" s="293" t="str">
        <f t="shared" si="104"/>
        <v/>
      </c>
      <c r="AG355" s="292" t="str">
        <f>IF('Donor Sample'!T372="","",'Donor Sample'!T372)</f>
        <v/>
      </c>
      <c r="AH355" s="891">
        <f t="shared" si="105"/>
        <v>2</v>
      </c>
      <c r="AI355" s="1220">
        <v>8.6362957954406738E-3</v>
      </c>
      <c r="AJ355" s="1216"/>
    </row>
    <row r="356" spans="5:36">
      <c r="E356" s="299">
        <v>348</v>
      </c>
      <c r="F356" s="308">
        <f t="shared" ca="1" si="94"/>
        <v>2644.0617344908251</v>
      </c>
      <c r="G356" s="307">
        <f t="shared" ca="1" si="95"/>
        <v>290.76856607497075</v>
      </c>
      <c r="H356" s="306">
        <f t="shared" ca="1" si="96"/>
        <v>0.37891392414393477</v>
      </c>
      <c r="I356" s="305">
        <f t="shared" ca="1" si="98"/>
        <v>91.882090482239633</v>
      </c>
      <c r="J356" s="305">
        <f t="shared" ca="1" si="99"/>
        <v>48.797741779464559</v>
      </c>
      <c r="K356" s="292">
        <f t="shared" ca="1" si="97"/>
        <v>1.6285256774212336</v>
      </c>
      <c r="L356" s="1290">
        <f t="shared" ca="1" si="100"/>
        <v>27.164647739379696</v>
      </c>
      <c r="M356" s="299">
        <v>348</v>
      </c>
      <c r="N356" s="304">
        <f t="shared" si="101"/>
        <v>2845.8751176369424</v>
      </c>
      <c r="O356" s="303">
        <v>262.15887225135117</v>
      </c>
      <c r="P356" s="302">
        <v>0.40480700619912319</v>
      </c>
      <c r="Q356" s="301">
        <v>98.864028570447189</v>
      </c>
      <c r="R356" s="301">
        <v>51.020508804326546</v>
      </c>
      <c r="S356" s="300">
        <v>2.3555922850406197</v>
      </c>
      <c r="T356" s="891">
        <f t="shared" si="102"/>
        <v>2</v>
      </c>
      <c r="U356" s="1220">
        <v>0.3284304141998291</v>
      </c>
      <c r="W356" s="299">
        <v>348</v>
      </c>
      <c r="X356" s="298">
        <f>IF('Donor Sample'!N373="",,IF('Donor Sample'!N373="F",1,0))</f>
        <v>0</v>
      </c>
      <c r="Y356" s="298" t="str">
        <f>IF('Donor Sample'!O373="","",'Donor Sample'!O373)</f>
        <v/>
      </c>
      <c r="Z356" s="298" t="str">
        <f>IF(AND('Donor Sample'!O373="",'Donor Sample'!P373="",'Donor Sample'!Q373=""),"",IF('Donor Sample'!P373="",ROUND(AA356/($C$32+($AI356-0.5)*$C$31),0),'Donor Sample'!P373))</f>
        <v/>
      </c>
      <c r="AA356" s="297" t="str">
        <f>IF('Donor Sample'!Q373="","",'Donor Sample'!Q373)</f>
        <v/>
      </c>
      <c r="AB356" s="296" t="str">
        <f t="shared" si="93"/>
        <v/>
      </c>
      <c r="AC356" s="295" t="str">
        <f>IF('Donor Sample'!R373="","",'Donor Sample'!R373)</f>
        <v/>
      </c>
      <c r="AD356" s="294" t="str">
        <f>IF('Donor Sample'!S373="","",'Donor Sample'!S373/100)</f>
        <v/>
      </c>
      <c r="AE356" s="293" t="e">
        <f t="shared" si="103"/>
        <v>#VALUE!</v>
      </c>
      <c r="AF356" s="293" t="str">
        <f t="shared" si="104"/>
        <v/>
      </c>
      <c r="AG356" s="292" t="str">
        <f>IF('Donor Sample'!T373="","",'Donor Sample'!T373)</f>
        <v/>
      </c>
      <c r="AH356" s="891">
        <f t="shared" si="105"/>
        <v>2</v>
      </c>
      <c r="AI356" s="1220">
        <v>0.11402583122253418</v>
      </c>
      <c r="AJ356" s="1216"/>
    </row>
    <row r="357" spans="5:36">
      <c r="E357" s="299">
        <v>349</v>
      </c>
      <c r="F357" s="308">
        <f t="shared" ca="1" si="94"/>
        <v>2783.7698316897886</v>
      </c>
      <c r="G357" s="307">
        <f t="shared" ca="1" si="95"/>
        <v>247.06832630034</v>
      </c>
      <c r="H357" s="306">
        <f t="shared" ca="1" si="96"/>
        <v>0.37345655982766796</v>
      </c>
      <c r="I357" s="305">
        <f t="shared" ca="1" si="98"/>
        <v>97.231802088366393</v>
      </c>
      <c r="J357" s="305">
        <f t="shared" ca="1" si="99"/>
        <v>58.064700871503383</v>
      </c>
      <c r="K357" s="292">
        <f t="shared" ca="1" si="97"/>
        <v>1.5341499962004963</v>
      </c>
      <c r="L357" s="1290">
        <f t="shared" ca="1" si="100"/>
        <v>20.302831395881711</v>
      </c>
      <c r="M357" s="299">
        <v>349</v>
      </c>
      <c r="N357" s="304">
        <f t="shared" si="101"/>
        <v>3093.0444060818168</v>
      </c>
      <c r="O357" s="303">
        <v>244.59454458829825</v>
      </c>
      <c r="P357" s="302">
        <v>0.4667213705196353</v>
      </c>
      <c r="Q357" s="301">
        <v>117.46674069745782</v>
      </c>
      <c r="R357" s="301">
        <v>58.161973667707421</v>
      </c>
      <c r="S357" s="300">
        <v>4.677157718837865</v>
      </c>
      <c r="T357" s="891">
        <f t="shared" si="102"/>
        <v>2</v>
      </c>
      <c r="U357" s="1220">
        <v>4.8625409603118896E-2</v>
      </c>
      <c r="W357" s="299">
        <v>349</v>
      </c>
      <c r="X357" s="298">
        <f>IF('Donor Sample'!N374="",,IF('Donor Sample'!N374="F",1,0))</f>
        <v>0</v>
      </c>
      <c r="Y357" s="298" t="str">
        <f>IF('Donor Sample'!O374="","",'Donor Sample'!O374)</f>
        <v/>
      </c>
      <c r="Z357" s="298" t="str">
        <f>IF(AND('Donor Sample'!O374="",'Donor Sample'!P374="",'Donor Sample'!Q374=""),"",IF('Donor Sample'!P374="",ROUND(AA357/($C$32+($AI357-0.5)*$C$31),0),'Donor Sample'!P374))</f>
        <v/>
      </c>
      <c r="AA357" s="297" t="str">
        <f>IF('Donor Sample'!Q374="","",'Donor Sample'!Q374)</f>
        <v/>
      </c>
      <c r="AB357" s="296" t="str">
        <f t="shared" si="93"/>
        <v/>
      </c>
      <c r="AC357" s="295" t="str">
        <f>IF('Donor Sample'!R374="","",'Donor Sample'!R374)</f>
        <v/>
      </c>
      <c r="AD357" s="294" t="str">
        <f>IF('Donor Sample'!S374="","",'Donor Sample'!S374/100)</f>
        <v/>
      </c>
      <c r="AE357" s="407" t="e">
        <f t="shared" si="103"/>
        <v>#VALUE!</v>
      </c>
      <c r="AF357" s="293" t="str">
        <f t="shared" si="104"/>
        <v/>
      </c>
      <c r="AG357" s="292" t="str">
        <f>IF('Donor Sample'!T374="","",'Donor Sample'!T374)</f>
        <v/>
      </c>
      <c r="AH357" s="891">
        <f t="shared" si="105"/>
        <v>8</v>
      </c>
      <c r="AI357" s="1220">
        <v>0.99310868978500366</v>
      </c>
      <c r="AJ357" s="1216"/>
    </row>
    <row r="358" spans="5:36">
      <c r="E358" s="299">
        <v>350</v>
      </c>
      <c r="F358" s="308">
        <f t="shared" ca="1" si="94"/>
        <v>3159.2366384297338</v>
      </c>
      <c r="G358" s="307">
        <f t="shared" ca="1" si="95"/>
        <v>274.66399696535905</v>
      </c>
      <c r="H358" s="306">
        <f t="shared" ca="1" si="96"/>
        <v>0.36319150382209675</v>
      </c>
      <c r="I358" s="305">
        <f t="shared" ca="1" si="98"/>
        <v>111.56790157610003</v>
      </c>
      <c r="J358" s="305">
        <f t="shared" ca="1" si="99"/>
        <v>53.610678820267601</v>
      </c>
      <c r="K358" s="292">
        <f t="shared" ca="1" si="97"/>
        <v>2.4255895742956937</v>
      </c>
      <c r="L358" s="1290">
        <f t="shared" ca="1" si="100"/>
        <v>27.328092011734853</v>
      </c>
      <c r="M358" s="299">
        <v>350</v>
      </c>
      <c r="N358" s="304">
        <f t="shared" si="101"/>
        <v>3447.7867632723155</v>
      </c>
      <c r="O358" s="303">
        <v>219.75856235454643</v>
      </c>
      <c r="P358" s="302">
        <v>0.41998073167396027</v>
      </c>
      <c r="Q358" s="301">
        <v>111.38569826020536</v>
      </c>
      <c r="R358" s="301">
        <v>58.725033492687189</v>
      </c>
      <c r="S358" s="300">
        <v>2.936537757256938</v>
      </c>
      <c r="T358" s="891">
        <f t="shared" si="102"/>
        <v>128</v>
      </c>
      <c r="U358" s="1220">
        <v>0.94486415386199951</v>
      </c>
      <c r="W358" s="299">
        <v>350</v>
      </c>
      <c r="X358" s="298">
        <f>IF('Donor Sample'!N375="",,IF('Donor Sample'!N375="F",1,0))</f>
        <v>0</v>
      </c>
      <c r="Y358" s="298" t="str">
        <f>IF('Donor Sample'!O375="","",'Donor Sample'!O375)</f>
        <v/>
      </c>
      <c r="Z358" s="298" t="str">
        <f>IF(AND('Donor Sample'!O375="",'Donor Sample'!P375="",'Donor Sample'!Q375=""),"",IF('Donor Sample'!P375="",ROUND(AA358/($C$32+($AI358-0.5)*$C$31),0),'Donor Sample'!P375))</f>
        <v/>
      </c>
      <c r="AA358" s="297" t="str">
        <f>IF('Donor Sample'!Q375="","",'Donor Sample'!Q375)</f>
        <v/>
      </c>
      <c r="AB358" s="296" t="str">
        <f t="shared" si="93"/>
        <v/>
      </c>
      <c r="AC358" s="295" t="str">
        <f>IF('Donor Sample'!R375="","",'Donor Sample'!R375)</f>
        <v/>
      </c>
      <c r="AD358" s="294" t="str">
        <f>IF('Donor Sample'!S375="","",'Donor Sample'!S375/100)</f>
        <v/>
      </c>
      <c r="AE358" s="293" t="e">
        <f t="shared" si="103"/>
        <v>#VALUE!</v>
      </c>
      <c r="AF358" s="293" t="str">
        <f t="shared" si="104"/>
        <v/>
      </c>
      <c r="AG358" s="292" t="str">
        <f>IF('Donor Sample'!T375="","",'Donor Sample'!T375)</f>
        <v/>
      </c>
      <c r="AH358" s="891">
        <f t="shared" si="105"/>
        <v>64</v>
      </c>
      <c r="AI358" s="1220">
        <v>0.70760571956634521</v>
      </c>
      <c r="AJ358" s="1216"/>
    </row>
    <row r="359" spans="5:36">
      <c r="E359" s="299">
        <v>351</v>
      </c>
      <c r="F359" s="308">
        <f t="shared" ca="1" si="94"/>
        <v>2794.1609623129225</v>
      </c>
      <c r="G359" s="307">
        <f t="shared" ca="1" si="95"/>
        <v>229.21656730266383</v>
      </c>
      <c r="H359" s="306">
        <f t="shared" ca="1" si="96"/>
        <v>0.48061499348084152</v>
      </c>
      <c r="I359" s="305">
        <f t="shared" ca="1" si="98"/>
        <v>98.80120365372332</v>
      </c>
      <c r="J359" s="305">
        <f t="shared" ca="1" si="99"/>
        <v>49.914766941848285</v>
      </c>
      <c r="K359" s="292">
        <f t="shared" ca="1" si="97"/>
        <v>3.7530566322353436</v>
      </c>
      <c r="L359" s="1290">
        <f t="shared" ca="1" si="100"/>
        <v>27.917517640400245</v>
      </c>
      <c r="M359" s="299">
        <v>351</v>
      </c>
      <c r="N359" s="304">
        <f t="shared" si="101"/>
        <v>3549.1236437766229</v>
      </c>
      <c r="O359" s="303">
        <v>279.73165744131916</v>
      </c>
      <c r="P359" s="302">
        <v>0.43401043087938213</v>
      </c>
      <c r="Q359" s="301">
        <v>109.60128191581516</v>
      </c>
      <c r="R359" s="301">
        <v>60.705565599858886</v>
      </c>
      <c r="S359" s="300">
        <v>1.4195598174295605</v>
      </c>
      <c r="T359" s="891">
        <f t="shared" si="102"/>
        <v>2</v>
      </c>
      <c r="U359" s="1220">
        <v>0.27317672967910767</v>
      </c>
      <c r="W359" s="299">
        <v>351</v>
      </c>
      <c r="X359" s="298">
        <f>IF('Donor Sample'!N376="",,IF('Donor Sample'!N376="F",1,0))</f>
        <v>0</v>
      </c>
      <c r="Y359" s="298" t="str">
        <f>IF('Donor Sample'!O376="","",'Donor Sample'!O376)</f>
        <v/>
      </c>
      <c r="Z359" s="298" t="str">
        <f>IF(AND('Donor Sample'!O376="",'Donor Sample'!P376="",'Donor Sample'!Q376=""),"",IF('Donor Sample'!P376="",ROUND(AA359/($C$32+($AI359-0.5)*$C$31),0),'Donor Sample'!P376))</f>
        <v/>
      </c>
      <c r="AA359" s="297" t="str">
        <f>IF('Donor Sample'!Q376="","",'Donor Sample'!Q376)</f>
        <v/>
      </c>
      <c r="AB359" s="296" t="str">
        <f t="shared" si="93"/>
        <v/>
      </c>
      <c r="AC359" s="295" t="str">
        <f>IF('Donor Sample'!R376="","",'Donor Sample'!R376)</f>
        <v/>
      </c>
      <c r="AD359" s="294" t="str">
        <f>IF('Donor Sample'!S376="","",'Donor Sample'!S376/100)</f>
        <v/>
      </c>
      <c r="AE359" s="293" t="e">
        <f t="shared" si="103"/>
        <v>#VALUE!</v>
      </c>
      <c r="AF359" s="293" t="str">
        <f t="shared" si="104"/>
        <v/>
      </c>
      <c r="AG359" s="292" t="str">
        <f>IF('Donor Sample'!T376="","",'Donor Sample'!T376)</f>
        <v/>
      </c>
      <c r="AH359" s="891">
        <f t="shared" si="105"/>
        <v>64</v>
      </c>
      <c r="AI359" s="1220">
        <v>0.69637781381607056</v>
      </c>
      <c r="AJ359" s="1216"/>
    </row>
    <row r="360" spans="5:36">
      <c r="E360" s="299">
        <v>352</v>
      </c>
      <c r="F360" s="308">
        <f t="shared" ca="1" si="94"/>
        <v>2887.4398413301587</v>
      </c>
      <c r="G360" s="307">
        <f t="shared" ca="1" si="95"/>
        <v>196.22148079518277</v>
      </c>
      <c r="H360" s="306">
        <f t="shared" ca="1" si="96"/>
        <v>0.46932590243536659</v>
      </c>
      <c r="I360" s="305">
        <f t="shared" ca="1" si="98"/>
        <v>102.36354241924761</v>
      </c>
      <c r="J360" s="305">
        <f t="shared" ca="1" si="99"/>
        <v>58.51352167304838</v>
      </c>
      <c r="K360" s="292">
        <f t="shared" ca="1" si="97"/>
        <v>6.4720315802792596</v>
      </c>
      <c r="L360" s="1290">
        <f t="shared" ca="1" si="100"/>
        <v>21.047741028907559</v>
      </c>
      <c r="M360" s="299">
        <v>352</v>
      </c>
      <c r="N360" s="304">
        <f t="shared" si="101"/>
        <v>3523.8634055730045</v>
      </c>
      <c r="O360" s="303">
        <v>215.13483842727462</v>
      </c>
      <c r="P360" s="302">
        <v>0.43931146258727499</v>
      </c>
      <c r="Q360" s="301">
        <v>108.93558932963427</v>
      </c>
      <c r="R360" s="301">
        <v>66.38191327151921</v>
      </c>
      <c r="S360" s="300">
        <v>1.8116242907276261</v>
      </c>
      <c r="T360" s="891">
        <f t="shared" si="102"/>
        <v>64</v>
      </c>
      <c r="U360" s="1220">
        <v>0.6746525764465332</v>
      </c>
      <c r="W360" s="299">
        <v>352</v>
      </c>
      <c r="X360" s="298">
        <f>IF('Donor Sample'!N377="",,IF('Donor Sample'!N377="F",1,0))</f>
        <v>0</v>
      </c>
      <c r="Y360" s="298" t="str">
        <f>IF('Donor Sample'!O377="","",'Donor Sample'!O377)</f>
        <v/>
      </c>
      <c r="Z360" s="298" t="str">
        <f>IF(AND('Donor Sample'!O377="",'Donor Sample'!P377="",'Donor Sample'!Q377=""),"",IF('Donor Sample'!P377="",ROUND(AA360/($C$32+($AI360-0.5)*$C$31),0),'Donor Sample'!P377))</f>
        <v/>
      </c>
      <c r="AA360" s="297" t="str">
        <f>IF('Donor Sample'!Q377="","",'Donor Sample'!Q377)</f>
        <v/>
      </c>
      <c r="AB360" s="296" t="str">
        <f t="shared" si="93"/>
        <v/>
      </c>
      <c r="AC360" s="295" t="str">
        <f>IF('Donor Sample'!R377="","",'Donor Sample'!R377)</f>
        <v/>
      </c>
      <c r="AD360" s="294" t="str">
        <f>IF('Donor Sample'!S377="","",'Donor Sample'!S377/100)</f>
        <v/>
      </c>
      <c r="AE360" s="407" t="e">
        <f t="shared" si="103"/>
        <v>#VALUE!</v>
      </c>
      <c r="AF360" s="293" t="str">
        <f t="shared" si="104"/>
        <v/>
      </c>
      <c r="AG360" s="292" t="str">
        <f>IF('Donor Sample'!T377="","",'Donor Sample'!T377)</f>
        <v/>
      </c>
      <c r="AH360" s="891">
        <f t="shared" si="105"/>
        <v>32</v>
      </c>
      <c r="AI360" s="1220">
        <v>0.77077198028564453</v>
      </c>
      <c r="AJ360" s="1216"/>
    </row>
    <row r="361" spans="5:36">
      <c r="E361" s="299">
        <v>353</v>
      </c>
      <c r="F361" s="308">
        <f t="shared" ca="1" si="94"/>
        <v>3066.5889348997785</v>
      </c>
      <c r="G361" s="307">
        <f t="shared" ca="1" si="95"/>
        <v>225.49322978626006</v>
      </c>
      <c r="H361" s="306">
        <f t="shared" ca="1" si="96"/>
        <v>0.35455402052497254</v>
      </c>
      <c r="I361" s="305">
        <f t="shared" ca="1" si="98"/>
        <v>107.91690283392619</v>
      </c>
      <c r="J361" s="305">
        <f t="shared" ca="1" si="99"/>
        <v>52.840700633276924</v>
      </c>
      <c r="K361" s="292">
        <f t="shared" ca="1" si="97"/>
        <v>2.5978146965240154</v>
      </c>
      <c r="L361" s="1290">
        <f t="shared" ca="1" si="100"/>
        <v>27.209777911446626</v>
      </c>
      <c r="M361" s="299">
        <v>353</v>
      </c>
      <c r="N361" s="304">
        <f t="shared" si="101"/>
        <v>2694.3833703552446</v>
      </c>
      <c r="O361" s="303">
        <v>177.73810962136858</v>
      </c>
      <c r="P361" s="302">
        <v>0.44589386224074884</v>
      </c>
      <c r="Q361" s="301">
        <v>86.006213805161082</v>
      </c>
      <c r="R361" s="301">
        <v>51.780853616603423</v>
      </c>
      <c r="S361" s="300">
        <v>2.2446292495141376</v>
      </c>
      <c r="T361" s="891">
        <f t="shared" si="102"/>
        <v>8</v>
      </c>
      <c r="U361" s="1220">
        <v>0.99848431348800659</v>
      </c>
      <c r="W361" s="299">
        <v>353</v>
      </c>
      <c r="X361" s="298">
        <f>IF('Donor Sample'!N378="",,IF('Donor Sample'!N378="F",1,0))</f>
        <v>0</v>
      </c>
      <c r="Y361" s="298" t="str">
        <f>IF('Donor Sample'!O378="","",'Donor Sample'!O378)</f>
        <v/>
      </c>
      <c r="Z361" s="298" t="str">
        <f>IF(AND('Donor Sample'!O378="",'Donor Sample'!P378="",'Donor Sample'!Q378=""),"",IF('Donor Sample'!P378="",ROUND(AA361/($C$32+($AI361-0.5)*$C$31),0),'Donor Sample'!P378))</f>
        <v/>
      </c>
      <c r="AA361" s="297" t="str">
        <f>IF('Donor Sample'!Q378="","",'Donor Sample'!Q378)</f>
        <v/>
      </c>
      <c r="AB361" s="296" t="str">
        <f t="shared" si="93"/>
        <v/>
      </c>
      <c r="AC361" s="295" t="str">
        <f>IF('Donor Sample'!R378="","",'Donor Sample'!R378)</f>
        <v/>
      </c>
      <c r="AD361" s="294" t="str">
        <f>IF('Donor Sample'!S378="","",'Donor Sample'!S378/100)</f>
        <v/>
      </c>
      <c r="AE361" s="293" t="e">
        <f t="shared" si="103"/>
        <v>#VALUE!</v>
      </c>
      <c r="AF361" s="293" t="str">
        <f t="shared" si="104"/>
        <v/>
      </c>
      <c r="AG361" s="292" t="str">
        <f>IF('Donor Sample'!T378="","",'Donor Sample'!T378)</f>
        <v/>
      </c>
      <c r="AH361" s="891">
        <f t="shared" si="105"/>
        <v>2</v>
      </c>
      <c r="AI361" s="1220">
        <v>0.11295813322067261</v>
      </c>
      <c r="AJ361" s="1216"/>
    </row>
    <row r="362" spans="5:36">
      <c r="E362" s="299">
        <v>354</v>
      </c>
      <c r="F362" s="308">
        <f t="shared" ca="1" si="94"/>
        <v>4399.3949232500809</v>
      </c>
      <c r="G362" s="307">
        <f t="shared" ca="1" si="95"/>
        <v>274.28956186641818</v>
      </c>
      <c r="H362" s="306">
        <f t="shared" ca="1" si="96"/>
        <v>0.37194718347656519</v>
      </c>
      <c r="I362" s="305">
        <f t="shared" ca="1" si="98"/>
        <v>148.91748492486386</v>
      </c>
      <c r="J362" s="305">
        <f t="shared" ca="1" si="99"/>
        <v>64.605948846170264</v>
      </c>
      <c r="K362" s="292">
        <f t="shared" ca="1" si="97"/>
        <v>8.5560808352818487</v>
      </c>
      <c r="L362" s="1290">
        <f t="shared" ca="1" si="100"/>
        <v>25.117322017958745</v>
      </c>
      <c r="M362" s="299">
        <v>354</v>
      </c>
      <c r="N362" s="304">
        <f t="shared" si="101"/>
        <v>3748.486979328306</v>
      </c>
      <c r="O362" s="303">
        <v>274.09917975969893</v>
      </c>
      <c r="P362" s="302">
        <v>0.40587088745009781</v>
      </c>
      <c r="Q362" s="301">
        <v>117.0459715353328</v>
      </c>
      <c r="R362" s="301">
        <v>62.040185162516913</v>
      </c>
      <c r="S362" s="300">
        <v>1.4749947516762321</v>
      </c>
      <c r="T362" s="891">
        <f t="shared" si="102"/>
        <v>4</v>
      </c>
      <c r="U362" s="1220">
        <v>0.37971127033233643</v>
      </c>
      <c r="W362" s="299">
        <v>354</v>
      </c>
      <c r="X362" s="298">
        <f>IF('Donor Sample'!N379="",,IF('Donor Sample'!N379="F",1,0))</f>
        <v>0</v>
      </c>
      <c r="Y362" s="298" t="str">
        <f>IF('Donor Sample'!O379="","",'Donor Sample'!O379)</f>
        <v/>
      </c>
      <c r="Z362" s="298" t="str">
        <f>IF(AND('Donor Sample'!O379="",'Donor Sample'!P379="",'Donor Sample'!Q379=""),"",IF('Donor Sample'!P379="",ROUND(AA362/($C$32+($AI362-0.5)*$C$31),0),'Donor Sample'!P379))</f>
        <v/>
      </c>
      <c r="AA362" s="297" t="str">
        <f>IF('Donor Sample'!Q379="","",'Donor Sample'!Q379)</f>
        <v/>
      </c>
      <c r="AB362" s="296" t="str">
        <f t="shared" si="93"/>
        <v/>
      </c>
      <c r="AC362" s="295" t="str">
        <f>IF('Donor Sample'!R379="","",'Donor Sample'!R379)</f>
        <v/>
      </c>
      <c r="AD362" s="294" t="str">
        <f>IF('Donor Sample'!S379="","",'Donor Sample'!S379/100)</f>
        <v/>
      </c>
      <c r="AE362" s="293" t="e">
        <f t="shared" si="103"/>
        <v>#VALUE!</v>
      </c>
      <c r="AF362" s="293" t="str">
        <f t="shared" si="104"/>
        <v/>
      </c>
      <c r="AG362" s="292" t="str">
        <f>IF('Donor Sample'!T379="","",'Donor Sample'!T379)</f>
        <v/>
      </c>
      <c r="AH362" s="891">
        <f t="shared" si="105"/>
        <v>2</v>
      </c>
      <c r="AI362" s="1220">
        <v>0.32779371738433838</v>
      </c>
      <c r="AJ362" s="1216"/>
    </row>
    <row r="363" spans="5:36">
      <c r="E363" s="299">
        <v>355</v>
      </c>
      <c r="F363" s="308">
        <f t="shared" ca="1" si="94"/>
        <v>3076.0688664594641</v>
      </c>
      <c r="G363" s="307">
        <f t="shared" ca="1" si="95"/>
        <v>251.24800827219906</v>
      </c>
      <c r="H363" s="306">
        <f t="shared" ca="1" si="96"/>
        <v>0.37729561747863427</v>
      </c>
      <c r="I363" s="305">
        <f t="shared" ca="1" si="98"/>
        <v>115.26455600554051</v>
      </c>
      <c r="J363" s="305">
        <f t="shared" ca="1" si="99"/>
        <v>50.822637492721881</v>
      </c>
      <c r="K363" s="292">
        <f t="shared" ca="1" si="97"/>
        <v>2.4578605489061673</v>
      </c>
      <c r="L363" s="1290">
        <f t="shared" ca="1" si="100"/>
        <v>31.416228133127866</v>
      </c>
      <c r="M363" s="299">
        <v>355</v>
      </c>
      <c r="N363" s="304">
        <f t="shared" si="101"/>
        <v>3108.7690009543276</v>
      </c>
      <c r="O363" s="303">
        <v>218.00770726301465</v>
      </c>
      <c r="P363" s="302">
        <v>0.4629608597774641</v>
      </c>
      <c r="Q363" s="301">
        <v>109.32606707427932</v>
      </c>
      <c r="R363" s="301">
        <v>53.266307920844376</v>
      </c>
      <c r="S363" s="300">
        <v>2.220505152952744</v>
      </c>
      <c r="T363" s="891">
        <f t="shared" si="102"/>
        <v>4</v>
      </c>
      <c r="U363" s="1220">
        <v>0.36536389589309692</v>
      </c>
      <c r="W363" s="299">
        <v>355</v>
      </c>
      <c r="X363" s="298">
        <f>IF('Donor Sample'!N380="",,IF('Donor Sample'!N380="F",1,0))</f>
        <v>0</v>
      </c>
      <c r="Y363" s="298" t="str">
        <f>IF('Donor Sample'!O380="","",'Donor Sample'!O380)</f>
        <v/>
      </c>
      <c r="Z363" s="298" t="str">
        <f>IF(AND('Donor Sample'!O380="",'Donor Sample'!P380="",'Donor Sample'!Q380=""),"",IF('Donor Sample'!P380="",ROUND(AA363/($C$32+($AI363-0.5)*$C$31),0),'Donor Sample'!P380))</f>
        <v/>
      </c>
      <c r="AA363" s="297" t="str">
        <f>IF('Donor Sample'!Q380="","",'Donor Sample'!Q380)</f>
        <v/>
      </c>
      <c r="AB363" s="296" t="str">
        <f t="shared" si="93"/>
        <v/>
      </c>
      <c r="AC363" s="295" t="str">
        <f>IF('Donor Sample'!R380="","",'Donor Sample'!R380)</f>
        <v/>
      </c>
      <c r="AD363" s="294" t="str">
        <f>IF('Donor Sample'!S380="","",'Donor Sample'!S380/100)</f>
        <v/>
      </c>
      <c r="AE363" s="407" t="e">
        <f t="shared" si="103"/>
        <v>#VALUE!</v>
      </c>
      <c r="AF363" s="293" t="str">
        <f t="shared" si="104"/>
        <v/>
      </c>
      <c r="AG363" s="292" t="str">
        <f>IF('Donor Sample'!T380="","",'Donor Sample'!T380)</f>
        <v/>
      </c>
      <c r="AH363" s="891">
        <f t="shared" si="105"/>
        <v>2</v>
      </c>
      <c r="AI363" s="1220">
        <v>0.14660483598709106</v>
      </c>
      <c r="AJ363" s="1216"/>
    </row>
    <row r="364" spans="5:36">
      <c r="E364" s="299">
        <v>356</v>
      </c>
      <c r="F364" s="308">
        <f t="shared" ca="1" si="94"/>
        <v>3756.2633851830069</v>
      </c>
      <c r="G364" s="307">
        <f t="shared" ca="1" si="95"/>
        <v>229.26543337165461</v>
      </c>
      <c r="H364" s="306">
        <f t="shared" ca="1" si="96"/>
        <v>0.42525684699883953</v>
      </c>
      <c r="I364" s="305">
        <f t="shared" ca="1" si="98"/>
        <v>149.17791356075799</v>
      </c>
      <c r="J364" s="305">
        <f t="shared" ca="1" si="99"/>
        <v>54.519621936724832</v>
      </c>
      <c r="K364" s="292">
        <f t="shared" ca="1" si="97"/>
        <v>2.6166959119616116</v>
      </c>
      <c r="L364" s="1290">
        <f t="shared" ca="1" si="100"/>
        <v>35.332268059104706</v>
      </c>
      <c r="M364" s="299">
        <v>356</v>
      </c>
      <c r="N364" s="304">
        <f t="shared" si="101"/>
        <v>3231.5041836266573</v>
      </c>
      <c r="O364" s="303">
        <v>289.43675343008374</v>
      </c>
      <c r="P364" s="302">
        <v>0.46306661680538186</v>
      </c>
      <c r="Q364" s="301">
        <v>121.13573840640302</v>
      </c>
      <c r="R364" s="301">
        <v>52.277119878175121</v>
      </c>
      <c r="S364" s="300">
        <v>1.2758421356547047</v>
      </c>
      <c r="T364" s="891">
        <f t="shared" si="102"/>
        <v>64</v>
      </c>
      <c r="U364" s="1220">
        <v>0.45790553092956543</v>
      </c>
      <c r="W364" s="299">
        <v>356</v>
      </c>
      <c r="X364" s="298">
        <f>IF('Donor Sample'!N381="",,IF('Donor Sample'!N381="F",1,0))</f>
        <v>0</v>
      </c>
      <c r="Y364" s="298" t="str">
        <f>IF('Donor Sample'!O381="","",'Donor Sample'!O381)</f>
        <v/>
      </c>
      <c r="Z364" s="298" t="str">
        <f>IF(AND('Donor Sample'!O381="",'Donor Sample'!P381="",'Donor Sample'!Q381=""),"",IF('Donor Sample'!P381="",ROUND(AA364/($C$32+($AI364-0.5)*$C$31),0),'Donor Sample'!P381))</f>
        <v/>
      </c>
      <c r="AA364" s="297" t="str">
        <f>IF('Donor Sample'!Q381="","",'Donor Sample'!Q381)</f>
        <v/>
      </c>
      <c r="AB364" s="296" t="str">
        <f t="shared" si="93"/>
        <v/>
      </c>
      <c r="AC364" s="295" t="str">
        <f>IF('Donor Sample'!R381="","",'Donor Sample'!R381)</f>
        <v/>
      </c>
      <c r="AD364" s="294" t="str">
        <f>IF('Donor Sample'!S381="","",'Donor Sample'!S381/100)</f>
        <v/>
      </c>
      <c r="AE364" s="293" t="e">
        <f t="shared" si="103"/>
        <v>#VALUE!</v>
      </c>
      <c r="AF364" s="293" t="str">
        <f t="shared" si="104"/>
        <v/>
      </c>
      <c r="AG364" s="292" t="str">
        <f>IF('Donor Sample'!T381="","",'Donor Sample'!T381)</f>
        <v/>
      </c>
      <c r="AH364" s="891">
        <f t="shared" si="105"/>
        <v>64</v>
      </c>
      <c r="AI364" s="1220">
        <v>0.73771786689758301</v>
      </c>
      <c r="AJ364" s="1216"/>
    </row>
    <row r="365" spans="5:36">
      <c r="E365" s="299">
        <v>357</v>
      </c>
      <c r="F365" s="308">
        <f t="shared" ca="1" si="94"/>
        <v>3027.7678255427331</v>
      </c>
      <c r="G365" s="307">
        <f t="shared" ca="1" si="95"/>
        <v>252.18279535879785</v>
      </c>
      <c r="H365" s="306">
        <f t="shared" ca="1" si="96"/>
        <v>0.43211798464604262</v>
      </c>
      <c r="I365" s="305">
        <f t="shared" ca="1" si="98"/>
        <v>112.90800136538854</v>
      </c>
      <c r="J365" s="305">
        <f t="shared" ca="1" si="99"/>
        <v>50.522596138925834</v>
      </c>
      <c r="K365" s="292">
        <f t="shared" ca="1" si="97"/>
        <v>9.2153192931120724</v>
      </c>
      <c r="L365" s="1290">
        <f t="shared" ca="1" si="100"/>
        <v>31.140534387359278</v>
      </c>
      <c r="M365" s="299">
        <v>357</v>
      </c>
      <c r="N365" s="304">
        <f t="shared" si="101"/>
        <v>4390.6639550992923</v>
      </c>
      <c r="O365" s="303">
        <v>275.0119822506482</v>
      </c>
      <c r="P365" s="302">
        <v>0.41608236102768842</v>
      </c>
      <c r="Q365" s="301">
        <v>177.6866206331722</v>
      </c>
      <c r="R365" s="301">
        <v>58.318422637110203</v>
      </c>
      <c r="S365" s="300">
        <v>15.796408049788171</v>
      </c>
      <c r="T365" s="891">
        <f t="shared" si="102"/>
        <v>64</v>
      </c>
      <c r="U365" s="1220">
        <v>0.71928209066390991</v>
      </c>
      <c r="W365" s="299">
        <v>357</v>
      </c>
      <c r="X365" s="298">
        <f>IF('Donor Sample'!N382="",,IF('Donor Sample'!N382="F",1,0))</f>
        <v>0</v>
      </c>
      <c r="Y365" s="298" t="str">
        <f>IF('Donor Sample'!O382="","",'Donor Sample'!O382)</f>
        <v/>
      </c>
      <c r="Z365" s="298" t="str">
        <f>IF(AND('Donor Sample'!O382="",'Donor Sample'!P382="",'Donor Sample'!Q382=""),"",IF('Donor Sample'!P382="",ROUND(AA365/($C$32+($AI365-0.5)*$C$31),0),'Donor Sample'!P382))</f>
        <v/>
      </c>
      <c r="AA365" s="297" t="str">
        <f>IF('Donor Sample'!Q382="","",'Donor Sample'!Q382)</f>
        <v/>
      </c>
      <c r="AB365" s="296" t="str">
        <f t="shared" si="93"/>
        <v/>
      </c>
      <c r="AC365" s="295" t="str">
        <f>IF('Donor Sample'!R382="","",'Donor Sample'!R382)</f>
        <v/>
      </c>
      <c r="AD365" s="294" t="str">
        <f>IF('Donor Sample'!S382="","",'Donor Sample'!S382/100)</f>
        <v/>
      </c>
      <c r="AE365" s="293" t="e">
        <f t="shared" si="103"/>
        <v>#VALUE!</v>
      </c>
      <c r="AF365" s="293" t="str">
        <f t="shared" si="104"/>
        <v/>
      </c>
      <c r="AG365" s="292" t="str">
        <f>IF('Donor Sample'!T382="","",'Donor Sample'!T382)</f>
        <v/>
      </c>
      <c r="AH365" s="891">
        <f t="shared" si="105"/>
        <v>64</v>
      </c>
      <c r="AI365" s="1220">
        <v>0.50923961400985718</v>
      </c>
      <c r="AJ365" s="1216"/>
    </row>
    <row r="366" spans="5:36">
      <c r="E366" s="299">
        <v>358</v>
      </c>
      <c r="F366" s="308">
        <f t="shared" ca="1" si="94"/>
        <v>4164.7780114006791</v>
      </c>
      <c r="G366" s="307">
        <f t="shared" ca="1" si="95"/>
        <v>216.53263427568376</v>
      </c>
      <c r="H366" s="306">
        <f t="shared" ca="1" si="96"/>
        <v>0.40320664369733661</v>
      </c>
      <c r="I366" s="305">
        <f t="shared" ca="1" si="98"/>
        <v>129.22757304333223</v>
      </c>
      <c r="J366" s="305">
        <f t="shared" ca="1" si="99"/>
        <v>65.300567459302471</v>
      </c>
      <c r="K366" s="292">
        <f t="shared" ca="1" si="97"/>
        <v>9.2907516145176743</v>
      </c>
      <c r="L366" s="1290">
        <f t="shared" ca="1" si="100"/>
        <v>21.335063347665312</v>
      </c>
      <c r="M366" s="299">
        <v>358</v>
      </c>
      <c r="N366" s="304">
        <f t="shared" si="101"/>
        <v>3996.8953909260081</v>
      </c>
      <c r="O366" s="303">
        <v>226.13238822182666</v>
      </c>
      <c r="P366" s="302">
        <v>0.36011172579160217</v>
      </c>
      <c r="Q366" s="301">
        <v>152.82520160107592</v>
      </c>
      <c r="R366" s="301">
        <v>57.812061613908917</v>
      </c>
      <c r="S366" s="300">
        <v>1.3358478101439046</v>
      </c>
      <c r="T366" s="891">
        <f t="shared" si="102"/>
        <v>2</v>
      </c>
      <c r="U366" s="1220">
        <v>0.25564801692962646</v>
      </c>
      <c r="W366" s="299">
        <v>358</v>
      </c>
      <c r="X366" s="298">
        <f>IF('Donor Sample'!N383="",,IF('Donor Sample'!N383="F",1,0))</f>
        <v>0</v>
      </c>
      <c r="Y366" s="298" t="str">
        <f>IF('Donor Sample'!O383="","",'Donor Sample'!O383)</f>
        <v/>
      </c>
      <c r="Z366" s="298" t="str">
        <f>IF(AND('Donor Sample'!O383="",'Donor Sample'!P383="",'Donor Sample'!Q383=""),"",IF('Donor Sample'!P383="",ROUND(AA366/($C$32+($AI366-0.5)*$C$31),0),'Donor Sample'!P383))</f>
        <v/>
      </c>
      <c r="AA366" s="297" t="str">
        <f>IF('Donor Sample'!Q383="","",'Donor Sample'!Q383)</f>
        <v/>
      </c>
      <c r="AB366" s="296" t="str">
        <f t="shared" si="93"/>
        <v/>
      </c>
      <c r="AC366" s="295" t="str">
        <f>IF('Donor Sample'!R383="","",'Donor Sample'!R383)</f>
        <v/>
      </c>
      <c r="AD366" s="294" t="str">
        <f>IF('Donor Sample'!S383="","",'Donor Sample'!S383/100)</f>
        <v/>
      </c>
      <c r="AE366" s="407" t="e">
        <f t="shared" si="103"/>
        <v>#VALUE!</v>
      </c>
      <c r="AF366" s="293" t="str">
        <f t="shared" si="104"/>
        <v/>
      </c>
      <c r="AG366" s="292" t="str">
        <f>IF('Donor Sample'!T383="","",'Donor Sample'!T383)</f>
        <v/>
      </c>
      <c r="AH366" s="891">
        <f t="shared" si="105"/>
        <v>64</v>
      </c>
      <c r="AI366" s="1220">
        <v>0.49759185314178467</v>
      </c>
      <c r="AJ366" s="1216"/>
    </row>
    <row r="367" spans="5:36">
      <c r="E367" s="299">
        <v>359</v>
      </c>
      <c r="F367" s="308">
        <f t="shared" ca="1" si="94"/>
        <v>3769.9617701581928</v>
      </c>
      <c r="G367" s="307">
        <f t="shared" ca="1" si="95"/>
        <v>230.83389943741574</v>
      </c>
      <c r="H367" s="306">
        <f t="shared" ca="1" si="96"/>
        <v>0.38831929168662271</v>
      </c>
      <c r="I367" s="305">
        <f t="shared" ca="1" si="98"/>
        <v>119.69146232970232</v>
      </c>
      <c r="J367" s="305">
        <f t="shared" ca="1" si="99"/>
        <v>67.463040380063276</v>
      </c>
      <c r="K367" s="292">
        <f t="shared" ca="1" si="97"/>
        <v>20.003009526483744</v>
      </c>
      <c r="L367" s="1290">
        <f t="shared" ca="1" si="100"/>
        <v>18.514159998312394</v>
      </c>
      <c r="M367" s="299">
        <v>359</v>
      </c>
      <c r="N367" s="304">
        <f t="shared" si="101"/>
        <v>3206.474742375096</v>
      </c>
      <c r="O367" s="303">
        <v>267.24096657634044</v>
      </c>
      <c r="P367" s="302">
        <v>0.43128511992960045</v>
      </c>
      <c r="Q367" s="301">
        <v>99.923069966517062</v>
      </c>
      <c r="R367" s="301">
        <v>63.930447260590341</v>
      </c>
      <c r="S367" s="300">
        <v>4.9449432168444103</v>
      </c>
      <c r="T367" s="891">
        <f t="shared" si="102"/>
        <v>256</v>
      </c>
      <c r="U367" s="1220">
        <v>0.87256342172622681</v>
      </c>
      <c r="W367" s="299">
        <v>359</v>
      </c>
      <c r="X367" s="298">
        <f>IF('Donor Sample'!N384="",,IF('Donor Sample'!N384="F",1,0))</f>
        <v>0</v>
      </c>
      <c r="Y367" s="298" t="str">
        <f>IF('Donor Sample'!O384="","",'Donor Sample'!O384)</f>
        <v/>
      </c>
      <c r="Z367" s="298" t="str">
        <f>IF(AND('Donor Sample'!O384="",'Donor Sample'!P384="",'Donor Sample'!Q384=""),"",IF('Donor Sample'!P384="",ROUND(AA367/($C$32+($AI367-0.5)*$C$31),0),'Donor Sample'!P384))</f>
        <v/>
      </c>
      <c r="AA367" s="297" t="str">
        <f>IF('Donor Sample'!Q384="","",'Donor Sample'!Q384)</f>
        <v/>
      </c>
      <c r="AB367" s="296" t="str">
        <f t="shared" si="93"/>
        <v/>
      </c>
      <c r="AC367" s="295" t="str">
        <f>IF('Donor Sample'!R384="","",'Donor Sample'!R384)</f>
        <v/>
      </c>
      <c r="AD367" s="294" t="str">
        <f>IF('Donor Sample'!S384="","",'Donor Sample'!S384/100)</f>
        <v/>
      </c>
      <c r="AE367" s="293" t="e">
        <f t="shared" si="103"/>
        <v>#VALUE!</v>
      </c>
      <c r="AF367" s="293" t="str">
        <f t="shared" si="104"/>
        <v/>
      </c>
      <c r="AG367" s="292" t="str">
        <f>IF('Donor Sample'!T384="","",'Donor Sample'!T384)</f>
        <v/>
      </c>
      <c r="AH367" s="891">
        <f t="shared" si="105"/>
        <v>32</v>
      </c>
      <c r="AI367" s="1220">
        <v>0.8112826943397522</v>
      </c>
      <c r="AJ367" s="1216"/>
    </row>
    <row r="368" spans="5:36">
      <c r="E368" s="299">
        <v>360</v>
      </c>
      <c r="F368" s="308">
        <f t="shared" ca="1" si="94"/>
        <v>4529.2573027970047</v>
      </c>
      <c r="G368" s="307">
        <f t="shared" ca="1" si="95"/>
        <v>219.68476081656692</v>
      </c>
      <c r="H368" s="306">
        <f t="shared" ca="1" si="96"/>
        <v>0.35012077043397094</v>
      </c>
      <c r="I368" s="305">
        <f t="shared" ca="1" si="98"/>
        <v>171.00800730705316</v>
      </c>
      <c r="J368" s="305">
        <f t="shared" ca="1" si="99"/>
        <v>61.938096064294498</v>
      </c>
      <c r="K368" s="292">
        <f t="shared" ca="1" si="97"/>
        <v>1.3142688612819335</v>
      </c>
      <c r="L368" s="1290">
        <f t="shared" ca="1" si="100"/>
        <v>31.381478636767859</v>
      </c>
      <c r="M368" s="299">
        <v>360</v>
      </c>
      <c r="N368" s="304">
        <f t="shared" si="101"/>
        <v>3662.7010231233876</v>
      </c>
      <c r="O368" s="303">
        <v>200.28205861340732</v>
      </c>
      <c r="P368" s="302">
        <v>0.45531417625902959</v>
      </c>
      <c r="Q368" s="301">
        <v>138.26176150522011</v>
      </c>
      <c r="R368" s="301">
        <v>55.720605578168126</v>
      </c>
      <c r="S368" s="300">
        <v>4.0330110238736374</v>
      </c>
      <c r="T368" s="891">
        <f t="shared" si="102"/>
        <v>32</v>
      </c>
      <c r="U368" s="1220">
        <v>0.78127765655517578</v>
      </c>
      <c r="W368" s="299">
        <v>360</v>
      </c>
      <c r="X368" s="298">
        <f>IF('Donor Sample'!N385="",,IF('Donor Sample'!N385="F",1,0))</f>
        <v>0</v>
      </c>
      <c r="Y368" s="298" t="str">
        <f>IF('Donor Sample'!O385="","",'Donor Sample'!O385)</f>
        <v/>
      </c>
      <c r="Z368" s="298" t="str">
        <f>IF(AND('Donor Sample'!O385="",'Donor Sample'!P385="",'Donor Sample'!Q385=""),"",IF('Donor Sample'!P385="",ROUND(AA368/($C$32+($AI368-0.5)*$C$31),0),'Donor Sample'!P385))</f>
        <v/>
      </c>
      <c r="AA368" s="297" t="str">
        <f>IF('Donor Sample'!Q385="","",'Donor Sample'!Q385)</f>
        <v/>
      </c>
      <c r="AB368" s="296" t="str">
        <f t="shared" si="93"/>
        <v/>
      </c>
      <c r="AC368" s="295" t="str">
        <f>IF('Donor Sample'!R385="","",'Donor Sample'!R385)</f>
        <v/>
      </c>
      <c r="AD368" s="294" t="str">
        <f>IF('Donor Sample'!S385="","",'Donor Sample'!S385/100)</f>
        <v/>
      </c>
      <c r="AE368" s="293" t="e">
        <f t="shared" si="103"/>
        <v>#VALUE!</v>
      </c>
      <c r="AF368" s="293" t="str">
        <f t="shared" si="104"/>
        <v/>
      </c>
      <c r="AG368" s="292" t="str">
        <f>IF('Donor Sample'!T385="","",'Donor Sample'!T385)</f>
        <v/>
      </c>
      <c r="AH368" s="891">
        <f t="shared" si="105"/>
        <v>64</v>
      </c>
      <c r="AI368" s="1220">
        <v>0.47146749496459961</v>
      </c>
      <c r="AJ368" s="1216"/>
    </row>
    <row r="369" spans="5:36">
      <c r="E369" s="299">
        <v>361</v>
      </c>
      <c r="F369" s="308">
        <f t="shared" ca="1" si="94"/>
        <v>3862.3485086419323</v>
      </c>
      <c r="G369" s="307">
        <f t="shared" ca="1" si="95"/>
        <v>268.1339320153632</v>
      </c>
      <c r="H369" s="306">
        <f t="shared" ca="1" si="96"/>
        <v>0.3955836927202801</v>
      </c>
      <c r="I369" s="305">
        <f t="shared" ca="1" si="98"/>
        <v>129.08835181577979</v>
      </c>
      <c r="J369" s="305">
        <f t="shared" ca="1" si="99"/>
        <v>61.134534485393601</v>
      </c>
      <c r="K369" s="292">
        <f t="shared" ca="1" si="97"/>
        <v>4.6311051594007067</v>
      </c>
      <c r="L369" s="1290">
        <f t="shared" ca="1" si="100"/>
        <v>24.315684281415614</v>
      </c>
      <c r="M369" s="299">
        <v>361</v>
      </c>
      <c r="N369" s="304">
        <f t="shared" si="101"/>
        <v>3958.3801106494025</v>
      </c>
      <c r="O369" s="303">
        <v>197.37670967016044</v>
      </c>
      <c r="P369" s="302">
        <v>0.42100691385291245</v>
      </c>
      <c r="Q369" s="301">
        <v>122.8469577981852</v>
      </c>
      <c r="R369" s="301">
        <v>63.793648655706221</v>
      </c>
      <c r="S369" s="300">
        <v>4.3549786754684856</v>
      </c>
      <c r="T369" s="891">
        <f t="shared" si="102"/>
        <v>64</v>
      </c>
      <c r="U369" s="1220">
        <v>0.46425360441207886</v>
      </c>
      <c r="W369" s="299">
        <v>361</v>
      </c>
      <c r="X369" s="298">
        <f>IF('Donor Sample'!N386="",,IF('Donor Sample'!N386="F",1,0))</f>
        <v>0</v>
      </c>
      <c r="Y369" s="298" t="str">
        <f>IF('Donor Sample'!O386="","",'Donor Sample'!O386)</f>
        <v/>
      </c>
      <c r="Z369" s="298" t="str">
        <f>IF(AND('Donor Sample'!O386="",'Donor Sample'!P386="",'Donor Sample'!Q386=""),"",IF('Donor Sample'!P386="",ROUND(AA369/($C$32+($AI369-0.5)*$C$31),0),'Donor Sample'!P386))</f>
        <v/>
      </c>
      <c r="AA369" s="297" t="str">
        <f>IF('Donor Sample'!Q386="","",'Donor Sample'!Q386)</f>
        <v/>
      </c>
      <c r="AB369" s="296" t="str">
        <f t="shared" si="93"/>
        <v/>
      </c>
      <c r="AC369" s="295" t="str">
        <f>IF('Donor Sample'!R386="","",'Donor Sample'!R386)</f>
        <v/>
      </c>
      <c r="AD369" s="294" t="str">
        <f>IF('Donor Sample'!S386="","",'Donor Sample'!S386/100)</f>
        <v/>
      </c>
      <c r="AE369" s="407" t="e">
        <f t="shared" si="103"/>
        <v>#VALUE!</v>
      </c>
      <c r="AF369" s="293" t="str">
        <f t="shared" si="104"/>
        <v/>
      </c>
      <c r="AG369" s="292" t="str">
        <f>IF('Donor Sample'!T386="","",'Donor Sample'!T386)</f>
        <v/>
      </c>
      <c r="AH369" s="891">
        <f t="shared" si="105"/>
        <v>4</v>
      </c>
      <c r="AI369" s="1220">
        <v>0.37464112043380737</v>
      </c>
      <c r="AJ369" s="1216"/>
    </row>
    <row r="370" spans="5:36">
      <c r="E370" s="299">
        <v>362</v>
      </c>
      <c r="F370" s="308">
        <f t="shared" ca="1" si="94"/>
        <v>3093.1668090568296</v>
      </c>
      <c r="G370" s="307">
        <f t="shared" ca="1" si="95"/>
        <v>223.47027183559834</v>
      </c>
      <c r="H370" s="306">
        <f t="shared" ca="1" si="96"/>
        <v>0.40497990064569833</v>
      </c>
      <c r="I370" s="305">
        <f t="shared" ca="1" si="98"/>
        <v>106.34431455900913</v>
      </c>
      <c r="J370" s="305">
        <f t="shared" ca="1" si="99"/>
        <v>60.854849723612411</v>
      </c>
      <c r="K370" s="292">
        <f t="shared" ca="1" si="97"/>
        <v>1.2374361222331491</v>
      </c>
      <c r="L370" s="1290">
        <f t="shared" ca="1" si="100"/>
        <v>20.216061350783711</v>
      </c>
      <c r="M370" s="299">
        <v>362</v>
      </c>
      <c r="N370" s="304">
        <f t="shared" si="101"/>
        <v>3166.5438402080676</v>
      </c>
      <c r="O370" s="303">
        <v>223.12371505695992</v>
      </c>
      <c r="P370" s="302">
        <v>0.41718286351351141</v>
      </c>
      <c r="Q370" s="301">
        <v>108.07464330638182</v>
      </c>
      <c r="R370" s="301">
        <v>61.577751772205559</v>
      </c>
      <c r="S370" s="300">
        <v>3.328241858866603</v>
      </c>
      <c r="T370" s="891">
        <f t="shared" si="102"/>
        <v>2</v>
      </c>
      <c r="U370" s="1220">
        <v>0.12546980381011963</v>
      </c>
      <c r="W370" s="299">
        <v>362</v>
      </c>
      <c r="X370" s="298">
        <f>IF('Donor Sample'!N387="",,IF('Donor Sample'!N387="F",1,0))</f>
        <v>0</v>
      </c>
      <c r="Y370" s="298" t="str">
        <f>IF('Donor Sample'!O387="","",'Donor Sample'!O387)</f>
        <v/>
      </c>
      <c r="Z370" s="298" t="str">
        <f>IF(AND('Donor Sample'!O387="",'Donor Sample'!P387="",'Donor Sample'!Q387=""),"",IF('Donor Sample'!P387="",ROUND(AA370/($C$32+($AI370-0.5)*$C$31),0),'Donor Sample'!P387))</f>
        <v/>
      </c>
      <c r="AA370" s="297" t="str">
        <f>IF('Donor Sample'!Q387="","",'Donor Sample'!Q387)</f>
        <v/>
      </c>
      <c r="AB370" s="296" t="str">
        <f t="shared" si="93"/>
        <v/>
      </c>
      <c r="AC370" s="295" t="str">
        <f>IF('Donor Sample'!R387="","",'Donor Sample'!R387)</f>
        <v/>
      </c>
      <c r="AD370" s="294" t="str">
        <f>IF('Donor Sample'!S387="","",'Donor Sample'!S387/100)</f>
        <v/>
      </c>
      <c r="AE370" s="293" t="e">
        <f t="shared" si="103"/>
        <v>#VALUE!</v>
      </c>
      <c r="AF370" s="293" t="str">
        <f t="shared" si="104"/>
        <v/>
      </c>
      <c r="AG370" s="292" t="str">
        <f>IF('Donor Sample'!T387="","",'Donor Sample'!T387)</f>
        <v/>
      </c>
      <c r="AH370" s="891">
        <f t="shared" si="105"/>
        <v>16</v>
      </c>
      <c r="AI370" s="1220">
        <v>0.95143616199493408</v>
      </c>
      <c r="AJ370" s="1216"/>
    </row>
    <row r="371" spans="5:36">
      <c r="E371" s="299">
        <v>363</v>
      </c>
      <c r="F371" s="308">
        <f t="shared" ca="1" si="94"/>
        <v>3045.6218717565048</v>
      </c>
      <c r="G371" s="307">
        <f t="shared" ca="1" si="95"/>
        <v>257.89371952856192</v>
      </c>
      <c r="H371" s="306">
        <f t="shared" ca="1" si="96"/>
        <v>0.38865493841567478</v>
      </c>
      <c r="I371" s="305">
        <f t="shared" ca="1" si="98"/>
        <v>116.35113014337409</v>
      </c>
      <c r="J371" s="305">
        <f t="shared" ca="1" si="99"/>
        <v>49.808434693548215</v>
      </c>
      <c r="K371" s="292">
        <f t="shared" ca="1" si="97"/>
        <v>2.258648312759274</v>
      </c>
      <c r="L371" s="1290">
        <f t="shared" ca="1" si="100"/>
        <v>33.016989987261127</v>
      </c>
      <c r="M371" s="299">
        <v>363</v>
      </c>
      <c r="N371" s="304">
        <f t="shared" si="101"/>
        <v>3776.9702344651487</v>
      </c>
      <c r="O371" s="303">
        <v>240.55860309573995</v>
      </c>
      <c r="P371" s="302">
        <v>0.42436079675593652</v>
      </c>
      <c r="Q371" s="301">
        <v>148.27218103827533</v>
      </c>
      <c r="R371" s="301">
        <v>55.145327748225569</v>
      </c>
      <c r="S371" s="300">
        <v>1.8664561029173075</v>
      </c>
      <c r="T371" s="891">
        <f t="shared" si="102"/>
        <v>2</v>
      </c>
      <c r="U371" s="1220">
        <v>0.19888907670974731</v>
      </c>
      <c r="W371" s="299">
        <v>363</v>
      </c>
      <c r="X371" s="298">
        <f>IF('Donor Sample'!N388="",,IF('Donor Sample'!N388="F",1,0))</f>
        <v>0</v>
      </c>
      <c r="Y371" s="298" t="str">
        <f>IF('Donor Sample'!O388="","",'Donor Sample'!O388)</f>
        <v/>
      </c>
      <c r="Z371" s="298" t="str">
        <f>IF(AND('Donor Sample'!O388="",'Donor Sample'!P388="",'Donor Sample'!Q388=""),"",IF('Donor Sample'!P388="",ROUND(AA371/($C$32+($AI371-0.5)*$C$31),0),'Donor Sample'!P388))</f>
        <v/>
      </c>
      <c r="AA371" s="297" t="str">
        <f>IF('Donor Sample'!Q388="","",'Donor Sample'!Q388)</f>
        <v/>
      </c>
      <c r="AB371" s="296" t="str">
        <f t="shared" si="93"/>
        <v/>
      </c>
      <c r="AC371" s="295" t="str">
        <f>IF('Donor Sample'!R388="","",'Donor Sample'!R388)</f>
        <v/>
      </c>
      <c r="AD371" s="294" t="str">
        <f>IF('Donor Sample'!S388="","",'Donor Sample'!S388/100)</f>
        <v/>
      </c>
      <c r="AE371" s="293" t="e">
        <f t="shared" si="103"/>
        <v>#VALUE!</v>
      </c>
      <c r="AF371" s="293" t="str">
        <f t="shared" si="104"/>
        <v/>
      </c>
      <c r="AG371" s="292" t="str">
        <f>IF('Donor Sample'!T388="","",'Donor Sample'!T388)</f>
        <v/>
      </c>
      <c r="AH371" s="891">
        <f t="shared" si="105"/>
        <v>64</v>
      </c>
      <c r="AI371" s="1220">
        <v>0.54960328340530396</v>
      </c>
      <c r="AJ371" s="1216"/>
    </row>
    <row r="372" spans="5:36">
      <c r="E372" s="299">
        <v>364</v>
      </c>
      <c r="F372" s="308">
        <f t="shared" ca="1" si="94"/>
        <v>3107.8812646900528</v>
      </c>
      <c r="G372" s="307">
        <f t="shared" ca="1" si="95"/>
        <v>228.0708407003788</v>
      </c>
      <c r="H372" s="306">
        <f t="shared" ca="1" si="96"/>
        <v>0.36969589885384957</v>
      </c>
      <c r="I372" s="305">
        <f t="shared" ca="1" si="98"/>
        <v>128.76313854621247</v>
      </c>
      <c r="J372" s="305">
        <f t="shared" ca="1" si="99"/>
        <v>46.993864039968216</v>
      </c>
      <c r="K372" s="292">
        <f t="shared" ca="1" si="97"/>
        <v>1.3336234483658509</v>
      </c>
      <c r="L372" s="1290">
        <f t="shared" ca="1" si="100"/>
        <v>41.047045321813826</v>
      </c>
      <c r="M372" s="299">
        <v>364</v>
      </c>
      <c r="N372" s="304">
        <f t="shared" si="101"/>
        <v>2551.9875066651407</v>
      </c>
      <c r="O372" s="303">
        <v>234.5338590119504</v>
      </c>
      <c r="P372" s="302">
        <v>0.42896417179238083</v>
      </c>
      <c r="Q372" s="301">
        <v>96.546708537725124</v>
      </c>
      <c r="R372" s="301">
        <v>44.740090193223978</v>
      </c>
      <c r="S372" s="300">
        <v>13.293514018945798</v>
      </c>
      <c r="T372" s="891">
        <f t="shared" si="102"/>
        <v>2</v>
      </c>
      <c r="U372" s="1220">
        <v>0.24492764472961426</v>
      </c>
      <c r="W372" s="299">
        <v>364</v>
      </c>
      <c r="X372" s="298">
        <f>IF('Donor Sample'!N389="",,IF('Donor Sample'!N389="F",1,0))</f>
        <v>0</v>
      </c>
      <c r="Y372" s="298" t="str">
        <f>IF('Donor Sample'!O389="","",'Donor Sample'!O389)</f>
        <v/>
      </c>
      <c r="Z372" s="298" t="str">
        <f>IF(AND('Donor Sample'!O389="",'Donor Sample'!P389="",'Donor Sample'!Q389=""),"",IF('Donor Sample'!P389="",ROUND(AA372/($C$32+($AI372-0.5)*$C$31),0),'Donor Sample'!P389))</f>
        <v/>
      </c>
      <c r="AA372" s="297" t="str">
        <f>IF('Donor Sample'!Q389="","",'Donor Sample'!Q389)</f>
        <v/>
      </c>
      <c r="AB372" s="296" t="str">
        <f t="shared" si="93"/>
        <v/>
      </c>
      <c r="AC372" s="295" t="str">
        <f>IF('Donor Sample'!R389="","",'Donor Sample'!R389)</f>
        <v/>
      </c>
      <c r="AD372" s="294" t="str">
        <f>IF('Donor Sample'!S389="","",'Donor Sample'!S389/100)</f>
        <v/>
      </c>
      <c r="AE372" s="407" t="e">
        <f t="shared" si="103"/>
        <v>#VALUE!</v>
      </c>
      <c r="AF372" s="293" t="str">
        <f t="shared" si="104"/>
        <v/>
      </c>
      <c r="AG372" s="292" t="str">
        <f>IF('Donor Sample'!T389="","",'Donor Sample'!T389)</f>
        <v/>
      </c>
      <c r="AH372" s="891">
        <f t="shared" si="105"/>
        <v>2</v>
      </c>
      <c r="AI372" s="1220">
        <v>0.20694518089294434</v>
      </c>
      <c r="AJ372" s="1216"/>
    </row>
    <row r="373" spans="5:36">
      <c r="E373" s="299">
        <v>365</v>
      </c>
      <c r="F373" s="308">
        <f t="shared" ca="1" si="94"/>
        <v>3025.0799888278484</v>
      </c>
      <c r="G373" s="307">
        <f t="shared" ca="1" si="95"/>
        <v>304.47900063895418</v>
      </c>
      <c r="H373" s="306">
        <f t="shared" ca="1" si="96"/>
        <v>0.41012074724882092</v>
      </c>
      <c r="I373" s="305">
        <f t="shared" ca="1" si="98"/>
        <v>126.59551392005758</v>
      </c>
      <c r="J373" s="305">
        <f t="shared" ca="1" si="99"/>
        <v>45.672804245888187</v>
      </c>
      <c r="K373" s="292">
        <f t="shared" ca="1" si="97"/>
        <v>1.8260179278114848</v>
      </c>
      <c r="L373" s="1290">
        <f t="shared" ca="1" si="100"/>
        <v>42.724365359855383</v>
      </c>
      <c r="M373" s="299">
        <v>365</v>
      </c>
      <c r="N373" s="304">
        <f t="shared" si="101"/>
        <v>3215.1654742560977</v>
      </c>
      <c r="O373" s="303">
        <v>194.70827686074759</v>
      </c>
      <c r="P373" s="302">
        <v>0.42447420503368988</v>
      </c>
      <c r="Q373" s="301">
        <v>103.6327630714536</v>
      </c>
      <c r="R373" s="301">
        <v>56.738504365919454</v>
      </c>
      <c r="S373" s="300">
        <v>1.6203429870337176</v>
      </c>
      <c r="T373" s="891">
        <f t="shared" si="102"/>
        <v>8</v>
      </c>
      <c r="U373" s="1220">
        <v>0.99542278051376343</v>
      </c>
      <c r="W373" s="299">
        <v>365</v>
      </c>
      <c r="X373" s="298">
        <f>IF('Donor Sample'!N390="",,IF('Donor Sample'!N390="F",1,0))</f>
        <v>0</v>
      </c>
      <c r="Y373" s="298" t="str">
        <f>IF('Donor Sample'!O390="","",'Donor Sample'!O390)</f>
        <v/>
      </c>
      <c r="Z373" s="298" t="str">
        <f>IF(AND('Donor Sample'!O390="",'Donor Sample'!P390="",'Donor Sample'!Q390=""),"",IF('Donor Sample'!P390="",ROUND(AA373/($C$32+($AI373-0.5)*$C$31),0),'Donor Sample'!P390))</f>
        <v/>
      </c>
      <c r="AA373" s="297" t="str">
        <f>IF('Donor Sample'!Q390="","",'Donor Sample'!Q390)</f>
        <v/>
      </c>
      <c r="AB373" s="296" t="str">
        <f t="shared" si="93"/>
        <v/>
      </c>
      <c r="AC373" s="295" t="str">
        <f>IF('Donor Sample'!R390="","",'Donor Sample'!R390)</f>
        <v/>
      </c>
      <c r="AD373" s="294" t="str">
        <f>IF('Donor Sample'!S390="","",'Donor Sample'!S390/100)</f>
        <v/>
      </c>
      <c r="AE373" s="293" t="e">
        <f t="shared" si="103"/>
        <v>#VALUE!</v>
      </c>
      <c r="AF373" s="293" t="str">
        <f t="shared" si="104"/>
        <v/>
      </c>
      <c r="AG373" s="292" t="str">
        <f>IF('Donor Sample'!T390="","",'Donor Sample'!T390)</f>
        <v/>
      </c>
      <c r="AH373" s="891">
        <f t="shared" si="105"/>
        <v>64</v>
      </c>
      <c r="AI373" s="1220">
        <v>0.56688970327377319</v>
      </c>
      <c r="AJ373" s="1216"/>
    </row>
    <row r="374" spans="5:36">
      <c r="E374" s="299">
        <v>366</v>
      </c>
      <c r="F374" s="308">
        <f t="shared" ca="1" si="94"/>
        <v>4132.6448300866923</v>
      </c>
      <c r="G374" s="307">
        <f t="shared" ca="1" si="95"/>
        <v>294.11673588748965</v>
      </c>
      <c r="H374" s="306">
        <f t="shared" ca="1" si="96"/>
        <v>0.4065893411094858</v>
      </c>
      <c r="I374" s="305">
        <f t="shared" ca="1" si="98"/>
        <v>129.59414135204284</v>
      </c>
      <c r="J374" s="305">
        <f t="shared" ca="1" si="99"/>
        <v>64.809484997215094</v>
      </c>
      <c r="K374" s="292">
        <f t="shared" ca="1" si="97"/>
        <v>4.5370949075248816</v>
      </c>
      <c r="L374" s="1290">
        <f t="shared" ca="1" si="100"/>
        <v>21.721053581318191</v>
      </c>
      <c r="M374" s="299">
        <v>366</v>
      </c>
      <c r="N374" s="304">
        <f t="shared" si="101"/>
        <v>3840.7154644489515</v>
      </c>
      <c r="O374" s="303">
        <v>192.02718410000509</v>
      </c>
      <c r="P374" s="302">
        <v>0.3823875872047614</v>
      </c>
      <c r="Q374" s="301">
        <v>144.4829184995962</v>
      </c>
      <c r="R374" s="301">
        <v>57.235963534731987</v>
      </c>
      <c r="S374" s="300">
        <v>1.6590499237748073</v>
      </c>
      <c r="T374" s="891">
        <f t="shared" si="102"/>
        <v>2</v>
      </c>
      <c r="U374" s="1220">
        <v>1.5604853630065918E-2</v>
      </c>
      <c r="W374" s="299">
        <v>366</v>
      </c>
      <c r="X374" s="298">
        <f>IF('Donor Sample'!N391="",,IF('Donor Sample'!N391="F",1,0))</f>
        <v>0</v>
      </c>
      <c r="Y374" s="298" t="str">
        <f>IF('Donor Sample'!O391="","",'Donor Sample'!O391)</f>
        <v/>
      </c>
      <c r="Z374" s="298" t="str">
        <f>IF(AND('Donor Sample'!O391="",'Donor Sample'!P391="",'Donor Sample'!Q391=""),"",IF('Donor Sample'!P391="",ROUND(AA374/($C$32+($AI374-0.5)*$C$31),0),'Donor Sample'!P391))</f>
        <v/>
      </c>
      <c r="AA374" s="297" t="str">
        <f>IF('Donor Sample'!Q391="","",'Donor Sample'!Q391)</f>
        <v/>
      </c>
      <c r="AB374" s="296" t="str">
        <f t="shared" ref="AB374:AB437" si="106">IF(AND(Y374="",Z374="",AA374=""),"",IF(AA374="",IF(X374=0,604+IF($AB$2=1,0.006012,0.0003669)*Y374^3+IF($AB$2=1,14.6,32.187)*Z374,183+IF($AB$2=1,0.005835,0.0003561)*Y374^3+IF($AB$2=1,15,33.069)*Z374),AA374))</f>
        <v/>
      </c>
      <c r="AC374" s="295" t="str">
        <f>IF('Donor Sample'!R391="","",'Donor Sample'!R391)</f>
        <v/>
      </c>
      <c r="AD374" s="294" t="str">
        <f>IF('Donor Sample'!S391="","",'Donor Sample'!S391/100)</f>
        <v/>
      </c>
      <c r="AE374" s="293" t="e">
        <f t="shared" si="103"/>
        <v>#VALUE!</v>
      </c>
      <c r="AF374" s="293" t="str">
        <f t="shared" si="104"/>
        <v/>
      </c>
      <c r="AG374" s="292" t="str">
        <f>IF('Donor Sample'!T391="","",'Donor Sample'!T391)</f>
        <v/>
      </c>
      <c r="AH374" s="891">
        <f t="shared" si="105"/>
        <v>4</v>
      </c>
      <c r="AI374" s="1220">
        <v>0.42864549160003662</v>
      </c>
      <c r="AJ374" s="1216"/>
    </row>
    <row r="375" spans="5:36">
      <c r="E375" s="299">
        <v>367</v>
      </c>
      <c r="F375" s="308">
        <f t="shared" ca="1" si="94"/>
        <v>3265.6286893015417</v>
      </c>
      <c r="G375" s="307">
        <f t="shared" ca="1" si="95"/>
        <v>209.34144929131884</v>
      </c>
      <c r="H375" s="306">
        <f t="shared" ca="1" si="96"/>
        <v>0.44333934225459282</v>
      </c>
      <c r="I375" s="305">
        <f t="shared" ca="1" si="98"/>
        <v>103.82193832207025</v>
      </c>
      <c r="J375" s="305">
        <f t="shared" ca="1" si="99"/>
        <v>57.548437357014379</v>
      </c>
      <c r="K375" s="292">
        <f t="shared" ca="1" si="97"/>
        <v>2.4142839169202772</v>
      </c>
      <c r="L375" s="1290">
        <f t="shared" ca="1" si="100"/>
        <v>22.0696131630495</v>
      </c>
      <c r="M375" s="299">
        <v>367</v>
      </c>
      <c r="N375" s="304">
        <f t="shared" si="101"/>
        <v>3122.538740226787</v>
      </c>
      <c r="O375" s="303">
        <v>189.35722616677648</v>
      </c>
      <c r="P375" s="302">
        <v>0.46464035146088423</v>
      </c>
      <c r="Q375" s="301">
        <v>101.73728955868391</v>
      </c>
      <c r="R375" s="301">
        <v>55.597023669329701</v>
      </c>
      <c r="S375" s="300">
        <v>5.0819307736563371</v>
      </c>
      <c r="T375" s="891">
        <f t="shared" si="102"/>
        <v>2</v>
      </c>
      <c r="U375" s="1220">
        <v>0.32755619287490845</v>
      </c>
      <c r="W375" s="299">
        <v>367</v>
      </c>
      <c r="X375" s="298">
        <f>IF('Donor Sample'!N392="",,IF('Donor Sample'!N392="F",1,0))</f>
        <v>0</v>
      </c>
      <c r="Y375" s="298" t="str">
        <f>IF('Donor Sample'!O392="","",'Donor Sample'!O392)</f>
        <v/>
      </c>
      <c r="Z375" s="298" t="str">
        <f>IF(AND('Donor Sample'!O392="",'Donor Sample'!P392="",'Donor Sample'!Q392=""),"",IF('Donor Sample'!P392="",ROUND(AA375/($C$32+($AI375-0.5)*$C$31),0),'Donor Sample'!P392))</f>
        <v/>
      </c>
      <c r="AA375" s="297" t="str">
        <f>IF('Donor Sample'!Q392="","",'Donor Sample'!Q392)</f>
        <v/>
      </c>
      <c r="AB375" s="296" t="str">
        <f t="shared" si="106"/>
        <v/>
      </c>
      <c r="AC375" s="295" t="str">
        <f>IF('Donor Sample'!R392="","",'Donor Sample'!R392)</f>
        <v/>
      </c>
      <c r="AD375" s="294" t="str">
        <f>IF('Donor Sample'!S392="","",'Donor Sample'!S392/100)</f>
        <v/>
      </c>
      <c r="AE375" s="407" t="e">
        <f t="shared" si="103"/>
        <v>#VALUE!</v>
      </c>
      <c r="AF375" s="293" t="str">
        <f t="shared" si="104"/>
        <v/>
      </c>
      <c r="AG375" s="292" t="str">
        <f>IF('Donor Sample'!T392="","",'Donor Sample'!T392)</f>
        <v/>
      </c>
      <c r="AH375" s="891">
        <f t="shared" si="105"/>
        <v>2</v>
      </c>
      <c r="AI375" s="1220">
        <v>0.20611006021499634</v>
      </c>
      <c r="AJ375" s="1216"/>
    </row>
    <row r="376" spans="5:36">
      <c r="E376" s="299">
        <v>368</v>
      </c>
      <c r="F376" s="308">
        <f t="shared" ca="1" si="94"/>
        <v>3166.3320737417375</v>
      </c>
      <c r="G376" s="307">
        <f t="shared" ca="1" si="95"/>
        <v>229.22314080687781</v>
      </c>
      <c r="H376" s="306">
        <f t="shared" ca="1" si="96"/>
        <v>0.40113522057724199</v>
      </c>
      <c r="I376" s="305">
        <f t="shared" ca="1" si="98"/>
        <v>128.15832401791661</v>
      </c>
      <c r="J376" s="305">
        <f t="shared" ca="1" si="99"/>
        <v>48.625702461520291</v>
      </c>
      <c r="K376" s="292">
        <f t="shared" ca="1" si="97"/>
        <v>1.2749893497931979</v>
      </c>
      <c r="L376" s="1290">
        <f t="shared" ca="1" si="100"/>
        <v>38.158184346958222</v>
      </c>
      <c r="M376" s="299">
        <v>368</v>
      </c>
      <c r="N376" s="304">
        <f t="shared" si="101"/>
        <v>3707.9392215229946</v>
      </c>
      <c r="O376" s="303">
        <v>281.89366556294965</v>
      </c>
      <c r="P376" s="302">
        <v>0.41942653077485575</v>
      </c>
      <c r="Q376" s="301">
        <v>115.70125522497635</v>
      </c>
      <c r="R376" s="301">
        <v>61.737430766933478</v>
      </c>
      <c r="S376" s="300">
        <v>1.237517991097483</v>
      </c>
      <c r="T376" s="891">
        <f t="shared" si="102"/>
        <v>64</v>
      </c>
      <c r="U376" s="1220">
        <v>0.71170949935913086</v>
      </c>
      <c r="W376" s="299">
        <v>368</v>
      </c>
      <c r="X376" s="298">
        <f>IF('Donor Sample'!N393="",,IF('Donor Sample'!N393="F",1,0))</f>
        <v>0</v>
      </c>
      <c r="Y376" s="298" t="str">
        <f>IF('Donor Sample'!O393="","",'Donor Sample'!O393)</f>
        <v/>
      </c>
      <c r="Z376" s="298" t="str">
        <f>IF(AND('Donor Sample'!O393="",'Donor Sample'!P393="",'Donor Sample'!Q393=""),"",IF('Donor Sample'!P393="",ROUND(AA376/($C$32+($AI376-0.5)*$C$31),0),'Donor Sample'!P393))</f>
        <v/>
      </c>
      <c r="AA376" s="297" t="str">
        <f>IF('Donor Sample'!Q393="","",'Donor Sample'!Q393)</f>
        <v/>
      </c>
      <c r="AB376" s="296" t="str">
        <f t="shared" si="106"/>
        <v/>
      </c>
      <c r="AC376" s="295" t="str">
        <f>IF('Donor Sample'!R393="","",'Donor Sample'!R393)</f>
        <v/>
      </c>
      <c r="AD376" s="294" t="str">
        <f>IF('Donor Sample'!S393="","",'Donor Sample'!S393/100)</f>
        <v/>
      </c>
      <c r="AE376" s="293" t="e">
        <f t="shared" si="103"/>
        <v>#VALUE!</v>
      </c>
      <c r="AF376" s="293" t="str">
        <f t="shared" si="104"/>
        <v/>
      </c>
      <c r="AG376" s="292" t="str">
        <f>IF('Donor Sample'!T393="","",'Donor Sample'!T393)</f>
        <v/>
      </c>
      <c r="AH376" s="891">
        <f t="shared" si="105"/>
        <v>2</v>
      </c>
      <c r="AI376" s="1220">
        <v>0.22302055358886719</v>
      </c>
      <c r="AJ376" s="1216"/>
    </row>
    <row r="377" spans="5:36">
      <c r="E377" s="299">
        <v>369</v>
      </c>
      <c r="F377" s="308">
        <f t="shared" ca="1" si="94"/>
        <v>3345.5211703308464</v>
      </c>
      <c r="G377" s="307">
        <f t="shared" ca="1" si="95"/>
        <v>254.70908908811288</v>
      </c>
      <c r="H377" s="306">
        <f t="shared" ca="1" si="96"/>
        <v>0.41053351159855972</v>
      </c>
      <c r="I377" s="305">
        <f t="shared" ca="1" si="98"/>
        <v>127.42472827435807</v>
      </c>
      <c r="J377" s="305">
        <f t="shared" ca="1" si="99"/>
        <v>59.853497763709811</v>
      </c>
      <c r="K377" s="292">
        <f t="shared" ca="1" si="97"/>
        <v>4.3794810651752636</v>
      </c>
      <c r="L377" s="1290">
        <f t="shared" ca="1" si="100"/>
        <v>25.04074842641095</v>
      </c>
      <c r="M377" s="299">
        <v>369</v>
      </c>
      <c r="N377" s="304">
        <f t="shared" si="101"/>
        <v>3547.200328362399</v>
      </c>
      <c r="O377" s="303">
        <v>217.50586976220077</v>
      </c>
      <c r="P377" s="302">
        <v>0.43403785379262566</v>
      </c>
      <c r="Q377" s="301">
        <v>120.51910856816434</v>
      </c>
      <c r="R377" s="301">
        <v>64.371662878455766</v>
      </c>
      <c r="S377" s="300">
        <v>1.2814346238045613</v>
      </c>
      <c r="T377" s="891">
        <f t="shared" si="102"/>
        <v>2</v>
      </c>
      <c r="U377" s="1220">
        <v>0.28672760725021362</v>
      </c>
      <c r="W377" s="299">
        <v>369</v>
      </c>
      <c r="X377" s="298">
        <f>IF('Donor Sample'!N394="",,IF('Donor Sample'!N394="F",1,0))</f>
        <v>0</v>
      </c>
      <c r="Y377" s="298" t="str">
        <f>IF('Donor Sample'!O394="","",'Donor Sample'!O394)</f>
        <v/>
      </c>
      <c r="Z377" s="298" t="str">
        <f>IF(AND('Donor Sample'!O394="",'Donor Sample'!P394="",'Donor Sample'!Q394=""),"",IF('Donor Sample'!P394="",ROUND(AA377/($C$32+($AI377-0.5)*$C$31),0),'Donor Sample'!P394))</f>
        <v/>
      </c>
      <c r="AA377" s="297" t="str">
        <f>IF('Donor Sample'!Q394="","",'Donor Sample'!Q394)</f>
        <v/>
      </c>
      <c r="AB377" s="296" t="str">
        <f t="shared" si="106"/>
        <v/>
      </c>
      <c r="AC377" s="295" t="str">
        <f>IF('Donor Sample'!R394="","",'Donor Sample'!R394)</f>
        <v/>
      </c>
      <c r="AD377" s="294" t="str">
        <f>IF('Donor Sample'!S394="","",'Donor Sample'!S394/100)</f>
        <v/>
      </c>
      <c r="AE377" s="293" t="e">
        <f t="shared" si="103"/>
        <v>#VALUE!</v>
      </c>
      <c r="AF377" s="293" t="str">
        <f t="shared" si="104"/>
        <v/>
      </c>
      <c r="AG377" s="292" t="str">
        <f>IF('Donor Sample'!T394="","",'Donor Sample'!T394)</f>
        <v/>
      </c>
      <c r="AH377" s="891">
        <f t="shared" si="105"/>
        <v>32</v>
      </c>
      <c r="AI377" s="1220">
        <v>0.81187647581100464</v>
      </c>
      <c r="AJ377" s="1216"/>
    </row>
    <row r="378" spans="5:36">
      <c r="E378" s="299">
        <v>370</v>
      </c>
      <c r="F378" s="308">
        <f t="shared" ca="1" si="94"/>
        <v>3494.2820011254162</v>
      </c>
      <c r="G378" s="307">
        <f t="shared" ca="1" si="95"/>
        <v>234.37459335096324</v>
      </c>
      <c r="H378" s="306">
        <f t="shared" ca="1" si="96"/>
        <v>0.49806323038116529</v>
      </c>
      <c r="I378" s="305">
        <f t="shared" ca="1" si="98"/>
        <v>119.50182773735823</v>
      </c>
      <c r="J378" s="305">
        <f t="shared" ca="1" si="99"/>
        <v>57.543865348987218</v>
      </c>
      <c r="K378" s="292">
        <f t="shared" ca="1" si="97"/>
        <v>1.8676033918011008</v>
      </c>
      <c r="L378" s="1290">
        <f t="shared" ca="1" si="100"/>
        <v>25.406751787171508</v>
      </c>
      <c r="M378" s="299">
        <v>370</v>
      </c>
      <c r="N378" s="304">
        <f t="shared" si="101"/>
        <v>3411.4820824690169</v>
      </c>
      <c r="O378" s="303">
        <v>176.0252932757013</v>
      </c>
      <c r="P378" s="302">
        <v>0.414466568591631</v>
      </c>
      <c r="Q378" s="301">
        <v>142.44992442185898</v>
      </c>
      <c r="R378" s="301">
        <v>49.466793236617491</v>
      </c>
      <c r="S378" s="300">
        <v>1.7671022319378809</v>
      </c>
      <c r="T378" s="891">
        <f t="shared" si="102"/>
        <v>2</v>
      </c>
      <c r="U378" s="1220">
        <v>0.31673920154571533</v>
      </c>
      <c r="W378" s="299">
        <v>370</v>
      </c>
      <c r="X378" s="298">
        <f>IF('Donor Sample'!N395="",,IF('Donor Sample'!N395="F",1,0))</f>
        <v>0</v>
      </c>
      <c r="Y378" s="298" t="str">
        <f>IF('Donor Sample'!O395="","",'Donor Sample'!O395)</f>
        <v/>
      </c>
      <c r="Z378" s="298" t="str">
        <f>IF(AND('Donor Sample'!O395="",'Donor Sample'!P395="",'Donor Sample'!Q395=""),"",IF('Donor Sample'!P395="",ROUND(AA378/($C$32+($AI378-0.5)*$C$31),0),'Donor Sample'!P395))</f>
        <v/>
      </c>
      <c r="AA378" s="297" t="str">
        <f>IF('Donor Sample'!Q395="","",'Donor Sample'!Q395)</f>
        <v/>
      </c>
      <c r="AB378" s="296" t="str">
        <f t="shared" si="106"/>
        <v/>
      </c>
      <c r="AC378" s="295" t="str">
        <f>IF('Donor Sample'!R395="","",'Donor Sample'!R395)</f>
        <v/>
      </c>
      <c r="AD378" s="294" t="str">
        <f>IF('Donor Sample'!S395="","",'Donor Sample'!S395/100)</f>
        <v/>
      </c>
      <c r="AE378" s="407" t="e">
        <f t="shared" si="103"/>
        <v>#VALUE!</v>
      </c>
      <c r="AF378" s="293" t="str">
        <f t="shared" si="104"/>
        <v/>
      </c>
      <c r="AG378" s="292" t="str">
        <f>IF('Donor Sample'!T395="","",'Donor Sample'!T395)</f>
        <v/>
      </c>
      <c r="AH378" s="891">
        <f t="shared" si="105"/>
        <v>2</v>
      </c>
      <c r="AI378" s="1220">
        <v>6.4046502113342285E-2</v>
      </c>
      <c r="AJ378" s="1216"/>
    </row>
    <row r="379" spans="5:36">
      <c r="E379" s="299">
        <v>371</v>
      </c>
      <c r="F379" s="308">
        <f t="shared" ca="1" si="94"/>
        <v>3923.710081920327</v>
      </c>
      <c r="G379" s="307">
        <f t="shared" ca="1" si="95"/>
        <v>274.13836601463822</v>
      </c>
      <c r="H379" s="306">
        <f t="shared" ca="1" si="96"/>
        <v>0.43974665806097812</v>
      </c>
      <c r="I379" s="305">
        <f t="shared" ca="1" si="98"/>
        <v>145.72060176356635</v>
      </c>
      <c r="J379" s="305">
        <f t="shared" ca="1" si="99"/>
        <v>58.314346821095505</v>
      </c>
      <c r="K379" s="292">
        <f t="shared" ca="1" si="97"/>
        <v>2.3215568487647107</v>
      </c>
      <c r="L379" s="1290">
        <f t="shared" ca="1" si="100"/>
        <v>30.167740541446626</v>
      </c>
      <c r="M379" s="299">
        <v>371</v>
      </c>
      <c r="N379" s="304">
        <f t="shared" si="101"/>
        <v>3143.5020455859203</v>
      </c>
      <c r="O379" s="303">
        <v>268.05016016003594</v>
      </c>
      <c r="P379" s="302">
        <v>0.37682278104940303</v>
      </c>
      <c r="Q379" s="301">
        <v>130.22563637693358</v>
      </c>
      <c r="R379" s="301">
        <v>47.349387808201676</v>
      </c>
      <c r="S379" s="300">
        <v>1.9543813931068366</v>
      </c>
      <c r="T379" s="891">
        <f t="shared" si="102"/>
        <v>2</v>
      </c>
      <c r="U379" s="1220">
        <v>0.14900666475296021</v>
      </c>
      <c r="W379" s="299">
        <v>371</v>
      </c>
      <c r="X379" s="298">
        <f>IF('Donor Sample'!N396="",,IF('Donor Sample'!N396="F",1,0))</f>
        <v>0</v>
      </c>
      <c r="Y379" s="298" t="str">
        <f>IF('Donor Sample'!O396="","",'Donor Sample'!O396)</f>
        <v/>
      </c>
      <c r="Z379" s="298" t="str">
        <f>IF(AND('Donor Sample'!O396="",'Donor Sample'!P396="",'Donor Sample'!Q396=""),"",IF('Donor Sample'!P396="",ROUND(AA379/($C$32+($AI379-0.5)*$C$31),0),'Donor Sample'!P396))</f>
        <v/>
      </c>
      <c r="AA379" s="297" t="str">
        <f>IF('Donor Sample'!Q396="","",'Donor Sample'!Q396)</f>
        <v/>
      </c>
      <c r="AB379" s="296" t="str">
        <f t="shared" si="106"/>
        <v/>
      </c>
      <c r="AC379" s="295" t="str">
        <f>IF('Donor Sample'!R396="","",'Donor Sample'!R396)</f>
        <v/>
      </c>
      <c r="AD379" s="294" t="str">
        <f>IF('Donor Sample'!S396="","",'Donor Sample'!S396/100)</f>
        <v/>
      </c>
      <c r="AE379" s="293" t="e">
        <f t="shared" si="103"/>
        <v>#VALUE!</v>
      </c>
      <c r="AF379" s="293" t="str">
        <f t="shared" si="104"/>
        <v/>
      </c>
      <c r="AG379" s="292" t="str">
        <f>IF('Donor Sample'!T396="","",'Donor Sample'!T396)</f>
        <v/>
      </c>
      <c r="AH379" s="891">
        <f t="shared" si="105"/>
        <v>64</v>
      </c>
      <c r="AI379" s="1220">
        <v>0.43882304430007935</v>
      </c>
      <c r="AJ379" s="1216"/>
    </row>
    <row r="380" spans="5:36">
      <c r="E380" s="299">
        <v>372</v>
      </c>
      <c r="F380" s="308">
        <f t="shared" ca="1" si="94"/>
        <v>3291.1415998579873</v>
      </c>
      <c r="G380" s="307">
        <f t="shared" ca="1" si="95"/>
        <v>231.56623143220367</v>
      </c>
      <c r="H380" s="306">
        <f t="shared" ca="1" si="96"/>
        <v>0.41870497103352572</v>
      </c>
      <c r="I380" s="305">
        <f t="shared" ca="1" si="98"/>
        <v>136.59048311614319</v>
      </c>
      <c r="J380" s="305">
        <f t="shared" ca="1" si="99"/>
        <v>48.665533539366145</v>
      </c>
      <c r="K380" s="292">
        <f t="shared" ca="1" si="97"/>
        <v>5.567325409543237</v>
      </c>
      <c r="L380" s="1290">
        <f t="shared" ca="1" si="100"/>
        <v>40.602251977029816</v>
      </c>
      <c r="M380" s="299">
        <v>372</v>
      </c>
      <c r="N380" s="304">
        <f t="shared" si="101"/>
        <v>3395.1897817214194</v>
      </c>
      <c r="O380" s="303">
        <v>255.26960153147562</v>
      </c>
      <c r="P380" s="302">
        <v>0.48274967865516727</v>
      </c>
      <c r="Q380" s="301">
        <v>127.1131081808396</v>
      </c>
      <c r="R380" s="301">
        <v>53.783607790096084</v>
      </c>
      <c r="S380" s="300">
        <v>3.9515214837266668</v>
      </c>
      <c r="T380" s="891">
        <f t="shared" si="102"/>
        <v>2</v>
      </c>
      <c r="U380" s="1220">
        <v>0.32279753684997559</v>
      </c>
      <c r="W380" s="299">
        <v>372</v>
      </c>
      <c r="X380" s="298">
        <f>IF('Donor Sample'!N397="",,IF('Donor Sample'!N397="F",1,0))</f>
        <v>0</v>
      </c>
      <c r="Y380" s="298" t="str">
        <f>IF('Donor Sample'!O397="","",'Donor Sample'!O397)</f>
        <v/>
      </c>
      <c r="Z380" s="298" t="str">
        <f>IF(AND('Donor Sample'!O397="",'Donor Sample'!P397="",'Donor Sample'!Q397=""),"",IF('Donor Sample'!P397="",ROUND(AA380/($C$32+($AI380-0.5)*$C$31),0),'Donor Sample'!P397))</f>
        <v/>
      </c>
      <c r="AA380" s="297" t="str">
        <f>IF('Donor Sample'!Q397="","",'Donor Sample'!Q397)</f>
        <v/>
      </c>
      <c r="AB380" s="296" t="str">
        <f t="shared" si="106"/>
        <v/>
      </c>
      <c r="AC380" s="295" t="str">
        <f>IF('Donor Sample'!R397="","",'Donor Sample'!R397)</f>
        <v/>
      </c>
      <c r="AD380" s="294" t="str">
        <f>IF('Donor Sample'!S397="","",'Donor Sample'!S397/100)</f>
        <v/>
      </c>
      <c r="AE380" s="293" t="e">
        <f t="shared" si="103"/>
        <v>#VALUE!</v>
      </c>
      <c r="AF380" s="293" t="str">
        <f t="shared" si="104"/>
        <v/>
      </c>
      <c r="AG380" s="292" t="str">
        <f>IF('Donor Sample'!T397="","",'Donor Sample'!T397)</f>
        <v/>
      </c>
      <c r="AH380" s="891">
        <f t="shared" si="105"/>
        <v>2</v>
      </c>
      <c r="AI380" s="1220">
        <v>0.35813355445861816</v>
      </c>
      <c r="AJ380" s="1216"/>
    </row>
    <row r="381" spans="5:36">
      <c r="E381" s="299">
        <v>373</v>
      </c>
      <c r="F381" s="308">
        <f t="shared" ca="1" si="94"/>
        <v>3845.5760139105473</v>
      </c>
      <c r="G381" s="307">
        <f t="shared" ca="1" si="95"/>
        <v>264.4939521455226</v>
      </c>
      <c r="H381" s="306">
        <f t="shared" ca="1" si="96"/>
        <v>0.38015207290020087</v>
      </c>
      <c r="I381" s="305">
        <f t="shared" ca="1" si="98"/>
        <v>130.60746953572973</v>
      </c>
      <c r="J381" s="305">
        <f t="shared" ca="1" si="99"/>
        <v>60.551139102206179</v>
      </c>
      <c r="K381" s="292">
        <f t="shared" ca="1" si="97"/>
        <v>2.002928867048722</v>
      </c>
      <c r="L381" s="1290">
        <f t="shared" ca="1" si="100"/>
        <v>25.078181384086975</v>
      </c>
      <c r="M381" s="299">
        <v>373</v>
      </c>
      <c r="N381" s="304">
        <f t="shared" si="101"/>
        <v>3032.29770441449</v>
      </c>
      <c r="O381" s="303">
        <v>320.16985352038489</v>
      </c>
      <c r="P381" s="302">
        <v>0.39055736194616453</v>
      </c>
      <c r="Q381" s="301">
        <v>97.2338278741301</v>
      </c>
      <c r="R381" s="301">
        <v>55.154213233978631</v>
      </c>
      <c r="S381" s="300">
        <v>1.8073976746863207</v>
      </c>
      <c r="T381" s="891">
        <f t="shared" si="102"/>
        <v>64</v>
      </c>
      <c r="U381" s="1220">
        <v>0.47714513540267944</v>
      </c>
      <c r="W381" s="299">
        <v>373</v>
      </c>
      <c r="X381" s="298">
        <f>IF('Donor Sample'!N398="",,IF('Donor Sample'!N398="F",1,0))</f>
        <v>0</v>
      </c>
      <c r="Y381" s="298" t="str">
        <f>IF('Donor Sample'!O398="","",'Donor Sample'!O398)</f>
        <v/>
      </c>
      <c r="Z381" s="298" t="str">
        <f>IF(AND('Donor Sample'!O398="",'Donor Sample'!P398="",'Donor Sample'!Q398=""),"",IF('Donor Sample'!P398="",ROUND(AA381/($C$32+($AI381-0.5)*$C$31),0),'Donor Sample'!P398))</f>
        <v/>
      </c>
      <c r="AA381" s="297" t="str">
        <f>IF('Donor Sample'!Q398="","",'Donor Sample'!Q398)</f>
        <v/>
      </c>
      <c r="AB381" s="296" t="str">
        <f t="shared" si="106"/>
        <v/>
      </c>
      <c r="AC381" s="295" t="str">
        <f>IF('Donor Sample'!R398="","",'Donor Sample'!R398)</f>
        <v/>
      </c>
      <c r="AD381" s="294" t="str">
        <f>IF('Donor Sample'!S398="","",'Donor Sample'!S398/100)</f>
        <v/>
      </c>
      <c r="AE381" s="407" t="e">
        <f t="shared" si="103"/>
        <v>#VALUE!</v>
      </c>
      <c r="AF381" s="293" t="str">
        <f t="shared" si="104"/>
        <v/>
      </c>
      <c r="AG381" s="292" t="str">
        <f>IF('Donor Sample'!T398="","",'Donor Sample'!T398)</f>
        <v/>
      </c>
      <c r="AH381" s="891">
        <f t="shared" si="105"/>
        <v>2</v>
      </c>
      <c r="AI381" s="1220">
        <v>0.15678161382675171</v>
      </c>
      <c r="AJ381" s="1216"/>
    </row>
    <row r="382" spans="5:36">
      <c r="E382" s="299">
        <v>374</v>
      </c>
      <c r="F382" s="308">
        <f t="shared" ca="1" si="94"/>
        <v>3368.8536547242052</v>
      </c>
      <c r="G382" s="307">
        <f t="shared" ca="1" si="95"/>
        <v>277.96233921410089</v>
      </c>
      <c r="H382" s="306">
        <f t="shared" ca="1" si="96"/>
        <v>0.39499533604826992</v>
      </c>
      <c r="I382" s="305">
        <f t="shared" ca="1" si="98"/>
        <v>122.00849849647284</v>
      </c>
      <c r="J382" s="305">
        <f t="shared" ca="1" si="99"/>
        <v>54.691875630643295</v>
      </c>
      <c r="K382" s="292">
        <f t="shared" ca="1" si="97"/>
        <v>5.3358275561100967</v>
      </c>
      <c r="L382" s="1290">
        <f t="shared" ca="1" si="100"/>
        <v>28.715547860387495</v>
      </c>
      <c r="M382" s="299">
        <v>374</v>
      </c>
      <c r="N382" s="304">
        <f t="shared" si="101"/>
        <v>3052.1153466343312</v>
      </c>
      <c r="O382" s="303">
        <v>246.70908805779499</v>
      </c>
      <c r="P382" s="302">
        <v>0.46589261110795932</v>
      </c>
      <c r="Q382" s="301">
        <v>98.308726768185451</v>
      </c>
      <c r="R382" s="301">
        <v>55.229279110259377</v>
      </c>
      <c r="S382" s="300">
        <v>3.8576408900514627</v>
      </c>
      <c r="T382" s="891">
        <f t="shared" si="102"/>
        <v>256</v>
      </c>
      <c r="U382" s="1220">
        <v>0.92444169521331787</v>
      </c>
      <c r="W382" s="299">
        <v>374</v>
      </c>
      <c r="X382" s="298">
        <f>IF('Donor Sample'!N399="",,IF('Donor Sample'!N399="F",1,0))</f>
        <v>0</v>
      </c>
      <c r="Y382" s="298" t="str">
        <f>IF('Donor Sample'!O399="","",'Donor Sample'!O399)</f>
        <v/>
      </c>
      <c r="Z382" s="298" t="str">
        <f>IF(AND('Donor Sample'!O399="",'Donor Sample'!P399="",'Donor Sample'!Q399=""),"",IF('Donor Sample'!P399="",ROUND(AA382/($C$32+($AI382-0.5)*$C$31),0),'Donor Sample'!P399))</f>
        <v/>
      </c>
      <c r="AA382" s="297" t="str">
        <f>IF('Donor Sample'!Q399="","",'Donor Sample'!Q399)</f>
        <v/>
      </c>
      <c r="AB382" s="296" t="str">
        <f t="shared" si="106"/>
        <v/>
      </c>
      <c r="AC382" s="295" t="str">
        <f>IF('Donor Sample'!R399="","",'Donor Sample'!R399)</f>
        <v/>
      </c>
      <c r="AD382" s="294" t="str">
        <f>IF('Donor Sample'!S399="","",'Donor Sample'!S399/100)</f>
        <v/>
      </c>
      <c r="AE382" s="293" t="e">
        <f t="shared" si="103"/>
        <v>#VALUE!</v>
      </c>
      <c r="AF382" s="293" t="str">
        <f t="shared" si="104"/>
        <v/>
      </c>
      <c r="AG382" s="292" t="str">
        <f>IF('Donor Sample'!T399="","",'Donor Sample'!T399)</f>
        <v/>
      </c>
      <c r="AH382" s="891">
        <f t="shared" si="105"/>
        <v>2</v>
      </c>
      <c r="AI382" s="1220">
        <v>2.8598666191101074E-2</v>
      </c>
      <c r="AJ382" s="1216"/>
    </row>
    <row r="383" spans="5:36">
      <c r="E383" s="299">
        <v>375</v>
      </c>
      <c r="F383" s="308">
        <f t="shared" ca="1" si="94"/>
        <v>2956.5398647822867</v>
      </c>
      <c r="G383" s="307">
        <f t="shared" ca="1" si="95"/>
        <v>241.42474163386041</v>
      </c>
      <c r="H383" s="306">
        <f t="shared" ca="1" si="96"/>
        <v>0.47314119238106406</v>
      </c>
      <c r="I383" s="305">
        <f t="shared" ca="1" si="98"/>
        <v>119.69475726671264</v>
      </c>
      <c r="J383" s="305">
        <f t="shared" ca="1" si="99"/>
        <v>55.137897932456731</v>
      </c>
      <c r="K383" s="292">
        <f t="shared" ca="1" si="97"/>
        <v>17.909031185182869</v>
      </c>
      <c r="L383" s="1290">
        <f t="shared" ca="1" si="100"/>
        <v>27.717073740315037</v>
      </c>
      <c r="M383" s="299">
        <v>375</v>
      </c>
      <c r="N383" s="304">
        <f t="shared" si="101"/>
        <v>3287.9190394540656</v>
      </c>
      <c r="O383" s="303">
        <v>330.29620667282438</v>
      </c>
      <c r="P383" s="302">
        <v>0.43175864547454906</v>
      </c>
      <c r="Q383" s="301">
        <v>116.5373315122867</v>
      </c>
      <c r="R383" s="301">
        <v>61.493794692011093</v>
      </c>
      <c r="S383" s="300">
        <v>4.9604473572763617</v>
      </c>
      <c r="T383" s="891">
        <f t="shared" si="102"/>
        <v>2</v>
      </c>
      <c r="U383" s="1220">
        <v>3.9033949375152588E-2</v>
      </c>
      <c r="W383" s="299">
        <v>375</v>
      </c>
      <c r="X383" s="298">
        <f>IF('Donor Sample'!N400="",,IF('Donor Sample'!N400="F",1,0))</f>
        <v>0</v>
      </c>
      <c r="Y383" s="298" t="str">
        <f>IF('Donor Sample'!O400="","",'Donor Sample'!O400)</f>
        <v/>
      </c>
      <c r="Z383" s="298" t="str">
        <f>IF(AND('Donor Sample'!O400="",'Donor Sample'!P400="",'Donor Sample'!Q400=""),"",IF('Donor Sample'!P400="",ROUND(AA383/($C$32+($AI383-0.5)*$C$31),0),'Donor Sample'!P400))</f>
        <v/>
      </c>
      <c r="AA383" s="297" t="str">
        <f>IF('Donor Sample'!Q400="","",'Donor Sample'!Q400)</f>
        <v/>
      </c>
      <c r="AB383" s="296" t="str">
        <f t="shared" si="106"/>
        <v/>
      </c>
      <c r="AC383" s="295" t="str">
        <f>IF('Donor Sample'!R400="","",'Donor Sample'!R400)</f>
        <v/>
      </c>
      <c r="AD383" s="294" t="str">
        <f>IF('Donor Sample'!S400="","",'Donor Sample'!S400/100)</f>
        <v/>
      </c>
      <c r="AE383" s="293" t="e">
        <f t="shared" si="103"/>
        <v>#VALUE!</v>
      </c>
      <c r="AF383" s="293" t="str">
        <f t="shared" si="104"/>
        <v/>
      </c>
      <c r="AG383" s="292" t="str">
        <f>IF('Donor Sample'!T400="","",'Donor Sample'!T400)</f>
        <v/>
      </c>
      <c r="AH383" s="891">
        <f t="shared" si="105"/>
        <v>32</v>
      </c>
      <c r="AI383" s="1220">
        <v>0.79736381769180298</v>
      </c>
      <c r="AJ383" s="1216"/>
    </row>
    <row r="384" spans="5:36">
      <c r="E384" s="299">
        <v>376</v>
      </c>
      <c r="F384" s="308">
        <f t="shared" ca="1" si="94"/>
        <v>3785.1521403524266</v>
      </c>
      <c r="G384" s="307">
        <f t="shared" ca="1" si="95"/>
        <v>157.89877424183334</v>
      </c>
      <c r="H384" s="306">
        <f t="shared" ca="1" si="96"/>
        <v>0.45274312623203561</v>
      </c>
      <c r="I384" s="305">
        <f t="shared" ca="1" si="98"/>
        <v>126.15298850523209</v>
      </c>
      <c r="J384" s="305">
        <f t="shared" ca="1" si="99"/>
        <v>66.421141738411507</v>
      </c>
      <c r="K384" s="292">
        <f t="shared" ca="1" si="97"/>
        <v>1.2375400561950702</v>
      </c>
      <c r="L384" s="1290">
        <f t="shared" ca="1" si="100"/>
        <v>20.130637536216184</v>
      </c>
      <c r="M384" s="299">
        <v>376</v>
      </c>
      <c r="N384" s="304">
        <f t="shared" si="101"/>
        <v>3774.6138685500314</v>
      </c>
      <c r="O384" s="303">
        <v>268.73414019068963</v>
      </c>
      <c r="P384" s="302">
        <v>0.41271531996008348</v>
      </c>
      <c r="Q384" s="301">
        <v>152.13782424171555</v>
      </c>
      <c r="R384" s="301">
        <v>60.770576337634097</v>
      </c>
      <c r="S384" s="300">
        <v>1.3255733085257835</v>
      </c>
      <c r="T384" s="891">
        <f t="shared" si="102"/>
        <v>64</v>
      </c>
      <c r="U384" s="1220">
        <v>0.76331138610839844</v>
      </c>
      <c r="W384" s="299">
        <v>376</v>
      </c>
      <c r="X384" s="298">
        <f>IF('Donor Sample'!N401="",,IF('Donor Sample'!N401="F",1,0))</f>
        <v>0</v>
      </c>
      <c r="Y384" s="298" t="str">
        <f>IF('Donor Sample'!O401="","",'Donor Sample'!O401)</f>
        <v/>
      </c>
      <c r="Z384" s="298" t="str">
        <f>IF(AND('Donor Sample'!O401="",'Donor Sample'!P401="",'Donor Sample'!Q401=""),"",IF('Donor Sample'!P401="",ROUND(AA384/($C$32+($AI384-0.5)*$C$31),0),'Donor Sample'!P401))</f>
        <v/>
      </c>
      <c r="AA384" s="297" t="str">
        <f>IF('Donor Sample'!Q401="","",'Donor Sample'!Q401)</f>
        <v/>
      </c>
      <c r="AB384" s="296" t="str">
        <f t="shared" si="106"/>
        <v/>
      </c>
      <c r="AC384" s="295" t="str">
        <f>IF('Donor Sample'!R401="","",'Donor Sample'!R401)</f>
        <v/>
      </c>
      <c r="AD384" s="294" t="str">
        <f>IF('Donor Sample'!S401="","",'Donor Sample'!S401/100)</f>
        <v/>
      </c>
      <c r="AE384" s="407" t="e">
        <f t="shared" si="103"/>
        <v>#VALUE!</v>
      </c>
      <c r="AF384" s="293" t="str">
        <f t="shared" si="104"/>
        <v/>
      </c>
      <c r="AG384" s="292" t="str">
        <f>IF('Donor Sample'!T401="","",'Donor Sample'!T401)</f>
        <v/>
      </c>
      <c r="AH384" s="891">
        <f t="shared" si="105"/>
        <v>32</v>
      </c>
      <c r="AI384" s="1220">
        <v>0.77591943740844727</v>
      </c>
      <c r="AJ384" s="1216"/>
    </row>
    <row r="385" spans="5:36">
      <c r="E385" s="299">
        <v>377</v>
      </c>
      <c r="F385" s="308">
        <f t="shared" ca="1" si="94"/>
        <v>3170.0424014639971</v>
      </c>
      <c r="G385" s="307">
        <f t="shared" ca="1" si="95"/>
        <v>274.99307146862407</v>
      </c>
      <c r="H385" s="306">
        <f t="shared" ca="1" si="96"/>
        <v>0.38209031512879155</v>
      </c>
      <c r="I385" s="305">
        <f t="shared" ca="1" si="98"/>
        <v>108.38799070980279</v>
      </c>
      <c r="J385" s="305">
        <f t="shared" ca="1" si="99"/>
        <v>54.692768313844333</v>
      </c>
      <c r="K385" s="292">
        <f t="shared" ca="1" si="97"/>
        <v>4.1864766152551924</v>
      </c>
      <c r="L385" s="1290">
        <f t="shared" ca="1" si="100"/>
        <v>25.509033988858878</v>
      </c>
      <c r="M385" s="299">
        <v>377</v>
      </c>
      <c r="N385" s="304">
        <f t="shared" si="101"/>
        <v>3873.0512355493443</v>
      </c>
      <c r="O385" s="303">
        <v>221.13946468666984</v>
      </c>
      <c r="P385" s="302">
        <v>0.40768979140911699</v>
      </c>
      <c r="Q385" s="301">
        <v>137.52823976323845</v>
      </c>
      <c r="R385" s="301">
        <v>59.417538187671262</v>
      </c>
      <c r="S385" s="300">
        <v>1.6672029807274531</v>
      </c>
      <c r="T385" s="891">
        <f t="shared" si="102"/>
        <v>2</v>
      </c>
      <c r="U385" s="1220">
        <v>7.3816478252410889E-2</v>
      </c>
      <c r="W385" s="299">
        <v>377</v>
      </c>
      <c r="X385" s="298">
        <f>IF('Donor Sample'!N402="",,IF('Donor Sample'!N402="F",1,0))</f>
        <v>0</v>
      </c>
      <c r="Y385" s="298" t="str">
        <f>IF('Donor Sample'!O402="","",'Donor Sample'!O402)</f>
        <v/>
      </c>
      <c r="Z385" s="298" t="str">
        <f>IF(AND('Donor Sample'!O402="",'Donor Sample'!P402="",'Donor Sample'!Q402=""),"",IF('Donor Sample'!P402="",ROUND(AA385/($C$32+($AI385-0.5)*$C$31),0),'Donor Sample'!P402))</f>
        <v/>
      </c>
      <c r="AA385" s="297" t="str">
        <f>IF('Donor Sample'!Q402="","",'Donor Sample'!Q402)</f>
        <v/>
      </c>
      <c r="AB385" s="296" t="str">
        <f t="shared" si="106"/>
        <v/>
      </c>
      <c r="AC385" s="295" t="str">
        <f>IF('Donor Sample'!R402="","",'Donor Sample'!R402)</f>
        <v/>
      </c>
      <c r="AD385" s="294" t="str">
        <f>IF('Donor Sample'!S402="","",'Donor Sample'!S402/100)</f>
        <v/>
      </c>
      <c r="AE385" s="293" t="e">
        <f t="shared" si="103"/>
        <v>#VALUE!</v>
      </c>
      <c r="AF385" s="293" t="str">
        <f t="shared" si="104"/>
        <v/>
      </c>
      <c r="AG385" s="292" t="str">
        <f>IF('Donor Sample'!T402="","",'Donor Sample'!T402)</f>
        <v/>
      </c>
      <c r="AH385" s="891">
        <f t="shared" si="105"/>
        <v>64</v>
      </c>
      <c r="AI385" s="1220">
        <v>0.6731993556022644</v>
      </c>
      <c r="AJ385" s="1216"/>
    </row>
    <row r="386" spans="5:36">
      <c r="E386" s="299">
        <v>378</v>
      </c>
      <c r="F386" s="308">
        <f t="shared" ca="1" si="94"/>
        <v>3578.000813722897</v>
      </c>
      <c r="G386" s="307">
        <f t="shared" ca="1" si="95"/>
        <v>249.87705351763475</v>
      </c>
      <c r="H386" s="306">
        <f t="shared" ca="1" si="96"/>
        <v>0.3690642563374098</v>
      </c>
      <c r="I386" s="305">
        <f t="shared" ca="1" si="98"/>
        <v>141.16149228532151</v>
      </c>
      <c r="J386" s="305">
        <f t="shared" ca="1" si="99"/>
        <v>53.352825485168232</v>
      </c>
      <c r="K386" s="292">
        <f t="shared" ca="1" si="97"/>
        <v>1.559473790517828</v>
      </c>
      <c r="L386" s="1290">
        <f t="shared" ca="1" si="100"/>
        <v>34.911945591874563</v>
      </c>
      <c r="M386" s="299">
        <v>378</v>
      </c>
      <c r="N386" s="304">
        <f t="shared" si="101"/>
        <v>3178.9367266643458</v>
      </c>
      <c r="O386" s="303">
        <v>223.72115416688973</v>
      </c>
      <c r="P386" s="302">
        <v>0.43236888956445635</v>
      </c>
      <c r="Q386" s="301">
        <v>112.37225985011419</v>
      </c>
      <c r="R386" s="301">
        <v>53.763730337814756</v>
      </c>
      <c r="S386" s="300">
        <v>4.8152316842676379</v>
      </c>
      <c r="T386" s="891">
        <f t="shared" si="102"/>
        <v>64</v>
      </c>
      <c r="U386" s="1220">
        <v>0.62978899478912354</v>
      </c>
      <c r="W386" s="299">
        <v>378</v>
      </c>
      <c r="X386" s="298">
        <f>IF('Donor Sample'!N403="",,IF('Donor Sample'!N403="F",1,0))</f>
        <v>0</v>
      </c>
      <c r="Y386" s="298" t="str">
        <f>IF('Donor Sample'!O403="","",'Donor Sample'!O403)</f>
        <v/>
      </c>
      <c r="Z386" s="298" t="str">
        <f>IF(AND('Donor Sample'!O403="",'Donor Sample'!P403="",'Donor Sample'!Q403=""),"",IF('Donor Sample'!P403="",ROUND(AA386/($C$32+($AI386-0.5)*$C$31),0),'Donor Sample'!P403))</f>
        <v/>
      </c>
      <c r="AA386" s="297" t="str">
        <f>IF('Donor Sample'!Q403="","",'Donor Sample'!Q403)</f>
        <v/>
      </c>
      <c r="AB386" s="296" t="str">
        <f t="shared" si="106"/>
        <v/>
      </c>
      <c r="AC386" s="295" t="str">
        <f>IF('Donor Sample'!R403="","",'Donor Sample'!R403)</f>
        <v/>
      </c>
      <c r="AD386" s="294" t="str">
        <f>IF('Donor Sample'!S403="","",'Donor Sample'!S403/100)</f>
        <v/>
      </c>
      <c r="AE386" s="293" t="e">
        <f t="shared" si="103"/>
        <v>#VALUE!</v>
      </c>
      <c r="AF386" s="293" t="str">
        <f t="shared" si="104"/>
        <v/>
      </c>
      <c r="AG386" s="292" t="str">
        <f>IF('Donor Sample'!T403="","",'Donor Sample'!T403)</f>
        <v/>
      </c>
      <c r="AH386" s="891">
        <f t="shared" si="105"/>
        <v>4</v>
      </c>
      <c r="AI386" s="1220">
        <v>0.42001926898956299</v>
      </c>
      <c r="AJ386" s="1216"/>
    </row>
    <row r="387" spans="5:36">
      <c r="E387" s="299">
        <v>379</v>
      </c>
      <c r="F387" s="308">
        <f t="shared" ca="1" si="94"/>
        <v>3145.0154385196356</v>
      </c>
      <c r="G387" s="307">
        <f t="shared" ca="1" si="95"/>
        <v>239.22860099013121</v>
      </c>
      <c r="H387" s="306">
        <f t="shared" ca="1" si="96"/>
        <v>0.3621894792802095</v>
      </c>
      <c r="I387" s="305">
        <f t="shared" ca="1" si="98"/>
        <v>128.47390071257988</v>
      </c>
      <c r="J387" s="305">
        <f t="shared" ca="1" si="99"/>
        <v>48.010042049568888</v>
      </c>
      <c r="K387" s="292">
        <f t="shared" ca="1" si="97"/>
        <v>2.1894247318046443</v>
      </c>
      <c r="L387" s="1290">
        <f t="shared" ca="1" si="100"/>
        <v>39.239493849903084</v>
      </c>
      <c r="M387" s="299">
        <v>379</v>
      </c>
      <c r="N387" s="304">
        <f t="shared" si="101"/>
        <v>3330.345980646719</v>
      </c>
      <c r="O387" s="303">
        <v>294.16780218061342</v>
      </c>
      <c r="P387" s="302">
        <v>0.50632661009999436</v>
      </c>
      <c r="Q387" s="301">
        <v>110.03145387010834</v>
      </c>
      <c r="R387" s="301">
        <v>57.110817742353746</v>
      </c>
      <c r="S387" s="300">
        <v>1.9733679329556861</v>
      </c>
      <c r="T387" s="891">
        <f t="shared" si="102"/>
        <v>64</v>
      </c>
      <c r="U387" s="1220">
        <v>0.6869080662727356</v>
      </c>
      <c r="W387" s="299">
        <v>379</v>
      </c>
      <c r="X387" s="298">
        <f>IF('Donor Sample'!N404="",,IF('Donor Sample'!N404="F",1,0))</f>
        <v>0</v>
      </c>
      <c r="Y387" s="298" t="str">
        <f>IF('Donor Sample'!O404="","",'Donor Sample'!O404)</f>
        <v/>
      </c>
      <c r="Z387" s="298" t="str">
        <f>IF(AND('Donor Sample'!O404="",'Donor Sample'!P404="",'Donor Sample'!Q404=""),"",IF('Donor Sample'!P404="",ROUND(AA387/($C$32+($AI387-0.5)*$C$31),0),'Donor Sample'!P404))</f>
        <v/>
      </c>
      <c r="AA387" s="297" t="str">
        <f>IF('Donor Sample'!Q404="","",'Donor Sample'!Q404)</f>
        <v/>
      </c>
      <c r="AB387" s="296" t="str">
        <f t="shared" si="106"/>
        <v/>
      </c>
      <c r="AC387" s="295" t="str">
        <f>IF('Donor Sample'!R404="","",'Donor Sample'!R404)</f>
        <v/>
      </c>
      <c r="AD387" s="294" t="str">
        <f>IF('Donor Sample'!S404="","",'Donor Sample'!S404/100)</f>
        <v/>
      </c>
      <c r="AE387" s="407" t="e">
        <f t="shared" si="103"/>
        <v>#VALUE!</v>
      </c>
      <c r="AF387" s="293" t="str">
        <f t="shared" si="104"/>
        <v/>
      </c>
      <c r="AG387" s="292" t="str">
        <f>IF('Donor Sample'!T404="","",'Donor Sample'!T404)</f>
        <v/>
      </c>
      <c r="AH387" s="891">
        <f t="shared" si="105"/>
        <v>2</v>
      </c>
      <c r="AI387" s="1220">
        <v>5.1080524921417236E-2</v>
      </c>
      <c r="AJ387" s="1216"/>
    </row>
    <row r="388" spans="5:36">
      <c r="E388" s="299">
        <v>380</v>
      </c>
      <c r="F388" s="308">
        <f t="shared" ca="1" si="94"/>
        <v>3244.0924527992447</v>
      </c>
      <c r="G388" s="307">
        <f t="shared" ca="1" si="95"/>
        <v>224.18541256315439</v>
      </c>
      <c r="H388" s="306">
        <f t="shared" ca="1" si="96"/>
        <v>0.37611490974783185</v>
      </c>
      <c r="I388" s="305">
        <f t="shared" ca="1" si="98"/>
        <v>111.16511430749281</v>
      </c>
      <c r="J388" s="305">
        <f t="shared" ca="1" si="99"/>
        <v>62.044134018878701</v>
      </c>
      <c r="K388" s="292">
        <f t="shared" ca="1" si="97"/>
        <v>3.3388962090169687</v>
      </c>
      <c r="L388" s="1290">
        <f t="shared" ca="1" si="100"/>
        <v>20.330109766303348</v>
      </c>
      <c r="M388" s="299">
        <v>380</v>
      </c>
      <c r="N388" s="304">
        <f t="shared" si="101"/>
        <v>3285.4401984384967</v>
      </c>
      <c r="O388" s="303">
        <v>281.68548415911846</v>
      </c>
      <c r="P388" s="302">
        <v>0.39487671069312158</v>
      </c>
      <c r="Q388" s="301">
        <v>111.77287359725906</v>
      </c>
      <c r="R388" s="301">
        <v>62.518809316608241</v>
      </c>
      <c r="S388" s="300">
        <v>7.0863321106698267</v>
      </c>
      <c r="T388" s="891">
        <f t="shared" si="102"/>
        <v>32</v>
      </c>
      <c r="U388" s="1220">
        <v>0.77794098854064941</v>
      </c>
      <c r="W388" s="299">
        <v>380</v>
      </c>
      <c r="X388" s="298">
        <f>IF('Donor Sample'!N405="",,IF('Donor Sample'!N405="F",1,0))</f>
        <v>0</v>
      </c>
      <c r="Y388" s="298" t="str">
        <f>IF('Donor Sample'!O405="","",'Donor Sample'!O405)</f>
        <v/>
      </c>
      <c r="Z388" s="298" t="str">
        <f>IF(AND('Donor Sample'!O405="",'Donor Sample'!P405="",'Donor Sample'!Q405=""),"",IF('Donor Sample'!P405="",ROUND(AA388/($C$32+($AI388-0.5)*$C$31),0),'Donor Sample'!P405))</f>
        <v/>
      </c>
      <c r="AA388" s="297" t="str">
        <f>IF('Donor Sample'!Q405="","",'Donor Sample'!Q405)</f>
        <v/>
      </c>
      <c r="AB388" s="296" t="str">
        <f t="shared" si="106"/>
        <v/>
      </c>
      <c r="AC388" s="295" t="str">
        <f>IF('Donor Sample'!R405="","",'Donor Sample'!R405)</f>
        <v/>
      </c>
      <c r="AD388" s="294" t="str">
        <f>IF('Donor Sample'!S405="","",'Donor Sample'!S405/100)</f>
        <v/>
      </c>
      <c r="AE388" s="293" t="e">
        <f t="shared" si="103"/>
        <v>#VALUE!</v>
      </c>
      <c r="AF388" s="293" t="str">
        <f t="shared" si="104"/>
        <v/>
      </c>
      <c r="AG388" s="292" t="str">
        <f>IF('Donor Sample'!T405="","",'Donor Sample'!T405)</f>
        <v/>
      </c>
      <c r="AH388" s="891">
        <f t="shared" si="105"/>
        <v>16</v>
      </c>
      <c r="AI388" s="1220">
        <v>0.98083376884460449</v>
      </c>
      <c r="AJ388" s="1216"/>
    </row>
    <row r="389" spans="5:36">
      <c r="E389" s="299">
        <v>381</v>
      </c>
      <c r="F389" s="308">
        <f t="shared" ca="1" si="94"/>
        <v>3400.0041234106307</v>
      </c>
      <c r="G389" s="307">
        <f t="shared" ca="1" si="95"/>
        <v>243.26318359603789</v>
      </c>
      <c r="H389" s="306">
        <f t="shared" ca="1" si="96"/>
        <v>0.40354579502174764</v>
      </c>
      <c r="I389" s="305">
        <f t="shared" ca="1" si="98"/>
        <v>105.43669979243785</v>
      </c>
      <c r="J389" s="305">
        <f t="shared" ca="1" si="99"/>
        <v>59.34661536312418</v>
      </c>
      <c r="K389" s="292">
        <f t="shared" ca="1" si="97"/>
        <v>3.6880715514349132</v>
      </c>
      <c r="L389" s="1290">
        <f t="shared" ca="1" si="100"/>
        <v>21.075241123228725</v>
      </c>
      <c r="M389" s="299">
        <v>381</v>
      </c>
      <c r="N389" s="304">
        <f t="shared" si="101"/>
        <v>3001.1297264893492</v>
      </c>
      <c r="O389" s="303">
        <v>239.11497119143041</v>
      </c>
      <c r="P389" s="302">
        <v>0.3868877929364915</v>
      </c>
      <c r="Q389" s="301">
        <v>124.64839276036864</v>
      </c>
      <c r="R389" s="301">
        <v>45.79151000458647</v>
      </c>
      <c r="S389" s="300">
        <v>1.271377005317486</v>
      </c>
      <c r="T389" s="891">
        <f t="shared" si="102"/>
        <v>4</v>
      </c>
      <c r="U389" s="1220">
        <v>0.40517181158065796</v>
      </c>
      <c r="W389" s="299">
        <v>381</v>
      </c>
      <c r="X389" s="298">
        <f>IF('Donor Sample'!N406="",,IF('Donor Sample'!N406="F",1,0))</f>
        <v>0</v>
      </c>
      <c r="Y389" s="298" t="str">
        <f>IF('Donor Sample'!O406="","",'Donor Sample'!O406)</f>
        <v/>
      </c>
      <c r="Z389" s="298" t="str">
        <f>IF(AND('Donor Sample'!O406="",'Donor Sample'!P406="",'Donor Sample'!Q406=""),"",IF('Donor Sample'!P406="",ROUND(AA389/($C$32+($AI389-0.5)*$C$31),0),'Donor Sample'!P406))</f>
        <v/>
      </c>
      <c r="AA389" s="297" t="str">
        <f>IF('Donor Sample'!Q406="","",'Donor Sample'!Q406)</f>
        <v/>
      </c>
      <c r="AB389" s="296" t="str">
        <f t="shared" si="106"/>
        <v/>
      </c>
      <c r="AC389" s="295" t="str">
        <f>IF('Donor Sample'!R406="","",'Donor Sample'!R406)</f>
        <v/>
      </c>
      <c r="AD389" s="294" t="str">
        <f>IF('Donor Sample'!S406="","",'Donor Sample'!S406/100)</f>
        <v/>
      </c>
      <c r="AE389" s="293" t="e">
        <f t="shared" si="103"/>
        <v>#VALUE!</v>
      </c>
      <c r="AF389" s="293" t="str">
        <f t="shared" si="104"/>
        <v/>
      </c>
      <c r="AG389" s="292" t="str">
        <f>IF('Donor Sample'!T406="","",'Donor Sample'!T406)</f>
        <v/>
      </c>
      <c r="AH389" s="891">
        <f t="shared" si="105"/>
        <v>4</v>
      </c>
      <c r="AI389" s="1220">
        <v>0.41026300191879272</v>
      </c>
      <c r="AJ389" s="1216"/>
    </row>
    <row r="390" spans="5:36">
      <c r="E390" s="299">
        <v>382</v>
      </c>
      <c r="F390" s="308">
        <f t="shared" ca="1" si="94"/>
        <v>3127.9665013122894</v>
      </c>
      <c r="G390" s="307">
        <f t="shared" ca="1" si="95"/>
        <v>323.0193052802195</v>
      </c>
      <c r="H390" s="306">
        <f t="shared" ca="1" si="96"/>
        <v>0.52887295729326533</v>
      </c>
      <c r="I390" s="305">
        <f t="shared" ca="1" si="98"/>
        <v>131.05682171930093</v>
      </c>
      <c r="J390" s="305">
        <f t="shared" ca="1" si="99"/>
        <v>46.654941524439955</v>
      </c>
      <c r="K390" s="292">
        <f t="shared" ca="1" si="97"/>
        <v>10.584851548617507</v>
      </c>
      <c r="L390" s="1290">
        <f t="shared" ca="1" si="100"/>
        <v>42.387420854036677</v>
      </c>
      <c r="M390" s="299">
        <v>382</v>
      </c>
      <c r="N390" s="304">
        <f t="shared" si="101"/>
        <v>3312.6506709655755</v>
      </c>
      <c r="O390" s="303">
        <v>220.07461994336145</v>
      </c>
      <c r="P390" s="302">
        <v>0.4449831214244937</v>
      </c>
      <c r="Q390" s="301">
        <v>105.8671654841713</v>
      </c>
      <c r="R390" s="301">
        <v>57.834325687964295</v>
      </c>
      <c r="S390" s="300">
        <v>2.4246935287551152</v>
      </c>
      <c r="T390" s="891">
        <f t="shared" si="102"/>
        <v>64</v>
      </c>
      <c r="U390" s="1220">
        <v>0.75999057292938232</v>
      </c>
      <c r="W390" s="299">
        <v>382</v>
      </c>
      <c r="X390" s="298">
        <f>IF('Donor Sample'!N407="",,IF('Donor Sample'!N407="F",1,0))</f>
        <v>0</v>
      </c>
      <c r="Y390" s="298" t="str">
        <f>IF('Donor Sample'!O407="","",'Donor Sample'!O407)</f>
        <v/>
      </c>
      <c r="Z390" s="298" t="str">
        <f>IF(AND('Donor Sample'!O407="",'Donor Sample'!P407="",'Donor Sample'!Q407=""),"",IF('Donor Sample'!P407="",ROUND(AA390/($C$32+($AI390-0.5)*$C$31),0),'Donor Sample'!P407))</f>
        <v/>
      </c>
      <c r="AA390" s="297" t="str">
        <f>IF('Donor Sample'!Q407="","",'Donor Sample'!Q407)</f>
        <v/>
      </c>
      <c r="AB390" s="296" t="str">
        <f t="shared" si="106"/>
        <v/>
      </c>
      <c r="AC390" s="295" t="str">
        <f>IF('Donor Sample'!R407="","",'Donor Sample'!R407)</f>
        <v/>
      </c>
      <c r="AD390" s="294" t="str">
        <f>IF('Donor Sample'!S407="","",'Donor Sample'!S407/100)</f>
        <v/>
      </c>
      <c r="AE390" s="407" t="e">
        <f t="shared" si="103"/>
        <v>#VALUE!</v>
      </c>
      <c r="AF390" s="293" t="str">
        <f t="shared" si="104"/>
        <v/>
      </c>
      <c r="AG390" s="292" t="str">
        <f>IF('Donor Sample'!T407="","",'Donor Sample'!T407)</f>
        <v/>
      </c>
      <c r="AH390" s="891">
        <f t="shared" si="105"/>
        <v>4</v>
      </c>
      <c r="AI390" s="1220">
        <v>0.40340840816497803</v>
      </c>
      <c r="AJ390" s="1216"/>
    </row>
    <row r="391" spans="5:36">
      <c r="E391" s="299">
        <v>383</v>
      </c>
      <c r="F391" s="308">
        <f t="shared" ca="1" si="94"/>
        <v>3486.466735276244</v>
      </c>
      <c r="G391" s="307">
        <f t="shared" ca="1" si="95"/>
        <v>236.87972807024317</v>
      </c>
      <c r="H391" s="306">
        <f t="shared" ca="1" si="96"/>
        <v>0.43191378743569458</v>
      </c>
      <c r="I391" s="305">
        <f t="shared" ca="1" si="98"/>
        <v>139.56950376846115</v>
      </c>
      <c r="J391" s="305">
        <f t="shared" ca="1" si="99"/>
        <v>51.988036542683894</v>
      </c>
      <c r="K391" s="292">
        <f t="shared" ca="1" si="97"/>
        <v>1.8508600449416421</v>
      </c>
      <c r="L391" s="1290">
        <f t="shared" ca="1" si="100"/>
        <v>36.35434819299676</v>
      </c>
      <c r="M391" s="299">
        <v>383</v>
      </c>
      <c r="N391" s="304">
        <f t="shared" si="101"/>
        <v>4043.0841321176176</v>
      </c>
      <c r="O391" s="303">
        <v>227.31099347560811</v>
      </c>
      <c r="P391" s="302">
        <v>0.41948282805042381</v>
      </c>
      <c r="Q391" s="301">
        <v>166.53306483076764</v>
      </c>
      <c r="R391" s="301">
        <v>55.136301159924663</v>
      </c>
      <c r="S391" s="300">
        <v>1.2514657227909813</v>
      </c>
      <c r="T391" s="891">
        <f t="shared" si="102"/>
        <v>2</v>
      </c>
      <c r="U391" s="1220">
        <v>0.17350059747695923</v>
      </c>
      <c r="W391" s="299">
        <v>383</v>
      </c>
      <c r="X391" s="298">
        <f>IF('Donor Sample'!N408="",,IF('Donor Sample'!N408="F",1,0))</f>
        <v>0</v>
      </c>
      <c r="Y391" s="298" t="str">
        <f>IF('Donor Sample'!O408="","",'Donor Sample'!O408)</f>
        <v/>
      </c>
      <c r="Z391" s="298" t="str">
        <f>IF(AND('Donor Sample'!O408="",'Donor Sample'!P408="",'Donor Sample'!Q408=""),"",IF('Donor Sample'!P408="",ROUND(AA391/($C$32+($AI391-0.5)*$C$31),0),'Donor Sample'!P408))</f>
        <v/>
      </c>
      <c r="AA391" s="297" t="str">
        <f>IF('Donor Sample'!Q408="","",'Donor Sample'!Q408)</f>
        <v/>
      </c>
      <c r="AB391" s="296" t="str">
        <f t="shared" si="106"/>
        <v/>
      </c>
      <c r="AC391" s="295" t="str">
        <f>IF('Donor Sample'!R408="","",'Donor Sample'!R408)</f>
        <v/>
      </c>
      <c r="AD391" s="294" t="str">
        <f>IF('Donor Sample'!S408="","",'Donor Sample'!S408/100)</f>
        <v/>
      </c>
      <c r="AE391" s="293" t="e">
        <f t="shared" si="103"/>
        <v>#VALUE!</v>
      </c>
      <c r="AF391" s="293" t="str">
        <f t="shared" si="104"/>
        <v/>
      </c>
      <c r="AG391" s="292" t="str">
        <f>IF('Donor Sample'!T408="","",'Donor Sample'!T408)</f>
        <v/>
      </c>
      <c r="AH391" s="891">
        <f t="shared" si="105"/>
        <v>64</v>
      </c>
      <c r="AI391" s="1220">
        <v>0.76717287302017212</v>
      </c>
      <c r="AJ391" s="1216"/>
    </row>
    <row r="392" spans="5:36">
      <c r="E392" s="299">
        <v>384</v>
      </c>
      <c r="F392" s="308">
        <f t="shared" ca="1" si="94"/>
        <v>3381.8529863615081</v>
      </c>
      <c r="G392" s="307">
        <f t="shared" ca="1" si="95"/>
        <v>287.33893102298242</v>
      </c>
      <c r="H392" s="306">
        <f t="shared" ca="1" si="96"/>
        <v>0.3672191575805443</v>
      </c>
      <c r="I392" s="305">
        <f t="shared" ca="1" si="98"/>
        <v>107.06010395698927</v>
      </c>
      <c r="J392" s="305">
        <f t="shared" ca="1" si="99"/>
        <v>58.680302915730884</v>
      </c>
      <c r="K392" s="292">
        <f t="shared" ca="1" si="97"/>
        <v>1.7578370286160583</v>
      </c>
      <c r="L392" s="1290">
        <f t="shared" ca="1" si="100"/>
        <v>21.888481100237435</v>
      </c>
      <c r="M392" s="299">
        <v>384</v>
      </c>
      <c r="N392" s="304">
        <f t="shared" si="101"/>
        <v>3106.5446500793178</v>
      </c>
      <c r="O392" s="303">
        <v>213.32363520863791</v>
      </c>
      <c r="P392" s="302">
        <v>0.47357627896300158</v>
      </c>
      <c r="Q392" s="301">
        <v>98.806167553557714</v>
      </c>
      <c r="R392" s="301">
        <v>56.073650365945042</v>
      </c>
      <c r="S392" s="300">
        <v>11.134621818883273</v>
      </c>
      <c r="T392" s="891">
        <f t="shared" si="102"/>
        <v>128</v>
      </c>
      <c r="U392" s="1220">
        <v>0.93657159805297852</v>
      </c>
      <c r="W392" s="299">
        <v>384</v>
      </c>
      <c r="X392" s="298">
        <f>IF('Donor Sample'!N409="",,IF('Donor Sample'!N409="F",1,0))</f>
        <v>0</v>
      </c>
      <c r="Y392" s="298" t="str">
        <f>IF('Donor Sample'!O409="","",'Donor Sample'!O409)</f>
        <v/>
      </c>
      <c r="Z392" s="298" t="str">
        <f>IF(AND('Donor Sample'!O409="",'Donor Sample'!P409="",'Donor Sample'!Q409=""),"",IF('Donor Sample'!P409="",ROUND(AA392/($C$32+($AI392-0.5)*$C$31),0),'Donor Sample'!P409))</f>
        <v/>
      </c>
      <c r="AA392" s="297" t="str">
        <f>IF('Donor Sample'!Q409="","",'Donor Sample'!Q409)</f>
        <v/>
      </c>
      <c r="AB392" s="296" t="str">
        <f t="shared" si="106"/>
        <v/>
      </c>
      <c r="AC392" s="295" t="str">
        <f>IF('Donor Sample'!R409="","",'Donor Sample'!R409)</f>
        <v/>
      </c>
      <c r="AD392" s="294" t="str">
        <f>IF('Donor Sample'!S409="","",'Donor Sample'!S409/100)</f>
        <v/>
      </c>
      <c r="AE392" s="293" t="e">
        <f t="shared" si="103"/>
        <v>#VALUE!</v>
      </c>
      <c r="AF392" s="293" t="str">
        <f t="shared" si="104"/>
        <v/>
      </c>
      <c r="AG392" s="292" t="str">
        <f>IF('Donor Sample'!T409="","",'Donor Sample'!T409)</f>
        <v/>
      </c>
      <c r="AH392" s="891">
        <f t="shared" si="105"/>
        <v>2</v>
      </c>
      <c r="AI392" s="1220">
        <v>8.3777427673339844E-2</v>
      </c>
      <c r="AJ392" s="1216"/>
    </row>
    <row r="393" spans="5:36">
      <c r="E393" s="299">
        <v>385</v>
      </c>
      <c r="F393" s="308">
        <f t="shared" ref="F393:F456" ca="1" si="107">NORMINV(NORMDIST($C$9,$C$7,$C$8,1)+RAND()*(NORMDIST($C$10,$C$7,$C$8,1)-NORMDIST($C$9,$C$7,$C$8,1)),$C$7,$C$8)</f>
        <v>3414.2506252124595</v>
      </c>
      <c r="G393" s="307">
        <f t="shared" ref="G393:G456" ca="1" si="108">NORMINV(NORMDIST($C$13,$C$11,$C$12,1)+RAND()*(NORMDIST($C$14,$C$11,$C$12,1)-NORMDIST($C$13,$C$11,$C$12,1)),$C$11,$C$12)</f>
        <v>213.60743267540363</v>
      </c>
      <c r="H393" s="306">
        <f t="shared" ref="H393:H456" ca="1" si="109">NORMINV(NORMDIST($C$17,$C$15,$C$16,1)+RAND()*(NORMDIST($C$18,$C$15,$C$16,1)-NORMDIST($C$17,$C$15,$C$16,1)),$C$15,$C$16)/100</f>
        <v>0.42803883471310755</v>
      </c>
      <c r="I393" s="305">
        <f t="shared" ca="1" si="98"/>
        <v>127.47805125142087</v>
      </c>
      <c r="J393" s="305">
        <f t="shared" ca="1" si="99"/>
        <v>54.045547676145205</v>
      </c>
      <c r="K393" s="292">
        <f t="shared" ref="K393:K456" ca="1" si="110">$C$23/($C$24+RAND())</f>
        <v>3.1161200807808718</v>
      </c>
      <c r="L393" s="1290">
        <f t="shared" ca="1" si="100"/>
        <v>30.724741001383869</v>
      </c>
      <c r="M393" s="299">
        <v>385</v>
      </c>
      <c r="N393" s="304">
        <f t="shared" si="101"/>
        <v>2813.6615883801073</v>
      </c>
      <c r="O393" s="303">
        <v>249.01275708229446</v>
      </c>
      <c r="P393" s="302">
        <v>0.42665202098194677</v>
      </c>
      <c r="Q393" s="301">
        <v>114.71112215247534</v>
      </c>
      <c r="R393" s="301">
        <v>44.642199156603738</v>
      </c>
      <c r="S393" s="300">
        <v>1.5592843289990401</v>
      </c>
      <c r="T393" s="891">
        <f t="shared" si="102"/>
        <v>2</v>
      </c>
      <c r="U393" s="1220">
        <v>0.32405537366867065</v>
      </c>
      <c r="W393" s="299">
        <v>385</v>
      </c>
      <c r="X393" s="298">
        <f>IF('Donor Sample'!N410="",,IF('Donor Sample'!N410="F",1,0))</f>
        <v>0</v>
      </c>
      <c r="Y393" s="298" t="str">
        <f>IF('Donor Sample'!O410="","",'Donor Sample'!O410)</f>
        <v/>
      </c>
      <c r="Z393" s="298" t="str">
        <f>IF(AND('Donor Sample'!O410="",'Donor Sample'!P410="",'Donor Sample'!Q410=""),"",IF('Donor Sample'!P410="",ROUND(AA393/($C$32+($AI393-0.5)*$C$31),0),'Donor Sample'!P410))</f>
        <v/>
      </c>
      <c r="AA393" s="297" t="str">
        <f>IF('Donor Sample'!Q410="","",'Donor Sample'!Q410)</f>
        <v/>
      </c>
      <c r="AB393" s="296" t="str">
        <f t="shared" si="106"/>
        <v/>
      </c>
      <c r="AC393" s="295" t="str">
        <f>IF('Donor Sample'!R410="","",'Donor Sample'!R410)</f>
        <v/>
      </c>
      <c r="AD393" s="294" t="str">
        <f>IF('Donor Sample'!S410="","",'Donor Sample'!S410/100)</f>
        <v/>
      </c>
      <c r="AE393" s="407" t="e">
        <f t="shared" si="103"/>
        <v>#VALUE!</v>
      </c>
      <c r="AF393" s="293" t="str">
        <f t="shared" si="104"/>
        <v/>
      </c>
      <c r="AG393" s="292" t="str">
        <f>IF('Donor Sample'!T410="","",'Donor Sample'!T410)</f>
        <v/>
      </c>
      <c r="AH393" s="891">
        <f t="shared" si="105"/>
        <v>64</v>
      </c>
      <c r="AI393" s="1220">
        <v>0.59776991605758667</v>
      </c>
      <c r="AJ393" s="1216"/>
    </row>
    <row r="394" spans="5:36">
      <c r="E394" s="299">
        <v>386</v>
      </c>
      <c r="F394" s="308">
        <f t="shared" ca="1" si="107"/>
        <v>2892.0120289526085</v>
      </c>
      <c r="G394" s="307">
        <f t="shared" ca="1" si="108"/>
        <v>244.30059738535067</v>
      </c>
      <c r="H394" s="306">
        <f t="shared" ca="1" si="109"/>
        <v>0.37797166587146747</v>
      </c>
      <c r="I394" s="305">
        <f t="shared" ref="I394:I457" ca="1" si="111">F394/($C$32+(RAND()-0.5)*$C$31)</f>
        <v>91.667251009225041</v>
      </c>
      <c r="J394" s="305">
        <f t="shared" ref="J394:J457" ca="1" si="112">IF(AI394&lt;=$C$33,((F394-604-14.6*I394)/0.006012)^(1/3),((F394-183-15*I394)/0.005835)^(1/3))</f>
        <v>54.05691710547795</v>
      </c>
      <c r="K394" s="292">
        <f t="shared" ca="1" si="110"/>
        <v>2.1139907459997485</v>
      </c>
      <c r="L394" s="1290">
        <f t="shared" ref="L394:L457" ca="1" si="113">704*I394/J394^2</f>
        <v>22.084334607541507</v>
      </c>
      <c r="M394" s="299">
        <v>386</v>
      </c>
      <c r="N394" s="304">
        <f t="shared" ref="N394:N457" si="114">IF(AI394&gt;$C$33,183+0.005835*R394^3+15*Q394,604+0.006012*R394^3+14.6*Q394)</f>
        <v>3413.844841020079</v>
      </c>
      <c r="O394" s="303">
        <v>248.37300854336098</v>
      </c>
      <c r="P394" s="302">
        <v>0.41850694614170464</v>
      </c>
      <c r="Q394" s="301">
        <v>117.27183189698212</v>
      </c>
      <c r="R394" s="301">
        <v>56.730735158901339</v>
      </c>
      <c r="S394" s="300">
        <v>2.2260196289329777</v>
      </c>
      <c r="T394" s="891">
        <f t="shared" ref="T394:T457" si="115">HLOOKUP(U394,$AL$32:$AT$34,3)</f>
        <v>2</v>
      </c>
      <c r="U394" s="1220">
        <v>6.9013714790344238E-2</v>
      </c>
      <c r="W394" s="299">
        <v>386</v>
      </c>
      <c r="X394" s="298">
        <f>IF('Donor Sample'!N411="",,IF('Donor Sample'!N411="F",1,0))</f>
        <v>0</v>
      </c>
      <c r="Y394" s="298" t="str">
        <f>IF('Donor Sample'!O411="","",'Donor Sample'!O411)</f>
        <v/>
      </c>
      <c r="Z394" s="298" t="str">
        <f>IF(AND('Donor Sample'!O411="",'Donor Sample'!P411="",'Donor Sample'!Q411=""),"",IF('Donor Sample'!P411="",ROUND(AA394/($C$32+($AI394-0.5)*$C$31),0),'Donor Sample'!P411))</f>
        <v/>
      </c>
      <c r="AA394" s="297" t="str">
        <f>IF('Donor Sample'!Q411="","",'Donor Sample'!Q411)</f>
        <v/>
      </c>
      <c r="AB394" s="296" t="str">
        <f t="shared" si="106"/>
        <v/>
      </c>
      <c r="AC394" s="295" t="str">
        <f>IF('Donor Sample'!R411="","",'Donor Sample'!R411)</f>
        <v/>
      </c>
      <c r="AD394" s="294" t="str">
        <f>IF('Donor Sample'!S411="","",'Donor Sample'!S411/100)</f>
        <v/>
      </c>
      <c r="AE394" s="293" t="e">
        <f t="shared" ref="AE394:AE457" si="116">IF($AB$2=1,Z394,2.2*Z394)</f>
        <v>#VALUE!</v>
      </c>
      <c r="AF394" s="293" t="str">
        <f t="shared" ref="AF394:AF457" si="117">IF(AND(Y394="",AA394=""),"",IF(AA394="",IF($AB$2=1,Y394,Y394/2.54),IF(AI394&lt;=$C$33,((AB394-604-14.6*Z394)/0.006012)^(1/3),((AB394-183-15*Z394)/0.005835)^(1/3))))</f>
        <v/>
      </c>
      <c r="AG394" s="292" t="str">
        <f>IF('Donor Sample'!T411="","",'Donor Sample'!T411)</f>
        <v/>
      </c>
      <c r="AH394" s="891">
        <f t="shared" ref="AH394:AH457" si="118">HLOOKUP(AI394,$AL$32:$AT$34,3)</f>
        <v>64</v>
      </c>
      <c r="AI394" s="1220">
        <v>0.60187399387359619</v>
      </c>
      <c r="AJ394" s="1216"/>
    </row>
    <row r="395" spans="5:36">
      <c r="E395" s="299">
        <v>387</v>
      </c>
      <c r="F395" s="308">
        <f t="shared" ca="1" si="107"/>
        <v>4025.0123630685521</v>
      </c>
      <c r="G395" s="307">
        <f t="shared" ca="1" si="108"/>
        <v>186.51060307609549</v>
      </c>
      <c r="H395" s="306">
        <f t="shared" ca="1" si="109"/>
        <v>0.47948893739524806</v>
      </c>
      <c r="I395" s="305">
        <f t="shared" ca="1" si="111"/>
        <v>133.52656969547186</v>
      </c>
      <c r="J395" s="305">
        <f t="shared" ca="1" si="112"/>
        <v>62.553195897465805</v>
      </c>
      <c r="K395" s="292">
        <f t="shared" ca="1" si="110"/>
        <v>2.7163283998427676</v>
      </c>
      <c r="L395" s="1290">
        <f t="shared" ca="1" si="113"/>
        <v>24.023780163774255</v>
      </c>
      <c r="M395" s="299">
        <v>387</v>
      </c>
      <c r="N395" s="304">
        <f t="shared" si="114"/>
        <v>3743.3852839508518</v>
      </c>
      <c r="O395" s="303">
        <v>240.27728265149767</v>
      </c>
      <c r="P395" s="302">
        <v>0.41033704998259191</v>
      </c>
      <c r="Q395" s="301">
        <v>134.79959342644088</v>
      </c>
      <c r="R395" s="301">
        <v>57.971932406165791</v>
      </c>
      <c r="S395" s="300">
        <v>1.4616101574071978</v>
      </c>
      <c r="T395" s="891">
        <f t="shared" si="115"/>
        <v>2</v>
      </c>
      <c r="U395" s="1220">
        <v>0.29940968751907349</v>
      </c>
      <c r="W395" s="299">
        <v>387</v>
      </c>
      <c r="X395" s="298">
        <f>IF('Donor Sample'!N412="",,IF('Donor Sample'!N412="F",1,0))</f>
        <v>0</v>
      </c>
      <c r="Y395" s="298" t="str">
        <f>IF('Donor Sample'!O412="","",'Donor Sample'!O412)</f>
        <v/>
      </c>
      <c r="Z395" s="298" t="str">
        <f>IF(AND('Donor Sample'!O412="",'Donor Sample'!P412="",'Donor Sample'!Q412=""),"",IF('Donor Sample'!P412="",ROUND(AA395/($C$32+($AI395-0.5)*$C$31),0),'Donor Sample'!P412))</f>
        <v/>
      </c>
      <c r="AA395" s="297" t="str">
        <f>IF('Donor Sample'!Q412="","",'Donor Sample'!Q412)</f>
        <v/>
      </c>
      <c r="AB395" s="296" t="str">
        <f t="shared" si="106"/>
        <v/>
      </c>
      <c r="AC395" s="295" t="str">
        <f>IF('Donor Sample'!R412="","",'Donor Sample'!R412)</f>
        <v/>
      </c>
      <c r="AD395" s="294" t="str">
        <f>IF('Donor Sample'!S412="","",'Donor Sample'!S412/100)</f>
        <v/>
      </c>
      <c r="AE395" s="293" t="e">
        <f t="shared" si="116"/>
        <v>#VALUE!</v>
      </c>
      <c r="AF395" s="293" t="str">
        <f t="shared" si="117"/>
        <v/>
      </c>
      <c r="AG395" s="292" t="str">
        <f>IF('Donor Sample'!T412="","",'Donor Sample'!T412)</f>
        <v/>
      </c>
      <c r="AH395" s="891">
        <f t="shared" si="118"/>
        <v>2</v>
      </c>
      <c r="AI395" s="1220">
        <v>0.13881713151931763</v>
      </c>
      <c r="AJ395" s="1216"/>
    </row>
    <row r="396" spans="5:36">
      <c r="E396" s="299">
        <v>388</v>
      </c>
      <c r="F396" s="308">
        <f t="shared" ca="1" si="107"/>
        <v>3432.8172433831846</v>
      </c>
      <c r="G396" s="307">
        <f t="shared" ca="1" si="108"/>
        <v>269.2548996638094</v>
      </c>
      <c r="H396" s="306">
        <f t="shared" ca="1" si="109"/>
        <v>0.50404997360862358</v>
      </c>
      <c r="I396" s="305">
        <f t="shared" ca="1" si="111"/>
        <v>139.77275733353142</v>
      </c>
      <c r="J396" s="305">
        <f t="shared" ca="1" si="112"/>
        <v>50.799629516169574</v>
      </c>
      <c r="K396" s="292">
        <f t="shared" ca="1" si="110"/>
        <v>2.1919834167973171</v>
      </c>
      <c r="L396" s="1290">
        <f t="shared" ca="1" si="113"/>
        <v>38.130640631397412</v>
      </c>
      <c r="M396" s="299">
        <v>388</v>
      </c>
      <c r="N396" s="304">
        <f t="shared" si="114"/>
        <v>3009.7985055310037</v>
      </c>
      <c r="O396" s="303">
        <v>201.6857331886421</v>
      </c>
      <c r="P396" s="302">
        <v>0.35419573386676234</v>
      </c>
      <c r="Q396" s="301">
        <v>94.580001609178808</v>
      </c>
      <c r="R396" s="301">
        <v>55.448756687641456</v>
      </c>
      <c r="S396" s="300">
        <v>14.328839357215413</v>
      </c>
      <c r="T396" s="891">
        <f t="shared" si="115"/>
        <v>64</v>
      </c>
      <c r="U396" s="1220">
        <v>0.64990878105163574</v>
      </c>
      <c r="W396" s="299">
        <v>388</v>
      </c>
      <c r="X396" s="298">
        <f>IF('Donor Sample'!N413="",,IF('Donor Sample'!N413="F",1,0))</f>
        <v>0</v>
      </c>
      <c r="Y396" s="298" t="str">
        <f>IF('Donor Sample'!O413="","",'Donor Sample'!O413)</f>
        <v/>
      </c>
      <c r="Z396" s="298" t="str">
        <f>IF(AND('Donor Sample'!O413="",'Donor Sample'!P413="",'Donor Sample'!Q413=""),"",IF('Donor Sample'!P413="",ROUND(AA396/($C$32+($AI396-0.5)*$C$31),0),'Donor Sample'!P413))</f>
        <v/>
      </c>
      <c r="AA396" s="297" t="str">
        <f>IF('Donor Sample'!Q413="","",'Donor Sample'!Q413)</f>
        <v/>
      </c>
      <c r="AB396" s="296" t="str">
        <f t="shared" si="106"/>
        <v/>
      </c>
      <c r="AC396" s="295" t="str">
        <f>IF('Donor Sample'!R413="","",'Donor Sample'!R413)</f>
        <v/>
      </c>
      <c r="AD396" s="294" t="str">
        <f>IF('Donor Sample'!S413="","",'Donor Sample'!S413/100)</f>
        <v/>
      </c>
      <c r="AE396" s="407" t="e">
        <f t="shared" si="116"/>
        <v>#VALUE!</v>
      </c>
      <c r="AF396" s="293" t="str">
        <f t="shared" si="117"/>
        <v/>
      </c>
      <c r="AG396" s="292" t="str">
        <f>IF('Donor Sample'!T413="","",'Donor Sample'!T413)</f>
        <v/>
      </c>
      <c r="AH396" s="891">
        <f t="shared" si="118"/>
        <v>2</v>
      </c>
      <c r="AI396" s="1220">
        <v>0.31772160530090332</v>
      </c>
      <c r="AJ396" s="1216"/>
    </row>
    <row r="397" spans="5:36">
      <c r="E397" s="299">
        <v>389</v>
      </c>
      <c r="F397" s="308">
        <f t="shared" ca="1" si="107"/>
        <v>3395.4436842395007</v>
      </c>
      <c r="G397" s="307">
        <f t="shared" ca="1" si="108"/>
        <v>251.87434002548099</v>
      </c>
      <c r="H397" s="306">
        <f t="shared" ca="1" si="109"/>
        <v>0.40436278039478291</v>
      </c>
      <c r="I397" s="305">
        <f t="shared" ca="1" si="111"/>
        <v>117.06408923274049</v>
      </c>
      <c r="J397" s="305">
        <f t="shared" ca="1" si="112"/>
        <v>56.464735280598667</v>
      </c>
      <c r="K397" s="292">
        <f t="shared" ca="1" si="110"/>
        <v>1.5412473048799857</v>
      </c>
      <c r="L397" s="1290">
        <f t="shared" ca="1" si="113"/>
        <v>25.84888158069457</v>
      </c>
      <c r="M397" s="299">
        <v>389</v>
      </c>
      <c r="N397" s="304">
        <f t="shared" si="114"/>
        <v>3822.0070501201544</v>
      </c>
      <c r="O397" s="303">
        <v>260.52635546825957</v>
      </c>
      <c r="P397" s="302">
        <v>0.36527960811149646</v>
      </c>
      <c r="Q397" s="301">
        <v>126.47529908270639</v>
      </c>
      <c r="R397" s="301">
        <v>61.102015432639384</v>
      </c>
      <c r="S397" s="300">
        <v>4.8087526610759816</v>
      </c>
      <c r="T397" s="891">
        <f t="shared" si="115"/>
        <v>2</v>
      </c>
      <c r="U397" s="1220">
        <v>0.16085046529769897</v>
      </c>
      <c r="W397" s="299">
        <v>389</v>
      </c>
      <c r="X397" s="298">
        <f>IF('Donor Sample'!N414="",,IF('Donor Sample'!N414="F",1,0))</f>
        <v>0</v>
      </c>
      <c r="Y397" s="298" t="str">
        <f>IF('Donor Sample'!O414="","",'Donor Sample'!O414)</f>
        <v/>
      </c>
      <c r="Z397" s="298" t="str">
        <f>IF(AND('Donor Sample'!O414="",'Donor Sample'!P414="",'Donor Sample'!Q414=""),"",IF('Donor Sample'!P414="",ROUND(AA397/($C$32+($AI397-0.5)*$C$31),0),'Donor Sample'!P414))</f>
        <v/>
      </c>
      <c r="AA397" s="297" t="str">
        <f>IF('Donor Sample'!Q414="","",'Donor Sample'!Q414)</f>
        <v/>
      </c>
      <c r="AB397" s="296" t="str">
        <f t="shared" si="106"/>
        <v/>
      </c>
      <c r="AC397" s="295" t="str">
        <f>IF('Donor Sample'!R414="","",'Donor Sample'!R414)</f>
        <v/>
      </c>
      <c r="AD397" s="294" t="str">
        <f>IF('Donor Sample'!S414="","",'Donor Sample'!S414/100)</f>
        <v/>
      </c>
      <c r="AE397" s="293" t="e">
        <f t="shared" si="116"/>
        <v>#VALUE!</v>
      </c>
      <c r="AF397" s="293" t="str">
        <f t="shared" si="117"/>
        <v/>
      </c>
      <c r="AG397" s="292" t="str">
        <f>IF('Donor Sample'!T414="","",'Donor Sample'!T414)</f>
        <v/>
      </c>
      <c r="AH397" s="891">
        <f t="shared" si="118"/>
        <v>2</v>
      </c>
      <c r="AI397" s="1220">
        <v>9.930652379989624E-2</v>
      </c>
      <c r="AJ397" s="1216"/>
    </row>
    <row r="398" spans="5:36">
      <c r="E398" s="299">
        <v>390</v>
      </c>
      <c r="F398" s="308">
        <f t="shared" ca="1" si="107"/>
        <v>3722.2705995240053</v>
      </c>
      <c r="G398" s="307">
        <f t="shared" ca="1" si="108"/>
        <v>251.25504929365863</v>
      </c>
      <c r="H398" s="306">
        <f t="shared" ca="1" si="109"/>
        <v>0.35619247842451485</v>
      </c>
      <c r="I398" s="305">
        <f t="shared" ca="1" si="111"/>
        <v>123.48493706148626</v>
      </c>
      <c r="J398" s="305">
        <f t="shared" ca="1" si="112"/>
        <v>60.257611314763636</v>
      </c>
      <c r="K398" s="292">
        <f t="shared" ca="1" si="110"/>
        <v>1.2965212206502814</v>
      </c>
      <c r="L398" s="1290">
        <f t="shared" ca="1" si="113"/>
        <v>23.942131976076684</v>
      </c>
      <c r="M398" s="299">
        <v>390</v>
      </c>
      <c r="N398" s="304">
        <f t="shared" si="114"/>
        <v>4455.201571749205</v>
      </c>
      <c r="O398" s="303">
        <v>227.04724272604091</v>
      </c>
      <c r="P398" s="302">
        <v>0.42459349483392539</v>
      </c>
      <c r="Q398" s="301">
        <v>175.76840119907624</v>
      </c>
      <c r="R398" s="301">
        <v>59.789665961073069</v>
      </c>
      <c r="S398" s="300">
        <v>1.9653584500116272</v>
      </c>
      <c r="T398" s="891">
        <f t="shared" si="115"/>
        <v>256</v>
      </c>
      <c r="U398" s="1220">
        <v>0.87820851802825928</v>
      </c>
      <c r="W398" s="299">
        <v>390</v>
      </c>
      <c r="X398" s="298">
        <f>IF('Donor Sample'!N415="",,IF('Donor Sample'!N415="F",1,0))</f>
        <v>0</v>
      </c>
      <c r="Y398" s="298" t="str">
        <f>IF('Donor Sample'!O415="","",'Donor Sample'!O415)</f>
        <v/>
      </c>
      <c r="Z398" s="298" t="str">
        <f>IF(AND('Donor Sample'!O415="",'Donor Sample'!P415="",'Donor Sample'!Q415=""),"",IF('Donor Sample'!P415="",ROUND(AA398/($C$32+($AI398-0.5)*$C$31),0),'Donor Sample'!P415))</f>
        <v/>
      </c>
      <c r="AA398" s="297" t="str">
        <f>IF('Donor Sample'!Q415="","",'Donor Sample'!Q415)</f>
        <v/>
      </c>
      <c r="AB398" s="296" t="str">
        <f t="shared" si="106"/>
        <v/>
      </c>
      <c r="AC398" s="295" t="str">
        <f>IF('Donor Sample'!R415="","",'Donor Sample'!R415)</f>
        <v/>
      </c>
      <c r="AD398" s="294" t="str">
        <f>IF('Donor Sample'!S415="","",'Donor Sample'!S415/100)</f>
        <v/>
      </c>
      <c r="AE398" s="293" t="e">
        <f t="shared" si="116"/>
        <v>#VALUE!</v>
      </c>
      <c r="AF398" s="293" t="str">
        <f t="shared" si="117"/>
        <v/>
      </c>
      <c r="AG398" s="292" t="str">
        <f>IF('Donor Sample'!T415="","",'Donor Sample'!T415)</f>
        <v/>
      </c>
      <c r="AH398" s="891">
        <f t="shared" si="118"/>
        <v>64</v>
      </c>
      <c r="AI398" s="1220">
        <v>0.73715674877166748</v>
      </c>
      <c r="AJ398" s="1216"/>
    </row>
    <row r="399" spans="5:36">
      <c r="E399" s="299">
        <v>391</v>
      </c>
      <c r="F399" s="308">
        <f t="shared" ca="1" si="107"/>
        <v>2991.6267284927999</v>
      </c>
      <c r="G399" s="307">
        <f t="shared" ca="1" si="108"/>
        <v>255.46180769405035</v>
      </c>
      <c r="H399" s="306">
        <f t="shared" ca="1" si="109"/>
        <v>0.36872580046085351</v>
      </c>
      <c r="I399" s="305">
        <f t="shared" ca="1" si="111"/>
        <v>97.759511718036606</v>
      </c>
      <c r="J399" s="305">
        <f t="shared" ca="1" si="112"/>
        <v>54.258571945293582</v>
      </c>
      <c r="K399" s="292">
        <f t="shared" ca="1" si="110"/>
        <v>2.3843483687101079</v>
      </c>
      <c r="L399" s="1290">
        <f t="shared" ca="1" si="113"/>
        <v>23.377333067641057</v>
      </c>
      <c r="M399" s="299">
        <v>391</v>
      </c>
      <c r="N399" s="304">
        <f t="shared" si="114"/>
        <v>3169.0911676911091</v>
      </c>
      <c r="O399" s="303">
        <v>280.4392226659308</v>
      </c>
      <c r="P399" s="302">
        <v>0.46024668742784264</v>
      </c>
      <c r="Q399" s="301">
        <v>127.74193620051352</v>
      </c>
      <c r="R399" s="301">
        <v>48.832077696191959</v>
      </c>
      <c r="S399" s="300">
        <v>15.521442453980848</v>
      </c>
      <c r="T399" s="891">
        <f t="shared" si="115"/>
        <v>2</v>
      </c>
      <c r="U399" s="1220">
        <v>0.16308504343032837</v>
      </c>
      <c r="W399" s="299">
        <v>391</v>
      </c>
      <c r="X399" s="298">
        <f>IF('Donor Sample'!N416="",,IF('Donor Sample'!N416="F",1,0))</f>
        <v>0</v>
      </c>
      <c r="Y399" s="298" t="str">
        <f>IF('Donor Sample'!O416="","",'Donor Sample'!O416)</f>
        <v/>
      </c>
      <c r="Z399" s="298" t="str">
        <f>IF(AND('Donor Sample'!O416="",'Donor Sample'!P416="",'Donor Sample'!Q416=""),"",IF('Donor Sample'!P416="",ROUND(AA399/($C$32+($AI399-0.5)*$C$31),0),'Donor Sample'!P416))</f>
        <v/>
      </c>
      <c r="AA399" s="297" t="str">
        <f>IF('Donor Sample'!Q416="","",'Donor Sample'!Q416)</f>
        <v/>
      </c>
      <c r="AB399" s="296" t="str">
        <f t="shared" si="106"/>
        <v/>
      </c>
      <c r="AC399" s="295" t="str">
        <f>IF('Donor Sample'!R416="","",'Donor Sample'!R416)</f>
        <v/>
      </c>
      <c r="AD399" s="294" t="str">
        <f>IF('Donor Sample'!S416="","",'Donor Sample'!S416/100)</f>
        <v/>
      </c>
      <c r="AE399" s="407" t="e">
        <f t="shared" si="116"/>
        <v>#VALUE!</v>
      </c>
      <c r="AF399" s="293" t="str">
        <f t="shared" si="117"/>
        <v/>
      </c>
      <c r="AG399" s="292" t="str">
        <f>IF('Donor Sample'!T416="","",'Donor Sample'!T416)</f>
        <v/>
      </c>
      <c r="AH399" s="891">
        <f t="shared" si="118"/>
        <v>2</v>
      </c>
      <c r="AI399" s="1220">
        <v>6.329113245010376E-2</v>
      </c>
      <c r="AJ399" s="1216"/>
    </row>
    <row r="400" spans="5:36">
      <c r="E400" s="299">
        <v>392</v>
      </c>
      <c r="F400" s="308">
        <f t="shared" ca="1" si="107"/>
        <v>2788.590403906127</v>
      </c>
      <c r="G400" s="307">
        <f t="shared" ca="1" si="108"/>
        <v>267.21579109889268</v>
      </c>
      <c r="H400" s="306">
        <f t="shared" ca="1" si="109"/>
        <v>0.48838574991484585</v>
      </c>
      <c r="I400" s="305">
        <f t="shared" ca="1" si="111"/>
        <v>91.895118359136987</v>
      </c>
      <c r="J400" s="305">
        <f t="shared" ca="1" si="112"/>
        <v>59.468530206886037</v>
      </c>
      <c r="K400" s="292">
        <f t="shared" ca="1" si="110"/>
        <v>1.8486948687749862</v>
      </c>
      <c r="L400" s="1290">
        <f t="shared" ca="1" si="113"/>
        <v>18.293242474494516</v>
      </c>
      <c r="M400" s="299">
        <v>392</v>
      </c>
      <c r="N400" s="304">
        <f t="shared" si="114"/>
        <v>3148.8203983906878</v>
      </c>
      <c r="O400" s="303">
        <v>225.73678259608263</v>
      </c>
      <c r="P400" s="302">
        <v>0.36037200706547473</v>
      </c>
      <c r="Q400" s="301">
        <v>100.60350183313712</v>
      </c>
      <c r="R400" s="301">
        <v>62.967506843215673</v>
      </c>
      <c r="S400" s="300">
        <v>3.0286806401367317</v>
      </c>
      <c r="T400" s="891">
        <f t="shared" si="115"/>
        <v>64</v>
      </c>
      <c r="U400" s="1220">
        <v>0.43510341644287109</v>
      </c>
      <c r="W400" s="299">
        <v>392</v>
      </c>
      <c r="X400" s="298">
        <f>IF('Donor Sample'!N417="",,IF('Donor Sample'!N417="F",1,0))</f>
        <v>0</v>
      </c>
      <c r="Y400" s="298" t="str">
        <f>IF('Donor Sample'!O417="","",'Donor Sample'!O417)</f>
        <v/>
      </c>
      <c r="Z400" s="298" t="str">
        <f>IF(AND('Donor Sample'!O417="",'Donor Sample'!P417="",'Donor Sample'!Q417=""),"",IF('Donor Sample'!P417="",ROUND(AA400/($C$32+($AI400-0.5)*$C$31),0),'Donor Sample'!P417))</f>
        <v/>
      </c>
      <c r="AA400" s="297" t="str">
        <f>IF('Donor Sample'!Q417="","",'Donor Sample'!Q417)</f>
        <v/>
      </c>
      <c r="AB400" s="296" t="str">
        <f t="shared" si="106"/>
        <v/>
      </c>
      <c r="AC400" s="295" t="str">
        <f>IF('Donor Sample'!R417="","",'Donor Sample'!R417)</f>
        <v/>
      </c>
      <c r="AD400" s="294" t="str">
        <f>IF('Donor Sample'!S417="","",'Donor Sample'!S417/100)</f>
        <v/>
      </c>
      <c r="AE400" s="293" t="e">
        <f t="shared" si="116"/>
        <v>#VALUE!</v>
      </c>
      <c r="AF400" s="293" t="str">
        <f t="shared" si="117"/>
        <v/>
      </c>
      <c r="AG400" s="292" t="str">
        <f>IF('Donor Sample'!T417="","",'Donor Sample'!T417)</f>
        <v/>
      </c>
      <c r="AH400" s="891">
        <f t="shared" si="118"/>
        <v>32</v>
      </c>
      <c r="AI400" s="1220">
        <v>0.80333280563354492</v>
      </c>
      <c r="AJ400" s="1216"/>
    </row>
    <row r="401" spans="5:36">
      <c r="E401" s="299">
        <v>393</v>
      </c>
      <c r="F401" s="308">
        <f t="shared" ca="1" si="107"/>
        <v>3552.5576396519282</v>
      </c>
      <c r="G401" s="307">
        <f t="shared" ca="1" si="108"/>
        <v>185.89707967825314</v>
      </c>
      <c r="H401" s="306">
        <f t="shared" ca="1" si="109"/>
        <v>0.45101333809816646</v>
      </c>
      <c r="I401" s="305">
        <f t="shared" ca="1" si="111"/>
        <v>121.9941247248708</v>
      </c>
      <c r="J401" s="305">
        <f t="shared" ca="1" si="112"/>
        <v>57.908052096332142</v>
      </c>
      <c r="K401" s="292">
        <f t="shared" ca="1" si="110"/>
        <v>3.3464369571049364</v>
      </c>
      <c r="L401" s="1290">
        <f t="shared" ca="1" si="113"/>
        <v>25.611420207746065</v>
      </c>
      <c r="M401" s="299">
        <v>393</v>
      </c>
      <c r="N401" s="304">
        <f t="shared" si="114"/>
        <v>3978.5180977841997</v>
      </c>
      <c r="O401" s="303">
        <v>188.96722199143812</v>
      </c>
      <c r="P401" s="302">
        <v>0.36423515886856206</v>
      </c>
      <c r="Q401" s="301">
        <v>163.40804831541672</v>
      </c>
      <c r="R401" s="301">
        <v>54.788665922919172</v>
      </c>
      <c r="S401" s="300">
        <v>7.6307825456067251</v>
      </c>
      <c r="T401" s="891">
        <f t="shared" si="115"/>
        <v>256</v>
      </c>
      <c r="U401" s="1220">
        <v>0.92660444974899292</v>
      </c>
      <c r="W401" s="299">
        <v>393</v>
      </c>
      <c r="X401" s="298">
        <f>IF('Donor Sample'!N418="",,IF('Donor Sample'!N418="F",1,0))</f>
        <v>0</v>
      </c>
      <c r="Y401" s="298" t="str">
        <f>IF('Donor Sample'!O418="","",'Donor Sample'!O418)</f>
        <v/>
      </c>
      <c r="Z401" s="298" t="str">
        <f>IF(AND('Donor Sample'!O418="",'Donor Sample'!P418="",'Donor Sample'!Q418=""),"",IF('Donor Sample'!P418="",ROUND(AA401/($C$32+($AI401-0.5)*$C$31),0),'Donor Sample'!P418))</f>
        <v/>
      </c>
      <c r="AA401" s="297" t="str">
        <f>IF('Donor Sample'!Q418="","",'Donor Sample'!Q418)</f>
        <v/>
      </c>
      <c r="AB401" s="296" t="str">
        <f t="shared" si="106"/>
        <v/>
      </c>
      <c r="AC401" s="295" t="str">
        <f>IF('Donor Sample'!R418="","",'Donor Sample'!R418)</f>
        <v/>
      </c>
      <c r="AD401" s="294" t="str">
        <f>IF('Donor Sample'!S418="","",'Donor Sample'!S418/100)</f>
        <v/>
      </c>
      <c r="AE401" s="293" t="e">
        <f t="shared" si="116"/>
        <v>#VALUE!</v>
      </c>
      <c r="AF401" s="293" t="str">
        <f t="shared" si="117"/>
        <v/>
      </c>
      <c r="AG401" s="292" t="str">
        <f>IF('Donor Sample'!T418="","",'Donor Sample'!T418)</f>
        <v/>
      </c>
      <c r="AH401" s="891">
        <f t="shared" si="118"/>
        <v>2</v>
      </c>
      <c r="AI401" s="1220">
        <v>0.11537331342697144</v>
      </c>
      <c r="AJ401" s="1216"/>
    </row>
    <row r="402" spans="5:36">
      <c r="E402" s="299">
        <v>394</v>
      </c>
      <c r="F402" s="308">
        <f t="shared" ca="1" si="107"/>
        <v>3496.7850612368306</v>
      </c>
      <c r="G402" s="307">
        <f t="shared" ca="1" si="108"/>
        <v>223.65019872729775</v>
      </c>
      <c r="H402" s="306">
        <f t="shared" ca="1" si="109"/>
        <v>0.36171792087419119</v>
      </c>
      <c r="I402" s="305">
        <f t="shared" ca="1" si="111"/>
        <v>120.97303282788005</v>
      </c>
      <c r="J402" s="305">
        <f t="shared" ca="1" si="112"/>
        <v>57.224349587310613</v>
      </c>
      <c r="K402" s="292">
        <f t="shared" ca="1" si="110"/>
        <v>1.8136617325912765</v>
      </c>
      <c r="L402" s="1290">
        <f t="shared" ca="1" si="113"/>
        <v>26.007553314933009</v>
      </c>
      <c r="M402" s="299">
        <v>394</v>
      </c>
      <c r="N402" s="304">
        <f t="shared" si="114"/>
        <v>3433.7337968526144</v>
      </c>
      <c r="O402" s="303">
        <v>229.7228141221629</v>
      </c>
      <c r="P402" s="302">
        <v>0.40529046996413109</v>
      </c>
      <c r="Q402" s="301">
        <v>134.13821952076381</v>
      </c>
      <c r="R402" s="301">
        <v>52.527355631687357</v>
      </c>
      <c r="S402" s="300">
        <v>2.4951967323831545</v>
      </c>
      <c r="T402" s="891">
        <f t="shared" si="115"/>
        <v>64</v>
      </c>
      <c r="U402" s="1220">
        <v>0.46693289279937744</v>
      </c>
      <c r="W402" s="299">
        <v>394</v>
      </c>
      <c r="X402" s="298">
        <f>IF('Donor Sample'!N419="",,IF('Donor Sample'!N419="F",1,0))</f>
        <v>0</v>
      </c>
      <c r="Y402" s="298" t="str">
        <f>IF('Donor Sample'!O419="","",'Donor Sample'!O419)</f>
        <v/>
      </c>
      <c r="Z402" s="298" t="str">
        <f>IF(AND('Donor Sample'!O419="",'Donor Sample'!P419="",'Donor Sample'!Q419=""),"",IF('Donor Sample'!P419="",ROUND(AA402/($C$32+($AI402-0.5)*$C$31),0),'Donor Sample'!P419))</f>
        <v/>
      </c>
      <c r="AA402" s="297" t="str">
        <f>IF('Donor Sample'!Q419="","",'Donor Sample'!Q419)</f>
        <v/>
      </c>
      <c r="AB402" s="296" t="str">
        <f t="shared" si="106"/>
        <v/>
      </c>
      <c r="AC402" s="295" t="str">
        <f>IF('Donor Sample'!R419="","",'Donor Sample'!R419)</f>
        <v/>
      </c>
      <c r="AD402" s="294" t="str">
        <f>IF('Donor Sample'!S419="","",'Donor Sample'!S419/100)</f>
        <v/>
      </c>
      <c r="AE402" s="407" t="e">
        <f t="shared" si="116"/>
        <v>#VALUE!</v>
      </c>
      <c r="AF402" s="293" t="str">
        <f t="shared" si="117"/>
        <v/>
      </c>
      <c r="AG402" s="292" t="str">
        <f>IF('Donor Sample'!T419="","",'Donor Sample'!T419)</f>
        <v/>
      </c>
      <c r="AH402" s="891">
        <f t="shared" si="118"/>
        <v>64</v>
      </c>
      <c r="AI402" s="1220">
        <v>0.52025520801544189</v>
      </c>
      <c r="AJ402" s="1216"/>
    </row>
    <row r="403" spans="5:36">
      <c r="E403" s="299">
        <v>395</v>
      </c>
      <c r="F403" s="308">
        <f t="shared" ca="1" si="107"/>
        <v>2904.8365808139961</v>
      </c>
      <c r="G403" s="307">
        <f t="shared" ca="1" si="108"/>
        <v>247.1783729601762</v>
      </c>
      <c r="H403" s="306">
        <f t="shared" ca="1" si="109"/>
        <v>0.43672911146369009</v>
      </c>
      <c r="I403" s="305">
        <f t="shared" ca="1" si="111"/>
        <v>102.9106966760725</v>
      </c>
      <c r="J403" s="305">
        <f t="shared" ca="1" si="112"/>
        <v>51.017955049964478</v>
      </c>
      <c r="K403" s="292">
        <f t="shared" ca="1" si="110"/>
        <v>1.5174296874232205</v>
      </c>
      <c r="L403" s="1290">
        <f t="shared" ca="1" si="113"/>
        <v>27.834734538043218</v>
      </c>
      <c r="M403" s="299">
        <v>395</v>
      </c>
      <c r="N403" s="304">
        <f t="shared" si="114"/>
        <v>3457.3290743973844</v>
      </c>
      <c r="O403" s="303">
        <v>234.69269406541497</v>
      </c>
      <c r="P403" s="302">
        <v>0.39995478292391196</v>
      </c>
      <c r="Q403" s="301">
        <v>134.82249717312504</v>
      </c>
      <c r="R403" s="301">
        <v>52.799334304106374</v>
      </c>
      <c r="S403" s="300">
        <v>10.540462018233271</v>
      </c>
      <c r="T403" s="891">
        <f t="shared" si="115"/>
        <v>16</v>
      </c>
      <c r="U403" s="1220">
        <v>0.98895293474197388</v>
      </c>
      <c r="W403" s="299">
        <v>395</v>
      </c>
      <c r="X403" s="298">
        <f>IF('Donor Sample'!N420="",,IF('Donor Sample'!N420="F",1,0))</f>
        <v>0</v>
      </c>
      <c r="Y403" s="298" t="str">
        <f>IF('Donor Sample'!O420="","",'Donor Sample'!O420)</f>
        <v/>
      </c>
      <c r="Z403" s="298" t="str">
        <f>IF(AND('Donor Sample'!O420="",'Donor Sample'!P420="",'Donor Sample'!Q420=""),"",IF('Donor Sample'!P420="",ROUND(AA403/($C$32+($AI403-0.5)*$C$31),0),'Donor Sample'!P420))</f>
        <v/>
      </c>
      <c r="AA403" s="297" t="str">
        <f>IF('Donor Sample'!Q420="","",'Donor Sample'!Q420)</f>
        <v/>
      </c>
      <c r="AB403" s="296" t="str">
        <f t="shared" si="106"/>
        <v/>
      </c>
      <c r="AC403" s="295" t="str">
        <f>IF('Donor Sample'!R420="","",'Donor Sample'!R420)</f>
        <v/>
      </c>
      <c r="AD403" s="294" t="str">
        <f>IF('Donor Sample'!S420="","",'Donor Sample'!S420/100)</f>
        <v/>
      </c>
      <c r="AE403" s="293" t="e">
        <f t="shared" si="116"/>
        <v>#VALUE!</v>
      </c>
      <c r="AF403" s="293" t="str">
        <f t="shared" si="117"/>
        <v/>
      </c>
      <c r="AG403" s="292" t="str">
        <f>IF('Donor Sample'!T420="","",'Donor Sample'!T420)</f>
        <v/>
      </c>
      <c r="AH403" s="891">
        <f t="shared" si="118"/>
        <v>64</v>
      </c>
      <c r="AI403" s="1220">
        <v>0.47009927034378052</v>
      </c>
      <c r="AJ403" s="1216"/>
    </row>
    <row r="404" spans="5:36">
      <c r="E404" s="299">
        <v>396</v>
      </c>
      <c r="F404" s="308">
        <f t="shared" ca="1" si="107"/>
        <v>3039.6427393092822</v>
      </c>
      <c r="G404" s="307">
        <f t="shared" ca="1" si="108"/>
        <v>270.98041613459412</v>
      </c>
      <c r="H404" s="306">
        <f t="shared" ca="1" si="109"/>
        <v>0.42336490016833861</v>
      </c>
      <c r="I404" s="305">
        <f t="shared" ca="1" si="111"/>
        <v>115.30906077038686</v>
      </c>
      <c r="J404" s="305">
        <f t="shared" ca="1" si="112"/>
        <v>50.013978173499915</v>
      </c>
      <c r="K404" s="292">
        <f t="shared" ca="1" si="110"/>
        <v>4.8590268178396654</v>
      </c>
      <c r="L404" s="1290">
        <f t="shared" ca="1" si="113"/>
        <v>32.45288369500755</v>
      </c>
      <c r="M404" s="299">
        <v>396</v>
      </c>
      <c r="N404" s="304">
        <f t="shared" si="114"/>
        <v>2651.3783368887853</v>
      </c>
      <c r="O404" s="303">
        <v>164.30436727168126</v>
      </c>
      <c r="P404" s="302">
        <v>0.35766956589069343</v>
      </c>
      <c r="Q404" s="301">
        <v>95.433775022015453</v>
      </c>
      <c r="R404" s="301">
        <v>47.737858742783672</v>
      </c>
      <c r="S404" s="300">
        <v>1.3605002650115345</v>
      </c>
      <c r="T404" s="891">
        <f t="shared" si="115"/>
        <v>64</v>
      </c>
      <c r="U404" s="1220">
        <v>0.43137669563293457</v>
      </c>
      <c r="W404" s="299">
        <v>396</v>
      </c>
      <c r="X404" s="298">
        <f>IF('Donor Sample'!N421="",,IF('Donor Sample'!N421="F",1,0))</f>
        <v>0</v>
      </c>
      <c r="Y404" s="298" t="str">
        <f>IF('Donor Sample'!O421="","",'Donor Sample'!O421)</f>
        <v/>
      </c>
      <c r="Z404" s="298" t="str">
        <f>IF(AND('Donor Sample'!O421="",'Donor Sample'!P421="",'Donor Sample'!Q421=""),"",IF('Donor Sample'!P421="",ROUND(AA404/($C$32+($AI404-0.5)*$C$31),0),'Donor Sample'!P421))</f>
        <v/>
      </c>
      <c r="AA404" s="297" t="str">
        <f>IF('Donor Sample'!Q421="","",'Donor Sample'!Q421)</f>
        <v/>
      </c>
      <c r="AB404" s="296" t="str">
        <f t="shared" si="106"/>
        <v/>
      </c>
      <c r="AC404" s="295" t="str">
        <f>IF('Donor Sample'!R421="","",'Donor Sample'!R421)</f>
        <v/>
      </c>
      <c r="AD404" s="294" t="str">
        <f>IF('Donor Sample'!S421="","",'Donor Sample'!S421/100)</f>
        <v/>
      </c>
      <c r="AE404" s="293" t="e">
        <f t="shared" si="116"/>
        <v>#VALUE!</v>
      </c>
      <c r="AF404" s="293" t="str">
        <f t="shared" si="117"/>
        <v/>
      </c>
      <c r="AG404" s="292" t="str">
        <f>IF('Donor Sample'!T421="","",'Donor Sample'!T421)</f>
        <v/>
      </c>
      <c r="AH404" s="891">
        <f t="shared" si="118"/>
        <v>64</v>
      </c>
      <c r="AI404" s="1220">
        <v>0.56459784507751465</v>
      </c>
      <c r="AJ404" s="1216"/>
    </row>
    <row r="405" spans="5:36">
      <c r="E405" s="299">
        <v>397</v>
      </c>
      <c r="F405" s="308">
        <f t="shared" ca="1" si="107"/>
        <v>3256.4871785771547</v>
      </c>
      <c r="G405" s="307">
        <f t="shared" ca="1" si="108"/>
        <v>214.65871214839856</v>
      </c>
      <c r="H405" s="306">
        <f t="shared" ca="1" si="109"/>
        <v>0.37847416165875719</v>
      </c>
      <c r="I405" s="305">
        <f t="shared" ca="1" si="111"/>
        <v>107.95580313269228</v>
      </c>
      <c r="J405" s="305">
        <f t="shared" ca="1" si="112"/>
        <v>56.360627666793505</v>
      </c>
      <c r="K405" s="292">
        <f t="shared" ca="1" si="110"/>
        <v>3.1742335844392726</v>
      </c>
      <c r="L405" s="1290">
        <f t="shared" ca="1" si="113"/>
        <v>23.925829841326482</v>
      </c>
      <c r="M405" s="299">
        <v>397</v>
      </c>
      <c r="N405" s="304">
        <f t="shared" si="114"/>
        <v>3777.4755555328261</v>
      </c>
      <c r="O405" s="303">
        <v>287.64185287865513</v>
      </c>
      <c r="P405" s="302">
        <v>0.41736206072711007</v>
      </c>
      <c r="Q405" s="301">
        <v>156.60536833230555</v>
      </c>
      <c r="R405" s="301">
        <v>52.841396117191188</v>
      </c>
      <c r="S405" s="300">
        <v>4.6124219875147032</v>
      </c>
      <c r="T405" s="891">
        <f t="shared" si="115"/>
        <v>64</v>
      </c>
      <c r="U405" s="1220">
        <v>0.76615375280380249</v>
      </c>
      <c r="W405" s="299">
        <v>397</v>
      </c>
      <c r="X405" s="298">
        <f>IF('Donor Sample'!N422="",,IF('Donor Sample'!N422="F",1,0))</f>
        <v>0</v>
      </c>
      <c r="Y405" s="298" t="str">
        <f>IF('Donor Sample'!O422="","",'Donor Sample'!O422)</f>
        <v/>
      </c>
      <c r="Z405" s="298" t="str">
        <f>IF(AND('Donor Sample'!O422="",'Donor Sample'!P422="",'Donor Sample'!Q422=""),"",IF('Donor Sample'!P422="",ROUND(AA405/($C$32+($AI405-0.5)*$C$31),0),'Donor Sample'!P422))</f>
        <v/>
      </c>
      <c r="AA405" s="297" t="str">
        <f>IF('Donor Sample'!Q422="","",'Donor Sample'!Q422)</f>
        <v/>
      </c>
      <c r="AB405" s="296" t="str">
        <f t="shared" si="106"/>
        <v/>
      </c>
      <c r="AC405" s="295" t="str">
        <f>IF('Donor Sample'!R422="","",'Donor Sample'!R422)</f>
        <v/>
      </c>
      <c r="AD405" s="294" t="str">
        <f>IF('Donor Sample'!S422="","",'Donor Sample'!S422/100)</f>
        <v/>
      </c>
      <c r="AE405" s="407" t="e">
        <f t="shared" si="116"/>
        <v>#VALUE!</v>
      </c>
      <c r="AF405" s="293" t="str">
        <f t="shared" si="117"/>
        <v/>
      </c>
      <c r="AG405" s="292" t="str">
        <f>IF('Donor Sample'!T422="","",'Donor Sample'!T422)</f>
        <v/>
      </c>
      <c r="AH405" s="891">
        <f t="shared" si="118"/>
        <v>2</v>
      </c>
      <c r="AI405" s="1220">
        <v>0.13650983572006226</v>
      </c>
      <c r="AJ405" s="1216"/>
    </row>
    <row r="406" spans="5:36">
      <c r="E406" s="299">
        <v>398</v>
      </c>
      <c r="F406" s="308">
        <f t="shared" ca="1" si="107"/>
        <v>3962.7229709886433</v>
      </c>
      <c r="G406" s="307">
        <f t="shared" ca="1" si="108"/>
        <v>171.45694376072046</v>
      </c>
      <c r="H406" s="306">
        <f t="shared" ca="1" si="109"/>
        <v>0.37281503875940586</v>
      </c>
      <c r="I406" s="305">
        <f t="shared" ca="1" si="111"/>
        <v>127.43570880663346</v>
      </c>
      <c r="J406" s="305">
        <f t="shared" ca="1" si="112"/>
        <v>68.411091767771083</v>
      </c>
      <c r="K406" s="292">
        <f t="shared" ca="1" si="110"/>
        <v>1.3787307399122748</v>
      </c>
      <c r="L406" s="1290">
        <f t="shared" ca="1" si="113"/>
        <v>19.169498676781078</v>
      </c>
      <c r="M406" s="299">
        <v>398</v>
      </c>
      <c r="N406" s="304">
        <f t="shared" si="114"/>
        <v>3161.6012309134112</v>
      </c>
      <c r="O406" s="303">
        <v>220.83811579126984</v>
      </c>
      <c r="P406" s="302">
        <v>0.36265001540029401</v>
      </c>
      <c r="Q406" s="301">
        <v>101.02006787193307</v>
      </c>
      <c r="R406" s="301">
        <v>63.061484753397082</v>
      </c>
      <c r="S406" s="300">
        <v>2.8722392997740993</v>
      </c>
      <c r="T406" s="891">
        <f t="shared" si="115"/>
        <v>64</v>
      </c>
      <c r="U406" s="1220">
        <v>0.71317756175994873</v>
      </c>
      <c r="W406" s="299">
        <v>398</v>
      </c>
      <c r="X406" s="298">
        <f>IF('Donor Sample'!N423="",,IF('Donor Sample'!N423="F",1,0))</f>
        <v>0</v>
      </c>
      <c r="Y406" s="298" t="str">
        <f>IF('Donor Sample'!O423="","",'Donor Sample'!O423)</f>
        <v/>
      </c>
      <c r="Z406" s="298" t="str">
        <f>IF(AND('Donor Sample'!O423="",'Donor Sample'!P423="",'Donor Sample'!Q423=""),"",IF('Donor Sample'!P423="",ROUND(AA406/($C$32+($AI406-0.5)*$C$31),0),'Donor Sample'!P423))</f>
        <v/>
      </c>
      <c r="AA406" s="297" t="str">
        <f>IF('Donor Sample'!Q423="","",'Donor Sample'!Q423)</f>
        <v/>
      </c>
      <c r="AB406" s="296" t="str">
        <f t="shared" si="106"/>
        <v/>
      </c>
      <c r="AC406" s="295" t="str">
        <f>IF('Donor Sample'!R423="","",'Donor Sample'!R423)</f>
        <v/>
      </c>
      <c r="AD406" s="294" t="str">
        <f>IF('Donor Sample'!S423="","",'Donor Sample'!S423/100)</f>
        <v/>
      </c>
      <c r="AE406" s="293" t="e">
        <f t="shared" si="116"/>
        <v>#VALUE!</v>
      </c>
      <c r="AF406" s="293" t="str">
        <f t="shared" si="117"/>
        <v/>
      </c>
      <c r="AG406" s="292" t="str">
        <f>IF('Donor Sample'!T423="","",'Donor Sample'!T423)</f>
        <v/>
      </c>
      <c r="AH406" s="891">
        <f t="shared" si="118"/>
        <v>32</v>
      </c>
      <c r="AI406" s="1220">
        <v>0.79205071926116943</v>
      </c>
      <c r="AJ406" s="1216"/>
    </row>
    <row r="407" spans="5:36">
      <c r="E407" s="299">
        <v>399</v>
      </c>
      <c r="F407" s="308">
        <f t="shared" ca="1" si="107"/>
        <v>3157.0614194806562</v>
      </c>
      <c r="G407" s="307">
        <f t="shared" ca="1" si="108"/>
        <v>235.31703158877721</v>
      </c>
      <c r="H407" s="306">
        <f t="shared" ca="1" si="109"/>
        <v>0.43678922621595584</v>
      </c>
      <c r="I407" s="305">
        <f t="shared" ca="1" si="111"/>
        <v>118.78884295905759</v>
      </c>
      <c r="J407" s="305">
        <f t="shared" ca="1" si="112"/>
        <v>58.89877284887632</v>
      </c>
      <c r="K407" s="292">
        <f t="shared" ca="1" si="110"/>
        <v>2.1566792730599325</v>
      </c>
      <c r="L407" s="1290">
        <f t="shared" ca="1" si="113"/>
        <v>24.106592053322867</v>
      </c>
      <c r="M407" s="299">
        <v>399</v>
      </c>
      <c r="N407" s="304">
        <f t="shared" si="114"/>
        <v>3459.9551239324883</v>
      </c>
      <c r="O407" s="303">
        <v>262.95801134881566</v>
      </c>
      <c r="P407" s="302">
        <v>0.43239622135681038</v>
      </c>
      <c r="Q407" s="301">
        <v>132.40719563807613</v>
      </c>
      <c r="R407" s="301">
        <v>60.479936201049604</v>
      </c>
      <c r="S407" s="300">
        <v>1.2897521696521974</v>
      </c>
      <c r="T407" s="891">
        <f t="shared" si="115"/>
        <v>2</v>
      </c>
      <c r="U407" s="1220">
        <v>0.20554119348526001</v>
      </c>
      <c r="W407" s="299">
        <v>399</v>
      </c>
      <c r="X407" s="298">
        <f>IF('Donor Sample'!N424="",,IF('Donor Sample'!N424="F",1,0))</f>
        <v>0</v>
      </c>
      <c r="Y407" s="298" t="str">
        <f>IF('Donor Sample'!O424="","",'Donor Sample'!O424)</f>
        <v/>
      </c>
      <c r="Z407" s="298" t="str">
        <f>IF(AND('Donor Sample'!O424="",'Donor Sample'!P424="",'Donor Sample'!Q424=""),"",IF('Donor Sample'!P424="",ROUND(AA407/($C$32+($AI407-0.5)*$C$31),0),'Donor Sample'!P424))</f>
        <v/>
      </c>
      <c r="AA407" s="297" t="str">
        <f>IF('Donor Sample'!Q424="","",'Donor Sample'!Q424)</f>
        <v/>
      </c>
      <c r="AB407" s="296" t="str">
        <f t="shared" si="106"/>
        <v/>
      </c>
      <c r="AC407" s="295" t="str">
        <f>IF('Donor Sample'!R424="","",'Donor Sample'!R424)</f>
        <v/>
      </c>
      <c r="AD407" s="294" t="str">
        <f>IF('Donor Sample'!S424="","",'Donor Sample'!S424/100)</f>
        <v/>
      </c>
      <c r="AE407" s="293" t="e">
        <f t="shared" si="116"/>
        <v>#VALUE!</v>
      </c>
      <c r="AF407" s="293" t="str">
        <f t="shared" si="117"/>
        <v/>
      </c>
      <c r="AG407" s="292" t="str">
        <f>IF('Donor Sample'!T424="","",'Donor Sample'!T424)</f>
        <v/>
      </c>
      <c r="AH407" s="891">
        <f t="shared" si="118"/>
        <v>256</v>
      </c>
      <c r="AI407" s="1220">
        <v>0.8990975022315979</v>
      </c>
      <c r="AJ407" s="1216"/>
    </row>
    <row r="408" spans="5:36">
      <c r="E408" s="299">
        <v>400</v>
      </c>
      <c r="F408" s="308">
        <f t="shared" ca="1" si="107"/>
        <v>3182.9293004116794</v>
      </c>
      <c r="G408" s="307">
        <f t="shared" ca="1" si="108"/>
        <v>260.34420565216163</v>
      </c>
      <c r="H408" s="306">
        <f t="shared" ca="1" si="109"/>
        <v>0.4013211704240191</v>
      </c>
      <c r="I408" s="305">
        <f t="shared" ca="1" si="111"/>
        <v>111.65316594790694</v>
      </c>
      <c r="J408" s="305">
        <f t="shared" ca="1" si="112"/>
        <v>61.010709171560734</v>
      </c>
      <c r="K408" s="292">
        <f t="shared" ca="1" si="110"/>
        <v>6.2787112814385297</v>
      </c>
      <c r="L408" s="1290">
        <f t="shared" ca="1" si="113"/>
        <v>21.116967666618962</v>
      </c>
      <c r="M408" s="299">
        <v>400</v>
      </c>
      <c r="N408" s="304">
        <f t="shared" si="114"/>
        <v>3347.7039375608942</v>
      </c>
      <c r="O408" s="303">
        <v>282.10451215234667</v>
      </c>
      <c r="P408" s="302">
        <v>0.439581365826821</v>
      </c>
      <c r="Q408" s="301">
        <v>134.02635140900773</v>
      </c>
      <c r="R408" s="301">
        <v>58.267586823570454</v>
      </c>
      <c r="S408" s="300">
        <v>4.0657353672642111</v>
      </c>
      <c r="T408" s="891">
        <f t="shared" si="115"/>
        <v>2</v>
      </c>
      <c r="U408" s="1220">
        <v>0.16564512252807617</v>
      </c>
      <c r="W408" s="299">
        <v>400</v>
      </c>
      <c r="X408" s="298">
        <f>IF('Donor Sample'!N425="",,IF('Donor Sample'!N425="F",1,0))</f>
        <v>0</v>
      </c>
      <c r="Y408" s="298" t="str">
        <f>IF('Donor Sample'!O425="","",'Donor Sample'!O425)</f>
        <v/>
      </c>
      <c r="Z408" s="298" t="str">
        <f>IF(AND('Donor Sample'!O425="",'Donor Sample'!P425="",'Donor Sample'!Q425=""),"",IF('Donor Sample'!P425="",ROUND(AA408/($C$32+($AI408-0.5)*$C$31),0),'Donor Sample'!P425))</f>
        <v/>
      </c>
      <c r="AA408" s="297" t="str">
        <f>IF('Donor Sample'!Q425="","",'Donor Sample'!Q425)</f>
        <v/>
      </c>
      <c r="AB408" s="296" t="str">
        <f t="shared" si="106"/>
        <v/>
      </c>
      <c r="AC408" s="295" t="str">
        <f>IF('Donor Sample'!R425="","",'Donor Sample'!R425)</f>
        <v/>
      </c>
      <c r="AD408" s="294" t="str">
        <f>IF('Donor Sample'!S425="","",'Donor Sample'!S425/100)</f>
        <v/>
      </c>
      <c r="AE408" s="407" t="e">
        <f t="shared" si="116"/>
        <v>#VALUE!</v>
      </c>
      <c r="AF408" s="293" t="str">
        <f t="shared" si="117"/>
        <v/>
      </c>
      <c r="AG408" s="292" t="str">
        <f>IF('Donor Sample'!T425="","",'Donor Sample'!T425)</f>
        <v/>
      </c>
      <c r="AH408" s="891">
        <f t="shared" si="118"/>
        <v>32</v>
      </c>
      <c r="AI408" s="1220">
        <v>0.7944488525390625</v>
      </c>
      <c r="AJ408" s="1216"/>
    </row>
    <row r="409" spans="5:36">
      <c r="E409" s="299">
        <v>401</v>
      </c>
      <c r="F409" s="308">
        <f t="shared" ca="1" si="107"/>
        <v>3060.9956656572558</v>
      </c>
      <c r="G409" s="307">
        <f t="shared" ca="1" si="108"/>
        <v>305.61755093550471</v>
      </c>
      <c r="H409" s="306">
        <f t="shared" ca="1" si="109"/>
        <v>0.40744724900608181</v>
      </c>
      <c r="I409" s="305">
        <f t="shared" ca="1" si="111"/>
        <v>100.54951826489399</v>
      </c>
      <c r="J409" s="305">
        <f t="shared" ca="1" si="112"/>
        <v>54.79258335498816</v>
      </c>
      <c r="K409" s="292">
        <f t="shared" ca="1" si="110"/>
        <v>3.4989388228601426</v>
      </c>
      <c r="L409" s="1290">
        <f t="shared" ca="1" si="113"/>
        <v>23.578115965856167</v>
      </c>
      <c r="M409" s="299">
        <v>401</v>
      </c>
      <c r="N409" s="304">
        <f t="shared" si="114"/>
        <v>3423.0303555048745</v>
      </c>
      <c r="O409" s="303">
        <v>267.62986115075046</v>
      </c>
      <c r="P409" s="302">
        <v>0.46935727310428532</v>
      </c>
      <c r="Q409" s="301">
        <v>143.11222415151863</v>
      </c>
      <c r="R409" s="301">
        <v>49.509325220405486</v>
      </c>
      <c r="S409" s="300">
        <v>1.5591768286421921</v>
      </c>
      <c r="T409" s="891">
        <f t="shared" si="115"/>
        <v>64</v>
      </c>
      <c r="U409" s="1220">
        <v>0.66124886274337769</v>
      </c>
      <c r="W409" s="299">
        <v>401</v>
      </c>
      <c r="X409" s="298">
        <f>IF('Donor Sample'!N426="",,IF('Donor Sample'!N426="F",1,0))</f>
        <v>0</v>
      </c>
      <c r="Y409" s="298" t="str">
        <f>IF('Donor Sample'!O426="","",'Donor Sample'!O426)</f>
        <v/>
      </c>
      <c r="Z409" s="298" t="str">
        <f>IF(AND('Donor Sample'!O426="",'Donor Sample'!P426="",'Donor Sample'!Q426=""),"",IF('Donor Sample'!P426="",ROUND(AA409/($C$32+($AI409-0.5)*$C$31),0),'Donor Sample'!P426))</f>
        <v/>
      </c>
      <c r="AA409" s="297" t="str">
        <f>IF('Donor Sample'!Q426="","",'Donor Sample'!Q426)</f>
        <v/>
      </c>
      <c r="AB409" s="296" t="str">
        <f t="shared" si="106"/>
        <v/>
      </c>
      <c r="AC409" s="295" t="str">
        <f>IF('Donor Sample'!R426="","",'Donor Sample'!R426)</f>
        <v/>
      </c>
      <c r="AD409" s="294" t="str">
        <f>IF('Donor Sample'!S426="","",'Donor Sample'!S426/100)</f>
        <v/>
      </c>
      <c r="AE409" s="293" t="e">
        <f t="shared" si="116"/>
        <v>#VALUE!</v>
      </c>
      <c r="AF409" s="293" t="str">
        <f t="shared" si="117"/>
        <v/>
      </c>
      <c r="AG409" s="292" t="str">
        <f>IF('Donor Sample'!T426="","",'Donor Sample'!T426)</f>
        <v/>
      </c>
      <c r="AH409" s="891">
        <f t="shared" si="118"/>
        <v>2</v>
      </c>
      <c r="AI409" s="1220">
        <v>0.1464197039604187</v>
      </c>
      <c r="AJ409" s="1216"/>
    </row>
    <row r="410" spans="5:36">
      <c r="E410" s="299">
        <v>402</v>
      </c>
      <c r="F410" s="308">
        <f t="shared" ca="1" si="107"/>
        <v>3463.2109779549478</v>
      </c>
      <c r="G410" s="307">
        <f t="shared" ca="1" si="108"/>
        <v>229.72766197364561</v>
      </c>
      <c r="H410" s="306">
        <f t="shared" ca="1" si="109"/>
        <v>0.42496897228638586</v>
      </c>
      <c r="I410" s="305">
        <f t="shared" ca="1" si="111"/>
        <v>140.78768497323861</v>
      </c>
      <c r="J410" s="305">
        <f t="shared" ca="1" si="112"/>
        <v>58.503659165866502</v>
      </c>
      <c r="K410" s="292">
        <f t="shared" ca="1" si="110"/>
        <v>5.0618817052598732</v>
      </c>
      <c r="L410" s="1290">
        <f t="shared" ca="1" si="113"/>
        <v>28.958180199469112</v>
      </c>
      <c r="M410" s="299">
        <v>402</v>
      </c>
      <c r="N410" s="304">
        <f t="shared" si="114"/>
        <v>3919.8036124840705</v>
      </c>
      <c r="O410" s="303">
        <v>246.72893863302204</v>
      </c>
      <c r="P410" s="302">
        <v>0.38125483272126764</v>
      </c>
      <c r="Q410" s="301">
        <v>159.510708756816</v>
      </c>
      <c r="R410" s="301">
        <v>61.301090835286956</v>
      </c>
      <c r="S410" s="300">
        <v>1.2328473587496873</v>
      </c>
      <c r="T410" s="891">
        <f t="shared" si="115"/>
        <v>16</v>
      </c>
      <c r="U410" s="1220">
        <v>0.98419106006622314</v>
      </c>
      <c r="W410" s="299">
        <v>402</v>
      </c>
      <c r="X410" s="298">
        <f>IF('Donor Sample'!N427="",,IF('Donor Sample'!N427="F",1,0))</f>
        <v>0</v>
      </c>
      <c r="Y410" s="298" t="str">
        <f>IF('Donor Sample'!O427="","",'Donor Sample'!O427)</f>
        <v/>
      </c>
      <c r="Z410" s="298" t="str">
        <f>IF(AND('Donor Sample'!O427="",'Donor Sample'!P427="",'Donor Sample'!Q427=""),"",IF('Donor Sample'!P427="",ROUND(AA410/($C$32+($AI410-0.5)*$C$31),0),'Donor Sample'!P427))</f>
        <v/>
      </c>
      <c r="AA410" s="297" t="str">
        <f>IF('Donor Sample'!Q427="","",'Donor Sample'!Q427)</f>
        <v/>
      </c>
      <c r="AB410" s="296" t="str">
        <f t="shared" si="106"/>
        <v/>
      </c>
      <c r="AC410" s="295" t="str">
        <f>IF('Donor Sample'!R427="","",'Donor Sample'!R427)</f>
        <v/>
      </c>
      <c r="AD410" s="294" t="str">
        <f>IF('Donor Sample'!S427="","",'Donor Sample'!S427/100)</f>
        <v/>
      </c>
      <c r="AE410" s="293" t="e">
        <f t="shared" si="116"/>
        <v>#VALUE!</v>
      </c>
      <c r="AF410" s="293" t="str">
        <f t="shared" si="117"/>
        <v/>
      </c>
      <c r="AG410" s="292" t="str">
        <f>IF('Donor Sample'!T427="","",'Donor Sample'!T427)</f>
        <v/>
      </c>
      <c r="AH410" s="891">
        <f t="shared" si="118"/>
        <v>256</v>
      </c>
      <c r="AI410" s="1220">
        <v>0.9139324426651001</v>
      </c>
      <c r="AJ410" s="1216"/>
    </row>
    <row r="411" spans="5:36">
      <c r="E411" s="299">
        <v>403</v>
      </c>
      <c r="F411" s="308">
        <f t="shared" ca="1" si="107"/>
        <v>3446.5715777942064</v>
      </c>
      <c r="G411" s="307">
        <f t="shared" ca="1" si="108"/>
        <v>261.93975097271806</v>
      </c>
      <c r="H411" s="306">
        <f t="shared" ca="1" si="109"/>
        <v>0.42023179873757494</v>
      </c>
      <c r="I411" s="305">
        <f t="shared" ca="1" si="111"/>
        <v>129.43734487458161</v>
      </c>
      <c r="J411" s="305">
        <f t="shared" ca="1" si="112"/>
        <v>54.115978693992716</v>
      </c>
      <c r="K411" s="292">
        <f t="shared" ca="1" si="110"/>
        <v>1.9218422613981962</v>
      </c>
      <c r="L411" s="1290">
        <f t="shared" ca="1" si="113"/>
        <v>31.115817861419259</v>
      </c>
      <c r="M411" s="299">
        <v>403</v>
      </c>
      <c r="N411" s="304">
        <f t="shared" si="114"/>
        <v>3423.1732755520843</v>
      </c>
      <c r="O411" s="303">
        <v>208.72995344087408</v>
      </c>
      <c r="P411" s="302">
        <v>0.43997713221672102</v>
      </c>
      <c r="Q411" s="301">
        <v>139.64715187353087</v>
      </c>
      <c r="R411" s="301">
        <v>50.63127027189951</v>
      </c>
      <c r="S411" s="300">
        <v>3.9328845210430221</v>
      </c>
      <c r="T411" s="891">
        <f t="shared" si="115"/>
        <v>32</v>
      </c>
      <c r="U411" s="1220">
        <v>0.77360421419143677</v>
      </c>
      <c r="W411" s="299">
        <v>403</v>
      </c>
      <c r="X411" s="298">
        <f>IF('Donor Sample'!N428="",,IF('Donor Sample'!N428="F",1,0))</f>
        <v>0</v>
      </c>
      <c r="Y411" s="298" t="str">
        <f>IF('Donor Sample'!O428="","",'Donor Sample'!O428)</f>
        <v/>
      </c>
      <c r="Z411" s="298" t="str">
        <f>IF(AND('Donor Sample'!O428="",'Donor Sample'!P428="",'Donor Sample'!Q428=""),"",IF('Donor Sample'!P428="",ROUND(AA411/($C$32+($AI411-0.5)*$C$31),0),'Donor Sample'!P428))</f>
        <v/>
      </c>
      <c r="AA411" s="297" t="str">
        <f>IF('Donor Sample'!Q428="","",'Donor Sample'!Q428)</f>
        <v/>
      </c>
      <c r="AB411" s="296" t="str">
        <f t="shared" si="106"/>
        <v/>
      </c>
      <c r="AC411" s="295" t="str">
        <f>IF('Donor Sample'!R428="","",'Donor Sample'!R428)</f>
        <v/>
      </c>
      <c r="AD411" s="294" t="str">
        <f>IF('Donor Sample'!S428="","",'Donor Sample'!S428/100)</f>
        <v/>
      </c>
      <c r="AE411" s="407" t="e">
        <f t="shared" si="116"/>
        <v>#VALUE!</v>
      </c>
      <c r="AF411" s="293" t="str">
        <f t="shared" si="117"/>
        <v/>
      </c>
      <c r="AG411" s="292" t="str">
        <f>IF('Donor Sample'!T428="","",'Donor Sample'!T428)</f>
        <v/>
      </c>
      <c r="AH411" s="891">
        <f t="shared" si="118"/>
        <v>2</v>
      </c>
      <c r="AI411" s="1220">
        <v>0.32861834764480591</v>
      </c>
      <c r="AJ411" s="1216"/>
    </row>
    <row r="412" spans="5:36">
      <c r="E412" s="299">
        <v>404</v>
      </c>
      <c r="F412" s="308">
        <f t="shared" ca="1" si="107"/>
        <v>3829.9662977386342</v>
      </c>
      <c r="G412" s="307">
        <f t="shared" ca="1" si="108"/>
        <v>295.05133073692457</v>
      </c>
      <c r="H412" s="306">
        <f t="shared" ca="1" si="109"/>
        <v>0.37328619803594942</v>
      </c>
      <c r="I412" s="305">
        <f t="shared" ca="1" si="111"/>
        <v>154.33828121391628</v>
      </c>
      <c r="J412" s="305">
        <f t="shared" ca="1" si="112"/>
        <v>54.489042302717138</v>
      </c>
      <c r="K412" s="292">
        <f t="shared" ca="1" si="110"/>
        <v>2.8555184564852141</v>
      </c>
      <c r="L412" s="1290">
        <f t="shared" ca="1" si="113"/>
        <v>36.595523902658016</v>
      </c>
      <c r="M412" s="299">
        <v>404</v>
      </c>
      <c r="N412" s="304">
        <f t="shared" si="114"/>
        <v>3493.5657286234482</v>
      </c>
      <c r="O412" s="303">
        <v>203.97879389694023</v>
      </c>
      <c r="P412" s="302">
        <v>0.38612429740392246</v>
      </c>
      <c r="Q412" s="301">
        <v>120.59777155668378</v>
      </c>
      <c r="R412" s="301">
        <v>57.262580688061128</v>
      </c>
      <c r="S412" s="300">
        <v>5.6725207951493974</v>
      </c>
      <c r="T412" s="891">
        <f t="shared" si="115"/>
        <v>64</v>
      </c>
      <c r="U412" s="1220">
        <v>0.5681455135345459</v>
      </c>
      <c r="W412" s="299">
        <v>404</v>
      </c>
      <c r="X412" s="298">
        <f>IF('Donor Sample'!N429="",,IF('Donor Sample'!N429="F",1,0))</f>
        <v>0</v>
      </c>
      <c r="Y412" s="298" t="str">
        <f>IF('Donor Sample'!O429="","",'Donor Sample'!O429)</f>
        <v/>
      </c>
      <c r="Z412" s="298" t="str">
        <f>IF(AND('Donor Sample'!O429="",'Donor Sample'!P429="",'Donor Sample'!Q429=""),"",IF('Donor Sample'!P429="",ROUND(AA412/($C$32+($AI412-0.5)*$C$31),0),'Donor Sample'!P429))</f>
        <v/>
      </c>
      <c r="AA412" s="297" t="str">
        <f>IF('Donor Sample'!Q429="","",'Donor Sample'!Q429)</f>
        <v/>
      </c>
      <c r="AB412" s="296" t="str">
        <f t="shared" si="106"/>
        <v/>
      </c>
      <c r="AC412" s="295" t="str">
        <f>IF('Donor Sample'!R429="","",'Donor Sample'!R429)</f>
        <v/>
      </c>
      <c r="AD412" s="294" t="str">
        <f>IF('Donor Sample'!S429="","",'Donor Sample'!S429/100)</f>
        <v/>
      </c>
      <c r="AE412" s="293" t="e">
        <f t="shared" si="116"/>
        <v>#VALUE!</v>
      </c>
      <c r="AF412" s="293" t="str">
        <f t="shared" si="117"/>
        <v/>
      </c>
      <c r="AG412" s="292" t="str">
        <f>IF('Donor Sample'!T429="","",'Donor Sample'!T429)</f>
        <v/>
      </c>
      <c r="AH412" s="891">
        <f t="shared" si="118"/>
        <v>4</v>
      </c>
      <c r="AI412" s="1220">
        <v>0.37038826942443848</v>
      </c>
      <c r="AJ412" s="1216"/>
    </row>
    <row r="413" spans="5:36">
      <c r="E413" s="299">
        <v>405</v>
      </c>
      <c r="F413" s="308">
        <f t="shared" ca="1" si="107"/>
        <v>3822.3461261362968</v>
      </c>
      <c r="G413" s="307">
        <f t="shared" ca="1" si="108"/>
        <v>251.16945099886084</v>
      </c>
      <c r="H413" s="306">
        <f t="shared" ca="1" si="109"/>
        <v>0.36341136672114205</v>
      </c>
      <c r="I413" s="305">
        <f t="shared" ca="1" si="111"/>
        <v>118.06012155252323</v>
      </c>
      <c r="J413" s="305">
        <f t="shared" ca="1" si="112"/>
        <v>62.879433777824033</v>
      </c>
      <c r="K413" s="292">
        <f t="shared" ca="1" si="110"/>
        <v>1.9305596770040951</v>
      </c>
      <c r="L413" s="1290">
        <f t="shared" ca="1" si="113"/>
        <v>21.021255006173973</v>
      </c>
      <c r="M413" s="299">
        <v>405</v>
      </c>
      <c r="N413" s="304">
        <f t="shared" si="114"/>
        <v>2796.4539047787766</v>
      </c>
      <c r="O413" s="303">
        <v>235.18023487810794</v>
      </c>
      <c r="P413" s="302">
        <v>0.42873267769048651</v>
      </c>
      <c r="Q413" s="301">
        <v>105.07578364705141</v>
      </c>
      <c r="R413" s="301">
        <v>47.842301640854473</v>
      </c>
      <c r="S413" s="300">
        <v>2.6153034938052455</v>
      </c>
      <c r="T413" s="891">
        <f t="shared" si="115"/>
        <v>4</v>
      </c>
      <c r="U413" s="1220">
        <v>0.38367933034896851</v>
      </c>
      <c r="W413" s="299">
        <v>405</v>
      </c>
      <c r="X413" s="298">
        <f>IF('Donor Sample'!N430="",,IF('Donor Sample'!N430="F",1,0))</f>
        <v>0</v>
      </c>
      <c r="Y413" s="298" t="str">
        <f>IF('Donor Sample'!O430="","",'Donor Sample'!O430)</f>
        <v/>
      </c>
      <c r="Z413" s="298" t="str">
        <f>IF(AND('Donor Sample'!O430="",'Donor Sample'!P430="",'Donor Sample'!Q430=""),"",IF('Donor Sample'!P430="",ROUND(AA413/($C$32+($AI413-0.5)*$C$31),0),'Donor Sample'!P430))</f>
        <v/>
      </c>
      <c r="AA413" s="297" t="str">
        <f>IF('Donor Sample'!Q430="","",'Donor Sample'!Q430)</f>
        <v/>
      </c>
      <c r="AB413" s="296" t="str">
        <f t="shared" si="106"/>
        <v/>
      </c>
      <c r="AC413" s="295" t="str">
        <f>IF('Donor Sample'!R430="","",'Donor Sample'!R430)</f>
        <v/>
      </c>
      <c r="AD413" s="294" t="str">
        <f>IF('Donor Sample'!S430="","",'Donor Sample'!S430/100)</f>
        <v/>
      </c>
      <c r="AE413" s="293" t="e">
        <f t="shared" si="116"/>
        <v>#VALUE!</v>
      </c>
      <c r="AF413" s="293" t="str">
        <f t="shared" si="117"/>
        <v/>
      </c>
      <c r="AG413" s="292" t="str">
        <f>IF('Donor Sample'!T430="","",'Donor Sample'!T430)</f>
        <v/>
      </c>
      <c r="AH413" s="891">
        <f t="shared" si="118"/>
        <v>2</v>
      </c>
      <c r="AI413" s="1220">
        <v>7.5095593929290771E-2</v>
      </c>
      <c r="AJ413" s="1216"/>
    </row>
    <row r="414" spans="5:36">
      <c r="E414" s="299">
        <v>406</v>
      </c>
      <c r="F414" s="308">
        <f t="shared" ca="1" si="107"/>
        <v>2650.3159423879879</v>
      </c>
      <c r="G414" s="307">
        <f t="shared" ca="1" si="108"/>
        <v>217.45087412722651</v>
      </c>
      <c r="H414" s="306">
        <f t="shared" ca="1" si="109"/>
        <v>0.36688685809308752</v>
      </c>
      <c r="I414" s="305">
        <f t="shared" ca="1" si="111"/>
        <v>109.39689752934119</v>
      </c>
      <c r="J414" s="305">
        <f t="shared" ca="1" si="112"/>
        <v>42.116105700659645</v>
      </c>
      <c r="K414" s="292">
        <f t="shared" ca="1" si="110"/>
        <v>2.3201141346662579</v>
      </c>
      <c r="L414" s="1290">
        <f t="shared" ca="1" si="113"/>
        <v>43.419143368565969</v>
      </c>
      <c r="M414" s="299">
        <v>406</v>
      </c>
      <c r="N414" s="304">
        <f t="shared" si="114"/>
        <v>2637.3507932826592</v>
      </c>
      <c r="O414" s="303">
        <v>239.50671000585825</v>
      </c>
      <c r="P414" s="302">
        <v>0.40686499539175947</v>
      </c>
      <c r="Q414" s="301">
        <v>92.830153479392365</v>
      </c>
      <c r="R414" s="301">
        <v>48.314419294598075</v>
      </c>
      <c r="S414" s="300">
        <v>3.0834329109631131</v>
      </c>
      <c r="T414" s="891">
        <f t="shared" si="115"/>
        <v>2</v>
      </c>
      <c r="U414" s="1220">
        <v>0.27710473537445068</v>
      </c>
      <c r="W414" s="299">
        <v>406</v>
      </c>
      <c r="X414" s="298">
        <f>IF('Donor Sample'!N431="",,IF('Donor Sample'!N431="F",1,0))</f>
        <v>0</v>
      </c>
      <c r="Y414" s="298" t="str">
        <f>IF('Donor Sample'!O431="","",'Donor Sample'!O431)</f>
        <v/>
      </c>
      <c r="Z414" s="298" t="str">
        <f>IF(AND('Donor Sample'!O431="",'Donor Sample'!P431="",'Donor Sample'!Q431=""),"",IF('Donor Sample'!P431="",ROUND(AA414/($C$32+($AI414-0.5)*$C$31),0),'Donor Sample'!P431))</f>
        <v/>
      </c>
      <c r="AA414" s="297" t="str">
        <f>IF('Donor Sample'!Q431="","",'Donor Sample'!Q431)</f>
        <v/>
      </c>
      <c r="AB414" s="296" t="str">
        <f t="shared" si="106"/>
        <v/>
      </c>
      <c r="AC414" s="295" t="str">
        <f>IF('Donor Sample'!R431="","",'Donor Sample'!R431)</f>
        <v/>
      </c>
      <c r="AD414" s="294" t="str">
        <f>IF('Donor Sample'!S431="","",'Donor Sample'!S431/100)</f>
        <v/>
      </c>
      <c r="AE414" s="407" t="e">
        <f t="shared" si="116"/>
        <v>#VALUE!</v>
      </c>
      <c r="AF414" s="293" t="str">
        <f t="shared" si="117"/>
        <v/>
      </c>
      <c r="AG414" s="292" t="str">
        <f>IF('Donor Sample'!T431="","",'Donor Sample'!T431)</f>
        <v/>
      </c>
      <c r="AH414" s="891">
        <f t="shared" si="118"/>
        <v>4</v>
      </c>
      <c r="AI414" s="1220">
        <v>0.40842235088348389</v>
      </c>
      <c r="AJ414" s="1216"/>
    </row>
    <row r="415" spans="5:36">
      <c r="E415" s="299">
        <v>407</v>
      </c>
      <c r="F415" s="308">
        <f t="shared" ca="1" si="107"/>
        <v>2561.5920817643755</v>
      </c>
      <c r="G415" s="307">
        <f t="shared" ca="1" si="108"/>
        <v>259.3638749552739</v>
      </c>
      <c r="H415" s="306">
        <f t="shared" ca="1" si="109"/>
        <v>0.41282092978992857</v>
      </c>
      <c r="I415" s="305">
        <f t="shared" ca="1" si="111"/>
        <v>80.828435339476584</v>
      </c>
      <c r="J415" s="305">
        <f t="shared" ca="1" si="112"/>
        <v>50.57003290281876</v>
      </c>
      <c r="K415" s="292">
        <f t="shared" ca="1" si="110"/>
        <v>9.0197397948397917</v>
      </c>
      <c r="L415" s="1290">
        <f t="shared" ca="1" si="113"/>
        <v>22.251042263791845</v>
      </c>
      <c r="M415" s="299">
        <v>407</v>
      </c>
      <c r="N415" s="304">
        <f t="shared" si="114"/>
        <v>2867.905362463549</v>
      </c>
      <c r="O415" s="303">
        <v>287.16531583793295</v>
      </c>
      <c r="P415" s="302">
        <v>0.38090710572460112</v>
      </c>
      <c r="Q415" s="301">
        <v>90.046248679550644</v>
      </c>
      <c r="R415" s="301">
        <v>54.048566671539348</v>
      </c>
      <c r="S415" s="300">
        <v>3.5756159694168863</v>
      </c>
      <c r="T415" s="891">
        <f t="shared" si="115"/>
        <v>64</v>
      </c>
      <c r="U415" s="1220">
        <v>0.76424795389175415</v>
      </c>
      <c r="W415" s="299">
        <v>407</v>
      </c>
      <c r="X415" s="298">
        <f>IF('Donor Sample'!N432="",,IF('Donor Sample'!N432="F",1,0))</f>
        <v>0</v>
      </c>
      <c r="Y415" s="298" t="str">
        <f>IF('Donor Sample'!O432="","",'Donor Sample'!O432)</f>
        <v/>
      </c>
      <c r="Z415" s="298" t="str">
        <f>IF(AND('Donor Sample'!O432="",'Donor Sample'!P432="",'Donor Sample'!Q432=""),"",IF('Donor Sample'!P432="",ROUND(AA415/($C$32+($AI415-0.5)*$C$31),0),'Donor Sample'!P432))</f>
        <v/>
      </c>
      <c r="AA415" s="297" t="str">
        <f>IF('Donor Sample'!Q432="","",'Donor Sample'!Q432)</f>
        <v/>
      </c>
      <c r="AB415" s="296" t="str">
        <f t="shared" si="106"/>
        <v/>
      </c>
      <c r="AC415" s="295" t="str">
        <f>IF('Donor Sample'!R432="","",'Donor Sample'!R432)</f>
        <v/>
      </c>
      <c r="AD415" s="294" t="str">
        <f>IF('Donor Sample'!S432="","",'Donor Sample'!S432/100)</f>
        <v/>
      </c>
      <c r="AE415" s="293" t="e">
        <f t="shared" si="116"/>
        <v>#VALUE!</v>
      </c>
      <c r="AF415" s="293" t="str">
        <f t="shared" si="117"/>
        <v/>
      </c>
      <c r="AG415" s="292" t="str">
        <f>IF('Donor Sample'!T432="","",'Donor Sample'!T432)</f>
        <v/>
      </c>
      <c r="AH415" s="891">
        <f t="shared" si="118"/>
        <v>2</v>
      </c>
      <c r="AI415" s="1220">
        <v>0.25359588861465454</v>
      </c>
      <c r="AJ415" s="1216"/>
    </row>
    <row r="416" spans="5:36">
      <c r="E416" s="299">
        <v>408</v>
      </c>
      <c r="F416" s="308">
        <f t="shared" ca="1" si="107"/>
        <v>3769.9985369319838</v>
      </c>
      <c r="G416" s="307">
        <f t="shared" ca="1" si="108"/>
        <v>209.02342853137674</v>
      </c>
      <c r="H416" s="306">
        <f t="shared" ca="1" si="109"/>
        <v>0.4155752915381804</v>
      </c>
      <c r="I416" s="305">
        <f t="shared" ca="1" si="111"/>
        <v>121.12202536530074</v>
      </c>
      <c r="J416" s="305">
        <f t="shared" ca="1" si="112"/>
        <v>61.48790990334345</v>
      </c>
      <c r="K416" s="292">
        <f t="shared" ca="1" si="110"/>
        <v>6.9678362241501448</v>
      </c>
      <c r="L416" s="1290">
        <f t="shared" ca="1" si="113"/>
        <v>22.55362327852523</v>
      </c>
      <c r="M416" s="299">
        <v>408</v>
      </c>
      <c r="N416" s="304">
        <f t="shared" si="114"/>
        <v>3282.3419584606645</v>
      </c>
      <c r="O416" s="303">
        <v>262.3159580374757</v>
      </c>
      <c r="P416" s="302">
        <v>0.40643682391578217</v>
      </c>
      <c r="Q416" s="301">
        <v>122.8428721990993</v>
      </c>
      <c r="R416" s="301">
        <v>52.797651852816607</v>
      </c>
      <c r="S416" s="300">
        <v>3.3134867160369201</v>
      </c>
      <c r="T416" s="891">
        <f t="shared" si="115"/>
        <v>2</v>
      </c>
      <c r="U416" s="1220">
        <v>0.23805999755859375</v>
      </c>
      <c r="W416" s="299">
        <v>408</v>
      </c>
      <c r="X416" s="298">
        <f>IF('Donor Sample'!N433="",,IF('Donor Sample'!N433="F",1,0))</f>
        <v>0</v>
      </c>
      <c r="Y416" s="298" t="str">
        <f>IF('Donor Sample'!O433="","",'Donor Sample'!O433)</f>
        <v/>
      </c>
      <c r="Z416" s="298" t="str">
        <f>IF(AND('Donor Sample'!O433="",'Donor Sample'!P433="",'Donor Sample'!Q433=""),"",IF('Donor Sample'!P433="",ROUND(AA416/($C$32+($AI416-0.5)*$C$31),0),'Donor Sample'!P433))</f>
        <v/>
      </c>
      <c r="AA416" s="297" t="str">
        <f>IF('Donor Sample'!Q433="","",'Donor Sample'!Q433)</f>
        <v/>
      </c>
      <c r="AB416" s="296" t="str">
        <f t="shared" si="106"/>
        <v/>
      </c>
      <c r="AC416" s="295" t="str">
        <f>IF('Donor Sample'!R433="","",'Donor Sample'!R433)</f>
        <v/>
      </c>
      <c r="AD416" s="294" t="str">
        <f>IF('Donor Sample'!S433="","",'Donor Sample'!S433/100)</f>
        <v/>
      </c>
      <c r="AE416" s="293" t="e">
        <f t="shared" si="116"/>
        <v>#VALUE!</v>
      </c>
      <c r="AF416" s="293" t="str">
        <f t="shared" si="117"/>
        <v/>
      </c>
      <c r="AG416" s="292" t="str">
        <f>IF('Donor Sample'!T433="","",'Donor Sample'!T433)</f>
        <v/>
      </c>
      <c r="AH416" s="891">
        <f t="shared" si="118"/>
        <v>64</v>
      </c>
      <c r="AI416" s="1220">
        <v>0.62011384963989258</v>
      </c>
      <c r="AJ416" s="1216"/>
    </row>
    <row r="417" spans="5:36">
      <c r="E417" s="299">
        <v>409</v>
      </c>
      <c r="F417" s="308">
        <f t="shared" ca="1" si="107"/>
        <v>3006.8589909240527</v>
      </c>
      <c r="G417" s="307">
        <f t="shared" ca="1" si="108"/>
        <v>165.08111048493174</v>
      </c>
      <c r="H417" s="306">
        <f t="shared" ca="1" si="109"/>
        <v>0.45508888016385735</v>
      </c>
      <c r="I417" s="305">
        <f t="shared" ca="1" si="111"/>
        <v>109.7677717434228</v>
      </c>
      <c r="J417" s="305">
        <f t="shared" ca="1" si="112"/>
        <v>51.058589997992094</v>
      </c>
      <c r="K417" s="292">
        <f t="shared" ca="1" si="110"/>
        <v>7.8234084624360687</v>
      </c>
      <c r="L417" s="1290">
        <f t="shared" ca="1" si="113"/>
        <v>29.642161731676229</v>
      </c>
      <c r="M417" s="299">
        <v>409</v>
      </c>
      <c r="N417" s="304">
        <f t="shared" si="114"/>
        <v>4385.6785796032036</v>
      </c>
      <c r="O417" s="303">
        <v>240.10766583670252</v>
      </c>
      <c r="P417" s="302">
        <v>0.36080174906066026</v>
      </c>
      <c r="Q417" s="301">
        <v>143.16285409859987</v>
      </c>
      <c r="R417" s="301">
        <v>65.52661817138619</v>
      </c>
      <c r="S417" s="300">
        <v>4.5185611595689403</v>
      </c>
      <c r="T417" s="891">
        <f t="shared" si="115"/>
        <v>64</v>
      </c>
      <c r="U417" s="1220">
        <v>0.69839876890182495</v>
      </c>
      <c r="W417" s="299">
        <v>409</v>
      </c>
      <c r="X417" s="298">
        <f>IF('Donor Sample'!N434="",,IF('Donor Sample'!N434="F",1,0))</f>
        <v>0</v>
      </c>
      <c r="Y417" s="298" t="str">
        <f>IF('Donor Sample'!O434="","",'Donor Sample'!O434)</f>
        <v/>
      </c>
      <c r="Z417" s="298" t="str">
        <f>IF(AND('Donor Sample'!O434="",'Donor Sample'!P434="",'Donor Sample'!Q434=""),"",IF('Donor Sample'!P434="",ROUND(AA417/($C$32+($AI417-0.5)*$C$31),0),'Donor Sample'!P434))</f>
        <v/>
      </c>
      <c r="AA417" s="297" t="str">
        <f>IF('Donor Sample'!Q434="","",'Donor Sample'!Q434)</f>
        <v/>
      </c>
      <c r="AB417" s="296" t="str">
        <f t="shared" si="106"/>
        <v/>
      </c>
      <c r="AC417" s="295" t="str">
        <f>IF('Donor Sample'!R434="","",'Donor Sample'!R434)</f>
        <v/>
      </c>
      <c r="AD417" s="294" t="str">
        <f>IF('Donor Sample'!S434="","",'Donor Sample'!S434/100)</f>
        <v/>
      </c>
      <c r="AE417" s="407" t="e">
        <f t="shared" si="116"/>
        <v>#VALUE!</v>
      </c>
      <c r="AF417" s="293" t="str">
        <f t="shared" si="117"/>
        <v/>
      </c>
      <c r="AG417" s="292" t="str">
        <f>IF('Donor Sample'!T434="","",'Donor Sample'!T434)</f>
        <v/>
      </c>
      <c r="AH417" s="891">
        <f t="shared" si="118"/>
        <v>64</v>
      </c>
      <c r="AI417" s="1220">
        <v>0.50194424390792847</v>
      </c>
      <c r="AJ417" s="1216"/>
    </row>
    <row r="418" spans="5:36">
      <c r="E418" s="299">
        <v>410</v>
      </c>
      <c r="F418" s="308">
        <f t="shared" ca="1" si="107"/>
        <v>3774.9415561776436</v>
      </c>
      <c r="G418" s="307">
        <f t="shared" ca="1" si="108"/>
        <v>206.90051397946942</v>
      </c>
      <c r="H418" s="306">
        <f t="shared" ca="1" si="109"/>
        <v>0.46533852070158083</v>
      </c>
      <c r="I418" s="305">
        <f t="shared" ca="1" si="111"/>
        <v>127.52004089932331</v>
      </c>
      <c r="J418" s="305">
        <f t="shared" ca="1" si="112"/>
        <v>66.020999813280255</v>
      </c>
      <c r="K418" s="292">
        <f t="shared" ca="1" si="110"/>
        <v>2.9794684528043955</v>
      </c>
      <c r="L418" s="1290">
        <f t="shared" ca="1" si="113"/>
        <v>20.596190903768171</v>
      </c>
      <c r="M418" s="299">
        <v>410</v>
      </c>
      <c r="N418" s="304">
        <f t="shared" si="114"/>
        <v>2880.3150252877249</v>
      </c>
      <c r="O418" s="303">
        <v>254.5330520945393</v>
      </c>
      <c r="P418" s="302">
        <v>0.42520182123397099</v>
      </c>
      <c r="Q418" s="301">
        <v>93.137072345327994</v>
      </c>
      <c r="R418" s="301">
        <v>60.626569678038265</v>
      </c>
      <c r="S418" s="300">
        <v>1.3136992156643785</v>
      </c>
      <c r="T418" s="891">
        <f t="shared" si="115"/>
        <v>64</v>
      </c>
      <c r="U418" s="1220">
        <v>0.60955774784088135</v>
      </c>
      <c r="W418" s="299">
        <v>410</v>
      </c>
      <c r="X418" s="298">
        <f>IF('Donor Sample'!N435="",,IF('Donor Sample'!N435="F",1,0))</f>
        <v>0</v>
      </c>
      <c r="Y418" s="298" t="str">
        <f>IF('Donor Sample'!O435="","",'Donor Sample'!O435)</f>
        <v/>
      </c>
      <c r="Z418" s="298" t="str">
        <f>IF(AND('Donor Sample'!O435="",'Donor Sample'!P435="",'Donor Sample'!Q435=""),"",IF('Donor Sample'!P435="",ROUND(AA418/($C$32+($AI418-0.5)*$C$31),0),'Donor Sample'!P435))</f>
        <v/>
      </c>
      <c r="AA418" s="297" t="str">
        <f>IF('Donor Sample'!Q435="","",'Donor Sample'!Q435)</f>
        <v/>
      </c>
      <c r="AB418" s="296" t="str">
        <f t="shared" si="106"/>
        <v/>
      </c>
      <c r="AC418" s="295" t="str">
        <f>IF('Donor Sample'!R435="","",'Donor Sample'!R435)</f>
        <v/>
      </c>
      <c r="AD418" s="294" t="str">
        <f>IF('Donor Sample'!S435="","",'Donor Sample'!S435/100)</f>
        <v/>
      </c>
      <c r="AE418" s="293" t="e">
        <f t="shared" si="116"/>
        <v>#VALUE!</v>
      </c>
      <c r="AF418" s="293" t="str">
        <f t="shared" si="117"/>
        <v/>
      </c>
      <c r="AG418" s="292" t="str">
        <f>IF('Donor Sample'!T435="","",'Donor Sample'!T435)</f>
        <v/>
      </c>
      <c r="AH418" s="891">
        <f t="shared" si="118"/>
        <v>256</v>
      </c>
      <c r="AI418" s="1220">
        <v>0.8498002290725708</v>
      </c>
      <c r="AJ418" s="1216"/>
    </row>
    <row r="419" spans="5:36">
      <c r="E419" s="299">
        <v>411</v>
      </c>
      <c r="F419" s="308">
        <f t="shared" ca="1" si="107"/>
        <v>2727.5069946230906</v>
      </c>
      <c r="G419" s="307">
        <f t="shared" ca="1" si="108"/>
        <v>242.05414464358901</v>
      </c>
      <c r="H419" s="306">
        <f t="shared" ca="1" si="109"/>
        <v>0.41923535317637806</v>
      </c>
      <c r="I419" s="305">
        <f t="shared" ca="1" si="111"/>
        <v>108.47738654865478</v>
      </c>
      <c r="J419" s="305">
        <f t="shared" ca="1" si="112"/>
        <v>44.776943678978263</v>
      </c>
      <c r="K419" s="292">
        <f t="shared" ca="1" si="110"/>
        <v>2.1891744544493816</v>
      </c>
      <c r="L419" s="1290">
        <f t="shared" ca="1" si="113"/>
        <v>38.089298928718151</v>
      </c>
      <c r="M419" s="299">
        <v>411</v>
      </c>
      <c r="N419" s="304">
        <f t="shared" si="114"/>
        <v>2690.4580595260081</v>
      </c>
      <c r="O419" s="303">
        <v>220.37307344882458</v>
      </c>
      <c r="P419" s="302">
        <v>0.39141728224330685</v>
      </c>
      <c r="Q419" s="301">
        <v>103.62148875868483</v>
      </c>
      <c r="R419" s="301">
        <v>45.694026982096993</v>
      </c>
      <c r="S419" s="300">
        <v>2.4632274402802423</v>
      </c>
      <c r="T419" s="891">
        <f t="shared" si="115"/>
        <v>2</v>
      </c>
      <c r="U419" s="1220">
        <v>0.18705493211746216</v>
      </c>
      <c r="W419" s="299">
        <v>411</v>
      </c>
      <c r="X419" s="298">
        <f>IF('Donor Sample'!N436="",,IF('Donor Sample'!N436="F",1,0))</f>
        <v>0</v>
      </c>
      <c r="Y419" s="298" t="str">
        <f>IF('Donor Sample'!O436="","",'Donor Sample'!O436)</f>
        <v/>
      </c>
      <c r="Z419" s="298" t="str">
        <f>IF(AND('Donor Sample'!O436="",'Donor Sample'!P436="",'Donor Sample'!Q436=""),"",IF('Donor Sample'!P436="",ROUND(AA419/($C$32+($AI419-0.5)*$C$31),0),'Donor Sample'!P436))</f>
        <v/>
      </c>
      <c r="AA419" s="297" t="str">
        <f>IF('Donor Sample'!Q436="","",'Donor Sample'!Q436)</f>
        <v/>
      </c>
      <c r="AB419" s="296" t="str">
        <f t="shared" si="106"/>
        <v/>
      </c>
      <c r="AC419" s="295" t="str">
        <f>IF('Donor Sample'!R436="","",'Donor Sample'!R436)</f>
        <v/>
      </c>
      <c r="AD419" s="294" t="str">
        <f>IF('Donor Sample'!S436="","",'Donor Sample'!S436/100)</f>
        <v/>
      </c>
      <c r="AE419" s="293" t="e">
        <f t="shared" si="116"/>
        <v>#VALUE!</v>
      </c>
      <c r="AF419" s="293" t="str">
        <f t="shared" si="117"/>
        <v/>
      </c>
      <c r="AG419" s="292" t="str">
        <f>IF('Donor Sample'!T436="","",'Donor Sample'!T436)</f>
        <v/>
      </c>
      <c r="AH419" s="891">
        <f t="shared" si="118"/>
        <v>2</v>
      </c>
      <c r="AI419" s="1220">
        <v>1.3690769672393799E-2</v>
      </c>
      <c r="AJ419" s="1216"/>
    </row>
    <row r="420" spans="5:36">
      <c r="E420" s="299">
        <v>412</v>
      </c>
      <c r="F420" s="308">
        <f t="shared" ca="1" si="107"/>
        <v>3748.0966999619163</v>
      </c>
      <c r="G420" s="307">
        <f t="shared" ca="1" si="108"/>
        <v>251.20471453331584</v>
      </c>
      <c r="H420" s="306">
        <f t="shared" ca="1" si="109"/>
        <v>0.37032003941270586</v>
      </c>
      <c r="I420" s="305">
        <f t="shared" ca="1" si="111"/>
        <v>153.13517564459329</v>
      </c>
      <c r="J420" s="305">
        <f t="shared" ca="1" si="112"/>
        <v>53.260732461123112</v>
      </c>
      <c r="K420" s="292">
        <f t="shared" ca="1" si="110"/>
        <v>12.174650516030992</v>
      </c>
      <c r="L420" s="1290">
        <f t="shared" ca="1" si="113"/>
        <v>38.004353644055954</v>
      </c>
      <c r="M420" s="299">
        <v>412</v>
      </c>
      <c r="N420" s="304">
        <f t="shared" si="114"/>
        <v>2700.9959163699154</v>
      </c>
      <c r="O420" s="303">
        <v>282.5726014277937</v>
      </c>
      <c r="P420" s="302">
        <v>0.35905439306396159</v>
      </c>
      <c r="Q420" s="301">
        <v>98.531905958922593</v>
      </c>
      <c r="R420" s="301">
        <v>47.844303038349828</v>
      </c>
      <c r="S420" s="300">
        <v>3.3877681445407557</v>
      </c>
      <c r="T420" s="891">
        <f t="shared" si="115"/>
        <v>16</v>
      </c>
      <c r="U420" s="1220">
        <v>0.95914101600646973</v>
      </c>
      <c r="W420" s="299">
        <v>412</v>
      </c>
      <c r="X420" s="298">
        <f>IF('Donor Sample'!N437="",,IF('Donor Sample'!N437="F",1,0))</f>
        <v>0</v>
      </c>
      <c r="Y420" s="298" t="str">
        <f>IF('Donor Sample'!O437="","",'Donor Sample'!O437)</f>
        <v/>
      </c>
      <c r="Z420" s="298" t="str">
        <f>IF(AND('Donor Sample'!O437="",'Donor Sample'!P437="",'Donor Sample'!Q437=""),"",IF('Donor Sample'!P437="",ROUND(AA420/($C$32+($AI420-0.5)*$C$31),0),'Donor Sample'!P437))</f>
        <v/>
      </c>
      <c r="AA420" s="297" t="str">
        <f>IF('Donor Sample'!Q437="","",'Donor Sample'!Q437)</f>
        <v/>
      </c>
      <c r="AB420" s="296" t="str">
        <f t="shared" si="106"/>
        <v/>
      </c>
      <c r="AC420" s="295" t="str">
        <f>IF('Donor Sample'!R437="","",'Donor Sample'!R437)</f>
        <v/>
      </c>
      <c r="AD420" s="294" t="str">
        <f>IF('Donor Sample'!S437="","",'Donor Sample'!S437/100)</f>
        <v/>
      </c>
      <c r="AE420" s="407" t="e">
        <f t="shared" si="116"/>
        <v>#VALUE!</v>
      </c>
      <c r="AF420" s="293" t="str">
        <f t="shared" si="117"/>
        <v/>
      </c>
      <c r="AG420" s="292" t="str">
        <f>IF('Donor Sample'!T437="","",'Donor Sample'!T437)</f>
        <v/>
      </c>
      <c r="AH420" s="891">
        <f t="shared" si="118"/>
        <v>2</v>
      </c>
      <c r="AI420" s="1220">
        <v>0.3371436595916748</v>
      </c>
      <c r="AJ420" s="1216"/>
    </row>
    <row r="421" spans="5:36">
      <c r="E421" s="299">
        <v>413</v>
      </c>
      <c r="F421" s="308">
        <f t="shared" ca="1" si="107"/>
        <v>3764.3561204451503</v>
      </c>
      <c r="G421" s="307">
        <f t="shared" ca="1" si="108"/>
        <v>282.0134701706433</v>
      </c>
      <c r="H421" s="306">
        <f t="shared" ca="1" si="109"/>
        <v>0.38952865196737896</v>
      </c>
      <c r="I421" s="305">
        <f t="shared" ca="1" si="111"/>
        <v>131.35819153712848</v>
      </c>
      <c r="J421" s="305">
        <f t="shared" ca="1" si="112"/>
        <v>59.123785421085437</v>
      </c>
      <c r="K421" s="292">
        <f t="shared" ca="1" si="110"/>
        <v>1.5786475898555059</v>
      </c>
      <c r="L421" s="1290">
        <f t="shared" ca="1" si="113"/>
        <v>26.45485317792097</v>
      </c>
      <c r="M421" s="299">
        <v>413</v>
      </c>
      <c r="N421" s="304">
        <f t="shared" si="114"/>
        <v>4255.0799756287579</v>
      </c>
      <c r="O421" s="303">
        <v>211.0393461984591</v>
      </c>
      <c r="P421" s="302">
        <v>0.42306546612842832</v>
      </c>
      <c r="Q421" s="301">
        <v>153.72686179250542</v>
      </c>
      <c r="R421" s="301">
        <v>61.620354254071515</v>
      </c>
      <c r="S421" s="300">
        <v>2.4181543185266108</v>
      </c>
      <c r="T421" s="891">
        <f t="shared" si="115"/>
        <v>32</v>
      </c>
      <c r="U421" s="1220">
        <v>0.81664985418319702</v>
      </c>
      <c r="W421" s="299">
        <v>413</v>
      </c>
      <c r="X421" s="298">
        <f>IF('Donor Sample'!N438="",,IF('Donor Sample'!N438="F",1,0))</f>
        <v>0</v>
      </c>
      <c r="Y421" s="298" t="str">
        <f>IF('Donor Sample'!O438="","",'Donor Sample'!O438)</f>
        <v/>
      </c>
      <c r="Z421" s="298" t="str">
        <f>IF(AND('Donor Sample'!O438="",'Donor Sample'!P438="",'Donor Sample'!Q438=""),"",IF('Donor Sample'!P438="",ROUND(AA421/($C$32+($AI421-0.5)*$C$31),0),'Donor Sample'!P438))</f>
        <v/>
      </c>
      <c r="AA421" s="297" t="str">
        <f>IF('Donor Sample'!Q438="","",'Donor Sample'!Q438)</f>
        <v/>
      </c>
      <c r="AB421" s="296" t="str">
        <f t="shared" si="106"/>
        <v/>
      </c>
      <c r="AC421" s="295" t="str">
        <f>IF('Donor Sample'!R438="","",'Donor Sample'!R438)</f>
        <v/>
      </c>
      <c r="AD421" s="294" t="str">
        <f>IF('Donor Sample'!S438="","",'Donor Sample'!S438/100)</f>
        <v/>
      </c>
      <c r="AE421" s="293" t="e">
        <f t="shared" si="116"/>
        <v>#VALUE!</v>
      </c>
      <c r="AF421" s="293" t="str">
        <f t="shared" si="117"/>
        <v/>
      </c>
      <c r="AG421" s="292" t="str">
        <f>IF('Donor Sample'!T438="","",'Donor Sample'!T438)</f>
        <v/>
      </c>
      <c r="AH421" s="891">
        <f t="shared" si="118"/>
        <v>64</v>
      </c>
      <c r="AI421" s="1220">
        <v>0.60891145467758179</v>
      </c>
      <c r="AJ421" s="1216"/>
    </row>
    <row r="422" spans="5:36">
      <c r="E422" s="299">
        <v>414</v>
      </c>
      <c r="F422" s="308">
        <f t="shared" ca="1" si="107"/>
        <v>2839.3124968521897</v>
      </c>
      <c r="G422" s="307">
        <f t="shared" ca="1" si="108"/>
        <v>257.97818038265939</v>
      </c>
      <c r="H422" s="306">
        <f t="shared" ca="1" si="109"/>
        <v>0.37429900747100447</v>
      </c>
      <c r="I422" s="305">
        <f t="shared" ca="1" si="111"/>
        <v>117.82857717277145</v>
      </c>
      <c r="J422" s="305">
        <f t="shared" ca="1" si="112"/>
        <v>44.082584097045427</v>
      </c>
      <c r="K422" s="292">
        <f t="shared" ca="1" si="110"/>
        <v>8.4765088291087061</v>
      </c>
      <c r="L422" s="1290">
        <f t="shared" ca="1" si="113"/>
        <v>42.686367907921749</v>
      </c>
      <c r="M422" s="299">
        <v>414</v>
      </c>
      <c r="N422" s="304">
        <f t="shared" si="114"/>
        <v>3290.1685978390969</v>
      </c>
      <c r="O422" s="303">
        <v>206.55641747123386</v>
      </c>
      <c r="P422" s="302">
        <v>0.4042133510088679</v>
      </c>
      <c r="Q422" s="301">
        <v>131.01256213870113</v>
      </c>
      <c r="R422" s="301">
        <v>50.480729995970968</v>
      </c>
      <c r="S422" s="300">
        <v>1.8693675111626895</v>
      </c>
      <c r="T422" s="891">
        <f t="shared" si="115"/>
        <v>64</v>
      </c>
      <c r="U422" s="1220">
        <v>0.66032207012176514</v>
      </c>
      <c r="W422" s="299">
        <v>414</v>
      </c>
      <c r="X422" s="298">
        <f>IF('Donor Sample'!N439="",,IF('Donor Sample'!N439="F",1,0))</f>
        <v>0</v>
      </c>
      <c r="Y422" s="298" t="str">
        <f>IF('Donor Sample'!O439="","",'Donor Sample'!O439)</f>
        <v/>
      </c>
      <c r="Z422" s="298" t="str">
        <f>IF(AND('Donor Sample'!O439="",'Donor Sample'!P439="",'Donor Sample'!Q439=""),"",IF('Donor Sample'!P439="",ROUND(AA422/($C$32+($AI422-0.5)*$C$31),0),'Donor Sample'!P439))</f>
        <v/>
      </c>
      <c r="AA422" s="297" t="str">
        <f>IF('Donor Sample'!Q439="","",'Donor Sample'!Q439)</f>
        <v/>
      </c>
      <c r="AB422" s="296" t="str">
        <f t="shared" si="106"/>
        <v/>
      </c>
      <c r="AC422" s="295" t="str">
        <f>IF('Donor Sample'!R439="","",'Donor Sample'!R439)</f>
        <v/>
      </c>
      <c r="AD422" s="294" t="str">
        <f>IF('Donor Sample'!S439="","",'Donor Sample'!S439/100)</f>
        <v/>
      </c>
      <c r="AE422" s="293" t="e">
        <f t="shared" si="116"/>
        <v>#VALUE!</v>
      </c>
      <c r="AF422" s="293" t="str">
        <f t="shared" si="117"/>
        <v/>
      </c>
      <c r="AG422" s="292" t="str">
        <f>IF('Donor Sample'!T439="","",'Donor Sample'!T439)</f>
        <v/>
      </c>
      <c r="AH422" s="891">
        <f t="shared" si="118"/>
        <v>2</v>
      </c>
      <c r="AI422" s="1220">
        <v>4.7286748886108398E-3</v>
      </c>
      <c r="AJ422" s="1216"/>
    </row>
    <row r="423" spans="5:36">
      <c r="E423" s="299">
        <v>415</v>
      </c>
      <c r="F423" s="308">
        <f t="shared" ca="1" si="107"/>
        <v>3769.1364676772305</v>
      </c>
      <c r="G423" s="307">
        <f t="shared" ca="1" si="108"/>
        <v>219.88331393018234</v>
      </c>
      <c r="H423" s="306">
        <f t="shared" ca="1" si="109"/>
        <v>0.39155555225411454</v>
      </c>
      <c r="I423" s="305">
        <f t="shared" ca="1" si="111"/>
        <v>136.95226187903742</v>
      </c>
      <c r="J423" s="305">
        <f t="shared" ca="1" si="112"/>
        <v>57.878110229529128</v>
      </c>
      <c r="K423" s="292">
        <f t="shared" ca="1" si="110"/>
        <v>2.8809765490543091</v>
      </c>
      <c r="L423" s="1290">
        <f t="shared" ca="1" si="113"/>
        <v>28.781484035973268</v>
      </c>
      <c r="M423" s="299">
        <v>415</v>
      </c>
      <c r="N423" s="304">
        <f t="shared" si="114"/>
        <v>3177.7890684573863</v>
      </c>
      <c r="O423" s="303">
        <v>204.28266266520632</v>
      </c>
      <c r="P423" s="302">
        <v>0.40458476142668692</v>
      </c>
      <c r="Q423" s="301">
        <v>99.782063163378766</v>
      </c>
      <c r="R423" s="301">
        <v>57.061208885333578</v>
      </c>
      <c r="S423" s="300">
        <v>1.7919466272168108</v>
      </c>
      <c r="T423" s="891">
        <f t="shared" si="115"/>
        <v>2</v>
      </c>
      <c r="U423" s="1220">
        <v>6.8209230899810791E-2</v>
      </c>
      <c r="W423" s="299">
        <v>415</v>
      </c>
      <c r="X423" s="298">
        <f>IF('Donor Sample'!N440="",,IF('Donor Sample'!N440="F",1,0))</f>
        <v>0</v>
      </c>
      <c r="Y423" s="298" t="str">
        <f>IF('Donor Sample'!O440="","",'Donor Sample'!O440)</f>
        <v/>
      </c>
      <c r="Z423" s="298" t="str">
        <f>IF(AND('Donor Sample'!O440="",'Donor Sample'!P440="",'Donor Sample'!Q440=""),"",IF('Donor Sample'!P440="",ROUND(AA423/($C$32+($AI423-0.5)*$C$31),0),'Donor Sample'!P440))</f>
        <v/>
      </c>
      <c r="AA423" s="297" t="str">
        <f>IF('Donor Sample'!Q440="","",'Donor Sample'!Q440)</f>
        <v/>
      </c>
      <c r="AB423" s="296" t="str">
        <f t="shared" si="106"/>
        <v/>
      </c>
      <c r="AC423" s="295" t="str">
        <f>IF('Donor Sample'!R440="","",'Donor Sample'!R440)</f>
        <v/>
      </c>
      <c r="AD423" s="294" t="str">
        <f>IF('Donor Sample'!S440="","",'Donor Sample'!S440/100)</f>
        <v/>
      </c>
      <c r="AE423" s="407" t="e">
        <f t="shared" si="116"/>
        <v>#VALUE!</v>
      </c>
      <c r="AF423" s="293" t="str">
        <f t="shared" si="117"/>
        <v/>
      </c>
      <c r="AG423" s="292" t="str">
        <f>IF('Donor Sample'!T440="","",'Donor Sample'!T440)</f>
        <v/>
      </c>
      <c r="AH423" s="891">
        <f t="shared" si="118"/>
        <v>4</v>
      </c>
      <c r="AI423" s="1220">
        <v>0.37141519784927368</v>
      </c>
      <c r="AJ423" s="1216"/>
    </row>
    <row r="424" spans="5:36">
      <c r="E424" s="299">
        <v>416</v>
      </c>
      <c r="F424" s="308">
        <f t="shared" ca="1" si="107"/>
        <v>3279.3055746890582</v>
      </c>
      <c r="G424" s="307">
        <f t="shared" ca="1" si="108"/>
        <v>214.79238743992283</v>
      </c>
      <c r="H424" s="306">
        <f t="shared" ca="1" si="109"/>
        <v>0.43986090702311487</v>
      </c>
      <c r="I424" s="305">
        <f t="shared" ca="1" si="111"/>
        <v>110.16393872936206</v>
      </c>
      <c r="J424" s="305">
        <f t="shared" ca="1" si="112"/>
        <v>56.195717254187713</v>
      </c>
      <c r="K424" s="292">
        <f t="shared" ca="1" si="110"/>
        <v>1.59139032039246</v>
      </c>
      <c r="L424" s="1290">
        <f t="shared" ca="1" si="113"/>
        <v>24.558717121654968</v>
      </c>
      <c r="M424" s="299">
        <v>416</v>
      </c>
      <c r="N424" s="304">
        <f t="shared" si="114"/>
        <v>3172.1567620067963</v>
      </c>
      <c r="O424" s="303">
        <v>227.49655452897414</v>
      </c>
      <c r="P424" s="302">
        <v>0.4261447941133556</v>
      </c>
      <c r="Q424" s="301">
        <v>108.89575881546642</v>
      </c>
      <c r="R424" s="301">
        <v>54.594371767802286</v>
      </c>
      <c r="S424" s="300">
        <v>1.2989163653734679</v>
      </c>
      <c r="T424" s="891">
        <f t="shared" si="115"/>
        <v>64</v>
      </c>
      <c r="U424" s="1220">
        <v>0.46533632278442383</v>
      </c>
      <c r="W424" s="299">
        <v>416</v>
      </c>
      <c r="X424" s="298">
        <f>IF('Donor Sample'!N441="",,IF('Donor Sample'!N441="F",1,0))</f>
        <v>0</v>
      </c>
      <c r="Y424" s="298" t="str">
        <f>IF('Donor Sample'!O441="","",'Donor Sample'!O441)</f>
        <v/>
      </c>
      <c r="Z424" s="298" t="str">
        <f>IF(AND('Donor Sample'!O441="",'Donor Sample'!P441="",'Donor Sample'!Q441=""),"",IF('Donor Sample'!P441="",ROUND(AA424/($C$32+($AI424-0.5)*$C$31),0),'Donor Sample'!P441))</f>
        <v/>
      </c>
      <c r="AA424" s="297" t="str">
        <f>IF('Donor Sample'!Q441="","",'Donor Sample'!Q441)</f>
        <v/>
      </c>
      <c r="AB424" s="296" t="str">
        <f t="shared" si="106"/>
        <v/>
      </c>
      <c r="AC424" s="295" t="str">
        <f>IF('Donor Sample'!R441="","",'Donor Sample'!R441)</f>
        <v/>
      </c>
      <c r="AD424" s="294" t="str">
        <f>IF('Donor Sample'!S441="","",'Donor Sample'!S441/100)</f>
        <v/>
      </c>
      <c r="AE424" s="293" t="e">
        <f t="shared" si="116"/>
        <v>#VALUE!</v>
      </c>
      <c r="AF424" s="293" t="str">
        <f t="shared" si="117"/>
        <v/>
      </c>
      <c r="AG424" s="292" t="str">
        <f>IF('Donor Sample'!T441="","",'Donor Sample'!T441)</f>
        <v/>
      </c>
      <c r="AH424" s="891">
        <f t="shared" si="118"/>
        <v>2</v>
      </c>
      <c r="AI424" s="1220">
        <v>4.6441078186035156E-2</v>
      </c>
      <c r="AJ424" s="1216"/>
    </row>
    <row r="425" spans="5:36">
      <c r="E425" s="299">
        <v>417</v>
      </c>
      <c r="F425" s="308">
        <f t="shared" ca="1" si="107"/>
        <v>3611.8108634828527</v>
      </c>
      <c r="G425" s="307">
        <f t="shared" ca="1" si="108"/>
        <v>274.98757567614979</v>
      </c>
      <c r="H425" s="306">
        <f t="shared" ca="1" si="109"/>
        <v>0.38917123684459543</v>
      </c>
      <c r="I425" s="305">
        <f t="shared" ca="1" si="111"/>
        <v>127.44571968130423</v>
      </c>
      <c r="J425" s="305">
        <f t="shared" ca="1" si="112"/>
        <v>57.56977421221071</v>
      </c>
      <c r="K425" s="292">
        <f t="shared" ca="1" si="110"/>
        <v>1.8871302685260201</v>
      </c>
      <c r="L425" s="1290">
        <f t="shared" ca="1" si="113"/>
        <v>27.071284368561287</v>
      </c>
      <c r="M425" s="299">
        <v>417</v>
      </c>
      <c r="N425" s="304">
        <f t="shared" si="114"/>
        <v>3458.6809110886134</v>
      </c>
      <c r="O425" s="303">
        <v>166.16789760250296</v>
      </c>
      <c r="P425" s="302">
        <v>0.40332313346514054</v>
      </c>
      <c r="Q425" s="301">
        <v>128.16799265260804</v>
      </c>
      <c r="R425" s="301">
        <v>54.689996796514194</v>
      </c>
      <c r="S425" s="300">
        <v>20.413971822787538</v>
      </c>
      <c r="T425" s="891">
        <f t="shared" si="115"/>
        <v>2</v>
      </c>
      <c r="U425" s="1220">
        <v>9.9089324474334717E-2</v>
      </c>
      <c r="W425" s="299">
        <v>417</v>
      </c>
      <c r="X425" s="298">
        <f>IF('Donor Sample'!N442="",,IF('Donor Sample'!N442="F",1,0))</f>
        <v>0</v>
      </c>
      <c r="Y425" s="298" t="str">
        <f>IF('Donor Sample'!O442="","",'Donor Sample'!O442)</f>
        <v/>
      </c>
      <c r="Z425" s="298" t="str">
        <f>IF(AND('Donor Sample'!O442="",'Donor Sample'!P442="",'Donor Sample'!Q442=""),"",IF('Donor Sample'!P442="",ROUND(AA425/($C$32+($AI425-0.5)*$C$31),0),'Donor Sample'!P442))</f>
        <v/>
      </c>
      <c r="AA425" s="297" t="str">
        <f>IF('Donor Sample'!Q442="","",'Donor Sample'!Q442)</f>
        <v/>
      </c>
      <c r="AB425" s="296" t="str">
        <f t="shared" si="106"/>
        <v/>
      </c>
      <c r="AC425" s="295" t="str">
        <f>IF('Donor Sample'!R442="","",'Donor Sample'!R442)</f>
        <v/>
      </c>
      <c r="AD425" s="294" t="str">
        <f>IF('Donor Sample'!S442="","",'Donor Sample'!S442/100)</f>
        <v/>
      </c>
      <c r="AE425" s="293" t="e">
        <f t="shared" si="116"/>
        <v>#VALUE!</v>
      </c>
      <c r="AF425" s="293" t="str">
        <f t="shared" si="117"/>
        <v/>
      </c>
      <c r="AG425" s="292" t="str">
        <f>IF('Donor Sample'!T442="","",'Donor Sample'!T442)</f>
        <v/>
      </c>
      <c r="AH425" s="891">
        <f t="shared" si="118"/>
        <v>4</v>
      </c>
      <c r="AI425" s="1220">
        <v>0.38360708951950073</v>
      </c>
      <c r="AJ425" s="1216"/>
    </row>
    <row r="426" spans="5:36">
      <c r="E426" s="299">
        <v>418</v>
      </c>
      <c r="F426" s="308">
        <f t="shared" ca="1" si="107"/>
        <v>3360.8394103555074</v>
      </c>
      <c r="G426" s="307">
        <f t="shared" ca="1" si="108"/>
        <v>193.48879292310602</v>
      </c>
      <c r="H426" s="306">
        <f t="shared" ca="1" si="109"/>
        <v>0.43526612188635555</v>
      </c>
      <c r="I426" s="305">
        <f t="shared" ca="1" si="111"/>
        <v>118.75697921554737</v>
      </c>
      <c r="J426" s="305">
        <f t="shared" ca="1" si="112"/>
        <v>55.413696318719047</v>
      </c>
      <c r="K426" s="292">
        <f t="shared" ca="1" si="110"/>
        <v>1.824614210766305</v>
      </c>
      <c r="L426" s="1290">
        <f t="shared" ca="1" si="113"/>
        <v>27.22686014450537</v>
      </c>
      <c r="M426" s="299">
        <v>418</v>
      </c>
      <c r="N426" s="304">
        <f t="shared" si="114"/>
        <v>4012.2568855818527</v>
      </c>
      <c r="O426" s="303">
        <v>248.69271655404657</v>
      </c>
      <c r="P426" s="302">
        <v>0.42889474710606507</v>
      </c>
      <c r="Q426" s="301">
        <v>135.32201534128109</v>
      </c>
      <c r="R426" s="301">
        <v>61.996069664428553</v>
      </c>
      <c r="S426" s="300">
        <v>1.4522266986711594</v>
      </c>
      <c r="T426" s="891">
        <f t="shared" si="115"/>
        <v>64</v>
      </c>
      <c r="U426" s="1220">
        <v>0.65992748737335205</v>
      </c>
      <c r="W426" s="299">
        <v>418</v>
      </c>
      <c r="X426" s="298">
        <f>IF('Donor Sample'!N443="",,IF('Donor Sample'!N443="F",1,0))</f>
        <v>0</v>
      </c>
      <c r="Y426" s="298" t="str">
        <f>IF('Donor Sample'!O443="","",'Donor Sample'!O443)</f>
        <v/>
      </c>
      <c r="Z426" s="298" t="str">
        <f>IF(AND('Donor Sample'!O443="",'Donor Sample'!P443="",'Donor Sample'!Q443=""),"",IF('Donor Sample'!P443="",ROUND(AA426/($C$32+($AI426-0.5)*$C$31),0),'Donor Sample'!P443))</f>
        <v/>
      </c>
      <c r="AA426" s="297" t="str">
        <f>IF('Donor Sample'!Q443="","",'Donor Sample'!Q443)</f>
        <v/>
      </c>
      <c r="AB426" s="296" t="str">
        <f t="shared" si="106"/>
        <v/>
      </c>
      <c r="AC426" s="295" t="str">
        <f>IF('Donor Sample'!R443="","",'Donor Sample'!R443)</f>
        <v/>
      </c>
      <c r="AD426" s="294" t="str">
        <f>IF('Donor Sample'!S443="","",'Donor Sample'!S443/100)</f>
        <v/>
      </c>
      <c r="AE426" s="407" t="e">
        <f t="shared" si="116"/>
        <v>#VALUE!</v>
      </c>
      <c r="AF426" s="293" t="str">
        <f t="shared" si="117"/>
        <v/>
      </c>
      <c r="AG426" s="292" t="str">
        <f>IF('Donor Sample'!T443="","",'Donor Sample'!T443)</f>
        <v/>
      </c>
      <c r="AH426" s="891">
        <f t="shared" si="118"/>
        <v>2</v>
      </c>
      <c r="AI426" s="1220">
        <v>0.222878098487854</v>
      </c>
      <c r="AJ426" s="1216"/>
    </row>
    <row r="427" spans="5:36">
      <c r="E427" s="299">
        <v>419</v>
      </c>
      <c r="F427" s="308">
        <f t="shared" ca="1" si="107"/>
        <v>3367.3125104605392</v>
      </c>
      <c r="G427" s="307">
        <f t="shared" ca="1" si="108"/>
        <v>248.15756025111187</v>
      </c>
      <c r="H427" s="306">
        <f t="shared" ca="1" si="109"/>
        <v>0.36680605167903102</v>
      </c>
      <c r="I427" s="305">
        <f t="shared" ca="1" si="111"/>
        <v>108.15117231961986</v>
      </c>
      <c r="J427" s="305">
        <f t="shared" ca="1" si="112"/>
        <v>58.18551891979051</v>
      </c>
      <c r="K427" s="292">
        <f t="shared" ca="1" si="110"/>
        <v>6.5435406379765384</v>
      </c>
      <c r="L427" s="1290">
        <f t="shared" ca="1" si="113"/>
        <v>22.489203111337307</v>
      </c>
      <c r="M427" s="299">
        <v>419</v>
      </c>
      <c r="N427" s="304">
        <f t="shared" si="114"/>
        <v>4178.5334791891737</v>
      </c>
      <c r="O427" s="303">
        <v>270.25591958618963</v>
      </c>
      <c r="P427" s="302">
        <v>0.41971054100182698</v>
      </c>
      <c r="Q427" s="301">
        <v>160.25118521189751</v>
      </c>
      <c r="R427" s="301">
        <v>59.00203274861093</v>
      </c>
      <c r="S427" s="300">
        <v>3.1515545042489528</v>
      </c>
      <c r="T427" s="891">
        <f t="shared" si="115"/>
        <v>32</v>
      </c>
      <c r="U427" s="1220">
        <v>0.77862149477005005</v>
      </c>
      <c r="W427" s="299">
        <v>419</v>
      </c>
      <c r="X427" s="298">
        <f>IF('Donor Sample'!N444="",,IF('Donor Sample'!N444="F",1,0))</f>
        <v>0</v>
      </c>
      <c r="Y427" s="298" t="str">
        <f>IF('Donor Sample'!O444="","",'Donor Sample'!O444)</f>
        <v/>
      </c>
      <c r="Z427" s="298" t="str">
        <f>IF(AND('Donor Sample'!O444="",'Donor Sample'!P444="",'Donor Sample'!Q444=""),"",IF('Donor Sample'!P444="",ROUND(AA427/($C$32+($AI427-0.5)*$C$31),0),'Donor Sample'!P444))</f>
        <v/>
      </c>
      <c r="AA427" s="297" t="str">
        <f>IF('Donor Sample'!Q444="","",'Donor Sample'!Q444)</f>
        <v/>
      </c>
      <c r="AB427" s="296" t="str">
        <f t="shared" si="106"/>
        <v/>
      </c>
      <c r="AC427" s="295" t="str">
        <f>IF('Donor Sample'!R444="","",'Donor Sample'!R444)</f>
        <v/>
      </c>
      <c r="AD427" s="294" t="str">
        <f>IF('Donor Sample'!S444="","",'Donor Sample'!S444/100)</f>
        <v/>
      </c>
      <c r="AE427" s="293" t="e">
        <f t="shared" si="116"/>
        <v>#VALUE!</v>
      </c>
      <c r="AF427" s="293" t="str">
        <f t="shared" si="117"/>
        <v/>
      </c>
      <c r="AG427" s="292" t="str">
        <f>IF('Donor Sample'!T444="","",'Donor Sample'!T444)</f>
        <v/>
      </c>
      <c r="AH427" s="891">
        <f t="shared" si="118"/>
        <v>2</v>
      </c>
      <c r="AI427" s="1220">
        <v>0.34025794267654419</v>
      </c>
      <c r="AJ427" s="1216"/>
    </row>
    <row r="428" spans="5:36">
      <c r="E428" s="299">
        <v>420</v>
      </c>
      <c r="F428" s="308">
        <f t="shared" ca="1" si="107"/>
        <v>3435.164165770002</v>
      </c>
      <c r="G428" s="307">
        <f t="shared" ca="1" si="108"/>
        <v>237.91495744083278</v>
      </c>
      <c r="H428" s="306">
        <f t="shared" ca="1" si="109"/>
        <v>0.41556540313838047</v>
      </c>
      <c r="I428" s="305">
        <f t="shared" ca="1" si="111"/>
        <v>133.64918980717428</v>
      </c>
      <c r="J428" s="305">
        <f t="shared" ca="1" si="112"/>
        <v>52.699012550405733</v>
      </c>
      <c r="K428" s="292">
        <f t="shared" ca="1" si="110"/>
        <v>1.4097635398579682</v>
      </c>
      <c r="L428" s="1290">
        <f t="shared" ca="1" si="113"/>
        <v>33.879269233772462</v>
      </c>
      <c r="M428" s="299">
        <v>420</v>
      </c>
      <c r="N428" s="304">
        <f t="shared" si="114"/>
        <v>3368.4593284728398</v>
      </c>
      <c r="O428" s="303">
        <v>262.57052125068543</v>
      </c>
      <c r="P428" s="302">
        <v>0.39554933251633256</v>
      </c>
      <c r="Q428" s="301">
        <v>136.89229346645863</v>
      </c>
      <c r="R428" s="301">
        <v>50.315850290321066</v>
      </c>
      <c r="S428" s="300">
        <v>1.9325812051947806</v>
      </c>
      <c r="T428" s="891">
        <f t="shared" si="115"/>
        <v>64</v>
      </c>
      <c r="U428" s="1220">
        <v>0.45641398429870605</v>
      </c>
      <c r="W428" s="299">
        <v>420</v>
      </c>
      <c r="X428" s="298">
        <f>IF('Donor Sample'!N445="",,IF('Donor Sample'!N445="F",1,0))</f>
        <v>0</v>
      </c>
      <c r="Y428" s="298" t="str">
        <f>IF('Donor Sample'!O445="","",'Donor Sample'!O445)</f>
        <v/>
      </c>
      <c r="Z428" s="298" t="str">
        <f>IF(AND('Donor Sample'!O445="",'Donor Sample'!P445="",'Donor Sample'!Q445=""),"",IF('Donor Sample'!P445="",ROUND(AA428/($C$32+($AI428-0.5)*$C$31),0),'Donor Sample'!P445))</f>
        <v/>
      </c>
      <c r="AA428" s="297" t="str">
        <f>IF('Donor Sample'!Q445="","",'Donor Sample'!Q445)</f>
        <v/>
      </c>
      <c r="AB428" s="296" t="str">
        <f t="shared" si="106"/>
        <v/>
      </c>
      <c r="AC428" s="295" t="str">
        <f>IF('Donor Sample'!R445="","",'Donor Sample'!R445)</f>
        <v/>
      </c>
      <c r="AD428" s="294" t="str">
        <f>IF('Donor Sample'!S445="","",'Donor Sample'!S445/100)</f>
        <v/>
      </c>
      <c r="AE428" s="293" t="e">
        <f t="shared" si="116"/>
        <v>#VALUE!</v>
      </c>
      <c r="AF428" s="293" t="str">
        <f t="shared" si="117"/>
        <v/>
      </c>
      <c r="AG428" s="292" t="str">
        <f>IF('Donor Sample'!T445="","",'Donor Sample'!T445)</f>
        <v/>
      </c>
      <c r="AH428" s="891">
        <f t="shared" si="118"/>
        <v>64</v>
      </c>
      <c r="AI428" s="1220">
        <v>0.52003979682922363</v>
      </c>
      <c r="AJ428" s="1216"/>
    </row>
    <row r="429" spans="5:36">
      <c r="E429" s="299">
        <v>421</v>
      </c>
      <c r="F429" s="308">
        <f t="shared" ca="1" si="107"/>
        <v>2893.8079946153625</v>
      </c>
      <c r="G429" s="307">
        <f t="shared" ca="1" si="108"/>
        <v>188.03249094349144</v>
      </c>
      <c r="H429" s="306">
        <f t="shared" ca="1" si="109"/>
        <v>0.46337507932410094</v>
      </c>
      <c r="I429" s="305">
        <f t="shared" ca="1" si="111"/>
        <v>89.918089111828905</v>
      </c>
      <c r="J429" s="305">
        <f t="shared" ca="1" si="112"/>
        <v>54.570647581941174</v>
      </c>
      <c r="K429" s="292">
        <f t="shared" ca="1" si="110"/>
        <v>2.2431832924200044</v>
      </c>
      <c r="L429" s="1290">
        <f t="shared" ca="1" si="113"/>
        <v>21.256977509250131</v>
      </c>
      <c r="M429" s="299">
        <v>421</v>
      </c>
      <c r="N429" s="304">
        <f t="shared" si="114"/>
        <v>3424.981925695572</v>
      </c>
      <c r="O429" s="303">
        <v>202.24746058224588</v>
      </c>
      <c r="P429" s="302">
        <v>0.3961846085798913</v>
      </c>
      <c r="Q429" s="301">
        <v>112.71157078390655</v>
      </c>
      <c r="R429" s="301">
        <v>58.039194317368477</v>
      </c>
      <c r="S429" s="300">
        <v>6.3467728799026215</v>
      </c>
      <c r="T429" s="891">
        <f t="shared" si="115"/>
        <v>2</v>
      </c>
      <c r="U429" s="1220">
        <v>8.9129805564880371E-3</v>
      </c>
      <c r="W429" s="299">
        <v>421</v>
      </c>
      <c r="X429" s="298">
        <f>IF('Donor Sample'!N446="",,IF('Donor Sample'!N446="F",1,0))</f>
        <v>0</v>
      </c>
      <c r="Y429" s="298" t="str">
        <f>IF('Donor Sample'!O446="","",'Donor Sample'!O446)</f>
        <v/>
      </c>
      <c r="Z429" s="298" t="str">
        <f>IF(AND('Donor Sample'!O446="",'Donor Sample'!P446="",'Donor Sample'!Q446=""),"",IF('Donor Sample'!P446="",ROUND(AA429/($C$32+($AI429-0.5)*$C$31),0),'Donor Sample'!P446))</f>
        <v/>
      </c>
      <c r="AA429" s="297" t="str">
        <f>IF('Donor Sample'!Q446="","",'Donor Sample'!Q446)</f>
        <v/>
      </c>
      <c r="AB429" s="296" t="str">
        <f t="shared" si="106"/>
        <v/>
      </c>
      <c r="AC429" s="295" t="str">
        <f>IF('Donor Sample'!R446="","",'Donor Sample'!R446)</f>
        <v/>
      </c>
      <c r="AD429" s="294" t="str">
        <f>IF('Donor Sample'!S446="","",'Donor Sample'!S446/100)</f>
        <v/>
      </c>
      <c r="AE429" s="407" t="e">
        <f t="shared" si="116"/>
        <v>#VALUE!</v>
      </c>
      <c r="AF429" s="293" t="str">
        <f t="shared" si="117"/>
        <v/>
      </c>
      <c r="AG429" s="292" t="str">
        <f>IF('Donor Sample'!T446="","",'Donor Sample'!T446)</f>
        <v/>
      </c>
      <c r="AH429" s="891">
        <f t="shared" si="118"/>
        <v>2</v>
      </c>
      <c r="AI429" s="1220">
        <v>7.2430074214935303E-2</v>
      </c>
      <c r="AJ429" s="1216"/>
    </row>
    <row r="430" spans="5:36">
      <c r="E430" s="299">
        <v>422</v>
      </c>
      <c r="F430" s="308">
        <f t="shared" ca="1" si="107"/>
        <v>3410.7889602435826</v>
      </c>
      <c r="G430" s="307">
        <f t="shared" ca="1" si="108"/>
        <v>263.18990684645559</v>
      </c>
      <c r="H430" s="306">
        <f t="shared" ca="1" si="109"/>
        <v>0.41147197603591601</v>
      </c>
      <c r="I430" s="305">
        <f t="shared" ca="1" si="111"/>
        <v>138.65900260609956</v>
      </c>
      <c r="J430" s="305">
        <f t="shared" ca="1" si="112"/>
        <v>50.675411101738078</v>
      </c>
      <c r="K430" s="292">
        <f t="shared" ca="1" si="110"/>
        <v>19.459968473105423</v>
      </c>
      <c r="L430" s="1290">
        <f t="shared" ca="1" si="113"/>
        <v>38.012476961042253</v>
      </c>
      <c r="M430" s="299">
        <v>422</v>
      </c>
      <c r="N430" s="304">
        <f t="shared" si="114"/>
        <v>3874.5597132017879</v>
      </c>
      <c r="O430" s="303">
        <v>155.28363896750915</v>
      </c>
      <c r="P430" s="302">
        <v>0.43899402510489366</v>
      </c>
      <c r="Q430" s="301">
        <v>132.75277718832749</v>
      </c>
      <c r="R430" s="301">
        <v>60.515765863756386</v>
      </c>
      <c r="S430" s="300">
        <v>3.1004022665569493</v>
      </c>
      <c r="T430" s="891">
        <f t="shared" si="115"/>
        <v>64</v>
      </c>
      <c r="U430" s="1220">
        <v>0.53128659725189209</v>
      </c>
      <c r="W430" s="299">
        <v>422</v>
      </c>
      <c r="X430" s="298">
        <f>IF('Donor Sample'!N447="",,IF('Donor Sample'!N447="F",1,0))</f>
        <v>0</v>
      </c>
      <c r="Y430" s="298" t="str">
        <f>IF('Donor Sample'!O447="","",'Donor Sample'!O447)</f>
        <v/>
      </c>
      <c r="Z430" s="298" t="str">
        <f>IF(AND('Donor Sample'!O447="",'Donor Sample'!P447="",'Donor Sample'!Q447=""),"",IF('Donor Sample'!P447="",ROUND(AA430/($C$32+($AI430-0.5)*$C$31),0),'Donor Sample'!P447))</f>
        <v/>
      </c>
      <c r="AA430" s="297" t="str">
        <f>IF('Donor Sample'!Q447="","",'Donor Sample'!Q447)</f>
        <v/>
      </c>
      <c r="AB430" s="296" t="str">
        <f t="shared" si="106"/>
        <v/>
      </c>
      <c r="AC430" s="295" t="str">
        <f>IF('Donor Sample'!R447="","",'Donor Sample'!R447)</f>
        <v/>
      </c>
      <c r="AD430" s="294" t="str">
        <f>IF('Donor Sample'!S447="","",'Donor Sample'!S447/100)</f>
        <v/>
      </c>
      <c r="AE430" s="293" t="e">
        <f t="shared" si="116"/>
        <v>#VALUE!</v>
      </c>
      <c r="AF430" s="293" t="str">
        <f t="shared" si="117"/>
        <v/>
      </c>
      <c r="AG430" s="292" t="str">
        <f>IF('Donor Sample'!T447="","",'Donor Sample'!T447)</f>
        <v/>
      </c>
      <c r="AH430" s="891">
        <f t="shared" si="118"/>
        <v>2</v>
      </c>
      <c r="AI430" s="1220">
        <v>7.7551722526550293E-2</v>
      </c>
      <c r="AJ430" s="1216"/>
    </row>
    <row r="431" spans="5:36">
      <c r="E431" s="299">
        <v>423</v>
      </c>
      <c r="F431" s="308">
        <f t="shared" ca="1" si="107"/>
        <v>3955.9310438319217</v>
      </c>
      <c r="G431" s="307">
        <f t="shared" ca="1" si="108"/>
        <v>220.20410413228834</v>
      </c>
      <c r="H431" s="306">
        <f t="shared" ca="1" si="109"/>
        <v>0.44776569257731053</v>
      </c>
      <c r="I431" s="305">
        <f t="shared" ca="1" si="111"/>
        <v>129.14651054607072</v>
      </c>
      <c r="J431" s="305">
        <f t="shared" ca="1" si="112"/>
        <v>62.480385805922097</v>
      </c>
      <c r="K431" s="292">
        <f t="shared" ca="1" si="110"/>
        <v>1.7482781211523579</v>
      </c>
      <c r="L431" s="1290">
        <f t="shared" ca="1" si="113"/>
        <v>23.289916437004237</v>
      </c>
      <c r="M431" s="299">
        <v>423</v>
      </c>
      <c r="N431" s="304">
        <f t="shared" si="114"/>
        <v>3266.384590664019</v>
      </c>
      <c r="O431" s="303">
        <v>300.81853903037796</v>
      </c>
      <c r="P431" s="302">
        <v>0.40116571258787886</v>
      </c>
      <c r="Q431" s="301">
        <v>102.31776112555177</v>
      </c>
      <c r="R431" s="301">
        <v>57.926264678460178</v>
      </c>
      <c r="S431" s="300">
        <v>10.923201265058745</v>
      </c>
      <c r="T431" s="891">
        <f t="shared" si="115"/>
        <v>64</v>
      </c>
      <c r="U431" s="1220">
        <v>0.61205393075942993</v>
      </c>
      <c r="W431" s="299">
        <v>423</v>
      </c>
      <c r="X431" s="298">
        <f>IF('Donor Sample'!N448="",,IF('Donor Sample'!N448="F",1,0))</f>
        <v>0</v>
      </c>
      <c r="Y431" s="298" t="str">
        <f>IF('Donor Sample'!O448="","",'Donor Sample'!O448)</f>
        <v/>
      </c>
      <c r="Z431" s="298" t="str">
        <f>IF(AND('Donor Sample'!O448="",'Donor Sample'!P448="",'Donor Sample'!Q448=""),"",IF('Donor Sample'!P448="",ROUND(AA431/($C$32+($AI431-0.5)*$C$31),0),'Donor Sample'!P448))</f>
        <v/>
      </c>
      <c r="AA431" s="297" t="str">
        <f>IF('Donor Sample'!Q448="","",'Donor Sample'!Q448)</f>
        <v/>
      </c>
      <c r="AB431" s="296" t="str">
        <f t="shared" si="106"/>
        <v/>
      </c>
      <c r="AC431" s="295" t="str">
        <f>IF('Donor Sample'!R448="","",'Donor Sample'!R448)</f>
        <v/>
      </c>
      <c r="AD431" s="294" t="str">
        <f>IF('Donor Sample'!S448="","",'Donor Sample'!S448/100)</f>
        <v/>
      </c>
      <c r="AE431" s="293" t="e">
        <f t="shared" si="116"/>
        <v>#VALUE!</v>
      </c>
      <c r="AF431" s="293" t="str">
        <f t="shared" si="117"/>
        <v/>
      </c>
      <c r="AG431" s="292" t="str">
        <f>IF('Donor Sample'!T448="","",'Donor Sample'!T448)</f>
        <v/>
      </c>
      <c r="AH431" s="891">
        <f t="shared" si="118"/>
        <v>2</v>
      </c>
      <c r="AI431" s="1220">
        <v>0.26280933618545532</v>
      </c>
      <c r="AJ431" s="1216"/>
    </row>
    <row r="432" spans="5:36">
      <c r="E432" s="299">
        <v>424</v>
      </c>
      <c r="F432" s="308">
        <f t="shared" ca="1" si="107"/>
        <v>3133.7170162369571</v>
      </c>
      <c r="G432" s="307">
        <f t="shared" ca="1" si="108"/>
        <v>271.00872790131666</v>
      </c>
      <c r="H432" s="306">
        <f t="shared" ca="1" si="109"/>
        <v>0.3859195479542778</v>
      </c>
      <c r="I432" s="305">
        <f t="shared" ca="1" si="111"/>
        <v>112.31405608198587</v>
      </c>
      <c r="J432" s="305">
        <f t="shared" ca="1" si="112"/>
        <v>52.898811847577178</v>
      </c>
      <c r="K432" s="292">
        <f t="shared" ca="1" si="110"/>
        <v>2.1782195504126869</v>
      </c>
      <c r="L432" s="1290">
        <f t="shared" ca="1" si="113"/>
        <v>28.256276757239569</v>
      </c>
      <c r="M432" s="299">
        <v>424</v>
      </c>
      <c r="N432" s="304">
        <f t="shared" si="114"/>
        <v>3026.6484453484936</v>
      </c>
      <c r="O432" s="303">
        <v>296.00010448746332</v>
      </c>
      <c r="P432" s="302">
        <v>0.37338647193454028</v>
      </c>
      <c r="Q432" s="301">
        <v>97.136334967141266</v>
      </c>
      <c r="R432" s="301">
        <v>55.077082894908266</v>
      </c>
      <c r="S432" s="300">
        <v>1.2750896573809791</v>
      </c>
      <c r="T432" s="891">
        <f t="shared" si="115"/>
        <v>256</v>
      </c>
      <c r="U432" s="1220">
        <v>0.86358737945556641</v>
      </c>
      <c r="W432" s="299">
        <v>424</v>
      </c>
      <c r="X432" s="298">
        <f>IF('Donor Sample'!N449="",,IF('Donor Sample'!N449="F",1,0))</f>
        <v>0</v>
      </c>
      <c r="Y432" s="298" t="str">
        <f>IF('Donor Sample'!O449="","",'Donor Sample'!O449)</f>
        <v/>
      </c>
      <c r="Z432" s="298" t="str">
        <f>IF(AND('Donor Sample'!O449="",'Donor Sample'!P449="",'Donor Sample'!Q449=""),"",IF('Donor Sample'!P449="",ROUND(AA432/($C$32+($AI432-0.5)*$C$31),0),'Donor Sample'!P449))</f>
        <v/>
      </c>
      <c r="AA432" s="297" t="str">
        <f>IF('Donor Sample'!Q449="","",'Donor Sample'!Q449)</f>
        <v/>
      </c>
      <c r="AB432" s="296" t="str">
        <f t="shared" si="106"/>
        <v/>
      </c>
      <c r="AC432" s="295" t="str">
        <f>IF('Donor Sample'!R449="","",'Donor Sample'!R449)</f>
        <v/>
      </c>
      <c r="AD432" s="294" t="str">
        <f>IF('Donor Sample'!S449="","",'Donor Sample'!S449/100)</f>
        <v/>
      </c>
      <c r="AE432" s="407" t="e">
        <f t="shared" si="116"/>
        <v>#VALUE!</v>
      </c>
      <c r="AF432" s="293" t="str">
        <f t="shared" si="117"/>
        <v/>
      </c>
      <c r="AG432" s="292" t="str">
        <f>IF('Donor Sample'!T449="","",'Donor Sample'!T449)</f>
        <v/>
      </c>
      <c r="AH432" s="891">
        <f t="shared" si="118"/>
        <v>64</v>
      </c>
      <c r="AI432" s="1220">
        <v>0.54266881942749023</v>
      </c>
      <c r="AJ432" s="1216"/>
    </row>
    <row r="433" spans="5:36">
      <c r="E433" s="299">
        <v>425</v>
      </c>
      <c r="F433" s="308">
        <f t="shared" ca="1" si="107"/>
        <v>2960.2697859630844</v>
      </c>
      <c r="G433" s="307">
        <f t="shared" ca="1" si="108"/>
        <v>261.22676920782254</v>
      </c>
      <c r="H433" s="306">
        <f t="shared" ca="1" si="109"/>
        <v>0.42346222331756406</v>
      </c>
      <c r="I433" s="305">
        <f t="shared" ca="1" si="111"/>
        <v>91.51427237764328</v>
      </c>
      <c r="J433" s="305">
        <f t="shared" ca="1" si="112"/>
        <v>62.2060610263811</v>
      </c>
      <c r="K433" s="292">
        <f t="shared" ca="1" si="110"/>
        <v>3.5584804226151938</v>
      </c>
      <c r="L433" s="1290">
        <f t="shared" ca="1" si="113"/>
        <v>16.649304108059773</v>
      </c>
      <c r="M433" s="299">
        <v>425</v>
      </c>
      <c r="N433" s="304">
        <f t="shared" si="114"/>
        <v>2905.262180323029</v>
      </c>
      <c r="O433" s="303">
        <v>205.47112765803493</v>
      </c>
      <c r="P433" s="302">
        <v>0.35762774737191871</v>
      </c>
      <c r="Q433" s="301">
        <v>118.26652272897635</v>
      </c>
      <c r="R433" s="301">
        <v>54.571118188102552</v>
      </c>
      <c r="S433" s="300">
        <v>3.1684738531121699</v>
      </c>
      <c r="T433" s="891">
        <f t="shared" si="115"/>
        <v>2</v>
      </c>
      <c r="U433" s="1220">
        <v>0.31498068571090698</v>
      </c>
      <c r="W433" s="299">
        <v>425</v>
      </c>
      <c r="X433" s="298">
        <f>IF('Donor Sample'!N450="",,IF('Donor Sample'!N450="F",1,0))</f>
        <v>0</v>
      </c>
      <c r="Y433" s="298" t="str">
        <f>IF('Donor Sample'!O450="","",'Donor Sample'!O450)</f>
        <v/>
      </c>
      <c r="Z433" s="298" t="str">
        <f>IF(AND('Donor Sample'!O450="",'Donor Sample'!P450="",'Donor Sample'!Q450=""),"",IF('Donor Sample'!P450="",ROUND(AA433/($C$32+($AI433-0.5)*$C$31),0),'Donor Sample'!P450))</f>
        <v/>
      </c>
      <c r="AA433" s="297" t="str">
        <f>IF('Donor Sample'!Q450="","",'Donor Sample'!Q450)</f>
        <v/>
      </c>
      <c r="AB433" s="296" t="str">
        <f t="shared" si="106"/>
        <v/>
      </c>
      <c r="AC433" s="295" t="str">
        <f>IF('Donor Sample'!R450="","",'Donor Sample'!R450)</f>
        <v/>
      </c>
      <c r="AD433" s="294" t="str">
        <f>IF('Donor Sample'!S450="","",'Donor Sample'!S450/100)</f>
        <v/>
      </c>
      <c r="AE433" s="293" t="e">
        <f t="shared" si="116"/>
        <v>#VALUE!</v>
      </c>
      <c r="AF433" s="293" t="str">
        <f t="shared" si="117"/>
        <v/>
      </c>
      <c r="AG433" s="292" t="str">
        <f>IF('Donor Sample'!T450="","",'Donor Sample'!T450)</f>
        <v/>
      </c>
      <c r="AH433" s="891">
        <f t="shared" si="118"/>
        <v>256</v>
      </c>
      <c r="AI433" s="1220">
        <v>0.8836933970451355</v>
      </c>
      <c r="AJ433" s="1216"/>
    </row>
    <row r="434" spans="5:36">
      <c r="E434" s="299">
        <v>426</v>
      </c>
      <c r="F434" s="308">
        <f t="shared" ca="1" si="107"/>
        <v>3524.5809383069654</v>
      </c>
      <c r="G434" s="307">
        <f t="shared" ca="1" si="108"/>
        <v>223.497354532598</v>
      </c>
      <c r="H434" s="306">
        <f t="shared" ca="1" si="109"/>
        <v>0.43361367030058823</v>
      </c>
      <c r="I434" s="305">
        <f t="shared" ca="1" si="111"/>
        <v>115.80519789873073</v>
      </c>
      <c r="J434" s="305">
        <f t="shared" ca="1" si="112"/>
        <v>58.921634737668469</v>
      </c>
      <c r="K434" s="292">
        <f t="shared" ca="1" si="110"/>
        <v>1.6302779611112137</v>
      </c>
      <c r="L434" s="1290">
        <f t="shared" ca="1" si="113"/>
        <v>23.482868015220173</v>
      </c>
      <c r="M434" s="299">
        <v>426</v>
      </c>
      <c r="N434" s="304">
        <f t="shared" si="114"/>
        <v>2599.0428129985248</v>
      </c>
      <c r="O434" s="303">
        <v>281.53136354144607</v>
      </c>
      <c r="P434" s="302">
        <v>0.48066570237462736</v>
      </c>
      <c r="Q434" s="301">
        <v>108.78505881328992</v>
      </c>
      <c r="R434" s="301">
        <v>40.748711407997348</v>
      </c>
      <c r="S434" s="300">
        <v>17.798587508877571</v>
      </c>
      <c r="T434" s="891">
        <f t="shared" si="115"/>
        <v>2</v>
      </c>
      <c r="U434" s="1220">
        <v>0.28031980991363525</v>
      </c>
      <c r="W434" s="299">
        <v>426</v>
      </c>
      <c r="X434" s="298">
        <f>IF('Donor Sample'!N451="",,IF('Donor Sample'!N451="F",1,0))</f>
        <v>0</v>
      </c>
      <c r="Y434" s="298" t="str">
        <f>IF('Donor Sample'!O451="","",'Donor Sample'!O451)</f>
        <v/>
      </c>
      <c r="Z434" s="298" t="str">
        <f>IF(AND('Donor Sample'!O451="",'Donor Sample'!P451="",'Donor Sample'!Q451=""),"",IF('Donor Sample'!P451="",ROUND(AA434/($C$32+($AI434-0.5)*$C$31),0),'Donor Sample'!P451))</f>
        <v/>
      </c>
      <c r="AA434" s="297" t="str">
        <f>IF('Donor Sample'!Q451="","",'Donor Sample'!Q451)</f>
        <v/>
      </c>
      <c r="AB434" s="296" t="str">
        <f t="shared" si="106"/>
        <v/>
      </c>
      <c r="AC434" s="295" t="str">
        <f>IF('Donor Sample'!R451="","",'Donor Sample'!R451)</f>
        <v/>
      </c>
      <c r="AD434" s="294" t="str">
        <f>IF('Donor Sample'!S451="","",'Donor Sample'!S451/100)</f>
        <v/>
      </c>
      <c r="AE434" s="293" t="e">
        <f t="shared" si="116"/>
        <v>#VALUE!</v>
      </c>
      <c r="AF434" s="293" t="str">
        <f t="shared" si="117"/>
        <v/>
      </c>
      <c r="AG434" s="292" t="str">
        <f>IF('Donor Sample'!T451="","",'Donor Sample'!T451)</f>
        <v/>
      </c>
      <c r="AH434" s="891">
        <f t="shared" si="118"/>
        <v>2</v>
      </c>
      <c r="AI434" s="1220">
        <v>0.25631058216094971</v>
      </c>
      <c r="AJ434" s="1216"/>
    </row>
    <row r="435" spans="5:36">
      <c r="E435" s="299">
        <v>427</v>
      </c>
      <c r="F435" s="308">
        <f t="shared" ca="1" si="107"/>
        <v>4048.468739806387</v>
      </c>
      <c r="G435" s="307">
        <f t="shared" ca="1" si="108"/>
        <v>208.06885513874545</v>
      </c>
      <c r="H435" s="306">
        <f t="shared" ca="1" si="109"/>
        <v>0.37004270371204112</v>
      </c>
      <c r="I435" s="305">
        <f t="shared" ca="1" si="111"/>
        <v>142.99947315624553</v>
      </c>
      <c r="J435" s="305">
        <f t="shared" ca="1" si="112"/>
        <v>60.881559643930764</v>
      </c>
      <c r="K435" s="292">
        <f t="shared" ca="1" si="110"/>
        <v>11.80662828313276</v>
      </c>
      <c r="L435" s="1290">
        <f t="shared" ca="1" si="113"/>
        <v>27.160362218714049</v>
      </c>
      <c r="M435" s="299">
        <v>427</v>
      </c>
      <c r="N435" s="304">
        <f t="shared" si="114"/>
        <v>3484.9903066168117</v>
      </c>
      <c r="O435" s="303">
        <v>306.64750543222891</v>
      </c>
      <c r="P435" s="302">
        <v>0.44172011148643064</v>
      </c>
      <c r="Q435" s="301">
        <v>143.67372681842255</v>
      </c>
      <c r="R435" s="301">
        <v>50.696698564872001</v>
      </c>
      <c r="S435" s="300">
        <v>10.917583000220892</v>
      </c>
      <c r="T435" s="891">
        <f t="shared" si="115"/>
        <v>64</v>
      </c>
      <c r="U435" s="1220">
        <v>0.61324530839920044</v>
      </c>
      <c r="W435" s="299">
        <v>427</v>
      </c>
      <c r="X435" s="298">
        <f>IF('Donor Sample'!N452="",,IF('Donor Sample'!N452="F",1,0))</f>
        <v>0</v>
      </c>
      <c r="Y435" s="298" t="str">
        <f>IF('Donor Sample'!O452="","",'Donor Sample'!O452)</f>
        <v/>
      </c>
      <c r="Z435" s="298" t="str">
        <f>IF(AND('Donor Sample'!O452="",'Donor Sample'!P452="",'Donor Sample'!Q452=""),"",IF('Donor Sample'!P452="",ROUND(AA435/($C$32+($AI435-0.5)*$C$31),0),'Donor Sample'!P452))</f>
        <v/>
      </c>
      <c r="AA435" s="297" t="str">
        <f>IF('Donor Sample'!Q452="","",'Donor Sample'!Q452)</f>
        <v/>
      </c>
      <c r="AB435" s="296" t="str">
        <f t="shared" si="106"/>
        <v/>
      </c>
      <c r="AC435" s="295" t="str">
        <f>IF('Donor Sample'!R452="","",'Donor Sample'!R452)</f>
        <v/>
      </c>
      <c r="AD435" s="294" t="str">
        <f>IF('Donor Sample'!S452="","",'Donor Sample'!S452/100)</f>
        <v/>
      </c>
      <c r="AE435" s="407" t="e">
        <f t="shared" si="116"/>
        <v>#VALUE!</v>
      </c>
      <c r="AF435" s="293" t="str">
        <f t="shared" si="117"/>
        <v/>
      </c>
      <c r="AG435" s="292" t="str">
        <f>IF('Donor Sample'!T452="","",'Donor Sample'!T452)</f>
        <v/>
      </c>
      <c r="AH435" s="891">
        <f t="shared" si="118"/>
        <v>2</v>
      </c>
      <c r="AI435" s="1220">
        <v>0.13888627290725708</v>
      </c>
      <c r="AJ435" s="1216"/>
    </row>
    <row r="436" spans="5:36">
      <c r="E436" s="299">
        <v>428</v>
      </c>
      <c r="F436" s="308">
        <f t="shared" ca="1" si="107"/>
        <v>4234.7982158489267</v>
      </c>
      <c r="G436" s="307">
        <f t="shared" ca="1" si="108"/>
        <v>249.63637773222703</v>
      </c>
      <c r="H436" s="306">
        <f t="shared" ca="1" si="109"/>
        <v>0.39655907823414011</v>
      </c>
      <c r="I436" s="305">
        <f t="shared" ca="1" si="111"/>
        <v>139.44481126624865</v>
      </c>
      <c r="J436" s="305">
        <f t="shared" ca="1" si="112"/>
        <v>69.51540326129674</v>
      </c>
      <c r="K436" s="292">
        <f t="shared" ca="1" si="110"/>
        <v>17.453785552866044</v>
      </c>
      <c r="L436" s="1290">
        <f t="shared" ca="1" si="113"/>
        <v>20.314817494765023</v>
      </c>
      <c r="M436" s="299">
        <v>428</v>
      </c>
      <c r="N436" s="304">
        <f t="shared" si="114"/>
        <v>3246.1792005294137</v>
      </c>
      <c r="O436" s="303">
        <v>195.94178874618086</v>
      </c>
      <c r="P436" s="302">
        <v>0.38930657532920693</v>
      </c>
      <c r="Q436" s="301">
        <v>124.28389825081996</v>
      </c>
      <c r="R436" s="301">
        <v>59.008766443343781</v>
      </c>
      <c r="S436" s="300">
        <v>2.3785738340284208</v>
      </c>
      <c r="T436" s="891">
        <f t="shared" si="115"/>
        <v>4</v>
      </c>
      <c r="U436" s="1220">
        <v>0.36514019966125488</v>
      </c>
      <c r="W436" s="299">
        <v>428</v>
      </c>
      <c r="X436" s="298">
        <f>IF('Donor Sample'!N453="",,IF('Donor Sample'!N453="F",1,0))</f>
        <v>0</v>
      </c>
      <c r="Y436" s="298" t="str">
        <f>IF('Donor Sample'!O453="","",'Donor Sample'!O453)</f>
        <v/>
      </c>
      <c r="Z436" s="298" t="str">
        <f>IF(AND('Donor Sample'!O453="",'Donor Sample'!P453="",'Donor Sample'!Q453=""),"",IF('Donor Sample'!P453="",ROUND(AA436/($C$32+($AI436-0.5)*$C$31),0),'Donor Sample'!P453))</f>
        <v/>
      </c>
      <c r="AA436" s="297" t="str">
        <f>IF('Donor Sample'!Q453="","",'Donor Sample'!Q453)</f>
        <v/>
      </c>
      <c r="AB436" s="296" t="str">
        <f t="shared" si="106"/>
        <v/>
      </c>
      <c r="AC436" s="295" t="str">
        <f>IF('Donor Sample'!R453="","",'Donor Sample'!R453)</f>
        <v/>
      </c>
      <c r="AD436" s="294" t="str">
        <f>IF('Donor Sample'!S453="","",'Donor Sample'!S453/100)</f>
        <v/>
      </c>
      <c r="AE436" s="293" t="e">
        <f t="shared" si="116"/>
        <v>#VALUE!</v>
      </c>
      <c r="AF436" s="293" t="str">
        <f t="shared" si="117"/>
        <v/>
      </c>
      <c r="AG436" s="292" t="str">
        <f>IF('Donor Sample'!T453="","",'Donor Sample'!T453)</f>
        <v/>
      </c>
      <c r="AH436" s="891">
        <f t="shared" si="118"/>
        <v>256</v>
      </c>
      <c r="AI436" s="1220">
        <v>0.92737746238708496</v>
      </c>
      <c r="AJ436" s="1216"/>
    </row>
    <row r="437" spans="5:36">
      <c r="E437" s="299">
        <v>429</v>
      </c>
      <c r="F437" s="308">
        <f t="shared" ca="1" si="107"/>
        <v>4420.8399250709663</v>
      </c>
      <c r="G437" s="307">
        <f t="shared" ca="1" si="108"/>
        <v>229.47610428452757</v>
      </c>
      <c r="H437" s="306">
        <f t="shared" ca="1" si="109"/>
        <v>0.36406523237942318</v>
      </c>
      <c r="I437" s="305">
        <f t="shared" ca="1" si="111"/>
        <v>147.84608031795912</v>
      </c>
      <c r="J437" s="305">
        <f t="shared" ca="1" si="112"/>
        <v>70.217844574463584</v>
      </c>
      <c r="K437" s="292">
        <f t="shared" ca="1" si="110"/>
        <v>1.3329467965926898</v>
      </c>
      <c r="L437" s="1290">
        <f t="shared" ca="1" si="113"/>
        <v>21.109963672754095</v>
      </c>
      <c r="M437" s="299">
        <v>429</v>
      </c>
      <c r="N437" s="304">
        <f t="shared" si="114"/>
        <v>2693.9657395405238</v>
      </c>
      <c r="O437" s="303">
        <v>235.50181227065497</v>
      </c>
      <c r="P437" s="302">
        <v>0.36259346204272774</v>
      </c>
      <c r="Q437" s="301">
        <v>85.371025010095437</v>
      </c>
      <c r="R437" s="301">
        <v>59.520768538618249</v>
      </c>
      <c r="S437" s="300">
        <v>11.144504099372899</v>
      </c>
      <c r="T437" s="891">
        <f t="shared" si="115"/>
        <v>64</v>
      </c>
      <c r="U437" s="1220">
        <v>0.54494136571884155</v>
      </c>
      <c r="W437" s="299">
        <v>429</v>
      </c>
      <c r="X437" s="298">
        <f>IF('Donor Sample'!N454="",,IF('Donor Sample'!N454="F",1,0))</f>
        <v>0</v>
      </c>
      <c r="Y437" s="298" t="str">
        <f>IF('Donor Sample'!O454="","",'Donor Sample'!O454)</f>
        <v/>
      </c>
      <c r="Z437" s="298" t="str">
        <f>IF(AND('Donor Sample'!O454="",'Donor Sample'!P454="",'Donor Sample'!Q454=""),"",IF('Donor Sample'!P454="",ROUND(AA437/($C$32+($AI437-0.5)*$C$31),0),'Donor Sample'!P454))</f>
        <v/>
      </c>
      <c r="AA437" s="297" t="str">
        <f>IF('Donor Sample'!Q454="","",'Donor Sample'!Q454)</f>
        <v/>
      </c>
      <c r="AB437" s="296" t="str">
        <f t="shared" si="106"/>
        <v/>
      </c>
      <c r="AC437" s="295" t="str">
        <f>IF('Donor Sample'!R454="","",'Donor Sample'!R454)</f>
        <v/>
      </c>
      <c r="AD437" s="294" t="str">
        <f>IF('Donor Sample'!S454="","",'Donor Sample'!S454/100)</f>
        <v/>
      </c>
      <c r="AE437" s="293" t="e">
        <f t="shared" si="116"/>
        <v>#VALUE!</v>
      </c>
      <c r="AF437" s="293" t="str">
        <f t="shared" si="117"/>
        <v/>
      </c>
      <c r="AG437" s="292" t="str">
        <f>IF('Donor Sample'!T454="","",'Donor Sample'!T454)</f>
        <v/>
      </c>
      <c r="AH437" s="891">
        <f t="shared" si="118"/>
        <v>128</v>
      </c>
      <c r="AI437" s="1220">
        <v>0.94074910879135132</v>
      </c>
      <c r="AJ437" s="1216"/>
    </row>
    <row r="438" spans="5:36">
      <c r="E438" s="299">
        <v>430</v>
      </c>
      <c r="F438" s="308">
        <f t="shared" ca="1" si="107"/>
        <v>3819.6833603664827</v>
      </c>
      <c r="G438" s="307">
        <f t="shared" ca="1" si="108"/>
        <v>277.63925489227404</v>
      </c>
      <c r="H438" s="306">
        <f t="shared" ca="1" si="109"/>
        <v>0.3957596881805735</v>
      </c>
      <c r="I438" s="305">
        <f t="shared" ca="1" si="111"/>
        <v>123.26426010737518</v>
      </c>
      <c r="J438" s="305">
        <f t="shared" ca="1" si="112"/>
        <v>61.756688401803494</v>
      </c>
      <c r="K438" s="292">
        <f t="shared" ca="1" si="110"/>
        <v>1.6882345713844795</v>
      </c>
      <c r="L438" s="1290">
        <f t="shared" ca="1" si="113"/>
        <v>22.753165882212528</v>
      </c>
      <c r="M438" s="299">
        <v>430</v>
      </c>
      <c r="N438" s="304">
        <f t="shared" si="114"/>
        <v>3864.7304877461565</v>
      </c>
      <c r="O438" s="303">
        <v>251.36620140548845</v>
      </c>
      <c r="P438" s="302">
        <v>0.41735769116273558</v>
      </c>
      <c r="Q438" s="301">
        <v>148.93112521801268</v>
      </c>
      <c r="R438" s="301">
        <v>56.53469773956553</v>
      </c>
      <c r="S438" s="300">
        <v>2.5784149022469882</v>
      </c>
      <c r="T438" s="891">
        <f t="shared" si="115"/>
        <v>64</v>
      </c>
      <c r="U438" s="1220">
        <v>0.63658034801483154</v>
      </c>
      <c r="W438" s="299">
        <v>430</v>
      </c>
      <c r="X438" s="298">
        <f>IF('Donor Sample'!N455="",,IF('Donor Sample'!N455="F",1,0))</f>
        <v>0</v>
      </c>
      <c r="Y438" s="298" t="str">
        <f>IF('Donor Sample'!O455="","",'Donor Sample'!O455)</f>
        <v/>
      </c>
      <c r="Z438" s="298" t="str">
        <f>IF(AND('Donor Sample'!O455="",'Donor Sample'!P455="",'Donor Sample'!Q455=""),"",IF('Donor Sample'!P455="",ROUND(AA438/($C$32+($AI438-0.5)*$C$31),0),'Donor Sample'!P455))</f>
        <v/>
      </c>
      <c r="AA438" s="297" t="str">
        <f>IF('Donor Sample'!Q455="","",'Donor Sample'!Q455)</f>
        <v/>
      </c>
      <c r="AB438" s="296" t="str">
        <f t="shared" ref="AB438:AB501" si="119">IF(AND(Y438="",Z438="",AA438=""),"",IF(AA438="",IF(X438=0,604+IF($AB$2=1,0.006012,0.0003669)*Y438^3+IF($AB$2=1,14.6,32.187)*Z438,183+IF($AB$2=1,0.005835,0.0003561)*Y438^3+IF($AB$2=1,15,33.069)*Z438),AA438))</f>
        <v/>
      </c>
      <c r="AC438" s="295" t="str">
        <f>IF('Donor Sample'!R455="","",'Donor Sample'!R455)</f>
        <v/>
      </c>
      <c r="AD438" s="294" t="str">
        <f>IF('Donor Sample'!S455="","",'Donor Sample'!S455/100)</f>
        <v/>
      </c>
      <c r="AE438" s="407" t="e">
        <f t="shared" si="116"/>
        <v>#VALUE!</v>
      </c>
      <c r="AF438" s="293" t="str">
        <f t="shared" si="117"/>
        <v/>
      </c>
      <c r="AG438" s="292" t="str">
        <f>IF('Donor Sample'!T455="","",'Donor Sample'!T455)</f>
        <v/>
      </c>
      <c r="AH438" s="891">
        <f t="shared" si="118"/>
        <v>64</v>
      </c>
      <c r="AI438" s="1220">
        <v>0.70159852504730225</v>
      </c>
      <c r="AJ438" s="1216"/>
    </row>
    <row r="439" spans="5:36">
      <c r="E439" s="299">
        <v>431</v>
      </c>
      <c r="F439" s="308">
        <f t="shared" ca="1" si="107"/>
        <v>3165.4764283935469</v>
      </c>
      <c r="G439" s="307">
        <f t="shared" ca="1" si="108"/>
        <v>267.77849023068734</v>
      </c>
      <c r="H439" s="306">
        <f t="shared" ca="1" si="109"/>
        <v>0.38677756150716852</v>
      </c>
      <c r="I439" s="305">
        <f t="shared" ca="1" si="111"/>
        <v>106.74559335746531</v>
      </c>
      <c r="J439" s="305">
        <f t="shared" ca="1" si="112"/>
        <v>55.050253203065708</v>
      </c>
      <c r="K439" s="292">
        <f t="shared" ca="1" si="110"/>
        <v>1.6729164367625313</v>
      </c>
      <c r="L439" s="1290">
        <f t="shared" ca="1" si="113"/>
        <v>24.797275841911389</v>
      </c>
      <c r="M439" s="299">
        <v>431</v>
      </c>
      <c r="N439" s="304">
        <f t="shared" si="114"/>
        <v>2891.9364619032099</v>
      </c>
      <c r="O439" s="303">
        <v>203.94211093131156</v>
      </c>
      <c r="P439" s="302">
        <v>0.37307023182159277</v>
      </c>
      <c r="Q439" s="301">
        <v>101.65683905147844</v>
      </c>
      <c r="R439" s="301">
        <v>51.13285722096699</v>
      </c>
      <c r="S439" s="300">
        <v>8.9509580272888343</v>
      </c>
      <c r="T439" s="891">
        <f t="shared" si="115"/>
        <v>64</v>
      </c>
      <c r="U439" s="1220">
        <v>0.65603595972061157</v>
      </c>
      <c r="W439" s="299">
        <v>431</v>
      </c>
      <c r="X439" s="298">
        <f>IF('Donor Sample'!N456="",,IF('Donor Sample'!N456="F",1,0))</f>
        <v>0</v>
      </c>
      <c r="Y439" s="298" t="str">
        <f>IF('Donor Sample'!O456="","",'Donor Sample'!O456)</f>
        <v/>
      </c>
      <c r="Z439" s="298" t="str">
        <f>IF(AND('Donor Sample'!O456="",'Donor Sample'!P456="",'Donor Sample'!Q456=""),"",IF('Donor Sample'!P456="",ROUND(AA439/($C$32+($AI439-0.5)*$C$31),0),'Donor Sample'!P456))</f>
        <v/>
      </c>
      <c r="AA439" s="297" t="str">
        <f>IF('Donor Sample'!Q456="","",'Donor Sample'!Q456)</f>
        <v/>
      </c>
      <c r="AB439" s="296" t="str">
        <f t="shared" si="119"/>
        <v/>
      </c>
      <c r="AC439" s="295" t="str">
        <f>IF('Donor Sample'!R456="","",'Donor Sample'!R456)</f>
        <v/>
      </c>
      <c r="AD439" s="294" t="str">
        <f>IF('Donor Sample'!S456="","",'Donor Sample'!S456/100)</f>
        <v/>
      </c>
      <c r="AE439" s="293" t="e">
        <f t="shared" si="116"/>
        <v>#VALUE!</v>
      </c>
      <c r="AF439" s="293" t="str">
        <f t="shared" si="117"/>
        <v/>
      </c>
      <c r="AG439" s="292" t="str">
        <f>IF('Donor Sample'!T456="","",'Donor Sample'!T456)</f>
        <v/>
      </c>
      <c r="AH439" s="891">
        <f t="shared" si="118"/>
        <v>2</v>
      </c>
      <c r="AI439" s="1220">
        <v>0.20365720987319946</v>
      </c>
      <c r="AJ439" s="1216"/>
    </row>
    <row r="440" spans="5:36">
      <c r="E440" s="299">
        <v>432</v>
      </c>
      <c r="F440" s="308">
        <f t="shared" ca="1" si="107"/>
        <v>3294.7406122440593</v>
      </c>
      <c r="G440" s="307">
        <f t="shared" ca="1" si="108"/>
        <v>276.02713194382346</v>
      </c>
      <c r="H440" s="306">
        <f t="shared" ca="1" si="109"/>
        <v>0.43837046715250766</v>
      </c>
      <c r="I440" s="305">
        <f t="shared" ca="1" si="111"/>
        <v>130.95989841276983</v>
      </c>
      <c r="J440" s="305">
        <f t="shared" ca="1" si="112"/>
        <v>58.150130580872961</v>
      </c>
      <c r="K440" s="292">
        <f t="shared" ca="1" si="110"/>
        <v>3.9843090275893411</v>
      </c>
      <c r="L440" s="1290">
        <f t="shared" ca="1" si="113"/>
        <v>27.265257274647443</v>
      </c>
      <c r="M440" s="299">
        <v>432</v>
      </c>
      <c r="N440" s="304">
        <f t="shared" si="114"/>
        <v>4510.9720060240506</v>
      </c>
      <c r="O440" s="303">
        <v>172.42309398592687</v>
      </c>
      <c r="P440" s="302">
        <v>0.38235631456975755</v>
      </c>
      <c r="Q440" s="301">
        <v>158.92054068489898</v>
      </c>
      <c r="R440" s="301">
        <v>69.32619075302685</v>
      </c>
      <c r="S440" s="300">
        <v>5.2319534214268328</v>
      </c>
      <c r="T440" s="891">
        <f t="shared" si="115"/>
        <v>2</v>
      </c>
      <c r="U440" s="1220">
        <v>0.15205144882202148</v>
      </c>
      <c r="W440" s="299">
        <v>432</v>
      </c>
      <c r="X440" s="298">
        <f>IF('Donor Sample'!N457="",,IF('Donor Sample'!N457="F",1,0))</f>
        <v>0</v>
      </c>
      <c r="Y440" s="298" t="str">
        <f>IF('Donor Sample'!O457="","",'Donor Sample'!O457)</f>
        <v/>
      </c>
      <c r="Z440" s="298" t="str">
        <f>IF(AND('Donor Sample'!O457="",'Donor Sample'!P457="",'Donor Sample'!Q457=""),"",IF('Donor Sample'!P457="",ROUND(AA440/($C$32+($AI440-0.5)*$C$31),0),'Donor Sample'!P457))</f>
        <v/>
      </c>
      <c r="AA440" s="297" t="str">
        <f>IF('Donor Sample'!Q457="","",'Donor Sample'!Q457)</f>
        <v/>
      </c>
      <c r="AB440" s="296" t="str">
        <f t="shared" si="119"/>
        <v/>
      </c>
      <c r="AC440" s="295" t="str">
        <f>IF('Donor Sample'!R457="","",'Donor Sample'!R457)</f>
        <v/>
      </c>
      <c r="AD440" s="294" t="str">
        <f>IF('Donor Sample'!S457="","",'Donor Sample'!S457/100)</f>
        <v/>
      </c>
      <c r="AE440" s="293" t="e">
        <f t="shared" si="116"/>
        <v>#VALUE!</v>
      </c>
      <c r="AF440" s="293" t="str">
        <f t="shared" si="117"/>
        <v/>
      </c>
      <c r="AG440" s="292" t="str">
        <f>IF('Donor Sample'!T457="","",'Donor Sample'!T457)</f>
        <v/>
      </c>
      <c r="AH440" s="891">
        <f t="shared" si="118"/>
        <v>32</v>
      </c>
      <c r="AI440" s="1220">
        <v>0.78116035461425781</v>
      </c>
      <c r="AJ440" s="1216"/>
    </row>
    <row r="441" spans="5:36">
      <c r="E441" s="299">
        <v>433</v>
      </c>
      <c r="F441" s="308">
        <f t="shared" ca="1" si="107"/>
        <v>3731.3962415733827</v>
      </c>
      <c r="G441" s="307">
        <f t="shared" ca="1" si="108"/>
        <v>224.39390166370322</v>
      </c>
      <c r="H441" s="306">
        <f t="shared" ca="1" si="109"/>
        <v>0.4585848373266459</v>
      </c>
      <c r="I441" s="305">
        <f t="shared" ca="1" si="111"/>
        <v>149.24543187501243</v>
      </c>
      <c r="J441" s="305">
        <f t="shared" ca="1" si="112"/>
        <v>54.033052018385796</v>
      </c>
      <c r="K441" s="292">
        <f t="shared" ca="1" si="110"/>
        <v>4.3734809071727359</v>
      </c>
      <c r="L441" s="1290">
        <f t="shared" ca="1" si="113"/>
        <v>35.987751098118409</v>
      </c>
      <c r="M441" s="299">
        <v>433</v>
      </c>
      <c r="N441" s="304">
        <f t="shared" si="114"/>
        <v>3176.2310034166931</v>
      </c>
      <c r="O441" s="303">
        <v>232.44665823930558</v>
      </c>
      <c r="P441" s="302">
        <v>0.41968625511321078</v>
      </c>
      <c r="Q441" s="301">
        <v>125.40931724951191</v>
      </c>
      <c r="R441" s="301">
        <v>49.771746721791409</v>
      </c>
      <c r="S441" s="300">
        <v>1.6995076089072378</v>
      </c>
      <c r="T441" s="891">
        <f t="shared" si="115"/>
        <v>64</v>
      </c>
      <c r="U441" s="1220">
        <v>0.68835800886154175</v>
      </c>
      <c r="W441" s="299">
        <v>433</v>
      </c>
      <c r="X441" s="298">
        <f>IF('Donor Sample'!N458="",,IF('Donor Sample'!N458="F",1,0))</f>
        <v>0</v>
      </c>
      <c r="Y441" s="298" t="str">
        <f>IF('Donor Sample'!O458="","",'Donor Sample'!O458)</f>
        <v/>
      </c>
      <c r="Z441" s="298" t="str">
        <f>IF(AND('Donor Sample'!O458="",'Donor Sample'!P458="",'Donor Sample'!Q458=""),"",IF('Donor Sample'!P458="",ROUND(AA441/($C$32+($AI441-0.5)*$C$31),0),'Donor Sample'!P458))</f>
        <v/>
      </c>
      <c r="AA441" s="297" t="str">
        <f>IF('Donor Sample'!Q458="","",'Donor Sample'!Q458)</f>
        <v/>
      </c>
      <c r="AB441" s="296" t="str">
        <f t="shared" si="119"/>
        <v/>
      </c>
      <c r="AC441" s="295" t="str">
        <f>IF('Donor Sample'!R458="","",'Donor Sample'!R458)</f>
        <v/>
      </c>
      <c r="AD441" s="294" t="str">
        <f>IF('Donor Sample'!S458="","",'Donor Sample'!S458/100)</f>
        <v/>
      </c>
      <c r="AE441" s="407" t="e">
        <f t="shared" si="116"/>
        <v>#VALUE!</v>
      </c>
      <c r="AF441" s="293" t="str">
        <f t="shared" si="117"/>
        <v/>
      </c>
      <c r="AG441" s="292" t="str">
        <f>IF('Donor Sample'!T458="","",'Donor Sample'!T458)</f>
        <v/>
      </c>
      <c r="AH441" s="891">
        <f t="shared" si="118"/>
        <v>64</v>
      </c>
      <c r="AI441" s="1220">
        <v>0.48511332273483276</v>
      </c>
      <c r="AJ441" s="1216"/>
    </row>
    <row r="442" spans="5:36">
      <c r="E442" s="299">
        <v>434</v>
      </c>
      <c r="F442" s="308">
        <f t="shared" ca="1" si="107"/>
        <v>3463.0542567570992</v>
      </c>
      <c r="G442" s="307">
        <f t="shared" ca="1" si="108"/>
        <v>230.13244435570994</v>
      </c>
      <c r="H442" s="306">
        <f t="shared" ca="1" si="109"/>
        <v>0.36250667489264088</v>
      </c>
      <c r="I442" s="305">
        <f t="shared" ca="1" si="111"/>
        <v>120.38596335187432</v>
      </c>
      <c r="J442" s="305">
        <f t="shared" ca="1" si="112"/>
        <v>56.795146297472627</v>
      </c>
      <c r="K442" s="292">
        <f t="shared" ca="1" si="110"/>
        <v>7.7101293599585983</v>
      </c>
      <c r="L442" s="1290">
        <f t="shared" ca="1" si="113"/>
        <v>26.273992186107773</v>
      </c>
      <c r="M442" s="299">
        <v>434</v>
      </c>
      <c r="N442" s="304">
        <f t="shared" si="114"/>
        <v>2719.0334278361042</v>
      </c>
      <c r="O442" s="303">
        <v>219.46218551874088</v>
      </c>
      <c r="P442" s="302">
        <v>0.4085972784091792</v>
      </c>
      <c r="Q442" s="301">
        <v>103.47435377544272</v>
      </c>
      <c r="R442" s="301">
        <v>46.495732175869463</v>
      </c>
      <c r="S442" s="300">
        <v>3.0890911373305867</v>
      </c>
      <c r="T442" s="891">
        <f t="shared" si="115"/>
        <v>128</v>
      </c>
      <c r="U442" s="1220">
        <v>0.94387924671173096</v>
      </c>
      <c r="W442" s="299">
        <v>434</v>
      </c>
      <c r="X442" s="298">
        <f>IF('Donor Sample'!N459="",,IF('Donor Sample'!N459="F",1,0))</f>
        <v>0</v>
      </c>
      <c r="Y442" s="298" t="str">
        <f>IF('Donor Sample'!O459="","",'Donor Sample'!O459)</f>
        <v/>
      </c>
      <c r="Z442" s="298" t="str">
        <f>IF(AND('Donor Sample'!O459="",'Donor Sample'!P459="",'Donor Sample'!Q459=""),"",IF('Donor Sample'!P459="",ROUND(AA442/($C$32+($AI442-0.5)*$C$31),0),'Donor Sample'!P459))</f>
        <v/>
      </c>
      <c r="AA442" s="297" t="str">
        <f>IF('Donor Sample'!Q459="","",'Donor Sample'!Q459)</f>
        <v/>
      </c>
      <c r="AB442" s="296" t="str">
        <f t="shared" si="119"/>
        <v/>
      </c>
      <c r="AC442" s="295" t="str">
        <f>IF('Donor Sample'!R459="","",'Donor Sample'!R459)</f>
        <v/>
      </c>
      <c r="AD442" s="294" t="str">
        <f>IF('Donor Sample'!S459="","",'Donor Sample'!S459/100)</f>
        <v/>
      </c>
      <c r="AE442" s="293" t="e">
        <f t="shared" si="116"/>
        <v>#VALUE!</v>
      </c>
      <c r="AF442" s="293" t="str">
        <f t="shared" si="117"/>
        <v/>
      </c>
      <c r="AG442" s="292" t="str">
        <f>IF('Donor Sample'!T459="","",'Donor Sample'!T459)</f>
        <v/>
      </c>
      <c r="AH442" s="891">
        <f t="shared" si="118"/>
        <v>2</v>
      </c>
      <c r="AI442" s="1220">
        <v>1.3672113418579102E-3</v>
      </c>
      <c r="AJ442" s="1216"/>
    </row>
    <row r="443" spans="5:36">
      <c r="E443" s="299">
        <v>435</v>
      </c>
      <c r="F443" s="308">
        <f t="shared" ca="1" si="107"/>
        <v>3858.5300547702254</v>
      </c>
      <c r="G443" s="307">
        <f t="shared" ca="1" si="108"/>
        <v>208.25665278366986</v>
      </c>
      <c r="H443" s="306">
        <f t="shared" ca="1" si="109"/>
        <v>0.412552836224786</v>
      </c>
      <c r="I443" s="305">
        <f t="shared" ca="1" si="111"/>
        <v>123.0589175191688</v>
      </c>
      <c r="J443" s="305">
        <f t="shared" ca="1" si="112"/>
        <v>62.359112896971652</v>
      </c>
      <c r="K443" s="292">
        <f t="shared" ca="1" si="110"/>
        <v>1.6491841535543359</v>
      </c>
      <c r="L443" s="1290">
        <f t="shared" ca="1" si="113"/>
        <v>22.278497239211205</v>
      </c>
      <c r="M443" s="299">
        <v>435</v>
      </c>
      <c r="N443" s="304">
        <f t="shared" si="114"/>
        <v>4786.1275996093937</v>
      </c>
      <c r="O443" s="303">
        <v>228.60918803760461</v>
      </c>
      <c r="P443" s="302">
        <v>0.39158172935442181</v>
      </c>
      <c r="Q443" s="301">
        <v>174.0461776067142</v>
      </c>
      <c r="R443" s="301">
        <v>64.868608361039961</v>
      </c>
      <c r="S443" s="300">
        <v>1.4026019216930852</v>
      </c>
      <c r="T443" s="891">
        <f t="shared" si="115"/>
        <v>32</v>
      </c>
      <c r="U443" s="1220">
        <v>0.77149277925491333</v>
      </c>
      <c r="W443" s="299">
        <v>435</v>
      </c>
      <c r="X443" s="298">
        <f>IF('Donor Sample'!N460="",,IF('Donor Sample'!N460="F",1,0))</f>
        <v>0</v>
      </c>
      <c r="Y443" s="298" t="str">
        <f>IF('Donor Sample'!O460="","",'Donor Sample'!O460)</f>
        <v/>
      </c>
      <c r="Z443" s="298" t="str">
        <f>IF(AND('Donor Sample'!O460="",'Donor Sample'!P460="",'Donor Sample'!Q460=""),"",IF('Donor Sample'!P460="",ROUND(AA443/($C$32+($AI443-0.5)*$C$31),0),'Donor Sample'!P460))</f>
        <v/>
      </c>
      <c r="AA443" s="297" t="str">
        <f>IF('Donor Sample'!Q460="","",'Donor Sample'!Q460)</f>
        <v/>
      </c>
      <c r="AB443" s="296" t="str">
        <f t="shared" si="119"/>
        <v/>
      </c>
      <c r="AC443" s="295" t="str">
        <f>IF('Donor Sample'!R460="","",'Donor Sample'!R460)</f>
        <v/>
      </c>
      <c r="AD443" s="294" t="str">
        <f>IF('Donor Sample'!S460="","",'Donor Sample'!S460/100)</f>
        <v/>
      </c>
      <c r="AE443" s="293" t="e">
        <f t="shared" si="116"/>
        <v>#VALUE!</v>
      </c>
      <c r="AF443" s="293" t="str">
        <f t="shared" si="117"/>
        <v/>
      </c>
      <c r="AG443" s="292" t="str">
        <f>IF('Donor Sample'!T460="","",'Donor Sample'!T460)</f>
        <v/>
      </c>
      <c r="AH443" s="891">
        <f t="shared" si="118"/>
        <v>64</v>
      </c>
      <c r="AI443" s="1220">
        <v>0.75576716661453247</v>
      </c>
      <c r="AJ443" s="1216"/>
    </row>
    <row r="444" spans="5:36">
      <c r="E444" s="299">
        <v>436</v>
      </c>
      <c r="F444" s="308">
        <f t="shared" ca="1" si="107"/>
        <v>3710.8008412883114</v>
      </c>
      <c r="G444" s="307">
        <f t="shared" ca="1" si="108"/>
        <v>265.71111473966073</v>
      </c>
      <c r="H444" s="306">
        <f t="shared" ca="1" si="109"/>
        <v>0.40842750259125793</v>
      </c>
      <c r="I444" s="305">
        <f t="shared" ca="1" si="111"/>
        <v>124.07428627517193</v>
      </c>
      <c r="J444" s="305">
        <f t="shared" ca="1" si="112"/>
        <v>59.949506903179227</v>
      </c>
      <c r="K444" s="292">
        <f t="shared" ca="1" si="110"/>
        <v>2.2308395885877315</v>
      </c>
      <c r="L444" s="1290">
        <f t="shared" ca="1" si="113"/>
        <v>24.304305425069224</v>
      </c>
      <c r="M444" s="299">
        <v>436</v>
      </c>
      <c r="N444" s="304">
        <f t="shared" si="114"/>
        <v>2911.5356268699506</v>
      </c>
      <c r="O444" s="303">
        <v>193.03546465766624</v>
      </c>
      <c r="P444" s="302">
        <v>0.43132380070641985</v>
      </c>
      <c r="Q444" s="301">
        <v>94.004575006894882</v>
      </c>
      <c r="R444" s="301">
        <v>53.778440367011108</v>
      </c>
      <c r="S444" s="300">
        <v>5.4375636663917204</v>
      </c>
      <c r="T444" s="891">
        <f t="shared" si="115"/>
        <v>128</v>
      </c>
      <c r="U444" s="1220">
        <v>0.94362044334411621</v>
      </c>
      <c r="W444" s="299">
        <v>436</v>
      </c>
      <c r="X444" s="298">
        <f>IF('Donor Sample'!N461="",,IF('Donor Sample'!N461="F",1,0))</f>
        <v>0</v>
      </c>
      <c r="Y444" s="298" t="str">
        <f>IF('Donor Sample'!O461="","",'Donor Sample'!O461)</f>
        <v/>
      </c>
      <c r="Z444" s="298" t="str">
        <f>IF(AND('Donor Sample'!O461="",'Donor Sample'!P461="",'Donor Sample'!Q461=""),"",IF('Donor Sample'!P461="",ROUND(AA444/($C$32+($AI444-0.5)*$C$31),0),'Donor Sample'!P461))</f>
        <v/>
      </c>
      <c r="AA444" s="297" t="str">
        <f>IF('Donor Sample'!Q461="","",'Donor Sample'!Q461)</f>
        <v/>
      </c>
      <c r="AB444" s="296" t="str">
        <f t="shared" si="119"/>
        <v/>
      </c>
      <c r="AC444" s="295" t="str">
        <f>IF('Donor Sample'!R461="","",'Donor Sample'!R461)</f>
        <v/>
      </c>
      <c r="AD444" s="294" t="str">
        <f>IF('Donor Sample'!S461="","",'Donor Sample'!S461/100)</f>
        <v/>
      </c>
      <c r="AE444" s="407" t="e">
        <f t="shared" si="116"/>
        <v>#VALUE!</v>
      </c>
      <c r="AF444" s="293" t="str">
        <f t="shared" si="117"/>
        <v/>
      </c>
      <c r="AG444" s="292" t="str">
        <f>IF('Donor Sample'!T461="","",'Donor Sample'!T461)</f>
        <v/>
      </c>
      <c r="AH444" s="891">
        <f t="shared" si="118"/>
        <v>2</v>
      </c>
      <c r="AI444" s="1220">
        <v>2.0582437515258789E-2</v>
      </c>
      <c r="AJ444" s="1216"/>
    </row>
    <row r="445" spans="5:36">
      <c r="E445" s="299">
        <v>437</v>
      </c>
      <c r="F445" s="308">
        <f t="shared" ca="1" si="107"/>
        <v>3676.3485171034717</v>
      </c>
      <c r="G445" s="307">
        <f t="shared" ca="1" si="108"/>
        <v>266.56587420593308</v>
      </c>
      <c r="H445" s="306">
        <f t="shared" ca="1" si="109"/>
        <v>0.41166900165432935</v>
      </c>
      <c r="I445" s="305">
        <f t="shared" ca="1" si="111"/>
        <v>113.30194367406887</v>
      </c>
      <c r="J445" s="305">
        <f t="shared" ca="1" si="112"/>
        <v>61.787419724882014</v>
      </c>
      <c r="K445" s="292">
        <f t="shared" ca="1" si="110"/>
        <v>1.327971612376829</v>
      </c>
      <c r="L445" s="1290">
        <f t="shared" ca="1" si="113"/>
        <v>20.893437622613511</v>
      </c>
      <c r="M445" s="299">
        <v>437</v>
      </c>
      <c r="N445" s="304">
        <f t="shared" si="114"/>
        <v>3546.1361501559077</v>
      </c>
      <c r="O445" s="303">
        <v>179.11511088002214</v>
      </c>
      <c r="P445" s="302">
        <v>0.44106586184081065</v>
      </c>
      <c r="Q445" s="301">
        <v>113.31101169775185</v>
      </c>
      <c r="R445" s="301">
        <v>59.833255079454084</v>
      </c>
      <c r="S445" s="300">
        <v>3.9763149670604832</v>
      </c>
      <c r="T445" s="891">
        <f t="shared" si="115"/>
        <v>2</v>
      </c>
      <c r="U445" s="1220">
        <v>0.14983266592025757</v>
      </c>
      <c r="W445" s="299">
        <v>437</v>
      </c>
      <c r="X445" s="298">
        <f>IF('Donor Sample'!N462="",,IF('Donor Sample'!N462="F",1,0))</f>
        <v>0</v>
      </c>
      <c r="Y445" s="298" t="str">
        <f>IF('Donor Sample'!O462="","",'Donor Sample'!O462)</f>
        <v/>
      </c>
      <c r="Z445" s="298" t="str">
        <f>IF(AND('Donor Sample'!O462="",'Donor Sample'!P462="",'Donor Sample'!Q462=""),"",IF('Donor Sample'!P462="",ROUND(AA445/($C$32+($AI445-0.5)*$C$31),0),'Donor Sample'!P462))</f>
        <v/>
      </c>
      <c r="AA445" s="297" t="str">
        <f>IF('Donor Sample'!Q462="","",'Donor Sample'!Q462)</f>
        <v/>
      </c>
      <c r="AB445" s="296" t="str">
        <f t="shared" si="119"/>
        <v/>
      </c>
      <c r="AC445" s="295" t="str">
        <f>IF('Donor Sample'!R462="","",'Donor Sample'!R462)</f>
        <v/>
      </c>
      <c r="AD445" s="294" t="str">
        <f>IF('Donor Sample'!S462="","",'Donor Sample'!S462/100)</f>
        <v/>
      </c>
      <c r="AE445" s="293" t="e">
        <f t="shared" si="116"/>
        <v>#VALUE!</v>
      </c>
      <c r="AF445" s="293" t="str">
        <f t="shared" si="117"/>
        <v/>
      </c>
      <c r="AG445" s="292" t="str">
        <f>IF('Donor Sample'!T462="","",'Donor Sample'!T462)</f>
        <v/>
      </c>
      <c r="AH445" s="891">
        <f t="shared" si="118"/>
        <v>2</v>
      </c>
      <c r="AI445" s="1220">
        <v>0.32959121465682983</v>
      </c>
      <c r="AJ445" s="1216"/>
    </row>
    <row r="446" spans="5:36">
      <c r="E446" s="299">
        <v>438</v>
      </c>
      <c r="F446" s="308">
        <f t="shared" ca="1" si="107"/>
        <v>3124.1528947033471</v>
      </c>
      <c r="G446" s="307">
        <f t="shared" ca="1" si="108"/>
        <v>282.85627104522661</v>
      </c>
      <c r="H446" s="306">
        <f t="shared" ca="1" si="109"/>
        <v>0.35759541444421566</v>
      </c>
      <c r="I446" s="305">
        <f t="shared" ca="1" si="111"/>
        <v>116.33101035914581</v>
      </c>
      <c r="J446" s="305">
        <f t="shared" ca="1" si="112"/>
        <v>51.511198400409278</v>
      </c>
      <c r="K446" s="292">
        <f t="shared" ca="1" si="110"/>
        <v>1.2652469001983797</v>
      </c>
      <c r="L446" s="1290">
        <f t="shared" ca="1" si="113"/>
        <v>30.864898392195506</v>
      </c>
      <c r="M446" s="299">
        <v>438</v>
      </c>
      <c r="N446" s="304">
        <f t="shared" si="114"/>
        <v>3150.5381163909019</v>
      </c>
      <c r="O446" s="303">
        <v>203.96384941085643</v>
      </c>
      <c r="P446" s="302">
        <v>0.3641509478716799</v>
      </c>
      <c r="Q446" s="301">
        <v>107.40188455281894</v>
      </c>
      <c r="R446" s="301">
        <v>54.597941640581659</v>
      </c>
      <c r="S446" s="300">
        <v>1.705787088037896</v>
      </c>
      <c r="T446" s="891">
        <f t="shared" si="115"/>
        <v>2</v>
      </c>
      <c r="U446" s="1220">
        <v>0.3009103536605835</v>
      </c>
      <c r="W446" s="299">
        <v>438</v>
      </c>
      <c r="X446" s="298">
        <f>IF('Donor Sample'!N463="",,IF('Donor Sample'!N463="F",1,0))</f>
        <v>0</v>
      </c>
      <c r="Y446" s="298" t="str">
        <f>IF('Donor Sample'!O463="","",'Donor Sample'!O463)</f>
        <v/>
      </c>
      <c r="Z446" s="298" t="str">
        <f>IF(AND('Donor Sample'!O463="",'Donor Sample'!P463="",'Donor Sample'!Q463=""),"",IF('Donor Sample'!P463="",ROUND(AA446/($C$32+($AI446-0.5)*$C$31),0),'Donor Sample'!P463))</f>
        <v/>
      </c>
      <c r="AA446" s="297" t="str">
        <f>IF('Donor Sample'!Q463="","",'Donor Sample'!Q463)</f>
        <v/>
      </c>
      <c r="AB446" s="296" t="str">
        <f t="shared" si="119"/>
        <v/>
      </c>
      <c r="AC446" s="295" t="str">
        <f>IF('Donor Sample'!R463="","",'Donor Sample'!R463)</f>
        <v/>
      </c>
      <c r="AD446" s="294" t="str">
        <f>IF('Donor Sample'!S463="","",'Donor Sample'!S463/100)</f>
        <v/>
      </c>
      <c r="AE446" s="293" t="e">
        <f t="shared" si="116"/>
        <v>#VALUE!</v>
      </c>
      <c r="AF446" s="293" t="str">
        <f t="shared" si="117"/>
        <v/>
      </c>
      <c r="AG446" s="292" t="str">
        <f>IF('Donor Sample'!T463="","",'Donor Sample'!T463)</f>
        <v/>
      </c>
      <c r="AH446" s="891">
        <f t="shared" si="118"/>
        <v>2</v>
      </c>
      <c r="AI446" s="1220">
        <v>2.9701113700866699E-2</v>
      </c>
      <c r="AJ446" s="1216"/>
    </row>
    <row r="447" spans="5:36">
      <c r="E447" s="299">
        <v>439</v>
      </c>
      <c r="F447" s="308">
        <f t="shared" ca="1" si="107"/>
        <v>3367.3564682970641</v>
      </c>
      <c r="G447" s="307">
        <f t="shared" ca="1" si="108"/>
        <v>240.48253905434095</v>
      </c>
      <c r="H447" s="306">
        <f t="shared" ca="1" si="109"/>
        <v>0.44558255565695376</v>
      </c>
      <c r="I447" s="305">
        <f t="shared" ca="1" si="111"/>
        <v>118.24678210562394</v>
      </c>
      <c r="J447" s="305">
        <f t="shared" ca="1" si="112"/>
        <v>55.66472863822127</v>
      </c>
      <c r="K447" s="292">
        <f t="shared" ca="1" si="110"/>
        <v>1.7925365672003075</v>
      </c>
      <c r="L447" s="1290">
        <f t="shared" ca="1" si="113"/>
        <v>26.86592497306221</v>
      </c>
      <c r="M447" s="299">
        <v>439</v>
      </c>
      <c r="N447" s="304">
        <f t="shared" si="114"/>
        <v>3284.5603026952444</v>
      </c>
      <c r="O447" s="303">
        <v>292.20331869400917</v>
      </c>
      <c r="P447" s="302">
        <v>0.45900717093402327</v>
      </c>
      <c r="Q447" s="301">
        <v>123.76684911876794</v>
      </c>
      <c r="R447" s="301">
        <v>52.57250077468025</v>
      </c>
      <c r="S447" s="300">
        <v>2.1245575724518426</v>
      </c>
      <c r="T447" s="891">
        <f t="shared" si="115"/>
        <v>64</v>
      </c>
      <c r="U447" s="1220">
        <v>0.72603422403335571</v>
      </c>
      <c r="W447" s="299">
        <v>439</v>
      </c>
      <c r="X447" s="298">
        <f>IF('Donor Sample'!N464="",,IF('Donor Sample'!N464="F",1,0))</f>
        <v>0</v>
      </c>
      <c r="Y447" s="298" t="str">
        <f>IF('Donor Sample'!O464="","",'Donor Sample'!O464)</f>
        <v/>
      </c>
      <c r="Z447" s="298" t="str">
        <f>IF(AND('Donor Sample'!O464="",'Donor Sample'!P464="",'Donor Sample'!Q464=""),"",IF('Donor Sample'!P464="",ROUND(AA447/($C$32+($AI447-0.5)*$C$31),0),'Donor Sample'!P464))</f>
        <v/>
      </c>
      <c r="AA447" s="297" t="str">
        <f>IF('Donor Sample'!Q464="","",'Donor Sample'!Q464)</f>
        <v/>
      </c>
      <c r="AB447" s="296" t="str">
        <f t="shared" si="119"/>
        <v/>
      </c>
      <c r="AC447" s="295" t="str">
        <f>IF('Donor Sample'!R464="","",'Donor Sample'!R464)</f>
        <v/>
      </c>
      <c r="AD447" s="294" t="str">
        <f>IF('Donor Sample'!S464="","",'Donor Sample'!S464/100)</f>
        <v/>
      </c>
      <c r="AE447" s="407" t="e">
        <f t="shared" si="116"/>
        <v>#VALUE!</v>
      </c>
      <c r="AF447" s="293" t="str">
        <f t="shared" si="117"/>
        <v/>
      </c>
      <c r="AG447" s="292" t="str">
        <f>IF('Donor Sample'!T464="","",'Donor Sample'!T464)</f>
        <v/>
      </c>
      <c r="AH447" s="891">
        <f t="shared" si="118"/>
        <v>2</v>
      </c>
      <c r="AI447" s="1220">
        <v>0.2354627251625061</v>
      </c>
      <c r="AJ447" s="1216"/>
    </row>
    <row r="448" spans="5:36">
      <c r="E448" s="299">
        <v>440</v>
      </c>
      <c r="F448" s="308">
        <f t="shared" ca="1" si="107"/>
        <v>3462.4101156277488</v>
      </c>
      <c r="G448" s="307">
        <f t="shared" ca="1" si="108"/>
        <v>212.03193317336309</v>
      </c>
      <c r="H448" s="306">
        <f t="shared" ca="1" si="109"/>
        <v>0.47110303306000179</v>
      </c>
      <c r="I448" s="305">
        <f t="shared" ca="1" si="111"/>
        <v>142.54283013052856</v>
      </c>
      <c r="J448" s="305">
        <f t="shared" ca="1" si="112"/>
        <v>50.565433355719463</v>
      </c>
      <c r="K448" s="292">
        <f t="shared" ca="1" si="110"/>
        <v>1.6598749131584531</v>
      </c>
      <c r="L448" s="1290">
        <f t="shared" ca="1" si="113"/>
        <v>39.247370872743389</v>
      </c>
      <c r="M448" s="299">
        <v>440</v>
      </c>
      <c r="N448" s="304">
        <f t="shared" si="114"/>
        <v>3705.4483607921084</v>
      </c>
      <c r="O448" s="303">
        <v>179.71784014815819</v>
      </c>
      <c r="P448" s="302">
        <v>0.37968487289031899</v>
      </c>
      <c r="Q448" s="301">
        <v>138.69724204712477</v>
      </c>
      <c r="R448" s="301">
        <v>56.363004420701088</v>
      </c>
      <c r="S448" s="300">
        <v>1.3081444166107303</v>
      </c>
      <c r="T448" s="891">
        <f t="shared" si="115"/>
        <v>2</v>
      </c>
      <c r="U448" s="1220">
        <v>0.25309181213378906</v>
      </c>
      <c r="W448" s="299">
        <v>440</v>
      </c>
      <c r="X448" s="298">
        <f>IF('Donor Sample'!N465="",,IF('Donor Sample'!N465="F",1,0))</f>
        <v>0</v>
      </c>
      <c r="Y448" s="298" t="str">
        <f>IF('Donor Sample'!O465="","",'Donor Sample'!O465)</f>
        <v/>
      </c>
      <c r="Z448" s="298" t="str">
        <f>IF(AND('Donor Sample'!O465="",'Donor Sample'!P465="",'Donor Sample'!Q465=""),"",IF('Donor Sample'!P465="",ROUND(AA448/($C$32+($AI448-0.5)*$C$31),0),'Donor Sample'!P465))</f>
        <v/>
      </c>
      <c r="AA448" s="297" t="str">
        <f>IF('Donor Sample'!Q465="","",'Donor Sample'!Q465)</f>
        <v/>
      </c>
      <c r="AB448" s="296" t="str">
        <f t="shared" si="119"/>
        <v/>
      </c>
      <c r="AC448" s="295" t="str">
        <f>IF('Donor Sample'!R465="","",'Donor Sample'!R465)</f>
        <v/>
      </c>
      <c r="AD448" s="294" t="str">
        <f>IF('Donor Sample'!S465="","",'Donor Sample'!S465/100)</f>
        <v/>
      </c>
      <c r="AE448" s="293" t="e">
        <f t="shared" si="116"/>
        <v>#VALUE!</v>
      </c>
      <c r="AF448" s="293" t="str">
        <f t="shared" si="117"/>
        <v/>
      </c>
      <c r="AG448" s="292" t="str">
        <f>IF('Donor Sample'!T465="","",'Donor Sample'!T465)</f>
        <v/>
      </c>
      <c r="AH448" s="891">
        <f t="shared" si="118"/>
        <v>2</v>
      </c>
      <c r="AI448" s="1220">
        <v>0.13740396499633789</v>
      </c>
      <c r="AJ448" s="1216"/>
    </row>
    <row r="449" spans="5:36">
      <c r="E449" s="299">
        <v>441</v>
      </c>
      <c r="F449" s="308">
        <f t="shared" ca="1" si="107"/>
        <v>3323.6038595120567</v>
      </c>
      <c r="G449" s="307">
        <f t="shared" ca="1" si="108"/>
        <v>213.80622787409396</v>
      </c>
      <c r="H449" s="306">
        <f t="shared" ca="1" si="109"/>
        <v>0.39639312709305452</v>
      </c>
      <c r="I449" s="305">
        <f t="shared" ca="1" si="111"/>
        <v>132.80001297179896</v>
      </c>
      <c r="J449" s="305">
        <f t="shared" ca="1" si="112"/>
        <v>50.639894421675095</v>
      </c>
      <c r="K449" s="292">
        <f t="shared" ca="1" si="110"/>
        <v>1.4543295939987915</v>
      </c>
      <c r="L449" s="1290">
        <f t="shared" ca="1" si="113"/>
        <v>36.457358048135561</v>
      </c>
      <c r="M449" s="299">
        <v>441</v>
      </c>
      <c r="N449" s="304">
        <f t="shared" si="114"/>
        <v>3442.933335530462</v>
      </c>
      <c r="O449" s="303">
        <v>209.80311867794339</v>
      </c>
      <c r="P449" s="302">
        <v>0.40200910300240639</v>
      </c>
      <c r="Q449" s="301">
        <v>108.12324977524007</v>
      </c>
      <c r="R449" s="301">
        <v>59.404892463638348</v>
      </c>
      <c r="S449" s="300">
        <v>1.8521637501363819</v>
      </c>
      <c r="T449" s="891">
        <f t="shared" si="115"/>
        <v>16</v>
      </c>
      <c r="U449" s="1220">
        <v>0.95213145017623901</v>
      </c>
      <c r="W449" s="299">
        <v>441</v>
      </c>
      <c r="X449" s="298">
        <f>IF('Donor Sample'!N466="",,IF('Donor Sample'!N466="F",1,0))</f>
        <v>0</v>
      </c>
      <c r="Y449" s="298" t="str">
        <f>IF('Donor Sample'!O466="","",'Donor Sample'!O466)</f>
        <v/>
      </c>
      <c r="Z449" s="298" t="str">
        <f>IF(AND('Donor Sample'!O466="",'Donor Sample'!P466="",'Donor Sample'!Q466=""),"",IF('Donor Sample'!P466="",ROUND(AA449/($C$32+($AI449-0.5)*$C$31),0),'Donor Sample'!P466))</f>
        <v/>
      </c>
      <c r="AA449" s="297" t="str">
        <f>IF('Donor Sample'!Q466="","",'Donor Sample'!Q466)</f>
        <v/>
      </c>
      <c r="AB449" s="296" t="str">
        <f t="shared" si="119"/>
        <v/>
      </c>
      <c r="AC449" s="295" t="str">
        <f>IF('Donor Sample'!R466="","",'Donor Sample'!R466)</f>
        <v/>
      </c>
      <c r="AD449" s="294" t="str">
        <f>IF('Donor Sample'!S466="","",'Donor Sample'!S466/100)</f>
        <v/>
      </c>
      <c r="AE449" s="293" t="e">
        <f t="shared" si="116"/>
        <v>#VALUE!</v>
      </c>
      <c r="AF449" s="293" t="str">
        <f t="shared" si="117"/>
        <v/>
      </c>
      <c r="AG449" s="292" t="str">
        <f>IF('Donor Sample'!T466="","",'Donor Sample'!T466)</f>
        <v/>
      </c>
      <c r="AH449" s="891">
        <f t="shared" si="118"/>
        <v>64</v>
      </c>
      <c r="AI449" s="1220">
        <v>0.56140202283859253</v>
      </c>
      <c r="AJ449" s="1216"/>
    </row>
    <row r="450" spans="5:36">
      <c r="E450" s="299">
        <v>442</v>
      </c>
      <c r="F450" s="308">
        <f t="shared" ca="1" si="107"/>
        <v>3348.6180109967972</v>
      </c>
      <c r="G450" s="307">
        <f t="shared" ca="1" si="108"/>
        <v>226.33149838508467</v>
      </c>
      <c r="H450" s="306">
        <f t="shared" ca="1" si="109"/>
        <v>0.3986429078472552</v>
      </c>
      <c r="I450" s="305">
        <f t="shared" ca="1" si="111"/>
        <v>106.66978579810456</v>
      </c>
      <c r="J450" s="305">
        <f t="shared" ca="1" si="112"/>
        <v>64.497664660544558</v>
      </c>
      <c r="K450" s="292">
        <f t="shared" ca="1" si="110"/>
        <v>5.9555223945621272</v>
      </c>
      <c r="L450" s="1290">
        <f t="shared" ca="1" si="113"/>
        <v>18.052032314601501</v>
      </c>
      <c r="M450" s="299">
        <v>442</v>
      </c>
      <c r="N450" s="304">
        <f t="shared" si="114"/>
        <v>3280.5793518680539</v>
      </c>
      <c r="O450" s="303">
        <v>221.48282371097594</v>
      </c>
      <c r="P450" s="302">
        <v>0.42337619141109895</v>
      </c>
      <c r="Q450" s="301">
        <v>135.08209484928977</v>
      </c>
      <c r="R450" s="301">
        <v>56.836835711435299</v>
      </c>
      <c r="S450" s="300">
        <v>4.0585342304395109</v>
      </c>
      <c r="T450" s="891">
        <f t="shared" si="115"/>
        <v>16</v>
      </c>
      <c r="U450" s="1220">
        <v>0.95187532901763916</v>
      </c>
      <c r="W450" s="299">
        <v>442</v>
      </c>
      <c r="X450" s="298">
        <f>IF('Donor Sample'!N467="",,IF('Donor Sample'!N467="F",1,0))</f>
        <v>0</v>
      </c>
      <c r="Y450" s="298" t="str">
        <f>IF('Donor Sample'!O467="","",'Donor Sample'!O467)</f>
        <v/>
      </c>
      <c r="Z450" s="298" t="str">
        <f>IF(AND('Donor Sample'!O467="",'Donor Sample'!P467="",'Donor Sample'!Q467=""),"",IF('Donor Sample'!P467="",ROUND(AA450/($C$32+($AI450-0.5)*$C$31),0),'Donor Sample'!P467))</f>
        <v/>
      </c>
      <c r="AA450" s="297" t="str">
        <f>IF('Donor Sample'!Q467="","",'Donor Sample'!Q467)</f>
        <v/>
      </c>
      <c r="AB450" s="296" t="str">
        <f t="shared" si="119"/>
        <v/>
      </c>
      <c r="AC450" s="295" t="str">
        <f>IF('Donor Sample'!R467="","",'Donor Sample'!R467)</f>
        <v/>
      </c>
      <c r="AD450" s="294" t="str">
        <f>IF('Donor Sample'!S467="","",'Donor Sample'!S467/100)</f>
        <v/>
      </c>
      <c r="AE450" s="407" t="e">
        <f t="shared" si="116"/>
        <v>#VALUE!</v>
      </c>
      <c r="AF450" s="293" t="str">
        <f t="shared" si="117"/>
        <v/>
      </c>
      <c r="AG450" s="292" t="str">
        <f>IF('Donor Sample'!T467="","",'Donor Sample'!T467)</f>
        <v/>
      </c>
      <c r="AH450" s="891">
        <f t="shared" si="118"/>
        <v>32</v>
      </c>
      <c r="AI450" s="1220">
        <v>0.83744251728057861</v>
      </c>
      <c r="AJ450" s="1216"/>
    </row>
    <row r="451" spans="5:36">
      <c r="E451" s="299">
        <v>443</v>
      </c>
      <c r="F451" s="308">
        <f t="shared" ca="1" si="107"/>
        <v>3514.2824379727153</v>
      </c>
      <c r="G451" s="307">
        <f t="shared" ca="1" si="108"/>
        <v>216.77814664069876</v>
      </c>
      <c r="H451" s="306">
        <f t="shared" ca="1" si="109"/>
        <v>0.37231607497750657</v>
      </c>
      <c r="I451" s="305">
        <f t="shared" ca="1" si="111"/>
        <v>110.93450355370322</v>
      </c>
      <c r="J451" s="305">
        <f t="shared" ca="1" si="112"/>
        <v>59.877257733716505</v>
      </c>
      <c r="K451" s="292">
        <f t="shared" ca="1" si="110"/>
        <v>3.9919278779346028</v>
      </c>
      <c r="L451" s="1290">
        <f t="shared" ca="1" si="113"/>
        <v>21.782890022950287</v>
      </c>
      <c r="M451" s="299">
        <v>443</v>
      </c>
      <c r="N451" s="304">
        <f t="shared" si="114"/>
        <v>3393.9405434814789</v>
      </c>
      <c r="O451" s="303">
        <v>271.69338923521843</v>
      </c>
      <c r="P451" s="302">
        <v>0.39341389699217677</v>
      </c>
      <c r="Q451" s="301">
        <v>118.3886190553235</v>
      </c>
      <c r="R451" s="301">
        <v>56.099949218737322</v>
      </c>
      <c r="S451" s="300">
        <v>1.809465668841304</v>
      </c>
      <c r="T451" s="891">
        <f t="shared" si="115"/>
        <v>256</v>
      </c>
      <c r="U451" s="1220">
        <v>0.84955531358718872</v>
      </c>
      <c r="W451" s="299">
        <v>443</v>
      </c>
      <c r="X451" s="298">
        <f>IF('Donor Sample'!N468="",,IF('Donor Sample'!N468="F",1,0))</f>
        <v>0</v>
      </c>
      <c r="Y451" s="298" t="str">
        <f>IF('Donor Sample'!O468="","",'Donor Sample'!O468)</f>
        <v/>
      </c>
      <c r="Z451" s="298" t="str">
        <f>IF(AND('Donor Sample'!O468="",'Donor Sample'!P468="",'Donor Sample'!Q468=""),"",IF('Donor Sample'!P468="",ROUND(AA451/($C$32+($AI451-0.5)*$C$31),0),'Donor Sample'!P468))</f>
        <v/>
      </c>
      <c r="AA451" s="297" t="str">
        <f>IF('Donor Sample'!Q468="","",'Donor Sample'!Q468)</f>
        <v/>
      </c>
      <c r="AB451" s="296" t="str">
        <f t="shared" si="119"/>
        <v/>
      </c>
      <c r="AC451" s="295" t="str">
        <f>IF('Donor Sample'!R468="","",'Donor Sample'!R468)</f>
        <v/>
      </c>
      <c r="AD451" s="294" t="str">
        <f>IF('Donor Sample'!S468="","",'Donor Sample'!S468/100)</f>
        <v/>
      </c>
      <c r="AE451" s="293" t="e">
        <f t="shared" si="116"/>
        <v>#VALUE!</v>
      </c>
      <c r="AF451" s="293" t="str">
        <f t="shared" si="117"/>
        <v/>
      </c>
      <c r="AG451" s="292" t="str">
        <f>IF('Donor Sample'!T468="","",'Donor Sample'!T468)</f>
        <v/>
      </c>
      <c r="AH451" s="891">
        <f t="shared" si="118"/>
        <v>64</v>
      </c>
      <c r="AI451" s="1220">
        <v>0.55271703004837036</v>
      </c>
      <c r="AJ451" s="1216"/>
    </row>
    <row r="452" spans="5:36">
      <c r="E452" s="299">
        <v>444</v>
      </c>
      <c r="F452" s="308">
        <f t="shared" ca="1" si="107"/>
        <v>3667.4860153997574</v>
      </c>
      <c r="G452" s="307">
        <f t="shared" ca="1" si="108"/>
        <v>217.61956501001825</v>
      </c>
      <c r="H452" s="306">
        <f t="shared" ca="1" si="109"/>
        <v>0.40843326308241268</v>
      </c>
      <c r="I452" s="305">
        <f t="shared" ca="1" si="111"/>
        <v>114.79683480638687</v>
      </c>
      <c r="J452" s="305">
        <f t="shared" ca="1" si="112"/>
        <v>61.338481756324079</v>
      </c>
      <c r="K452" s="292">
        <f t="shared" ca="1" si="110"/>
        <v>2.2270330834433976</v>
      </c>
      <c r="L452" s="1290">
        <f t="shared" ca="1" si="113"/>
        <v>21.4801113623923</v>
      </c>
      <c r="M452" s="299">
        <v>444</v>
      </c>
      <c r="N452" s="304">
        <f t="shared" si="114"/>
        <v>3927.3468908197819</v>
      </c>
      <c r="O452" s="303">
        <v>247.44665712820839</v>
      </c>
      <c r="P452" s="302">
        <v>0.41845330849088119</v>
      </c>
      <c r="Q452" s="301">
        <v>138.83156267500186</v>
      </c>
      <c r="R452" s="301">
        <v>59.966315025688523</v>
      </c>
      <c r="S452" s="300">
        <v>1.9464105400925429</v>
      </c>
      <c r="T452" s="891">
        <f t="shared" si="115"/>
        <v>256</v>
      </c>
      <c r="U452" s="1220">
        <v>0.90328049659729004</v>
      </c>
      <c r="W452" s="299">
        <v>444</v>
      </c>
      <c r="X452" s="298">
        <f>IF('Donor Sample'!N469="",,IF('Donor Sample'!N469="F",1,0))</f>
        <v>0</v>
      </c>
      <c r="Y452" s="298" t="str">
        <f>IF('Donor Sample'!O469="","",'Donor Sample'!O469)</f>
        <v/>
      </c>
      <c r="Z452" s="298" t="str">
        <f>IF(AND('Donor Sample'!O469="",'Donor Sample'!P469="",'Donor Sample'!Q469=""),"",IF('Donor Sample'!P469="",ROUND(AA452/($C$32+($AI452-0.5)*$C$31),0),'Donor Sample'!P469))</f>
        <v/>
      </c>
      <c r="AA452" s="297" t="str">
        <f>IF('Donor Sample'!Q469="","",'Donor Sample'!Q469)</f>
        <v/>
      </c>
      <c r="AB452" s="296" t="str">
        <f t="shared" si="119"/>
        <v/>
      </c>
      <c r="AC452" s="295" t="str">
        <f>IF('Donor Sample'!R469="","",'Donor Sample'!R469)</f>
        <v/>
      </c>
      <c r="AD452" s="294" t="str">
        <f>IF('Donor Sample'!S469="","",'Donor Sample'!S469/100)</f>
        <v/>
      </c>
      <c r="AE452" s="293" t="e">
        <f t="shared" si="116"/>
        <v>#VALUE!</v>
      </c>
      <c r="AF452" s="293" t="str">
        <f t="shared" si="117"/>
        <v/>
      </c>
      <c r="AG452" s="292" t="str">
        <f>IF('Donor Sample'!T469="","",'Donor Sample'!T469)</f>
        <v/>
      </c>
      <c r="AH452" s="891">
        <f t="shared" si="118"/>
        <v>2</v>
      </c>
      <c r="AI452" s="1220">
        <v>0.21420550346374512</v>
      </c>
      <c r="AJ452" s="1216"/>
    </row>
    <row r="453" spans="5:36">
      <c r="E453" s="299">
        <v>445</v>
      </c>
      <c r="F453" s="308">
        <f t="shared" ca="1" si="107"/>
        <v>3081.0434910067665</v>
      </c>
      <c r="G453" s="307">
        <f t="shared" ca="1" si="108"/>
        <v>233.11309994448348</v>
      </c>
      <c r="H453" s="306">
        <f t="shared" ca="1" si="109"/>
        <v>0.41203573922706194</v>
      </c>
      <c r="I453" s="305">
        <f t="shared" ca="1" si="111"/>
        <v>97.455832641501431</v>
      </c>
      <c r="J453" s="305">
        <f t="shared" ca="1" si="112"/>
        <v>55.971431114261797</v>
      </c>
      <c r="K453" s="292">
        <f t="shared" ca="1" si="110"/>
        <v>1.751373769564277</v>
      </c>
      <c r="L453" s="1290">
        <f t="shared" ca="1" si="113"/>
        <v>21.900179413939338</v>
      </c>
      <c r="M453" s="299">
        <v>445</v>
      </c>
      <c r="N453" s="304">
        <f t="shared" si="114"/>
        <v>2625.3576640095594</v>
      </c>
      <c r="O453" s="303">
        <v>264.6933079602839</v>
      </c>
      <c r="P453" s="302">
        <v>0.42885197002925951</v>
      </c>
      <c r="Q453" s="301">
        <v>97.982112690804996</v>
      </c>
      <c r="R453" s="301">
        <v>46.147174588837487</v>
      </c>
      <c r="S453" s="300">
        <v>5.0093556074621395</v>
      </c>
      <c r="T453" s="891">
        <f t="shared" si="115"/>
        <v>2</v>
      </c>
      <c r="U453" s="1220">
        <v>0.18930953741073608</v>
      </c>
      <c r="W453" s="299">
        <v>445</v>
      </c>
      <c r="X453" s="298">
        <f>IF('Donor Sample'!N470="",,IF('Donor Sample'!N470="F",1,0))</f>
        <v>0</v>
      </c>
      <c r="Y453" s="298" t="str">
        <f>IF('Donor Sample'!O470="","",'Donor Sample'!O470)</f>
        <v/>
      </c>
      <c r="Z453" s="298" t="str">
        <f>IF(AND('Donor Sample'!O470="",'Donor Sample'!P470="",'Donor Sample'!Q470=""),"",IF('Donor Sample'!P470="",ROUND(AA453/($C$32+($AI453-0.5)*$C$31),0),'Donor Sample'!P470))</f>
        <v/>
      </c>
      <c r="AA453" s="297" t="str">
        <f>IF('Donor Sample'!Q470="","",'Donor Sample'!Q470)</f>
        <v/>
      </c>
      <c r="AB453" s="296" t="str">
        <f t="shared" si="119"/>
        <v/>
      </c>
      <c r="AC453" s="295" t="str">
        <f>IF('Donor Sample'!R470="","",'Donor Sample'!R470)</f>
        <v/>
      </c>
      <c r="AD453" s="294" t="str">
        <f>IF('Donor Sample'!S470="","",'Donor Sample'!S470/100)</f>
        <v/>
      </c>
      <c r="AE453" s="407" t="e">
        <f t="shared" si="116"/>
        <v>#VALUE!</v>
      </c>
      <c r="AF453" s="293" t="str">
        <f t="shared" si="117"/>
        <v/>
      </c>
      <c r="AG453" s="292" t="str">
        <f>IF('Donor Sample'!T470="","",'Donor Sample'!T470)</f>
        <v/>
      </c>
      <c r="AH453" s="891">
        <f t="shared" si="118"/>
        <v>64</v>
      </c>
      <c r="AI453" s="1220">
        <v>0.49530404806137085</v>
      </c>
      <c r="AJ453" s="1216"/>
    </row>
    <row r="454" spans="5:36">
      <c r="E454" s="299">
        <v>446</v>
      </c>
      <c r="F454" s="308">
        <f t="shared" ca="1" si="107"/>
        <v>2868.6329470203054</v>
      </c>
      <c r="G454" s="307">
        <f t="shared" ca="1" si="108"/>
        <v>217.62945833914162</v>
      </c>
      <c r="H454" s="306">
        <f t="shared" ca="1" si="109"/>
        <v>0.39743193917033692</v>
      </c>
      <c r="I454" s="305">
        <f t="shared" ca="1" si="111"/>
        <v>92.55881275958005</v>
      </c>
      <c r="J454" s="305">
        <f t="shared" ca="1" si="112"/>
        <v>60.579779836069726</v>
      </c>
      <c r="K454" s="292">
        <f t="shared" ca="1" si="110"/>
        <v>10.007427887125038</v>
      </c>
      <c r="L454" s="1290">
        <f t="shared" ca="1" si="113"/>
        <v>17.7555877571296</v>
      </c>
      <c r="M454" s="299">
        <v>446</v>
      </c>
      <c r="N454" s="304">
        <f t="shared" si="114"/>
        <v>3184.5670606991216</v>
      </c>
      <c r="O454" s="303">
        <v>237.25404285698494</v>
      </c>
      <c r="P454" s="302">
        <v>0.41632385138716116</v>
      </c>
      <c r="Q454" s="301">
        <v>98.448137164506321</v>
      </c>
      <c r="R454" s="301">
        <v>63.933470546152158</v>
      </c>
      <c r="S454" s="300">
        <v>2.4706019593459949</v>
      </c>
      <c r="T454" s="891">
        <f t="shared" si="115"/>
        <v>256</v>
      </c>
      <c r="U454" s="1220">
        <v>0.92710864543914795</v>
      </c>
      <c r="W454" s="299">
        <v>446</v>
      </c>
      <c r="X454" s="298">
        <f>IF('Donor Sample'!N471="",,IF('Donor Sample'!N471="F",1,0))</f>
        <v>0</v>
      </c>
      <c r="Y454" s="298" t="str">
        <f>IF('Donor Sample'!O471="","",'Donor Sample'!O471)</f>
        <v/>
      </c>
      <c r="Z454" s="298" t="str">
        <f>IF(AND('Donor Sample'!O471="",'Donor Sample'!P471="",'Donor Sample'!Q471=""),"",IF('Donor Sample'!P471="",ROUND(AA454/($C$32+($AI454-0.5)*$C$31),0),'Donor Sample'!P471))</f>
        <v/>
      </c>
      <c r="AA454" s="297" t="str">
        <f>IF('Donor Sample'!Q471="","",'Donor Sample'!Q471)</f>
        <v/>
      </c>
      <c r="AB454" s="296" t="str">
        <f t="shared" si="119"/>
        <v/>
      </c>
      <c r="AC454" s="295" t="str">
        <f>IF('Donor Sample'!R471="","",'Donor Sample'!R471)</f>
        <v/>
      </c>
      <c r="AD454" s="294" t="str">
        <f>IF('Donor Sample'!S471="","",'Donor Sample'!S471/100)</f>
        <v/>
      </c>
      <c r="AE454" s="293" t="e">
        <f t="shared" si="116"/>
        <v>#VALUE!</v>
      </c>
      <c r="AF454" s="293" t="str">
        <f t="shared" si="117"/>
        <v/>
      </c>
      <c r="AG454" s="292" t="str">
        <f>IF('Donor Sample'!T471="","",'Donor Sample'!T471)</f>
        <v/>
      </c>
      <c r="AH454" s="891">
        <f t="shared" si="118"/>
        <v>32</v>
      </c>
      <c r="AI454" s="1220">
        <v>0.79281651973724365</v>
      </c>
      <c r="AJ454" s="1216"/>
    </row>
    <row r="455" spans="5:36">
      <c r="E455" s="299">
        <v>447</v>
      </c>
      <c r="F455" s="308">
        <f t="shared" ca="1" si="107"/>
        <v>3871.0748353967256</v>
      </c>
      <c r="G455" s="307">
        <f t="shared" ca="1" si="108"/>
        <v>246.74748163109768</v>
      </c>
      <c r="H455" s="306">
        <f t="shared" ca="1" si="109"/>
        <v>0.39965061893101633</v>
      </c>
      <c r="I455" s="305">
        <f t="shared" ca="1" si="111"/>
        <v>145.71044432632922</v>
      </c>
      <c r="J455" s="305">
        <f t="shared" ca="1" si="112"/>
        <v>57.445695307575505</v>
      </c>
      <c r="K455" s="292">
        <f t="shared" ca="1" si="110"/>
        <v>10.411005671698215</v>
      </c>
      <c r="L455" s="1290">
        <f t="shared" ca="1" si="113"/>
        <v>31.084820286171457</v>
      </c>
      <c r="M455" s="299">
        <v>447</v>
      </c>
      <c r="N455" s="304">
        <f t="shared" si="114"/>
        <v>4104.6543174597427</v>
      </c>
      <c r="O455" s="303">
        <v>251.10270513727264</v>
      </c>
      <c r="P455" s="302">
        <v>0.40327408454514907</v>
      </c>
      <c r="Q455" s="301">
        <v>169.06811516754539</v>
      </c>
      <c r="R455" s="301">
        <v>55.580615599740128</v>
      </c>
      <c r="S455" s="300">
        <v>2.3474987791337898</v>
      </c>
      <c r="T455" s="891">
        <f t="shared" si="115"/>
        <v>2</v>
      </c>
      <c r="U455" s="1220">
        <v>0.11355262994766235</v>
      </c>
      <c r="W455" s="299">
        <v>447</v>
      </c>
      <c r="X455" s="298">
        <f>IF('Donor Sample'!N472="",,IF('Donor Sample'!N472="F",1,0))</f>
        <v>0</v>
      </c>
      <c r="Y455" s="298" t="str">
        <f>IF('Donor Sample'!O472="","",'Donor Sample'!O472)</f>
        <v/>
      </c>
      <c r="Z455" s="298" t="str">
        <f>IF(AND('Donor Sample'!O472="",'Donor Sample'!P472="",'Donor Sample'!Q472=""),"",IF('Donor Sample'!P472="",ROUND(AA455/($C$32+($AI455-0.5)*$C$31),0),'Donor Sample'!P472))</f>
        <v/>
      </c>
      <c r="AA455" s="297" t="str">
        <f>IF('Donor Sample'!Q472="","",'Donor Sample'!Q472)</f>
        <v/>
      </c>
      <c r="AB455" s="296" t="str">
        <f t="shared" si="119"/>
        <v/>
      </c>
      <c r="AC455" s="295" t="str">
        <f>IF('Donor Sample'!R472="","",'Donor Sample'!R472)</f>
        <v/>
      </c>
      <c r="AD455" s="294" t="str">
        <f>IF('Donor Sample'!S472="","",'Donor Sample'!S472/100)</f>
        <v/>
      </c>
      <c r="AE455" s="293" t="e">
        <f t="shared" si="116"/>
        <v>#VALUE!</v>
      </c>
      <c r="AF455" s="293" t="str">
        <f t="shared" si="117"/>
        <v/>
      </c>
      <c r="AG455" s="292" t="str">
        <f>IF('Donor Sample'!T472="","",'Donor Sample'!T472)</f>
        <v/>
      </c>
      <c r="AH455" s="891">
        <f t="shared" si="118"/>
        <v>64</v>
      </c>
      <c r="AI455" s="1220">
        <v>0.66535478830337524</v>
      </c>
      <c r="AJ455" s="1216"/>
    </row>
    <row r="456" spans="5:36">
      <c r="E456" s="299">
        <v>448</v>
      </c>
      <c r="F456" s="308">
        <f t="shared" ca="1" si="107"/>
        <v>3599.5309592692765</v>
      </c>
      <c r="G456" s="307">
        <f t="shared" ca="1" si="108"/>
        <v>246.88469819199415</v>
      </c>
      <c r="H456" s="306">
        <f t="shared" ca="1" si="109"/>
        <v>0.40439780693282501</v>
      </c>
      <c r="I456" s="305">
        <f t="shared" ca="1" si="111"/>
        <v>113.27785526334584</v>
      </c>
      <c r="J456" s="305">
        <f t="shared" ca="1" si="112"/>
        <v>60.656317450592475</v>
      </c>
      <c r="K456" s="292">
        <f t="shared" ca="1" si="110"/>
        <v>1.2664414811893856</v>
      </c>
      <c r="L456" s="1290">
        <f t="shared" ca="1" si="113"/>
        <v>21.675323944743489</v>
      </c>
      <c r="M456" s="299">
        <v>448</v>
      </c>
      <c r="N456" s="304">
        <f t="shared" si="114"/>
        <v>3294.9302212129323</v>
      </c>
      <c r="O456" s="303">
        <v>234.222509675254</v>
      </c>
      <c r="P456" s="302">
        <v>0.40029898841554112</v>
      </c>
      <c r="Q456" s="301">
        <v>116.05631203749398</v>
      </c>
      <c r="R456" s="301">
        <v>54.931393380140072</v>
      </c>
      <c r="S456" s="300">
        <v>4.4180372637694596</v>
      </c>
      <c r="T456" s="891">
        <f t="shared" si="115"/>
        <v>32</v>
      </c>
      <c r="U456" s="1220">
        <v>0.79219675064086914</v>
      </c>
      <c r="W456" s="299">
        <v>448</v>
      </c>
      <c r="X456" s="298">
        <f>IF('Donor Sample'!N473="",,IF('Donor Sample'!N473="F",1,0))</f>
        <v>0</v>
      </c>
      <c r="Y456" s="298" t="str">
        <f>IF('Donor Sample'!O473="","",'Donor Sample'!O473)</f>
        <v/>
      </c>
      <c r="Z456" s="298" t="str">
        <f>IF(AND('Donor Sample'!O473="",'Donor Sample'!P473="",'Donor Sample'!Q473=""),"",IF('Donor Sample'!P473="",ROUND(AA456/($C$32+($AI456-0.5)*$C$31),0),'Donor Sample'!P473))</f>
        <v/>
      </c>
      <c r="AA456" s="297" t="str">
        <f>IF('Donor Sample'!Q473="","",'Donor Sample'!Q473)</f>
        <v/>
      </c>
      <c r="AB456" s="296" t="str">
        <f t="shared" si="119"/>
        <v/>
      </c>
      <c r="AC456" s="295" t="str">
        <f>IF('Donor Sample'!R473="","",'Donor Sample'!R473)</f>
        <v/>
      </c>
      <c r="AD456" s="294" t="str">
        <f>IF('Donor Sample'!S473="","",'Donor Sample'!S473/100)</f>
        <v/>
      </c>
      <c r="AE456" s="407" t="e">
        <f t="shared" si="116"/>
        <v>#VALUE!</v>
      </c>
      <c r="AF456" s="293" t="str">
        <f t="shared" si="117"/>
        <v/>
      </c>
      <c r="AG456" s="292" t="str">
        <f>IF('Donor Sample'!T473="","",'Donor Sample'!T473)</f>
        <v/>
      </c>
      <c r="AH456" s="891">
        <f t="shared" si="118"/>
        <v>2</v>
      </c>
      <c r="AI456" s="1220">
        <v>0.19001293182373047</v>
      </c>
      <c r="AJ456" s="1216"/>
    </row>
    <row r="457" spans="5:36">
      <c r="E457" s="299">
        <v>449</v>
      </c>
      <c r="F457" s="308">
        <f t="shared" ref="F457:F520" ca="1" si="120">NORMINV(NORMDIST($C$9,$C$7,$C$8,1)+RAND()*(NORMDIST($C$10,$C$7,$C$8,1)-NORMDIST($C$9,$C$7,$C$8,1)),$C$7,$C$8)</f>
        <v>3270.1422806809646</v>
      </c>
      <c r="G457" s="307">
        <f t="shared" ref="G457:G520" ca="1" si="121">NORMINV(NORMDIST($C$13,$C$11,$C$12,1)+RAND()*(NORMDIST($C$14,$C$11,$C$12,1)-NORMDIST($C$13,$C$11,$C$12,1)),$C$11,$C$12)</f>
        <v>214.93286766499398</v>
      </c>
      <c r="H457" s="306">
        <f t="shared" ref="H457:H520" ca="1" si="122">NORMINV(NORMDIST($C$17,$C$15,$C$16,1)+RAND()*(NORMDIST($C$18,$C$15,$C$16,1)-NORMDIST($C$17,$C$15,$C$16,1)),$C$15,$C$16)/100</f>
        <v>0.46574594030056177</v>
      </c>
      <c r="I457" s="305">
        <f t="shared" ca="1" si="111"/>
        <v>112.0118551075134</v>
      </c>
      <c r="J457" s="305">
        <f t="shared" ca="1" si="112"/>
        <v>62.241600974371991</v>
      </c>
      <c r="K457" s="292">
        <f t="shared" ref="K457:K520" ca="1" si="123">$C$23/($C$24+RAND())</f>
        <v>1.3074728926067252</v>
      </c>
      <c r="L457" s="1290">
        <f t="shared" ca="1" si="113"/>
        <v>20.355188992986658</v>
      </c>
      <c r="M457" s="299">
        <v>449</v>
      </c>
      <c r="N457" s="304">
        <f t="shared" si="114"/>
        <v>3248.9275386085069</v>
      </c>
      <c r="O457" s="303">
        <v>241.01208431110308</v>
      </c>
      <c r="P457" s="302">
        <v>0.35922991134743965</v>
      </c>
      <c r="Q457" s="301">
        <v>118.9088782728286</v>
      </c>
      <c r="R457" s="301">
        <v>60.346065212594581</v>
      </c>
      <c r="S457" s="300">
        <v>4.71757490290027</v>
      </c>
      <c r="T457" s="891">
        <f t="shared" si="115"/>
        <v>64</v>
      </c>
      <c r="U457" s="1220">
        <v>0.72983616590499878</v>
      </c>
      <c r="W457" s="299">
        <v>449</v>
      </c>
      <c r="X457" s="298">
        <f>IF('Donor Sample'!N474="",,IF('Donor Sample'!N474="F",1,0))</f>
        <v>0</v>
      </c>
      <c r="Y457" s="298" t="str">
        <f>IF('Donor Sample'!O474="","",'Donor Sample'!O474)</f>
        <v/>
      </c>
      <c r="Z457" s="298" t="str">
        <f>IF(AND('Donor Sample'!O474="",'Donor Sample'!P474="",'Donor Sample'!Q474=""),"",IF('Donor Sample'!P474="",ROUND(AA457/($C$32+($AI457-0.5)*$C$31),0),'Donor Sample'!P474))</f>
        <v/>
      </c>
      <c r="AA457" s="297" t="str">
        <f>IF('Donor Sample'!Q474="","",'Donor Sample'!Q474)</f>
        <v/>
      </c>
      <c r="AB457" s="296" t="str">
        <f t="shared" si="119"/>
        <v/>
      </c>
      <c r="AC457" s="295" t="str">
        <f>IF('Donor Sample'!R474="","",'Donor Sample'!R474)</f>
        <v/>
      </c>
      <c r="AD457" s="294" t="str">
        <f>IF('Donor Sample'!S474="","",'Donor Sample'!S474/100)</f>
        <v/>
      </c>
      <c r="AE457" s="293" t="e">
        <f t="shared" si="116"/>
        <v>#VALUE!</v>
      </c>
      <c r="AF457" s="293" t="str">
        <f t="shared" si="117"/>
        <v/>
      </c>
      <c r="AG457" s="292" t="str">
        <f>IF('Donor Sample'!T474="","",'Donor Sample'!T474)</f>
        <v/>
      </c>
      <c r="AH457" s="891">
        <f t="shared" si="118"/>
        <v>256</v>
      </c>
      <c r="AI457" s="1220">
        <v>0.87671965360641479</v>
      </c>
      <c r="AJ457" s="1216"/>
    </row>
    <row r="458" spans="5:36">
      <c r="E458" s="299">
        <v>450</v>
      </c>
      <c r="F458" s="308">
        <f t="shared" ca="1" si="120"/>
        <v>2786.6099118793545</v>
      </c>
      <c r="G458" s="307">
        <f t="shared" ca="1" si="121"/>
        <v>227.34346372041128</v>
      </c>
      <c r="H458" s="306">
        <f t="shared" ca="1" si="122"/>
        <v>0.48345591244948793</v>
      </c>
      <c r="I458" s="305">
        <f t="shared" ref="I458:I521" ca="1" si="124">F458/($C$32+(RAND()-0.5)*$C$31)</f>
        <v>106.64309154803186</v>
      </c>
      <c r="J458" s="305">
        <f t="shared" ref="J458:J521" ca="1" si="125">IF(AI458&lt;=$C$33,((F458-604-14.6*I458)/0.006012)^(1/3),((F458-183-15*I458)/0.005835)^(1/3))</f>
        <v>55.619322373460633</v>
      </c>
      <c r="K458" s="292">
        <f t="shared" ca="1" si="123"/>
        <v>1.3489298446841036</v>
      </c>
      <c r="L458" s="1290">
        <f t="shared" ref="L458:L521" ca="1" si="126">704*I458/J458^2</f>
        <v>24.269118316221572</v>
      </c>
      <c r="M458" s="299">
        <v>450</v>
      </c>
      <c r="N458" s="304">
        <f t="shared" ref="N458:N521" si="127">IF(AI458&gt;$C$33,183+0.005835*R458^3+15*Q458,604+0.006012*R458^3+14.6*Q458)</f>
        <v>3323.243627674965</v>
      </c>
      <c r="O458" s="303">
        <v>306.8926121855049</v>
      </c>
      <c r="P458" s="302">
        <v>0.38469920353745235</v>
      </c>
      <c r="Q458" s="301">
        <v>135.77239410437357</v>
      </c>
      <c r="R458" s="301">
        <v>57.402549425492168</v>
      </c>
      <c r="S458" s="300">
        <v>1.7679551878075361</v>
      </c>
      <c r="T458" s="891">
        <f t="shared" ref="T458:T521" si="128">HLOOKUP(U458,$AL$32:$AT$34,3)</f>
        <v>128</v>
      </c>
      <c r="U458" s="1220">
        <v>0.93370258808135986</v>
      </c>
      <c r="W458" s="299">
        <v>450</v>
      </c>
      <c r="X458" s="298">
        <f>IF('Donor Sample'!N475="",,IF('Donor Sample'!N475="F",1,0))</f>
        <v>0</v>
      </c>
      <c r="Y458" s="298" t="str">
        <f>IF('Donor Sample'!O475="","",'Donor Sample'!O475)</f>
        <v/>
      </c>
      <c r="Z458" s="298" t="str">
        <f>IF(AND('Donor Sample'!O475="",'Donor Sample'!P475="",'Donor Sample'!Q475=""),"",IF('Donor Sample'!P475="",ROUND(AA458/($C$32+($AI458-0.5)*$C$31),0),'Donor Sample'!P475))</f>
        <v/>
      </c>
      <c r="AA458" s="297" t="str">
        <f>IF('Donor Sample'!Q475="","",'Donor Sample'!Q475)</f>
        <v/>
      </c>
      <c r="AB458" s="296" t="str">
        <f t="shared" si="119"/>
        <v/>
      </c>
      <c r="AC458" s="295" t="str">
        <f>IF('Donor Sample'!R475="","",'Donor Sample'!R475)</f>
        <v/>
      </c>
      <c r="AD458" s="294" t="str">
        <f>IF('Donor Sample'!S475="","",'Donor Sample'!S475/100)</f>
        <v/>
      </c>
      <c r="AE458" s="293" t="e">
        <f t="shared" ref="AE458:AE521" si="129">IF($AB$2=1,Z458,2.2*Z458)</f>
        <v>#VALUE!</v>
      </c>
      <c r="AF458" s="293" t="str">
        <f t="shared" ref="AF458:AF521" si="130">IF(AND(Y458="",AA458=""),"",IF(AA458="",IF($AB$2=1,Y458,Y458/2.54),IF(AI458&lt;=$C$33,((AB458-604-14.6*Z458)/0.006012)^(1/3),((AB458-183-15*Z458)/0.005835)^(1/3))))</f>
        <v/>
      </c>
      <c r="AG458" s="292" t="str">
        <f>IF('Donor Sample'!T475="","",'Donor Sample'!T475)</f>
        <v/>
      </c>
      <c r="AH458" s="891">
        <f t="shared" ref="AH458:AH521" si="131">HLOOKUP(AI458,$AL$32:$AT$34,3)</f>
        <v>16</v>
      </c>
      <c r="AI458" s="1220">
        <v>0.97205603122711182</v>
      </c>
      <c r="AJ458" s="1216"/>
    </row>
    <row r="459" spans="5:36">
      <c r="E459" s="299">
        <v>451</v>
      </c>
      <c r="F459" s="308">
        <f t="shared" ca="1" si="120"/>
        <v>3006.8338696588876</v>
      </c>
      <c r="G459" s="307">
        <f t="shared" ca="1" si="121"/>
        <v>198.90604015598996</v>
      </c>
      <c r="H459" s="306">
        <f t="shared" ca="1" si="122"/>
        <v>0.37706325096900051</v>
      </c>
      <c r="I459" s="305">
        <f t="shared" ca="1" si="124"/>
        <v>99.098815306994268</v>
      </c>
      <c r="J459" s="305">
        <f t="shared" ca="1" si="125"/>
        <v>54.176586220847376</v>
      </c>
      <c r="K459" s="292">
        <f t="shared" ca="1" si="123"/>
        <v>1.7120723808729792</v>
      </c>
      <c r="L459" s="1290">
        <f t="shared" ca="1" si="126"/>
        <v>23.769379810683979</v>
      </c>
      <c r="M459" s="299">
        <v>451</v>
      </c>
      <c r="N459" s="304">
        <f t="shared" si="127"/>
        <v>3452.7606066781218</v>
      </c>
      <c r="O459" s="303">
        <v>205.78965053028779</v>
      </c>
      <c r="P459" s="302">
        <v>0.3803775096389676</v>
      </c>
      <c r="Q459" s="301">
        <v>134.31654520188957</v>
      </c>
      <c r="R459" s="301">
        <v>52.855329374712532</v>
      </c>
      <c r="S459" s="300">
        <v>1.7704353550669329</v>
      </c>
      <c r="T459" s="891">
        <f t="shared" si="128"/>
        <v>64</v>
      </c>
      <c r="U459" s="1220">
        <v>0.45924931764602661</v>
      </c>
      <c r="W459" s="299">
        <v>451</v>
      </c>
      <c r="X459" s="298">
        <f>IF('Donor Sample'!N476="",,IF('Donor Sample'!N476="F",1,0))</f>
        <v>0</v>
      </c>
      <c r="Y459" s="298" t="str">
        <f>IF('Donor Sample'!O476="","",'Donor Sample'!O476)</f>
        <v/>
      </c>
      <c r="Z459" s="298" t="str">
        <f>IF(AND('Donor Sample'!O476="",'Donor Sample'!P476="",'Donor Sample'!Q476=""),"",IF('Donor Sample'!P476="",ROUND(AA459/($C$32+($AI459-0.5)*$C$31),0),'Donor Sample'!P476))</f>
        <v/>
      </c>
      <c r="AA459" s="297" t="str">
        <f>IF('Donor Sample'!Q476="","",'Donor Sample'!Q476)</f>
        <v/>
      </c>
      <c r="AB459" s="296" t="str">
        <f t="shared" si="119"/>
        <v/>
      </c>
      <c r="AC459" s="295" t="str">
        <f>IF('Donor Sample'!R476="","",'Donor Sample'!R476)</f>
        <v/>
      </c>
      <c r="AD459" s="294" t="str">
        <f>IF('Donor Sample'!S476="","",'Donor Sample'!S476/100)</f>
        <v/>
      </c>
      <c r="AE459" s="407" t="e">
        <f t="shared" si="129"/>
        <v>#VALUE!</v>
      </c>
      <c r="AF459" s="293" t="str">
        <f t="shared" si="130"/>
        <v/>
      </c>
      <c r="AG459" s="292" t="str">
        <f>IF('Donor Sample'!T476="","",'Donor Sample'!T476)</f>
        <v/>
      </c>
      <c r="AH459" s="891">
        <f t="shared" si="131"/>
        <v>4</v>
      </c>
      <c r="AI459" s="1220">
        <v>0.40717726945877075</v>
      </c>
      <c r="AJ459" s="1216"/>
    </row>
    <row r="460" spans="5:36">
      <c r="E460" s="299">
        <v>452</v>
      </c>
      <c r="F460" s="308">
        <f t="shared" ca="1" si="120"/>
        <v>2882.9004974874288</v>
      </c>
      <c r="G460" s="307">
        <f t="shared" ca="1" si="121"/>
        <v>292.88289679857263</v>
      </c>
      <c r="H460" s="306">
        <f t="shared" ca="1" si="122"/>
        <v>0.43838035144522425</v>
      </c>
      <c r="I460" s="305">
        <f t="shared" ca="1" si="124"/>
        <v>114.95582792446675</v>
      </c>
      <c r="J460" s="305">
        <f t="shared" ca="1" si="125"/>
        <v>46.399036251428562</v>
      </c>
      <c r="K460" s="292">
        <f t="shared" ca="1" si="123"/>
        <v>1.3851166394578573</v>
      </c>
      <c r="L460" s="1290">
        <f t="shared" ca="1" si="126"/>
        <v>37.59116045906697</v>
      </c>
      <c r="M460" s="299">
        <v>452</v>
      </c>
      <c r="N460" s="304">
        <f t="shared" si="127"/>
        <v>2570.0419472766816</v>
      </c>
      <c r="O460" s="303">
        <v>226.16623702064766</v>
      </c>
      <c r="P460" s="302">
        <v>0.41856525303401981</v>
      </c>
      <c r="Q460" s="301">
        <v>89.397190420764915</v>
      </c>
      <c r="R460" s="301">
        <v>47.902675079501492</v>
      </c>
      <c r="S460" s="300">
        <v>1.7692556422773509</v>
      </c>
      <c r="T460" s="891">
        <f t="shared" si="128"/>
        <v>256</v>
      </c>
      <c r="U460" s="1220">
        <v>0.90867114067077637</v>
      </c>
      <c r="W460" s="299">
        <v>452</v>
      </c>
      <c r="X460" s="298">
        <f>IF('Donor Sample'!N477="",,IF('Donor Sample'!N477="F",1,0))</f>
        <v>0</v>
      </c>
      <c r="Y460" s="298" t="str">
        <f>IF('Donor Sample'!O477="","",'Donor Sample'!O477)</f>
        <v/>
      </c>
      <c r="Z460" s="298" t="str">
        <f>IF(AND('Donor Sample'!O477="",'Donor Sample'!P477="",'Donor Sample'!Q477=""),"",IF('Donor Sample'!P477="",ROUND(AA460/($C$32+($AI460-0.5)*$C$31),0),'Donor Sample'!P477))</f>
        <v/>
      </c>
      <c r="AA460" s="297" t="str">
        <f>IF('Donor Sample'!Q477="","",'Donor Sample'!Q477)</f>
        <v/>
      </c>
      <c r="AB460" s="296" t="str">
        <f t="shared" si="119"/>
        <v/>
      </c>
      <c r="AC460" s="295" t="str">
        <f>IF('Donor Sample'!R477="","",'Donor Sample'!R477)</f>
        <v/>
      </c>
      <c r="AD460" s="294" t="str">
        <f>IF('Donor Sample'!S477="","",'Donor Sample'!S477/100)</f>
        <v/>
      </c>
      <c r="AE460" s="293" t="e">
        <f t="shared" si="129"/>
        <v>#VALUE!</v>
      </c>
      <c r="AF460" s="293" t="str">
        <f t="shared" si="130"/>
        <v/>
      </c>
      <c r="AG460" s="292" t="str">
        <f>IF('Donor Sample'!T477="","",'Donor Sample'!T477)</f>
        <v/>
      </c>
      <c r="AH460" s="891">
        <f t="shared" si="131"/>
        <v>4</v>
      </c>
      <c r="AI460" s="1220">
        <v>0.37592244148254395</v>
      </c>
      <c r="AJ460" s="1216"/>
    </row>
    <row r="461" spans="5:36">
      <c r="E461" s="299">
        <v>453</v>
      </c>
      <c r="F461" s="308">
        <f t="shared" ca="1" si="120"/>
        <v>2949.2732576938488</v>
      </c>
      <c r="G461" s="307">
        <f t="shared" ca="1" si="121"/>
        <v>281.15483861705809</v>
      </c>
      <c r="H461" s="306">
        <f t="shared" ca="1" si="122"/>
        <v>0.38483382144550604</v>
      </c>
      <c r="I461" s="305">
        <f t="shared" ca="1" si="124"/>
        <v>111.35488393961994</v>
      </c>
      <c r="J461" s="305">
        <f t="shared" ca="1" si="125"/>
        <v>49.279806007669954</v>
      </c>
      <c r="K461" s="292">
        <f t="shared" ca="1" si="123"/>
        <v>4.459009653942565</v>
      </c>
      <c r="L461" s="1290">
        <f t="shared" ca="1" si="126"/>
        <v>32.280774770719567</v>
      </c>
      <c r="M461" s="299">
        <v>453</v>
      </c>
      <c r="N461" s="304">
        <f t="shared" si="127"/>
        <v>2545.0830667867849</v>
      </c>
      <c r="O461" s="303">
        <v>265.67915288135998</v>
      </c>
      <c r="P461" s="302">
        <v>0.49333488198166137</v>
      </c>
      <c r="Q461" s="301">
        <v>86.037444841328579</v>
      </c>
      <c r="R461" s="301">
        <v>48.477894855291119</v>
      </c>
      <c r="S461" s="300">
        <v>1.8158771095893949</v>
      </c>
      <c r="T461" s="891">
        <f t="shared" si="128"/>
        <v>2</v>
      </c>
      <c r="U461" s="1220">
        <v>0.1697196364402771</v>
      </c>
      <c r="W461" s="299">
        <v>453</v>
      </c>
      <c r="X461" s="298">
        <f>IF('Donor Sample'!N478="",,IF('Donor Sample'!N478="F",1,0))</f>
        <v>0</v>
      </c>
      <c r="Y461" s="298" t="str">
        <f>IF('Donor Sample'!O478="","",'Donor Sample'!O478)</f>
        <v/>
      </c>
      <c r="Z461" s="298" t="str">
        <f>IF(AND('Donor Sample'!O478="",'Donor Sample'!P478="",'Donor Sample'!Q478=""),"",IF('Donor Sample'!P478="",ROUND(AA461/($C$32+($AI461-0.5)*$C$31),0),'Donor Sample'!P478))</f>
        <v/>
      </c>
      <c r="AA461" s="297" t="str">
        <f>IF('Donor Sample'!Q478="","",'Donor Sample'!Q478)</f>
        <v/>
      </c>
      <c r="AB461" s="296" t="str">
        <f t="shared" si="119"/>
        <v/>
      </c>
      <c r="AC461" s="295" t="str">
        <f>IF('Donor Sample'!R478="","",'Donor Sample'!R478)</f>
        <v/>
      </c>
      <c r="AD461" s="294" t="str">
        <f>IF('Donor Sample'!S478="","",'Donor Sample'!S478/100)</f>
        <v/>
      </c>
      <c r="AE461" s="293" t="e">
        <f t="shared" si="129"/>
        <v>#VALUE!</v>
      </c>
      <c r="AF461" s="293" t="str">
        <f t="shared" si="130"/>
        <v/>
      </c>
      <c r="AG461" s="292" t="str">
        <f>IF('Donor Sample'!T478="","",'Donor Sample'!T478)</f>
        <v/>
      </c>
      <c r="AH461" s="891">
        <f t="shared" si="131"/>
        <v>2</v>
      </c>
      <c r="AI461" s="1220">
        <v>0.33486026525497437</v>
      </c>
      <c r="AJ461" s="1216"/>
    </row>
    <row r="462" spans="5:36">
      <c r="E462" s="299">
        <v>454</v>
      </c>
      <c r="F462" s="308">
        <f t="shared" ca="1" si="120"/>
        <v>3420.6198173136981</v>
      </c>
      <c r="G462" s="307">
        <f t="shared" ca="1" si="121"/>
        <v>250.54448483381915</v>
      </c>
      <c r="H462" s="306">
        <f t="shared" ca="1" si="122"/>
        <v>0.39502335034398423</v>
      </c>
      <c r="I462" s="305">
        <f t="shared" ca="1" si="124"/>
        <v>116.08573906954958</v>
      </c>
      <c r="J462" s="305">
        <f t="shared" ca="1" si="125"/>
        <v>63.532488803962032</v>
      </c>
      <c r="K462" s="292">
        <f t="shared" ca="1" si="123"/>
        <v>1.7858518914331654</v>
      </c>
      <c r="L462" s="1290">
        <f t="shared" ca="1" si="126"/>
        <v>20.246958497546615</v>
      </c>
      <c r="M462" s="299">
        <v>454</v>
      </c>
      <c r="N462" s="304">
        <f t="shared" si="127"/>
        <v>3211.0842280114498</v>
      </c>
      <c r="O462" s="303">
        <v>309.77364242836023</v>
      </c>
      <c r="P462" s="302">
        <v>0.42921272173628744</v>
      </c>
      <c r="Q462" s="301">
        <v>108.05070350893244</v>
      </c>
      <c r="R462" s="301">
        <v>62.246897627214793</v>
      </c>
      <c r="S462" s="300">
        <v>3.5761385463130639</v>
      </c>
      <c r="T462" s="891">
        <f t="shared" si="128"/>
        <v>64</v>
      </c>
      <c r="U462" s="1220">
        <v>0.4961322546005249</v>
      </c>
      <c r="W462" s="299">
        <v>454</v>
      </c>
      <c r="X462" s="298">
        <f>IF('Donor Sample'!N479="",,IF('Donor Sample'!N479="F",1,0))</f>
        <v>0</v>
      </c>
      <c r="Y462" s="298" t="str">
        <f>IF('Donor Sample'!O479="","",'Donor Sample'!O479)</f>
        <v/>
      </c>
      <c r="Z462" s="298" t="str">
        <f>IF(AND('Donor Sample'!O479="",'Donor Sample'!P479="",'Donor Sample'!Q479=""),"",IF('Donor Sample'!P479="",ROUND(AA462/($C$32+($AI462-0.5)*$C$31),0),'Donor Sample'!P479))</f>
        <v/>
      </c>
      <c r="AA462" s="297" t="str">
        <f>IF('Donor Sample'!Q479="","",'Donor Sample'!Q479)</f>
        <v/>
      </c>
      <c r="AB462" s="296" t="str">
        <f t="shared" si="119"/>
        <v/>
      </c>
      <c r="AC462" s="295" t="str">
        <f>IF('Donor Sample'!R479="","",'Donor Sample'!R479)</f>
        <v/>
      </c>
      <c r="AD462" s="294" t="str">
        <f>IF('Donor Sample'!S479="","",'Donor Sample'!S479/100)</f>
        <v/>
      </c>
      <c r="AE462" s="407" t="e">
        <f t="shared" si="129"/>
        <v>#VALUE!</v>
      </c>
      <c r="AF462" s="293" t="str">
        <f t="shared" si="130"/>
        <v/>
      </c>
      <c r="AG462" s="292" t="str">
        <f>IF('Donor Sample'!T479="","",'Donor Sample'!T479)</f>
        <v/>
      </c>
      <c r="AH462" s="891">
        <f t="shared" si="131"/>
        <v>32</v>
      </c>
      <c r="AI462" s="1220">
        <v>0.80002677440643311</v>
      </c>
      <c r="AJ462" s="1216"/>
    </row>
    <row r="463" spans="5:36">
      <c r="E463" s="299">
        <v>455</v>
      </c>
      <c r="F463" s="308">
        <f t="shared" ca="1" si="120"/>
        <v>3007.0208184440999</v>
      </c>
      <c r="G463" s="307">
        <f t="shared" ca="1" si="121"/>
        <v>290.70125963692362</v>
      </c>
      <c r="H463" s="306">
        <f t="shared" ca="1" si="122"/>
        <v>0.40039735831550188</v>
      </c>
      <c r="I463" s="305">
        <f t="shared" ca="1" si="124"/>
        <v>99.763444266910099</v>
      </c>
      <c r="J463" s="305">
        <f t="shared" ca="1" si="125"/>
        <v>53.996215277809078</v>
      </c>
      <c r="K463" s="292">
        <f t="shared" ca="1" si="123"/>
        <v>2.1728972428647171</v>
      </c>
      <c r="L463" s="1290">
        <f t="shared" ca="1" si="126"/>
        <v>24.08892687504483</v>
      </c>
      <c r="M463" s="299">
        <v>455</v>
      </c>
      <c r="N463" s="304">
        <f t="shared" si="127"/>
        <v>3046.4540714958785</v>
      </c>
      <c r="O463" s="303">
        <v>222.28074491409095</v>
      </c>
      <c r="P463" s="302">
        <v>0.42598347887440563</v>
      </c>
      <c r="Q463" s="301">
        <v>112.21654659549634</v>
      </c>
      <c r="R463" s="301">
        <v>51.140190903807941</v>
      </c>
      <c r="S463" s="300">
        <v>1.4898513395549808</v>
      </c>
      <c r="T463" s="891">
        <f t="shared" si="128"/>
        <v>4</v>
      </c>
      <c r="U463" s="1220">
        <v>0.37572008371353149</v>
      </c>
      <c r="W463" s="299">
        <v>455</v>
      </c>
      <c r="X463" s="298">
        <f>IF('Donor Sample'!N480="",,IF('Donor Sample'!N480="F",1,0))</f>
        <v>0</v>
      </c>
      <c r="Y463" s="298" t="str">
        <f>IF('Donor Sample'!O480="","",'Donor Sample'!O480)</f>
        <v/>
      </c>
      <c r="Z463" s="298" t="str">
        <f>IF(AND('Donor Sample'!O480="",'Donor Sample'!P480="",'Donor Sample'!Q480=""),"",IF('Donor Sample'!P480="",ROUND(AA463/($C$32+($AI463-0.5)*$C$31),0),'Donor Sample'!P480))</f>
        <v/>
      </c>
      <c r="AA463" s="297" t="str">
        <f>IF('Donor Sample'!Q480="","",'Donor Sample'!Q480)</f>
        <v/>
      </c>
      <c r="AB463" s="296" t="str">
        <f t="shared" si="119"/>
        <v/>
      </c>
      <c r="AC463" s="295" t="str">
        <f>IF('Donor Sample'!R480="","",'Donor Sample'!R480)</f>
        <v/>
      </c>
      <c r="AD463" s="294" t="str">
        <f>IF('Donor Sample'!S480="","",'Donor Sample'!S480/100)</f>
        <v/>
      </c>
      <c r="AE463" s="293" t="e">
        <f t="shared" si="129"/>
        <v>#VALUE!</v>
      </c>
      <c r="AF463" s="293" t="str">
        <f t="shared" si="130"/>
        <v/>
      </c>
      <c r="AG463" s="292" t="str">
        <f>IF('Donor Sample'!T480="","",'Donor Sample'!T480)</f>
        <v/>
      </c>
      <c r="AH463" s="891">
        <f t="shared" si="131"/>
        <v>64</v>
      </c>
      <c r="AI463" s="1220">
        <v>0.56608730554580688</v>
      </c>
      <c r="AJ463" s="1216"/>
    </row>
    <row r="464" spans="5:36">
      <c r="E464" s="299">
        <v>456</v>
      </c>
      <c r="F464" s="308">
        <f t="shared" ca="1" si="120"/>
        <v>4057.4362201197991</v>
      </c>
      <c r="G464" s="307">
        <f t="shared" ca="1" si="121"/>
        <v>272.2315860629671</v>
      </c>
      <c r="H464" s="306">
        <f t="shared" ca="1" si="122"/>
        <v>0.3534720108947299</v>
      </c>
      <c r="I464" s="305">
        <f t="shared" ca="1" si="124"/>
        <v>161.97817437668024</v>
      </c>
      <c r="J464" s="305">
        <f t="shared" ca="1" si="125"/>
        <v>56.573161806903371</v>
      </c>
      <c r="K464" s="292">
        <f t="shared" ca="1" si="123"/>
        <v>4.1518717289622051</v>
      </c>
      <c r="L464" s="1290">
        <f t="shared" ca="1" si="126"/>
        <v>35.629379229801515</v>
      </c>
      <c r="M464" s="299">
        <v>456</v>
      </c>
      <c r="N464" s="304">
        <f t="shared" si="127"/>
        <v>3126.1666507724053</v>
      </c>
      <c r="O464" s="303">
        <v>249.91779469100953</v>
      </c>
      <c r="P464" s="302">
        <v>0.36431182337160345</v>
      </c>
      <c r="Q464" s="301">
        <v>119.47821370307432</v>
      </c>
      <c r="R464" s="301">
        <v>50.576271944747319</v>
      </c>
      <c r="S464" s="300">
        <v>1.6432442232824676</v>
      </c>
      <c r="T464" s="891">
        <f t="shared" si="128"/>
        <v>64</v>
      </c>
      <c r="U464" s="1220">
        <v>0.59797954559326172</v>
      </c>
      <c r="W464" s="299">
        <v>456</v>
      </c>
      <c r="X464" s="298">
        <f>IF('Donor Sample'!N481="",,IF('Donor Sample'!N481="F",1,0))</f>
        <v>0</v>
      </c>
      <c r="Y464" s="298" t="str">
        <f>IF('Donor Sample'!O481="","",'Donor Sample'!O481)</f>
        <v/>
      </c>
      <c r="Z464" s="298" t="str">
        <f>IF(AND('Donor Sample'!O481="",'Donor Sample'!P481="",'Donor Sample'!Q481=""),"",IF('Donor Sample'!P481="",ROUND(AA464/($C$32+($AI464-0.5)*$C$31),0),'Donor Sample'!P481))</f>
        <v/>
      </c>
      <c r="AA464" s="297" t="str">
        <f>IF('Donor Sample'!Q481="","",'Donor Sample'!Q481)</f>
        <v/>
      </c>
      <c r="AB464" s="296" t="str">
        <f t="shared" si="119"/>
        <v/>
      </c>
      <c r="AC464" s="295" t="str">
        <f>IF('Donor Sample'!R481="","",'Donor Sample'!R481)</f>
        <v/>
      </c>
      <c r="AD464" s="294" t="str">
        <f>IF('Donor Sample'!S481="","",'Donor Sample'!S481/100)</f>
        <v/>
      </c>
      <c r="AE464" s="293" t="e">
        <f t="shared" si="129"/>
        <v>#VALUE!</v>
      </c>
      <c r="AF464" s="293" t="str">
        <f t="shared" si="130"/>
        <v/>
      </c>
      <c r="AG464" s="292" t="str">
        <f>IF('Donor Sample'!T481="","",'Donor Sample'!T481)</f>
        <v/>
      </c>
      <c r="AH464" s="891">
        <f t="shared" si="131"/>
        <v>2</v>
      </c>
      <c r="AI464" s="1220">
        <v>0.22072553634643555</v>
      </c>
      <c r="AJ464" s="1216"/>
    </row>
    <row r="465" spans="5:36">
      <c r="E465" s="299">
        <v>457</v>
      </c>
      <c r="F465" s="308">
        <f t="shared" ca="1" si="120"/>
        <v>3370.5210390638831</v>
      </c>
      <c r="G465" s="307">
        <f t="shared" ca="1" si="121"/>
        <v>205.26715098743196</v>
      </c>
      <c r="H465" s="306">
        <f t="shared" ca="1" si="122"/>
        <v>0.37917759576022692</v>
      </c>
      <c r="I465" s="305">
        <f t="shared" ca="1" si="124"/>
        <v>122.42335699560391</v>
      </c>
      <c r="J465" s="305">
        <f t="shared" ca="1" si="125"/>
        <v>54.610389943585197</v>
      </c>
      <c r="K465" s="292">
        <f t="shared" ca="1" si="123"/>
        <v>1.3463713252020222</v>
      </c>
      <c r="L465" s="1290">
        <f t="shared" ca="1" si="126"/>
        <v>28.899237764783578</v>
      </c>
      <c r="M465" s="299">
        <v>457</v>
      </c>
      <c r="N465" s="304">
        <f t="shared" si="127"/>
        <v>3208.6208689446771</v>
      </c>
      <c r="O465" s="303">
        <v>229.78025639085982</v>
      </c>
      <c r="P465" s="302">
        <v>0.40668432941810889</v>
      </c>
      <c r="Q465" s="301">
        <v>102.03003069949553</v>
      </c>
      <c r="R465" s="301">
        <v>57.027327051264876</v>
      </c>
      <c r="S465" s="300">
        <v>2.5205536594117373</v>
      </c>
      <c r="T465" s="891">
        <f t="shared" si="128"/>
        <v>2</v>
      </c>
      <c r="U465" s="1220">
        <v>3.5632312297821045E-2</v>
      </c>
      <c r="W465" s="299">
        <v>457</v>
      </c>
      <c r="X465" s="298">
        <f>IF('Donor Sample'!N482="",,IF('Donor Sample'!N482="F",1,0))</f>
        <v>0</v>
      </c>
      <c r="Y465" s="298" t="str">
        <f>IF('Donor Sample'!O482="","",'Donor Sample'!O482)</f>
        <v/>
      </c>
      <c r="Z465" s="298" t="str">
        <f>IF(AND('Donor Sample'!O482="",'Donor Sample'!P482="",'Donor Sample'!Q482=""),"",IF('Donor Sample'!P482="",ROUND(AA465/($C$32+($AI465-0.5)*$C$31),0),'Donor Sample'!P482))</f>
        <v/>
      </c>
      <c r="AA465" s="297" t="str">
        <f>IF('Donor Sample'!Q482="","",'Donor Sample'!Q482)</f>
        <v/>
      </c>
      <c r="AB465" s="296" t="str">
        <f t="shared" si="119"/>
        <v/>
      </c>
      <c r="AC465" s="295" t="str">
        <f>IF('Donor Sample'!R482="","",'Donor Sample'!R482)</f>
        <v/>
      </c>
      <c r="AD465" s="294" t="str">
        <f>IF('Donor Sample'!S482="","",'Donor Sample'!S482/100)</f>
        <v/>
      </c>
      <c r="AE465" s="407" t="e">
        <f t="shared" si="129"/>
        <v>#VALUE!</v>
      </c>
      <c r="AF465" s="293" t="str">
        <f t="shared" si="130"/>
        <v/>
      </c>
      <c r="AG465" s="292" t="str">
        <f>IF('Donor Sample'!T482="","",'Donor Sample'!T482)</f>
        <v/>
      </c>
      <c r="AH465" s="891">
        <f t="shared" si="131"/>
        <v>2</v>
      </c>
      <c r="AI465" s="1220">
        <v>8.5851371288299561E-2</v>
      </c>
      <c r="AJ465" s="1216"/>
    </row>
    <row r="466" spans="5:36">
      <c r="E466" s="299">
        <v>458</v>
      </c>
      <c r="F466" s="308">
        <f t="shared" ca="1" si="120"/>
        <v>3327.0207901712092</v>
      </c>
      <c r="G466" s="307">
        <f t="shared" ca="1" si="121"/>
        <v>169.61622242888399</v>
      </c>
      <c r="H466" s="306">
        <f t="shared" ca="1" si="122"/>
        <v>0.3916620601127091</v>
      </c>
      <c r="I466" s="305">
        <f t="shared" ca="1" si="124"/>
        <v>117.67197071215128</v>
      </c>
      <c r="J466" s="305">
        <f t="shared" ca="1" si="125"/>
        <v>61.82559417607095</v>
      </c>
      <c r="K466" s="292">
        <f t="shared" ca="1" si="123"/>
        <v>5.240901142901139</v>
      </c>
      <c r="L466" s="1290">
        <f t="shared" ca="1" si="126"/>
        <v>21.672503826808278</v>
      </c>
      <c r="M466" s="299">
        <v>458</v>
      </c>
      <c r="N466" s="304">
        <f t="shared" si="127"/>
        <v>3130.3899300055673</v>
      </c>
      <c r="O466" s="303">
        <v>251.5017461041183</v>
      </c>
      <c r="P466" s="302">
        <v>0.42968252170910759</v>
      </c>
      <c r="Q466" s="301">
        <v>111.9750506493143</v>
      </c>
      <c r="R466" s="301">
        <v>60.117263614188481</v>
      </c>
      <c r="S466" s="300">
        <v>1.4381951505324679</v>
      </c>
      <c r="T466" s="891">
        <f t="shared" si="128"/>
        <v>2</v>
      </c>
      <c r="U466" s="1220">
        <v>0.34688055515289307</v>
      </c>
      <c r="W466" s="299">
        <v>458</v>
      </c>
      <c r="X466" s="298">
        <f>IF('Donor Sample'!N483="",,IF('Donor Sample'!N483="F",1,0))</f>
        <v>0</v>
      </c>
      <c r="Y466" s="298" t="str">
        <f>IF('Donor Sample'!O483="","",'Donor Sample'!O483)</f>
        <v/>
      </c>
      <c r="Z466" s="298" t="str">
        <f>IF(AND('Donor Sample'!O483="",'Donor Sample'!P483="",'Donor Sample'!Q483=""),"",IF('Donor Sample'!P483="",ROUND(AA466/($C$32+($AI466-0.5)*$C$31),0),'Donor Sample'!P483))</f>
        <v/>
      </c>
      <c r="AA466" s="297" t="str">
        <f>IF('Donor Sample'!Q483="","",'Donor Sample'!Q483)</f>
        <v/>
      </c>
      <c r="AB466" s="296" t="str">
        <f t="shared" si="119"/>
        <v/>
      </c>
      <c r="AC466" s="295" t="str">
        <f>IF('Donor Sample'!R483="","",'Donor Sample'!R483)</f>
        <v/>
      </c>
      <c r="AD466" s="294" t="str">
        <f>IF('Donor Sample'!S483="","",'Donor Sample'!S483/100)</f>
        <v/>
      </c>
      <c r="AE466" s="293" t="e">
        <f t="shared" si="129"/>
        <v>#VALUE!</v>
      </c>
      <c r="AF466" s="293" t="str">
        <f t="shared" si="130"/>
        <v/>
      </c>
      <c r="AG466" s="292" t="str">
        <f>IF('Donor Sample'!T483="","",'Donor Sample'!T483)</f>
        <v/>
      </c>
      <c r="AH466" s="891">
        <f t="shared" si="131"/>
        <v>128</v>
      </c>
      <c r="AI466" s="1220">
        <v>0.94085228443145752</v>
      </c>
      <c r="AJ466" s="1216"/>
    </row>
    <row r="467" spans="5:36">
      <c r="E467" s="299">
        <v>459</v>
      </c>
      <c r="F467" s="308">
        <f t="shared" ca="1" si="120"/>
        <v>2587.9851906503641</v>
      </c>
      <c r="G467" s="307">
        <f t="shared" ca="1" si="121"/>
        <v>183.66188741299416</v>
      </c>
      <c r="H467" s="306">
        <f t="shared" ca="1" si="122"/>
        <v>0.45043371797953968</v>
      </c>
      <c r="I467" s="305">
        <f t="shared" ca="1" si="124"/>
        <v>95.184912689334567</v>
      </c>
      <c r="J467" s="305">
        <f t="shared" ca="1" si="125"/>
        <v>46.23725526546923</v>
      </c>
      <c r="K467" s="292">
        <f t="shared" ca="1" si="123"/>
        <v>1.4051323476748296</v>
      </c>
      <c r="L467" s="1290">
        <f t="shared" ca="1" si="126"/>
        <v>31.34416348216125</v>
      </c>
      <c r="M467" s="299">
        <v>459</v>
      </c>
      <c r="N467" s="304">
        <f t="shared" si="127"/>
        <v>3061.1525815110244</v>
      </c>
      <c r="O467" s="303">
        <v>243.22724213113918</v>
      </c>
      <c r="P467" s="302">
        <v>0.44469818192059341</v>
      </c>
      <c r="Q467" s="301">
        <v>99.245112821879545</v>
      </c>
      <c r="R467" s="301">
        <v>55.144918301699356</v>
      </c>
      <c r="S467" s="300">
        <v>2.5364010031258672</v>
      </c>
      <c r="T467" s="891">
        <f t="shared" si="128"/>
        <v>64</v>
      </c>
      <c r="U467" s="1220">
        <v>0.728016197681427</v>
      </c>
      <c r="W467" s="299">
        <v>459</v>
      </c>
      <c r="X467" s="298">
        <f>IF('Donor Sample'!N484="",,IF('Donor Sample'!N484="F",1,0))</f>
        <v>0</v>
      </c>
      <c r="Y467" s="298" t="str">
        <f>IF('Donor Sample'!O484="","",'Donor Sample'!O484)</f>
        <v/>
      </c>
      <c r="Z467" s="298" t="str">
        <f>IF(AND('Donor Sample'!O484="",'Donor Sample'!P484="",'Donor Sample'!Q484=""),"",IF('Donor Sample'!P484="",ROUND(AA467/($C$32+($AI467-0.5)*$C$31),0),'Donor Sample'!P484))</f>
        <v/>
      </c>
      <c r="AA467" s="297" t="str">
        <f>IF('Donor Sample'!Q484="","",'Donor Sample'!Q484)</f>
        <v/>
      </c>
      <c r="AB467" s="296" t="str">
        <f t="shared" si="119"/>
        <v/>
      </c>
      <c r="AC467" s="295" t="str">
        <f>IF('Donor Sample'!R484="","",'Donor Sample'!R484)</f>
        <v/>
      </c>
      <c r="AD467" s="294" t="str">
        <f>IF('Donor Sample'!S484="","",'Donor Sample'!S484/100)</f>
        <v/>
      </c>
      <c r="AE467" s="293" t="e">
        <f t="shared" si="129"/>
        <v>#VALUE!</v>
      </c>
      <c r="AF467" s="293" t="str">
        <f t="shared" si="130"/>
        <v/>
      </c>
      <c r="AG467" s="292" t="str">
        <f>IF('Donor Sample'!T484="","",'Donor Sample'!T484)</f>
        <v/>
      </c>
      <c r="AH467" s="891">
        <f t="shared" si="131"/>
        <v>2</v>
      </c>
      <c r="AI467" s="1220">
        <v>0.21221429109573364</v>
      </c>
      <c r="AJ467" s="1216"/>
    </row>
    <row r="468" spans="5:36">
      <c r="E468" s="299">
        <v>460</v>
      </c>
      <c r="F468" s="308">
        <f t="shared" ca="1" si="120"/>
        <v>3842.2905956215241</v>
      </c>
      <c r="G468" s="307">
        <f t="shared" ca="1" si="121"/>
        <v>242.95899234323755</v>
      </c>
      <c r="H468" s="306">
        <f t="shared" ca="1" si="122"/>
        <v>0.38532920080512839</v>
      </c>
      <c r="I468" s="305">
        <f t="shared" ca="1" si="124"/>
        <v>130.17832804367234</v>
      </c>
      <c r="J468" s="305">
        <f t="shared" ca="1" si="125"/>
        <v>60.596170495313771</v>
      </c>
      <c r="K468" s="292">
        <f t="shared" ca="1" si="123"/>
        <v>2.5603463399511197</v>
      </c>
      <c r="L468" s="1290">
        <f t="shared" ca="1" si="126"/>
        <v>24.958644245452586</v>
      </c>
      <c r="M468" s="299">
        <v>460</v>
      </c>
      <c r="N468" s="304">
        <f t="shared" si="127"/>
        <v>3033.2212556243521</v>
      </c>
      <c r="O468" s="303">
        <v>247.61550297280436</v>
      </c>
      <c r="P468" s="302">
        <v>0.37610631319993293</v>
      </c>
      <c r="Q468" s="301">
        <v>101.58103292005855</v>
      </c>
      <c r="R468" s="301">
        <v>53.989818146608286</v>
      </c>
      <c r="S468" s="300">
        <v>4.6742539994010066</v>
      </c>
      <c r="T468" s="891">
        <f t="shared" si="128"/>
        <v>2</v>
      </c>
      <c r="U468" s="1220">
        <v>7.7468156814575195E-2</v>
      </c>
      <c r="W468" s="299">
        <v>460</v>
      </c>
      <c r="X468" s="298">
        <f>IF('Donor Sample'!N485="",,IF('Donor Sample'!N485="F",1,0))</f>
        <v>0</v>
      </c>
      <c r="Y468" s="298" t="str">
        <f>IF('Donor Sample'!O485="","",'Donor Sample'!O485)</f>
        <v/>
      </c>
      <c r="Z468" s="298" t="str">
        <f>IF(AND('Donor Sample'!O485="",'Donor Sample'!P485="",'Donor Sample'!Q485=""),"",IF('Donor Sample'!P485="",ROUND(AA468/($C$32+($AI468-0.5)*$C$31),0),'Donor Sample'!P485))</f>
        <v/>
      </c>
      <c r="AA468" s="297" t="str">
        <f>IF('Donor Sample'!Q485="","",'Donor Sample'!Q485)</f>
        <v/>
      </c>
      <c r="AB468" s="296" t="str">
        <f t="shared" si="119"/>
        <v/>
      </c>
      <c r="AC468" s="295" t="str">
        <f>IF('Donor Sample'!R485="","",'Donor Sample'!R485)</f>
        <v/>
      </c>
      <c r="AD468" s="294" t="str">
        <f>IF('Donor Sample'!S485="","",'Donor Sample'!S485/100)</f>
        <v/>
      </c>
      <c r="AE468" s="407" t="e">
        <f t="shared" si="129"/>
        <v>#VALUE!</v>
      </c>
      <c r="AF468" s="293" t="str">
        <f t="shared" si="130"/>
        <v/>
      </c>
      <c r="AG468" s="292" t="str">
        <f>IF('Donor Sample'!T485="","",'Donor Sample'!T485)</f>
        <v/>
      </c>
      <c r="AH468" s="891">
        <f t="shared" si="131"/>
        <v>2</v>
      </c>
      <c r="AI468" s="1220">
        <v>0.32653403282165527</v>
      </c>
      <c r="AJ468" s="1216"/>
    </row>
    <row r="469" spans="5:36">
      <c r="E469" s="299">
        <v>461</v>
      </c>
      <c r="F469" s="308">
        <f t="shared" ca="1" si="120"/>
        <v>3241.4187263233512</v>
      </c>
      <c r="G469" s="307">
        <f t="shared" ca="1" si="121"/>
        <v>275.72239506000687</v>
      </c>
      <c r="H469" s="306">
        <f t="shared" ca="1" si="122"/>
        <v>0.45687096052820619</v>
      </c>
      <c r="I469" s="305">
        <f t="shared" ca="1" si="124"/>
        <v>109.31235654678257</v>
      </c>
      <c r="J469" s="305">
        <f t="shared" ca="1" si="125"/>
        <v>62.414664733198769</v>
      </c>
      <c r="K469" s="292">
        <f t="shared" ca="1" si="123"/>
        <v>1.7302173638405127</v>
      </c>
      <c r="L469" s="1290">
        <f t="shared" ca="1" si="126"/>
        <v>19.754617817967564</v>
      </c>
      <c r="M469" s="299">
        <v>461</v>
      </c>
      <c r="N469" s="304">
        <f t="shared" si="127"/>
        <v>2544.3993153464453</v>
      </c>
      <c r="O469" s="303">
        <v>225.72948998533832</v>
      </c>
      <c r="P469" s="302">
        <v>0.44391502993325266</v>
      </c>
      <c r="Q469" s="301">
        <v>89.948780984148627</v>
      </c>
      <c r="R469" s="301">
        <v>55.770412539647992</v>
      </c>
      <c r="S469" s="300">
        <v>1.9134345559710324</v>
      </c>
      <c r="T469" s="891">
        <f t="shared" si="128"/>
        <v>2</v>
      </c>
      <c r="U469" s="1220">
        <v>0.23803561925888062</v>
      </c>
      <c r="W469" s="299">
        <v>461</v>
      </c>
      <c r="X469" s="298">
        <f>IF('Donor Sample'!N486="",,IF('Donor Sample'!N486="F",1,0))</f>
        <v>0</v>
      </c>
      <c r="Y469" s="298" t="str">
        <f>IF('Donor Sample'!O486="","",'Donor Sample'!O486)</f>
        <v/>
      </c>
      <c r="Z469" s="298" t="str">
        <f>IF(AND('Donor Sample'!O486="",'Donor Sample'!P486="",'Donor Sample'!Q486=""),"",IF('Donor Sample'!P486="",ROUND(AA469/($C$32+($AI469-0.5)*$C$31),0),'Donor Sample'!P486))</f>
        <v/>
      </c>
      <c r="AA469" s="297" t="str">
        <f>IF('Donor Sample'!Q486="","",'Donor Sample'!Q486)</f>
        <v/>
      </c>
      <c r="AB469" s="296" t="str">
        <f t="shared" si="119"/>
        <v/>
      </c>
      <c r="AC469" s="295" t="str">
        <f>IF('Donor Sample'!R486="","",'Donor Sample'!R486)</f>
        <v/>
      </c>
      <c r="AD469" s="294" t="str">
        <f>IF('Donor Sample'!S486="","",'Donor Sample'!S486/100)</f>
        <v/>
      </c>
      <c r="AE469" s="293" t="e">
        <f t="shared" si="129"/>
        <v>#VALUE!</v>
      </c>
      <c r="AF469" s="293" t="str">
        <f t="shared" si="130"/>
        <v/>
      </c>
      <c r="AG469" s="292" t="str">
        <f>IF('Donor Sample'!T486="","",'Donor Sample'!T486)</f>
        <v/>
      </c>
      <c r="AH469" s="891">
        <f t="shared" si="131"/>
        <v>256</v>
      </c>
      <c r="AI469" s="1220">
        <v>0.88585752248764038</v>
      </c>
      <c r="AJ469" s="1216"/>
    </row>
    <row r="470" spans="5:36">
      <c r="E470" s="299">
        <v>462</v>
      </c>
      <c r="F470" s="308">
        <f t="shared" ca="1" si="120"/>
        <v>3160.8822949072642</v>
      </c>
      <c r="G470" s="307">
        <f t="shared" ca="1" si="121"/>
        <v>276.28391405080311</v>
      </c>
      <c r="H470" s="306">
        <f t="shared" ca="1" si="122"/>
        <v>0.38263453268553344</v>
      </c>
      <c r="I470" s="305">
        <f t="shared" ca="1" si="124"/>
        <v>124.87679390804476</v>
      </c>
      <c r="J470" s="305">
        <f t="shared" ca="1" si="125"/>
        <v>49.601649668655106</v>
      </c>
      <c r="K470" s="292">
        <f t="shared" ca="1" si="123"/>
        <v>1.5100695640249984</v>
      </c>
      <c r="L470" s="1290">
        <f t="shared" ca="1" si="126"/>
        <v>35.732397612221526</v>
      </c>
      <c r="M470" s="299">
        <v>462</v>
      </c>
      <c r="N470" s="304">
        <f t="shared" si="127"/>
        <v>2701.147217971898</v>
      </c>
      <c r="O470" s="303">
        <v>207.36330241846645</v>
      </c>
      <c r="P470" s="302">
        <v>0.47819529648227727</v>
      </c>
      <c r="Q470" s="301">
        <v>86.381711651877211</v>
      </c>
      <c r="R470" s="301">
        <v>51.807341339552352</v>
      </c>
      <c r="S470" s="300">
        <v>18.450658623323349</v>
      </c>
      <c r="T470" s="891">
        <f t="shared" si="128"/>
        <v>2</v>
      </c>
      <c r="U470" s="1220">
        <v>6.7063212394714355E-2</v>
      </c>
      <c r="W470" s="299">
        <v>462</v>
      </c>
      <c r="X470" s="298">
        <f>IF('Donor Sample'!N487="",,IF('Donor Sample'!N487="F",1,0))</f>
        <v>0</v>
      </c>
      <c r="Y470" s="298" t="str">
        <f>IF('Donor Sample'!O487="","",'Donor Sample'!O487)</f>
        <v/>
      </c>
      <c r="Z470" s="298" t="str">
        <f>IF(AND('Donor Sample'!O487="",'Donor Sample'!P487="",'Donor Sample'!Q487=""),"",IF('Donor Sample'!P487="",ROUND(AA470/($C$32+($AI470-0.5)*$C$31),0),'Donor Sample'!P487))</f>
        <v/>
      </c>
      <c r="AA470" s="297" t="str">
        <f>IF('Donor Sample'!Q487="","",'Donor Sample'!Q487)</f>
        <v/>
      </c>
      <c r="AB470" s="296" t="str">
        <f t="shared" si="119"/>
        <v/>
      </c>
      <c r="AC470" s="295" t="str">
        <f>IF('Donor Sample'!R487="","",'Donor Sample'!R487)</f>
        <v/>
      </c>
      <c r="AD470" s="294" t="str">
        <f>IF('Donor Sample'!S487="","",'Donor Sample'!S487/100)</f>
        <v/>
      </c>
      <c r="AE470" s="293" t="e">
        <f t="shared" si="129"/>
        <v>#VALUE!</v>
      </c>
      <c r="AF470" s="293" t="str">
        <f t="shared" si="130"/>
        <v/>
      </c>
      <c r="AG470" s="292" t="str">
        <f>IF('Donor Sample'!T487="","",'Donor Sample'!T487)</f>
        <v/>
      </c>
      <c r="AH470" s="891">
        <f t="shared" si="131"/>
        <v>64</v>
      </c>
      <c r="AI470" s="1220">
        <v>0.43853890895843506</v>
      </c>
      <c r="AJ470" s="1216"/>
    </row>
    <row r="471" spans="5:36">
      <c r="E471" s="299">
        <v>463</v>
      </c>
      <c r="F471" s="308">
        <f t="shared" ca="1" si="120"/>
        <v>3920.6053421976835</v>
      </c>
      <c r="G471" s="307">
        <f t="shared" ca="1" si="121"/>
        <v>188.00432003708977</v>
      </c>
      <c r="H471" s="306">
        <f t="shared" ca="1" si="122"/>
        <v>0.41544953045868682</v>
      </c>
      <c r="I471" s="305">
        <f t="shared" ca="1" si="124"/>
        <v>159.52120647626984</v>
      </c>
      <c r="J471" s="305">
        <f t="shared" ca="1" si="125"/>
        <v>54.767141850424487</v>
      </c>
      <c r="K471" s="292">
        <f t="shared" ca="1" si="123"/>
        <v>5.8752780733247594</v>
      </c>
      <c r="L471" s="1290">
        <f t="shared" ca="1" si="126"/>
        <v>37.441300995081818</v>
      </c>
      <c r="M471" s="299">
        <v>463</v>
      </c>
      <c r="N471" s="304">
        <f t="shared" si="127"/>
        <v>3583.0586076403988</v>
      </c>
      <c r="O471" s="303">
        <v>273.5348507585382</v>
      </c>
      <c r="P471" s="302">
        <v>0.44144014352866912</v>
      </c>
      <c r="Q471" s="301">
        <v>115.48562683330019</v>
      </c>
      <c r="R471" s="301">
        <v>59.913264808569942</v>
      </c>
      <c r="S471" s="300">
        <v>1.4031728200055857</v>
      </c>
      <c r="T471" s="891">
        <f t="shared" si="128"/>
        <v>32</v>
      </c>
      <c r="U471" s="1220">
        <v>0.83529049158096313</v>
      </c>
      <c r="W471" s="299">
        <v>463</v>
      </c>
      <c r="X471" s="298">
        <f>IF('Donor Sample'!N488="",,IF('Donor Sample'!N488="F",1,0))</f>
        <v>0</v>
      </c>
      <c r="Y471" s="298" t="str">
        <f>IF('Donor Sample'!O488="","",'Donor Sample'!O488)</f>
        <v/>
      </c>
      <c r="Z471" s="298" t="str">
        <f>IF(AND('Donor Sample'!O488="",'Donor Sample'!P488="",'Donor Sample'!Q488=""),"",IF('Donor Sample'!P488="",ROUND(AA471/($C$32+($AI471-0.5)*$C$31),0),'Donor Sample'!P488))</f>
        <v/>
      </c>
      <c r="AA471" s="297" t="str">
        <f>IF('Donor Sample'!Q488="","",'Donor Sample'!Q488)</f>
        <v/>
      </c>
      <c r="AB471" s="296" t="str">
        <f t="shared" si="119"/>
        <v/>
      </c>
      <c r="AC471" s="295" t="str">
        <f>IF('Donor Sample'!R488="","",'Donor Sample'!R488)</f>
        <v/>
      </c>
      <c r="AD471" s="294" t="str">
        <f>IF('Donor Sample'!S488="","",'Donor Sample'!S488/100)</f>
        <v/>
      </c>
      <c r="AE471" s="407" t="e">
        <f t="shared" si="129"/>
        <v>#VALUE!</v>
      </c>
      <c r="AF471" s="293" t="str">
        <f t="shared" si="130"/>
        <v/>
      </c>
      <c r="AG471" s="292" t="str">
        <f>IF('Donor Sample'!T488="","",'Donor Sample'!T488)</f>
        <v/>
      </c>
      <c r="AH471" s="891">
        <f t="shared" si="131"/>
        <v>2</v>
      </c>
      <c r="AI471" s="1220">
        <v>0.27603918313980103</v>
      </c>
      <c r="AJ471" s="1216"/>
    </row>
    <row r="472" spans="5:36">
      <c r="E472" s="299">
        <v>464</v>
      </c>
      <c r="F472" s="308">
        <f t="shared" ca="1" si="120"/>
        <v>2955.033977596876</v>
      </c>
      <c r="G472" s="307">
        <f t="shared" ca="1" si="121"/>
        <v>175.81067036617651</v>
      </c>
      <c r="H472" s="306">
        <f t="shared" ca="1" si="122"/>
        <v>0.40127999222103911</v>
      </c>
      <c r="I472" s="305">
        <f t="shared" ca="1" si="124"/>
        <v>118.93548398681718</v>
      </c>
      <c r="J472" s="305">
        <f t="shared" ca="1" si="125"/>
        <v>46.757597412027621</v>
      </c>
      <c r="K472" s="292">
        <f t="shared" ca="1" si="123"/>
        <v>4.2204656480986085</v>
      </c>
      <c r="L472" s="1290">
        <f t="shared" ca="1" si="126"/>
        <v>38.298320453820089</v>
      </c>
      <c r="M472" s="299">
        <v>464</v>
      </c>
      <c r="N472" s="304">
        <f t="shared" si="127"/>
        <v>2845.606858922727</v>
      </c>
      <c r="O472" s="303">
        <v>309.26894449850681</v>
      </c>
      <c r="P472" s="302">
        <v>0.4763710746406627</v>
      </c>
      <c r="Q472" s="301">
        <v>118.65502788711524</v>
      </c>
      <c r="R472" s="301">
        <v>43.917286002617821</v>
      </c>
      <c r="S472" s="300">
        <v>1.3226319390331487</v>
      </c>
      <c r="T472" s="891">
        <f t="shared" si="128"/>
        <v>2</v>
      </c>
      <c r="U472" s="1220">
        <v>0.2021784782409668</v>
      </c>
      <c r="W472" s="299">
        <v>464</v>
      </c>
      <c r="X472" s="298">
        <f>IF('Donor Sample'!N489="",,IF('Donor Sample'!N489="F",1,0))</f>
        <v>0</v>
      </c>
      <c r="Y472" s="298" t="str">
        <f>IF('Donor Sample'!O489="","",'Donor Sample'!O489)</f>
        <v/>
      </c>
      <c r="Z472" s="298" t="str">
        <f>IF(AND('Donor Sample'!O489="",'Donor Sample'!P489="",'Donor Sample'!Q489=""),"",IF('Donor Sample'!P489="",ROUND(AA472/($C$32+($AI472-0.5)*$C$31),0),'Donor Sample'!P489))</f>
        <v/>
      </c>
      <c r="AA472" s="297" t="str">
        <f>IF('Donor Sample'!Q489="","",'Donor Sample'!Q489)</f>
        <v/>
      </c>
      <c r="AB472" s="296" t="str">
        <f t="shared" si="119"/>
        <v/>
      </c>
      <c r="AC472" s="295" t="str">
        <f>IF('Donor Sample'!R489="","",'Donor Sample'!R489)</f>
        <v/>
      </c>
      <c r="AD472" s="294" t="str">
        <f>IF('Donor Sample'!S489="","",'Donor Sample'!S489/100)</f>
        <v/>
      </c>
      <c r="AE472" s="293" t="e">
        <f t="shared" si="129"/>
        <v>#VALUE!</v>
      </c>
      <c r="AF472" s="293" t="str">
        <f t="shared" si="130"/>
        <v/>
      </c>
      <c r="AG472" s="292" t="str">
        <f>IF('Donor Sample'!T489="","",'Donor Sample'!T489)</f>
        <v/>
      </c>
      <c r="AH472" s="891">
        <f t="shared" si="131"/>
        <v>64</v>
      </c>
      <c r="AI472" s="1220">
        <v>0.71440505981445313</v>
      </c>
      <c r="AJ472" s="1216"/>
    </row>
    <row r="473" spans="5:36">
      <c r="E473" s="299">
        <v>465</v>
      </c>
      <c r="F473" s="308">
        <f t="shared" ca="1" si="120"/>
        <v>2919.1365914906278</v>
      </c>
      <c r="G473" s="307">
        <f t="shared" ca="1" si="121"/>
        <v>199.0517930043234</v>
      </c>
      <c r="H473" s="306">
        <f t="shared" ca="1" si="122"/>
        <v>0.47205479308957715</v>
      </c>
      <c r="I473" s="305">
        <f t="shared" ca="1" si="124"/>
        <v>94.003434205890144</v>
      </c>
      <c r="J473" s="305">
        <f t="shared" ca="1" si="125"/>
        <v>53.924082512903666</v>
      </c>
      <c r="K473" s="292">
        <f t="shared" ca="1" si="123"/>
        <v>1.6310717934174352</v>
      </c>
      <c r="L473" s="1290">
        <f t="shared" ca="1" si="126"/>
        <v>22.7588781101372</v>
      </c>
      <c r="M473" s="299">
        <v>465</v>
      </c>
      <c r="N473" s="304">
        <f t="shared" si="127"/>
        <v>3109.3494617179681</v>
      </c>
      <c r="O473" s="303">
        <v>206.6372014069272</v>
      </c>
      <c r="P473" s="302">
        <v>0.42275142261267429</v>
      </c>
      <c r="Q473" s="301">
        <v>125.21149972263485</v>
      </c>
      <c r="R473" s="301">
        <v>48.296147157711786</v>
      </c>
      <c r="S473" s="300">
        <v>1.4060511121839427</v>
      </c>
      <c r="T473" s="891">
        <f t="shared" si="128"/>
        <v>32</v>
      </c>
      <c r="U473" s="1220">
        <v>0.77430504560470581</v>
      </c>
      <c r="W473" s="299">
        <v>465</v>
      </c>
      <c r="X473" s="298">
        <f>IF('Donor Sample'!N490="",,IF('Donor Sample'!N490="F",1,0))</f>
        <v>0</v>
      </c>
      <c r="Y473" s="298" t="str">
        <f>IF('Donor Sample'!O490="","",'Donor Sample'!O490)</f>
        <v/>
      </c>
      <c r="Z473" s="298" t="str">
        <f>IF(AND('Donor Sample'!O490="",'Donor Sample'!P490="",'Donor Sample'!Q490=""),"",IF('Donor Sample'!P490="",ROUND(AA473/($C$32+($AI473-0.5)*$C$31),0),'Donor Sample'!P490))</f>
        <v/>
      </c>
      <c r="AA473" s="297" t="str">
        <f>IF('Donor Sample'!Q490="","",'Donor Sample'!Q490)</f>
        <v/>
      </c>
      <c r="AB473" s="296" t="str">
        <f t="shared" si="119"/>
        <v/>
      </c>
      <c r="AC473" s="295" t="str">
        <f>IF('Donor Sample'!R490="","",'Donor Sample'!R490)</f>
        <v/>
      </c>
      <c r="AD473" s="294" t="str">
        <f>IF('Donor Sample'!S490="","",'Donor Sample'!S490/100)</f>
        <v/>
      </c>
      <c r="AE473" s="293" t="e">
        <f t="shared" si="129"/>
        <v>#VALUE!</v>
      </c>
      <c r="AF473" s="293" t="str">
        <f t="shared" si="130"/>
        <v/>
      </c>
      <c r="AG473" s="292" t="str">
        <f>IF('Donor Sample'!T490="","",'Donor Sample'!T490)</f>
        <v/>
      </c>
      <c r="AH473" s="891">
        <f t="shared" si="131"/>
        <v>2</v>
      </c>
      <c r="AI473" s="1220">
        <v>0.23420733213424683</v>
      </c>
      <c r="AJ473" s="1216"/>
    </row>
    <row r="474" spans="5:36">
      <c r="E474" s="299">
        <v>466</v>
      </c>
      <c r="F474" s="308">
        <f t="shared" ca="1" si="120"/>
        <v>3609.428058491626</v>
      </c>
      <c r="G474" s="307">
        <f t="shared" ca="1" si="121"/>
        <v>218.74501666134012</v>
      </c>
      <c r="H474" s="306">
        <f t="shared" ca="1" si="122"/>
        <v>0.39808234753578253</v>
      </c>
      <c r="I474" s="305">
        <f t="shared" ca="1" si="124"/>
        <v>118.61191852913186</v>
      </c>
      <c r="J474" s="305">
        <f t="shared" ca="1" si="125"/>
        <v>59.614062121852584</v>
      </c>
      <c r="K474" s="292">
        <f t="shared" ca="1" si="123"/>
        <v>1.3723718077314704</v>
      </c>
      <c r="L474" s="1290">
        <f t="shared" ca="1" si="126"/>
        <v>23.496520712607307</v>
      </c>
      <c r="M474" s="299">
        <v>466</v>
      </c>
      <c r="N474" s="304">
        <f t="shared" si="127"/>
        <v>3338.6153517426387</v>
      </c>
      <c r="O474" s="303">
        <v>239.44512679575081</v>
      </c>
      <c r="P474" s="302">
        <v>0.39412088953052454</v>
      </c>
      <c r="Q474" s="301">
        <v>106.97974412348779</v>
      </c>
      <c r="R474" s="301">
        <v>57.995017851314607</v>
      </c>
      <c r="S474" s="300">
        <v>1.4825678637985957</v>
      </c>
      <c r="T474" s="891">
        <f t="shared" si="128"/>
        <v>16</v>
      </c>
      <c r="U474" s="1220">
        <v>0.97705376148223877</v>
      </c>
      <c r="W474" s="299">
        <v>466</v>
      </c>
      <c r="X474" s="298">
        <f>IF('Donor Sample'!N491="",,IF('Donor Sample'!N491="F",1,0))</f>
        <v>0</v>
      </c>
      <c r="Y474" s="298" t="str">
        <f>IF('Donor Sample'!O491="","",'Donor Sample'!O491)</f>
        <v/>
      </c>
      <c r="Z474" s="298" t="str">
        <f>IF(AND('Donor Sample'!O491="",'Donor Sample'!P491="",'Donor Sample'!Q491=""),"",IF('Donor Sample'!P491="",ROUND(AA474/($C$32+($AI474-0.5)*$C$31),0),'Donor Sample'!P491))</f>
        <v/>
      </c>
      <c r="AA474" s="297" t="str">
        <f>IF('Donor Sample'!Q491="","",'Donor Sample'!Q491)</f>
        <v/>
      </c>
      <c r="AB474" s="296" t="str">
        <f t="shared" si="119"/>
        <v/>
      </c>
      <c r="AC474" s="295" t="str">
        <f>IF('Donor Sample'!R491="","",'Donor Sample'!R491)</f>
        <v/>
      </c>
      <c r="AD474" s="294" t="str">
        <f>IF('Donor Sample'!S491="","",'Donor Sample'!S491/100)</f>
        <v/>
      </c>
      <c r="AE474" s="407" t="e">
        <f t="shared" si="129"/>
        <v>#VALUE!</v>
      </c>
      <c r="AF474" s="293" t="str">
        <f t="shared" si="130"/>
        <v/>
      </c>
      <c r="AG474" s="292" t="str">
        <f>IF('Donor Sample'!T491="","",'Donor Sample'!T491)</f>
        <v/>
      </c>
      <c r="AH474" s="891">
        <f t="shared" si="131"/>
        <v>2</v>
      </c>
      <c r="AI474" s="1220">
        <v>0.10760080814361572</v>
      </c>
      <c r="AJ474" s="1216"/>
    </row>
    <row r="475" spans="5:36">
      <c r="E475" s="299">
        <v>467</v>
      </c>
      <c r="F475" s="308">
        <f t="shared" ca="1" si="120"/>
        <v>3109.289468333151</v>
      </c>
      <c r="G475" s="307">
        <f t="shared" ca="1" si="121"/>
        <v>238.55588607334104</v>
      </c>
      <c r="H475" s="306">
        <f t="shared" ca="1" si="122"/>
        <v>0.42295780347092765</v>
      </c>
      <c r="I475" s="305">
        <f t="shared" ca="1" si="124"/>
        <v>127.55747517283235</v>
      </c>
      <c r="J475" s="305">
        <f t="shared" ca="1" si="125"/>
        <v>47.466384262945745</v>
      </c>
      <c r="K475" s="292">
        <f t="shared" ca="1" si="123"/>
        <v>1.451524787446772</v>
      </c>
      <c r="L475" s="1290">
        <f t="shared" ca="1" si="126"/>
        <v>39.857152842771683</v>
      </c>
      <c r="M475" s="299">
        <v>467</v>
      </c>
      <c r="N475" s="304">
        <f t="shared" si="127"/>
        <v>3155.0977056502416</v>
      </c>
      <c r="O475" s="303">
        <v>224.21408510379277</v>
      </c>
      <c r="P475" s="302">
        <v>0.41055199647191443</v>
      </c>
      <c r="Q475" s="301">
        <v>114.95530262501724</v>
      </c>
      <c r="R475" s="301">
        <v>52.55616605892849</v>
      </c>
      <c r="S475" s="300">
        <v>2.5485036463020885</v>
      </c>
      <c r="T475" s="891">
        <f t="shared" si="128"/>
        <v>32</v>
      </c>
      <c r="U475" s="1220">
        <v>0.79892235994338989</v>
      </c>
      <c r="W475" s="299">
        <v>467</v>
      </c>
      <c r="X475" s="298">
        <f>IF('Donor Sample'!N492="",,IF('Donor Sample'!N492="F",1,0))</f>
        <v>0</v>
      </c>
      <c r="Y475" s="298" t="str">
        <f>IF('Donor Sample'!O492="","",'Donor Sample'!O492)</f>
        <v/>
      </c>
      <c r="Z475" s="298" t="str">
        <f>IF(AND('Donor Sample'!O492="",'Donor Sample'!P492="",'Donor Sample'!Q492=""),"",IF('Donor Sample'!P492="",ROUND(AA475/($C$32+($AI475-0.5)*$C$31),0),'Donor Sample'!P492))</f>
        <v/>
      </c>
      <c r="AA475" s="297" t="str">
        <f>IF('Donor Sample'!Q492="","",'Donor Sample'!Q492)</f>
        <v/>
      </c>
      <c r="AB475" s="296" t="str">
        <f t="shared" si="119"/>
        <v/>
      </c>
      <c r="AC475" s="295" t="str">
        <f>IF('Donor Sample'!R492="","",'Donor Sample'!R492)</f>
        <v/>
      </c>
      <c r="AD475" s="294" t="str">
        <f>IF('Donor Sample'!S492="","",'Donor Sample'!S492/100)</f>
        <v/>
      </c>
      <c r="AE475" s="293" t="e">
        <f t="shared" si="129"/>
        <v>#VALUE!</v>
      </c>
      <c r="AF475" s="293" t="str">
        <f t="shared" si="130"/>
        <v/>
      </c>
      <c r="AG475" s="292" t="str">
        <f>IF('Donor Sample'!T492="","",'Donor Sample'!T492)</f>
        <v/>
      </c>
      <c r="AH475" s="891">
        <f t="shared" si="131"/>
        <v>4</v>
      </c>
      <c r="AI475" s="1220">
        <v>0.37651950120925903</v>
      </c>
      <c r="AJ475" s="1216"/>
    </row>
    <row r="476" spans="5:36">
      <c r="E476" s="299">
        <v>468</v>
      </c>
      <c r="F476" s="308">
        <f t="shared" ca="1" si="120"/>
        <v>3010.6116110534226</v>
      </c>
      <c r="G476" s="307">
        <f t="shared" ca="1" si="121"/>
        <v>233.22825670624962</v>
      </c>
      <c r="H476" s="306">
        <f t="shared" ca="1" si="122"/>
        <v>0.46833419802691301</v>
      </c>
      <c r="I476" s="305">
        <f t="shared" ca="1" si="124"/>
        <v>123.65576187728605</v>
      </c>
      <c r="J476" s="305">
        <f t="shared" ca="1" si="125"/>
        <v>46.416853065658458</v>
      </c>
      <c r="K476" s="292">
        <f t="shared" ca="1" si="123"/>
        <v>5.5854865380989969</v>
      </c>
      <c r="L476" s="1290">
        <f t="shared" ca="1" si="126"/>
        <v>40.40504831702507</v>
      </c>
      <c r="M476" s="299">
        <v>468</v>
      </c>
      <c r="N476" s="304">
        <f t="shared" si="127"/>
        <v>3467.6369459716666</v>
      </c>
      <c r="O476" s="303">
        <v>265.8902822069341</v>
      </c>
      <c r="P476" s="302">
        <v>0.40391418451452199</v>
      </c>
      <c r="Q476" s="301">
        <v>120.59377231414764</v>
      </c>
      <c r="R476" s="301">
        <v>56.821753249133401</v>
      </c>
      <c r="S476" s="300">
        <v>1.7025822288185459</v>
      </c>
      <c r="T476" s="891">
        <f t="shared" si="128"/>
        <v>64</v>
      </c>
      <c r="U476" s="1220">
        <v>0.48047232627868652</v>
      </c>
      <c r="W476" s="299">
        <v>468</v>
      </c>
      <c r="X476" s="298">
        <f>IF('Donor Sample'!N493="",,IF('Donor Sample'!N493="F",1,0))</f>
        <v>0</v>
      </c>
      <c r="Y476" s="298" t="str">
        <f>IF('Donor Sample'!O493="","",'Donor Sample'!O493)</f>
        <v/>
      </c>
      <c r="Z476" s="298" t="str">
        <f>IF(AND('Donor Sample'!O493="",'Donor Sample'!P493="",'Donor Sample'!Q493=""),"",IF('Donor Sample'!P493="",ROUND(AA476/($C$32+($AI476-0.5)*$C$31),0),'Donor Sample'!P493))</f>
        <v/>
      </c>
      <c r="AA476" s="297" t="str">
        <f>IF('Donor Sample'!Q493="","",'Donor Sample'!Q493)</f>
        <v/>
      </c>
      <c r="AB476" s="296" t="str">
        <f t="shared" si="119"/>
        <v/>
      </c>
      <c r="AC476" s="295" t="str">
        <f>IF('Donor Sample'!R493="","",'Donor Sample'!R493)</f>
        <v/>
      </c>
      <c r="AD476" s="294" t="str">
        <f>IF('Donor Sample'!S493="","",'Donor Sample'!S493/100)</f>
        <v/>
      </c>
      <c r="AE476" s="293" t="e">
        <f t="shared" si="129"/>
        <v>#VALUE!</v>
      </c>
      <c r="AF476" s="293" t="str">
        <f t="shared" si="130"/>
        <v/>
      </c>
      <c r="AG476" s="292" t="str">
        <f>IF('Donor Sample'!T493="","",'Donor Sample'!T493)</f>
        <v/>
      </c>
      <c r="AH476" s="891">
        <f t="shared" si="131"/>
        <v>2</v>
      </c>
      <c r="AI476" s="1220">
        <v>0.3399660587310791</v>
      </c>
      <c r="AJ476" s="1216"/>
    </row>
    <row r="477" spans="5:36">
      <c r="E477" s="299">
        <v>469</v>
      </c>
      <c r="F477" s="308">
        <f t="shared" ca="1" si="120"/>
        <v>3718.3615701926965</v>
      </c>
      <c r="G477" s="307">
        <f t="shared" ca="1" si="121"/>
        <v>281.39208389184796</v>
      </c>
      <c r="H477" s="306">
        <f t="shared" ca="1" si="122"/>
        <v>0.4271089542486145</v>
      </c>
      <c r="I477" s="305">
        <f t="shared" ca="1" si="124"/>
        <v>131.35422311754377</v>
      </c>
      <c r="J477" s="305">
        <f t="shared" ca="1" si="125"/>
        <v>64.490481750037603</v>
      </c>
      <c r="K477" s="292">
        <f t="shared" ca="1" si="123"/>
        <v>1.310008290009085</v>
      </c>
      <c r="L477" s="1290">
        <f t="shared" ca="1" si="126"/>
        <v>22.234402179071633</v>
      </c>
      <c r="M477" s="299">
        <v>469</v>
      </c>
      <c r="N477" s="304">
        <f t="shared" si="127"/>
        <v>4313.5002909986297</v>
      </c>
      <c r="O477" s="303">
        <v>243.16633212324399</v>
      </c>
      <c r="P477" s="302">
        <v>0.47991461215107145</v>
      </c>
      <c r="Q477" s="301">
        <v>138.59610104189673</v>
      </c>
      <c r="R477" s="301">
        <v>70.579899304126698</v>
      </c>
      <c r="S477" s="300">
        <v>1.2340835800043861</v>
      </c>
      <c r="T477" s="891">
        <f t="shared" si="128"/>
        <v>64</v>
      </c>
      <c r="U477" s="1220">
        <v>0.68185514211654663</v>
      </c>
      <c r="W477" s="299">
        <v>469</v>
      </c>
      <c r="X477" s="298">
        <f>IF('Donor Sample'!N494="",,IF('Donor Sample'!N494="F",1,0))</f>
        <v>0</v>
      </c>
      <c r="Y477" s="298" t="str">
        <f>IF('Donor Sample'!O494="","",'Donor Sample'!O494)</f>
        <v/>
      </c>
      <c r="Z477" s="298" t="str">
        <f>IF(AND('Donor Sample'!O494="",'Donor Sample'!P494="",'Donor Sample'!Q494=""),"",IF('Donor Sample'!P494="",ROUND(AA477/($C$32+($AI477-0.5)*$C$31),0),'Donor Sample'!P494))</f>
        <v/>
      </c>
      <c r="AA477" s="297" t="str">
        <f>IF('Donor Sample'!Q494="","",'Donor Sample'!Q494)</f>
        <v/>
      </c>
      <c r="AB477" s="296" t="str">
        <f t="shared" si="119"/>
        <v/>
      </c>
      <c r="AC477" s="295" t="str">
        <f>IF('Donor Sample'!R494="","",'Donor Sample'!R494)</f>
        <v/>
      </c>
      <c r="AD477" s="294" t="str">
        <f>IF('Donor Sample'!S494="","",'Donor Sample'!S494/100)</f>
        <v/>
      </c>
      <c r="AE477" s="407" t="e">
        <f t="shared" si="129"/>
        <v>#VALUE!</v>
      </c>
      <c r="AF477" s="293" t="str">
        <f t="shared" si="130"/>
        <v/>
      </c>
      <c r="AG477" s="292" t="str">
        <f>IF('Donor Sample'!T494="","",'Donor Sample'!T494)</f>
        <v/>
      </c>
      <c r="AH477" s="891">
        <f t="shared" si="131"/>
        <v>32</v>
      </c>
      <c r="AI477" s="1220">
        <v>0.8265184760093689</v>
      </c>
      <c r="AJ477" s="1216"/>
    </row>
    <row r="478" spans="5:36">
      <c r="E478" s="299">
        <v>470</v>
      </c>
      <c r="F478" s="308">
        <f t="shared" ca="1" si="120"/>
        <v>2984.2881153339404</v>
      </c>
      <c r="G478" s="307">
        <f t="shared" ca="1" si="121"/>
        <v>246.68063077744995</v>
      </c>
      <c r="H478" s="306">
        <f t="shared" ca="1" si="122"/>
        <v>0.50945819365732659</v>
      </c>
      <c r="I478" s="305">
        <f t="shared" ca="1" si="124"/>
        <v>122.08511464213215</v>
      </c>
      <c r="J478" s="305">
        <f t="shared" ca="1" si="125"/>
        <v>46.329397257081496</v>
      </c>
      <c r="K478" s="292">
        <f t="shared" ca="1" si="123"/>
        <v>4.1139302102119331</v>
      </c>
      <c r="L478" s="1290">
        <f t="shared" ca="1" si="126"/>
        <v>40.042582064935502</v>
      </c>
      <c r="M478" s="299">
        <v>470</v>
      </c>
      <c r="N478" s="304">
        <f t="shared" si="127"/>
        <v>4085.168960301804</v>
      </c>
      <c r="O478" s="303">
        <v>292.72445315370214</v>
      </c>
      <c r="P478" s="302">
        <v>0.42197393558203772</v>
      </c>
      <c r="Q478" s="301">
        <v>131.917790275172</v>
      </c>
      <c r="R478" s="301">
        <v>63.716644068088549</v>
      </c>
      <c r="S478" s="300">
        <v>1.2640107618256404</v>
      </c>
      <c r="T478" s="891">
        <f t="shared" si="128"/>
        <v>2</v>
      </c>
      <c r="U478" s="1220">
        <v>0.27710855007171631</v>
      </c>
      <c r="W478" s="299">
        <v>470</v>
      </c>
      <c r="X478" s="298">
        <f>IF('Donor Sample'!N495="",,IF('Donor Sample'!N495="F",1,0))</f>
        <v>0</v>
      </c>
      <c r="Y478" s="298" t="str">
        <f>IF('Donor Sample'!O495="","",'Donor Sample'!O495)</f>
        <v/>
      </c>
      <c r="Z478" s="298" t="str">
        <f>IF(AND('Donor Sample'!O495="",'Donor Sample'!P495="",'Donor Sample'!Q495=""),"",IF('Donor Sample'!P495="",ROUND(AA478/($C$32+($AI478-0.5)*$C$31),0),'Donor Sample'!P495))</f>
        <v/>
      </c>
      <c r="AA478" s="297" t="str">
        <f>IF('Donor Sample'!Q495="","",'Donor Sample'!Q495)</f>
        <v/>
      </c>
      <c r="AB478" s="296" t="str">
        <f t="shared" si="119"/>
        <v/>
      </c>
      <c r="AC478" s="295" t="str">
        <f>IF('Donor Sample'!R495="","",'Donor Sample'!R495)</f>
        <v/>
      </c>
      <c r="AD478" s="294" t="str">
        <f>IF('Donor Sample'!S495="","",'Donor Sample'!S495/100)</f>
        <v/>
      </c>
      <c r="AE478" s="293" t="e">
        <f t="shared" si="129"/>
        <v>#VALUE!</v>
      </c>
      <c r="AF478" s="293" t="str">
        <f t="shared" si="130"/>
        <v/>
      </c>
      <c r="AG478" s="292" t="str">
        <f>IF('Donor Sample'!T495="","",'Donor Sample'!T495)</f>
        <v/>
      </c>
      <c r="AH478" s="891">
        <f t="shared" si="131"/>
        <v>2</v>
      </c>
      <c r="AI478" s="1220">
        <v>0.17368495464324951</v>
      </c>
      <c r="AJ478" s="1216"/>
    </row>
    <row r="479" spans="5:36">
      <c r="E479" s="299">
        <v>471</v>
      </c>
      <c r="F479" s="308">
        <f t="shared" ca="1" si="120"/>
        <v>3200.2118118743338</v>
      </c>
      <c r="G479" s="307">
        <f t="shared" ca="1" si="121"/>
        <v>263.88127020175892</v>
      </c>
      <c r="H479" s="306">
        <f t="shared" ca="1" si="122"/>
        <v>0.43518260723339153</v>
      </c>
      <c r="I479" s="305">
        <f t="shared" ca="1" si="124"/>
        <v>107.11584414047914</v>
      </c>
      <c r="J479" s="305">
        <f t="shared" ca="1" si="125"/>
        <v>62.29331222841639</v>
      </c>
      <c r="K479" s="292">
        <f t="shared" ca="1" si="123"/>
        <v>3.4764216452889407</v>
      </c>
      <c r="L479" s="1290">
        <f t="shared" ca="1" si="126"/>
        <v>19.433164486691823</v>
      </c>
      <c r="M479" s="299">
        <v>471</v>
      </c>
      <c r="N479" s="304">
        <f t="shared" si="127"/>
        <v>3098.2171199412987</v>
      </c>
      <c r="O479" s="303">
        <v>283.60623272447509</v>
      </c>
      <c r="P479" s="302">
        <v>0.40690075670544829</v>
      </c>
      <c r="Q479" s="301">
        <v>103.95861573201688</v>
      </c>
      <c r="R479" s="301">
        <v>61.478363915693286</v>
      </c>
      <c r="S479" s="300">
        <v>2.5807508135549995</v>
      </c>
      <c r="T479" s="891">
        <f t="shared" si="128"/>
        <v>2</v>
      </c>
      <c r="U479" s="1220">
        <v>8.0642759799957275E-2</v>
      </c>
      <c r="W479" s="299">
        <v>471</v>
      </c>
      <c r="X479" s="298">
        <f>IF('Donor Sample'!N496="",,IF('Donor Sample'!N496="F",1,0))</f>
        <v>0</v>
      </c>
      <c r="Y479" s="298" t="str">
        <f>IF('Donor Sample'!O496="","",'Donor Sample'!O496)</f>
        <v/>
      </c>
      <c r="Z479" s="298" t="str">
        <f>IF(AND('Donor Sample'!O496="",'Donor Sample'!P496="",'Donor Sample'!Q496=""),"",IF('Donor Sample'!P496="",ROUND(AA479/($C$32+($AI479-0.5)*$C$31),0),'Donor Sample'!P496))</f>
        <v/>
      </c>
      <c r="AA479" s="297" t="str">
        <f>IF('Donor Sample'!Q496="","",'Donor Sample'!Q496)</f>
        <v/>
      </c>
      <c r="AB479" s="296" t="str">
        <f t="shared" si="119"/>
        <v/>
      </c>
      <c r="AC479" s="295" t="str">
        <f>IF('Donor Sample'!R496="","",'Donor Sample'!R496)</f>
        <v/>
      </c>
      <c r="AD479" s="294" t="str">
        <f>IF('Donor Sample'!S496="","",'Donor Sample'!S496/100)</f>
        <v/>
      </c>
      <c r="AE479" s="293" t="e">
        <f t="shared" si="129"/>
        <v>#VALUE!</v>
      </c>
      <c r="AF479" s="293" t="str">
        <f t="shared" si="130"/>
        <v/>
      </c>
      <c r="AG479" s="292" t="str">
        <f>IF('Donor Sample'!T496="","",'Donor Sample'!T496)</f>
        <v/>
      </c>
      <c r="AH479" s="891">
        <f t="shared" si="131"/>
        <v>256</v>
      </c>
      <c r="AI479" s="1220">
        <v>0.89921432733535767</v>
      </c>
      <c r="AJ479" s="1216"/>
    </row>
    <row r="480" spans="5:36">
      <c r="E480" s="299">
        <v>472</v>
      </c>
      <c r="F480" s="308">
        <f t="shared" ca="1" si="120"/>
        <v>3067.0270288861229</v>
      </c>
      <c r="G480" s="307">
        <f t="shared" ca="1" si="121"/>
        <v>256.61723322008697</v>
      </c>
      <c r="H480" s="306">
        <f t="shared" ca="1" si="122"/>
        <v>0.43127983539494552</v>
      </c>
      <c r="I480" s="305">
        <f t="shared" ca="1" si="124"/>
        <v>112.56636875419002</v>
      </c>
      <c r="J480" s="305">
        <f t="shared" ca="1" si="125"/>
        <v>58.953110001524287</v>
      </c>
      <c r="K480" s="292">
        <f t="shared" ca="1" si="123"/>
        <v>7.482660010821804</v>
      </c>
      <c r="L480" s="1290">
        <f t="shared" ca="1" si="126"/>
        <v>22.801733960170004</v>
      </c>
      <c r="M480" s="299">
        <v>472</v>
      </c>
      <c r="N480" s="304">
        <f t="shared" si="127"/>
        <v>3274.7521626484158</v>
      </c>
      <c r="O480" s="303">
        <v>196.09322178524525</v>
      </c>
      <c r="P480" s="302">
        <v>0.42303985881549194</v>
      </c>
      <c r="Q480" s="301">
        <v>114.93467498677923</v>
      </c>
      <c r="R480" s="301">
        <v>61.657614751611021</v>
      </c>
      <c r="S480" s="300">
        <v>2.7539952218342632</v>
      </c>
      <c r="T480" s="891">
        <f t="shared" si="128"/>
        <v>2</v>
      </c>
      <c r="U480" s="1220">
        <v>0.33965682983398438</v>
      </c>
      <c r="W480" s="299">
        <v>472</v>
      </c>
      <c r="X480" s="298">
        <f>IF('Donor Sample'!N497="",,IF('Donor Sample'!N497="F",1,0))</f>
        <v>0</v>
      </c>
      <c r="Y480" s="298" t="str">
        <f>IF('Donor Sample'!O497="","",'Donor Sample'!O497)</f>
        <v/>
      </c>
      <c r="Z480" s="298" t="str">
        <f>IF(AND('Donor Sample'!O497="",'Donor Sample'!P497="",'Donor Sample'!Q497=""),"",IF('Donor Sample'!P497="",ROUND(AA480/($C$32+($AI480-0.5)*$C$31),0),'Donor Sample'!P497))</f>
        <v/>
      </c>
      <c r="AA480" s="297" t="str">
        <f>IF('Donor Sample'!Q497="","",'Donor Sample'!Q497)</f>
        <v/>
      </c>
      <c r="AB480" s="296" t="str">
        <f t="shared" si="119"/>
        <v/>
      </c>
      <c r="AC480" s="295" t="str">
        <f>IF('Donor Sample'!R497="","",'Donor Sample'!R497)</f>
        <v/>
      </c>
      <c r="AD480" s="294" t="str">
        <f>IF('Donor Sample'!S497="","",'Donor Sample'!S497/100)</f>
        <v/>
      </c>
      <c r="AE480" s="407" t="e">
        <f t="shared" si="129"/>
        <v>#VALUE!</v>
      </c>
      <c r="AF480" s="293" t="str">
        <f t="shared" si="130"/>
        <v/>
      </c>
      <c r="AG480" s="292" t="str">
        <f>IF('Donor Sample'!T497="","",'Donor Sample'!T497)</f>
        <v/>
      </c>
      <c r="AH480" s="891">
        <f t="shared" si="131"/>
        <v>256</v>
      </c>
      <c r="AI480" s="1220">
        <v>0.8590397834777832</v>
      </c>
      <c r="AJ480" s="1216"/>
    </row>
    <row r="481" spans="5:36">
      <c r="E481" s="299">
        <v>473</v>
      </c>
      <c r="F481" s="308">
        <f t="shared" ca="1" si="120"/>
        <v>3363.1368856585423</v>
      </c>
      <c r="G481" s="307">
        <f t="shared" ca="1" si="121"/>
        <v>245.96392033826399</v>
      </c>
      <c r="H481" s="306">
        <f t="shared" ca="1" si="122"/>
        <v>0.37988578316230559</v>
      </c>
      <c r="I481" s="305">
        <f t="shared" ca="1" si="124"/>
        <v>107.0797851909296</v>
      </c>
      <c r="J481" s="305">
        <f t="shared" ca="1" si="125"/>
        <v>58.372703150447627</v>
      </c>
      <c r="K481" s="292">
        <f t="shared" ca="1" si="123"/>
        <v>1.49171390815598</v>
      </c>
      <c r="L481" s="1290">
        <f t="shared" ca="1" si="126"/>
        <v>22.123841572872021</v>
      </c>
      <c r="M481" s="299">
        <v>473</v>
      </c>
      <c r="N481" s="304">
        <f t="shared" si="127"/>
        <v>3406.0991558450501</v>
      </c>
      <c r="O481" s="303">
        <v>274.76398030967556</v>
      </c>
      <c r="P481" s="302">
        <v>0.45832013670170324</v>
      </c>
      <c r="Q481" s="301">
        <v>116.43442219658644</v>
      </c>
      <c r="R481" s="301">
        <v>56.807818250087983</v>
      </c>
      <c r="S481" s="300">
        <v>4.7888100610225814</v>
      </c>
      <c r="T481" s="891">
        <f t="shared" si="128"/>
        <v>2</v>
      </c>
      <c r="U481" s="1220">
        <v>0.24126452207565308</v>
      </c>
      <c r="W481" s="299">
        <v>473</v>
      </c>
      <c r="X481" s="298">
        <f>IF('Donor Sample'!N498="",,IF('Donor Sample'!N498="F",1,0))</f>
        <v>0</v>
      </c>
      <c r="Y481" s="298" t="str">
        <f>IF('Donor Sample'!O498="","",'Donor Sample'!O498)</f>
        <v/>
      </c>
      <c r="Z481" s="298" t="str">
        <f>IF(AND('Donor Sample'!O498="",'Donor Sample'!P498="",'Donor Sample'!Q498=""),"",IF('Donor Sample'!P498="",ROUND(AA481/($C$32+($AI481-0.5)*$C$31),0),'Donor Sample'!P498))</f>
        <v/>
      </c>
      <c r="AA481" s="297" t="str">
        <f>IF('Donor Sample'!Q498="","",'Donor Sample'!Q498)</f>
        <v/>
      </c>
      <c r="AB481" s="296" t="str">
        <f t="shared" si="119"/>
        <v/>
      </c>
      <c r="AC481" s="295" t="str">
        <f>IF('Donor Sample'!R498="","",'Donor Sample'!R498)</f>
        <v/>
      </c>
      <c r="AD481" s="294" t="str">
        <f>IF('Donor Sample'!S498="","",'Donor Sample'!S498/100)</f>
        <v/>
      </c>
      <c r="AE481" s="293" t="e">
        <f t="shared" si="129"/>
        <v>#VALUE!</v>
      </c>
      <c r="AF481" s="293" t="str">
        <f t="shared" si="130"/>
        <v/>
      </c>
      <c r="AG481" s="292" t="str">
        <f>IF('Donor Sample'!T498="","",'Donor Sample'!T498)</f>
        <v/>
      </c>
      <c r="AH481" s="891">
        <f t="shared" si="131"/>
        <v>2</v>
      </c>
      <c r="AI481" s="1220">
        <v>0.25782269239425659</v>
      </c>
      <c r="AJ481" s="1216"/>
    </row>
    <row r="482" spans="5:36">
      <c r="E482" s="299">
        <v>474</v>
      </c>
      <c r="F482" s="308">
        <f t="shared" ca="1" si="120"/>
        <v>3116.5204725388526</v>
      </c>
      <c r="G482" s="307">
        <f t="shared" ca="1" si="121"/>
        <v>272.29592343347451</v>
      </c>
      <c r="H482" s="306">
        <f t="shared" ca="1" si="122"/>
        <v>0.50107553385752102</v>
      </c>
      <c r="I482" s="305">
        <f t="shared" ca="1" si="124"/>
        <v>100.76604234412545</v>
      </c>
      <c r="J482" s="305">
        <f t="shared" ca="1" si="125"/>
        <v>55.743042897272709</v>
      </c>
      <c r="K482" s="292">
        <f t="shared" ca="1" si="123"/>
        <v>3.8705928731087669</v>
      </c>
      <c r="L482" s="1290">
        <f t="shared" ca="1" si="126"/>
        <v>22.829979225710911</v>
      </c>
      <c r="M482" s="299">
        <v>474</v>
      </c>
      <c r="N482" s="304">
        <f t="shared" si="127"/>
        <v>3330.0305601500791</v>
      </c>
      <c r="O482" s="303">
        <v>221.48413000823868</v>
      </c>
      <c r="P482" s="302">
        <v>0.5113926353453998</v>
      </c>
      <c r="Q482" s="301">
        <v>110.95301103625766</v>
      </c>
      <c r="R482" s="301">
        <v>56.875773047845584</v>
      </c>
      <c r="S482" s="300">
        <v>1.5027996023167285</v>
      </c>
      <c r="T482" s="891">
        <f t="shared" si="128"/>
        <v>64</v>
      </c>
      <c r="U482" s="1220">
        <v>0.43799173831939697</v>
      </c>
      <c r="W482" s="299">
        <v>474</v>
      </c>
      <c r="X482" s="298">
        <f>IF('Donor Sample'!N499="",,IF('Donor Sample'!N499="F",1,0))</f>
        <v>0</v>
      </c>
      <c r="Y482" s="298" t="str">
        <f>IF('Donor Sample'!O499="","",'Donor Sample'!O499)</f>
        <v/>
      </c>
      <c r="Z482" s="298" t="str">
        <f>IF(AND('Donor Sample'!O499="",'Donor Sample'!P499="",'Donor Sample'!Q499=""),"",IF('Donor Sample'!P499="",ROUND(AA482/($C$32+($AI482-0.5)*$C$31),0),'Donor Sample'!P499))</f>
        <v/>
      </c>
      <c r="AA482" s="297" t="str">
        <f>IF('Donor Sample'!Q499="","",'Donor Sample'!Q499)</f>
        <v/>
      </c>
      <c r="AB482" s="296" t="str">
        <f t="shared" si="119"/>
        <v/>
      </c>
      <c r="AC482" s="295" t="str">
        <f>IF('Donor Sample'!R499="","",'Donor Sample'!R499)</f>
        <v/>
      </c>
      <c r="AD482" s="294" t="str">
        <f>IF('Donor Sample'!S499="","",'Donor Sample'!S499/100)</f>
        <v/>
      </c>
      <c r="AE482" s="293" t="e">
        <f t="shared" si="129"/>
        <v>#VALUE!</v>
      </c>
      <c r="AF482" s="293" t="str">
        <f t="shared" si="130"/>
        <v/>
      </c>
      <c r="AG482" s="292" t="str">
        <f>IF('Donor Sample'!T499="","",'Donor Sample'!T499)</f>
        <v/>
      </c>
      <c r="AH482" s="891">
        <f t="shared" si="131"/>
        <v>2</v>
      </c>
      <c r="AI482" s="1220">
        <v>0.16419613361358643</v>
      </c>
      <c r="AJ482" s="1216"/>
    </row>
    <row r="483" spans="5:36">
      <c r="E483" s="299">
        <v>475</v>
      </c>
      <c r="F483" s="308">
        <f t="shared" ca="1" si="120"/>
        <v>3862.476859743766</v>
      </c>
      <c r="G483" s="307">
        <f t="shared" ca="1" si="121"/>
        <v>229.0105337856117</v>
      </c>
      <c r="H483" s="306">
        <f t="shared" ca="1" si="122"/>
        <v>0.47033576250442194</v>
      </c>
      <c r="I483" s="305">
        <f t="shared" ca="1" si="124"/>
        <v>152.40242826389175</v>
      </c>
      <c r="J483" s="305">
        <f t="shared" ca="1" si="125"/>
        <v>55.601096828071348</v>
      </c>
      <c r="K483" s="292">
        <f t="shared" ca="1" si="123"/>
        <v>1.3199007525075994</v>
      </c>
      <c r="L483" s="1290">
        <f t="shared" ca="1" si="126"/>
        <v>34.705461843716861</v>
      </c>
      <c r="M483" s="299">
        <v>475</v>
      </c>
      <c r="N483" s="304">
        <f t="shared" si="127"/>
        <v>3032.6965186010839</v>
      </c>
      <c r="O483" s="303">
        <v>256.83117683350747</v>
      </c>
      <c r="P483" s="302">
        <v>0.38833175637778161</v>
      </c>
      <c r="Q483" s="301">
        <v>101.15625683231009</v>
      </c>
      <c r="R483" s="301">
        <v>54.097585662979917</v>
      </c>
      <c r="S483" s="300">
        <v>15.966630555793635</v>
      </c>
      <c r="T483" s="891">
        <f t="shared" si="128"/>
        <v>2</v>
      </c>
      <c r="U483" s="1220">
        <v>0.33065921068191528</v>
      </c>
      <c r="W483" s="299">
        <v>475</v>
      </c>
      <c r="X483" s="298">
        <f>IF('Donor Sample'!N500="",,IF('Donor Sample'!N500="F",1,0))</f>
        <v>0</v>
      </c>
      <c r="Y483" s="298" t="str">
        <f>IF('Donor Sample'!O500="","",'Donor Sample'!O500)</f>
        <v/>
      </c>
      <c r="Z483" s="298" t="str">
        <f>IF(AND('Donor Sample'!O500="",'Donor Sample'!P500="",'Donor Sample'!Q500=""),"",IF('Donor Sample'!P500="",ROUND(AA483/($C$32+($AI483-0.5)*$C$31),0),'Donor Sample'!P500))</f>
        <v/>
      </c>
      <c r="AA483" s="297" t="str">
        <f>IF('Donor Sample'!Q500="","",'Donor Sample'!Q500)</f>
        <v/>
      </c>
      <c r="AB483" s="296" t="str">
        <f t="shared" si="119"/>
        <v/>
      </c>
      <c r="AC483" s="295" t="str">
        <f>IF('Donor Sample'!R500="","",'Donor Sample'!R500)</f>
        <v/>
      </c>
      <c r="AD483" s="294" t="str">
        <f>IF('Donor Sample'!S500="","",'Donor Sample'!S500/100)</f>
        <v/>
      </c>
      <c r="AE483" s="407" t="e">
        <f t="shared" si="129"/>
        <v>#VALUE!</v>
      </c>
      <c r="AF483" s="293" t="str">
        <f t="shared" si="130"/>
        <v/>
      </c>
      <c r="AG483" s="292" t="str">
        <f>IF('Donor Sample'!T500="","",'Donor Sample'!T500)</f>
        <v/>
      </c>
      <c r="AH483" s="891">
        <f t="shared" si="131"/>
        <v>2</v>
      </c>
      <c r="AI483" s="1220">
        <v>0.32440930604934692</v>
      </c>
      <c r="AJ483" s="1216"/>
    </row>
    <row r="484" spans="5:36">
      <c r="E484" s="299">
        <v>476</v>
      </c>
      <c r="F484" s="308">
        <f t="shared" ca="1" si="120"/>
        <v>3332.9232156683879</v>
      </c>
      <c r="G484" s="307">
        <f t="shared" ca="1" si="121"/>
        <v>282.46714614271946</v>
      </c>
      <c r="H484" s="306">
        <f t="shared" ca="1" si="122"/>
        <v>0.41863908797358801</v>
      </c>
      <c r="I484" s="305">
        <f t="shared" ca="1" si="124"/>
        <v>109.46171886828009</v>
      </c>
      <c r="J484" s="305">
        <f t="shared" ca="1" si="125"/>
        <v>57.295430506799555</v>
      </c>
      <c r="K484" s="292">
        <f t="shared" ca="1" si="123"/>
        <v>2.011183229361369</v>
      </c>
      <c r="L484" s="1290">
        <f t="shared" ca="1" si="126"/>
        <v>23.474424221479847</v>
      </c>
      <c r="M484" s="299">
        <v>476</v>
      </c>
      <c r="N484" s="304">
        <f t="shared" si="127"/>
        <v>2850.6720391034451</v>
      </c>
      <c r="O484" s="303">
        <v>198.35165874780523</v>
      </c>
      <c r="P484" s="302">
        <v>0.4029697278974585</v>
      </c>
      <c r="Q484" s="301">
        <v>114.81105596174538</v>
      </c>
      <c r="R484" s="301">
        <v>45.610127523025028</v>
      </c>
      <c r="S484" s="300">
        <v>4.1383438439238152</v>
      </c>
      <c r="T484" s="891">
        <f t="shared" si="128"/>
        <v>64</v>
      </c>
      <c r="U484" s="1220">
        <v>0.64160943031311035</v>
      </c>
      <c r="W484" s="299">
        <v>476</v>
      </c>
      <c r="X484" s="298">
        <f>IF('Donor Sample'!N501="",,IF('Donor Sample'!N501="F",1,0))</f>
        <v>0</v>
      </c>
      <c r="Y484" s="298" t="str">
        <f>IF('Donor Sample'!O501="","",'Donor Sample'!O501)</f>
        <v/>
      </c>
      <c r="Z484" s="298" t="str">
        <f>IF(AND('Donor Sample'!O501="",'Donor Sample'!P501="",'Donor Sample'!Q501=""),"",IF('Donor Sample'!P501="",ROUND(AA484/($C$32+($AI484-0.5)*$C$31),0),'Donor Sample'!P501))</f>
        <v/>
      </c>
      <c r="AA484" s="297" t="str">
        <f>IF('Donor Sample'!Q501="","",'Donor Sample'!Q501)</f>
        <v/>
      </c>
      <c r="AB484" s="296" t="str">
        <f t="shared" si="119"/>
        <v/>
      </c>
      <c r="AC484" s="295" t="str">
        <f>IF('Donor Sample'!R501="","",'Donor Sample'!R501)</f>
        <v/>
      </c>
      <c r="AD484" s="294" t="str">
        <f>IF('Donor Sample'!S501="","",'Donor Sample'!S501/100)</f>
        <v/>
      </c>
      <c r="AE484" s="293" t="e">
        <f t="shared" si="129"/>
        <v>#VALUE!</v>
      </c>
      <c r="AF484" s="293" t="str">
        <f t="shared" si="130"/>
        <v/>
      </c>
      <c r="AG484" s="292" t="str">
        <f>IF('Donor Sample'!T501="","",'Donor Sample'!T501)</f>
        <v/>
      </c>
      <c r="AH484" s="891">
        <f t="shared" si="131"/>
        <v>64</v>
      </c>
      <c r="AI484" s="1220">
        <v>0.64326930046081543</v>
      </c>
      <c r="AJ484" s="1216"/>
    </row>
    <row r="485" spans="5:36">
      <c r="E485" s="299">
        <v>477</v>
      </c>
      <c r="F485" s="308">
        <f t="shared" ca="1" si="120"/>
        <v>4009.7282826629198</v>
      </c>
      <c r="G485" s="307">
        <f t="shared" ca="1" si="121"/>
        <v>238.7646222011596</v>
      </c>
      <c r="H485" s="306">
        <f t="shared" ca="1" si="122"/>
        <v>0.4036493264033576</v>
      </c>
      <c r="I485" s="305">
        <f t="shared" ca="1" si="124"/>
        <v>149.8019065009336</v>
      </c>
      <c r="J485" s="305">
        <f t="shared" ca="1" si="125"/>
        <v>64.691103153750248</v>
      </c>
      <c r="K485" s="292">
        <f t="shared" ca="1" si="123"/>
        <v>1.9141695875403064</v>
      </c>
      <c r="L485" s="1290">
        <f t="shared" ca="1" si="126"/>
        <v>25.200020007455784</v>
      </c>
      <c r="M485" s="299">
        <v>477</v>
      </c>
      <c r="N485" s="304">
        <f t="shared" si="127"/>
        <v>2555.9082769958768</v>
      </c>
      <c r="O485" s="303">
        <v>220.67256887678255</v>
      </c>
      <c r="P485" s="302">
        <v>0.44188698843176105</v>
      </c>
      <c r="Q485" s="301">
        <v>80.45988174248167</v>
      </c>
      <c r="R485" s="301">
        <v>58.463814074593174</v>
      </c>
      <c r="S485" s="300">
        <v>2.5249937811354464</v>
      </c>
      <c r="T485" s="891">
        <f t="shared" si="128"/>
        <v>4</v>
      </c>
      <c r="U485" s="1220">
        <v>0.42940086126327515</v>
      </c>
      <c r="W485" s="299">
        <v>477</v>
      </c>
      <c r="X485" s="298">
        <f>IF('Donor Sample'!N502="",,IF('Donor Sample'!N502="F",1,0))</f>
        <v>0</v>
      </c>
      <c r="Y485" s="298" t="str">
        <f>IF('Donor Sample'!O502="","",'Donor Sample'!O502)</f>
        <v/>
      </c>
      <c r="Z485" s="298" t="str">
        <f>IF(AND('Donor Sample'!O502="",'Donor Sample'!P502="",'Donor Sample'!Q502=""),"",IF('Donor Sample'!P502="",ROUND(AA485/($C$32+($AI485-0.5)*$C$31),0),'Donor Sample'!P502))</f>
        <v/>
      </c>
      <c r="AA485" s="297" t="str">
        <f>IF('Donor Sample'!Q502="","",'Donor Sample'!Q502)</f>
        <v/>
      </c>
      <c r="AB485" s="296" t="str">
        <f t="shared" si="119"/>
        <v/>
      </c>
      <c r="AC485" s="295" t="str">
        <f>IF('Donor Sample'!R502="","",'Donor Sample'!R502)</f>
        <v/>
      </c>
      <c r="AD485" s="294" t="str">
        <f>IF('Donor Sample'!S502="","",'Donor Sample'!S502/100)</f>
        <v/>
      </c>
      <c r="AE485" s="293" t="e">
        <f t="shared" si="129"/>
        <v>#VALUE!</v>
      </c>
      <c r="AF485" s="293" t="str">
        <f t="shared" si="130"/>
        <v/>
      </c>
      <c r="AG485" s="292" t="str">
        <f>IF('Donor Sample'!T502="","",'Donor Sample'!T502)</f>
        <v/>
      </c>
      <c r="AH485" s="891">
        <f t="shared" si="131"/>
        <v>16</v>
      </c>
      <c r="AI485" s="1220">
        <v>0.97569078207015991</v>
      </c>
      <c r="AJ485" s="1216"/>
    </row>
    <row r="486" spans="5:36">
      <c r="E486" s="299">
        <v>478</v>
      </c>
      <c r="F486" s="308">
        <f t="shared" ca="1" si="120"/>
        <v>3169.33275387306</v>
      </c>
      <c r="G486" s="307">
        <f t="shared" ca="1" si="121"/>
        <v>246.43685925187171</v>
      </c>
      <c r="H486" s="306">
        <f t="shared" ca="1" si="122"/>
        <v>0.39465709965194651</v>
      </c>
      <c r="I486" s="305">
        <f t="shared" ca="1" si="124"/>
        <v>123.85323646324684</v>
      </c>
      <c r="J486" s="305">
        <f t="shared" ca="1" si="125"/>
        <v>50.123348182381157</v>
      </c>
      <c r="K486" s="292">
        <f t="shared" ca="1" si="123"/>
        <v>1.272594427074049</v>
      </c>
      <c r="L486" s="1290">
        <f t="shared" ca="1" si="126"/>
        <v>34.705625141567182</v>
      </c>
      <c r="M486" s="299">
        <v>478</v>
      </c>
      <c r="N486" s="304">
        <f t="shared" si="127"/>
        <v>3620.7236052483681</v>
      </c>
      <c r="O486" s="303">
        <v>250.65254617495643</v>
      </c>
      <c r="P486" s="302">
        <v>0.38099938073839323</v>
      </c>
      <c r="Q486" s="301">
        <v>135.27561308780128</v>
      </c>
      <c r="R486" s="301">
        <v>55.749526444256773</v>
      </c>
      <c r="S486" s="300">
        <v>1.4211545278534792</v>
      </c>
      <c r="T486" s="891">
        <f t="shared" si="128"/>
        <v>256</v>
      </c>
      <c r="U486" s="1220">
        <v>0.84160029888153076</v>
      </c>
      <c r="W486" s="299">
        <v>478</v>
      </c>
      <c r="X486" s="298">
        <f>IF('Donor Sample'!N503="",,IF('Donor Sample'!N503="F",1,0))</f>
        <v>0</v>
      </c>
      <c r="Y486" s="298" t="str">
        <f>IF('Donor Sample'!O503="","",'Donor Sample'!O503)</f>
        <v/>
      </c>
      <c r="Z486" s="298" t="str">
        <f>IF(AND('Donor Sample'!O503="",'Donor Sample'!P503="",'Donor Sample'!Q503=""),"",IF('Donor Sample'!P503="",ROUND(AA486/($C$32+($AI486-0.5)*$C$31),0),'Donor Sample'!P503))</f>
        <v/>
      </c>
      <c r="AA486" s="297" t="str">
        <f>IF('Donor Sample'!Q503="","",'Donor Sample'!Q503)</f>
        <v/>
      </c>
      <c r="AB486" s="296" t="str">
        <f t="shared" si="119"/>
        <v/>
      </c>
      <c r="AC486" s="295" t="str">
        <f>IF('Donor Sample'!R503="","",'Donor Sample'!R503)</f>
        <v/>
      </c>
      <c r="AD486" s="294" t="str">
        <f>IF('Donor Sample'!S503="","",'Donor Sample'!S503/100)</f>
        <v/>
      </c>
      <c r="AE486" s="407" t="e">
        <f t="shared" si="129"/>
        <v>#VALUE!</v>
      </c>
      <c r="AF486" s="293" t="str">
        <f t="shared" si="130"/>
        <v/>
      </c>
      <c r="AG486" s="292" t="str">
        <f>IF('Donor Sample'!T503="","",'Donor Sample'!T503)</f>
        <v/>
      </c>
      <c r="AH486" s="891">
        <f t="shared" si="131"/>
        <v>2</v>
      </c>
      <c r="AI486" s="1220">
        <v>4.8921942710876465E-2</v>
      </c>
      <c r="AJ486" s="1216"/>
    </row>
    <row r="487" spans="5:36">
      <c r="E487" s="299">
        <v>479</v>
      </c>
      <c r="F487" s="308">
        <f t="shared" ca="1" si="120"/>
        <v>2785.6507328594325</v>
      </c>
      <c r="G487" s="307">
        <f t="shared" ca="1" si="121"/>
        <v>213.89261545941073</v>
      </c>
      <c r="H487" s="306">
        <f t="shared" ca="1" si="122"/>
        <v>0.41261505846865609</v>
      </c>
      <c r="I487" s="305">
        <f t="shared" ca="1" si="124"/>
        <v>102.11561196363135</v>
      </c>
      <c r="J487" s="305">
        <f t="shared" ca="1" si="125"/>
        <v>56.829206281281877</v>
      </c>
      <c r="K487" s="292">
        <f t="shared" ca="1" si="123"/>
        <v>1.9150763524089445</v>
      </c>
      <c r="L487" s="1290">
        <f t="shared" ca="1" si="126"/>
        <v>22.259818693358191</v>
      </c>
      <c r="M487" s="299">
        <v>479</v>
      </c>
      <c r="N487" s="304">
        <f t="shared" si="127"/>
        <v>3698.7574907034377</v>
      </c>
      <c r="O487" s="303">
        <v>279.62244260027433</v>
      </c>
      <c r="P487" s="302">
        <v>0.44714263241826119</v>
      </c>
      <c r="Q487" s="301">
        <v>120.6194597294635</v>
      </c>
      <c r="R487" s="301">
        <v>66.377194425025976</v>
      </c>
      <c r="S487" s="300">
        <v>2.0079283789405014</v>
      </c>
      <c r="T487" s="891">
        <f t="shared" si="128"/>
        <v>64</v>
      </c>
      <c r="U487" s="1220">
        <v>0.46578079462051392</v>
      </c>
      <c r="W487" s="299">
        <v>479</v>
      </c>
      <c r="X487" s="298">
        <f>IF('Donor Sample'!N504="",,IF('Donor Sample'!N504="F",1,0))</f>
        <v>0</v>
      </c>
      <c r="Y487" s="298" t="str">
        <f>IF('Donor Sample'!O504="","",'Donor Sample'!O504)</f>
        <v/>
      </c>
      <c r="Z487" s="298" t="str">
        <f>IF(AND('Donor Sample'!O504="",'Donor Sample'!P504="",'Donor Sample'!Q504=""),"",IF('Donor Sample'!P504="",ROUND(AA487/($C$32+($AI487-0.5)*$C$31),0),'Donor Sample'!P504))</f>
        <v/>
      </c>
      <c r="AA487" s="297" t="str">
        <f>IF('Donor Sample'!Q504="","",'Donor Sample'!Q504)</f>
        <v/>
      </c>
      <c r="AB487" s="296" t="str">
        <f t="shared" si="119"/>
        <v/>
      </c>
      <c r="AC487" s="295" t="str">
        <f>IF('Donor Sample'!R504="","",'Donor Sample'!R504)</f>
        <v/>
      </c>
      <c r="AD487" s="294" t="str">
        <f>IF('Donor Sample'!S504="","",'Donor Sample'!S504/100)</f>
        <v/>
      </c>
      <c r="AE487" s="293" t="e">
        <f t="shared" si="129"/>
        <v>#VALUE!</v>
      </c>
      <c r="AF487" s="293" t="str">
        <f t="shared" si="130"/>
        <v/>
      </c>
      <c r="AG487" s="292" t="str">
        <f>IF('Donor Sample'!T504="","",'Donor Sample'!T504)</f>
        <v/>
      </c>
      <c r="AH487" s="891">
        <f t="shared" si="131"/>
        <v>32</v>
      </c>
      <c r="AI487" s="1220">
        <v>0.80524164438247681</v>
      </c>
      <c r="AJ487" s="1216"/>
    </row>
    <row r="488" spans="5:36">
      <c r="E488" s="299">
        <v>480</v>
      </c>
      <c r="F488" s="308">
        <f t="shared" ca="1" si="120"/>
        <v>3332.3745605351223</v>
      </c>
      <c r="G488" s="307">
        <f t="shared" ca="1" si="121"/>
        <v>204.82471266996706</v>
      </c>
      <c r="H488" s="306">
        <f t="shared" ca="1" si="122"/>
        <v>0.44040143297962564</v>
      </c>
      <c r="I488" s="305">
        <f t="shared" ca="1" si="124"/>
        <v>105.82439124774145</v>
      </c>
      <c r="J488" s="305">
        <f t="shared" ca="1" si="125"/>
        <v>58.169679089361047</v>
      </c>
      <c r="K488" s="292">
        <f t="shared" ca="1" si="123"/>
        <v>1.4343560366234278</v>
      </c>
      <c r="L488" s="1290">
        <f t="shared" ca="1" si="126"/>
        <v>22.017352838553865</v>
      </c>
      <c r="M488" s="299">
        <v>480</v>
      </c>
      <c r="N488" s="304">
        <f t="shared" si="127"/>
        <v>4062.9842911897576</v>
      </c>
      <c r="O488" s="303">
        <v>248.47381353081164</v>
      </c>
      <c r="P488" s="302">
        <v>0.43838120287471788</v>
      </c>
      <c r="Q488" s="301">
        <v>149.12732735017832</v>
      </c>
      <c r="R488" s="301">
        <v>59.739098290122335</v>
      </c>
      <c r="S488" s="300">
        <v>1.8338305483520181</v>
      </c>
      <c r="T488" s="891">
        <f t="shared" si="128"/>
        <v>64</v>
      </c>
      <c r="U488" s="1220">
        <v>0.44840288162231445</v>
      </c>
      <c r="W488" s="299">
        <v>480</v>
      </c>
      <c r="X488" s="298">
        <f>IF('Donor Sample'!N505="",,IF('Donor Sample'!N505="F",1,0))</f>
        <v>0</v>
      </c>
      <c r="Y488" s="298" t="str">
        <f>IF('Donor Sample'!O505="","",'Donor Sample'!O505)</f>
        <v/>
      </c>
      <c r="Z488" s="298" t="str">
        <f>IF(AND('Donor Sample'!O505="",'Donor Sample'!P505="",'Donor Sample'!Q505=""),"",IF('Donor Sample'!P505="",ROUND(AA488/($C$32+($AI488-0.5)*$C$31),0),'Donor Sample'!P505))</f>
        <v/>
      </c>
      <c r="AA488" s="297" t="str">
        <f>IF('Donor Sample'!Q505="","",'Donor Sample'!Q505)</f>
        <v/>
      </c>
      <c r="AB488" s="296" t="str">
        <f t="shared" si="119"/>
        <v/>
      </c>
      <c r="AC488" s="295" t="str">
        <f>IF('Donor Sample'!R505="","",'Donor Sample'!R505)</f>
        <v/>
      </c>
      <c r="AD488" s="294" t="str">
        <f>IF('Donor Sample'!S505="","",'Donor Sample'!S505/100)</f>
        <v/>
      </c>
      <c r="AE488" s="293" t="e">
        <f t="shared" si="129"/>
        <v>#VALUE!</v>
      </c>
      <c r="AF488" s="293" t="str">
        <f t="shared" si="130"/>
        <v/>
      </c>
      <c r="AG488" s="292" t="str">
        <f>IF('Donor Sample'!T505="","",'Donor Sample'!T505)</f>
        <v/>
      </c>
      <c r="AH488" s="891">
        <f t="shared" si="131"/>
        <v>2</v>
      </c>
      <c r="AI488" s="1220">
        <v>4.5742988586425781E-2</v>
      </c>
      <c r="AJ488" s="1216"/>
    </row>
    <row r="489" spans="5:36">
      <c r="E489" s="299">
        <v>481</v>
      </c>
      <c r="F489" s="308">
        <f t="shared" ca="1" si="120"/>
        <v>4685.0473771834349</v>
      </c>
      <c r="G489" s="307">
        <f t="shared" ca="1" si="121"/>
        <v>213.6235000808208</v>
      </c>
      <c r="H489" s="306">
        <f t="shared" ca="1" si="122"/>
        <v>0.44898765870242285</v>
      </c>
      <c r="I489" s="305">
        <f t="shared" ca="1" si="124"/>
        <v>194.54671402065242</v>
      </c>
      <c r="J489" s="305">
        <f t="shared" ca="1" si="125"/>
        <v>59.094250305402468</v>
      </c>
      <c r="K489" s="292">
        <f t="shared" ca="1" si="123"/>
        <v>9.9787106477690166</v>
      </c>
      <c r="L489" s="1290">
        <f t="shared" ca="1" si="126"/>
        <v>39.219865878771991</v>
      </c>
      <c r="M489" s="299">
        <v>481</v>
      </c>
      <c r="N489" s="304">
        <f t="shared" si="127"/>
        <v>2984.7223029826596</v>
      </c>
      <c r="O489" s="303">
        <v>195.20981456365544</v>
      </c>
      <c r="P489" s="302">
        <v>0.44325130764037191</v>
      </c>
      <c r="Q489" s="301">
        <v>97.057788902822551</v>
      </c>
      <c r="R489" s="301">
        <v>54.321415566975084</v>
      </c>
      <c r="S489" s="300">
        <v>3.4318920394469101</v>
      </c>
      <c r="T489" s="891">
        <f t="shared" si="128"/>
        <v>64</v>
      </c>
      <c r="U489" s="1220">
        <v>0.62254589796066284</v>
      </c>
      <c r="W489" s="299">
        <v>481</v>
      </c>
      <c r="X489" s="298">
        <f>IF('Donor Sample'!N506="",,IF('Donor Sample'!N506="F",1,0))</f>
        <v>0</v>
      </c>
      <c r="Y489" s="298" t="str">
        <f>IF('Donor Sample'!O506="","",'Donor Sample'!O506)</f>
        <v/>
      </c>
      <c r="Z489" s="298" t="str">
        <f>IF(AND('Donor Sample'!O506="",'Donor Sample'!P506="",'Donor Sample'!Q506=""),"",IF('Donor Sample'!P506="",ROUND(AA489/($C$32+($AI489-0.5)*$C$31),0),'Donor Sample'!P506))</f>
        <v/>
      </c>
      <c r="AA489" s="297" t="str">
        <f>IF('Donor Sample'!Q506="","",'Donor Sample'!Q506)</f>
        <v/>
      </c>
      <c r="AB489" s="296" t="str">
        <f t="shared" si="119"/>
        <v/>
      </c>
      <c r="AC489" s="295" t="str">
        <f>IF('Donor Sample'!R506="","",'Donor Sample'!R506)</f>
        <v/>
      </c>
      <c r="AD489" s="294" t="str">
        <f>IF('Donor Sample'!S506="","",'Donor Sample'!S506/100)</f>
        <v/>
      </c>
      <c r="AE489" s="407" t="e">
        <f t="shared" si="129"/>
        <v>#VALUE!</v>
      </c>
      <c r="AF489" s="293" t="str">
        <f t="shared" si="130"/>
        <v/>
      </c>
      <c r="AG489" s="292" t="str">
        <f>IF('Donor Sample'!T506="","",'Donor Sample'!T506)</f>
        <v/>
      </c>
      <c r="AH489" s="891">
        <f t="shared" si="131"/>
        <v>64</v>
      </c>
      <c r="AI489" s="1220">
        <v>0.48335760831832886</v>
      </c>
      <c r="AJ489" s="1216"/>
    </row>
    <row r="490" spans="5:36">
      <c r="E490" s="299">
        <v>482</v>
      </c>
      <c r="F490" s="308">
        <f t="shared" ca="1" si="120"/>
        <v>3314.0331645050642</v>
      </c>
      <c r="G490" s="307">
        <f t="shared" ca="1" si="121"/>
        <v>193.62752438242666</v>
      </c>
      <c r="H490" s="306">
        <f t="shared" ca="1" si="122"/>
        <v>0.42104415157909508</v>
      </c>
      <c r="I490" s="305">
        <f t="shared" ca="1" si="124"/>
        <v>114.88816410802984</v>
      </c>
      <c r="J490" s="305">
        <f t="shared" ca="1" si="125"/>
        <v>55.587903860127263</v>
      </c>
      <c r="K490" s="292">
        <f t="shared" ca="1" si="123"/>
        <v>1.7397662759495729</v>
      </c>
      <c r="L490" s="1290">
        <f t="shared" ca="1" si="126"/>
        <v>26.175039952134785</v>
      </c>
      <c r="M490" s="299">
        <v>482</v>
      </c>
      <c r="N490" s="304">
        <f t="shared" si="127"/>
        <v>3753.3211926193062</v>
      </c>
      <c r="O490" s="303">
        <v>201.19533900492871</v>
      </c>
      <c r="P490" s="302">
        <v>0.38800912318747693</v>
      </c>
      <c r="Q490" s="301">
        <v>128.34934975525181</v>
      </c>
      <c r="R490" s="301">
        <v>59.64098785587403</v>
      </c>
      <c r="S490" s="300">
        <v>1.9090522015528335</v>
      </c>
      <c r="T490" s="891">
        <f t="shared" si="128"/>
        <v>64</v>
      </c>
      <c r="U490" s="1220">
        <v>0.67158901691436768</v>
      </c>
      <c r="W490" s="299">
        <v>482</v>
      </c>
      <c r="X490" s="298">
        <f>IF('Donor Sample'!N507="",,IF('Donor Sample'!N507="F",1,0))</f>
        <v>0</v>
      </c>
      <c r="Y490" s="298" t="str">
        <f>IF('Donor Sample'!O507="","",'Donor Sample'!O507)</f>
        <v/>
      </c>
      <c r="Z490" s="298" t="str">
        <f>IF(AND('Donor Sample'!O507="",'Donor Sample'!P507="",'Donor Sample'!Q507=""),"",IF('Donor Sample'!P507="",ROUND(AA490/($C$32+($AI490-0.5)*$C$31),0),'Donor Sample'!P507))</f>
        <v/>
      </c>
      <c r="AA490" s="297" t="str">
        <f>IF('Donor Sample'!Q507="","",'Donor Sample'!Q507)</f>
        <v/>
      </c>
      <c r="AB490" s="296" t="str">
        <f t="shared" si="119"/>
        <v/>
      </c>
      <c r="AC490" s="295" t="str">
        <f>IF('Donor Sample'!R507="","",'Donor Sample'!R507)</f>
        <v/>
      </c>
      <c r="AD490" s="294" t="str">
        <f>IF('Donor Sample'!S507="","",'Donor Sample'!S507/100)</f>
        <v/>
      </c>
      <c r="AE490" s="293" t="e">
        <f t="shared" si="129"/>
        <v>#VALUE!</v>
      </c>
      <c r="AF490" s="293" t="str">
        <f t="shared" si="130"/>
        <v/>
      </c>
      <c r="AG490" s="292" t="str">
        <f>IF('Donor Sample'!T507="","",'Donor Sample'!T507)</f>
        <v/>
      </c>
      <c r="AH490" s="891">
        <f t="shared" si="131"/>
        <v>64</v>
      </c>
      <c r="AI490" s="1220">
        <v>0.63065779209136963</v>
      </c>
      <c r="AJ490" s="1216"/>
    </row>
    <row r="491" spans="5:36">
      <c r="E491" s="299">
        <v>483</v>
      </c>
      <c r="F491" s="308">
        <f t="shared" ca="1" si="120"/>
        <v>3315.3310906895949</v>
      </c>
      <c r="G491" s="307">
        <f t="shared" ca="1" si="121"/>
        <v>275.38359592393738</v>
      </c>
      <c r="H491" s="306">
        <f t="shared" ca="1" si="122"/>
        <v>0.36379263936929584</v>
      </c>
      <c r="I491" s="305">
        <f t="shared" ca="1" si="124"/>
        <v>124.48679474690518</v>
      </c>
      <c r="J491" s="305">
        <f t="shared" ca="1" si="125"/>
        <v>60.074001324585133</v>
      </c>
      <c r="K491" s="292">
        <f t="shared" ca="1" si="123"/>
        <v>9.0026530822229898</v>
      </c>
      <c r="L491" s="1290">
        <f t="shared" ca="1" si="126"/>
        <v>24.284145401650981</v>
      </c>
      <c r="M491" s="299">
        <v>483</v>
      </c>
      <c r="N491" s="304">
        <f t="shared" si="127"/>
        <v>3640.4000605167685</v>
      </c>
      <c r="O491" s="303">
        <v>213.44232778548329</v>
      </c>
      <c r="P491" s="302">
        <v>0.41827878996181839</v>
      </c>
      <c r="Q491" s="301">
        <v>116.76721644059442</v>
      </c>
      <c r="R491" s="301">
        <v>66.369754049851352</v>
      </c>
      <c r="S491" s="300">
        <v>3.2910197272654607</v>
      </c>
      <c r="T491" s="891">
        <f t="shared" si="128"/>
        <v>8</v>
      </c>
      <c r="U491" s="1220">
        <v>0.99754315614700317</v>
      </c>
      <c r="W491" s="299">
        <v>483</v>
      </c>
      <c r="X491" s="298">
        <f>IF('Donor Sample'!N508="",,IF('Donor Sample'!N508="F",1,0))</f>
        <v>0</v>
      </c>
      <c r="Y491" s="298" t="str">
        <f>IF('Donor Sample'!O508="","",'Donor Sample'!O508)</f>
        <v/>
      </c>
      <c r="Z491" s="298" t="str">
        <f>IF(AND('Donor Sample'!O508="",'Donor Sample'!P508="",'Donor Sample'!Q508=""),"",IF('Donor Sample'!P508="",ROUND(AA491/($C$32+($AI491-0.5)*$C$31),0),'Donor Sample'!P508))</f>
        <v/>
      </c>
      <c r="AA491" s="297" t="str">
        <f>IF('Donor Sample'!Q508="","",'Donor Sample'!Q508)</f>
        <v/>
      </c>
      <c r="AB491" s="296" t="str">
        <f t="shared" si="119"/>
        <v/>
      </c>
      <c r="AC491" s="295" t="str">
        <f>IF('Donor Sample'!R508="","",'Donor Sample'!R508)</f>
        <v/>
      </c>
      <c r="AD491" s="294" t="str">
        <f>IF('Donor Sample'!S508="","",'Donor Sample'!S508/100)</f>
        <v/>
      </c>
      <c r="AE491" s="293" t="e">
        <f t="shared" si="129"/>
        <v>#VALUE!</v>
      </c>
      <c r="AF491" s="293" t="str">
        <f t="shared" si="130"/>
        <v/>
      </c>
      <c r="AG491" s="292" t="str">
        <f>IF('Donor Sample'!T508="","",'Donor Sample'!T508)</f>
        <v/>
      </c>
      <c r="AH491" s="891">
        <f t="shared" si="131"/>
        <v>8</v>
      </c>
      <c r="AI491" s="1220">
        <v>0.99582511186599731</v>
      </c>
      <c r="AJ491" s="1216"/>
    </row>
    <row r="492" spans="5:36">
      <c r="E492" s="299">
        <v>484</v>
      </c>
      <c r="F492" s="308">
        <f t="shared" ca="1" si="120"/>
        <v>2693.43151848247</v>
      </c>
      <c r="G492" s="307">
        <f t="shared" ca="1" si="121"/>
        <v>230.02151907742558</v>
      </c>
      <c r="H492" s="306">
        <f t="shared" ca="1" si="122"/>
        <v>0.41261319291228882</v>
      </c>
      <c r="I492" s="305">
        <f t="shared" ca="1" si="124"/>
        <v>101.53273136133984</v>
      </c>
      <c r="J492" s="305">
        <f t="shared" ca="1" si="125"/>
        <v>55.312509871591168</v>
      </c>
      <c r="K492" s="292">
        <f t="shared" ca="1" si="123"/>
        <v>7.1350082152607941</v>
      </c>
      <c r="L492" s="1290">
        <f t="shared" ca="1" si="126"/>
        <v>23.363182285260823</v>
      </c>
      <c r="M492" s="299">
        <v>484</v>
      </c>
      <c r="N492" s="304">
        <f t="shared" si="127"/>
        <v>3244.760459383976</v>
      </c>
      <c r="O492" s="303">
        <v>251.56985980196251</v>
      </c>
      <c r="P492" s="302">
        <v>0.42891126657185524</v>
      </c>
      <c r="Q492" s="301">
        <v>106.39493578956099</v>
      </c>
      <c r="R492" s="301">
        <v>63.097896702112671</v>
      </c>
      <c r="S492" s="300">
        <v>5.7581905646636189</v>
      </c>
      <c r="T492" s="891">
        <f t="shared" si="128"/>
        <v>2</v>
      </c>
      <c r="U492" s="1220">
        <v>3.793025016784668E-2</v>
      </c>
      <c r="W492" s="299">
        <v>484</v>
      </c>
      <c r="X492" s="298">
        <f>IF('Donor Sample'!N509="",,IF('Donor Sample'!N509="F",1,0))</f>
        <v>0</v>
      </c>
      <c r="Y492" s="298" t="str">
        <f>IF('Donor Sample'!O509="","",'Donor Sample'!O509)</f>
        <v/>
      </c>
      <c r="Z492" s="298" t="str">
        <f>IF(AND('Donor Sample'!O509="",'Donor Sample'!P509="",'Donor Sample'!Q509=""),"",IF('Donor Sample'!P509="",ROUND(AA492/($C$32+($AI492-0.5)*$C$31),0),'Donor Sample'!P509))</f>
        <v/>
      </c>
      <c r="AA492" s="297" t="str">
        <f>IF('Donor Sample'!Q509="","",'Donor Sample'!Q509)</f>
        <v/>
      </c>
      <c r="AB492" s="296" t="str">
        <f t="shared" si="119"/>
        <v/>
      </c>
      <c r="AC492" s="295" t="str">
        <f>IF('Donor Sample'!R509="","",'Donor Sample'!R509)</f>
        <v/>
      </c>
      <c r="AD492" s="294" t="str">
        <f>IF('Donor Sample'!S509="","",'Donor Sample'!S509/100)</f>
        <v/>
      </c>
      <c r="AE492" s="407" t="e">
        <f t="shared" si="129"/>
        <v>#VALUE!</v>
      </c>
      <c r="AF492" s="293" t="str">
        <f t="shared" si="130"/>
        <v/>
      </c>
      <c r="AG492" s="292" t="str">
        <f>IF('Donor Sample'!T509="","",'Donor Sample'!T509)</f>
        <v/>
      </c>
      <c r="AH492" s="891">
        <f t="shared" si="131"/>
        <v>256</v>
      </c>
      <c r="AI492" s="1220">
        <v>0.91661953926086426</v>
      </c>
      <c r="AJ492" s="1216"/>
    </row>
    <row r="493" spans="5:36">
      <c r="E493" s="299">
        <v>485</v>
      </c>
      <c r="F493" s="308">
        <f t="shared" ca="1" si="120"/>
        <v>3677.5206411944314</v>
      </c>
      <c r="G493" s="307">
        <f t="shared" ca="1" si="121"/>
        <v>223.19434102547439</v>
      </c>
      <c r="H493" s="306">
        <f t="shared" ca="1" si="122"/>
        <v>0.44558865973125961</v>
      </c>
      <c r="I493" s="305">
        <f t="shared" ca="1" si="124"/>
        <v>136.12257877919296</v>
      </c>
      <c r="J493" s="305">
        <f t="shared" ca="1" si="125"/>
        <v>62.908581745773596</v>
      </c>
      <c r="K493" s="292">
        <f t="shared" ca="1" si="123"/>
        <v>10.281737148730057</v>
      </c>
      <c r="L493" s="1290">
        <f t="shared" ca="1" si="126"/>
        <v>24.214920002289386</v>
      </c>
      <c r="M493" s="299">
        <v>485</v>
      </c>
      <c r="N493" s="304">
        <f t="shared" si="127"/>
        <v>4047.8208262224307</v>
      </c>
      <c r="O493" s="303">
        <v>278.50945292906511</v>
      </c>
      <c r="P493" s="302">
        <v>0.44272319483577155</v>
      </c>
      <c r="Q493" s="301">
        <v>137.21401666420678</v>
      </c>
      <c r="R493" s="301">
        <v>67.651053280949327</v>
      </c>
      <c r="S493" s="300">
        <v>3.1824123251062684</v>
      </c>
      <c r="T493" s="891">
        <f t="shared" si="128"/>
        <v>64</v>
      </c>
      <c r="U493" s="1220">
        <v>0.54952043294906616</v>
      </c>
      <c r="W493" s="299">
        <v>485</v>
      </c>
      <c r="X493" s="298">
        <f>IF('Donor Sample'!N510="",,IF('Donor Sample'!N510="F",1,0))</f>
        <v>0</v>
      </c>
      <c r="Y493" s="298" t="str">
        <f>IF('Donor Sample'!O510="","",'Donor Sample'!O510)</f>
        <v/>
      </c>
      <c r="Z493" s="298" t="str">
        <f>IF(AND('Donor Sample'!O510="",'Donor Sample'!P510="",'Donor Sample'!Q510=""),"",IF('Donor Sample'!P510="",ROUND(AA493/($C$32+($AI493-0.5)*$C$31),0),'Donor Sample'!P510))</f>
        <v/>
      </c>
      <c r="AA493" s="297" t="str">
        <f>IF('Donor Sample'!Q510="","",'Donor Sample'!Q510)</f>
        <v/>
      </c>
      <c r="AB493" s="296" t="str">
        <f t="shared" si="119"/>
        <v/>
      </c>
      <c r="AC493" s="295" t="str">
        <f>IF('Donor Sample'!R510="","",'Donor Sample'!R510)</f>
        <v/>
      </c>
      <c r="AD493" s="294" t="str">
        <f>IF('Donor Sample'!S510="","",'Donor Sample'!S510/100)</f>
        <v/>
      </c>
      <c r="AE493" s="293" t="e">
        <f t="shared" si="129"/>
        <v>#VALUE!</v>
      </c>
      <c r="AF493" s="293" t="str">
        <f t="shared" si="130"/>
        <v/>
      </c>
      <c r="AG493" s="292" t="str">
        <f>IF('Donor Sample'!T510="","",'Donor Sample'!T510)</f>
        <v/>
      </c>
      <c r="AH493" s="891">
        <f t="shared" si="131"/>
        <v>32</v>
      </c>
      <c r="AI493" s="1220">
        <v>0.79284709692001343</v>
      </c>
      <c r="AJ493" s="1216"/>
    </row>
    <row r="494" spans="5:36">
      <c r="E494" s="299">
        <v>486</v>
      </c>
      <c r="F494" s="308">
        <f t="shared" ca="1" si="120"/>
        <v>4106.3545293977149</v>
      </c>
      <c r="G494" s="307">
        <f t="shared" ca="1" si="121"/>
        <v>174.85736392586409</v>
      </c>
      <c r="H494" s="306">
        <f t="shared" ca="1" si="122"/>
        <v>0.37191346217964133</v>
      </c>
      <c r="I494" s="305">
        <f t="shared" ca="1" si="124"/>
        <v>142.19216874161484</v>
      </c>
      <c r="J494" s="305">
        <f t="shared" ca="1" si="125"/>
        <v>61.90640668183714</v>
      </c>
      <c r="K494" s="292">
        <f t="shared" ca="1" si="123"/>
        <v>1.2429882233650504</v>
      </c>
      <c r="L494" s="1290">
        <f t="shared" ca="1" si="126"/>
        <v>26.120238888441211</v>
      </c>
      <c r="M494" s="299">
        <v>486</v>
      </c>
      <c r="N494" s="304">
        <f t="shared" si="127"/>
        <v>2617.5335080522136</v>
      </c>
      <c r="O494" s="303">
        <v>212.97661787041605</v>
      </c>
      <c r="P494" s="302">
        <v>0.36143513854040954</v>
      </c>
      <c r="Q494" s="301">
        <v>84.513677846233662</v>
      </c>
      <c r="R494" s="301">
        <v>50.61631970120041</v>
      </c>
      <c r="S494" s="300">
        <v>2.9657241226576003</v>
      </c>
      <c r="T494" s="891">
        <f t="shared" si="128"/>
        <v>2</v>
      </c>
      <c r="U494" s="1220">
        <v>5.3995490074157715E-2</v>
      </c>
      <c r="W494" s="299">
        <v>486</v>
      </c>
      <c r="X494" s="298">
        <f>IF('Donor Sample'!N511="",,IF('Donor Sample'!N511="F",1,0))</f>
        <v>0</v>
      </c>
      <c r="Y494" s="298" t="str">
        <f>IF('Donor Sample'!O511="","",'Donor Sample'!O511)</f>
        <v/>
      </c>
      <c r="Z494" s="298" t="str">
        <f>IF(AND('Donor Sample'!O511="",'Donor Sample'!P511="",'Donor Sample'!Q511=""),"",IF('Donor Sample'!P511="",ROUND(AA494/($C$32+($AI494-0.5)*$C$31),0),'Donor Sample'!P511))</f>
        <v/>
      </c>
      <c r="AA494" s="297" t="str">
        <f>IF('Donor Sample'!Q511="","",'Donor Sample'!Q511)</f>
        <v/>
      </c>
      <c r="AB494" s="296" t="str">
        <f t="shared" si="119"/>
        <v/>
      </c>
      <c r="AC494" s="295" t="str">
        <f>IF('Donor Sample'!R511="","",'Donor Sample'!R511)</f>
        <v/>
      </c>
      <c r="AD494" s="294" t="str">
        <f>IF('Donor Sample'!S511="","",'Donor Sample'!S511/100)</f>
        <v/>
      </c>
      <c r="AE494" s="293" t="e">
        <f t="shared" si="129"/>
        <v>#VALUE!</v>
      </c>
      <c r="AF494" s="293" t="str">
        <f t="shared" si="130"/>
        <v/>
      </c>
      <c r="AG494" s="292" t="str">
        <f>IF('Donor Sample'!T511="","",'Donor Sample'!T511)</f>
        <v/>
      </c>
      <c r="AH494" s="891">
        <f t="shared" si="131"/>
        <v>2</v>
      </c>
      <c r="AI494" s="1220">
        <v>0.18583190441131592</v>
      </c>
      <c r="AJ494" s="1216"/>
    </row>
    <row r="495" spans="5:36">
      <c r="E495" s="299">
        <v>487</v>
      </c>
      <c r="F495" s="308">
        <f t="shared" ca="1" si="120"/>
        <v>2672.6325470527722</v>
      </c>
      <c r="G495" s="307">
        <f t="shared" ca="1" si="121"/>
        <v>248.59908729254045</v>
      </c>
      <c r="H495" s="306">
        <f t="shared" ca="1" si="122"/>
        <v>0.46244463756782123</v>
      </c>
      <c r="I495" s="305">
        <f t="shared" ca="1" si="124"/>
        <v>91.344672400895561</v>
      </c>
      <c r="J495" s="305">
        <f t="shared" ca="1" si="125"/>
        <v>49.631361311424243</v>
      </c>
      <c r="K495" s="292">
        <f t="shared" ca="1" si="123"/>
        <v>1.2920905242292224</v>
      </c>
      <c r="L495" s="1290">
        <f t="shared" ca="1" si="126"/>
        <v>26.106190750049407</v>
      </c>
      <c r="M495" s="299">
        <v>487</v>
      </c>
      <c r="N495" s="304">
        <f t="shared" si="127"/>
        <v>2666.4083475034304</v>
      </c>
      <c r="O495" s="303">
        <v>238.01583330596944</v>
      </c>
      <c r="P495" s="302">
        <v>0.40174021943250582</v>
      </c>
      <c r="Q495" s="301">
        <v>90.902949401779793</v>
      </c>
      <c r="R495" s="301">
        <v>49.636424232260758</v>
      </c>
      <c r="S495" s="300">
        <v>2.1486705264081949</v>
      </c>
      <c r="T495" s="891">
        <f t="shared" si="128"/>
        <v>64</v>
      </c>
      <c r="U495" s="1220">
        <v>0.61033350229263306</v>
      </c>
      <c r="W495" s="299">
        <v>487</v>
      </c>
      <c r="X495" s="298">
        <f>IF('Donor Sample'!N512="",,IF('Donor Sample'!N512="F",1,0))</f>
        <v>0</v>
      </c>
      <c r="Y495" s="298" t="str">
        <f>IF('Donor Sample'!O512="","",'Donor Sample'!O512)</f>
        <v/>
      </c>
      <c r="Z495" s="298" t="str">
        <f>IF(AND('Donor Sample'!O512="",'Donor Sample'!P512="",'Donor Sample'!Q512=""),"",IF('Donor Sample'!P512="",ROUND(AA495/($C$32+($AI495-0.5)*$C$31),0),'Donor Sample'!P512))</f>
        <v/>
      </c>
      <c r="AA495" s="297" t="str">
        <f>IF('Donor Sample'!Q512="","",'Donor Sample'!Q512)</f>
        <v/>
      </c>
      <c r="AB495" s="296" t="str">
        <f t="shared" si="119"/>
        <v/>
      </c>
      <c r="AC495" s="295" t="str">
        <f>IF('Donor Sample'!R512="","",'Donor Sample'!R512)</f>
        <v/>
      </c>
      <c r="AD495" s="294" t="str">
        <f>IF('Donor Sample'!S512="","",'Donor Sample'!S512/100)</f>
        <v/>
      </c>
      <c r="AE495" s="407" t="e">
        <f t="shared" si="129"/>
        <v>#VALUE!</v>
      </c>
      <c r="AF495" s="293" t="str">
        <f t="shared" si="130"/>
        <v/>
      </c>
      <c r="AG495" s="292" t="str">
        <f>IF('Donor Sample'!T512="","",'Donor Sample'!T512)</f>
        <v/>
      </c>
      <c r="AH495" s="891">
        <f t="shared" si="131"/>
        <v>2</v>
      </c>
      <c r="AI495" s="1220">
        <v>0.12937504053115845</v>
      </c>
      <c r="AJ495" s="1216"/>
    </row>
    <row r="496" spans="5:36">
      <c r="E496" s="299">
        <v>488</v>
      </c>
      <c r="F496" s="308">
        <f t="shared" ca="1" si="120"/>
        <v>3211.2866258906279</v>
      </c>
      <c r="G496" s="307">
        <f t="shared" ca="1" si="121"/>
        <v>269.06562368628335</v>
      </c>
      <c r="H496" s="306">
        <f t="shared" ca="1" si="122"/>
        <v>0.39383096995574152</v>
      </c>
      <c r="I496" s="305">
        <f t="shared" ca="1" si="124"/>
        <v>129.04248348606339</v>
      </c>
      <c r="J496" s="305">
        <f t="shared" ca="1" si="125"/>
        <v>49.365828800702317</v>
      </c>
      <c r="K496" s="292">
        <f t="shared" ca="1" si="123"/>
        <v>4.8484679176721235</v>
      </c>
      <c r="L496" s="1290">
        <f t="shared" ca="1" si="126"/>
        <v>37.2779916132991</v>
      </c>
      <c r="M496" s="299">
        <v>488</v>
      </c>
      <c r="N496" s="304">
        <f t="shared" si="127"/>
        <v>2817.0923862146028</v>
      </c>
      <c r="O496" s="303">
        <v>196.87659565970949</v>
      </c>
      <c r="P496" s="302">
        <v>0.38365522851448458</v>
      </c>
      <c r="Q496" s="301">
        <v>111.29023425563439</v>
      </c>
      <c r="R496" s="301">
        <v>46.080326057539082</v>
      </c>
      <c r="S496" s="300">
        <v>1.6687126351948118</v>
      </c>
      <c r="T496" s="891">
        <f t="shared" si="128"/>
        <v>2</v>
      </c>
      <c r="U496" s="1220">
        <v>0.16952991485595703</v>
      </c>
      <c r="W496" s="299">
        <v>488</v>
      </c>
      <c r="X496" s="298">
        <f>IF('Donor Sample'!N513="",,IF('Donor Sample'!N513="F",1,0))</f>
        <v>0</v>
      </c>
      <c r="Y496" s="298" t="str">
        <f>IF('Donor Sample'!O513="","",'Donor Sample'!O513)</f>
        <v/>
      </c>
      <c r="Z496" s="298" t="str">
        <f>IF(AND('Donor Sample'!O513="",'Donor Sample'!P513="",'Donor Sample'!Q513=""),"",IF('Donor Sample'!P513="",ROUND(AA496/($C$32+($AI496-0.5)*$C$31),0),'Donor Sample'!P513))</f>
        <v/>
      </c>
      <c r="AA496" s="297" t="str">
        <f>IF('Donor Sample'!Q513="","",'Donor Sample'!Q513)</f>
        <v/>
      </c>
      <c r="AB496" s="296" t="str">
        <f t="shared" si="119"/>
        <v/>
      </c>
      <c r="AC496" s="295" t="str">
        <f>IF('Donor Sample'!R513="","",'Donor Sample'!R513)</f>
        <v/>
      </c>
      <c r="AD496" s="294" t="str">
        <f>IF('Donor Sample'!S513="","",'Donor Sample'!S513/100)</f>
        <v/>
      </c>
      <c r="AE496" s="293" t="e">
        <f t="shared" si="129"/>
        <v>#VALUE!</v>
      </c>
      <c r="AF496" s="293" t="str">
        <f t="shared" si="130"/>
        <v/>
      </c>
      <c r="AG496" s="292" t="str">
        <f>IF('Donor Sample'!T513="","",'Donor Sample'!T513)</f>
        <v/>
      </c>
      <c r="AH496" s="891">
        <f t="shared" si="131"/>
        <v>4</v>
      </c>
      <c r="AI496" s="1220">
        <v>0.36875295639038086</v>
      </c>
      <c r="AJ496" s="1216"/>
    </row>
    <row r="497" spans="5:36">
      <c r="E497" s="299">
        <v>489</v>
      </c>
      <c r="F497" s="308">
        <f t="shared" ca="1" si="120"/>
        <v>2934.2599298049381</v>
      </c>
      <c r="G497" s="307">
        <f t="shared" ca="1" si="121"/>
        <v>273.99660978489783</v>
      </c>
      <c r="H497" s="306">
        <f t="shared" ca="1" si="122"/>
        <v>0.47758993739920941</v>
      </c>
      <c r="I497" s="305">
        <f t="shared" ca="1" si="124"/>
        <v>90.495474868169836</v>
      </c>
      <c r="J497" s="305">
        <f t="shared" ca="1" si="125"/>
        <v>55.160449246636503</v>
      </c>
      <c r="K497" s="292">
        <f t="shared" ca="1" si="123"/>
        <v>5.8139131226020773</v>
      </c>
      <c r="L497" s="1290">
        <f t="shared" ca="1" si="126"/>
        <v>20.938421268852352</v>
      </c>
      <c r="M497" s="299">
        <v>489</v>
      </c>
      <c r="N497" s="304">
        <f t="shared" si="127"/>
        <v>3615.5952435958998</v>
      </c>
      <c r="O497" s="303">
        <v>192.61915193186786</v>
      </c>
      <c r="P497" s="302">
        <v>0.41784414303128542</v>
      </c>
      <c r="Q497" s="301">
        <v>117.70984726024744</v>
      </c>
      <c r="R497" s="301">
        <v>59.914238159496186</v>
      </c>
      <c r="S497" s="300">
        <v>3.3063821047474602</v>
      </c>
      <c r="T497" s="891">
        <f t="shared" si="128"/>
        <v>64</v>
      </c>
      <c r="U497" s="1220">
        <v>0.49480932950973511</v>
      </c>
      <c r="W497" s="299">
        <v>489</v>
      </c>
      <c r="X497" s="298">
        <f>IF('Donor Sample'!N514="",,IF('Donor Sample'!N514="F",1,0))</f>
        <v>0</v>
      </c>
      <c r="Y497" s="298" t="str">
        <f>IF('Donor Sample'!O514="","",'Donor Sample'!O514)</f>
        <v/>
      </c>
      <c r="Z497" s="298" t="str">
        <f>IF(AND('Donor Sample'!O514="",'Donor Sample'!P514="",'Donor Sample'!Q514=""),"",IF('Donor Sample'!P514="",ROUND(AA497/($C$32+($AI497-0.5)*$C$31),0),'Donor Sample'!P514))</f>
        <v/>
      </c>
      <c r="AA497" s="297" t="str">
        <f>IF('Donor Sample'!Q514="","",'Donor Sample'!Q514)</f>
        <v/>
      </c>
      <c r="AB497" s="296" t="str">
        <f t="shared" si="119"/>
        <v/>
      </c>
      <c r="AC497" s="295" t="str">
        <f>IF('Donor Sample'!R514="","",'Donor Sample'!R514)</f>
        <v/>
      </c>
      <c r="AD497" s="294" t="str">
        <f>IF('Donor Sample'!S514="","",'Donor Sample'!S514/100)</f>
        <v/>
      </c>
      <c r="AE497" s="293" t="e">
        <f t="shared" si="129"/>
        <v>#VALUE!</v>
      </c>
      <c r="AF497" s="293" t="str">
        <f t="shared" si="130"/>
        <v/>
      </c>
      <c r="AG497" s="292" t="str">
        <f>IF('Donor Sample'!T514="","",'Donor Sample'!T514)</f>
        <v/>
      </c>
      <c r="AH497" s="891">
        <f t="shared" si="131"/>
        <v>2</v>
      </c>
      <c r="AI497" s="1220">
        <v>0.12809723615646362</v>
      </c>
      <c r="AJ497" s="1216"/>
    </row>
    <row r="498" spans="5:36">
      <c r="E498" s="299">
        <v>490</v>
      </c>
      <c r="F498" s="308">
        <f t="shared" ca="1" si="120"/>
        <v>3489.2918808591776</v>
      </c>
      <c r="G498" s="307">
        <f t="shared" ca="1" si="121"/>
        <v>250.08524790610397</v>
      </c>
      <c r="H498" s="306">
        <f t="shared" ca="1" si="122"/>
        <v>0.41036828712846052</v>
      </c>
      <c r="I498" s="305">
        <f t="shared" ca="1" si="124"/>
        <v>108.47277302147442</v>
      </c>
      <c r="J498" s="305">
        <f t="shared" ca="1" si="125"/>
        <v>60.04612829148261</v>
      </c>
      <c r="K498" s="292">
        <f t="shared" ca="1" si="123"/>
        <v>1.6485911720501554</v>
      </c>
      <c r="L498" s="1290">
        <f t="shared" ca="1" si="126"/>
        <v>21.179874491466645</v>
      </c>
      <c r="M498" s="299">
        <v>490</v>
      </c>
      <c r="N498" s="304">
        <f t="shared" si="127"/>
        <v>3807.987534798458</v>
      </c>
      <c r="O498" s="303">
        <v>245.44677595911853</v>
      </c>
      <c r="P498" s="302">
        <v>0.45996342228843623</v>
      </c>
      <c r="Q498" s="301">
        <v>144.43716416607995</v>
      </c>
      <c r="R498" s="301">
        <v>56.688131240952522</v>
      </c>
      <c r="S498" s="300">
        <v>1.2946657012508789</v>
      </c>
      <c r="T498" s="891">
        <f t="shared" si="128"/>
        <v>64</v>
      </c>
      <c r="U498" s="1220">
        <v>0.44786512851715088</v>
      </c>
      <c r="W498" s="299">
        <v>490</v>
      </c>
      <c r="X498" s="298">
        <f>IF('Donor Sample'!N515="",,IF('Donor Sample'!N515="F",1,0))</f>
        <v>0</v>
      </c>
      <c r="Y498" s="298" t="str">
        <f>IF('Donor Sample'!O515="","",'Donor Sample'!O515)</f>
        <v/>
      </c>
      <c r="Z498" s="298" t="str">
        <f>IF(AND('Donor Sample'!O515="",'Donor Sample'!P515="",'Donor Sample'!Q515=""),"",IF('Donor Sample'!P515="",ROUND(AA498/($C$32+($AI498-0.5)*$C$31),0),'Donor Sample'!P515))</f>
        <v/>
      </c>
      <c r="AA498" s="297" t="str">
        <f>IF('Donor Sample'!Q515="","",'Donor Sample'!Q515)</f>
        <v/>
      </c>
      <c r="AB498" s="296" t="str">
        <f t="shared" si="119"/>
        <v/>
      </c>
      <c r="AC498" s="295" t="str">
        <f>IF('Donor Sample'!R515="","",'Donor Sample'!R515)</f>
        <v/>
      </c>
      <c r="AD498" s="294" t="str">
        <f>IF('Donor Sample'!S515="","",'Donor Sample'!S515/100)</f>
        <v/>
      </c>
      <c r="AE498" s="407" t="e">
        <f t="shared" si="129"/>
        <v>#VALUE!</v>
      </c>
      <c r="AF498" s="293" t="str">
        <f t="shared" si="130"/>
        <v/>
      </c>
      <c r="AG498" s="292" t="str">
        <f>IF('Donor Sample'!T515="","",'Donor Sample'!T515)</f>
        <v/>
      </c>
      <c r="AH498" s="891">
        <f t="shared" si="131"/>
        <v>2</v>
      </c>
      <c r="AI498" s="1220">
        <v>0.35513031482696533</v>
      </c>
      <c r="AJ498" s="1216"/>
    </row>
    <row r="499" spans="5:36">
      <c r="E499" s="299">
        <v>491</v>
      </c>
      <c r="F499" s="308">
        <f t="shared" ca="1" si="120"/>
        <v>4067.1949838008413</v>
      </c>
      <c r="G499" s="307">
        <f t="shared" ca="1" si="121"/>
        <v>260.30010908554334</v>
      </c>
      <c r="H499" s="306">
        <f t="shared" ca="1" si="122"/>
        <v>0.35622796127527556</v>
      </c>
      <c r="I499" s="305">
        <f t="shared" ca="1" si="124"/>
        <v>171.15366632031208</v>
      </c>
      <c r="J499" s="305">
        <f t="shared" ca="1" si="125"/>
        <v>54.33405559588055</v>
      </c>
      <c r="K499" s="292">
        <f t="shared" ca="1" si="123"/>
        <v>1.4050106316526381</v>
      </c>
      <c r="L499" s="1290">
        <f t="shared" ca="1" si="126"/>
        <v>40.814513130081316</v>
      </c>
      <c r="M499" s="299">
        <v>491</v>
      </c>
      <c r="N499" s="304">
        <f t="shared" si="127"/>
        <v>4310.2362354797779</v>
      </c>
      <c r="O499" s="303">
        <v>190.89258961459336</v>
      </c>
      <c r="P499" s="302">
        <v>0.48490321409172554</v>
      </c>
      <c r="Q499" s="301">
        <v>152.84177929130942</v>
      </c>
      <c r="R499" s="301">
        <v>62.598814746085615</v>
      </c>
      <c r="S499" s="300">
        <v>1.2518869626724298</v>
      </c>
      <c r="T499" s="891">
        <f t="shared" si="128"/>
        <v>16</v>
      </c>
      <c r="U499" s="1220">
        <v>0.98951560258865356</v>
      </c>
      <c r="W499" s="299">
        <v>491</v>
      </c>
      <c r="X499" s="298">
        <f>IF('Donor Sample'!N516="",,IF('Donor Sample'!N516="F",1,0))</f>
        <v>0</v>
      </c>
      <c r="Y499" s="298" t="str">
        <f>IF('Donor Sample'!O516="","",'Donor Sample'!O516)</f>
        <v/>
      </c>
      <c r="Z499" s="298" t="str">
        <f>IF(AND('Donor Sample'!O516="",'Donor Sample'!P516="",'Donor Sample'!Q516=""),"",IF('Donor Sample'!P516="",ROUND(AA499/($C$32+($AI499-0.5)*$C$31),0),'Donor Sample'!P516))</f>
        <v/>
      </c>
      <c r="AA499" s="297" t="str">
        <f>IF('Donor Sample'!Q516="","",'Donor Sample'!Q516)</f>
        <v/>
      </c>
      <c r="AB499" s="296" t="str">
        <f t="shared" si="119"/>
        <v/>
      </c>
      <c r="AC499" s="295" t="str">
        <f>IF('Donor Sample'!R516="","",'Donor Sample'!R516)</f>
        <v/>
      </c>
      <c r="AD499" s="294" t="str">
        <f>IF('Donor Sample'!S516="","",'Donor Sample'!S516/100)</f>
        <v/>
      </c>
      <c r="AE499" s="293" t="e">
        <f t="shared" si="129"/>
        <v>#VALUE!</v>
      </c>
      <c r="AF499" s="293" t="str">
        <f t="shared" si="130"/>
        <v/>
      </c>
      <c r="AG499" s="292" t="str">
        <f>IF('Donor Sample'!T516="","",'Donor Sample'!T516)</f>
        <v/>
      </c>
      <c r="AH499" s="891">
        <f t="shared" si="131"/>
        <v>2</v>
      </c>
      <c r="AI499" s="1220">
        <v>0.34633332490921021</v>
      </c>
      <c r="AJ499" s="1216"/>
    </row>
    <row r="500" spans="5:36">
      <c r="E500" s="299">
        <v>492</v>
      </c>
      <c r="F500" s="308">
        <f t="shared" ca="1" si="120"/>
        <v>4194.8326229095592</v>
      </c>
      <c r="G500" s="307">
        <f t="shared" ca="1" si="121"/>
        <v>263.38155384544632</v>
      </c>
      <c r="H500" s="306">
        <f t="shared" ca="1" si="122"/>
        <v>0.47965571527613909</v>
      </c>
      <c r="I500" s="305">
        <f t="shared" ca="1" si="124"/>
        <v>131.67987417441606</v>
      </c>
      <c r="J500" s="305">
        <f t="shared" ca="1" si="125"/>
        <v>70.408335815870728</v>
      </c>
      <c r="K500" s="292">
        <f t="shared" ca="1" si="123"/>
        <v>1.3900384027649417</v>
      </c>
      <c r="L500" s="1290">
        <f t="shared" ca="1" si="126"/>
        <v>18.700098893815394</v>
      </c>
      <c r="M500" s="299">
        <v>492</v>
      </c>
      <c r="N500" s="304">
        <f t="shared" si="127"/>
        <v>3822.1020230253298</v>
      </c>
      <c r="O500" s="303">
        <v>278.01045614247147</v>
      </c>
      <c r="P500" s="302">
        <v>0.37063824928985162</v>
      </c>
      <c r="Q500" s="301">
        <v>131.99625103676843</v>
      </c>
      <c r="R500" s="301">
        <v>65.758058792007205</v>
      </c>
      <c r="S500" s="300">
        <v>4.4251893729682372</v>
      </c>
      <c r="T500" s="891">
        <f t="shared" si="128"/>
        <v>64</v>
      </c>
      <c r="U500" s="1220">
        <v>0.59961056709289551</v>
      </c>
      <c r="W500" s="299">
        <v>492</v>
      </c>
      <c r="X500" s="298">
        <f>IF('Donor Sample'!N517="",,IF('Donor Sample'!N517="F",1,0))</f>
        <v>0</v>
      </c>
      <c r="Y500" s="298" t="str">
        <f>IF('Donor Sample'!O517="","",'Donor Sample'!O517)</f>
        <v/>
      </c>
      <c r="Z500" s="298" t="str">
        <f>IF(AND('Donor Sample'!O517="",'Donor Sample'!P517="",'Donor Sample'!Q517=""),"",IF('Donor Sample'!P517="",ROUND(AA500/($C$32+($AI500-0.5)*$C$31),0),'Donor Sample'!P517))</f>
        <v/>
      </c>
      <c r="AA500" s="297" t="str">
        <f>IF('Donor Sample'!Q517="","",'Donor Sample'!Q517)</f>
        <v/>
      </c>
      <c r="AB500" s="296" t="str">
        <f t="shared" si="119"/>
        <v/>
      </c>
      <c r="AC500" s="295" t="str">
        <f>IF('Donor Sample'!R517="","",'Donor Sample'!R517)</f>
        <v/>
      </c>
      <c r="AD500" s="294" t="str">
        <f>IF('Donor Sample'!S517="","",'Donor Sample'!S517/100)</f>
        <v/>
      </c>
      <c r="AE500" s="293" t="e">
        <f t="shared" si="129"/>
        <v>#VALUE!</v>
      </c>
      <c r="AF500" s="293" t="str">
        <f t="shared" si="130"/>
        <v/>
      </c>
      <c r="AG500" s="292" t="str">
        <f>IF('Donor Sample'!T517="","",'Donor Sample'!T517)</f>
        <v/>
      </c>
      <c r="AH500" s="891">
        <f t="shared" si="131"/>
        <v>32</v>
      </c>
      <c r="AI500" s="1220">
        <v>0.79331755638122559</v>
      </c>
      <c r="AJ500" s="1216"/>
    </row>
    <row r="501" spans="5:36">
      <c r="E501" s="299">
        <v>493</v>
      </c>
      <c r="F501" s="308">
        <f t="shared" ca="1" si="120"/>
        <v>3106.2385908903725</v>
      </c>
      <c r="G501" s="307">
        <f t="shared" ca="1" si="121"/>
        <v>171.80291577628753</v>
      </c>
      <c r="H501" s="306">
        <f t="shared" ca="1" si="122"/>
        <v>0.37367000842916442</v>
      </c>
      <c r="I501" s="305">
        <f t="shared" ca="1" si="124"/>
        <v>106.54386248902183</v>
      </c>
      <c r="J501" s="305">
        <f t="shared" ca="1" si="125"/>
        <v>61.009924041126851</v>
      </c>
      <c r="K501" s="292">
        <f t="shared" ca="1" si="123"/>
        <v>9.1539483547768246</v>
      </c>
      <c r="L501" s="1290">
        <f t="shared" ca="1" si="126"/>
        <v>20.151163538998851</v>
      </c>
      <c r="M501" s="299">
        <v>493</v>
      </c>
      <c r="N501" s="304">
        <f t="shared" si="127"/>
        <v>3449.1391310093904</v>
      </c>
      <c r="O501" s="303">
        <v>208.31415607613889</v>
      </c>
      <c r="P501" s="302">
        <v>0.40247783859893022</v>
      </c>
      <c r="Q501" s="301">
        <v>135.00792824870436</v>
      </c>
      <c r="R501" s="301">
        <v>59.691523603413536</v>
      </c>
      <c r="S501" s="300">
        <v>1.5703453399131517</v>
      </c>
      <c r="T501" s="891">
        <f t="shared" si="128"/>
        <v>64</v>
      </c>
      <c r="U501" s="1220">
        <v>0.75168651342391968</v>
      </c>
      <c r="W501" s="299">
        <v>493</v>
      </c>
      <c r="X501" s="298">
        <f>IF('Donor Sample'!N518="",,IF('Donor Sample'!N518="F",1,0))</f>
        <v>0</v>
      </c>
      <c r="Y501" s="298" t="str">
        <f>IF('Donor Sample'!O518="","",'Donor Sample'!O518)</f>
        <v/>
      </c>
      <c r="Z501" s="298" t="str">
        <f>IF(AND('Donor Sample'!O518="",'Donor Sample'!P518="",'Donor Sample'!Q518=""),"",IF('Donor Sample'!P518="",ROUND(AA501/($C$32+($AI501-0.5)*$C$31),0),'Donor Sample'!P518))</f>
        <v/>
      </c>
      <c r="AA501" s="297" t="str">
        <f>IF('Donor Sample'!Q518="","",'Donor Sample'!Q518)</f>
        <v/>
      </c>
      <c r="AB501" s="296" t="str">
        <f t="shared" si="119"/>
        <v/>
      </c>
      <c r="AC501" s="295" t="str">
        <f>IF('Donor Sample'!R518="","",'Donor Sample'!R518)</f>
        <v/>
      </c>
      <c r="AD501" s="294" t="str">
        <f>IF('Donor Sample'!S518="","",'Donor Sample'!S518/100)</f>
        <v/>
      </c>
      <c r="AE501" s="407" t="e">
        <f t="shared" si="129"/>
        <v>#VALUE!</v>
      </c>
      <c r="AF501" s="293" t="str">
        <f t="shared" si="130"/>
        <v/>
      </c>
      <c r="AG501" s="292" t="str">
        <f>IF('Donor Sample'!T518="","",'Donor Sample'!T518)</f>
        <v/>
      </c>
      <c r="AH501" s="891">
        <f t="shared" si="131"/>
        <v>256</v>
      </c>
      <c r="AI501" s="1220">
        <v>0.87808507680892944</v>
      </c>
      <c r="AJ501" s="1216"/>
    </row>
    <row r="502" spans="5:36">
      <c r="E502" s="299">
        <v>494</v>
      </c>
      <c r="F502" s="308">
        <f t="shared" ca="1" si="120"/>
        <v>2700.7133971261492</v>
      </c>
      <c r="G502" s="307">
        <f t="shared" ca="1" si="121"/>
        <v>232.89877761339065</v>
      </c>
      <c r="H502" s="306">
        <f t="shared" ca="1" si="122"/>
        <v>0.4755950764011726</v>
      </c>
      <c r="I502" s="305">
        <f t="shared" ca="1" si="124"/>
        <v>91.15780785219485</v>
      </c>
      <c r="J502" s="305">
        <f t="shared" ca="1" si="125"/>
        <v>50.315358812513232</v>
      </c>
      <c r="K502" s="292">
        <f t="shared" ca="1" si="123"/>
        <v>3.1399519867707837</v>
      </c>
      <c r="L502" s="1290">
        <f t="shared" ca="1" si="126"/>
        <v>25.349265712094859</v>
      </c>
      <c r="M502" s="299">
        <v>494</v>
      </c>
      <c r="N502" s="304">
        <f t="shared" si="127"/>
        <v>3078.6072604918318</v>
      </c>
      <c r="O502" s="303">
        <v>264.27967519510582</v>
      </c>
      <c r="P502" s="302">
        <v>0.42076991326783608</v>
      </c>
      <c r="Q502" s="301">
        <v>103.66256472982789</v>
      </c>
      <c r="R502" s="301">
        <v>54.273558205700319</v>
      </c>
      <c r="S502" s="300">
        <v>3.5604091593915403</v>
      </c>
      <c r="T502" s="891">
        <f t="shared" si="128"/>
        <v>2</v>
      </c>
      <c r="U502" s="1220">
        <v>0.28587615489959717</v>
      </c>
      <c r="W502" s="299">
        <v>494</v>
      </c>
      <c r="X502" s="298">
        <f>IF('Donor Sample'!N519="",,IF('Donor Sample'!N519="F",1,0))</f>
        <v>0</v>
      </c>
      <c r="Y502" s="298" t="str">
        <f>IF('Donor Sample'!O519="","",'Donor Sample'!O519)</f>
        <v/>
      </c>
      <c r="Z502" s="298" t="str">
        <f>IF(AND('Donor Sample'!O519="",'Donor Sample'!P519="",'Donor Sample'!Q519=""),"",IF('Donor Sample'!P519="",ROUND(AA502/($C$32+($AI502-0.5)*$C$31),0),'Donor Sample'!P519))</f>
        <v/>
      </c>
      <c r="AA502" s="297" t="str">
        <f>IF('Donor Sample'!Q519="","",'Donor Sample'!Q519)</f>
        <v/>
      </c>
      <c r="AB502" s="296" t="str">
        <f t="shared" ref="AB502:AB565" si="132">IF(AND(Y502="",Z502="",AA502=""),"",IF(AA502="",IF(X502=0,604+IF($AB$2=1,0.006012,0.0003669)*Y502^3+IF($AB$2=1,14.6,32.187)*Z502,183+IF($AB$2=1,0.005835,0.0003561)*Y502^3+IF($AB$2=1,15,33.069)*Z502),AA502))</f>
        <v/>
      </c>
      <c r="AC502" s="295" t="str">
        <f>IF('Donor Sample'!R519="","",'Donor Sample'!R519)</f>
        <v/>
      </c>
      <c r="AD502" s="294" t="str">
        <f>IF('Donor Sample'!S519="","",'Donor Sample'!S519/100)</f>
        <v/>
      </c>
      <c r="AE502" s="293" t="e">
        <f t="shared" si="129"/>
        <v>#VALUE!</v>
      </c>
      <c r="AF502" s="293" t="str">
        <f t="shared" si="130"/>
        <v/>
      </c>
      <c r="AG502" s="292" t="str">
        <f>IF('Donor Sample'!T519="","",'Donor Sample'!T519)</f>
        <v/>
      </c>
      <c r="AH502" s="891">
        <f t="shared" si="131"/>
        <v>2</v>
      </c>
      <c r="AI502" s="1220">
        <v>0.28412187099456787</v>
      </c>
      <c r="AJ502" s="1216"/>
    </row>
    <row r="503" spans="5:36">
      <c r="E503" s="299">
        <v>495</v>
      </c>
      <c r="F503" s="308">
        <f t="shared" ca="1" si="120"/>
        <v>3761.5919398719161</v>
      </c>
      <c r="G503" s="307">
        <f t="shared" ca="1" si="121"/>
        <v>208.08968219028179</v>
      </c>
      <c r="H503" s="306">
        <f t="shared" ca="1" si="122"/>
        <v>0.37652826466311107</v>
      </c>
      <c r="I503" s="305">
        <f t="shared" ca="1" si="124"/>
        <v>156.11421422658842</v>
      </c>
      <c r="J503" s="305">
        <f t="shared" ca="1" si="125"/>
        <v>52.667818136578397</v>
      </c>
      <c r="K503" s="292">
        <f t="shared" ca="1" si="123"/>
        <v>2.8171876066277584</v>
      </c>
      <c r="L503" s="1290">
        <f t="shared" ca="1" si="126"/>
        <v>39.620910548765785</v>
      </c>
      <c r="M503" s="299">
        <v>495</v>
      </c>
      <c r="N503" s="304">
        <f t="shared" si="127"/>
        <v>3076.3954109761835</v>
      </c>
      <c r="O503" s="303">
        <v>209.44772922711948</v>
      </c>
      <c r="P503" s="302">
        <v>0.49334046245027985</v>
      </c>
      <c r="Q503" s="301">
        <v>129.15227183819391</v>
      </c>
      <c r="R503" s="301">
        <v>46.041577616705155</v>
      </c>
      <c r="S503" s="300">
        <v>1.5823070211324421</v>
      </c>
      <c r="T503" s="891">
        <f t="shared" si="128"/>
        <v>256</v>
      </c>
      <c r="U503" s="1220">
        <v>0.8995547890663147</v>
      </c>
      <c r="W503" s="299">
        <v>495</v>
      </c>
      <c r="X503" s="298">
        <f>IF('Donor Sample'!N520="",,IF('Donor Sample'!N520="F",1,0))</f>
        <v>0</v>
      </c>
      <c r="Y503" s="298" t="str">
        <f>IF('Donor Sample'!O520="","",'Donor Sample'!O520)</f>
        <v/>
      </c>
      <c r="Z503" s="298" t="str">
        <f>IF(AND('Donor Sample'!O520="",'Donor Sample'!P520="",'Donor Sample'!Q520=""),"",IF('Donor Sample'!P520="",ROUND(AA503/($C$32+($AI503-0.5)*$C$31),0),'Donor Sample'!P520))</f>
        <v/>
      </c>
      <c r="AA503" s="297" t="str">
        <f>IF('Donor Sample'!Q520="","",'Donor Sample'!Q520)</f>
        <v/>
      </c>
      <c r="AB503" s="296" t="str">
        <f t="shared" si="132"/>
        <v/>
      </c>
      <c r="AC503" s="295" t="str">
        <f>IF('Donor Sample'!R520="","",'Donor Sample'!R520)</f>
        <v/>
      </c>
      <c r="AD503" s="294" t="str">
        <f>IF('Donor Sample'!S520="","",'Donor Sample'!S520/100)</f>
        <v/>
      </c>
      <c r="AE503" s="293" t="e">
        <f t="shared" si="129"/>
        <v>#VALUE!</v>
      </c>
      <c r="AF503" s="293" t="str">
        <f t="shared" si="130"/>
        <v/>
      </c>
      <c r="AG503" s="292" t="str">
        <f>IF('Donor Sample'!T520="","",'Donor Sample'!T520)</f>
        <v/>
      </c>
      <c r="AH503" s="891">
        <f t="shared" si="131"/>
        <v>2</v>
      </c>
      <c r="AI503" s="1220">
        <v>0.27249342203140259</v>
      </c>
      <c r="AJ503" s="1216"/>
    </row>
    <row r="504" spans="5:36">
      <c r="E504" s="299">
        <v>496</v>
      </c>
      <c r="F504" s="308">
        <f t="shared" ca="1" si="120"/>
        <v>3576.4603624068727</v>
      </c>
      <c r="G504" s="307">
        <f t="shared" ca="1" si="121"/>
        <v>244.05393164438809</v>
      </c>
      <c r="H504" s="306">
        <f t="shared" ca="1" si="122"/>
        <v>0.3626026368250132</v>
      </c>
      <c r="I504" s="305">
        <f t="shared" ca="1" si="124"/>
        <v>120.61637586435998</v>
      </c>
      <c r="J504" s="305">
        <f t="shared" ca="1" si="125"/>
        <v>58.62688974587973</v>
      </c>
      <c r="K504" s="292">
        <f t="shared" ca="1" si="123"/>
        <v>1.5528321688260309</v>
      </c>
      <c r="L504" s="1290">
        <f t="shared" ca="1" si="126"/>
        <v>24.70502085355178</v>
      </c>
      <c r="M504" s="299">
        <v>496</v>
      </c>
      <c r="N504" s="304">
        <f t="shared" si="127"/>
        <v>3041.392554347779</v>
      </c>
      <c r="O504" s="303">
        <v>222.97868476685949</v>
      </c>
      <c r="P504" s="302">
        <v>0.35234673104325043</v>
      </c>
      <c r="Q504" s="301">
        <v>95.965749288509542</v>
      </c>
      <c r="R504" s="301">
        <v>55.652901360954701</v>
      </c>
      <c r="S504" s="300">
        <v>2.218145188414113</v>
      </c>
      <c r="T504" s="891">
        <f t="shared" si="128"/>
        <v>256</v>
      </c>
      <c r="U504" s="1220">
        <v>0.84727621078491211</v>
      </c>
      <c r="W504" s="299">
        <v>496</v>
      </c>
      <c r="X504" s="298">
        <f>IF('Donor Sample'!N521="",,IF('Donor Sample'!N521="F",1,0))</f>
        <v>0</v>
      </c>
      <c r="Y504" s="298" t="str">
        <f>IF('Donor Sample'!O521="","",'Donor Sample'!O521)</f>
        <v/>
      </c>
      <c r="Z504" s="298" t="str">
        <f>IF(AND('Donor Sample'!O521="",'Donor Sample'!P521="",'Donor Sample'!Q521=""),"",IF('Donor Sample'!P521="",ROUND(AA504/($C$32+($AI504-0.5)*$C$31),0),'Donor Sample'!P521))</f>
        <v/>
      </c>
      <c r="AA504" s="297" t="str">
        <f>IF('Donor Sample'!Q521="","",'Donor Sample'!Q521)</f>
        <v/>
      </c>
      <c r="AB504" s="296" t="str">
        <f t="shared" si="132"/>
        <v/>
      </c>
      <c r="AC504" s="295" t="str">
        <f>IF('Donor Sample'!R521="","",'Donor Sample'!R521)</f>
        <v/>
      </c>
      <c r="AD504" s="294" t="str">
        <f>IF('Donor Sample'!S521="","",'Donor Sample'!S521/100)</f>
        <v/>
      </c>
      <c r="AE504" s="407" t="e">
        <f t="shared" si="129"/>
        <v>#VALUE!</v>
      </c>
      <c r="AF504" s="293" t="str">
        <f t="shared" si="130"/>
        <v/>
      </c>
      <c r="AG504" s="292" t="str">
        <f>IF('Donor Sample'!T521="","",'Donor Sample'!T521)</f>
        <v/>
      </c>
      <c r="AH504" s="891">
        <f t="shared" si="131"/>
        <v>2</v>
      </c>
      <c r="AI504" s="1220">
        <v>0.12543296813964844</v>
      </c>
      <c r="AJ504" s="1216"/>
    </row>
    <row r="505" spans="5:36">
      <c r="E505" s="299">
        <v>497</v>
      </c>
      <c r="F505" s="308">
        <f t="shared" ca="1" si="120"/>
        <v>3167.6678736940612</v>
      </c>
      <c r="G505" s="307">
        <f t="shared" ca="1" si="121"/>
        <v>276.24422924616846</v>
      </c>
      <c r="H505" s="306">
        <f t="shared" ca="1" si="122"/>
        <v>0.38729047950350315</v>
      </c>
      <c r="I505" s="305">
        <f t="shared" ca="1" si="124"/>
        <v>127.66554215349163</v>
      </c>
      <c r="J505" s="305">
        <f t="shared" ca="1" si="125"/>
        <v>56.807408829367191</v>
      </c>
      <c r="K505" s="292">
        <f t="shared" ca="1" si="123"/>
        <v>7.5426085947211226</v>
      </c>
      <c r="L505" s="1290">
        <f t="shared" ca="1" si="126"/>
        <v>27.850717796935051</v>
      </c>
      <c r="M505" s="299">
        <v>497</v>
      </c>
      <c r="N505" s="304">
        <f t="shared" si="127"/>
        <v>2963.3485193114111</v>
      </c>
      <c r="O505" s="303">
        <v>255.26981707570954</v>
      </c>
      <c r="P505" s="302">
        <v>0.5256838250805822</v>
      </c>
      <c r="Q505" s="301">
        <v>92.116546063498632</v>
      </c>
      <c r="R505" s="301">
        <v>62.118017750306642</v>
      </c>
      <c r="S505" s="300">
        <v>3.5316454516977749</v>
      </c>
      <c r="T505" s="891">
        <f t="shared" si="128"/>
        <v>2</v>
      </c>
      <c r="U505" s="1220">
        <v>0.32533997297286987</v>
      </c>
      <c r="W505" s="299">
        <v>497</v>
      </c>
      <c r="X505" s="298">
        <f>IF('Donor Sample'!N522="",,IF('Donor Sample'!N522="F",1,0))</f>
        <v>0</v>
      </c>
      <c r="Y505" s="298" t="str">
        <f>IF('Donor Sample'!O522="","",'Donor Sample'!O522)</f>
        <v/>
      </c>
      <c r="Z505" s="298" t="str">
        <f>IF(AND('Donor Sample'!O522="",'Donor Sample'!P522="",'Donor Sample'!Q522=""),"",IF('Donor Sample'!P522="",ROUND(AA505/($C$32+($AI505-0.5)*$C$31),0),'Donor Sample'!P522))</f>
        <v/>
      </c>
      <c r="AA505" s="297" t="str">
        <f>IF('Donor Sample'!Q522="","",'Donor Sample'!Q522)</f>
        <v/>
      </c>
      <c r="AB505" s="296" t="str">
        <f t="shared" si="132"/>
        <v/>
      </c>
      <c r="AC505" s="295" t="str">
        <f>IF('Donor Sample'!R522="","",'Donor Sample'!R522)</f>
        <v/>
      </c>
      <c r="AD505" s="294" t="str">
        <f>IF('Donor Sample'!S522="","",'Donor Sample'!S522/100)</f>
        <v/>
      </c>
      <c r="AE505" s="293" t="e">
        <f t="shared" si="129"/>
        <v>#VALUE!</v>
      </c>
      <c r="AF505" s="293" t="str">
        <f t="shared" si="130"/>
        <v/>
      </c>
      <c r="AG505" s="292" t="str">
        <f>IF('Donor Sample'!T522="","",'Donor Sample'!T522)</f>
        <v/>
      </c>
      <c r="AH505" s="891">
        <f t="shared" si="131"/>
        <v>32</v>
      </c>
      <c r="AI505" s="1220">
        <v>0.79995173215866089</v>
      </c>
      <c r="AJ505" s="1216"/>
    </row>
    <row r="506" spans="5:36">
      <c r="E506" s="299">
        <v>498</v>
      </c>
      <c r="F506" s="308">
        <f t="shared" ca="1" si="120"/>
        <v>3076.3266627166786</v>
      </c>
      <c r="G506" s="307">
        <f t="shared" ca="1" si="121"/>
        <v>251.59662581071109</v>
      </c>
      <c r="H506" s="306">
        <f t="shared" ca="1" si="122"/>
        <v>0.39031013615401866</v>
      </c>
      <c r="I506" s="305">
        <f t="shared" ca="1" si="124"/>
        <v>109.60900240806156</v>
      </c>
      <c r="J506" s="305">
        <f t="shared" ca="1" si="125"/>
        <v>52.541808737954</v>
      </c>
      <c r="K506" s="292">
        <f t="shared" ca="1" si="123"/>
        <v>1.6788810759540858</v>
      </c>
      <c r="L506" s="1290">
        <f t="shared" ca="1" si="126"/>
        <v>27.951739865715833</v>
      </c>
      <c r="M506" s="299">
        <v>498</v>
      </c>
      <c r="N506" s="304">
        <f t="shared" si="127"/>
        <v>3203.3166049435968</v>
      </c>
      <c r="O506" s="303">
        <v>241.4872075754148</v>
      </c>
      <c r="P506" s="302">
        <v>0.38407280749469275</v>
      </c>
      <c r="Q506" s="301">
        <v>103.63860966893149</v>
      </c>
      <c r="R506" s="301">
        <v>56.532214277058408</v>
      </c>
      <c r="S506" s="300">
        <v>2.1433069998386212</v>
      </c>
      <c r="T506" s="891">
        <f t="shared" si="128"/>
        <v>256</v>
      </c>
      <c r="U506" s="1220">
        <v>0.86496460437774658</v>
      </c>
      <c r="W506" s="299">
        <v>498</v>
      </c>
      <c r="X506" s="298">
        <f>IF('Donor Sample'!N523="",,IF('Donor Sample'!N523="F",1,0))</f>
        <v>0</v>
      </c>
      <c r="Y506" s="298" t="str">
        <f>IF('Donor Sample'!O523="","",'Donor Sample'!O523)</f>
        <v/>
      </c>
      <c r="Z506" s="298" t="str">
        <f>IF(AND('Donor Sample'!O523="",'Donor Sample'!P523="",'Donor Sample'!Q523=""),"",IF('Donor Sample'!P523="",ROUND(AA506/($C$32+($AI506-0.5)*$C$31),0),'Donor Sample'!P523))</f>
        <v/>
      </c>
      <c r="AA506" s="297" t="str">
        <f>IF('Donor Sample'!Q523="","",'Donor Sample'!Q523)</f>
        <v/>
      </c>
      <c r="AB506" s="296" t="str">
        <f t="shared" si="132"/>
        <v/>
      </c>
      <c r="AC506" s="295" t="str">
        <f>IF('Donor Sample'!R523="","",'Donor Sample'!R523)</f>
        <v/>
      </c>
      <c r="AD506" s="294" t="str">
        <f>IF('Donor Sample'!S523="","",'Donor Sample'!S523/100)</f>
        <v/>
      </c>
      <c r="AE506" s="293" t="e">
        <f t="shared" si="129"/>
        <v>#VALUE!</v>
      </c>
      <c r="AF506" s="293" t="str">
        <f t="shared" si="130"/>
        <v/>
      </c>
      <c r="AG506" s="292" t="str">
        <f>IF('Donor Sample'!T523="","",'Donor Sample'!T523)</f>
        <v/>
      </c>
      <c r="AH506" s="891">
        <f t="shared" si="131"/>
        <v>2</v>
      </c>
      <c r="AI506" s="1220">
        <v>1.3883233070373535E-2</v>
      </c>
      <c r="AJ506" s="1216"/>
    </row>
    <row r="507" spans="5:36">
      <c r="E507" s="299">
        <v>499</v>
      </c>
      <c r="F507" s="308">
        <f t="shared" ca="1" si="120"/>
        <v>4434.1656727999934</v>
      </c>
      <c r="G507" s="307">
        <f t="shared" ca="1" si="121"/>
        <v>219.3670433858633</v>
      </c>
      <c r="H507" s="306">
        <f t="shared" ca="1" si="122"/>
        <v>0.37453964029895731</v>
      </c>
      <c r="I507" s="305">
        <f t="shared" ca="1" si="124"/>
        <v>153.00695623408279</v>
      </c>
      <c r="J507" s="305">
        <f t="shared" ca="1" si="125"/>
        <v>69.467318594840677</v>
      </c>
      <c r="K507" s="292">
        <f t="shared" ca="1" si="123"/>
        <v>4.5789673554028418</v>
      </c>
      <c r="L507" s="1290">
        <f t="shared" ca="1" si="126"/>
        <v>22.321468541971008</v>
      </c>
      <c r="M507" s="299">
        <v>499</v>
      </c>
      <c r="N507" s="304">
        <f t="shared" si="127"/>
        <v>3749.1605039180836</v>
      </c>
      <c r="O507" s="303">
        <v>209.12390187566899</v>
      </c>
      <c r="P507" s="302">
        <v>0.3636689249167519</v>
      </c>
      <c r="Q507" s="301">
        <v>125.16230379214421</v>
      </c>
      <c r="R507" s="301">
        <v>66.146383627106559</v>
      </c>
      <c r="S507" s="300">
        <v>8.9126506761903137</v>
      </c>
      <c r="T507" s="891">
        <f t="shared" si="128"/>
        <v>64</v>
      </c>
      <c r="U507" s="1220">
        <v>0.51214295625686646</v>
      </c>
      <c r="W507" s="299">
        <v>499</v>
      </c>
      <c r="X507" s="298">
        <f>IF('Donor Sample'!N524="",,IF('Donor Sample'!N524="F",1,0))</f>
        <v>0</v>
      </c>
      <c r="Y507" s="298" t="str">
        <f>IF('Donor Sample'!O524="","",'Donor Sample'!O524)</f>
        <v/>
      </c>
      <c r="Z507" s="298" t="str">
        <f>IF(AND('Donor Sample'!O524="",'Donor Sample'!P524="",'Donor Sample'!Q524=""),"",IF('Donor Sample'!P524="",ROUND(AA507/($C$32+($AI507-0.5)*$C$31),0),'Donor Sample'!P524))</f>
        <v/>
      </c>
      <c r="AA507" s="297" t="str">
        <f>IF('Donor Sample'!Q524="","",'Donor Sample'!Q524)</f>
        <v/>
      </c>
      <c r="AB507" s="296" t="str">
        <f t="shared" si="132"/>
        <v/>
      </c>
      <c r="AC507" s="295" t="str">
        <f>IF('Donor Sample'!R524="","",'Donor Sample'!R524)</f>
        <v/>
      </c>
      <c r="AD507" s="294" t="str">
        <f>IF('Donor Sample'!S524="","",'Donor Sample'!S524/100)</f>
        <v/>
      </c>
      <c r="AE507" s="407" t="e">
        <f t="shared" si="129"/>
        <v>#VALUE!</v>
      </c>
      <c r="AF507" s="293" t="str">
        <f t="shared" si="130"/>
        <v/>
      </c>
      <c r="AG507" s="292" t="str">
        <f>IF('Donor Sample'!T524="","",'Donor Sample'!T524)</f>
        <v/>
      </c>
      <c r="AH507" s="891">
        <f t="shared" si="131"/>
        <v>256</v>
      </c>
      <c r="AI507" s="1220">
        <v>0.8471253514289856</v>
      </c>
      <c r="AJ507" s="1216"/>
    </row>
    <row r="508" spans="5:36">
      <c r="E508" s="299">
        <v>500</v>
      </c>
      <c r="F508" s="308">
        <f t="shared" ca="1" si="120"/>
        <v>3680.4306947423456</v>
      </c>
      <c r="G508" s="307">
        <f t="shared" ca="1" si="121"/>
        <v>302.16457768193828</v>
      </c>
      <c r="H508" s="306">
        <f t="shared" ca="1" si="122"/>
        <v>0.48480942812910449</v>
      </c>
      <c r="I508" s="305">
        <f t="shared" ca="1" si="124"/>
        <v>135.83310608030772</v>
      </c>
      <c r="J508" s="305">
        <f t="shared" ca="1" si="125"/>
        <v>56.654681395585513</v>
      </c>
      <c r="K508" s="292">
        <f t="shared" ca="1" si="123"/>
        <v>15.78725555510886</v>
      </c>
      <c r="L508" s="1290">
        <f t="shared" ca="1" si="126"/>
        <v>29.792482145421626</v>
      </c>
      <c r="M508" s="299">
        <v>500</v>
      </c>
      <c r="N508" s="304">
        <f t="shared" si="127"/>
        <v>2951.6724999370317</v>
      </c>
      <c r="O508" s="303">
        <v>278.10072453578914</v>
      </c>
      <c r="P508" s="302">
        <v>0.43970129946408759</v>
      </c>
      <c r="Q508" s="301">
        <v>114.36870322459822</v>
      </c>
      <c r="R508" s="301">
        <v>48.311067141898874</v>
      </c>
      <c r="S508" s="300">
        <v>4.0081579484938219</v>
      </c>
      <c r="T508" s="891">
        <f t="shared" si="128"/>
        <v>2</v>
      </c>
      <c r="U508" s="1220">
        <v>0.20995116233825684</v>
      </c>
      <c r="W508" s="299">
        <v>500</v>
      </c>
      <c r="X508" s="298">
        <f>IF('Donor Sample'!N525="",,IF('Donor Sample'!N525="F",1,0))</f>
        <v>0</v>
      </c>
      <c r="Y508" s="298" t="str">
        <f>IF('Donor Sample'!O525="","",'Donor Sample'!O525)</f>
        <v/>
      </c>
      <c r="Z508" s="298" t="str">
        <f>IF(AND('Donor Sample'!O525="",'Donor Sample'!P525="",'Donor Sample'!Q525=""),"",IF('Donor Sample'!P525="",ROUND(AA508/($C$32+($AI508-0.5)*$C$31),0),'Donor Sample'!P525))</f>
        <v/>
      </c>
      <c r="AA508" s="297" t="str">
        <f>IF('Donor Sample'!Q525="","",'Donor Sample'!Q525)</f>
        <v/>
      </c>
      <c r="AB508" s="296" t="str">
        <f t="shared" si="132"/>
        <v/>
      </c>
      <c r="AC508" s="295" t="str">
        <f>IF('Donor Sample'!R525="","",'Donor Sample'!R525)</f>
        <v/>
      </c>
      <c r="AD508" s="294" t="str">
        <f>IF('Donor Sample'!S525="","",'Donor Sample'!S525/100)</f>
        <v/>
      </c>
      <c r="AE508" s="293" t="e">
        <f t="shared" si="129"/>
        <v>#VALUE!</v>
      </c>
      <c r="AF508" s="293" t="str">
        <f t="shared" si="130"/>
        <v/>
      </c>
      <c r="AG508" s="292" t="str">
        <f>IF('Donor Sample'!T525="","",'Donor Sample'!T525)</f>
        <v/>
      </c>
      <c r="AH508" s="891">
        <f t="shared" si="131"/>
        <v>2</v>
      </c>
      <c r="AI508" s="1220">
        <v>0.35978913307189941</v>
      </c>
      <c r="AJ508" s="1216"/>
    </row>
    <row r="509" spans="5:36">
      <c r="E509" s="299">
        <v>501</v>
      </c>
      <c r="F509" s="308">
        <f t="shared" ca="1" si="120"/>
        <v>3588.4674323251697</v>
      </c>
      <c r="G509" s="307">
        <f t="shared" ca="1" si="121"/>
        <v>307.8424950183686</v>
      </c>
      <c r="H509" s="306">
        <f t="shared" ca="1" si="122"/>
        <v>0.42665614396522927</v>
      </c>
      <c r="I509" s="305">
        <f t="shared" ca="1" si="124"/>
        <v>130.56691796592321</v>
      </c>
      <c r="J509" s="305">
        <f t="shared" ca="1" si="125"/>
        <v>56.393039140665159</v>
      </c>
      <c r="K509" s="292">
        <f t="shared" ca="1" si="123"/>
        <v>3.8580744806481855</v>
      </c>
      <c r="L509" s="1290">
        <f t="shared" ca="1" si="126"/>
        <v>28.903791204189151</v>
      </c>
      <c r="M509" s="299">
        <v>501</v>
      </c>
      <c r="N509" s="304">
        <f t="shared" si="127"/>
        <v>3211.3480342884404</v>
      </c>
      <c r="O509" s="303">
        <v>269.68689473813038</v>
      </c>
      <c r="P509" s="302">
        <v>0.44802584425232717</v>
      </c>
      <c r="Q509" s="301">
        <v>104.68553290713734</v>
      </c>
      <c r="R509" s="301">
        <v>56.406091466586346</v>
      </c>
      <c r="S509" s="300">
        <v>5.0216586567598478</v>
      </c>
      <c r="T509" s="891">
        <f t="shared" si="128"/>
        <v>256</v>
      </c>
      <c r="U509" s="1220">
        <v>0.88599675893783569</v>
      </c>
      <c r="W509" s="299">
        <v>501</v>
      </c>
      <c r="X509" s="298">
        <f>IF('Donor Sample'!N526="",,IF('Donor Sample'!N526="F",1,0))</f>
        <v>0</v>
      </c>
      <c r="Y509" s="298" t="str">
        <f>IF('Donor Sample'!O526="","",'Donor Sample'!O526)</f>
        <v/>
      </c>
      <c r="Z509" s="298" t="str">
        <f>IF(AND('Donor Sample'!O526="",'Donor Sample'!P526="",'Donor Sample'!Q526=""),"",IF('Donor Sample'!P526="",ROUND(AA509/($C$32+($AI509-0.5)*$C$31),0),'Donor Sample'!P526))</f>
        <v/>
      </c>
      <c r="AA509" s="297" t="str">
        <f>IF('Donor Sample'!Q526="","",'Donor Sample'!Q526)</f>
        <v/>
      </c>
      <c r="AB509" s="296" t="str">
        <f t="shared" si="132"/>
        <v/>
      </c>
      <c r="AC509" s="295" t="str">
        <f>IF('Donor Sample'!R526="","",'Donor Sample'!R526)</f>
        <v/>
      </c>
      <c r="AD509" s="294" t="str">
        <f>IF('Donor Sample'!S526="","",'Donor Sample'!S526/100)</f>
        <v/>
      </c>
      <c r="AE509" s="293" t="e">
        <f t="shared" si="129"/>
        <v>#VALUE!</v>
      </c>
      <c r="AF509" s="293" t="str">
        <f t="shared" si="130"/>
        <v/>
      </c>
      <c r="AG509" s="292" t="str">
        <f>IF('Donor Sample'!T526="","",'Donor Sample'!T526)</f>
        <v/>
      </c>
      <c r="AH509" s="891">
        <f t="shared" si="131"/>
        <v>64</v>
      </c>
      <c r="AI509" s="1220">
        <v>0.47212737798690796</v>
      </c>
      <c r="AJ509" s="1216"/>
    </row>
    <row r="510" spans="5:36">
      <c r="E510" s="299">
        <v>502</v>
      </c>
      <c r="F510" s="308">
        <f t="shared" ca="1" si="120"/>
        <v>3867.1212800682115</v>
      </c>
      <c r="G510" s="307">
        <f t="shared" ca="1" si="121"/>
        <v>337.88790710994601</v>
      </c>
      <c r="H510" s="306">
        <f t="shared" ca="1" si="122"/>
        <v>0.40676995698348944</v>
      </c>
      <c r="I510" s="305">
        <f t="shared" ca="1" si="124"/>
        <v>139.0969916418554</v>
      </c>
      <c r="J510" s="305">
        <f t="shared" ca="1" si="125"/>
        <v>58.961216668599214</v>
      </c>
      <c r="K510" s="292">
        <f t="shared" ca="1" si="123"/>
        <v>1.3496126448218406</v>
      </c>
      <c r="L510" s="1290">
        <f t="shared" ca="1" si="126"/>
        <v>28.168098007223573</v>
      </c>
      <c r="M510" s="299">
        <v>502</v>
      </c>
      <c r="N510" s="304">
        <f t="shared" si="127"/>
        <v>3588.4166877138759</v>
      </c>
      <c r="O510" s="303">
        <v>238.19013552515969</v>
      </c>
      <c r="P510" s="302">
        <v>0.42361440223909091</v>
      </c>
      <c r="Q510" s="301">
        <v>129.30897664197903</v>
      </c>
      <c r="R510" s="301">
        <v>56.710563742338948</v>
      </c>
      <c r="S510" s="300">
        <v>1.9018281981954157</v>
      </c>
      <c r="T510" s="891">
        <f t="shared" si="128"/>
        <v>64</v>
      </c>
      <c r="U510" s="1220">
        <v>0.48694932460784912</v>
      </c>
      <c r="W510" s="299">
        <v>502</v>
      </c>
      <c r="X510" s="298">
        <f>IF('Donor Sample'!N527="",,IF('Donor Sample'!N527="F",1,0))</f>
        <v>0</v>
      </c>
      <c r="Y510" s="298" t="str">
        <f>IF('Donor Sample'!O527="","",'Donor Sample'!O527)</f>
        <v/>
      </c>
      <c r="Z510" s="298" t="str">
        <f>IF(AND('Donor Sample'!O527="",'Donor Sample'!P527="",'Donor Sample'!Q527=""),"",IF('Donor Sample'!P527="",ROUND(AA510/($C$32+($AI510-0.5)*$C$31),0),'Donor Sample'!P527))</f>
        <v/>
      </c>
      <c r="AA510" s="297" t="str">
        <f>IF('Donor Sample'!Q527="","",'Donor Sample'!Q527)</f>
        <v/>
      </c>
      <c r="AB510" s="296" t="str">
        <f t="shared" si="132"/>
        <v/>
      </c>
      <c r="AC510" s="295" t="str">
        <f>IF('Donor Sample'!R527="","",'Donor Sample'!R527)</f>
        <v/>
      </c>
      <c r="AD510" s="294" t="str">
        <f>IF('Donor Sample'!S527="","",'Donor Sample'!S527/100)</f>
        <v/>
      </c>
      <c r="AE510" s="407" t="e">
        <f t="shared" si="129"/>
        <v>#VALUE!</v>
      </c>
      <c r="AF510" s="293" t="str">
        <f t="shared" si="130"/>
        <v/>
      </c>
      <c r="AG510" s="292" t="str">
        <f>IF('Donor Sample'!T527="","",'Donor Sample'!T527)</f>
        <v/>
      </c>
      <c r="AH510" s="891">
        <f t="shared" si="131"/>
        <v>2</v>
      </c>
      <c r="AI510" s="1220">
        <v>0.12162387371063232</v>
      </c>
      <c r="AJ510" s="1216"/>
    </row>
    <row r="511" spans="5:36">
      <c r="E511" s="299">
        <v>503</v>
      </c>
      <c r="F511" s="308">
        <f t="shared" ca="1" si="120"/>
        <v>2843.6601675778406</v>
      </c>
      <c r="G511" s="307">
        <f t="shared" ca="1" si="121"/>
        <v>315.7836546729921</v>
      </c>
      <c r="H511" s="306">
        <f t="shared" ca="1" si="122"/>
        <v>0.47776608677739096</v>
      </c>
      <c r="I511" s="305">
        <f t="shared" ca="1" si="124"/>
        <v>115.40445230041138</v>
      </c>
      <c r="J511" s="305">
        <f t="shared" ca="1" si="125"/>
        <v>45.188451625432819</v>
      </c>
      <c r="K511" s="292">
        <f t="shared" ca="1" si="123"/>
        <v>2.91483080282622</v>
      </c>
      <c r="L511" s="1290">
        <f t="shared" ca="1" si="126"/>
        <v>39.786918310067307</v>
      </c>
      <c r="M511" s="299">
        <v>503</v>
      </c>
      <c r="N511" s="304">
        <f t="shared" si="127"/>
        <v>3304.5827737729396</v>
      </c>
      <c r="O511" s="303">
        <v>258.20069251545385</v>
      </c>
      <c r="P511" s="302">
        <v>0.35645744818985053</v>
      </c>
      <c r="Q511" s="301">
        <v>121.78745737423264</v>
      </c>
      <c r="R511" s="301">
        <v>53.536123484591847</v>
      </c>
      <c r="S511" s="300">
        <v>1.5240001931371441</v>
      </c>
      <c r="T511" s="891">
        <f t="shared" si="128"/>
        <v>16</v>
      </c>
      <c r="U511" s="1220">
        <v>0.98432356119155884</v>
      </c>
      <c r="W511" s="299">
        <v>503</v>
      </c>
      <c r="X511" s="298">
        <f>IF('Donor Sample'!N528="",,IF('Donor Sample'!N528="F",1,0))</f>
        <v>0</v>
      </c>
      <c r="Y511" s="298" t="str">
        <f>IF('Donor Sample'!O528="","",'Donor Sample'!O528)</f>
        <v/>
      </c>
      <c r="Z511" s="298" t="str">
        <f>IF(AND('Donor Sample'!O528="",'Donor Sample'!P528="",'Donor Sample'!Q528=""),"",IF('Donor Sample'!P528="",ROUND(AA511/($C$32+($AI511-0.5)*$C$31),0),'Donor Sample'!P528))</f>
        <v/>
      </c>
      <c r="AA511" s="297" t="str">
        <f>IF('Donor Sample'!Q528="","",'Donor Sample'!Q528)</f>
        <v/>
      </c>
      <c r="AB511" s="296" t="str">
        <f t="shared" si="132"/>
        <v/>
      </c>
      <c r="AC511" s="295" t="str">
        <f>IF('Donor Sample'!R528="","",'Donor Sample'!R528)</f>
        <v/>
      </c>
      <c r="AD511" s="294" t="str">
        <f>IF('Donor Sample'!S528="","",'Donor Sample'!S528/100)</f>
        <v/>
      </c>
      <c r="AE511" s="293" t="e">
        <f t="shared" si="129"/>
        <v>#VALUE!</v>
      </c>
      <c r="AF511" s="293" t="str">
        <f t="shared" si="130"/>
        <v/>
      </c>
      <c r="AG511" s="292" t="str">
        <f>IF('Donor Sample'!T528="","",'Donor Sample'!T528)</f>
        <v/>
      </c>
      <c r="AH511" s="891">
        <f t="shared" si="131"/>
        <v>4</v>
      </c>
      <c r="AI511" s="1220">
        <v>0.40110069513320923</v>
      </c>
      <c r="AJ511" s="1216"/>
    </row>
    <row r="512" spans="5:36">
      <c r="E512" s="299">
        <v>504</v>
      </c>
      <c r="F512" s="308">
        <f t="shared" ca="1" si="120"/>
        <v>3425.9941385006723</v>
      </c>
      <c r="G512" s="307">
        <f t="shared" ca="1" si="121"/>
        <v>234.15007930660528</v>
      </c>
      <c r="H512" s="306">
        <f t="shared" ca="1" si="122"/>
        <v>0.37500051332058265</v>
      </c>
      <c r="I512" s="305">
        <f t="shared" ca="1" si="124"/>
        <v>140.04198510609302</v>
      </c>
      <c r="J512" s="305">
        <f t="shared" ca="1" si="125"/>
        <v>50.567522806700836</v>
      </c>
      <c r="K512" s="292">
        <f t="shared" ca="1" si="123"/>
        <v>1.4477273011752869</v>
      </c>
      <c r="L512" s="1290">
        <f t="shared" ca="1" si="126"/>
        <v>38.555608295448387</v>
      </c>
      <c r="M512" s="299">
        <v>504</v>
      </c>
      <c r="N512" s="304">
        <f t="shared" si="127"/>
        <v>3576.2193821310775</v>
      </c>
      <c r="O512" s="303">
        <v>350.46695199722666</v>
      </c>
      <c r="P512" s="302">
        <v>0.37889423729991301</v>
      </c>
      <c r="Q512" s="301">
        <v>113.32579803615242</v>
      </c>
      <c r="R512" s="301">
        <v>60.29228779200664</v>
      </c>
      <c r="S512" s="300">
        <v>2.606759561712308</v>
      </c>
      <c r="T512" s="891">
        <f t="shared" si="128"/>
        <v>2</v>
      </c>
      <c r="U512" s="1220">
        <v>2.9005050659179688E-2</v>
      </c>
      <c r="W512" s="299">
        <v>504</v>
      </c>
      <c r="X512" s="298">
        <f>IF('Donor Sample'!N529="",,IF('Donor Sample'!N529="F",1,0))</f>
        <v>0</v>
      </c>
      <c r="Y512" s="298" t="str">
        <f>IF('Donor Sample'!O529="","",'Donor Sample'!O529)</f>
        <v/>
      </c>
      <c r="Z512" s="298" t="str">
        <f>IF(AND('Donor Sample'!O529="",'Donor Sample'!P529="",'Donor Sample'!Q529=""),"",IF('Donor Sample'!P529="",ROUND(AA512/($C$32+($AI512-0.5)*$C$31),0),'Donor Sample'!P529))</f>
        <v/>
      </c>
      <c r="AA512" s="297" t="str">
        <f>IF('Donor Sample'!Q529="","",'Donor Sample'!Q529)</f>
        <v/>
      </c>
      <c r="AB512" s="296" t="str">
        <f t="shared" si="132"/>
        <v/>
      </c>
      <c r="AC512" s="295" t="str">
        <f>IF('Donor Sample'!R529="","",'Donor Sample'!R529)</f>
        <v/>
      </c>
      <c r="AD512" s="294" t="str">
        <f>IF('Donor Sample'!S529="","",'Donor Sample'!S529/100)</f>
        <v/>
      </c>
      <c r="AE512" s="293" t="e">
        <f t="shared" si="129"/>
        <v>#VALUE!</v>
      </c>
      <c r="AF512" s="293" t="str">
        <f t="shared" si="130"/>
        <v/>
      </c>
      <c r="AG512" s="292" t="str">
        <f>IF('Donor Sample'!T529="","",'Donor Sample'!T529)</f>
        <v/>
      </c>
      <c r="AH512" s="891">
        <f t="shared" si="131"/>
        <v>2</v>
      </c>
      <c r="AI512" s="1220">
        <v>0.31627130508422852</v>
      </c>
      <c r="AJ512" s="1216"/>
    </row>
    <row r="513" spans="5:36">
      <c r="E513" s="299">
        <v>505</v>
      </c>
      <c r="F513" s="308">
        <f t="shared" ca="1" si="120"/>
        <v>3272.317532095934</v>
      </c>
      <c r="G513" s="307">
        <f t="shared" ca="1" si="121"/>
        <v>235.89021820280948</v>
      </c>
      <c r="H513" s="306">
        <f t="shared" ca="1" si="122"/>
        <v>0.35732182365651838</v>
      </c>
      <c r="I513" s="305">
        <f t="shared" ca="1" si="124"/>
        <v>130.40845129276073</v>
      </c>
      <c r="J513" s="305">
        <f t="shared" ca="1" si="125"/>
        <v>57.910065359961955</v>
      </c>
      <c r="K513" s="292">
        <f t="shared" ca="1" si="123"/>
        <v>2.9154954437566332</v>
      </c>
      <c r="L513" s="1290">
        <f t="shared" ca="1" si="126"/>
        <v>27.376018537920345</v>
      </c>
      <c r="M513" s="299">
        <v>505</v>
      </c>
      <c r="N513" s="304">
        <f t="shared" si="127"/>
        <v>2917.7985735291222</v>
      </c>
      <c r="O513" s="303">
        <v>247.63544968372801</v>
      </c>
      <c r="P513" s="302">
        <v>0.39677091048457991</v>
      </c>
      <c r="Q513" s="301">
        <v>96.608656149209793</v>
      </c>
      <c r="R513" s="301">
        <v>60.398952549031414</v>
      </c>
      <c r="S513" s="300">
        <v>2.1248892784665756</v>
      </c>
      <c r="T513" s="891">
        <f t="shared" si="128"/>
        <v>16</v>
      </c>
      <c r="U513" s="1220">
        <v>0.97204798460006714</v>
      </c>
      <c r="W513" s="299">
        <v>505</v>
      </c>
      <c r="X513" s="298">
        <f>IF('Donor Sample'!N530="",,IF('Donor Sample'!N530="F",1,0))</f>
        <v>0</v>
      </c>
      <c r="Y513" s="298" t="str">
        <f>IF('Donor Sample'!O530="","",'Donor Sample'!O530)</f>
        <v/>
      </c>
      <c r="Z513" s="298" t="str">
        <f>IF(AND('Donor Sample'!O530="",'Donor Sample'!P530="",'Donor Sample'!Q530=""),"",IF('Donor Sample'!P530="",ROUND(AA513/($C$32+($AI513-0.5)*$C$31),0),'Donor Sample'!P530))</f>
        <v/>
      </c>
      <c r="AA513" s="297" t="str">
        <f>IF('Donor Sample'!Q530="","",'Donor Sample'!Q530)</f>
        <v/>
      </c>
      <c r="AB513" s="296" t="str">
        <f t="shared" si="132"/>
        <v/>
      </c>
      <c r="AC513" s="295" t="str">
        <f>IF('Donor Sample'!R530="","",'Donor Sample'!R530)</f>
        <v/>
      </c>
      <c r="AD513" s="294" t="str">
        <f>IF('Donor Sample'!S530="","",'Donor Sample'!S530/100)</f>
        <v/>
      </c>
      <c r="AE513" s="407" t="e">
        <f t="shared" si="129"/>
        <v>#VALUE!</v>
      </c>
      <c r="AF513" s="293" t="str">
        <f t="shared" si="130"/>
        <v/>
      </c>
      <c r="AG513" s="292" t="str">
        <f>IF('Donor Sample'!T530="","",'Donor Sample'!T530)</f>
        <v/>
      </c>
      <c r="AH513" s="891">
        <f t="shared" si="131"/>
        <v>8</v>
      </c>
      <c r="AI513" s="1220">
        <v>0.99745625257492065</v>
      </c>
      <c r="AJ513" s="1216"/>
    </row>
    <row r="514" spans="5:36">
      <c r="E514" s="299">
        <v>506</v>
      </c>
      <c r="F514" s="308">
        <f t="shared" ca="1" si="120"/>
        <v>3658.5128674547423</v>
      </c>
      <c r="G514" s="307">
        <f t="shared" ca="1" si="121"/>
        <v>270.47967807089373</v>
      </c>
      <c r="H514" s="306">
        <f t="shared" ca="1" si="122"/>
        <v>0.37067888876268162</v>
      </c>
      <c r="I514" s="305">
        <f t="shared" ca="1" si="124"/>
        <v>121.03771238418609</v>
      </c>
      <c r="J514" s="305">
        <f t="shared" ca="1" si="125"/>
        <v>59.826546599157595</v>
      </c>
      <c r="K514" s="292">
        <f t="shared" ca="1" si="123"/>
        <v>6.6036144180681688</v>
      </c>
      <c r="L514" s="1290">
        <f t="shared" ca="1" si="126"/>
        <v>23.80704522576557</v>
      </c>
      <c r="M514" s="299">
        <v>506</v>
      </c>
      <c r="N514" s="304">
        <f t="shared" si="127"/>
        <v>2974.2197777789461</v>
      </c>
      <c r="O514" s="303">
        <v>287.44392103329261</v>
      </c>
      <c r="P514" s="302">
        <v>0.37465634875177761</v>
      </c>
      <c r="Q514" s="301">
        <v>110.04441698764431</v>
      </c>
      <c r="R514" s="301">
        <v>50.266294677699378</v>
      </c>
      <c r="S514" s="300">
        <v>1.973453269885648</v>
      </c>
      <c r="T514" s="891">
        <f t="shared" si="128"/>
        <v>256</v>
      </c>
      <c r="U514" s="1220">
        <v>0.84915697574615479</v>
      </c>
      <c r="W514" s="299">
        <v>506</v>
      </c>
      <c r="X514" s="298">
        <f>IF('Donor Sample'!N531="",,IF('Donor Sample'!N531="F",1,0))</f>
        <v>0</v>
      </c>
      <c r="Y514" s="298" t="str">
        <f>IF('Donor Sample'!O531="","",'Donor Sample'!O531)</f>
        <v/>
      </c>
      <c r="Z514" s="298" t="str">
        <f>IF(AND('Donor Sample'!O531="",'Donor Sample'!P531="",'Donor Sample'!Q531=""),"",IF('Donor Sample'!P531="",ROUND(AA514/($C$32+($AI514-0.5)*$C$31),0),'Donor Sample'!P531))</f>
        <v/>
      </c>
      <c r="AA514" s="297" t="str">
        <f>IF('Donor Sample'!Q531="","",'Donor Sample'!Q531)</f>
        <v/>
      </c>
      <c r="AB514" s="296" t="str">
        <f t="shared" si="132"/>
        <v/>
      </c>
      <c r="AC514" s="295" t="str">
        <f>IF('Donor Sample'!R531="","",'Donor Sample'!R531)</f>
        <v/>
      </c>
      <c r="AD514" s="294" t="str">
        <f>IF('Donor Sample'!S531="","",'Donor Sample'!S531/100)</f>
        <v/>
      </c>
      <c r="AE514" s="293" t="e">
        <f t="shared" si="129"/>
        <v>#VALUE!</v>
      </c>
      <c r="AF514" s="293" t="str">
        <f t="shared" si="130"/>
        <v/>
      </c>
      <c r="AG514" s="292" t="str">
        <f>IF('Donor Sample'!T531="","",'Donor Sample'!T531)</f>
        <v/>
      </c>
      <c r="AH514" s="891">
        <f t="shared" si="131"/>
        <v>64</v>
      </c>
      <c r="AI514" s="1220">
        <v>0.61131107807159424</v>
      </c>
      <c r="AJ514" s="1216"/>
    </row>
    <row r="515" spans="5:36">
      <c r="E515" s="299">
        <v>507</v>
      </c>
      <c r="F515" s="308">
        <f t="shared" ca="1" si="120"/>
        <v>2623.1362645970539</v>
      </c>
      <c r="G515" s="307">
        <f t="shared" ca="1" si="121"/>
        <v>237.75997560308636</v>
      </c>
      <c r="H515" s="306">
        <f t="shared" ca="1" si="122"/>
        <v>0.3996737650387997</v>
      </c>
      <c r="I515" s="305">
        <f t="shared" ca="1" si="124"/>
        <v>81.852210036197334</v>
      </c>
      <c r="J515" s="305">
        <f t="shared" ca="1" si="125"/>
        <v>59.228321342963334</v>
      </c>
      <c r="K515" s="292">
        <f t="shared" ca="1" si="123"/>
        <v>1.5032684445755686</v>
      </c>
      <c r="L515" s="1290">
        <f t="shared" ca="1" si="126"/>
        <v>16.426469104239004</v>
      </c>
      <c r="M515" s="299">
        <v>507</v>
      </c>
      <c r="N515" s="304">
        <f t="shared" si="127"/>
        <v>3800.2135492612442</v>
      </c>
      <c r="O515" s="303">
        <v>271.99301402076259</v>
      </c>
      <c r="P515" s="302">
        <v>0.39804386754273968</v>
      </c>
      <c r="Q515" s="301">
        <v>128.91733001423015</v>
      </c>
      <c r="R515" s="301">
        <v>66.077473625610722</v>
      </c>
      <c r="S515" s="300">
        <v>5.5166495237411457</v>
      </c>
      <c r="T515" s="891">
        <f t="shared" si="128"/>
        <v>2</v>
      </c>
      <c r="U515" s="1220">
        <v>0.28661662340164185</v>
      </c>
      <c r="W515" s="299">
        <v>507</v>
      </c>
      <c r="X515" s="298">
        <f>IF('Donor Sample'!N532="",,IF('Donor Sample'!N532="F",1,0))</f>
        <v>0</v>
      </c>
      <c r="Y515" s="298" t="str">
        <f>IF('Donor Sample'!O532="","",'Donor Sample'!O532)</f>
        <v/>
      </c>
      <c r="Z515" s="298" t="str">
        <f>IF(AND('Donor Sample'!O532="",'Donor Sample'!P532="",'Donor Sample'!Q532=""),"",IF('Donor Sample'!P532="",ROUND(AA515/($C$32+($AI515-0.5)*$C$31),0),'Donor Sample'!P532))</f>
        <v/>
      </c>
      <c r="AA515" s="297" t="str">
        <f>IF('Donor Sample'!Q532="","",'Donor Sample'!Q532)</f>
        <v/>
      </c>
      <c r="AB515" s="296" t="str">
        <f t="shared" si="132"/>
        <v/>
      </c>
      <c r="AC515" s="295" t="str">
        <f>IF('Donor Sample'!R532="","",'Donor Sample'!R532)</f>
        <v/>
      </c>
      <c r="AD515" s="294" t="str">
        <f>IF('Donor Sample'!S532="","",'Donor Sample'!S532/100)</f>
        <v/>
      </c>
      <c r="AE515" s="293" t="e">
        <f t="shared" si="129"/>
        <v>#VALUE!</v>
      </c>
      <c r="AF515" s="293" t="str">
        <f t="shared" si="130"/>
        <v/>
      </c>
      <c r="AG515" s="292" t="str">
        <f>IF('Donor Sample'!T532="","",'Donor Sample'!T532)</f>
        <v/>
      </c>
      <c r="AH515" s="891">
        <f t="shared" si="131"/>
        <v>16</v>
      </c>
      <c r="AI515" s="1220">
        <v>0.98501759767532349</v>
      </c>
      <c r="AJ515" s="1216"/>
    </row>
    <row r="516" spans="5:36">
      <c r="E516" s="299">
        <v>508</v>
      </c>
      <c r="F516" s="308">
        <f t="shared" ca="1" si="120"/>
        <v>3154.9449325057903</v>
      </c>
      <c r="G516" s="307">
        <f t="shared" ca="1" si="121"/>
        <v>175.15885930852536</v>
      </c>
      <c r="H516" s="306">
        <f t="shared" ca="1" si="122"/>
        <v>0.41020257550057848</v>
      </c>
      <c r="I516" s="305">
        <f t="shared" ca="1" si="124"/>
        <v>110.0847203459053</v>
      </c>
      <c r="J516" s="305">
        <f t="shared" ca="1" si="125"/>
        <v>53.94355416248154</v>
      </c>
      <c r="K516" s="292">
        <f t="shared" ca="1" si="123"/>
        <v>1.8674231011438871</v>
      </c>
      <c r="L516" s="1290">
        <f t="shared" ca="1" si="126"/>
        <v>26.633030599684236</v>
      </c>
      <c r="M516" s="299">
        <v>508</v>
      </c>
      <c r="N516" s="304">
        <f t="shared" si="127"/>
        <v>3403.5661889132843</v>
      </c>
      <c r="O516" s="303">
        <v>247.51616364943084</v>
      </c>
      <c r="P516" s="302">
        <v>0.4178884033621913</v>
      </c>
      <c r="Q516" s="301">
        <v>117.62649703507243</v>
      </c>
      <c r="R516" s="301">
        <v>56.463193608344987</v>
      </c>
      <c r="S516" s="300">
        <v>1.6477359592666325</v>
      </c>
      <c r="T516" s="891">
        <f t="shared" si="128"/>
        <v>2</v>
      </c>
      <c r="U516" s="1220">
        <v>0.20537781715393066</v>
      </c>
      <c r="W516" s="299">
        <v>508</v>
      </c>
      <c r="X516" s="298">
        <f>IF('Donor Sample'!N533="",,IF('Donor Sample'!N533="F",1,0))</f>
        <v>0</v>
      </c>
      <c r="Y516" s="298" t="str">
        <f>IF('Donor Sample'!O533="","",'Donor Sample'!O533)</f>
        <v/>
      </c>
      <c r="Z516" s="298" t="str">
        <f>IF(AND('Donor Sample'!O533="",'Donor Sample'!P533="",'Donor Sample'!Q533=""),"",IF('Donor Sample'!P533="",ROUND(AA516/($C$32+($AI516-0.5)*$C$31),0),'Donor Sample'!P533))</f>
        <v/>
      </c>
      <c r="AA516" s="297" t="str">
        <f>IF('Donor Sample'!Q533="","",'Donor Sample'!Q533)</f>
        <v/>
      </c>
      <c r="AB516" s="296" t="str">
        <f t="shared" si="132"/>
        <v/>
      </c>
      <c r="AC516" s="295" t="str">
        <f>IF('Donor Sample'!R533="","",'Donor Sample'!R533)</f>
        <v/>
      </c>
      <c r="AD516" s="294" t="str">
        <f>IF('Donor Sample'!S533="","",'Donor Sample'!S533/100)</f>
        <v/>
      </c>
      <c r="AE516" s="407" t="e">
        <f t="shared" si="129"/>
        <v>#VALUE!</v>
      </c>
      <c r="AF516" s="293" t="str">
        <f t="shared" si="130"/>
        <v/>
      </c>
      <c r="AG516" s="292" t="str">
        <f>IF('Donor Sample'!T533="","",'Donor Sample'!T533)</f>
        <v/>
      </c>
      <c r="AH516" s="891">
        <f t="shared" si="131"/>
        <v>64</v>
      </c>
      <c r="AI516" s="1220">
        <v>0.65558505058288574</v>
      </c>
      <c r="AJ516" s="1216"/>
    </row>
    <row r="517" spans="5:36">
      <c r="E517" s="299">
        <v>509</v>
      </c>
      <c r="F517" s="308">
        <f t="shared" ca="1" si="120"/>
        <v>3055.0079932623885</v>
      </c>
      <c r="G517" s="307">
        <f t="shared" ca="1" si="121"/>
        <v>193.1943410935807</v>
      </c>
      <c r="H517" s="306">
        <f t="shared" ca="1" si="122"/>
        <v>0.41937110708369552</v>
      </c>
      <c r="I517" s="305">
        <f t="shared" ca="1" si="124"/>
        <v>95.871053488351023</v>
      </c>
      <c r="J517" s="305">
        <f t="shared" ca="1" si="125"/>
        <v>62.636900761993509</v>
      </c>
      <c r="K517" s="292">
        <f t="shared" ca="1" si="123"/>
        <v>2.1132574903714376</v>
      </c>
      <c r="L517" s="1290">
        <f t="shared" ca="1" si="126"/>
        <v>17.202819674480285</v>
      </c>
      <c r="M517" s="299">
        <v>509</v>
      </c>
      <c r="N517" s="304">
        <f t="shared" si="127"/>
        <v>3450.651230463086</v>
      </c>
      <c r="O517" s="303">
        <v>176.36404350365547</v>
      </c>
      <c r="P517" s="302">
        <v>0.3974382353741745</v>
      </c>
      <c r="Q517" s="301">
        <v>117.55086732545513</v>
      </c>
      <c r="R517" s="301">
        <v>63.646279444196061</v>
      </c>
      <c r="S517" s="300">
        <v>2.2524098811663835</v>
      </c>
      <c r="T517" s="891">
        <f t="shared" si="128"/>
        <v>64</v>
      </c>
      <c r="U517" s="1220">
        <v>0.44317382574081421</v>
      </c>
      <c r="W517" s="299">
        <v>509</v>
      </c>
      <c r="X517" s="298">
        <f>IF('Donor Sample'!N534="",,IF('Donor Sample'!N534="F",1,0))</f>
        <v>0</v>
      </c>
      <c r="Y517" s="298" t="str">
        <f>IF('Donor Sample'!O534="","",'Donor Sample'!O534)</f>
        <v/>
      </c>
      <c r="Z517" s="298" t="str">
        <f>IF(AND('Donor Sample'!O534="",'Donor Sample'!P534="",'Donor Sample'!Q534=""),"",IF('Donor Sample'!P534="",ROUND(AA517/($C$32+($AI517-0.5)*$C$31),0),'Donor Sample'!P534))</f>
        <v/>
      </c>
      <c r="AA517" s="297" t="str">
        <f>IF('Donor Sample'!Q534="","",'Donor Sample'!Q534)</f>
        <v/>
      </c>
      <c r="AB517" s="296" t="str">
        <f t="shared" si="132"/>
        <v/>
      </c>
      <c r="AC517" s="295" t="str">
        <f>IF('Donor Sample'!R534="","",'Donor Sample'!R534)</f>
        <v/>
      </c>
      <c r="AD517" s="294" t="str">
        <f>IF('Donor Sample'!S534="","",'Donor Sample'!S534/100)</f>
        <v/>
      </c>
      <c r="AE517" s="293" t="e">
        <f t="shared" si="129"/>
        <v>#VALUE!</v>
      </c>
      <c r="AF517" s="293" t="str">
        <f t="shared" si="130"/>
        <v/>
      </c>
      <c r="AG517" s="292" t="str">
        <f>IF('Donor Sample'!T534="","",'Donor Sample'!T534)</f>
        <v/>
      </c>
      <c r="AH517" s="891">
        <f t="shared" si="131"/>
        <v>16</v>
      </c>
      <c r="AI517" s="1220">
        <v>0.95632165670394897</v>
      </c>
      <c r="AJ517" s="1216"/>
    </row>
    <row r="518" spans="5:36">
      <c r="E518" s="299">
        <v>510</v>
      </c>
      <c r="F518" s="308">
        <f t="shared" ca="1" si="120"/>
        <v>2988.0410658933256</v>
      </c>
      <c r="G518" s="307">
        <f t="shared" ca="1" si="121"/>
        <v>266.38189242963898</v>
      </c>
      <c r="H518" s="306">
        <f t="shared" ca="1" si="122"/>
        <v>0.381584358554513</v>
      </c>
      <c r="I518" s="305">
        <f t="shared" ca="1" si="124"/>
        <v>96.654270900674248</v>
      </c>
      <c r="J518" s="305">
        <f t="shared" ca="1" si="125"/>
        <v>54.493921777399436</v>
      </c>
      <c r="K518" s="292">
        <f t="shared" ca="1" si="123"/>
        <v>2.6691850855470878</v>
      </c>
      <c r="L518" s="1290">
        <f t="shared" ca="1" si="126"/>
        <v>22.913824384472452</v>
      </c>
      <c r="M518" s="299">
        <v>510</v>
      </c>
      <c r="N518" s="304">
        <f t="shared" si="127"/>
        <v>3484.1344419788657</v>
      </c>
      <c r="O518" s="303">
        <v>214.04644974072511</v>
      </c>
      <c r="P518" s="302">
        <v>0.44707631198541237</v>
      </c>
      <c r="Q518" s="301">
        <v>126.70499882279009</v>
      </c>
      <c r="R518" s="301">
        <v>55.544366385419593</v>
      </c>
      <c r="S518" s="300">
        <v>1.8750251830075482</v>
      </c>
      <c r="T518" s="891">
        <f t="shared" si="128"/>
        <v>64</v>
      </c>
      <c r="U518" s="1220">
        <v>0.68504703044891357</v>
      </c>
      <c r="W518" s="299">
        <v>510</v>
      </c>
      <c r="X518" s="298">
        <f>IF('Donor Sample'!N535="",,IF('Donor Sample'!N535="F",1,0))</f>
        <v>0</v>
      </c>
      <c r="Y518" s="298" t="str">
        <f>IF('Donor Sample'!O535="","",'Donor Sample'!O535)</f>
        <v/>
      </c>
      <c r="Z518" s="298" t="str">
        <f>IF(AND('Donor Sample'!O535="",'Donor Sample'!P535="",'Donor Sample'!Q535=""),"",IF('Donor Sample'!P535="",ROUND(AA518/($C$32+($AI518-0.5)*$C$31),0),'Donor Sample'!P535))</f>
        <v/>
      </c>
      <c r="AA518" s="297" t="str">
        <f>IF('Donor Sample'!Q535="","",'Donor Sample'!Q535)</f>
        <v/>
      </c>
      <c r="AB518" s="296" t="str">
        <f t="shared" si="132"/>
        <v/>
      </c>
      <c r="AC518" s="295" t="str">
        <f>IF('Donor Sample'!R535="","",'Donor Sample'!R535)</f>
        <v/>
      </c>
      <c r="AD518" s="294" t="str">
        <f>IF('Donor Sample'!S535="","",'Donor Sample'!S535/100)</f>
        <v/>
      </c>
      <c r="AE518" s="293" t="e">
        <f t="shared" si="129"/>
        <v>#VALUE!</v>
      </c>
      <c r="AF518" s="293" t="str">
        <f t="shared" si="130"/>
        <v/>
      </c>
      <c r="AG518" s="292" t="str">
        <f>IF('Donor Sample'!T535="","",'Donor Sample'!T535)</f>
        <v/>
      </c>
      <c r="AH518" s="891">
        <f t="shared" si="131"/>
        <v>2</v>
      </c>
      <c r="AI518" s="1220">
        <v>5.4294943809509277E-2</v>
      </c>
      <c r="AJ518" s="1216"/>
    </row>
    <row r="519" spans="5:36">
      <c r="E519" s="299">
        <v>511</v>
      </c>
      <c r="F519" s="308">
        <f t="shared" ca="1" si="120"/>
        <v>3169.4166591325411</v>
      </c>
      <c r="G519" s="307">
        <f t="shared" ca="1" si="121"/>
        <v>277.06512304871529</v>
      </c>
      <c r="H519" s="306">
        <f t="shared" ca="1" si="122"/>
        <v>0.43221717697953865</v>
      </c>
      <c r="I519" s="305">
        <f t="shared" ca="1" si="124"/>
        <v>109.12413943814103</v>
      </c>
      <c r="J519" s="305">
        <f t="shared" ca="1" si="125"/>
        <v>61.383247756974789</v>
      </c>
      <c r="K519" s="292">
        <f t="shared" ca="1" si="123"/>
        <v>5.8966215277702982</v>
      </c>
      <c r="L519" s="1290">
        <f t="shared" ca="1" si="126"/>
        <v>20.388898551703274</v>
      </c>
      <c r="M519" s="299">
        <v>511</v>
      </c>
      <c r="N519" s="304">
        <f t="shared" si="127"/>
        <v>3058.3725253695238</v>
      </c>
      <c r="O519" s="303">
        <v>180.12117612581318</v>
      </c>
      <c r="P519" s="302">
        <v>0.41709750520119193</v>
      </c>
      <c r="Q519" s="301">
        <v>110.46554816143625</v>
      </c>
      <c r="R519" s="301">
        <v>59.326456016133392</v>
      </c>
      <c r="S519" s="300">
        <v>2.7363458233638358</v>
      </c>
      <c r="T519" s="891">
        <f t="shared" si="128"/>
        <v>2</v>
      </c>
      <c r="U519" s="1220">
        <v>0.28114372491836548</v>
      </c>
      <c r="W519" s="299">
        <v>511</v>
      </c>
      <c r="X519" s="298">
        <f>IF('Donor Sample'!N536="",,IF('Donor Sample'!N536="F",1,0))</f>
        <v>0</v>
      </c>
      <c r="Y519" s="298" t="str">
        <f>IF('Donor Sample'!O536="","",'Donor Sample'!O536)</f>
        <v/>
      </c>
      <c r="Z519" s="298" t="str">
        <f>IF(AND('Donor Sample'!O536="",'Donor Sample'!P536="",'Donor Sample'!Q536=""),"",IF('Donor Sample'!P536="",ROUND(AA519/($C$32+($AI519-0.5)*$C$31),0),'Donor Sample'!P536))</f>
        <v/>
      </c>
      <c r="AA519" s="297" t="str">
        <f>IF('Donor Sample'!Q536="","",'Donor Sample'!Q536)</f>
        <v/>
      </c>
      <c r="AB519" s="296" t="str">
        <f t="shared" si="132"/>
        <v/>
      </c>
      <c r="AC519" s="295" t="str">
        <f>IF('Donor Sample'!R536="","",'Donor Sample'!R536)</f>
        <v/>
      </c>
      <c r="AD519" s="294" t="str">
        <f>IF('Donor Sample'!S536="","",'Donor Sample'!S536/100)</f>
        <v/>
      </c>
      <c r="AE519" s="407" t="e">
        <f t="shared" si="129"/>
        <v>#VALUE!</v>
      </c>
      <c r="AF519" s="293" t="str">
        <f t="shared" si="130"/>
        <v/>
      </c>
      <c r="AG519" s="292" t="str">
        <f>IF('Donor Sample'!T536="","",'Donor Sample'!T536)</f>
        <v/>
      </c>
      <c r="AH519" s="891">
        <f t="shared" si="131"/>
        <v>128</v>
      </c>
      <c r="AI519" s="1220">
        <v>0.94732576608657837</v>
      </c>
      <c r="AJ519" s="1216"/>
    </row>
    <row r="520" spans="5:36">
      <c r="E520" s="299">
        <v>512</v>
      </c>
      <c r="F520" s="308">
        <f t="shared" ca="1" si="120"/>
        <v>3057.7865947226087</v>
      </c>
      <c r="G520" s="307">
        <f t="shared" ca="1" si="121"/>
        <v>269.65424603562712</v>
      </c>
      <c r="H520" s="306">
        <f t="shared" ca="1" si="122"/>
        <v>0.35848179302983285</v>
      </c>
      <c r="I520" s="305">
        <f t="shared" ca="1" si="124"/>
        <v>108.01745424572127</v>
      </c>
      <c r="J520" s="305">
        <f t="shared" ca="1" si="125"/>
        <v>52.635965015409312</v>
      </c>
      <c r="K520" s="292">
        <f t="shared" ca="1" si="123"/>
        <v>3.7028309462810114</v>
      </c>
      <c r="L520" s="1290">
        <f t="shared" ca="1" si="126"/>
        <v>27.447413024807801</v>
      </c>
      <c r="M520" s="299">
        <v>512</v>
      </c>
      <c r="N520" s="304">
        <f t="shared" si="127"/>
        <v>3596.7007217215596</v>
      </c>
      <c r="O520" s="303">
        <v>284.01406099660011</v>
      </c>
      <c r="P520" s="302">
        <v>0.42892290520764464</v>
      </c>
      <c r="Q520" s="301">
        <v>139.33497524105874</v>
      </c>
      <c r="R520" s="301">
        <v>54.222241556365866</v>
      </c>
      <c r="S520" s="300">
        <v>1.3852599646862176</v>
      </c>
      <c r="T520" s="891">
        <f t="shared" si="128"/>
        <v>16</v>
      </c>
      <c r="U520" s="1220">
        <v>0.96520471572875977</v>
      </c>
      <c r="W520" s="299">
        <v>512</v>
      </c>
      <c r="X520" s="298">
        <f>IF('Donor Sample'!N537="",,IF('Donor Sample'!N537="F",1,0))</f>
        <v>0</v>
      </c>
      <c r="Y520" s="298" t="str">
        <f>IF('Donor Sample'!O537="","",'Donor Sample'!O537)</f>
        <v/>
      </c>
      <c r="Z520" s="298" t="str">
        <f>IF(AND('Donor Sample'!O537="",'Donor Sample'!P537="",'Donor Sample'!Q537=""),"",IF('Donor Sample'!P537="",ROUND(AA520/($C$32+($AI520-0.5)*$C$31),0),'Donor Sample'!P537))</f>
        <v/>
      </c>
      <c r="AA520" s="297" t="str">
        <f>IF('Donor Sample'!Q537="","",'Donor Sample'!Q537)</f>
        <v/>
      </c>
      <c r="AB520" s="296" t="str">
        <f t="shared" si="132"/>
        <v/>
      </c>
      <c r="AC520" s="295" t="str">
        <f>IF('Donor Sample'!R537="","",'Donor Sample'!R537)</f>
        <v/>
      </c>
      <c r="AD520" s="294" t="str">
        <f>IF('Donor Sample'!S537="","",'Donor Sample'!S537/100)</f>
        <v/>
      </c>
      <c r="AE520" s="293" t="e">
        <f t="shared" si="129"/>
        <v>#VALUE!</v>
      </c>
      <c r="AF520" s="293" t="str">
        <f t="shared" si="130"/>
        <v/>
      </c>
      <c r="AG520" s="292" t="str">
        <f>IF('Donor Sample'!T537="","",'Donor Sample'!T537)</f>
        <v/>
      </c>
      <c r="AH520" s="891">
        <f t="shared" si="131"/>
        <v>2</v>
      </c>
      <c r="AI520" s="1220">
        <v>0.14488124847412109</v>
      </c>
      <c r="AJ520" s="1216"/>
    </row>
    <row r="521" spans="5:36">
      <c r="E521" s="299">
        <v>513</v>
      </c>
      <c r="F521" s="308">
        <f t="shared" ref="F521:F584" ca="1" si="133">NORMINV(NORMDIST($C$9,$C$7,$C$8,1)+RAND()*(NORMDIST($C$10,$C$7,$C$8,1)-NORMDIST($C$9,$C$7,$C$8,1)),$C$7,$C$8)</f>
        <v>4119.2672580492872</v>
      </c>
      <c r="G521" s="307">
        <f t="shared" ref="G521:G584" ca="1" si="134">NORMINV(NORMDIST($C$13,$C$11,$C$12,1)+RAND()*(NORMDIST($C$14,$C$11,$C$12,1)-NORMDIST($C$13,$C$11,$C$12,1)),$C$11,$C$12)</f>
        <v>183.44074135922645</v>
      </c>
      <c r="H521" s="306">
        <f t="shared" ref="H521:H584" ca="1" si="135">NORMINV(NORMDIST($C$17,$C$15,$C$16,1)+RAND()*(NORMDIST($C$18,$C$15,$C$16,1)-NORMDIST($C$17,$C$15,$C$16,1)),$C$15,$C$16)/100</f>
        <v>0.39339801039288552</v>
      </c>
      <c r="I521" s="305">
        <f t="shared" ca="1" si="124"/>
        <v>172.54326797325893</v>
      </c>
      <c r="J521" s="305">
        <f t="shared" ca="1" si="125"/>
        <v>54.924547614009846</v>
      </c>
      <c r="K521" s="292">
        <f t="shared" ref="K521:K584" ca="1" si="136">$C$23/($C$24+RAND())</f>
        <v>2.2470813759423991</v>
      </c>
      <c r="L521" s="1290">
        <f t="shared" ca="1" si="126"/>
        <v>40.265926957245171</v>
      </c>
      <c r="M521" s="299">
        <v>513</v>
      </c>
      <c r="N521" s="304">
        <f t="shared" si="127"/>
        <v>3927.1731863160717</v>
      </c>
      <c r="O521" s="303">
        <v>241.35707584489955</v>
      </c>
      <c r="P521" s="302">
        <v>0.46015271076679809</v>
      </c>
      <c r="Q521" s="301">
        <v>122.36064802711519</v>
      </c>
      <c r="R521" s="301">
        <v>63.46351186270563</v>
      </c>
      <c r="S521" s="300">
        <v>7.9026471707654045</v>
      </c>
      <c r="T521" s="891">
        <f t="shared" si="128"/>
        <v>2</v>
      </c>
      <c r="U521" s="1220">
        <v>0.1834685206413269</v>
      </c>
      <c r="W521" s="299">
        <v>513</v>
      </c>
      <c r="X521" s="298">
        <f>IF('Donor Sample'!N538="",,IF('Donor Sample'!N538="F",1,0))</f>
        <v>0</v>
      </c>
      <c r="Y521" s="298" t="str">
        <f>IF('Donor Sample'!O538="","",'Donor Sample'!O538)</f>
        <v/>
      </c>
      <c r="Z521" s="298" t="str">
        <f>IF(AND('Donor Sample'!O538="",'Donor Sample'!P538="",'Donor Sample'!Q538=""),"",IF('Donor Sample'!P538="",ROUND(AA521/($C$32+($AI521-0.5)*$C$31),0),'Donor Sample'!P538))</f>
        <v/>
      </c>
      <c r="AA521" s="297" t="str">
        <f>IF('Donor Sample'!Q538="","",'Donor Sample'!Q538)</f>
        <v/>
      </c>
      <c r="AB521" s="296" t="str">
        <f t="shared" si="132"/>
        <v/>
      </c>
      <c r="AC521" s="295" t="str">
        <f>IF('Donor Sample'!R538="","",'Donor Sample'!R538)</f>
        <v/>
      </c>
      <c r="AD521" s="294" t="str">
        <f>IF('Donor Sample'!S538="","",'Donor Sample'!S538/100)</f>
        <v/>
      </c>
      <c r="AE521" s="293" t="e">
        <f t="shared" si="129"/>
        <v>#VALUE!</v>
      </c>
      <c r="AF521" s="293" t="str">
        <f t="shared" si="130"/>
        <v/>
      </c>
      <c r="AG521" s="292" t="str">
        <f>IF('Donor Sample'!T538="","",'Donor Sample'!T538)</f>
        <v/>
      </c>
      <c r="AH521" s="891">
        <f t="shared" si="131"/>
        <v>64</v>
      </c>
      <c r="AI521" s="1220">
        <v>0.60977095365524292</v>
      </c>
      <c r="AJ521" s="1216"/>
    </row>
    <row r="522" spans="5:36">
      <c r="E522" s="299">
        <v>514</v>
      </c>
      <c r="F522" s="308">
        <f t="shared" ca="1" si="133"/>
        <v>3411.1812394030035</v>
      </c>
      <c r="G522" s="307">
        <f t="shared" ca="1" si="134"/>
        <v>292.44116344000764</v>
      </c>
      <c r="H522" s="306">
        <f t="shared" ca="1" si="135"/>
        <v>0.41114644751795171</v>
      </c>
      <c r="I522" s="305">
        <f t="shared" ref="I522:I585" ca="1" si="137">F522/($C$32+(RAND()-0.5)*$C$31)</f>
        <v>121.80982778572911</v>
      </c>
      <c r="J522" s="305">
        <f t="shared" ref="J522:J585" ca="1" si="138">IF(AI522&lt;=$C$33,((F522-604-14.6*I522)/0.006012)^(1/3),((F522-183-15*I522)/0.005835)^(1/3))</f>
        <v>62.154024284509575</v>
      </c>
      <c r="K522" s="292">
        <f t="shared" ca="1" si="136"/>
        <v>1.4935399290449844</v>
      </c>
      <c r="L522" s="1290">
        <f t="shared" ref="L522:L585" ca="1" si="139">704*I522/J522^2</f>
        <v>22.198134682483506</v>
      </c>
      <c r="M522" s="299">
        <v>514</v>
      </c>
      <c r="N522" s="304">
        <f t="shared" ref="N522:N585" si="140">IF(AI522&gt;$C$33,183+0.005835*R522^3+15*Q522,604+0.006012*R522^3+14.6*Q522)</f>
        <v>3146.1607957466895</v>
      </c>
      <c r="O522" s="303">
        <v>247.56188090767759</v>
      </c>
      <c r="P522" s="302">
        <v>0.46307105619017291</v>
      </c>
      <c r="Q522" s="301">
        <v>118.37591991590186</v>
      </c>
      <c r="R522" s="301">
        <v>58.821162165270017</v>
      </c>
      <c r="S522" s="300">
        <v>3.8963816296327005</v>
      </c>
      <c r="T522" s="891">
        <f t="shared" ref="T522:T585" si="141">HLOOKUP(U522,$AL$32:$AT$34,3)</f>
        <v>64</v>
      </c>
      <c r="U522" s="1220">
        <v>0.65483677387237549</v>
      </c>
      <c r="W522" s="299">
        <v>514</v>
      </c>
      <c r="X522" s="298">
        <f>IF('Donor Sample'!N539="",,IF('Donor Sample'!N539="F",1,0))</f>
        <v>0</v>
      </c>
      <c r="Y522" s="298" t="str">
        <f>IF('Donor Sample'!O539="","",'Donor Sample'!O539)</f>
        <v/>
      </c>
      <c r="Z522" s="298" t="str">
        <f>IF(AND('Donor Sample'!O539="",'Donor Sample'!P539="",'Donor Sample'!Q539=""),"",IF('Donor Sample'!P539="",ROUND(AA522/($C$32+($AI522-0.5)*$C$31),0),'Donor Sample'!P539))</f>
        <v/>
      </c>
      <c r="AA522" s="297" t="str">
        <f>IF('Donor Sample'!Q539="","",'Donor Sample'!Q539)</f>
        <v/>
      </c>
      <c r="AB522" s="296" t="str">
        <f t="shared" si="132"/>
        <v/>
      </c>
      <c r="AC522" s="295" t="str">
        <f>IF('Donor Sample'!R539="","",'Donor Sample'!R539)</f>
        <v/>
      </c>
      <c r="AD522" s="294" t="str">
        <f>IF('Donor Sample'!S539="","",'Donor Sample'!S539/100)</f>
        <v/>
      </c>
      <c r="AE522" s="407" t="e">
        <f t="shared" ref="AE522:AE585" si="142">IF($AB$2=1,Z522,2.2*Z522)</f>
        <v>#VALUE!</v>
      </c>
      <c r="AF522" s="293" t="str">
        <f t="shared" ref="AF522:AF585" si="143">IF(AND(Y522="",AA522=""),"",IF(AA522="",IF($AB$2=1,Y522,Y522/2.54),IF(AI522&lt;=$C$33,((AB522-604-14.6*Z522)/0.006012)^(1/3),((AB522-183-15*Z522)/0.005835)^(1/3))))</f>
        <v/>
      </c>
      <c r="AG522" s="292" t="str">
        <f>IF('Donor Sample'!T539="","",'Donor Sample'!T539)</f>
        <v/>
      </c>
      <c r="AH522" s="891">
        <f t="shared" ref="AH522:AH585" si="144">HLOOKUP(AI522,$AL$32:$AT$34,3)</f>
        <v>16</v>
      </c>
      <c r="AI522" s="1220">
        <v>0.97993338108062744</v>
      </c>
      <c r="AJ522" s="1216"/>
    </row>
    <row r="523" spans="5:36">
      <c r="E523" s="299">
        <v>515</v>
      </c>
      <c r="F523" s="308">
        <f t="shared" ca="1" si="133"/>
        <v>3912.8086175655494</v>
      </c>
      <c r="G523" s="307">
        <f t="shared" ca="1" si="134"/>
        <v>180.32982913034112</v>
      </c>
      <c r="H523" s="306">
        <f t="shared" ca="1" si="135"/>
        <v>0.43215059618504276</v>
      </c>
      <c r="I523" s="305">
        <f t="shared" ca="1" si="137"/>
        <v>125.81091185973152</v>
      </c>
      <c r="J523" s="305">
        <f t="shared" ca="1" si="138"/>
        <v>62.559498781123452</v>
      </c>
      <c r="K523" s="292">
        <f t="shared" ca="1" si="136"/>
        <v>14.245125193459685</v>
      </c>
      <c r="L523" s="1290">
        <f t="shared" ca="1" si="139"/>
        <v>22.631036658154478</v>
      </c>
      <c r="M523" s="299">
        <v>515</v>
      </c>
      <c r="N523" s="304">
        <f t="shared" si="140"/>
        <v>2685.7786651706219</v>
      </c>
      <c r="O523" s="303">
        <v>255.73509909749893</v>
      </c>
      <c r="P523" s="302">
        <v>0.46989139109626649</v>
      </c>
      <c r="Q523" s="301">
        <v>111.20256474337587</v>
      </c>
      <c r="R523" s="301">
        <v>42.398654539301589</v>
      </c>
      <c r="S523" s="300">
        <v>1.3736681111030455</v>
      </c>
      <c r="T523" s="891">
        <f t="shared" si="141"/>
        <v>2</v>
      </c>
      <c r="U523" s="1220">
        <v>4.9753010272979736E-2</v>
      </c>
      <c r="W523" s="299">
        <v>515</v>
      </c>
      <c r="X523" s="298">
        <f>IF('Donor Sample'!N540="",,IF('Donor Sample'!N540="F",1,0))</f>
        <v>0</v>
      </c>
      <c r="Y523" s="298" t="str">
        <f>IF('Donor Sample'!O540="","",'Donor Sample'!O540)</f>
        <v/>
      </c>
      <c r="Z523" s="298" t="str">
        <f>IF(AND('Donor Sample'!O540="",'Donor Sample'!P540="",'Donor Sample'!Q540=""),"",IF('Donor Sample'!P540="",ROUND(AA523/($C$32+($AI523-0.5)*$C$31),0),'Donor Sample'!P540))</f>
        <v/>
      </c>
      <c r="AA523" s="297" t="str">
        <f>IF('Donor Sample'!Q540="","",'Donor Sample'!Q540)</f>
        <v/>
      </c>
      <c r="AB523" s="296" t="str">
        <f t="shared" si="132"/>
        <v/>
      </c>
      <c r="AC523" s="295" t="str">
        <f>IF('Donor Sample'!R540="","",'Donor Sample'!R540)</f>
        <v/>
      </c>
      <c r="AD523" s="294" t="str">
        <f>IF('Donor Sample'!S540="","",'Donor Sample'!S540/100)</f>
        <v/>
      </c>
      <c r="AE523" s="293" t="e">
        <f t="shared" si="142"/>
        <v>#VALUE!</v>
      </c>
      <c r="AF523" s="293" t="str">
        <f t="shared" si="143"/>
        <v/>
      </c>
      <c r="AG523" s="292" t="str">
        <f>IF('Donor Sample'!T540="","",'Donor Sample'!T540)</f>
        <v/>
      </c>
      <c r="AH523" s="891">
        <f t="shared" si="144"/>
        <v>64</v>
      </c>
      <c r="AI523" s="1220">
        <v>0.76245146989822388</v>
      </c>
      <c r="AJ523" s="1216"/>
    </row>
    <row r="524" spans="5:36">
      <c r="E524" s="299">
        <v>516</v>
      </c>
      <c r="F524" s="308">
        <f t="shared" ca="1" si="133"/>
        <v>3431.1137719692815</v>
      </c>
      <c r="G524" s="307">
        <f t="shared" ca="1" si="134"/>
        <v>213.56013771020406</v>
      </c>
      <c r="H524" s="306">
        <f t="shared" ca="1" si="135"/>
        <v>0.35991727589435235</v>
      </c>
      <c r="I524" s="305">
        <f t="shared" ca="1" si="137"/>
        <v>106.72001883628532</v>
      </c>
      <c r="J524" s="305">
        <f t="shared" ca="1" si="138"/>
        <v>59.54076187235033</v>
      </c>
      <c r="K524" s="292">
        <f t="shared" ca="1" si="136"/>
        <v>2.0001730682065277</v>
      </c>
      <c r="L524" s="1290">
        <f t="shared" ca="1" si="139"/>
        <v>21.192870159180444</v>
      </c>
      <c r="M524" s="299">
        <v>516</v>
      </c>
      <c r="N524" s="304">
        <f t="shared" si="140"/>
        <v>3118.7014565198228</v>
      </c>
      <c r="O524" s="303">
        <v>226.91490114831308</v>
      </c>
      <c r="P524" s="302">
        <v>0.46343781063998418</v>
      </c>
      <c r="Q524" s="301">
        <v>101.8018229256396</v>
      </c>
      <c r="R524" s="301">
        <v>55.511160404586342</v>
      </c>
      <c r="S524" s="300">
        <v>2.2068043383704055</v>
      </c>
      <c r="T524" s="891">
        <f t="shared" si="141"/>
        <v>256</v>
      </c>
      <c r="U524" s="1220">
        <v>0.87544131278991699</v>
      </c>
      <c r="W524" s="299">
        <v>516</v>
      </c>
      <c r="X524" s="298">
        <f>IF('Donor Sample'!N541="",,IF('Donor Sample'!N541="F",1,0))</f>
        <v>0</v>
      </c>
      <c r="Y524" s="298" t="str">
        <f>IF('Donor Sample'!O541="","",'Donor Sample'!O541)</f>
        <v/>
      </c>
      <c r="Z524" s="298" t="str">
        <f>IF(AND('Donor Sample'!O541="",'Donor Sample'!P541="",'Donor Sample'!Q541=""),"",IF('Donor Sample'!P541="",ROUND(AA524/($C$32+($AI524-0.5)*$C$31),0),'Donor Sample'!P541))</f>
        <v/>
      </c>
      <c r="AA524" s="297" t="str">
        <f>IF('Donor Sample'!Q541="","",'Donor Sample'!Q541)</f>
        <v/>
      </c>
      <c r="AB524" s="296" t="str">
        <f t="shared" si="132"/>
        <v/>
      </c>
      <c r="AC524" s="295" t="str">
        <f>IF('Donor Sample'!R541="","",'Donor Sample'!R541)</f>
        <v/>
      </c>
      <c r="AD524" s="294" t="str">
        <f>IF('Donor Sample'!S541="","",'Donor Sample'!S541/100)</f>
        <v/>
      </c>
      <c r="AE524" s="293" t="e">
        <f t="shared" si="142"/>
        <v>#VALUE!</v>
      </c>
      <c r="AF524" s="293" t="str">
        <f t="shared" si="143"/>
        <v/>
      </c>
      <c r="AG524" s="292" t="str">
        <f>IF('Donor Sample'!T541="","",'Donor Sample'!T541)</f>
        <v/>
      </c>
      <c r="AH524" s="891">
        <f t="shared" si="144"/>
        <v>2</v>
      </c>
      <c r="AI524" s="1220">
        <v>0.17338109016418457</v>
      </c>
      <c r="AJ524" s="1216"/>
    </row>
    <row r="525" spans="5:36">
      <c r="E525" s="299">
        <v>517</v>
      </c>
      <c r="F525" s="308">
        <f t="shared" ca="1" si="133"/>
        <v>3243.4287532152034</v>
      </c>
      <c r="G525" s="307">
        <f t="shared" ca="1" si="134"/>
        <v>218.33481491046803</v>
      </c>
      <c r="H525" s="306">
        <f t="shared" ca="1" si="135"/>
        <v>0.40388439763463757</v>
      </c>
      <c r="I525" s="305">
        <f t="shared" ca="1" si="137"/>
        <v>104.69075621836706</v>
      </c>
      <c r="J525" s="305">
        <f t="shared" ca="1" si="138"/>
        <v>56.95838862922254</v>
      </c>
      <c r="K525" s="292">
        <f t="shared" ca="1" si="136"/>
        <v>1.6648392112898975</v>
      </c>
      <c r="L525" s="1290">
        <f t="shared" ca="1" si="139"/>
        <v>22.717765226197201</v>
      </c>
      <c r="M525" s="299">
        <v>517</v>
      </c>
      <c r="N525" s="304">
        <f t="shared" si="140"/>
        <v>2958.3458898509944</v>
      </c>
      <c r="O525" s="303">
        <v>260.09062811253733</v>
      </c>
      <c r="P525" s="302">
        <v>0.49052715177512773</v>
      </c>
      <c r="Q525" s="301">
        <v>97.878040003929684</v>
      </c>
      <c r="R525" s="301">
        <v>53.591018416841372</v>
      </c>
      <c r="S525" s="300">
        <v>2.1231263239036484</v>
      </c>
      <c r="T525" s="891">
        <f t="shared" si="141"/>
        <v>2</v>
      </c>
      <c r="U525" s="1220">
        <v>5.4565370082855225E-2</v>
      </c>
      <c r="W525" s="299">
        <v>517</v>
      </c>
      <c r="X525" s="298">
        <f>IF('Donor Sample'!N542="",,IF('Donor Sample'!N542="F",1,0))</f>
        <v>0</v>
      </c>
      <c r="Y525" s="298" t="str">
        <f>IF('Donor Sample'!O542="","",'Donor Sample'!O542)</f>
        <v/>
      </c>
      <c r="Z525" s="298" t="str">
        <f>IF(AND('Donor Sample'!O542="",'Donor Sample'!P542="",'Donor Sample'!Q542=""),"",IF('Donor Sample'!P542="",ROUND(AA525/($C$32+($AI525-0.5)*$C$31),0),'Donor Sample'!P542))</f>
        <v/>
      </c>
      <c r="AA525" s="297" t="str">
        <f>IF('Donor Sample'!Q542="","",'Donor Sample'!Q542)</f>
        <v/>
      </c>
      <c r="AB525" s="296" t="str">
        <f t="shared" si="132"/>
        <v/>
      </c>
      <c r="AC525" s="295" t="str">
        <f>IF('Donor Sample'!R542="","",'Donor Sample'!R542)</f>
        <v/>
      </c>
      <c r="AD525" s="294" t="str">
        <f>IF('Donor Sample'!S542="","",'Donor Sample'!S542/100)</f>
        <v/>
      </c>
      <c r="AE525" s="407" t="e">
        <f t="shared" si="142"/>
        <v>#VALUE!</v>
      </c>
      <c r="AF525" s="293" t="str">
        <f t="shared" si="143"/>
        <v/>
      </c>
      <c r="AG525" s="292" t="str">
        <f>IF('Donor Sample'!T542="","",'Donor Sample'!T542)</f>
        <v/>
      </c>
      <c r="AH525" s="891">
        <f t="shared" si="144"/>
        <v>2</v>
      </c>
      <c r="AI525" s="1220">
        <v>0.35264056921005249</v>
      </c>
      <c r="AJ525" s="1216"/>
    </row>
    <row r="526" spans="5:36">
      <c r="E526" s="299">
        <v>518</v>
      </c>
      <c r="F526" s="308">
        <f t="shared" ca="1" si="133"/>
        <v>3195.4462403567004</v>
      </c>
      <c r="G526" s="307">
        <f t="shared" ca="1" si="134"/>
        <v>189.2659754557655</v>
      </c>
      <c r="H526" s="306">
        <f t="shared" ca="1" si="135"/>
        <v>0.40291215774385136</v>
      </c>
      <c r="I526" s="305">
        <f t="shared" ca="1" si="137"/>
        <v>108.20792541199731</v>
      </c>
      <c r="J526" s="305">
        <f t="shared" ca="1" si="138"/>
        <v>55.207505328965048</v>
      </c>
      <c r="K526" s="292">
        <f t="shared" ca="1" si="136"/>
        <v>1.3585426058664709</v>
      </c>
      <c r="L526" s="1290">
        <f t="shared" ca="1" si="139"/>
        <v>24.993983787267638</v>
      </c>
      <c r="M526" s="299">
        <v>518</v>
      </c>
      <c r="N526" s="304">
        <f t="shared" si="140"/>
        <v>3239.7633363689724</v>
      </c>
      <c r="O526" s="303">
        <v>211.76466048364517</v>
      </c>
      <c r="P526" s="302">
        <v>0.45102041832540524</v>
      </c>
      <c r="Q526" s="301">
        <v>102.8997811588723</v>
      </c>
      <c r="R526" s="301">
        <v>57.340058829202292</v>
      </c>
      <c r="S526" s="300">
        <v>2.7159289490960474</v>
      </c>
      <c r="T526" s="891">
        <f t="shared" si="141"/>
        <v>64</v>
      </c>
      <c r="U526" s="1220">
        <v>0.48612630367279053</v>
      </c>
      <c r="W526" s="299">
        <v>518</v>
      </c>
      <c r="X526" s="298">
        <f>IF('Donor Sample'!N543="",,IF('Donor Sample'!N543="F",1,0))</f>
        <v>0</v>
      </c>
      <c r="Y526" s="298" t="str">
        <f>IF('Donor Sample'!O543="","",'Donor Sample'!O543)</f>
        <v/>
      </c>
      <c r="Z526" s="298" t="str">
        <f>IF(AND('Donor Sample'!O543="",'Donor Sample'!P543="",'Donor Sample'!Q543=""),"",IF('Donor Sample'!P543="",ROUND(AA526/($C$32+($AI526-0.5)*$C$31),0),'Donor Sample'!P543))</f>
        <v/>
      </c>
      <c r="AA526" s="297" t="str">
        <f>IF('Donor Sample'!Q543="","",'Donor Sample'!Q543)</f>
        <v/>
      </c>
      <c r="AB526" s="296" t="str">
        <f t="shared" si="132"/>
        <v/>
      </c>
      <c r="AC526" s="295" t="str">
        <f>IF('Donor Sample'!R543="","",'Donor Sample'!R543)</f>
        <v/>
      </c>
      <c r="AD526" s="294" t="str">
        <f>IF('Donor Sample'!S543="","",'Donor Sample'!S543/100)</f>
        <v/>
      </c>
      <c r="AE526" s="293" t="e">
        <f t="shared" si="142"/>
        <v>#VALUE!</v>
      </c>
      <c r="AF526" s="293" t="str">
        <f t="shared" si="143"/>
        <v/>
      </c>
      <c r="AG526" s="292" t="str">
        <f>IF('Donor Sample'!T543="","",'Donor Sample'!T543)</f>
        <v/>
      </c>
      <c r="AH526" s="891">
        <f t="shared" si="144"/>
        <v>64</v>
      </c>
      <c r="AI526" s="1220">
        <v>0.51621711254119873</v>
      </c>
      <c r="AJ526" s="1216"/>
    </row>
    <row r="527" spans="5:36">
      <c r="E527" s="299">
        <v>519</v>
      </c>
      <c r="F527" s="308">
        <f t="shared" ca="1" si="133"/>
        <v>3199.8059572920724</v>
      </c>
      <c r="G527" s="307">
        <f t="shared" ca="1" si="134"/>
        <v>259.02742912628628</v>
      </c>
      <c r="H527" s="306">
        <f t="shared" ca="1" si="135"/>
        <v>0.39466355823825627</v>
      </c>
      <c r="I527" s="305">
        <f t="shared" ca="1" si="137"/>
        <v>132.21547113978357</v>
      </c>
      <c r="J527" s="305">
        <f t="shared" ca="1" si="138"/>
        <v>48.013976808964621</v>
      </c>
      <c r="K527" s="292">
        <f t="shared" ca="1" si="136"/>
        <v>1.4403351871504642</v>
      </c>
      <c r="L527" s="1290">
        <f t="shared" ca="1" si="139"/>
        <v>40.375654863172926</v>
      </c>
      <c r="M527" s="299">
        <v>519</v>
      </c>
      <c r="N527" s="304">
        <f t="shared" si="140"/>
        <v>3143.1490715396662</v>
      </c>
      <c r="O527" s="303">
        <v>234.04082814278433</v>
      </c>
      <c r="P527" s="302">
        <v>0.436775716037549</v>
      </c>
      <c r="Q527" s="301">
        <v>100.52128993944763</v>
      </c>
      <c r="R527" s="301">
        <v>56.276822360438558</v>
      </c>
      <c r="S527" s="300">
        <v>4.4781975156310061</v>
      </c>
      <c r="T527" s="891">
        <f t="shared" si="141"/>
        <v>64</v>
      </c>
      <c r="U527" s="1220">
        <v>0.47214418649673462</v>
      </c>
      <c r="W527" s="299">
        <v>519</v>
      </c>
      <c r="X527" s="298">
        <f>IF('Donor Sample'!N544="",,IF('Donor Sample'!N544="F",1,0))</f>
        <v>0</v>
      </c>
      <c r="Y527" s="298" t="str">
        <f>IF('Donor Sample'!O544="","",'Donor Sample'!O544)</f>
        <v/>
      </c>
      <c r="Z527" s="298" t="str">
        <f>IF(AND('Donor Sample'!O544="",'Donor Sample'!P544="",'Donor Sample'!Q544=""),"",IF('Donor Sample'!P544="",ROUND(AA527/($C$32+($AI527-0.5)*$C$31),0),'Donor Sample'!P544))</f>
        <v/>
      </c>
      <c r="AA527" s="297" t="str">
        <f>IF('Donor Sample'!Q544="","",'Donor Sample'!Q544)</f>
        <v/>
      </c>
      <c r="AB527" s="296" t="str">
        <f t="shared" si="132"/>
        <v/>
      </c>
      <c r="AC527" s="295" t="str">
        <f>IF('Donor Sample'!R544="","",'Donor Sample'!R544)</f>
        <v/>
      </c>
      <c r="AD527" s="294" t="str">
        <f>IF('Donor Sample'!S544="","",'Donor Sample'!S544/100)</f>
        <v/>
      </c>
      <c r="AE527" s="293" t="e">
        <f t="shared" si="142"/>
        <v>#VALUE!</v>
      </c>
      <c r="AF527" s="293" t="str">
        <f t="shared" si="143"/>
        <v/>
      </c>
      <c r="AG527" s="292" t="str">
        <f>IF('Donor Sample'!T544="","",'Donor Sample'!T544)</f>
        <v/>
      </c>
      <c r="AH527" s="891">
        <f t="shared" si="144"/>
        <v>2</v>
      </c>
      <c r="AI527" s="1220">
        <v>0.10892254114151001</v>
      </c>
      <c r="AJ527" s="1216"/>
    </row>
    <row r="528" spans="5:36">
      <c r="E528" s="299">
        <v>520</v>
      </c>
      <c r="F528" s="308">
        <f t="shared" ca="1" si="133"/>
        <v>4321.8913645754337</v>
      </c>
      <c r="G528" s="307">
        <f t="shared" ca="1" si="134"/>
        <v>320.2863178033524</v>
      </c>
      <c r="H528" s="306">
        <f t="shared" ca="1" si="135"/>
        <v>0.47922966305083825</v>
      </c>
      <c r="I528" s="305">
        <f t="shared" ca="1" si="137"/>
        <v>166.86690413543297</v>
      </c>
      <c r="J528" s="305">
        <f t="shared" ca="1" si="138"/>
        <v>59.737688390404898</v>
      </c>
      <c r="K528" s="292">
        <f t="shared" ca="1" si="136"/>
        <v>2.9207585360802377</v>
      </c>
      <c r="L528" s="1290">
        <f t="shared" ca="1" si="139"/>
        <v>32.91895509330017</v>
      </c>
      <c r="M528" s="299">
        <v>520</v>
      </c>
      <c r="N528" s="304">
        <f t="shared" si="140"/>
        <v>3037.9175209181531</v>
      </c>
      <c r="O528" s="303">
        <v>173.51190478265718</v>
      </c>
      <c r="P528" s="302">
        <v>0.49944071361480474</v>
      </c>
      <c r="Q528" s="301">
        <v>95.5965740030978</v>
      </c>
      <c r="R528" s="301">
        <v>55.687159895023527</v>
      </c>
      <c r="S528" s="300">
        <v>5.7645525236598321</v>
      </c>
      <c r="T528" s="891">
        <f t="shared" si="141"/>
        <v>2</v>
      </c>
      <c r="U528" s="1220">
        <v>0.10948848724365234</v>
      </c>
      <c r="W528" s="299">
        <v>520</v>
      </c>
      <c r="X528" s="298">
        <f>IF('Donor Sample'!N545="",,IF('Donor Sample'!N545="F",1,0))</f>
        <v>0</v>
      </c>
      <c r="Y528" s="298" t="str">
        <f>IF('Donor Sample'!O545="","",'Donor Sample'!O545)</f>
        <v/>
      </c>
      <c r="Z528" s="298" t="str">
        <f>IF(AND('Donor Sample'!O545="",'Donor Sample'!P545="",'Donor Sample'!Q545=""),"",IF('Donor Sample'!P545="",ROUND(AA528/($C$32+($AI528-0.5)*$C$31),0),'Donor Sample'!P545))</f>
        <v/>
      </c>
      <c r="AA528" s="297" t="str">
        <f>IF('Donor Sample'!Q545="","",'Donor Sample'!Q545)</f>
        <v/>
      </c>
      <c r="AB528" s="296" t="str">
        <f t="shared" si="132"/>
        <v/>
      </c>
      <c r="AC528" s="295" t="str">
        <f>IF('Donor Sample'!R545="","",'Donor Sample'!R545)</f>
        <v/>
      </c>
      <c r="AD528" s="294" t="str">
        <f>IF('Donor Sample'!S545="","",'Donor Sample'!S545/100)</f>
        <v/>
      </c>
      <c r="AE528" s="407" t="e">
        <f t="shared" si="142"/>
        <v>#VALUE!</v>
      </c>
      <c r="AF528" s="293" t="str">
        <f t="shared" si="143"/>
        <v/>
      </c>
      <c r="AG528" s="292" t="str">
        <f>IF('Donor Sample'!T545="","",'Donor Sample'!T545)</f>
        <v/>
      </c>
      <c r="AH528" s="891">
        <f t="shared" si="144"/>
        <v>64</v>
      </c>
      <c r="AI528" s="1220">
        <v>0.51800107955932617</v>
      </c>
      <c r="AJ528" s="1216"/>
    </row>
    <row r="529" spans="5:36">
      <c r="E529" s="299">
        <v>521</v>
      </c>
      <c r="F529" s="308">
        <f t="shared" ca="1" si="133"/>
        <v>3155.7091664973614</v>
      </c>
      <c r="G529" s="307">
        <f t="shared" ca="1" si="134"/>
        <v>272.29515929709333</v>
      </c>
      <c r="H529" s="306">
        <f t="shared" ca="1" si="135"/>
        <v>0.3870708062833435</v>
      </c>
      <c r="I529" s="305">
        <f t="shared" ca="1" si="137"/>
        <v>128.10368619769588</v>
      </c>
      <c r="J529" s="305">
        <f t="shared" ca="1" si="138"/>
        <v>48.394209190014479</v>
      </c>
      <c r="K529" s="292">
        <f t="shared" ca="1" si="136"/>
        <v>7.4844866574831972</v>
      </c>
      <c r="L529" s="1290">
        <f t="shared" ca="1" si="139"/>
        <v>38.507692137817592</v>
      </c>
      <c r="M529" s="299">
        <v>521</v>
      </c>
      <c r="N529" s="304">
        <f t="shared" si="140"/>
        <v>4771.4127270866402</v>
      </c>
      <c r="O529" s="303">
        <v>314.67792603774399</v>
      </c>
      <c r="P529" s="302">
        <v>0.42049495255650909</v>
      </c>
      <c r="Q529" s="301">
        <v>151.36952454487218</v>
      </c>
      <c r="R529" s="301">
        <v>68.794678293228046</v>
      </c>
      <c r="S529" s="300">
        <v>2.443377337332266</v>
      </c>
      <c r="T529" s="891">
        <f t="shared" si="141"/>
        <v>2</v>
      </c>
      <c r="U529" s="1220">
        <v>9.876173734664917E-2</v>
      </c>
      <c r="W529" s="299">
        <v>521</v>
      </c>
      <c r="X529" s="298">
        <f>IF('Donor Sample'!N546="",,IF('Donor Sample'!N546="F",1,0))</f>
        <v>0</v>
      </c>
      <c r="Y529" s="298" t="str">
        <f>IF('Donor Sample'!O546="","",'Donor Sample'!O546)</f>
        <v/>
      </c>
      <c r="Z529" s="298" t="str">
        <f>IF(AND('Donor Sample'!O546="",'Donor Sample'!P546="",'Donor Sample'!Q546=""),"",IF('Donor Sample'!P546="",ROUND(AA529/($C$32+($AI529-0.5)*$C$31),0),'Donor Sample'!P546))</f>
        <v/>
      </c>
      <c r="AA529" s="297" t="str">
        <f>IF('Donor Sample'!Q546="","",'Donor Sample'!Q546)</f>
        <v/>
      </c>
      <c r="AB529" s="296" t="str">
        <f t="shared" si="132"/>
        <v/>
      </c>
      <c r="AC529" s="295" t="str">
        <f>IF('Donor Sample'!R546="","",'Donor Sample'!R546)</f>
        <v/>
      </c>
      <c r="AD529" s="294" t="str">
        <f>IF('Donor Sample'!S546="","",'Donor Sample'!S546/100)</f>
        <v/>
      </c>
      <c r="AE529" s="293" t="e">
        <f t="shared" si="142"/>
        <v>#VALUE!</v>
      </c>
      <c r="AF529" s="293" t="str">
        <f t="shared" si="143"/>
        <v/>
      </c>
      <c r="AG529" s="292" t="str">
        <f>IF('Donor Sample'!T546="","",'Donor Sample'!T546)</f>
        <v/>
      </c>
      <c r="AH529" s="891">
        <f t="shared" si="144"/>
        <v>4</v>
      </c>
      <c r="AI529" s="1220">
        <v>0.41668099164962769</v>
      </c>
      <c r="AJ529" s="1216"/>
    </row>
    <row r="530" spans="5:36">
      <c r="E530" s="299">
        <v>522</v>
      </c>
      <c r="F530" s="308">
        <f t="shared" ca="1" si="133"/>
        <v>3238.1473520734985</v>
      </c>
      <c r="G530" s="307">
        <f t="shared" ca="1" si="134"/>
        <v>183.31773617165578</v>
      </c>
      <c r="H530" s="306">
        <f t="shared" ca="1" si="135"/>
        <v>0.48577498910708772</v>
      </c>
      <c r="I530" s="305">
        <f t="shared" ca="1" si="137"/>
        <v>109.95359042343415</v>
      </c>
      <c r="J530" s="305">
        <f t="shared" ca="1" si="138"/>
        <v>55.518897858231576</v>
      </c>
      <c r="K530" s="292">
        <f t="shared" ca="1" si="136"/>
        <v>2.7602715298784046</v>
      </c>
      <c r="L530" s="1290">
        <f t="shared" ca="1" si="139"/>
        <v>25.113104416206561</v>
      </c>
      <c r="M530" s="299">
        <v>522</v>
      </c>
      <c r="N530" s="304">
        <f t="shared" si="140"/>
        <v>3762.449524872437</v>
      </c>
      <c r="O530" s="303">
        <v>286.34257658666866</v>
      </c>
      <c r="P530" s="302">
        <v>0.35915375481998224</v>
      </c>
      <c r="Q530" s="301">
        <v>142.86255457033187</v>
      </c>
      <c r="R530" s="301">
        <v>56.296387703649202</v>
      </c>
      <c r="S530" s="300">
        <v>2.7913388552733278</v>
      </c>
      <c r="T530" s="891">
        <f t="shared" si="141"/>
        <v>4</v>
      </c>
      <c r="U530" s="1220">
        <v>0.36452353000640869</v>
      </c>
      <c r="W530" s="299">
        <v>522</v>
      </c>
      <c r="X530" s="298">
        <f>IF('Donor Sample'!N547="",,IF('Donor Sample'!N547="F",1,0))</f>
        <v>0</v>
      </c>
      <c r="Y530" s="298" t="str">
        <f>IF('Donor Sample'!O547="","",'Donor Sample'!O547)</f>
        <v/>
      </c>
      <c r="Z530" s="298" t="str">
        <f>IF(AND('Donor Sample'!O547="",'Donor Sample'!P547="",'Donor Sample'!Q547=""),"",IF('Donor Sample'!P547="",ROUND(AA530/($C$32+($AI530-0.5)*$C$31),0),'Donor Sample'!P547))</f>
        <v/>
      </c>
      <c r="AA530" s="297" t="str">
        <f>IF('Donor Sample'!Q547="","",'Donor Sample'!Q547)</f>
        <v/>
      </c>
      <c r="AB530" s="296" t="str">
        <f t="shared" si="132"/>
        <v/>
      </c>
      <c r="AC530" s="295" t="str">
        <f>IF('Donor Sample'!R547="","",'Donor Sample'!R547)</f>
        <v/>
      </c>
      <c r="AD530" s="294" t="str">
        <f>IF('Donor Sample'!S547="","",'Donor Sample'!S547/100)</f>
        <v/>
      </c>
      <c r="AE530" s="293" t="e">
        <f t="shared" si="142"/>
        <v>#VALUE!</v>
      </c>
      <c r="AF530" s="293" t="str">
        <f t="shared" si="143"/>
        <v/>
      </c>
      <c r="AG530" s="292" t="str">
        <f>IF('Donor Sample'!T547="","",'Donor Sample'!T547)</f>
        <v/>
      </c>
      <c r="AH530" s="891">
        <f t="shared" si="144"/>
        <v>2</v>
      </c>
      <c r="AI530" s="1220">
        <v>0.28039467334747314</v>
      </c>
      <c r="AJ530" s="1216"/>
    </row>
    <row r="531" spans="5:36">
      <c r="E531" s="299">
        <v>523</v>
      </c>
      <c r="F531" s="308">
        <f t="shared" ca="1" si="133"/>
        <v>2793.8386306770963</v>
      </c>
      <c r="G531" s="307">
        <f t="shared" ca="1" si="134"/>
        <v>212.60259978223198</v>
      </c>
      <c r="H531" s="306">
        <f t="shared" ca="1" si="135"/>
        <v>0.44563777825010698</v>
      </c>
      <c r="I531" s="305">
        <f t="shared" ca="1" si="137"/>
        <v>112.31193341487077</v>
      </c>
      <c r="J531" s="305">
        <f t="shared" ca="1" si="138"/>
        <v>45.06127263560429</v>
      </c>
      <c r="K531" s="292">
        <f t="shared" ca="1" si="136"/>
        <v>3.0966093839573832</v>
      </c>
      <c r="L531" s="1290">
        <f t="shared" ca="1" si="139"/>
        <v>38.939615296000056</v>
      </c>
      <c r="M531" s="299">
        <v>523</v>
      </c>
      <c r="N531" s="304">
        <f t="shared" si="140"/>
        <v>4318.8882897882568</v>
      </c>
      <c r="O531" s="303">
        <v>263.50219282670537</v>
      </c>
      <c r="P531" s="302">
        <v>0.49593234531822522</v>
      </c>
      <c r="Q531" s="301">
        <v>164.97985375219713</v>
      </c>
      <c r="R531" s="301">
        <v>60.116675350908153</v>
      </c>
      <c r="S531" s="300">
        <v>2.2201327329180072</v>
      </c>
      <c r="T531" s="891">
        <f t="shared" si="141"/>
        <v>2</v>
      </c>
      <c r="U531" s="1220">
        <v>5.3993523120880127E-2</v>
      </c>
      <c r="W531" s="299">
        <v>523</v>
      </c>
      <c r="X531" s="298">
        <f>IF('Donor Sample'!N548="",,IF('Donor Sample'!N548="F",1,0))</f>
        <v>0</v>
      </c>
      <c r="Y531" s="298" t="str">
        <f>IF('Donor Sample'!O548="","",'Donor Sample'!O548)</f>
        <v/>
      </c>
      <c r="Z531" s="298" t="str">
        <f>IF(AND('Donor Sample'!O548="",'Donor Sample'!P548="",'Donor Sample'!Q548=""),"",IF('Donor Sample'!P548="",ROUND(AA531/($C$32+($AI531-0.5)*$C$31),0),'Donor Sample'!P548))</f>
        <v/>
      </c>
      <c r="AA531" s="297" t="str">
        <f>IF('Donor Sample'!Q548="","",'Donor Sample'!Q548)</f>
        <v/>
      </c>
      <c r="AB531" s="296" t="str">
        <f t="shared" si="132"/>
        <v/>
      </c>
      <c r="AC531" s="295" t="str">
        <f>IF('Donor Sample'!R548="","",'Donor Sample'!R548)</f>
        <v/>
      </c>
      <c r="AD531" s="294" t="str">
        <f>IF('Donor Sample'!S548="","",'Donor Sample'!S548/100)</f>
        <v/>
      </c>
      <c r="AE531" s="407" t="e">
        <f t="shared" si="142"/>
        <v>#VALUE!</v>
      </c>
      <c r="AF531" s="293" t="str">
        <f t="shared" si="143"/>
        <v/>
      </c>
      <c r="AG531" s="292" t="str">
        <f>IF('Donor Sample'!T548="","",'Donor Sample'!T548)</f>
        <v/>
      </c>
      <c r="AH531" s="891">
        <f t="shared" si="144"/>
        <v>2</v>
      </c>
      <c r="AI531" s="1220">
        <v>0.19749337434768677</v>
      </c>
      <c r="AJ531" s="1216"/>
    </row>
    <row r="532" spans="5:36">
      <c r="E532" s="299">
        <v>524</v>
      </c>
      <c r="F532" s="308">
        <f t="shared" ca="1" si="133"/>
        <v>4011.9430936990602</v>
      </c>
      <c r="G532" s="307">
        <f t="shared" ca="1" si="134"/>
        <v>263.81082458160114</v>
      </c>
      <c r="H532" s="306">
        <f t="shared" ca="1" si="135"/>
        <v>0.37251944439742618</v>
      </c>
      <c r="I532" s="305">
        <f t="shared" ca="1" si="137"/>
        <v>146.06967561520764</v>
      </c>
      <c r="J532" s="305">
        <f t="shared" ca="1" si="138"/>
        <v>59.63950926552161</v>
      </c>
      <c r="K532" s="292">
        <f t="shared" ca="1" si="136"/>
        <v>6.829704747833528</v>
      </c>
      <c r="L532" s="1290">
        <f t="shared" ca="1" si="139"/>
        <v>28.911099036593754</v>
      </c>
      <c r="M532" s="299">
        <v>524</v>
      </c>
      <c r="N532" s="304">
        <f t="shared" si="140"/>
        <v>3206.0509165488334</v>
      </c>
      <c r="O532" s="303">
        <v>240.39943033859157</v>
      </c>
      <c r="P532" s="302">
        <v>0.3675633181057531</v>
      </c>
      <c r="Q532" s="301">
        <v>127.18771310231089</v>
      </c>
      <c r="R532" s="301">
        <v>49.857886661708655</v>
      </c>
      <c r="S532" s="300">
        <v>17.598038473404809</v>
      </c>
      <c r="T532" s="891">
        <f t="shared" si="141"/>
        <v>16</v>
      </c>
      <c r="U532" s="1220">
        <v>0.96281743049621582</v>
      </c>
      <c r="W532" s="299">
        <v>524</v>
      </c>
      <c r="X532" s="298">
        <f>IF('Donor Sample'!N549="",,IF('Donor Sample'!N549="F",1,0))</f>
        <v>0</v>
      </c>
      <c r="Y532" s="298" t="str">
        <f>IF('Donor Sample'!O549="","",'Donor Sample'!O549)</f>
        <v/>
      </c>
      <c r="Z532" s="298" t="str">
        <f>IF(AND('Donor Sample'!O549="",'Donor Sample'!P549="",'Donor Sample'!Q549=""),"",IF('Donor Sample'!P549="",ROUND(AA532/($C$32+($AI532-0.5)*$C$31),0),'Donor Sample'!P549))</f>
        <v/>
      </c>
      <c r="AA532" s="297" t="str">
        <f>IF('Donor Sample'!Q549="","",'Donor Sample'!Q549)</f>
        <v/>
      </c>
      <c r="AB532" s="296" t="str">
        <f t="shared" si="132"/>
        <v/>
      </c>
      <c r="AC532" s="295" t="str">
        <f>IF('Donor Sample'!R549="","",'Donor Sample'!R549)</f>
        <v/>
      </c>
      <c r="AD532" s="294" t="str">
        <f>IF('Donor Sample'!S549="","",'Donor Sample'!S549/100)</f>
        <v/>
      </c>
      <c r="AE532" s="293" t="e">
        <f t="shared" si="142"/>
        <v>#VALUE!</v>
      </c>
      <c r="AF532" s="293" t="str">
        <f t="shared" si="143"/>
        <v/>
      </c>
      <c r="AG532" s="292" t="str">
        <f>IF('Donor Sample'!T549="","",'Donor Sample'!T549)</f>
        <v/>
      </c>
      <c r="AH532" s="891">
        <f t="shared" si="144"/>
        <v>2</v>
      </c>
      <c r="AI532" s="1220">
        <v>0.3589780330657959</v>
      </c>
      <c r="AJ532" s="1216"/>
    </row>
    <row r="533" spans="5:36">
      <c r="E533" s="299">
        <v>525</v>
      </c>
      <c r="F533" s="308">
        <f t="shared" ca="1" si="133"/>
        <v>3264.374221562608</v>
      </c>
      <c r="G533" s="307">
        <f t="shared" ca="1" si="134"/>
        <v>287.2286899453054</v>
      </c>
      <c r="H533" s="306">
        <f t="shared" ca="1" si="135"/>
        <v>0.39213808185479004</v>
      </c>
      <c r="I533" s="305">
        <f t="shared" ca="1" si="137"/>
        <v>109.99642004500021</v>
      </c>
      <c r="J533" s="305">
        <f t="shared" ca="1" si="138"/>
        <v>62.600270224733706</v>
      </c>
      <c r="K533" s="292">
        <f t="shared" ca="1" si="136"/>
        <v>1.2385255574599048</v>
      </c>
      <c r="L533" s="1290">
        <f t="shared" ca="1" si="139"/>
        <v>19.760539346367107</v>
      </c>
      <c r="M533" s="299">
        <v>525</v>
      </c>
      <c r="N533" s="304">
        <f t="shared" si="140"/>
        <v>4355.2894466776215</v>
      </c>
      <c r="O533" s="303">
        <v>304.67682737232036</v>
      </c>
      <c r="P533" s="302">
        <v>0.37951505837599986</v>
      </c>
      <c r="Q533" s="301">
        <v>171.98766477919855</v>
      </c>
      <c r="R533" s="301">
        <v>64.865017540116625</v>
      </c>
      <c r="S533" s="300">
        <v>1.2547055828944882</v>
      </c>
      <c r="T533" s="891">
        <f t="shared" si="141"/>
        <v>8</v>
      </c>
      <c r="U533" s="1220">
        <v>0.99214404821395874</v>
      </c>
      <c r="W533" s="299">
        <v>525</v>
      </c>
      <c r="X533" s="298">
        <f>IF('Donor Sample'!N550="",,IF('Donor Sample'!N550="F",1,0))</f>
        <v>0</v>
      </c>
      <c r="Y533" s="298" t="str">
        <f>IF('Donor Sample'!O550="","",'Donor Sample'!O550)</f>
        <v/>
      </c>
      <c r="Z533" s="298" t="str">
        <f>IF(AND('Donor Sample'!O550="",'Donor Sample'!P550="",'Donor Sample'!Q550=""),"",IF('Donor Sample'!P550="",ROUND(AA533/($C$32+($AI533-0.5)*$C$31),0),'Donor Sample'!P550))</f>
        <v/>
      </c>
      <c r="AA533" s="297" t="str">
        <f>IF('Donor Sample'!Q550="","",'Donor Sample'!Q550)</f>
        <v/>
      </c>
      <c r="AB533" s="296" t="str">
        <f t="shared" si="132"/>
        <v/>
      </c>
      <c r="AC533" s="295" t="str">
        <f>IF('Donor Sample'!R550="","",'Donor Sample'!R550)</f>
        <v/>
      </c>
      <c r="AD533" s="294" t="str">
        <f>IF('Donor Sample'!S550="","",'Donor Sample'!S550/100)</f>
        <v/>
      </c>
      <c r="AE533" s="293" t="e">
        <f t="shared" si="142"/>
        <v>#VALUE!</v>
      </c>
      <c r="AF533" s="293" t="str">
        <f t="shared" si="143"/>
        <v/>
      </c>
      <c r="AG533" s="292" t="str">
        <f>IF('Donor Sample'!T550="","",'Donor Sample'!T550)</f>
        <v/>
      </c>
      <c r="AH533" s="891">
        <f t="shared" si="144"/>
        <v>32</v>
      </c>
      <c r="AI533" s="1220">
        <v>0.82368177175521851</v>
      </c>
      <c r="AJ533" s="1216"/>
    </row>
    <row r="534" spans="5:36">
      <c r="E534" s="299">
        <v>526</v>
      </c>
      <c r="F534" s="308">
        <f t="shared" ca="1" si="133"/>
        <v>3130.4807596211976</v>
      </c>
      <c r="G534" s="307">
        <f t="shared" ca="1" si="134"/>
        <v>321.13430849658306</v>
      </c>
      <c r="H534" s="306">
        <f t="shared" ca="1" si="135"/>
        <v>0.39962369856427754</v>
      </c>
      <c r="I534" s="305">
        <f t="shared" ca="1" si="137"/>
        <v>100.67078610390327</v>
      </c>
      <c r="J534" s="305">
        <f t="shared" ca="1" si="138"/>
        <v>56.015622877726805</v>
      </c>
      <c r="K534" s="292">
        <f t="shared" ca="1" si="136"/>
        <v>1.440914978797398</v>
      </c>
      <c r="L534" s="1290">
        <f t="shared" ca="1" si="139"/>
        <v>22.586959851183057</v>
      </c>
      <c r="M534" s="299">
        <v>526</v>
      </c>
      <c r="N534" s="304">
        <f t="shared" si="140"/>
        <v>4373.1040886299506</v>
      </c>
      <c r="O534" s="303">
        <v>209.17964080266447</v>
      </c>
      <c r="P534" s="302">
        <v>0.47448699731138666</v>
      </c>
      <c r="Q534" s="301">
        <v>148.89251878967346</v>
      </c>
      <c r="R534" s="301">
        <v>64.259702337566125</v>
      </c>
      <c r="S534" s="300">
        <v>2.0343357744886976</v>
      </c>
      <c r="T534" s="891">
        <f t="shared" si="141"/>
        <v>64</v>
      </c>
      <c r="U534" s="1220">
        <v>0.57426917552947998</v>
      </c>
      <c r="W534" s="299">
        <v>526</v>
      </c>
      <c r="X534" s="298">
        <f>IF('Donor Sample'!N551="",,IF('Donor Sample'!N551="F",1,0))</f>
        <v>0</v>
      </c>
      <c r="Y534" s="298" t="str">
        <f>IF('Donor Sample'!O551="","",'Donor Sample'!O551)</f>
        <v/>
      </c>
      <c r="Z534" s="298" t="str">
        <f>IF(AND('Donor Sample'!O551="",'Donor Sample'!P551="",'Donor Sample'!Q551=""),"",IF('Donor Sample'!P551="",ROUND(AA534/($C$32+($AI534-0.5)*$C$31),0),'Donor Sample'!P551))</f>
        <v/>
      </c>
      <c r="AA534" s="297" t="str">
        <f>IF('Donor Sample'!Q551="","",'Donor Sample'!Q551)</f>
        <v/>
      </c>
      <c r="AB534" s="296" t="str">
        <f t="shared" si="132"/>
        <v/>
      </c>
      <c r="AC534" s="295" t="str">
        <f>IF('Donor Sample'!R551="","",'Donor Sample'!R551)</f>
        <v/>
      </c>
      <c r="AD534" s="294" t="str">
        <f>IF('Donor Sample'!S551="","",'Donor Sample'!S551/100)</f>
        <v/>
      </c>
      <c r="AE534" s="407" t="e">
        <f t="shared" si="142"/>
        <v>#VALUE!</v>
      </c>
      <c r="AF534" s="293" t="str">
        <f t="shared" si="143"/>
        <v/>
      </c>
      <c r="AG534" s="292" t="str">
        <f>IF('Donor Sample'!T551="","",'Donor Sample'!T551)</f>
        <v/>
      </c>
      <c r="AH534" s="891">
        <f t="shared" si="144"/>
        <v>64</v>
      </c>
      <c r="AI534" s="1220">
        <v>0.51959741115570068</v>
      </c>
      <c r="AJ534" s="1216"/>
    </row>
    <row r="535" spans="5:36">
      <c r="E535" s="299">
        <v>527</v>
      </c>
      <c r="F535" s="308">
        <f t="shared" ca="1" si="133"/>
        <v>4405.8455306969663</v>
      </c>
      <c r="G535" s="307">
        <f t="shared" ca="1" si="134"/>
        <v>213.13449151954839</v>
      </c>
      <c r="H535" s="306">
        <f t="shared" ca="1" si="135"/>
        <v>0.43773275333633022</v>
      </c>
      <c r="I535" s="305">
        <f t="shared" ca="1" si="137"/>
        <v>159.60147725325029</v>
      </c>
      <c r="J535" s="305">
        <f t="shared" ca="1" si="138"/>
        <v>62.555172753570616</v>
      </c>
      <c r="K535" s="292">
        <f t="shared" ca="1" si="136"/>
        <v>9.9712069965053605</v>
      </c>
      <c r="L535" s="1290">
        <f t="shared" ca="1" si="139"/>
        <v>28.713300122388791</v>
      </c>
      <c r="M535" s="299">
        <v>527</v>
      </c>
      <c r="N535" s="304">
        <f t="shared" si="140"/>
        <v>3532.9403715390204</v>
      </c>
      <c r="O535" s="303">
        <v>231.01269748219116</v>
      </c>
      <c r="P535" s="302">
        <v>0.41449923421238266</v>
      </c>
      <c r="Q535" s="301">
        <v>143.63139915766308</v>
      </c>
      <c r="R535" s="301">
        <v>51.723495774616566</v>
      </c>
      <c r="S535" s="300">
        <v>2.994910986554379</v>
      </c>
      <c r="T535" s="891">
        <f t="shared" si="141"/>
        <v>2</v>
      </c>
      <c r="U535" s="1220">
        <v>5.0788521766662598E-3</v>
      </c>
      <c r="W535" s="299">
        <v>527</v>
      </c>
      <c r="X535" s="298">
        <f>IF('Donor Sample'!N552="",,IF('Donor Sample'!N552="F",1,0))</f>
        <v>0</v>
      </c>
      <c r="Y535" s="298" t="str">
        <f>IF('Donor Sample'!O552="","",'Donor Sample'!O552)</f>
        <v/>
      </c>
      <c r="Z535" s="298" t="str">
        <f>IF(AND('Donor Sample'!O552="",'Donor Sample'!P552="",'Donor Sample'!Q552=""),"",IF('Donor Sample'!P552="",ROUND(AA535/($C$32+($AI535-0.5)*$C$31),0),'Donor Sample'!P552))</f>
        <v/>
      </c>
      <c r="AA535" s="297" t="str">
        <f>IF('Donor Sample'!Q552="","",'Donor Sample'!Q552)</f>
        <v/>
      </c>
      <c r="AB535" s="296" t="str">
        <f t="shared" si="132"/>
        <v/>
      </c>
      <c r="AC535" s="295" t="str">
        <f>IF('Donor Sample'!R552="","",'Donor Sample'!R552)</f>
        <v/>
      </c>
      <c r="AD535" s="294" t="str">
        <f>IF('Donor Sample'!S552="","",'Donor Sample'!S552/100)</f>
        <v/>
      </c>
      <c r="AE535" s="293" t="e">
        <f t="shared" si="142"/>
        <v>#VALUE!</v>
      </c>
      <c r="AF535" s="293" t="str">
        <f t="shared" si="143"/>
        <v/>
      </c>
      <c r="AG535" s="292" t="str">
        <f>IF('Donor Sample'!T552="","",'Donor Sample'!T552)</f>
        <v/>
      </c>
      <c r="AH535" s="891">
        <f t="shared" si="144"/>
        <v>2</v>
      </c>
      <c r="AI535" s="1220">
        <v>0.34926992654800415</v>
      </c>
      <c r="AJ535" s="1216"/>
    </row>
    <row r="536" spans="5:36">
      <c r="E536" s="299">
        <v>528</v>
      </c>
      <c r="F536" s="308">
        <f t="shared" ca="1" si="133"/>
        <v>2749.4927073855979</v>
      </c>
      <c r="G536" s="307">
        <f t="shared" ca="1" si="134"/>
        <v>254.5855228462259</v>
      </c>
      <c r="H536" s="306">
        <f t="shared" ca="1" si="135"/>
        <v>0.42303610745041031</v>
      </c>
      <c r="I536" s="305">
        <f t="shared" ca="1" si="137"/>
        <v>111.23036787666844</v>
      </c>
      <c r="J536" s="305">
        <f t="shared" ca="1" si="138"/>
        <v>44.26766251089439</v>
      </c>
      <c r="K536" s="292">
        <f t="shared" ca="1" si="136"/>
        <v>1.2836151885395111</v>
      </c>
      <c r="L536" s="1290">
        <f t="shared" ca="1" si="139"/>
        <v>39.959758247640337</v>
      </c>
      <c r="M536" s="299">
        <v>528</v>
      </c>
      <c r="N536" s="304">
        <f t="shared" si="140"/>
        <v>3969.212350534408</v>
      </c>
      <c r="O536" s="303">
        <v>271.11614377244405</v>
      </c>
      <c r="P536" s="302">
        <v>0.38806677850168264</v>
      </c>
      <c r="Q536" s="301">
        <v>130.39831726248005</v>
      </c>
      <c r="R536" s="301">
        <v>62.409361362059109</v>
      </c>
      <c r="S536" s="300">
        <v>3.496380922598977</v>
      </c>
      <c r="T536" s="891">
        <f t="shared" si="141"/>
        <v>64</v>
      </c>
      <c r="U536" s="1220">
        <v>0.61859464645385742</v>
      </c>
      <c r="W536" s="299">
        <v>528</v>
      </c>
      <c r="X536" s="298">
        <f>IF('Donor Sample'!N553="",,IF('Donor Sample'!N553="F",1,0))</f>
        <v>0</v>
      </c>
      <c r="Y536" s="298" t="str">
        <f>IF('Donor Sample'!O553="","",'Donor Sample'!O553)</f>
        <v/>
      </c>
      <c r="Z536" s="298" t="str">
        <f>IF(AND('Donor Sample'!O553="",'Donor Sample'!P553="",'Donor Sample'!Q553=""),"",IF('Donor Sample'!P553="",ROUND(AA536/($C$32+($AI536-0.5)*$C$31),0),'Donor Sample'!P553))</f>
        <v/>
      </c>
      <c r="AA536" s="297" t="str">
        <f>IF('Donor Sample'!Q553="","",'Donor Sample'!Q553)</f>
        <v/>
      </c>
      <c r="AB536" s="296" t="str">
        <f t="shared" si="132"/>
        <v/>
      </c>
      <c r="AC536" s="295" t="str">
        <f>IF('Donor Sample'!R553="","",'Donor Sample'!R553)</f>
        <v/>
      </c>
      <c r="AD536" s="294" t="str">
        <f>IF('Donor Sample'!S553="","",'Donor Sample'!S553/100)</f>
        <v/>
      </c>
      <c r="AE536" s="293" t="e">
        <f t="shared" si="142"/>
        <v>#VALUE!</v>
      </c>
      <c r="AF536" s="293" t="str">
        <f t="shared" si="143"/>
        <v/>
      </c>
      <c r="AG536" s="292" t="str">
        <f>IF('Donor Sample'!T553="","",'Donor Sample'!T553)</f>
        <v/>
      </c>
      <c r="AH536" s="891">
        <f t="shared" si="144"/>
        <v>64</v>
      </c>
      <c r="AI536" s="1220">
        <v>0.54549407958984375</v>
      </c>
      <c r="AJ536" s="1216"/>
    </row>
    <row r="537" spans="5:36">
      <c r="E537" s="299">
        <v>529</v>
      </c>
      <c r="F537" s="308">
        <f t="shared" ca="1" si="133"/>
        <v>2850.0196034617957</v>
      </c>
      <c r="G537" s="307">
        <f t="shared" ca="1" si="134"/>
        <v>302.38103610761851</v>
      </c>
      <c r="H537" s="306">
        <f t="shared" ca="1" si="135"/>
        <v>0.49818509696323027</v>
      </c>
      <c r="I537" s="305">
        <f t="shared" ca="1" si="137"/>
        <v>88.221743902358881</v>
      </c>
      <c r="J537" s="305">
        <f t="shared" ca="1" si="138"/>
        <v>54.214170077823553</v>
      </c>
      <c r="K537" s="292">
        <f t="shared" ca="1" si="136"/>
        <v>8.3103696963321756</v>
      </c>
      <c r="L537" s="1290">
        <f t="shared" ca="1" si="139"/>
        <v>21.131127463745926</v>
      </c>
      <c r="M537" s="299">
        <v>529</v>
      </c>
      <c r="N537" s="304">
        <f t="shared" si="140"/>
        <v>3541.3001416097691</v>
      </c>
      <c r="O537" s="303">
        <v>248.74239265088551</v>
      </c>
      <c r="P537" s="302">
        <v>0.37165298564793686</v>
      </c>
      <c r="Q537" s="301">
        <v>136.56662925237583</v>
      </c>
      <c r="R537" s="301">
        <v>53.938205986640256</v>
      </c>
      <c r="S537" s="300">
        <v>2.8275551660644354</v>
      </c>
      <c r="T537" s="891">
        <f t="shared" si="141"/>
        <v>64</v>
      </c>
      <c r="U537" s="1220">
        <v>0.74771279096603394</v>
      </c>
      <c r="W537" s="299">
        <v>529</v>
      </c>
      <c r="X537" s="298">
        <f>IF('Donor Sample'!N554="",,IF('Donor Sample'!N554="F",1,0))</f>
        <v>0</v>
      </c>
      <c r="Y537" s="298" t="str">
        <f>IF('Donor Sample'!O554="","",'Donor Sample'!O554)</f>
        <v/>
      </c>
      <c r="Z537" s="298" t="str">
        <f>IF(AND('Donor Sample'!O554="",'Donor Sample'!P554="",'Donor Sample'!Q554=""),"",IF('Donor Sample'!P554="",ROUND(AA537/($C$32+($AI537-0.5)*$C$31),0),'Donor Sample'!P554))</f>
        <v/>
      </c>
      <c r="AA537" s="297" t="str">
        <f>IF('Donor Sample'!Q554="","",'Donor Sample'!Q554)</f>
        <v/>
      </c>
      <c r="AB537" s="296" t="str">
        <f t="shared" si="132"/>
        <v/>
      </c>
      <c r="AC537" s="295" t="str">
        <f>IF('Donor Sample'!R554="","",'Donor Sample'!R554)</f>
        <v/>
      </c>
      <c r="AD537" s="294" t="str">
        <f>IF('Donor Sample'!S554="","",'Donor Sample'!S554/100)</f>
        <v/>
      </c>
      <c r="AE537" s="407" t="e">
        <f t="shared" si="142"/>
        <v>#VALUE!</v>
      </c>
      <c r="AF537" s="293" t="str">
        <f t="shared" si="143"/>
        <v/>
      </c>
      <c r="AG537" s="292" t="str">
        <f>IF('Donor Sample'!T554="","",'Donor Sample'!T554)</f>
        <v/>
      </c>
      <c r="AH537" s="891">
        <f t="shared" si="144"/>
        <v>64</v>
      </c>
      <c r="AI537" s="1220">
        <v>0.58859652280807495</v>
      </c>
      <c r="AJ537" s="1216"/>
    </row>
    <row r="538" spans="5:36">
      <c r="E538" s="299">
        <v>530</v>
      </c>
      <c r="F538" s="308">
        <f t="shared" ca="1" si="133"/>
        <v>2985.2537618925494</v>
      </c>
      <c r="G538" s="307">
        <f t="shared" ca="1" si="134"/>
        <v>223.69203242904817</v>
      </c>
      <c r="H538" s="306">
        <f t="shared" ca="1" si="135"/>
        <v>0.49765421728916509</v>
      </c>
      <c r="I538" s="305">
        <f t="shared" ca="1" si="137"/>
        <v>114.48928840168489</v>
      </c>
      <c r="J538" s="305">
        <f t="shared" ca="1" si="138"/>
        <v>49.055459536669133</v>
      </c>
      <c r="K538" s="292">
        <f t="shared" ca="1" si="136"/>
        <v>2.1436195662110107</v>
      </c>
      <c r="L538" s="1290">
        <f t="shared" ca="1" si="139"/>
        <v>33.493676271166052</v>
      </c>
      <c r="M538" s="299">
        <v>530</v>
      </c>
      <c r="N538" s="304">
        <f t="shared" si="140"/>
        <v>3383.9111217805057</v>
      </c>
      <c r="O538" s="303">
        <v>250.07857099287239</v>
      </c>
      <c r="P538" s="302">
        <v>0.39337933116631724</v>
      </c>
      <c r="Q538" s="301">
        <v>109.2422499856355</v>
      </c>
      <c r="R538" s="301">
        <v>58.196470952354034</v>
      </c>
      <c r="S538" s="300">
        <v>13.763176869558832</v>
      </c>
      <c r="T538" s="891">
        <f t="shared" si="141"/>
        <v>4</v>
      </c>
      <c r="U538" s="1220">
        <v>0.38886177539825439</v>
      </c>
      <c r="W538" s="299">
        <v>530</v>
      </c>
      <c r="X538" s="298">
        <f>IF('Donor Sample'!N555="",,IF('Donor Sample'!N555="F",1,0))</f>
        <v>0</v>
      </c>
      <c r="Y538" s="298" t="str">
        <f>IF('Donor Sample'!O555="","",'Donor Sample'!O555)</f>
        <v/>
      </c>
      <c r="Z538" s="298" t="str">
        <f>IF(AND('Donor Sample'!O555="",'Donor Sample'!P555="",'Donor Sample'!Q555=""),"",IF('Donor Sample'!P555="",ROUND(AA538/($C$32+($AI538-0.5)*$C$31),0),'Donor Sample'!P555))</f>
        <v/>
      </c>
      <c r="AA538" s="297" t="str">
        <f>IF('Donor Sample'!Q555="","",'Donor Sample'!Q555)</f>
        <v/>
      </c>
      <c r="AB538" s="296" t="str">
        <f t="shared" si="132"/>
        <v/>
      </c>
      <c r="AC538" s="295" t="str">
        <f>IF('Donor Sample'!R555="","",'Donor Sample'!R555)</f>
        <v/>
      </c>
      <c r="AD538" s="294" t="str">
        <f>IF('Donor Sample'!S555="","",'Donor Sample'!S555/100)</f>
        <v/>
      </c>
      <c r="AE538" s="293" t="e">
        <f t="shared" si="142"/>
        <v>#VALUE!</v>
      </c>
      <c r="AF538" s="293" t="str">
        <f t="shared" si="143"/>
        <v/>
      </c>
      <c r="AG538" s="292" t="str">
        <f>IF('Donor Sample'!T555="","",'Donor Sample'!T555)</f>
        <v/>
      </c>
      <c r="AH538" s="891">
        <f t="shared" si="144"/>
        <v>64</v>
      </c>
      <c r="AI538" s="1220">
        <v>0.50146448612213135</v>
      </c>
      <c r="AJ538" s="1216"/>
    </row>
    <row r="539" spans="5:36">
      <c r="E539" s="299">
        <v>531</v>
      </c>
      <c r="F539" s="308">
        <f t="shared" ca="1" si="133"/>
        <v>4082.6973975445298</v>
      </c>
      <c r="G539" s="307">
        <f t="shared" ca="1" si="134"/>
        <v>250.13585750500081</v>
      </c>
      <c r="H539" s="306">
        <f t="shared" ca="1" si="135"/>
        <v>0.42145549790613906</v>
      </c>
      <c r="I539" s="305">
        <f t="shared" ca="1" si="137"/>
        <v>140.36892656538845</v>
      </c>
      <c r="J539" s="305">
        <f t="shared" ca="1" si="138"/>
        <v>67.495329041832463</v>
      </c>
      <c r="K539" s="292">
        <f t="shared" ca="1" si="136"/>
        <v>5.1759952728270866</v>
      </c>
      <c r="L539" s="1290">
        <f t="shared" ca="1" si="139"/>
        <v>21.69183039761505</v>
      </c>
      <c r="M539" s="299">
        <v>531</v>
      </c>
      <c r="N539" s="304">
        <f t="shared" si="140"/>
        <v>3863.8706625942023</v>
      </c>
      <c r="O539" s="303">
        <v>265.32736512404699</v>
      </c>
      <c r="P539" s="302">
        <v>0.40812357457610449</v>
      </c>
      <c r="Q539" s="301">
        <v>120.61776941730945</v>
      </c>
      <c r="R539" s="301">
        <v>68.452772716224345</v>
      </c>
      <c r="S539" s="300">
        <v>3.0475135098735917</v>
      </c>
      <c r="T539" s="891">
        <f t="shared" si="141"/>
        <v>64</v>
      </c>
      <c r="U539" s="1220">
        <v>0.56740456819534302</v>
      </c>
      <c r="W539" s="299">
        <v>531</v>
      </c>
      <c r="X539" s="298">
        <f>IF('Donor Sample'!N556="",,IF('Donor Sample'!N556="F",1,0))</f>
        <v>0</v>
      </c>
      <c r="Y539" s="298" t="str">
        <f>IF('Donor Sample'!O556="","",'Donor Sample'!O556)</f>
        <v/>
      </c>
      <c r="Z539" s="298" t="str">
        <f>IF(AND('Donor Sample'!O556="",'Donor Sample'!P556="",'Donor Sample'!Q556=""),"",IF('Donor Sample'!P556="",ROUND(AA539/($C$32+($AI539-0.5)*$C$31),0),'Donor Sample'!P556))</f>
        <v/>
      </c>
      <c r="AA539" s="297" t="str">
        <f>IF('Donor Sample'!Q556="","",'Donor Sample'!Q556)</f>
        <v/>
      </c>
      <c r="AB539" s="296" t="str">
        <f t="shared" si="132"/>
        <v/>
      </c>
      <c r="AC539" s="295" t="str">
        <f>IF('Donor Sample'!R556="","",'Donor Sample'!R556)</f>
        <v/>
      </c>
      <c r="AD539" s="294" t="str">
        <f>IF('Donor Sample'!S556="","",'Donor Sample'!S556/100)</f>
        <v/>
      </c>
      <c r="AE539" s="293" t="e">
        <f t="shared" si="142"/>
        <v>#VALUE!</v>
      </c>
      <c r="AF539" s="293" t="str">
        <f t="shared" si="143"/>
        <v/>
      </c>
      <c r="AG539" s="292" t="str">
        <f>IF('Donor Sample'!T556="","",'Donor Sample'!T556)</f>
        <v/>
      </c>
      <c r="AH539" s="891">
        <f t="shared" si="144"/>
        <v>32</v>
      </c>
      <c r="AI539" s="1220">
        <v>0.82383471727371216</v>
      </c>
      <c r="AJ539" s="1216"/>
    </row>
    <row r="540" spans="5:36">
      <c r="E540" s="299">
        <v>532</v>
      </c>
      <c r="F540" s="308">
        <f t="shared" ca="1" si="133"/>
        <v>2728.404327252304</v>
      </c>
      <c r="G540" s="307">
        <f t="shared" ca="1" si="134"/>
        <v>253.04154912035716</v>
      </c>
      <c r="H540" s="306">
        <f t="shared" ca="1" si="135"/>
        <v>0.40444319977990256</v>
      </c>
      <c r="I540" s="305">
        <f t="shared" ca="1" si="137"/>
        <v>105.26588790984448</v>
      </c>
      <c r="J540" s="305">
        <f t="shared" ca="1" si="138"/>
        <v>46.061188903730098</v>
      </c>
      <c r="K540" s="292">
        <f t="shared" ca="1" si="136"/>
        <v>2.4909667174747101</v>
      </c>
      <c r="L540" s="1290">
        <f t="shared" ca="1" si="139"/>
        <v>34.929311895300586</v>
      </c>
      <c r="M540" s="299">
        <v>532</v>
      </c>
      <c r="N540" s="304">
        <f t="shared" si="140"/>
        <v>3388.3929718016302</v>
      </c>
      <c r="O540" s="303">
        <v>284.7784897711494</v>
      </c>
      <c r="P540" s="302">
        <v>0.4380932789087818</v>
      </c>
      <c r="Q540" s="301">
        <v>126.12305237224029</v>
      </c>
      <c r="R540" s="301">
        <v>53.929991940466579</v>
      </c>
      <c r="S540" s="300">
        <v>11.204148718388312</v>
      </c>
      <c r="T540" s="891">
        <f t="shared" si="141"/>
        <v>2</v>
      </c>
      <c r="U540" s="1220">
        <v>0.16330695152282715</v>
      </c>
      <c r="W540" s="299">
        <v>532</v>
      </c>
      <c r="X540" s="298">
        <f>IF('Donor Sample'!N557="",,IF('Donor Sample'!N557="F",1,0))</f>
        <v>0</v>
      </c>
      <c r="Y540" s="298" t="str">
        <f>IF('Donor Sample'!O557="","",'Donor Sample'!O557)</f>
        <v/>
      </c>
      <c r="Z540" s="298" t="str">
        <f>IF(AND('Donor Sample'!O557="",'Donor Sample'!P557="",'Donor Sample'!Q557=""),"",IF('Donor Sample'!P557="",ROUND(AA540/($C$32+($AI540-0.5)*$C$31),0),'Donor Sample'!P557))</f>
        <v/>
      </c>
      <c r="AA540" s="297" t="str">
        <f>IF('Donor Sample'!Q557="","",'Donor Sample'!Q557)</f>
        <v/>
      </c>
      <c r="AB540" s="296" t="str">
        <f t="shared" si="132"/>
        <v/>
      </c>
      <c r="AC540" s="295" t="str">
        <f>IF('Donor Sample'!R557="","",'Donor Sample'!R557)</f>
        <v/>
      </c>
      <c r="AD540" s="294" t="str">
        <f>IF('Donor Sample'!S557="","",'Donor Sample'!S557/100)</f>
        <v/>
      </c>
      <c r="AE540" s="407" t="e">
        <f t="shared" si="142"/>
        <v>#VALUE!</v>
      </c>
      <c r="AF540" s="293" t="str">
        <f t="shared" si="143"/>
        <v/>
      </c>
      <c r="AG540" s="292" t="str">
        <f>IF('Donor Sample'!T557="","",'Donor Sample'!T557)</f>
        <v/>
      </c>
      <c r="AH540" s="891">
        <f t="shared" si="144"/>
        <v>2</v>
      </c>
      <c r="AI540" s="1220">
        <v>0.11130166053771973</v>
      </c>
      <c r="AJ540" s="1216"/>
    </row>
    <row r="541" spans="5:36">
      <c r="E541" s="299">
        <v>533</v>
      </c>
      <c r="F541" s="308">
        <f t="shared" ca="1" si="133"/>
        <v>4114.4702258240613</v>
      </c>
      <c r="G541" s="307">
        <f t="shared" ca="1" si="134"/>
        <v>206.67227431816315</v>
      </c>
      <c r="H541" s="306">
        <f t="shared" ca="1" si="135"/>
        <v>0.42590239767641341</v>
      </c>
      <c r="I541" s="305">
        <f t="shared" ca="1" si="137"/>
        <v>155.26122972522413</v>
      </c>
      <c r="J541" s="305">
        <f t="shared" ca="1" si="138"/>
        <v>59.141699119043345</v>
      </c>
      <c r="K541" s="292">
        <f t="shared" ca="1" si="136"/>
        <v>15.335605327581391</v>
      </c>
      <c r="L541" s="1290">
        <f t="shared" ca="1" si="139"/>
        <v>31.24986070081108</v>
      </c>
      <c r="M541" s="299">
        <v>533</v>
      </c>
      <c r="N541" s="304">
        <f t="shared" si="140"/>
        <v>2819.0179760265155</v>
      </c>
      <c r="O541" s="303">
        <v>208.96154835637222</v>
      </c>
      <c r="P541" s="302">
        <v>0.50701639098269369</v>
      </c>
      <c r="Q541" s="301">
        <v>103.26814129317155</v>
      </c>
      <c r="R541" s="301">
        <v>48.999938231335911</v>
      </c>
      <c r="S541" s="300">
        <v>1.6945686159403721</v>
      </c>
      <c r="T541" s="891">
        <f t="shared" si="141"/>
        <v>64</v>
      </c>
      <c r="U541" s="1220">
        <v>0.66850751638412476</v>
      </c>
      <c r="W541" s="299">
        <v>533</v>
      </c>
      <c r="X541" s="298">
        <f>IF('Donor Sample'!N558="",,IF('Donor Sample'!N558="F",1,0))</f>
        <v>0</v>
      </c>
      <c r="Y541" s="298" t="str">
        <f>IF('Donor Sample'!O558="","",'Donor Sample'!O558)</f>
        <v/>
      </c>
      <c r="Z541" s="298" t="str">
        <f>IF(AND('Donor Sample'!O558="",'Donor Sample'!P558="",'Donor Sample'!Q558=""),"",IF('Donor Sample'!P558="",ROUND(AA541/($C$32+($AI541-0.5)*$C$31),0),'Donor Sample'!P558))</f>
        <v/>
      </c>
      <c r="AA541" s="297" t="str">
        <f>IF('Donor Sample'!Q558="","",'Donor Sample'!Q558)</f>
        <v/>
      </c>
      <c r="AB541" s="296" t="str">
        <f t="shared" si="132"/>
        <v/>
      </c>
      <c r="AC541" s="295" t="str">
        <f>IF('Donor Sample'!R558="","",'Donor Sample'!R558)</f>
        <v/>
      </c>
      <c r="AD541" s="294" t="str">
        <f>IF('Donor Sample'!S558="","",'Donor Sample'!S558/100)</f>
        <v/>
      </c>
      <c r="AE541" s="293" t="e">
        <f t="shared" si="142"/>
        <v>#VALUE!</v>
      </c>
      <c r="AF541" s="293" t="str">
        <f t="shared" si="143"/>
        <v/>
      </c>
      <c r="AG541" s="292" t="str">
        <f>IF('Donor Sample'!T558="","",'Donor Sample'!T558)</f>
        <v/>
      </c>
      <c r="AH541" s="891">
        <f t="shared" si="144"/>
        <v>2</v>
      </c>
      <c r="AI541" s="1220">
        <v>0.17266792058944702</v>
      </c>
      <c r="AJ541" s="1216"/>
    </row>
    <row r="542" spans="5:36">
      <c r="E542" s="299">
        <v>534</v>
      </c>
      <c r="F542" s="308">
        <f t="shared" ca="1" si="133"/>
        <v>3060.5787448500391</v>
      </c>
      <c r="G542" s="307">
        <f t="shared" ca="1" si="134"/>
        <v>232.911626202143</v>
      </c>
      <c r="H542" s="306">
        <f t="shared" ca="1" si="135"/>
        <v>0.39448836651619451</v>
      </c>
      <c r="I542" s="305">
        <f t="shared" ca="1" si="137"/>
        <v>126.18643550734166</v>
      </c>
      <c r="J542" s="305">
        <f t="shared" ca="1" si="138"/>
        <v>46.749502887571232</v>
      </c>
      <c r="K542" s="292">
        <f t="shared" ca="1" si="136"/>
        <v>5.0705251231021276</v>
      </c>
      <c r="L542" s="1290">
        <f t="shared" ca="1" si="139"/>
        <v>40.647265805727272</v>
      </c>
      <c r="M542" s="299">
        <v>534</v>
      </c>
      <c r="N542" s="304">
        <f t="shared" si="140"/>
        <v>3469.007736787642</v>
      </c>
      <c r="O542" s="303">
        <v>277.04177749347144</v>
      </c>
      <c r="P542" s="302">
        <v>0.42245042919108444</v>
      </c>
      <c r="Q542" s="301">
        <v>131.73291211806961</v>
      </c>
      <c r="R542" s="301">
        <v>53.905404512641354</v>
      </c>
      <c r="S542" s="300">
        <v>21.076399071286957</v>
      </c>
      <c r="T542" s="891">
        <f t="shared" si="141"/>
        <v>2</v>
      </c>
      <c r="U542" s="1220">
        <v>0.21168267726898193</v>
      </c>
      <c r="W542" s="299">
        <v>534</v>
      </c>
      <c r="X542" s="298">
        <f>IF('Donor Sample'!N559="",,IF('Donor Sample'!N559="F",1,0))</f>
        <v>0</v>
      </c>
      <c r="Y542" s="298" t="str">
        <f>IF('Donor Sample'!O559="","",'Donor Sample'!O559)</f>
        <v/>
      </c>
      <c r="Z542" s="298" t="str">
        <f>IF(AND('Donor Sample'!O559="",'Donor Sample'!P559="",'Donor Sample'!Q559=""),"",IF('Donor Sample'!P559="",ROUND(AA542/($C$32+($AI542-0.5)*$C$31),0),'Donor Sample'!P559))</f>
        <v/>
      </c>
      <c r="AA542" s="297" t="str">
        <f>IF('Donor Sample'!Q559="","",'Donor Sample'!Q559)</f>
        <v/>
      </c>
      <c r="AB542" s="296" t="str">
        <f t="shared" si="132"/>
        <v/>
      </c>
      <c r="AC542" s="295" t="str">
        <f>IF('Donor Sample'!R559="","",'Donor Sample'!R559)</f>
        <v/>
      </c>
      <c r="AD542" s="294" t="str">
        <f>IF('Donor Sample'!S559="","",'Donor Sample'!S559/100)</f>
        <v/>
      </c>
      <c r="AE542" s="293" t="e">
        <f t="shared" si="142"/>
        <v>#VALUE!</v>
      </c>
      <c r="AF542" s="293" t="str">
        <f t="shared" si="143"/>
        <v/>
      </c>
      <c r="AG542" s="292" t="str">
        <f>IF('Donor Sample'!T559="","",'Donor Sample'!T559)</f>
        <v/>
      </c>
      <c r="AH542" s="891">
        <f t="shared" si="144"/>
        <v>2</v>
      </c>
      <c r="AI542" s="1220">
        <v>0.15476787090301514</v>
      </c>
      <c r="AJ542" s="1216"/>
    </row>
    <row r="543" spans="5:36">
      <c r="E543" s="299">
        <v>535</v>
      </c>
      <c r="F543" s="308">
        <f t="shared" ca="1" si="133"/>
        <v>3021.3375195413782</v>
      </c>
      <c r="G543" s="307">
        <f t="shared" ca="1" si="134"/>
        <v>207.17068574413645</v>
      </c>
      <c r="H543" s="306">
        <f t="shared" ca="1" si="135"/>
        <v>0.41463764015213933</v>
      </c>
      <c r="I543" s="305">
        <f t="shared" ca="1" si="137"/>
        <v>114.87043357325803</v>
      </c>
      <c r="J543" s="305">
        <f t="shared" ca="1" si="138"/>
        <v>57.603359992644293</v>
      </c>
      <c r="K543" s="292">
        <f t="shared" ca="1" si="136"/>
        <v>3.1143482590031879</v>
      </c>
      <c r="L543" s="1290">
        <f t="shared" ca="1" si="139"/>
        <v>24.371669858604886</v>
      </c>
      <c r="M543" s="299">
        <v>535</v>
      </c>
      <c r="N543" s="304">
        <f t="shared" si="140"/>
        <v>3091.7726528765552</v>
      </c>
      <c r="O543" s="303">
        <v>234.98970854067326</v>
      </c>
      <c r="P543" s="302">
        <v>0.37027304466184496</v>
      </c>
      <c r="Q543" s="301">
        <v>110.473893491751</v>
      </c>
      <c r="R543" s="301">
        <v>59.861693087002116</v>
      </c>
      <c r="S543" s="300">
        <v>4.0358978177311835</v>
      </c>
      <c r="T543" s="891">
        <f t="shared" si="141"/>
        <v>64</v>
      </c>
      <c r="U543" s="1220">
        <v>0.5933266282081604</v>
      </c>
      <c r="W543" s="299">
        <v>535</v>
      </c>
      <c r="X543" s="298">
        <f>IF('Donor Sample'!N560="",,IF('Donor Sample'!N560="F",1,0))</f>
        <v>0</v>
      </c>
      <c r="Y543" s="298" t="str">
        <f>IF('Donor Sample'!O560="","",'Donor Sample'!O560)</f>
        <v/>
      </c>
      <c r="Z543" s="298" t="str">
        <f>IF(AND('Donor Sample'!O560="",'Donor Sample'!P560="",'Donor Sample'!Q560=""),"",IF('Donor Sample'!P560="",ROUND(AA543/($C$32+($AI543-0.5)*$C$31),0),'Donor Sample'!P560))</f>
        <v/>
      </c>
      <c r="AA543" s="297" t="str">
        <f>IF('Donor Sample'!Q560="","",'Donor Sample'!Q560)</f>
        <v/>
      </c>
      <c r="AB543" s="296" t="str">
        <f t="shared" si="132"/>
        <v/>
      </c>
      <c r="AC543" s="295" t="str">
        <f>IF('Donor Sample'!R560="","",'Donor Sample'!R560)</f>
        <v/>
      </c>
      <c r="AD543" s="294" t="str">
        <f>IF('Donor Sample'!S560="","",'Donor Sample'!S560/100)</f>
        <v/>
      </c>
      <c r="AE543" s="407" t="e">
        <f t="shared" si="142"/>
        <v>#VALUE!</v>
      </c>
      <c r="AF543" s="293" t="str">
        <f t="shared" si="143"/>
        <v/>
      </c>
      <c r="AG543" s="292" t="str">
        <f>IF('Donor Sample'!T560="","",'Donor Sample'!T560)</f>
        <v/>
      </c>
      <c r="AH543" s="891">
        <f t="shared" si="144"/>
        <v>256</v>
      </c>
      <c r="AI543" s="1220">
        <v>0.89737182855606079</v>
      </c>
      <c r="AJ543" s="1216"/>
    </row>
    <row r="544" spans="5:36">
      <c r="E544" s="299">
        <v>536</v>
      </c>
      <c r="F544" s="308">
        <f t="shared" ca="1" si="133"/>
        <v>3137.8384645173323</v>
      </c>
      <c r="G544" s="307">
        <f t="shared" ca="1" si="134"/>
        <v>234.91883262706435</v>
      </c>
      <c r="H544" s="306">
        <f t="shared" ca="1" si="135"/>
        <v>0.35717769990370662</v>
      </c>
      <c r="I544" s="305">
        <f t="shared" ca="1" si="137"/>
        <v>116.84178279629207</v>
      </c>
      <c r="J544" s="305">
        <f t="shared" ca="1" si="138"/>
        <v>51.641015353375735</v>
      </c>
      <c r="K544" s="292">
        <f t="shared" ca="1" si="136"/>
        <v>2.9389266721639218</v>
      </c>
      <c r="L544" s="1290">
        <f t="shared" ca="1" si="139"/>
        <v>30.844752422756578</v>
      </c>
      <c r="M544" s="299">
        <v>536</v>
      </c>
      <c r="N544" s="304">
        <f t="shared" si="140"/>
        <v>3287.7084212159225</v>
      </c>
      <c r="O544" s="303">
        <v>269.26425811555828</v>
      </c>
      <c r="P544" s="302">
        <v>0.43077039144047385</v>
      </c>
      <c r="Q544" s="301">
        <v>117.85158007861639</v>
      </c>
      <c r="R544" s="301">
        <v>54.310078693494617</v>
      </c>
      <c r="S544" s="300">
        <v>1.6187250520648249</v>
      </c>
      <c r="T544" s="891">
        <f t="shared" si="141"/>
        <v>256</v>
      </c>
      <c r="U544" s="1220">
        <v>0.852386474609375</v>
      </c>
      <c r="W544" s="299">
        <v>536</v>
      </c>
      <c r="X544" s="298">
        <f>IF('Donor Sample'!N561="",,IF('Donor Sample'!N561="F",1,0))</f>
        <v>0</v>
      </c>
      <c r="Y544" s="298" t="str">
        <f>IF('Donor Sample'!O561="","",'Donor Sample'!O561)</f>
        <v/>
      </c>
      <c r="Z544" s="298" t="str">
        <f>IF(AND('Donor Sample'!O561="",'Donor Sample'!P561="",'Donor Sample'!Q561=""),"",IF('Donor Sample'!P561="",ROUND(AA544/($C$32+($AI544-0.5)*$C$31),0),'Donor Sample'!P561))</f>
        <v/>
      </c>
      <c r="AA544" s="297" t="str">
        <f>IF('Donor Sample'!Q561="","",'Donor Sample'!Q561)</f>
        <v/>
      </c>
      <c r="AB544" s="296" t="str">
        <f t="shared" si="132"/>
        <v/>
      </c>
      <c r="AC544" s="295" t="str">
        <f>IF('Donor Sample'!R561="","",'Donor Sample'!R561)</f>
        <v/>
      </c>
      <c r="AD544" s="294" t="str">
        <f>IF('Donor Sample'!S561="","",'Donor Sample'!S561/100)</f>
        <v/>
      </c>
      <c r="AE544" s="293" t="e">
        <f t="shared" si="142"/>
        <v>#VALUE!</v>
      </c>
      <c r="AF544" s="293" t="str">
        <f t="shared" si="143"/>
        <v/>
      </c>
      <c r="AG544" s="292" t="str">
        <f>IF('Donor Sample'!T561="","",'Donor Sample'!T561)</f>
        <v/>
      </c>
      <c r="AH544" s="891">
        <f t="shared" si="144"/>
        <v>2</v>
      </c>
      <c r="AI544" s="1220">
        <v>4.0348529815673828E-2</v>
      </c>
      <c r="AJ544" s="1216"/>
    </row>
    <row r="545" spans="5:36">
      <c r="E545" s="299">
        <v>537</v>
      </c>
      <c r="F545" s="308">
        <f t="shared" ca="1" si="133"/>
        <v>2997.360018248281</v>
      </c>
      <c r="G545" s="307">
        <f t="shared" ca="1" si="134"/>
        <v>232.31702152814168</v>
      </c>
      <c r="H545" s="306">
        <f t="shared" ca="1" si="135"/>
        <v>0.35891197718141099</v>
      </c>
      <c r="I545" s="305">
        <f t="shared" ca="1" si="137"/>
        <v>106.50330684275723</v>
      </c>
      <c r="J545" s="305">
        <f t="shared" ca="1" si="138"/>
        <v>51.857645283019437</v>
      </c>
      <c r="K545" s="292">
        <f t="shared" ca="1" si="136"/>
        <v>1.4871590027061958</v>
      </c>
      <c r="L545" s="1290">
        <f t="shared" ca="1" si="139"/>
        <v>27.881116824580367</v>
      </c>
      <c r="M545" s="299">
        <v>537</v>
      </c>
      <c r="N545" s="304">
        <f t="shared" si="140"/>
        <v>3517.4997214726077</v>
      </c>
      <c r="O545" s="303">
        <v>241.52168738881991</v>
      </c>
      <c r="P545" s="302">
        <v>0.41787469086984363</v>
      </c>
      <c r="Q545" s="301">
        <v>131.83628246185725</v>
      </c>
      <c r="R545" s="301">
        <v>54.78736197070684</v>
      </c>
      <c r="S545" s="300">
        <v>1.473208190497981</v>
      </c>
      <c r="T545" s="891">
        <f t="shared" si="141"/>
        <v>64</v>
      </c>
      <c r="U545" s="1220">
        <v>0.5507318377494812</v>
      </c>
      <c r="W545" s="299">
        <v>537</v>
      </c>
      <c r="X545" s="298">
        <f>IF('Donor Sample'!N562="",,IF('Donor Sample'!N562="F",1,0))</f>
        <v>0</v>
      </c>
      <c r="Y545" s="298" t="str">
        <f>IF('Donor Sample'!O562="","",'Donor Sample'!O562)</f>
        <v/>
      </c>
      <c r="Z545" s="298" t="str">
        <f>IF(AND('Donor Sample'!O562="",'Donor Sample'!P562="",'Donor Sample'!Q562=""),"",IF('Donor Sample'!P562="",ROUND(AA545/($C$32+($AI545-0.5)*$C$31),0),'Donor Sample'!P562))</f>
        <v/>
      </c>
      <c r="AA545" s="297" t="str">
        <f>IF('Donor Sample'!Q562="","",'Donor Sample'!Q562)</f>
        <v/>
      </c>
      <c r="AB545" s="296" t="str">
        <f t="shared" si="132"/>
        <v/>
      </c>
      <c r="AC545" s="295" t="str">
        <f>IF('Donor Sample'!R562="","",'Donor Sample'!R562)</f>
        <v/>
      </c>
      <c r="AD545" s="294" t="str">
        <f>IF('Donor Sample'!S562="","",'Donor Sample'!S562/100)</f>
        <v/>
      </c>
      <c r="AE545" s="293" t="e">
        <f t="shared" si="142"/>
        <v>#VALUE!</v>
      </c>
      <c r="AF545" s="293" t="str">
        <f t="shared" si="143"/>
        <v/>
      </c>
      <c r="AG545" s="292" t="str">
        <f>IF('Donor Sample'!T562="","",'Donor Sample'!T562)</f>
        <v/>
      </c>
      <c r="AH545" s="891">
        <f t="shared" si="144"/>
        <v>2</v>
      </c>
      <c r="AI545" s="1220">
        <v>0.18655270338058472</v>
      </c>
      <c r="AJ545" s="1216"/>
    </row>
    <row r="546" spans="5:36">
      <c r="E546" s="299">
        <v>538</v>
      </c>
      <c r="F546" s="308">
        <f t="shared" ca="1" si="133"/>
        <v>2996.8125884338874</v>
      </c>
      <c r="G546" s="307">
        <f t="shared" ca="1" si="134"/>
        <v>233.10006601963013</v>
      </c>
      <c r="H546" s="306">
        <f t="shared" ca="1" si="135"/>
        <v>0.37988448179237966</v>
      </c>
      <c r="I546" s="305">
        <f t="shared" ca="1" si="137"/>
        <v>110.54502462821117</v>
      </c>
      <c r="J546" s="305">
        <f t="shared" ca="1" si="138"/>
        <v>58.289932629723708</v>
      </c>
      <c r="K546" s="292">
        <f t="shared" ca="1" si="136"/>
        <v>1.8085206049001052</v>
      </c>
      <c r="L546" s="1290">
        <f t="shared" ca="1" si="139"/>
        <v>22.904707663681336</v>
      </c>
      <c r="M546" s="299">
        <v>538</v>
      </c>
      <c r="N546" s="304">
        <f t="shared" si="140"/>
        <v>2733.720934210427</v>
      </c>
      <c r="O546" s="303">
        <v>152.86405079911304</v>
      </c>
      <c r="P546" s="302">
        <v>0.39129500940027723</v>
      </c>
      <c r="Q546" s="301">
        <v>85.27547138724924</v>
      </c>
      <c r="R546" s="301">
        <v>60.177658455692359</v>
      </c>
      <c r="S546" s="300">
        <v>5.104907287763397</v>
      </c>
      <c r="T546" s="891">
        <f t="shared" si="141"/>
        <v>16</v>
      </c>
      <c r="U546" s="1220">
        <v>0.9666210412979126</v>
      </c>
      <c r="W546" s="299">
        <v>538</v>
      </c>
      <c r="X546" s="298">
        <f>IF('Donor Sample'!N563="",,IF('Donor Sample'!N563="F",1,0))</f>
        <v>0</v>
      </c>
      <c r="Y546" s="298" t="str">
        <f>IF('Donor Sample'!O563="","",'Donor Sample'!O563)</f>
        <v/>
      </c>
      <c r="Z546" s="298" t="str">
        <f>IF(AND('Donor Sample'!O563="",'Donor Sample'!P563="",'Donor Sample'!Q563=""),"",IF('Donor Sample'!P563="",ROUND(AA546/($C$32+($AI546-0.5)*$C$31),0),'Donor Sample'!P563))</f>
        <v/>
      </c>
      <c r="AA546" s="297" t="str">
        <f>IF('Donor Sample'!Q563="","",'Donor Sample'!Q563)</f>
        <v/>
      </c>
      <c r="AB546" s="296" t="str">
        <f t="shared" si="132"/>
        <v/>
      </c>
      <c r="AC546" s="295" t="str">
        <f>IF('Donor Sample'!R563="","",'Donor Sample'!R563)</f>
        <v/>
      </c>
      <c r="AD546" s="294" t="str">
        <f>IF('Donor Sample'!S563="","",'Donor Sample'!S563/100)</f>
        <v/>
      </c>
      <c r="AE546" s="407" t="e">
        <f t="shared" si="142"/>
        <v>#VALUE!</v>
      </c>
      <c r="AF546" s="293" t="str">
        <f t="shared" si="143"/>
        <v/>
      </c>
      <c r="AG546" s="292" t="str">
        <f>IF('Donor Sample'!T563="","",'Donor Sample'!T563)</f>
        <v/>
      </c>
      <c r="AH546" s="891">
        <f t="shared" si="144"/>
        <v>16</v>
      </c>
      <c r="AI546" s="1220">
        <v>0.96003735065460205</v>
      </c>
      <c r="AJ546" s="1216"/>
    </row>
    <row r="547" spans="5:36">
      <c r="E547" s="299">
        <v>539</v>
      </c>
      <c r="F547" s="308">
        <f t="shared" ca="1" si="133"/>
        <v>3604.2022130511209</v>
      </c>
      <c r="G547" s="307">
        <f t="shared" ca="1" si="134"/>
        <v>260.17858930434534</v>
      </c>
      <c r="H547" s="306">
        <f t="shared" ca="1" si="135"/>
        <v>0.42652439482706511</v>
      </c>
      <c r="I547" s="305">
        <f t="shared" ca="1" si="137"/>
        <v>124.7622556659117</v>
      </c>
      <c r="J547" s="305">
        <f t="shared" ca="1" si="138"/>
        <v>58.093136117653088</v>
      </c>
      <c r="K547" s="292">
        <f t="shared" ca="1" si="136"/>
        <v>12.07694065480009</v>
      </c>
      <c r="L547" s="1290">
        <f t="shared" ca="1" si="139"/>
        <v>26.025928529702689</v>
      </c>
      <c r="M547" s="299">
        <v>539</v>
      </c>
      <c r="N547" s="304">
        <f t="shared" si="140"/>
        <v>3390.0902930779821</v>
      </c>
      <c r="O547" s="303">
        <v>233.84812649869593</v>
      </c>
      <c r="P547" s="302">
        <v>0.49293659591023725</v>
      </c>
      <c r="Q547" s="301">
        <v>108.5359115501562</v>
      </c>
      <c r="R547" s="301">
        <v>58.46520847065355</v>
      </c>
      <c r="S547" s="300">
        <v>6.4580132396266574</v>
      </c>
      <c r="T547" s="891">
        <f t="shared" si="141"/>
        <v>4</v>
      </c>
      <c r="U547" s="1220">
        <v>0.37367755174636841</v>
      </c>
      <c r="W547" s="299">
        <v>539</v>
      </c>
      <c r="X547" s="298">
        <f>IF('Donor Sample'!N564="",,IF('Donor Sample'!N564="F",1,0))</f>
        <v>0</v>
      </c>
      <c r="Y547" s="298" t="str">
        <f>IF('Donor Sample'!O564="","",'Donor Sample'!O564)</f>
        <v/>
      </c>
      <c r="Z547" s="298" t="str">
        <f>IF(AND('Donor Sample'!O564="",'Donor Sample'!P564="",'Donor Sample'!Q564=""),"",IF('Donor Sample'!P564="",ROUND(AA547/($C$32+($AI547-0.5)*$C$31),0),'Donor Sample'!P564))</f>
        <v/>
      </c>
      <c r="AA547" s="297" t="str">
        <f>IF('Donor Sample'!Q564="","",'Donor Sample'!Q564)</f>
        <v/>
      </c>
      <c r="AB547" s="296" t="str">
        <f t="shared" si="132"/>
        <v/>
      </c>
      <c r="AC547" s="295" t="str">
        <f>IF('Donor Sample'!R564="","",'Donor Sample'!R564)</f>
        <v/>
      </c>
      <c r="AD547" s="294" t="str">
        <f>IF('Donor Sample'!S564="","",'Donor Sample'!S564/100)</f>
        <v/>
      </c>
      <c r="AE547" s="293" t="e">
        <f t="shared" si="142"/>
        <v>#VALUE!</v>
      </c>
      <c r="AF547" s="293" t="str">
        <f t="shared" si="143"/>
        <v/>
      </c>
      <c r="AG547" s="292" t="str">
        <f>IF('Donor Sample'!T564="","",'Donor Sample'!T564)</f>
        <v/>
      </c>
      <c r="AH547" s="891">
        <f t="shared" si="144"/>
        <v>2</v>
      </c>
      <c r="AI547" s="1220">
        <v>0.19079190492630005</v>
      </c>
      <c r="AJ547" s="1216"/>
    </row>
    <row r="548" spans="5:36">
      <c r="E548" s="299">
        <v>540</v>
      </c>
      <c r="F548" s="308">
        <f t="shared" ca="1" si="133"/>
        <v>3631.3365243674093</v>
      </c>
      <c r="G548" s="307">
        <f t="shared" ca="1" si="134"/>
        <v>252.09479040518823</v>
      </c>
      <c r="H548" s="306">
        <f t="shared" ca="1" si="135"/>
        <v>0.4026238258610394</v>
      </c>
      <c r="I548" s="305">
        <f t="shared" ca="1" si="137"/>
        <v>117.50792621287515</v>
      </c>
      <c r="J548" s="305">
        <f t="shared" ca="1" si="138"/>
        <v>60.201522946662529</v>
      </c>
      <c r="K548" s="292">
        <f t="shared" ca="1" si="136"/>
        <v>1.8405375004398548</v>
      </c>
      <c r="L548" s="1290">
        <f t="shared" ca="1" si="139"/>
        <v>22.825739950395633</v>
      </c>
      <c r="M548" s="299">
        <v>540</v>
      </c>
      <c r="N548" s="304">
        <f t="shared" si="140"/>
        <v>2855.4112635523529</v>
      </c>
      <c r="O548" s="303">
        <v>243.14444894260765</v>
      </c>
      <c r="P548" s="302">
        <v>0.42476847022358777</v>
      </c>
      <c r="Q548" s="301">
        <v>89.295049531240807</v>
      </c>
      <c r="R548" s="301">
        <v>54.019576741355337</v>
      </c>
      <c r="S548" s="300">
        <v>3.2357406452949249</v>
      </c>
      <c r="T548" s="891">
        <f t="shared" si="141"/>
        <v>64</v>
      </c>
      <c r="U548" s="1220">
        <v>0.62583565711975098</v>
      </c>
      <c r="W548" s="299">
        <v>540</v>
      </c>
      <c r="X548" s="298">
        <f>IF('Donor Sample'!N565="",,IF('Donor Sample'!N565="F",1,0))</f>
        <v>0</v>
      </c>
      <c r="Y548" s="298" t="str">
        <f>IF('Donor Sample'!O565="","",'Donor Sample'!O565)</f>
        <v/>
      </c>
      <c r="Z548" s="298" t="str">
        <f>IF(AND('Donor Sample'!O565="",'Donor Sample'!P565="",'Donor Sample'!Q565=""),"",IF('Donor Sample'!P565="",ROUND(AA548/($C$32+($AI548-0.5)*$C$31),0),'Donor Sample'!P565))</f>
        <v/>
      </c>
      <c r="AA548" s="297" t="str">
        <f>IF('Donor Sample'!Q565="","",'Donor Sample'!Q565)</f>
        <v/>
      </c>
      <c r="AB548" s="296" t="str">
        <f t="shared" si="132"/>
        <v/>
      </c>
      <c r="AC548" s="295" t="str">
        <f>IF('Donor Sample'!R565="","",'Donor Sample'!R565)</f>
        <v/>
      </c>
      <c r="AD548" s="294" t="str">
        <f>IF('Donor Sample'!S565="","",'Donor Sample'!S565/100)</f>
        <v/>
      </c>
      <c r="AE548" s="293" t="e">
        <f t="shared" si="142"/>
        <v>#VALUE!</v>
      </c>
      <c r="AF548" s="293" t="str">
        <f t="shared" si="143"/>
        <v/>
      </c>
      <c r="AG548" s="292" t="str">
        <f>IF('Donor Sample'!T565="","",'Donor Sample'!T565)</f>
        <v/>
      </c>
      <c r="AH548" s="891">
        <f t="shared" si="144"/>
        <v>2</v>
      </c>
      <c r="AI548" s="1220">
        <v>0.28240275382995605</v>
      </c>
      <c r="AJ548" s="1216"/>
    </row>
    <row r="549" spans="5:36">
      <c r="E549" s="299">
        <v>541</v>
      </c>
      <c r="F549" s="308">
        <f t="shared" ca="1" si="133"/>
        <v>3507.4698605999361</v>
      </c>
      <c r="G549" s="307">
        <f t="shared" ca="1" si="134"/>
        <v>222.54038297075141</v>
      </c>
      <c r="H549" s="306">
        <f t="shared" ca="1" si="135"/>
        <v>0.41267466293272909</v>
      </c>
      <c r="I549" s="305">
        <f t="shared" ca="1" si="137"/>
        <v>140.93361392722349</v>
      </c>
      <c r="J549" s="305">
        <f t="shared" ca="1" si="138"/>
        <v>52.010328234285247</v>
      </c>
      <c r="K549" s="292">
        <f t="shared" ca="1" si="136"/>
        <v>1.3810597928608415</v>
      </c>
      <c r="L549" s="1290">
        <f t="shared" ca="1" si="139"/>
        <v>36.678203735115851</v>
      </c>
      <c r="M549" s="299">
        <v>541</v>
      </c>
      <c r="N549" s="304">
        <f t="shared" si="140"/>
        <v>3288.3148788530225</v>
      </c>
      <c r="O549" s="303">
        <v>190.83150265804164</v>
      </c>
      <c r="P549" s="302">
        <v>0.53164653143992624</v>
      </c>
      <c r="Q549" s="301">
        <v>128.06027276774643</v>
      </c>
      <c r="R549" s="301">
        <v>51.362719789293884</v>
      </c>
      <c r="S549" s="300">
        <v>7.4622779931416749</v>
      </c>
      <c r="T549" s="891">
        <f t="shared" si="141"/>
        <v>2</v>
      </c>
      <c r="U549" s="1220">
        <v>0.13687843084335327</v>
      </c>
      <c r="W549" s="299">
        <v>541</v>
      </c>
      <c r="X549" s="298">
        <f>IF('Donor Sample'!N566="",,IF('Donor Sample'!N566="F",1,0))</f>
        <v>0</v>
      </c>
      <c r="Y549" s="298" t="str">
        <f>IF('Donor Sample'!O566="","",'Donor Sample'!O566)</f>
        <v/>
      </c>
      <c r="Z549" s="298" t="str">
        <f>IF(AND('Donor Sample'!O566="",'Donor Sample'!P566="",'Donor Sample'!Q566=""),"",IF('Donor Sample'!P566="",ROUND(AA549/($C$32+($AI549-0.5)*$C$31),0),'Donor Sample'!P566))</f>
        <v/>
      </c>
      <c r="AA549" s="297" t="str">
        <f>IF('Donor Sample'!Q566="","",'Donor Sample'!Q566)</f>
        <v/>
      </c>
      <c r="AB549" s="296" t="str">
        <f t="shared" si="132"/>
        <v/>
      </c>
      <c r="AC549" s="295" t="str">
        <f>IF('Donor Sample'!R566="","",'Donor Sample'!R566)</f>
        <v/>
      </c>
      <c r="AD549" s="294" t="str">
        <f>IF('Donor Sample'!S566="","",'Donor Sample'!S566/100)</f>
        <v/>
      </c>
      <c r="AE549" s="407" t="e">
        <f t="shared" si="142"/>
        <v>#VALUE!</v>
      </c>
      <c r="AF549" s="293" t="str">
        <f t="shared" si="143"/>
        <v/>
      </c>
      <c r="AG549" s="292" t="str">
        <f>IF('Donor Sample'!T566="","",'Donor Sample'!T566)</f>
        <v/>
      </c>
      <c r="AH549" s="891">
        <f t="shared" si="144"/>
        <v>2</v>
      </c>
      <c r="AI549" s="1220">
        <v>0.34344667196273804</v>
      </c>
      <c r="AJ549" s="1216"/>
    </row>
    <row r="550" spans="5:36">
      <c r="E550" s="299">
        <v>542</v>
      </c>
      <c r="F550" s="308">
        <f t="shared" ca="1" si="133"/>
        <v>3775.7594407146803</v>
      </c>
      <c r="G550" s="307">
        <f t="shared" ca="1" si="134"/>
        <v>262.53212037670073</v>
      </c>
      <c r="H550" s="306">
        <f t="shared" ca="1" si="135"/>
        <v>0.4253574116209265</v>
      </c>
      <c r="I550" s="305">
        <f t="shared" ca="1" si="137"/>
        <v>144.24069666512895</v>
      </c>
      <c r="J550" s="305">
        <f t="shared" ca="1" si="138"/>
        <v>56.176981072793886</v>
      </c>
      <c r="K550" s="292">
        <f t="shared" ca="1" si="136"/>
        <v>1.2465732021713509</v>
      </c>
      <c r="L550" s="1290">
        <f t="shared" ca="1" si="139"/>
        <v>32.176861196623328</v>
      </c>
      <c r="M550" s="299">
        <v>542</v>
      </c>
      <c r="N550" s="304">
        <f t="shared" si="140"/>
        <v>2521.3250572647057</v>
      </c>
      <c r="O550" s="303">
        <v>205.74189503938067</v>
      </c>
      <c r="P550" s="302">
        <v>0.44427412085156431</v>
      </c>
      <c r="Q550" s="301">
        <v>89.699875784913957</v>
      </c>
      <c r="R550" s="301">
        <v>46.582743006867616</v>
      </c>
      <c r="S550" s="300">
        <v>5.2627479888647937</v>
      </c>
      <c r="T550" s="891">
        <f t="shared" si="141"/>
        <v>64</v>
      </c>
      <c r="U550" s="1220">
        <v>0.73869884014129639</v>
      </c>
      <c r="W550" s="299">
        <v>542</v>
      </c>
      <c r="X550" s="298">
        <f>IF('Donor Sample'!N567="",,IF('Donor Sample'!N567="F",1,0))</f>
        <v>0</v>
      </c>
      <c r="Y550" s="298" t="str">
        <f>IF('Donor Sample'!O567="","",'Donor Sample'!O567)</f>
        <v/>
      </c>
      <c r="Z550" s="298" t="str">
        <f>IF(AND('Donor Sample'!O567="",'Donor Sample'!P567="",'Donor Sample'!Q567=""),"",IF('Donor Sample'!P567="",ROUND(AA550/($C$32+($AI550-0.5)*$C$31),0),'Donor Sample'!P567))</f>
        <v/>
      </c>
      <c r="AA550" s="297" t="str">
        <f>IF('Donor Sample'!Q567="","",'Donor Sample'!Q567)</f>
        <v/>
      </c>
      <c r="AB550" s="296" t="str">
        <f t="shared" si="132"/>
        <v/>
      </c>
      <c r="AC550" s="295" t="str">
        <f>IF('Donor Sample'!R567="","",'Donor Sample'!R567)</f>
        <v/>
      </c>
      <c r="AD550" s="294" t="str">
        <f>IF('Donor Sample'!S567="","",'Donor Sample'!S567/100)</f>
        <v/>
      </c>
      <c r="AE550" s="293" t="e">
        <f t="shared" si="142"/>
        <v>#VALUE!</v>
      </c>
      <c r="AF550" s="293" t="str">
        <f t="shared" si="143"/>
        <v/>
      </c>
      <c r="AG550" s="292" t="str">
        <f>IF('Donor Sample'!T567="","",'Donor Sample'!T567)</f>
        <v/>
      </c>
      <c r="AH550" s="891">
        <f t="shared" si="144"/>
        <v>2</v>
      </c>
      <c r="AI550" s="1220">
        <v>9.018552303314209E-2</v>
      </c>
      <c r="AJ550" s="1216"/>
    </row>
    <row r="551" spans="5:36">
      <c r="E551" s="299">
        <v>543</v>
      </c>
      <c r="F551" s="308">
        <f t="shared" ca="1" si="133"/>
        <v>3290.8194370143424</v>
      </c>
      <c r="G551" s="307">
        <f t="shared" ca="1" si="134"/>
        <v>247.08344433759996</v>
      </c>
      <c r="H551" s="306">
        <f t="shared" ca="1" si="135"/>
        <v>0.35256010727143144</v>
      </c>
      <c r="I551" s="305">
        <f t="shared" ca="1" si="137"/>
        <v>115.32788144331877</v>
      </c>
      <c r="J551" s="305">
        <f t="shared" ca="1" si="138"/>
        <v>55.051014326790337</v>
      </c>
      <c r="K551" s="292">
        <f t="shared" ca="1" si="136"/>
        <v>1.3069487552957824</v>
      </c>
      <c r="L551" s="1290">
        <f t="shared" ca="1" si="139"/>
        <v>26.790222626996925</v>
      </c>
      <c r="M551" s="299">
        <v>543</v>
      </c>
      <c r="N551" s="304">
        <f t="shared" si="140"/>
        <v>3270.4149295365496</v>
      </c>
      <c r="O551" s="303">
        <v>231.00062325965996</v>
      </c>
      <c r="P551" s="302">
        <v>0.51557423783684941</v>
      </c>
      <c r="Q551" s="301">
        <v>106.6877402680327</v>
      </c>
      <c r="R551" s="301">
        <v>56.921282538279222</v>
      </c>
      <c r="S551" s="300">
        <v>6.1785186792299545</v>
      </c>
      <c r="T551" s="891">
        <f t="shared" si="141"/>
        <v>64</v>
      </c>
      <c r="U551" s="1220">
        <v>0.71589142084121704</v>
      </c>
      <c r="W551" s="299">
        <v>543</v>
      </c>
      <c r="X551" s="298">
        <f>IF('Donor Sample'!N568="",,IF('Donor Sample'!N568="F",1,0))</f>
        <v>0</v>
      </c>
      <c r="Y551" s="298" t="str">
        <f>IF('Donor Sample'!O568="","",'Donor Sample'!O568)</f>
        <v/>
      </c>
      <c r="Z551" s="298" t="str">
        <f>IF(AND('Donor Sample'!O568="",'Donor Sample'!P568="",'Donor Sample'!Q568=""),"",IF('Donor Sample'!P568="",ROUND(AA551/($C$32+($AI551-0.5)*$C$31),0),'Donor Sample'!P568))</f>
        <v/>
      </c>
      <c r="AA551" s="297" t="str">
        <f>IF('Donor Sample'!Q568="","",'Donor Sample'!Q568)</f>
        <v/>
      </c>
      <c r="AB551" s="296" t="str">
        <f t="shared" si="132"/>
        <v/>
      </c>
      <c r="AC551" s="295" t="str">
        <f>IF('Donor Sample'!R568="","",'Donor Sample'!R568)</f>
        <v/>
      </c>
      <c r="AD551" s="294" t="str">
        <f>IF('Donor Sample'!S568="","",'Donor Sample'!S568/100)</f>
        <v/>
      </c>
      <c r="AE551" s="293" t="e">
        <f t="shared" si="142"/>
        <v>#VALUE!</v>
      </c>
      <c r="AF551" s="293" t="str">
        <f t="shared" si="143"/>
        <v/>
      </c>
      <c r="AG551" s="292" t="str">
        <f>IF('Donor Sample'!T568="","",'Donor Sample'!T568)</f>
        <v/>
      </c>
      <c r="AH551" s="891">
        <f t="shared" si="144"/>
        <v>2</v>
      </c>
      <c r="AI551" s="1220">
        <v>0.24785715341567993</v>
      </c>
      <c r="AJ551" s="1216"/>
    </row>
    <row r="552" spans="5:36">
      <c r="E552" s="299">
        <v>544</v>
      </c>
      <c r="F552" s="308">
        <f t="shared" ca="1" si="133"/>
        <v>2622.6053965446686</v>
      </c>
      <c r="G552" s="307">
        <f t="shared" ca="1" si="134"/>
        <v>231.60777423162199</v>
      </c>
      <c r="H552" s="306">
        <f t="shared" ca="1" si="135"/>
        <v>0.3798962041838268</v>
      </c>
      <c r="I552" s="305">
        <f t="shared" ca="1" si="137"/>
        <v>91.581513169541267</v>
      </c>
      <c r="J552" s="305">
        <f t="shared" ca="1" si="138"/>
        <v>48.397048876574843</v>
      </c>
      <c r="K552" s="292">
        <f t="shared" ca="1" si="136"/>
        <v>2.1595658865555452</v>
      </c>
      <c r="L552" s="1290">
        <f t="shared" ca="1" si="139"/>
        <v>27.525975147904646</v>
      </c>
      <c r="M552" s="299">
        <v>544</v>
      </c>
      <c r="N552" s="304">
        <f t="shared" si="140"/>
        <v>3233.2786995620727</v>
      </c>
      <c r="O552" s="303">
        <v>214.80599736309446</v>
      </c>
      <c r="P552" s="302">
        <v>0.37901249248346164</v>
      </c>
      <c r="Q552" s="301">
        <v>107.45306674855017</v>
      </c>
      <c r="R552" s="301">
        <v>56.082277555931142</v>
      </c>
      <c r="S552" s="300">
        <v>4.2202488300335759</v>
      </c>
      <c r="T552" s="891">
        <f t="shared" si="141"/>
        <v>256</v>
      </c>
      <c r="U552" s="1220">
        <v>0.87385225296020508</v>
      </c>
      <c r="W552" s="299">
        <v>544</v>
      </c>
      <c r="X552" s="298">
        <f>IF('Donor Sample'!N569="",,IF('Donor Sample'!N569="F",1,0))</f>
        <v>0</v>
      </c>
      <c r="Y552" s="298" t="str">
        <f>IF('Donor Sample'!O569="","",'Donor Sample'!O569)</f>
        <v/>
      </c>
      <c r="Z552" s="298" t="str">
        <f>IF(AND('Donor Sample'!O569="",'Donor Sample'!P569="",'Donor Sample'!Q569=""),"",IF('Donor Sample'!P569="",ROUND(AA552/($C$32+($AI552-0.5)*$C$31),0),'Donor Sample'!P569))</f>
        <v/>
      </c>
      <c r="AA552" s="297" t="str">
        <f>IF('Donor Sample'!Q569="","",'Donor Sample'!Q569)</f>
        <v/>
      </c>
      <c r="AB552" s="296" t="str">
        <f t="shared" si="132"/>
        <v/>
      </c>
      <c r="AC552" s="295" t="str">
        <f>IF('Donor Sample'!R569="","",'Donor Sample'!R569)</f>
        <v/>
      </c>
      <c r="AD552" s="294" t="str">
        <f>IF('Donor Sample'!S569="","",'Donor Sample'!S569/100)</f>
        <v/>
      </c>
      <c r="AE552" s="407" t="e">
        <f t="shared" si="142"/>
        <v>#VALUE!</v>
      </c>
      <c r="AF552" s="293" t="str">
        <f t="shared" si="143"/>
        <v/>
      </c>
      <c r="AG552" s="292" t="str">
        <f>IF('Donor Sample'!T569="","",'Donor Sample'!T569)</f>
        <v/>
      </c>
      <c r="AH552" s="891">
        <f t="shared" si="144"/>
        <v>2</v>
      </c>
      <c r="AI552" s="1220">
        <v>1.8677711486816406E-2</v>
      </c>
      <c r="AJ552" s="1216"/>
    </row>
    <row r="553" spans="5:36">
      <c r="E553" s="299">
        <v>545</v>
      </c>
      <c r="F553" s="308">
        <f t="shared" ca="1" si="133"/>
        <v>3806.2955797039672</v>
      </c>
      <c r="G553" s="307">
        <f t="shared" ca="1" si="134"/>
        <v>261.65347755988995</v>
      </c>
      <c r="H553" s="306">
        <f t="shared" ca="1" si="135"/>
        <v>0.41205980428089434</v>
      </c>
      <c r="I553" s="305">
        <f t="shared" ca="1" si="137"/>
        <v>124.70567573992381</v>
      </c>
      <c r="J553" s="305">
        <f t="shared" ca="1" si="138"/>
        <v>61.252011319036967</v>
      </c>
      <c r="K553" s="292">
        <f t="shared" ca="1" si="136"/>
        <v>2.019922179384229</v>
      </c>
      <c r="L553" s="1290">
        <f t="shared" ca="1" si="139"/>
        <v>23.400124654596773</v>
      </c>
      <c r="M553" s="299">
        <v>545</v>
      </c>
      <c r="N553" s="304">
        <f t="shared" si="140"/>
        <v>2761.2340051838705</v>
      </c>
      <c r="O553" s="303">
        <v>264.40835817414558</v>
      </c>
      <c r="P553" s="302">
        <v>0.39243657121755637</v>
      </c>
      <c r="Q553" s="301">
        <v>90.403004012276739</v>
      </c>
      <c r="R553" s="301">
        <v>51.835748762472207</v>
      </c>
      <c r="S553" s="300">
        <v>1.2888478127813228</v>
      </c>
      <c r="T553" s="891">
        <f t="shared" si="141"/>
        <v>32</v>
      </c>
      <c r="U553" s="1220">
        <v>0.81885403394699097</v>
      </c>
      <c r="W553" s="299">
        <v>545</v>
      </c>
      <c r="X553" s="298">
        <f>IF('Donor Sample'!N570="",,IF('Donor Sample'!N570="F",1,0))</f>
        <v>0</v>
      </c>
      <c r="Y553" s="298" t="str">
        <f>IF('Donor Sample'!O570="","",'Donor Sample'!O570)</f>
        <v/>
      </c>
      <c r="Z553" s="298" t="str">
        <f>IF(AND('Donor Sample'!O570="",'Donor Sample'!P570="",'Donor Sample'!Q570=""),"",IF('Donor Sample'!P570="",ROUND(AA553/($C$32+($AI553-0.5)*$C$31),0),'Donor Sample'!P570))</f>
        <v/>
      </c>
      <c r="AA553" s="297" t="str">
        <f>IF('Donor Sample'!Q570="","",'Donor Sample'!Q570)</f>
        <v/>
      </c>
      <c r="AB553" s="296" t="str">
        <f t="shared" si="132"/>
        <v/>
      </c>
      <c r="AC553" s="295" t="str">
        <f>IF('Donor Sample'!R570="","",'Donor Sample'!R570)</f>
        <v/>
      </c>
      <c r="AD553" s="294" t="str">
        <f>IF('Donor Sample'!S570="","",'Donor Sample'!S570/100)</f>
        <v/>
      </c>
      <c r="AE553" s="293" t="e">
        <f t="shared" si="142"/>
        <v>#VALUE!</v>
      </c>
      <c r="AF553" s="293" t="str">
        <f t="shared" si="143"/>
        <v/>
      </c>
      <c r="AG553" s="292" t="str">
        <f>IF('Donor Sample'!T570="","",'Donor Sample'!T570)</f>
        <v/>
      </c>
      <c r="AH553" s="891">
        <f t="shared" si="144"/>
        <v>64</v>
      </c>
      <c r="AI553" s="1220">
        <v>0.66220968961715698</v>
      </c>
      <c r="AJ553" s="1216"/>
    </row>
    <row r="554" spans="5:36">
      <c r="E554" s="299">
        <v>546</v>
      </c>
      <c r="F554" s="308">
        <f t="shared" ca="1" si="133"/>
        <v>2658.9390596681606</v>
      </c>
      <c r="G554" s="307">
        <f t="shared" ca="1" si="134"/>
        <v>299.48986739583478</v>
      </c>
      <c r="H554" s="306">
        <f t="shared" ca="1" si="135"/>
        <v>0.4079735321395993</v>
      </c>
      <c r="I554" s="305">
        <f t="shared" ca="1" si="137"/>
        <v>92.083154326177223</v>
      </c>
      <c r="J554" s="305">
        <f t="shared" ca="1" si="138"/>
        <v>57.246682972678791</v>
      </c>
      <c r="K554" s="292">
        <f t="shared" ca="1" si="136"/>
        <v>1.840951161934737</v>
      </c>
      <c r="L554" s="1290">
        <f t="shared" ca="1" si="139"/>
        <v>19.781179859343784</v>
      </c>
      <c r="M554" s="299">
        <v>546</v>
      </c>
      <c r="N554" s="304">
        <f t="shared" si="140"/>
        <v>3461.3982099813175</v>
      </c>
      <c r="O554" s="303">
        <v>214.18406162503106</v>
      </c>
      <c r="P554" s="302">
        <v>0.41235616782728785</v>
      </c>
      <c r="Q554" s="301">
        <v>110.93973414508952</v>
      </c>
      <c r="R554" s="301">
        <v>65.160037546608137</v>
      </c>
      <c r="S554" s="300">
        <v>7.7592797791446735</v>
      </c>
      <c r="T554" s="891">
        <f t="shared" si="141"/>
        <v>64</v>
      </c>
      <c r="U554" s="1220">
        <v>0.6646958589553833</v>
      </c>
      <c r="W554" s="299">
        <v>546</v>
      </c>
      <c r="X554" s="298">
        <f>IF('Donor Sample'!N571="",,IF('Donor Sample'!N571="F",1,0))</f>
        <v>0</v>
      </c>
      <c r="Y554" s="298" t="str">
        <f>IF('Donor Sample'!O571="","",'Donor Sample'!O571)</f>
        <v/>
      </c>
      <c r="Z554" s="298" t="str">
        <f>IF(AND('Donor Sample'!O571="",'Donor Sample'!P571="",'Donor Sample'!Q571=""),"",IF('Donor Sample'!P571="",ROUND(AA554/($C$32+($AI554-0.5)*$C$31),0),'Donor Sample'!P571))</f>
        <v/>
      </c>
      <c r="AA554" s="297" t="str">
        <f>IF('Donor Sample'!Q571="","",'Donor Sample'!Q571)</f>
        <v/>
      </c>
      <c r="AB554" s="296" t="str">
        <f t="shared" si="132"/>
        <v/>
      </c>
      <c r="AC554" s="295" t="str">
        <f>IF('Donor Sample'!R571="","",'Donor Sample'!R571)</f>
        <v/>
      </c>
      <c r="AD554" s="294" t="str">
        <f>IF('Donor Sample'!S571="","",'Donor Sample'!S571/100)</f>
        <v/>
      </c>
      <c r="AE554" s="293" t="e">
        <f t="shared" si="142"/>
        <v>#VALUE!</v>
      </c>
      <c r="AF554" s="293" t="str">
        <f t="shared" si="143"/>
        <v/>
      </c>
      <c r="AG554" s="292" t="str">
        <f>IF('Donor Sample'!T571="","",'Donor Sample'!T571)</f>
        <v/>
      </c>
      <c r="AH554" s="891">
        <f t="shared" si="144"/>
        <v>32</v>
      </c>
      <c r="AI554" s="1220">
        <v>0.80113279819488525</v>
      </c>
      <c r="AJ554" s="1216"/>
    </row>
    <row r="555" spans="5:36">
      <c r="E555" s="299">
        <v>547</v>
      </c>
      <c r="F555" s="308">
        <f t="shared" ca="1" si="133"/>
        <v>3301.4283640184321</v>
      </c>
      <c r="G555" s="307">
        <f t="shared" ca="1" si="134"/>
        <v>270.30395140919984</v>
      </c>
      <c r="H555" s="306">
        <f t="shared" ca="1" si="135"/>
        <v>0.42126212959316134</v>
      </c>
      <c r="I555" s="305">
        <f t="shared" ca="1" si="137"/>
        <v>134.43211896623575</v>
      </c>
      <c r="J555" s="305">
        <f t="shared" ca="1" si="138"/>
        <v>49.625037790821636</v>
      </c>
      <c r="K555" s="292">
        <f t="shared" ca="1" si="136"/>
        <v>1.2894773894991509</v>
      </c>
      <c r="L555" s="1290">
        <f t="shared" ca="1" si="139"/>
        <v>38.430320140630641</v>
      </c>
      <c r="M555" s="299">
        <v>547</v>
      </c>
      <c r="N555" s="304">
        <f t="shared" si="140"/>
        <v>3407.5583414253774</v>
      </c>
      <c r="O555" s="303">
        <v>246.12210050073841</v>
      </c>
      <c r="P555" s="302">
        <v>0.43177541145364495</v>
      </c>
      <c r="Q555" s="301">
        <v>110.28700044940484</v>
      </c>
      <c r="R555" s="301">
        <v>58.333560929453768</v>
      </c>
      <c r="S555" s="300">
        <v>2.0437482226146164</v>
      </c>
      <c r="T555" s="891">
        <f t="shared" si="141"/>
        <v>2</v>
      </c>
      <c r="U555" s="1220">
        <v>0.2721288800239563</v>
      </c>
      <c r="W555" s="299">
        <v>547</v>
      </c>
      <c r="X555" s="298">
        <f>IF('Donor Sample'!N572="",,IF('Donor Sample'!N572="F",1,0))</f>
        <v>0</v>
      </c>
      <c r="Y555" s="298" t="str">
        <f>IF('Donor Sample'!O572="","",'Donor Sample'!O572)</f>
        <v/>
      </c>
      <c r="Z555" s="298" t="str">
        <f>IF(AND('Donor Sample'!O572="",'Donor Sample'!P572="",'Donor Sample'!Q572=""),"",IF('Donor Sample'!P572="",ROUND(AA555/($C$32+($AI555-0.5)*$C$31),0),'Donor Sample'!P572))</f>
        <v/>
      </c>
      <c r="AA555" s="297" t="str">
        <f>IF('Donor Sample'!Q572="","",'Donor Sample'!Q572)</f>
        <v/>
      </c>
      <c r="AB555" s="296" t="str">
        <f t="shared" si="132"/>
        <v/>
      </c>
      <c r="AC555" s="295" t="str">
        <f>IF('Donor Sample'!R572="","",'Donor Sample'!R572)</f>
        <v/>
      </c>
      <c r="AD555" s="294" t="str">
        <f>IF('Donor Sample'!S572="","",'Donor Sample'!S572/100)</f>
        <v/>
      </c>
      <c r="AE555" s="407" t="e">
        <f t="shared" si="142"/>
        <v>#VALUE!</v>
      </c>
      <c r="AF555" s="293" t="str">
        <f t="shared" si="143"/>
        <v/>
      </c>
      <c r="AG555" s="292" t="str">
        <f>IF('Donor Sample'!T572="","",'Donor Sample'!T572)</f>
        <v/>
      </c>
      <c r="AH555" s="891">
        <f t="shared" si="144"/>
        <v>4</v>
      </c>
      <c r="AI555" s="1220">
        <v>0.36330634355545044</v>
      </c>
      <c r="AJ555" s="1216"/>
    </row>
    <row r="556" spans="5:36">
      <c r="E556" s="299">
        <v>548</v>
      </c>
      <c r="F556" s="308">
        <f t="shared" ca="1" si="133"/>
        <v>4385.4231171960964</v>
      </c>
      <c r="G556" s="307">
        <f t="shared" ca="1" si="134"/>
        <v>204.98714046626822</v>
      </c>
      <c r="H556" s="306">
        <f t="shared" ca="1" si="135"/>
        <v>0.3703572290167193</v>
      </c>
      <c r="I556" s="305">
        <f t="shared" ca="1" si="137"/>
        <v>157.91237347566823</v>
      </c>
      <c r="J556" s="305">
        <f t="shared" ca="1" si="138"/>
        <v>62.615169708281122</v>
      </c>
      <c r="K556" s="292">
        <f t="shared" ca="1" si="136"/>
        <v>4.1798480273827412</v>
      </c>
      <c r="L556" s="1290">
        <f t="shared" ca="1" si="139"/>
        <v>28.355002917777465</v>
      </c>
      <c r="M556" s="299">
        <v>548</v>
      </c>
      <c r="N556" s="304">
        <f t="shared" si="140"/>
        <v>2712.1993969183709</v>
      </c>
      <c r="O556" s="303">
        <v>303.53623435322385</v>
      </c>
      <c r="P556" s="302">
        <v>0.41823079778591549</v>
      </c>
      <c r="Q556" s="301">
        <v>112.75038288359056</v>
      </c>
      <c r="R556" s="301">
        <v>42.516227980137224</v>
      </c>
      <c r="S556" s="300">
        <v>1.9871473176265864</v>
      </c>
      <c r="T556" s="891">
        <f t="shared" si="141"/>
        <v>64</v>
      </c>
      <c r="U556" s="1220">
        <v>0.4524543285369873</v>
      </c>
      <c r="W556" s="299">
        <v>548</v>
      </c>
      <c r="X556" s="298">
        <f>IF('Donor Sample'!N573="",,IF('Donor Sample'!N573="F",1,0))</f>
        <v>0</v>
      </c>
      <c r="Y556" s="298" t="str">
        <f>IF('Donor Sample'!O573="","",'Donor Sample'!O573)</f>
        <v/>
      </c>
      <c r="Z556" s="298" t="str">
        <f>IF(AND('Donor Sample'!O573="",'Donor Sample'!P573="",'Donor Sample'!Q573=""),"",IF('Donor Sample'!P573="",ROUND(AA556/($C$32+($AI556-0.5)*$C$31),0),'Donor Sample'!P573))</f>
        <v/>
      </c>
      <c r="AA556" s="297" t="str">
        <f>IF('Donor Sample'!Q573="","",'Donor Sample'!Q573)</f>
        <v/>
      </c>
      <c r="AB556" s="296" t="str">
        <f t="shared" si="132"/>
        <v/>
      </c>
      <c r="AC556" s="295" t="str">
        <f>IF('Donor Sample'!R573="","",'Donor Sample'!R573)</f>
        <v/>
      </c>
      <c r="AD556" s="294" t="str">
        <f>IF('Donor Sample'!S573="","",'Donor Sample'!S573/100)</f>
        <v/>
      </c>
      <c r="AE556" s="293" t="e">
        <f t="shared" si="142"/>
        <v>#VALUE!</v>
      </c>
      <c r="AF556" s="293" t="str">
        <f t="shared" si="143"/>
        <v/>
      </c>
      <c r="AG556" s="292" t="str">
        <f>IF('Donor Sample'!T573="","",'Donor Sample'!T573)</f>
        <v/>
      </c>
      <c r="AH556" s="891">
        <f t="shared" si="144"/>
        <v>2</v>
      </c>
      <c r="AI556" s="1220">
        <v>0.17745709419250488</v>
      </c>
      <c r="AJ556" s="1216"/>
    </row>
    <row r="557" spans="5:36">
      <c r="E557" s="299">
        <v>549</v>
      </c>
      <c r="F557" s="308">
        <f t="shared" ca="1" si="133"/>
        <v>3097.1592363144837</v>
      </c>
      <c r="G557" s="307">
        <f t="shared" ca="1" si="134"/>
        <v>252.2362298260467</v>
      </c>
      <c r="H557" s="306">
        <f t="shared" ca="1" si="135"/>
        <v>0.45278503404492648</v>
      </c>
      <c r="I557" s="305">
        <f t="shared" ca="1" si="137"/>
        <v>103.55922483704039</v>
      </c>
      <c r="J557" s="305">
        <f t="shared" ca="1" si="138"/>
        <v>61.55283311102032</v>
      </c>
      <c r="K557" s="292">
        <f t="shared" ca="1" si="136"/>
        <v>4.1736776694480753</v>
      </c>
      <c r="L557" s="1290">
        <f t="shared" ca="1" si="139"/>
        <v>19.242671055802738</v>
      </c>
      <c r="M557" s="299">
        <v>549</v>
      </c>
      <c r="N557" s="304">
        <f t="shared" si="140"/>
        <v>4427.9396232903819</v>
      </c>
      <c r="O557" s="303">
        <v>266.09464293487252</v>
      </c>
      <c r="P557" s="302">
        <v>0.44553984381745015</v>
      </c>
      <c r="Q557" s="301">
        <v>156.906577839058</v>
      </c>
      <c r="R557" s="301">
        <v>68.692552691846046</v>
      </c>
      <c r="S557" s="300">
        <v>1.5837094548454274</v>
      </c>
      <c r="T557" s="891">
        <f t="shared" si="141"/>
        <v>64</v>
      </c>
      <c r="U557" s="1220">
        <v>0.59110444784164429</v>
      </c>
      <c r="W557" s="299">
        <v>549</v>
      </c>
      <c r="X557" s="298">
        <f>IF('Donor Sample'!N574="",,IF('Donor Sample'!N574="F",1,0))</f>
        <v>0</v>
      </c>
      <c r="Y557" s="298" t="str">
        <f>IF('Donor Sample'!O574="","",'Donor Sample'!O574)</f>
        <v/>
      </c>
      <c r="Z557" s="298" t="str">
        <f>IF(AND('Donor Sample'!O574="",'Donor Sample'!P574="",'Donor Sample'!Q574=""),"",IF('Donor Sample'!P574="",ROUND(AA557/($C$32+($AI557-0.5)*$C$31),0),'Donor Sample'!P574))</f>
        <v/>
      </c>
      <c r="AA557" s="297" t="str">
        <f>IF('Donor Sample'!Q574="","",'Donor Sample'!Q574)</f>
        <v/>
      </c>
      <c r="AB557" s="296" t="str">
        <f t="shared" si="132"/>
        <v/>
      </c>
      <c r="AC557" s="295" t="str">
        <f>IF('Donor Sample'!R574="","",'Donor Sample'!R574)</f>
        <v/>
      </c>
      <c r="AD557" s="294" t="str">
        <f>IF('Donor Sample'!S574="","",'Donor Sample'!S574/100)</f>
        <v/>
      </c>
      <c r="AE557" s="293" t="e">
        <f t="shared" si="142"/>
        <v>#VALUE!</v>
      </c>
      <c r="AF557" s="293" t="str">
        <f t="shared" si="143"/>
        <v/>
      </c>
      <c r="AG557" s="292" t="str">
        <f>IF('Donor Sample'!T574="","",'Donor Sample'!T574)</f>
        <v/>
      </c>
      <c r="AH557" s="891">
        <f t="shared" si="144"/>
        <v>256</v>
      </c>
      <c r="AI557" s="1220">
        <v>0.92049068212509155</v>
      </c>
      <c r="AJ557" s="1216"/>
    </row>
    <row r="558" spans="5:36">
      <c r="E558" s="299">
        <v>550</v>
      </c>
      <c r="F558" s="308">
        <f t="shared" ca="1" si="133"/>
        <v>3208.7701220148133</v>
      </c>
      <c r="G558" s="307">
        <f t="shared" ca="1" si="134"/>
        <v>256.45455565194999</v>
      </c>
      <c r="H558" s="306">
        <f t="shared" ca="1" si="135"/>
        <v>0.36824364745792837</v>
      </c>
      <c r="I558" s="305">
        <f t="shared" ca="1" si="137"/>
        <v>110.15166718555251</v>
      </c>
      <c r="J558" s="305">
        <f t="shared" ca="1" si="138"/>
        <v>54.932270123259563</v>
      </c>
      <c r="K558" s="292">
        <f t="shared" ca="1" si="136"/>
        <v>10.861493739936453</v>
      </c>
      <c r="L558" s="1290">
        <f t="shared" ca="1" si="139"/>
        <v>25.698551199438253</v>
      </c>
      <c r="M558" s="299">
        <v>550</v>
      </c>
      <c r="N558" s="304">
        <f t="shared" si="140"/>
        <v>3698.3930203939171</v>
      </c>
      <c r="O558" s="303">
        <v>239.76935125290964</v>
      </c>
      <c r="P558" s="302">
        <v>0.49741384342948847</v>
      </c>
      <c r="Q558" s="301">
        <v>123.28442724752087</v>
      </c>
      <c r="R558" s="301">
        <v>59.93599144989318</v>
      </c>
      <c r="S558" s="300">
        <v>1.706460718184925</v>
      </c>
      <c r="T558" s="891">
        <f t="shared" si="141"/>
        <v>2</v>
      </c>
      <c r="U558" s="1220">
        <v>7.377469539642334E-2</v>
      </c>
      <c r="W558" s="299">
        <v>550</v>
      </c>
      <c r="X558" s="298">
        <f>IF('Donor Sample'!N575="",,IF('Donor Sample'!N575="F",1,0))</f>
        <v>0</v>
      </c>
      <c r="Y558" s="298" t="str">
        <f>IF('Donor Sample'!O575="","",'Donor Sample'!O575)</f>
        <v/>
      </c>
      <c r="Z558" s="298" t="str">
        <f>IF(AND('Donor Sample'!O575="",'Donor Sample'!P575="",'Donor Sample'!Q575=""),"",IF('Donor Sample'!P575="",ROUND(AA558/($C$32+($AI558-0.5)*$C$31),0),'Donor Sample'!P575))</f>
        <v/>
      </c>
      <c r="AA558" s="297" t="str">
        <f>IF('Donor Sample'!Q575="","",'Donor Sample'!Q575)</f>
        <v/>
      </c>
      <c r="AB558" s="296" t="str">
        <f t="shared" si="132"/>
        <v/>
      </c>
      <c r="AC558" s="295" t="str">
        <f>IF('Donor Sample'!R575="","",'Donor Sample'!R575)</f>
        <v/>
      </c>
      <c r="AD558" s="294" t="str">
        <f>IF('Donor Sample'!S575="","",'Donor Sample'!S575/100)</f>
        <v/>
      </c>
      <c r="AE558" s="407" t="e">
        <f t="shared" si="142"/>
        <v>#VALUE!</v>
      </c>
      <c r="AF558" s="293" t="str">
        <f t="shared" si="143"/>
        <v/>
      </c>
      <c r="AG558" s="292" t="str">
        <f>IF('Donor Sample'!T575="","",'Donor Sample'!T575)</f>
        <v/>
      </c>
      <c r="AH558" s="891">
        <f t="shared" si="144"/>
        <v>2</v>
      </c>
      <c r="AI558" s="1220">
        <v>7.2432398796081543E-2</v>
      </c>
      <c r="AJ558" s="1216"/>
    </row>
    <row r="559" spans="5:36">
      <c r="E559" s="299">
        <v>551</v>
      </c>
      <c r="F559" s="308">
        <f t="shared" ca="1" si="133"/>
        <v>3358.139233111965</v>
      </c>
      <c r="G559" s="307">
        <f t="shared" ca="1" si="134"/>
        <v>302.18870032111602</v>
      </c>
      <c r="H559" s="306">
        <f t="shared" ca="1" si="135"/>
        <v>0.4316777575768419</v>
      </c>
      <c r="I559" s="305">
        <f t="shared" ca="1" si="137"/>
        <v>110.84111445635052</v>
      </c>
      <c r="J559" s="305">
        <f t="shared" ca="1" si="138"/>
        <v>57.381048416380757</v>
      </c>
      <c r="K559" s="292">
        <f t="shared" ca="1" si="136"/>
        <v>2.0922863089108548</v>
      </c>
      <c r="L559" s="1290">
        <f t="shared" ca="1" si="139"/>
        <v>23.699358186830558</v>
      </c>
      <c r="M559" s="299">
        <v>551</v>
      </c>
      <c r="N559" s="304">
        <f t="shared" si="140"/>
        <v>4044.3661291147509</v>
      </c>
      <c r="O559" s="303">
        <v>267.48011908461962</v>
      </c>
      <c r="P559" s="302">
        <v>0.46952543338781261</v>
      </c>
      <c r="Q559" s="301">
        <v>150.93765324999995</v>
      </c>
      <c r="R559" s="301">
        <v>59.030849450092695</v>
      </c>
      <c r="S559" s="300">
        <v>3.9042716430258384</v>
      </c>
      <c r="T559" s="891">
        <f t="shared" si="141"/>
        <v>2</v>
      </c>
      <c r="U559" s="1220">
        <v>0.11740213632583618</v>
      </c>
      <c r="W559" s="299">
        <v>551</v>
      </c>
      <c r="X559" s="298">
        <f>IF('Donor Sample'!N576="",,IF('Donor Sample'!N576="F",1,0))</f>
        <v>0</v>
      </c>
      <c r="Y559" s="298" t="str">
        <f>IF('Donor Sample'!O576="","",'Donor Sample'!O576)</f>
        <v/>
      </c>
      <c r="Z559" s="298" t="str">
        <f>IF(AND('Donor Sample'!O576="",'Donor Sample'!P576="",'Donor Sample'!Q576=""),"",IF('Donor Sample'!P576="",ROUND(AA559/($C$32+($AI559-0.5)*$C$31),0),'Donor Sample'!P576))</f>
        <v/>
      </c>
      <c r="AA559" s="297" t="str">
        <f>IF('Donor Sample'!Q576="","",'Donor Sample'!Q576)</f>
        <v/>
      </c>
      <c r="AB559" s="296" t="str">
        <f t="shared" si="132"/>
        <v/>
      </c>
      <c r="AC559" s="295" t="str">
        <f>IF('Donor Sample'!R576="","",'Donor Sample'!R576)</f>
        <v/>
      </c>
      <c r="AD559" s="294" t="str">
        <f>IF('Donor Sample'!S576="","",'Donor Sample'!S576/100)</f>
        <v/>
      </c>
      <c r="AE559" s="293" t="e">
        <f t="shared" si="142"/>
        <v>#VALUE!</v>
      </c>
      <c r="AF559" s="293" t="str">
        <f t="shared" si="143"/>
        <v/>
      </c>
      <c r="AG559" s="292" t="str">
        <f>IF('Donor Sample'!T576="","",'Donor Sample'!T576)</f>
        <v/>
      </c>
      <c r="AH559" s="891">
        <f t="shared" si="144"/>
        <v>64</v>
      </c>
      <c r="AI559" s="1220">
        <v>0.66097980737686157</v>
      </c>
      <c r="AJ559" s="1216"/>
    </row>
    <row r="560" spans="5:36">
      <c r="E560" s="299">
        <v>552</v>
      </c>
      <c r="F560" s="308">
        <f t="shared" ca="1" si="133"/>
        <v>3334.433032879489</v>
      </c>
      <c r="G560" s="307">
        <f t="shared" ca="1" si="134"/>
        <v>217.38336367756892</v>
      </c>
      <c r="H560" s="306">
        <f t="shared" ca="1" si="135"/>
        <v>0.36576430755045197</v>
      </c>
      <c r="I560" s="305">
        <f t="shared" ca="1" si="137"/>
        <v>139.36284457530061</v>
      </c>
      <c r="J560" s="305">
        <f t="shared" ca="1" si="138"/>
        <v>48.731344948440793</v>
      </c>
      <c r="K560" s="292">
        <f t="shared" ca="1" si="136"/>
        <v>2.1257324361765511</v>
      </c>
      <c r="L560" s="1290">
        <f t="shared" ca="1" si="139"/>
        <v>41.314534698186058</v>
      </c>
      <c r="M560" s="299">
        <v>552</v>
      </c>
      <c r="N560" s="304">
        <f t="shared" si="140"/>
        <v>3176.5765486524529</v>
      </c>
      <c r="O560" s="303">
        <v>282.76854940698638</v>
      </c>
      <c r="P560" s="302">
        <v>0.38808886937788356</v>
      </c>
      <c r="Q560" s="301">
        <v>116.64969493073305</v>
      </c>
      <c r="R560" s="301">
        <v>52.490660806487696</v>
      </c>
      <c r="S560" s="300">
        <v>1.7459032877360889</v>
      </c>
      <c r="T560" s="891">
        <f t="shared" si="141"/>
        <v>128</v>
      </c>
      <c r="U560" s="1220">
        <v>0.94910526275634766</v>
      </c>
      <c r="W560" s="299">
        <v>552</v>
      </c>
      <c r="X560" s="298">
        <f>IF('Donor Sample'!N577="",,IF('Donor Sample'!N577="F",1,0))</f>
        <v>0</v>
      </c>
      <c r="Y560" s="298" t="str">
        <f>IF('Donor Sample'!O577="","",'Donor Sample'!O577)</f>
        <v/>
      </c>
      <c r="Z560" s="298" t="str">
        <f>IF(AND('Donor Sample'!O577="",'Donor Sample'!P577="",'Donor Sample'!Q577=""),"",IF('Donor Sample'!P577="",ROUND(AA560/($C$32+($AI560-0.5)*$C$31),0),'Donor Sample'!P577))</f>
        <v/>
      </c>
      <c r="AA560" s="297" t="str">
        <f>IF('Donor Sample'!Q577="","",'Donor Sample'!Q577)</f>
        <v/>
      </c>
      <c r="AB560" s="296" t="str">
        <f t="shared" si="132"/>
        <v/>
      </c>
      <c r="AC560" s="295" t="str">
        <f>IF('Donor Sample'!R577="","",'Donor Sample'!R577)</f>
        <v/>
      </c>
      <c r="AD560" s="294" t="str">
        <f>IF('Donor Sample'!S577="","",'Donor Sample'!S577/100)</f>
        <v/>
      </c>
      <c r="AE560" s="293" t="e">
        <f t="shared" si="142"/>
        <v>#VALUE!</v>
      </c>
      <c r="AF560" s="293" t="str">
        <f t="shared" si="143"/>
        <v/>
      </c>
      <c r="AG560" s="292" t="str">
        <f>IF('Donor Sample'!T577="","",'Donor Sample'!T577)</f>
        <v/>
      </c>
      <c r="AH560" s="891">
        <f t="shared" si="144"/>
        <v>2</v>
      </c>
      <c r="AI560" s="1220">
        <v>0.19971990585327148</v>
      </c>
      <c r="AJ560" s="1216"/>
    </row>
    <row r="561" spans="5:36">
      <c r="E561" s="299">
        <v>553</v>
      </c>
      <c r="F561" s="308">
        <f t="shared" ca="1" si="133"/>
        <v>3232.9886794246568</v>
      </c>
      <c r="G561" s="307">
        <f t="shared" ca="1" si="134"/>
        <v>267.17270338761523</v>
      </c>
      <c r="H561" s="306">
        <f t="shared" ca="1" si="135"/>
        <v>0.39822746282787203</v>
      </c>
      <c r="I561" s="305">
        <f t="shared" ca="1" si="137"/>
        <v>106.79499771822381</v>
      </c>
      <c r="J561" s="305">
        <f t="shared" ca="1" si="138"/>
        <v>56.246054832641022</v>
      </c>
      <c r="K561" s="292">
        <f t="shared" ca="1" si="136"/>
        <v>2.3548712810626511</v>
      </c>
      <c r="L561" s="1290">
        <f t="shared" ca="1" si="139"/>
        <v>23.765088620904752</v>
      </c>
      <c r="M561" s="299">
        <v>553</v>
      </c>
      <c r="N561" s="304">
        <f t="shared" si="140"/>
        <v>3361.7518777240557</v>
      </c>
      <c r="O561" s="303">
        <v>234.31206051563274</v>
      </c>
      <c r="P561" s="302">
        <v>0.44227492982135241</v>
      </c>
      <c r="Q561" s="301">
        <v>136.50333840364809</v>
      </c>
      <c r="R561" s="301">
        <v>50.293311203186548</v>
      </c>
      <c r="S561" s="300">
        <v>2.351125791893359</v>
      </c>
      <c r="T561" s="891">
        <f t="shared" si="141"/>
        <v>2</v>
      </c>
      <c r="U561" s="1220">
        <v>0.25373953580856323</v>
      </c>
      <c r="W561" s="299">
        <v>553</v>
      </c>
      <c r="X561" s="298">
        <f>IF('Donor Sample'!N578="",,IF('Donor Sample'!N578="F",1,0))</f>
        <v>0</v>
      </c>
      <c r="Y561" s="298" t="str">
        <f>IF('Donor Sample'!O578="","",'Donor Sample'!O578)</f>
        <v/>
      </c>
      <c r="Z561" s="298" t="str">
        <f>IF(AND('Donor Sample'!O578="",'Donor Sample'!P578="",'Donor Sample'!Q578=""),"",IF('Donor Sample'!P578="",ROUND(AA561/($C$32+($AI561-0.5)*$C$31),0),'Donor Sample'!P578))</f>
        <v/>
      </c>
      <c r="AA561" s="297" t="str">
        <f>IF('Donor Sample'!Q578="","",'Donor Sample'!Q578)</f>
        <v/>
      </c>
      <c r="AB561" s="296" t="str">
        <f t="shared" si="132"/>
        <v/>
      </c>
      <c r="AC561" s="295" t="str">
        <f>IF('Donor Sample'!R578="","",'Donor Sample'!R578)</f>
        <v/>
      </c>
      <c r="AD561" s="294" t="str">
        <f>IF('Donor Sample'!S578="","",'Donor Sample'!S578/100)</f>
        <v/>
      </c>
      <c r="AE561" s="407" t="e">
        <f t="shared" si="142"/>
        <v>#VALUE!</v>
      </c>
      <c r="AF561" s="293" t="str">
        <f t="shared" si="143"/>
        <v/>
      </c>
      <c r="AG561" s="292" t="str">
        <f>IF('Donor Sample'!T578="","",'Donor Sample'!T578)</f>
        <v/>
      </c>
      <c r="AH561" s="891">
        <f t="shared" si="144"/>
        <v>2</v>
      </c>
      <c r="AI561" s="1220">
        <v>0.35785263776779175</v>
      </c>
      <c r="AJ561" s="1216"/>
    </row>
    <row r="562" spans="5:36">
      <c r="E562" s="299">
        <v>554</v>
      </c>
      <c r="F562" s="308">
        <f t="shared" ca="1" si="133"/>
        <v>3627.6333631838224</v>
      </c>
      <c r="G562" s="307">
        <f t="shared" ca="1" si="134"/>
        <v>201.2414644930314</v>
      </c>
      <c r="H562" s="306">
        <f t="shared" ca="1" si="135"/>
        <v>0.37436813417128961</v>
      </c>
      <c r="I562" s="305">
        <f t="shared" ca="1" si="137"/>
        <v>116.77580146160012</v>
      </c>
      <c r="J562" s="305">
        <f t="shared" ca="1" si="138"/>
        <v>60.308205971659937</v>
      </c>
      <c r="K562" s="292">
        <f t="shared" ca="1" si="136"/>
        <v>4.7468179034659679</v>
      </c>
      <c r="L562" s="1290">
        <f t="shared" ca="1" si="139"/>
        <v>22.603344122204895</v>
      </c>
      <c r="M562" s="299">
        <v>554</v>
      </c>
      <c r="N562" s="304">
        <f t="shared" si="140"/>
        <v>3017.5294559410449</v>
      </c>
      <c r="O562" s="303">
        <v>282.52064385283848</v>
      </c>
      <c r="P562" s="302">
        <v>0.43974575827502155</v>
      </c>
      <c r="Q562" s="301">
        <v>111.34299046084801</v>
      </c>
      <c r="R562" s="301">
        <v>50.795048657226104</v>
      </c>
      <c r="S562" s="300">
        <v>2.9220581714258165</v>
      </c>
      <c r="T562" s="891">
        <f t="shared" si="141"/>
        <v>256</v>
      </c>
      <c r="U562" s="1220">
        <v>0.8781057596206665</v>
      </c>
      <c r="W562" s="299">
        <v>554</v>
      </c>
      <c r="X562" s="298">
        <f>IF('Donor Sample'!N579="",,IF('Donor Sample'!N579="F",1,0))</f>
        <v>0</v>
      </c>
      <c r="Y562" s="298" t="str">
        <f>IF('Donor Sample'!O579="","",'Donor Sample'!O579)</f>
        <v/>
      </c>
      <c r="Z562" s="298" t="str">
        <f>IF(AND('Donor Sample'!O579="",'Donor Sample'!P579="",'Donor Sample'!Q579=""),"",IF('Donor Sample'!P579="",ROUND(AA562/($C$32+($AI562-0.5)*$C$31),0),'Donor Sample'!P579))</f>
        <v/>
      </c>
      <c r="AA562" s="297" t="str">
        <f>IF('Donor Sample'!Q579="","",'Donor Sample'!Q579)</f>
        <v/>
      </c>
      <c r="AB562" s="296" t="str">
        <f t="shared" si="132"/>
        <v/>
      </c>
      <c r="AC562" s="295" t="str">
        <f>IF('Donor Sample'!R579="","",'Donor Sample'!R579)</f>
        <v/>
      </c>
      <c r="AD562" s="294" t="str">
        <f>IF('Donor Sample'!S579="","",'Donor Sample'!S579/100)</f>
        <v/>
      </c>
      <c r="AE562" s="293" t="e">
        <f t="shared" si="142"/>
        <v>#VALUE!</v>
      </c>
      <c r="AF562" s="293" t="str">
        <f t="shared" si="143"/>
        <v/>
      </c>
      <c r="AG562" s="292" t="str">
        <f>IF('Donor Sample'!T579="","",'Donor Sample'!T579)</f>
        <v/>
      </c>
      <c r="AH562" s="891">
        <f t="shared" si="144"/>
        <v>64</v>
      </c>
      <c r="AI562" s="1220">
        <v>0.49789535999298096</v>
      </c>
      <c r="AJ562" s="1216"/>
    </row>
    <row r="563" spans="5:36">
      <c r="E563" s="299">
        <v>555</v>
      </c>
      <c r="F563" s="308">
        <f t="shared" ca="1" si="133"/>
        <v>2717.9953970712741</v>
      </c>
      <c r="G563" s="307">
        <f t="shared" ca="1" si="134"/>
        <v>225.94785920586034</v>
      </c>
      <c r="H563" s="306">
        <f t="shared" ca="1" si="135"/>
        <v>0.42877562787992363</v>
      </c>
      <c r="I563" s="305">
        <f t="shared" ca="1" si="137"/>
        <v>106.51321110120877</v>
      </c>
      <c r="J563" s="305">
        <f t="shared" ca="1" si="138"/>
        <v>45.30078182116204</v>
      </c>
      <c r="K563" s="292">
        <f t="shared" ca="1" si="136"/>
        <v>2.0510319843473139</v>
      </c>
      <c r="L563" s="1290">
        <f t="shared" ca="1" si="139"/>
        <v>36.539680217654592</v>
      </c>
      <c r="M563" s="299">
        <v>555</v>
      </c>
      <c r="N563" s="304">
        <f t="shared" si="140"/>
        <v>2796.5591153754012</v>
      </c>
      <c r="O563" s="303">
        <v>166.05630455144714</v>
      </c>
      <c r="P563" s="302">
        <v>0.42029353720456031</v>
      </c>
      <c r="Q563" s="301">
        <v>90.919837303306664</v>
      </c>
      <c r="R563" s="301">
        <v>52.402746340666411</v>
      </c>
      <c r="S563" s="300">
        <v>2.7019375838772368</v>
      </c>
      <c r="T563" s="891">
        <f t="shared" si="141"/>
        <v>64</v>
      </c>
      <c r="U563" s="1220">
        <v>0.57769995927810669</v>
      </c>
      <c r="W563" s="299">
        <v>555</v>
      </c>
      <c r="X563" s="298">
        <f>IF('Donor Sample'!N580="",,IF('Donor Sample'!N580="F",1,0))</f>
        <v>0</v>
      </c>
      <c r="Y563" s="298" t="str">
        <f>IF('Donor Sample'!O580="","",'Donor Sample'!O580)</f>
        <v/>
      </c>
      <c r="Z563" s="298" t="str">
        <f>IF(AND('Donor Sample'!O580="",'Donor Sample'!P580="",'Donor Sample'!Q580=""),"",IF('Donor Sample'!P580="",ROUND(AA563/($C$32+($AI563-0.5)*$C$31),0),'Donor Sample'!P580))</f>
        <v/>
      </c>
      <c r="AA563" s="297" t="str">
        <f>IF('Donor Sample'!Q580="","",'Donor Sample'!Q580)</f>
        <v/>
      </c>
      <c r="AB563" s="296" t="str">
        <f t="shared" si="132"/>
        <v/>
      </c>
      <c r="AC563" s="295" t="str">
        <f>IF('Donor Sample'!R580="","",'Donor Sample'!R580)</f>
        <v/>
      </c>
      <c r="AD563" s="294" t="str">
        <f>IF('Donor Sample'!S580="","",'Donor Sample'!S580/100)</f>
        <v/>
      </c>
      <c r="AE563" s="293" t="e">
        <f t="shared" si="142"/>
        <v>#VALUE!</v>
      </c>
      <c r="AF563" s="293" t="str">
        <f t="shared" si="143"/>
        <v/>
      </c>
      <c r="AG563" s="292" t="str">
        <f>IF('Donor Sample'!T580="","",'Donor Sample'!T580)</f>
        <v/>
      </c>
      <c r="AH563" s="891">
        <f t="shared" si="144"/>
        <v>4</v>
      </c>
      <c r="AI563" s="1220">
        <v>0.42194443941116333</v>
      </c>
      <c r="AJ563" s="1216"/>
    </row>
    <row r="564" spans="5:36">
      <c r="E564" s="299">
        <v>556</v>
      </c>
      <c r="F564" s="308">
        <f t="shared" ca="1" si="133"/>
        <v>3721.8982500174993</v>
      </c>
      <c r="G564" s="307">
        <f t="shared" ca="1" si="134"/>
        <v>212.96892488209556</v>
      </c>
      <c r="H564" s="306">
        <f t="shared" ca="1" si="135"/>
        <v>0.38981155681994928</v>
      </c>
      <c r="I564" s="305">
        <f t="shared" ca="1" si="137"/>
        <v>123.79494609543609</v>
      </c>
      <c r="J564" s="305">
        <f t="shared" ca="1" si="138"/>
        <v>60.182718992665535</v>
      </c>
      <c r="K564" s="292">
        <f t="shared" ca="1" si="136"/>
        <v>1.5800147134659692</v>
      </c>
      <c r="L564" s="1290">
        <f t="shared" ca="1" si="139"/>
        <v>24.062013413603772</v>
      </c>
      <c r="M564" s="299">
        <v>556</v>
      </c>
      <c r="N564" s="304">
        <f t="shared" si="140"/>
        <v>3197.7635396040291</v>
      </c>
      <c r="O564" s="303">
        <v>319.7097548266342</v>
      </c>
      <c r="P564" s="302">
        <v>0.46464330801070119</v>
      </c>
      <c r="Q564" s="301">
        <v>120.66663151360842</v>
      </c>
      <c r="R564" s="301">
        <v>51.725749997567441</v>
      </c>
      <c r="S564" s="300">
        <v>4.5191425743652323</v>
      </c>
      <c r="T564" s="891">
        <f t="shared" si="141"/>
        <v>2</v>
      </c>
      <c r="U564" s="1220">
        <v>0.19833874702453613</v>
      </c>
      <c r="W564" s="299">
        <v>556</v>
      </c>
      <c r="X564" s="298">
        <f>IF('Donor Sample'!N581="",,IF('Donor Sample'!N581="F",1,0))</f>
        <v>0</v>
      </c>
      <c r="Y564" s="298" t="str">
        <f>IF('Donor Sample'!O581="","",'Donor Sample'!O581)</f>
        <v/>
      </c>
      <c r="Z564" s="298" t="str">
        <f>IF(AND('Donor Sample'!O581="",'Donor Sample'!P581="",'Donor Sample'!Q581=""),"",IF('Donor Sample'!P581="",ROUND(AA564/($C$32+($AI564-0.5)*$C$31),0),'Donor Sample'!P581))</f>
        <v/>
      </c>
      <c r="AA564" s="297" t="str">
        <f>IF('Donor Sample'!Q581="","",'Donor Sample'!Q581)</f>
        <v/>
      </c>
      <c r="AB564" s="296" t="str">
        <f t="shared" si="132"/>
        <v/>
      </c>
      <c r="AC564" s="295" t="str">
        <f>IF('Donor Sample'!R581="","",'Donor Sample'!R581)</f>
        <v/>
      </c>
      <c r="AD564" s="294" t="str">
        <f>IF('Donor Sample'!S581="","",'Donor Sample'!S581/100)</f>
        <v/>
      </c>
      <c r="AE564" s="407" t="e">
        <f t="shared" si="142"/>
        <v>#VALUE!</v>
      </c>
      <c r="AF564" s="293" t="str">
        <f t="shared" si="143"/>
        <v/>
      </c>
      <c r="AG564" s="292" t="str">
        <f>IF('Donor Sample'!T581="","",'Donor Sample'!T581)</f>
        <v/>
      </c>
      <c r="AH564" s="891">
        <f t="shared" si="144"/>
        <v>2</v>
      </c>
      <c r="AI564" s="1220">
        <v>5.4765462875366211E-2</v>
      </c>
      <c r="AJ564" s="1216"/>
    </row>
    <row r="565" spans="5:36">
      <c r="E565" s="299">
        <v>557</v>
      </c>
      <c r="F565" s="308">
        <f t="shared" ca="1" si="133"/>
        <v>3105.7961753687127</v>
      </c>
      <c r="G565" s="307">
        <f t="shared" ca="1" si="134"/>
        <v>234.78491651169404</v>
      </c>
      <c r="H565" s="306">
        <f t="shared" ca="1" si="135"/>
        <v>0.35553999528544183</v>
      </c>
      <c r="I565" s="305">
        <f t="shared" ca="1" si="137"/>
        <v>105.60198979883157</v>
      </c>
      <c r="J565" s="305">
        <f t="shared" ca="1" si="138"/>
        <v>54.252342482676099</v>
      </c>
      <c r="K565" s="292">
        <f t="shared" ca="1" si="136"/>
        <v>1.2427061827803276</v>
      </c>
      <c r="L565" s="1290">
        <f t="shared" ca="1" si="139"/>
        <v>25.25851251617695</v>
      </c>
      <c r="M565" s="299">
        <v>557</v>
      </c>
      <c r="N565" s="304">
        <f t="shared" si="140"/>
        <v>4373.347054825229</v>
      </c>
      <c r="O565" s="303">
        <v>248.85257825445112</v>
      </c>
      <c r="P565" s="302">
        <v>0.3976988333716644</v>
      </c>
      <c r="Q565" s="301">
        <v>160.91682321925643</v>
      </c>
      <c r="R565" s="301">
        <v>61.813859298580979</v>
      </c>
      <c r="S565" s="300">
        <v>3.0261321909575942</v>
      </c>
      <c r="T565" s="891">
        <f t="shared" si="141"/>
        <v>256</v>
      </c>
      <c r="U565" s="1220">
        <v>0.8656582236289978</v>
      </c>
      <c r="W565" s="299">
        <v>557</v>
      </c>
      <c r="X565" s="298">
        <f>IF('Donor Sample'!N582="",,IF('Donor Sample'!N582="F",1,0))</f>
        <v>0</v>
      </c>
      <c r="Y565" s="298" t="str">
        <f>IF('Donor Sample'!O582="","",'Donor Sample'!O582)</f>
        <v/>
      </c>
      <c r="Z565" s="298" t="str">
        <f>IF(AND('Donor Sample'!O582="",'Donor Sample'!P582="",'Donor Sample'!Q582=""),"",IF('Donor Sample'!P582="",ROUND(AA565/($C$32+($AI565-0.5)*$C$31),0),'Donor Sample'!P582))</f>
        <v/>
      </c>
      <c r="AA565" s="297" t="str">
        <f>IF('Donor Sample'!Q582="","",'Donor Sample'!Q582)</f>
        <v/>
      </c>
      <c r="AB565" s="296" t="str">
        <f t="shared" si="132"/>
        <v/>
      </c>
      <c r="AC565" s="295" t="str">
        <f>IF('Donor Sample'!R582="","",'Donor Sample'!R582)</f>
        <v/>
      </c>
      <c r="AD565" s="294" t="str">
        <f>IF('Donor Sample'!S582="","",'Donor Sample'!S582/100)</f>
        <v/>
      </c>
      <c r="AE565" s="293" t="e">
        <f t="shared" si="142"/>
        <v>#VALUE!</v>
      </c>
      <c r="AF565" s="293" t="str">
        <f t="shared" si="143"/>
        <v/>
      </c>
      <c r="AG565" s="292" t="str">
        <f>IF('Donor Sample'!T582="","",'Donor Sample'!T582)</f>
        <v/>
      </c>
      <c r="AH565" s="891">
        <f t="shared" si="144"/>
        <v>64</v>
      </c>
      <c r="AI565" s="1220">
        <v>0.62889760732650757</v>
      </c>
      <c r="AJ565" s="1216"/>
    </row>
    <row r="566" spans="5:36">
      <c r="E566" s="299">
        <v>558</v>
      </c>
      <c r="F566" s="308">
        <f t="shared" ca="1" si="133"/>
        <v>3373.3369875566054</v>
      </c>
      <c r="G566" s="307">
        <f t="shared" ca="1" si="134"/>
        <v>243.99408407751849</v>
      </c>
      <c r="H566" s="306">
        <f t="shared" ca="1" si="135"/>
        <v>0.38343717639747177</v>
      </c>
      <c r="I566" s="305">
        <f t="shared" ca="1" si="137"/>
        <v>110.88447474806047</v>
      </c>
      <c r="J566" s="305">
        <f t="shared" ca="1" si="138"/>
        <v>57.625266101010403</v>
      </c>
      <c r="K566" s="292">
        <f t="shared" ca="1" si="136"/>
        <v>1.374054267731976</v>
      </c>
      <c r="L566" s="1290">
        <f t="shared" ca="1" si="139"/>
        <v>23.508099215421129</v>
      </c>
      <c r="M566" s="299">
        <v>558</v>
      </c>
      <c r="N566" s="304">
        <f t="shared" si="140"/>
        <v>3575.3193072902932</v>
      </c>
      <c r="O566" s="303">
        <v>255.23585475015472</v>
      </c>
      <c r="P566" s="302">
        <v>0.37117084344892581</v>
      </c>
      <c r="Q566" s="301">
        <v>114.50070959178124</v>
      </c>
      <c r="R566" s="301">
        <v>60.015658219108175</v>
      </c>
      <c r="S566" s="300">
        <v>18.10065367289215</v>
      </c>
      <c r="T566" s="891">
        <f t="shared" si="141"/>
        <v>2</v>
      </c>
      <c r="U566" s="1220">
        <v>0.21349227428436279</v>
      </c>
      <c r="W566" s="299">
        <v>558</v>
      </c>
      <c r="X566" s="298">
        <f>IF('Donor Sample'!N583="",,IF('Donor Sample'!N583="F",1,0))</f>
        <v>0</v>
      </c>
      <c r="Y566" s="298" t="str">
        <f>IF('Donor Sample'!O583="","",'Donor Sample'!O583)</f>
        <v/>
      </c>
      <c r="Z566" s="298" t="str">
        <f>IF(AND('Donor Sample'!O583="",'Donor Sample'!P583="",'Donor Sample'!Q583=""),"",IF('Donor Sample'!P583="",ROUND(AA566/($C$32+($AI566-0.5)*$C$31),0),'Donor Sample'!P583))</f>
        <v/>
      </c>
      <c r="AA566" s="297" t="str">
        <f>IF('Donor Sample'!Q583="","",'Donor Sample'!Q583)</f>
        <v/>
      </c>
      <c r="AB566" s="296" t="str">
        <f t="shared" ref="AB566:AB629" si="145">IF(AND(Y566="",Z566="",AA566=""),"",IF(AA566="",IF(X566=0,604+IF($AB$2=1,0.006012,0.0003669)*Y566^3+IF($AB$2=1,14.6,32.187)*Z566,183+IF($AB$2=1,0.005835,0.0003561)*Y566^3+IF($AB$2=1,15,33.069)*Z566),AA566))</f>
        <v/>
      </c>
      <c r="AC566" s="295" t="str">
        <f>IF('Donor Sample'!R583="","",'Donor Sample'!R583)</f>
        <v/>
      </c>
      <c r="AD566" s="294" t="str">
        <f>IF('Donor Sample'!S583="","",'Donor Sample'!S583/100)</f>
        <v/>
      </c>
      <c r="AE566" s="293" t="e">
        <f t="shared" si="142"/>
        <v>#VALUE!</v>
      </c>
      <c r="AF566" s="293" t="str">
        <f t="shared" si="143"/>
        <v/>
      </c>
      <c r="AG566" s="292" t="str">
        <f>IF('Donor Sample'!T583="","",'Donor Sample'!T583)</f>
        <v/>
      </c>
      <c r="AH566" s="891">
        <f t="shared" si="144"/>
        <v>4</v>
      </c>
      <c r="AI566" s="1220">
        <v>0.4262155294418335</v>
      </c>
      <c r="AJ566" s="1216"/>
    </row>
    <row r="567" spans="5:36">
      <c r="E567" s="299">
        <v>559</v>
      </c>
      <c r="F567" s="308">
        <f t="shared" ca="1" si="133"/>
        <v>4260.2363833958443</v>
      </c>
      <c r="G567" s="307">
        <f t="shared" ca="1" si="134"/>
        <v>282.98751703782136</v>
      </c>
      <c r="H567" s="306">
        <f t="shared" ca="1" si="135"/>
        <v>0.43273396971840461</v>
      </c>
      <c r="I567" s="305">
        <f t="shared" ca="1" si="137"/>
        <v>145.75068644121822</v>
      </c>
      <c r="J567" s="305">
        <f t="shared" ca="1" si="138"/>
        <v>63.347231769438849</v>
      </c>
      <c r="K567" s="292">
        <f t="shared" ca="1" si="136"/>
        <v>1.4756971444390323</v>
      </c>
      <c r="L567" s="1290">
        <f t="shared" ca="1" si="139"/>
        <v>25.569838525320723</v>
      </c>
      <c r="M567" s="299">
        <v>559</v>
      </c>
      <c r="N567" s="304">
        <f t="shared" si="140"/>
        <v>4175.5488294438246</v>
      </c>
      <c r="O567" s="303">
        <v>292.28447488047692</v>
      </c>
      <c r="P567" s="302">
        <v>0.37500018719426259</v>
      </c>
      <c r="Q567" s="301">
        <v>158.02026796514312</v>
      </c>
      <c r="R567" s="301">
        <v>59.469537860296029</v>
      </c>
      <c r="S567" s="300">
        <v>4.7389235440039776</v>
      </c>
      <c r="T567" s="891">
        <f t="shared" si="141"/>
        <v>2</v>
      </c>
      <c r="U567" s="1220">
        <v>0.30811268091201782</v>
      </c>
      <c r="W567" s="299">
        <v>559</v>
      </c>
      <c r="X567" s="298">
        <f>IF('Donor Sample'!N584="",,IF('Donor Sample'!N584="F",1,0))</f>
        <v>0</v>
      </c>
      <c r="Y567" s="298" t="str">
        <f>IF('Donor Sample'!O584="","",'Donor Sample'!O584)</f>
        <v/>
      </c>
      <c r="Z567" s="298" t="str">
        <f>IF(AND('Donor Sample'!O584="",'Donor Sample'!P584="",'Donor Sample'!Q584=""),"",IF('Donor Sample'!P584="",ROUND(AA567/($C$32+($AI567-0.5)*$C$31),0),'Donor Sample'!P584))</f>
        <v/>
      </c>
      <c r="AA567" s="297" t="str">
        <f>IF('Donor Sample'!Q584="","",'Donor Sample'!Q584)</f>
        <v/>
      </c>
      <c r="AB567" s="296" t="str">
        <f t="shared" si="145"/>
        <v/>
      </c>
      <c r="AC567" s="295" t="str">
        <f>IF('Donor Sample'!R584="","",'Donor Sample'!R584)</f>
        <v/>
      </c>
      <c r="AD567" s="294" t="str">
        <f>IF('Donor Sample'!S584="","",'Donor Sample'!S584/100)</f>
        <v/>
      </c>
      <c r="AE567" s="407" t="e">
        <f t="shared" si="142"/>
        <v>#VALUE!</v>
      </c>
      <c r="AF567" s="293" t="str">
        <f t="shared" si="143"/>
        <v/>
      </c>
      <c r="AG567" s="292" t="str">
        <f>IF('Donor Sample'!T584="","",'Donor Sample'!T584)</f>
        <v/>
      </c>
      <c r="AH567" s="891">
        <f t="shared" si="144"/>
        <v>64</v>
      </c>
      <c r="AI567" s="1220">
        <v>0.66261869668960571</v>
      </c>
      <c r="AJ567" s="1216"/>
    </row>
    <row r="568" spans="5:36">
      <c r="E568" s="299">
        <v>560</v>
      </c>
      <c r="F568" s="308">
        <f t="shared" ca="1" si="133"/>
        <v>3584.3572432373112</v>
      </c>
      <c r="G568" s="307">
        <f t="shared" ca="1" si="134"/>
        <v>289.4372862894736</v>
      </c>
      <c r="H568" s="306">
        <f t="shared" ca="1" si="135"/>
        <v>0.35352023938583954</v>
      </c>
      <c r="I568" s="305">
        <f t="shared" ca="1" si="137"/>
        <v>130.08897029935386</v>
      </c>
      <c r="J568" s="305">
        <f t="shared" ca="1" si="138"/>
        <v>56.442994267867519</v>
      </c>
      <c r="K568" s="292">
        <f t="shared" ca="1" si="136"/>
        <v>1.2847130578461705</v>
      </c>
      <c r="L568" s="1290">
        <f t="shared" ca="1" si="139"/>
        <v>28.747034204872065</v>
      </c>
      <c r="M568" s="299">
        <v>560</v>
      </c>
      <c r="N568" s="304">
        <f t="shared" si="140"/>
        <v>2711.076792223917</v>
      </c>
      <c r="O568" s="303">
        <v>247.74878903752955</v>
      </c>
      <c r="P568" s="302">
        <v>0.50362621158267717</v>
      </c>
      <c r="Q568" s="301">
        <v>89.065068110682589</v>
      </c>
      <c r="R568" s="301">
        <v>51.195977227211152</v>
      </c>
      <c r="S568" s="300">
        <v>4.4355698578052074</v>
      </c>
      <c r="T568" s="891">
        <f t="shared" si="141"/>
        <v>2</v>
      </c>
      <c r="U568" s="1220">
        <v>4.7383785247802734E-2</v>
      </c>
      <c r="W568" s="299">
        <v>560</v>
      </c>
      <c r="X568" s="298">
        <f>IF('Donor Sample'!N585="",,IF('Donor Sample'!N585="F",1,0))</f>
        <v>0</v>
      </c>
      <c r="Y568" s="298" t="str">
        <f>IF('Donor Sample'!O585="","",'Donor Sample'!O585)</f>
        <v/>
      </c>
      <c r="Z568" s="298" t="str">
        <f>IF(AND('Donor Sample'!O585="",'Donor Sample'!P585="",'Donor Sample'!Q585=""),"",IF('Donor Sample'!P585="",ROUND(AA568/($C$32+($AI568-0.5)*$C$31),0),'Donor Sample'!P585))</f>
        <v/>
      </c>
      <c r="AA568" s="297" t="str">
        <f>IF('Donor Sample'!Q585="","",'Donor Sample'!Q585)</f>
        <v/>
      </c>
      <c r="AB568" s="296" t="str">
        <f t="shared" si="145"/>
        <v/>
      </c>
      <c r="AC568" s="295" t="str">
        <f>IF('Donor Sample'!R585="","",'Donor Sample'!R585)</f>
        <v/>
      </c>
      <c r="AD568" s="294" t="str">
        <f>IF('Donor Sample'!S585="","",'Donor Sample'!S585/100)</f>
        <v/>
      </c>
      <c r="AE568" s="293" t="e">
        <f t="shared" si="142"/>
        <v>#VALUE!</v>
      </c>
      <c r="AF568" s="293" t="str">
        <f t="shared" si="143"/>
        <v/>
      </c>
      <c r="AG568" s="292" t="str">
        <f>IF('Donor Sample'!T585="","",'Donor Sample'!T585)</f>
        <v/>
      </c>
      <c r="AH568" s="891">
        <f t="shared" si="144"/>
        <v>64</v>
      </c>
      <c r="AI568" s="1220">
        <v>0.50583839416503906</v>
      </c>
      <c r="AJ568" s="1216"/>
    </row>
    <row r="569" spans="5:36">
      <c r="E569" s="299">
        <v>561</v>
      </c>
      <c r="F569" s="308">
        <f t="shared" ca="1" si="133"/>
        <v>4755.7816055246858</v>
      </c>
      <c r="G569" s="307">
        <f t="shared" ca="1" si="134"/>
        <v>214.96126460433103</v>
      </c>
      <c r="H569" s="306">
        <f t="shared" ca="1" si="135"/>
        <v>0.37615022975065338</v>
      </c>
      <c r="I569" s="305">
        <f t="shared" ca="1" si="137"/>
        <v>168.49553704904875</v>
      </c>
      <c r="J569" s="305">
        <f t="shared" ca="1" si="138"/>
        <v>65.529792720096793</v>
      </c>
      <c r="K569" s="292">
        <f t="shared" ca="1" si="136"/>
        <v>3.8574124113482986</v>
      </c>
      <c r="L569" s="1290">
        <f t="shared" ca="1" si="139"/>
        <v>27.623803299125086</v>
      </c>
      <c r="M569" s="299">
        <v>561</v>
      </c>
      <c r="N569" s="304">
        <f t="shared" si="140"/>
        <v>2635.7063971332509</v>
      </c>
      <c r="O569" s="303">
        <v>240.2323302722956</v>
      </c>
      <c r="P569" s="302">
        <v>0.43947109344864266</v>
      </c>
      <c r="Q569" s="301">
        <v>96.548992102291436</v>
      </c>
      <c r="R569" s="301">
        <v>46.947413989512434</v>
      </c>
      <c r="S569" s="300">
        <v>6.5750477580609106</v>
      </c>
      <c r="T569" s="891">
        <f t="shared" si="141"/>
        <v>64</v>
      </c>
      <c r="U569" s="1220">
        <v>0.447673499584198</v>
      </c>
      <c r="W569" s="299">
        <v>561</v>
      </c>
      <c r="X569" s="298">
        <f>IF('Donor Sample'!N586="",,IF('Donor Sample'!N586="F",1,0))</f>
        <v>0</v>
      </c>
      <c r="Y569" s="298" t="str">
        <f>IF('Donor Sample'!O586="","",'Donor Sample'!O586)</f>
        <v/>
      </c>
      <c r="Z569" s="298" t="str">
        <f>IF(AND('Donor Sample'!O586="",'Donor Sample'!P586="",'Donor Sample'!Q586=""),"",IF('Donor Sample'!P586="",ROUND(AA569/($C$32+($AI569-0.5)*$C$31),0),'Donor Sample'!P586))</f>
        <v/>
      </c>
      <c r="AA569" s="297" t="str">
        <f>IF('Donor Sample'!Q586="","",'Donor Sample'!Q586)</f>
        <v/>
      </c>
      <c r="AB569" s="296" t="str">
        <f t="shared" si="145"/>
        <v/>
      </c>
      <c r="AC569" s="295" t="str">
        <f>IF('Donor Sample'!R586="","",'Donor Sample'!R586)</f>
        <v/>
      </c>
      <c r="AD569" s="294" t="str">
        <f>IF('Donor Sample'!S586="","",'Donor Sample'!S586/100)</f>
        <v/>
      </c>
      <c r="AE569" s="293" t="e">
        <f t="shared" si="142"/>
        <v>#VALUE!</v>
      </c>
      <c r="AF569" s="293" t="str">
        <f t="shared" si="143"/>
        <v/>
      </c>
      <c r="AG569" s="292" t="str">
        <f>IF('Donor Sample'!T586="","",'Donor Sample'!T586)</f>
        <v/>
      </c>
      <c r="AH569" s="891">
        <f t="shared" si="144"/>
        <v>2</v>
      </c>
      <c r="AI569" s="1220">
        <v>6.3917040824890137E-3</v>
      </c>
      <c r="AJ569" s="1216"/>
    </row>
    <row r="570" spans="5:36">
      <c r="E570" s="299">
        <v>562</v>
      </c>
      <c r="F570" s="308">
        <f t="shared" ca="1" si="133"/>
        <v>4527.4053680888628</v>
      </c>
      <c r="G570" s="307">
        <f t="shared" ca="1" si="134"/>
        <v>178.35956956564112</v>
      </c>
      <c r="H570" s="306">
        <f t="shared" ca="1" si="135"/>
        <v>0.41148664182652156</v>
      </c>
      <c r="I570" s="305">
        <f t="shared" ca="1" si="137"/>
        <v>171.15512388663007</v>
      </c>
      <c r="J570" s="305">
        <f t="shared" ca="1" si="138"/>
        <v>61.880234240942535</v>
      </c>
      <c r="K570" s="292">
        <f t="shared" ca="1" si="136"/>
        <v>1.7135056575697323</v>
      </c>
      <c r="L570" s="1290">
        <f t="shared" ca="1" si="139"/>
        <v>31.467241000961785</v>
      </c>
      <c r="M570" s="299">
        <v>562</v>
      </c>
      <c r="N570" s="304">
        <f t="shared" si="140"/>
        <v>2666.803168492539</v>
      </c>
      <c r="O570" s="303">
        <v>256.86182735917305</v>
      </c>
      <c r="P570" s="302">
        <v>0.42295107232997714</v>
      </c>
      <c r="Q570" s="301">
        <v>95.180871753247814</v>
      </c>
      <c r="R570" s="301">
        <v>48.19851245503758</v>
      </c>
      <c r="S570" s="300">
        <v>1.4245768138142627</v>
      </c>
      <c r="T570" s="891">
        <f t="shared" si="141"/>
        <v>2</v>
      </c>
      <c r="U570" s="1220">
        <v>0.32999527454376221</v>
      </c>
      <c r="W570" s="299">
        <v>562</v>
      </c>
      <c r="X570" s="298">
        <f>IF('Donor Sample'!N587="",,IF('Donor Sample'!N587="F",1,0))</f>
        <v>0</v>
      </c>
      <c r="Y570" s="298" t="str">
        <f>IF('Donor Sample'!O587="","",'Donor Sample'!O587)</f>
        <v/>
      </c>
      <c r="Z570" s="298" t="str">
        <f>IF(AND('Donor Sample'!O587="",'Donor Sample'!P587="",'Donor Sample'!Q587=""),"",IF('Donor Sample'!P587="",ROUND(AA570/($C$32+($AI570-0.5)*$C$31),0),'Donor Sample'!P587))</f>
        <v/>
      </c>
      <c r="AA570" s="297" t="str">
        <f>IF('Donor Sample'!Q587="","",'Donor Sample'!Q587)</f>
        <v/>
      </c>
      <c r="AB570" s="296" t="str">
        <f t="shared" si="145"/>
        <v/>
      </c>
      <c r="AC570" s="295" t="str">
        <f>IF('Donor Sample'!R587="","",'Donor Sample'!R587)</f>
        <v/>
      </c>
      <c r="AD570" s="294" t="str">
        <f>IF('Donor Sample'!S587="","",'Donor Sample'!S587/100)</f>
        <v/>
      </c>
      <c r="AE570" s="407" t="e">
        <f t="shared" si="142"/>
        <v>#VALUE!</v>
      </c>
      <c r="AF570" s="293" t="str">
        <f t="shared" si="143"/>
        <v/>
      </c>
      <c r="AG570" s="292" t="str">
        <f>IF('Donor Sample'!T587="","",'Donor Sample'!T587)</f>
        <v/>
      </c>
      <c r="AH570" s="891">
        <f t="shared" si="144"/>
        <v>2</v>
      </c>
      <c r="AI570" s="1220">
        <v>0.35159456729888916</v>
      </c>
      <c r="AJ570" s="1216"/>
    </row>
    <row r="571" spans="5:36">
      <c r="E571" s="299">
        <v>563</v>
      </c>
      <c r="F571" s="308">
        <f t="shared" ca="1" si="133"/>
        <v>3282.9677899066805</v>
      </c>
      <c r="G571" s="307">
        <f t="shared" ca="1" si="134"/>
        <v>237.1814469709995</v>
      </c>
      <c r="H571" s="306">
        <f t="shared" ca="1" si="135"/>
        <v>0.41598755232336448</v>
      </c>
      <c r="I571" s="305">
        <f t="shared" ca="1" si="137"/>
        <v>121.24974254593181</v>
      </c>
      <c r="J571" s="305">
        <f t="shared" ca="1" si="138"/>
        <v>60.329232869490177</v>
      </c>
      <c r="K571" s="292">
        <f t="shared" ca="1" si="136"/>
        <v>1.7614233145753713</v>
      </c>
      <c r="L571" s="1290">
        <f t="shared" ca="1" si="139"/>
        <v>23.452971635101949</v>
      </c>
      <c r="M571" s="299">
        <v>563</v>
      </c>
      <c r="N571" s="304">
        <f t="shared" si="140"/>
        <v>2573.2646091164561</v>
      </c>
      <c r="O571" s="303">
        <v>226.59792745785606</v>
      </c>
      <c r="P571" s="302">
        <v>0.45120557438437714</v>
      </c>
      <c r="Q571" s="301">
        <v>79.640415439636655</v>
      </c>
      <c r="R571" s="301">
        <v>58.955195462533901</v>
      </c>
      <c r="S571" s="300">
        <v>2.9136584361106697</v>
      </c>
      <c r="T571" s="891">
        <f t="shared" si="141"/>
        <v>64</v>
      </c>
      <c r="U571" s="1220">
        <v>0.62095719575881958</v>
      </c>
      <c r="W571" s="299">
        <v>563</v>
      </c>
      <c r="X571" s="298">
        <f>IF('Donor Sample'!N588="",,IF('Donor Sample'!N588="F",1,0))</f>
        <v>0</v>
      </c>
      <c r="Y571" s="298" t="str">
        <f>IF('Donor Sample'!O588="","",'Donor Sample'!O588)</f>
        <v/>
      </c>
      <c r="Z571" s="298" t="str">
        <f>IF(AND('Donor Sample'!O588="",'Donor Sample'!P588="",'Donor Sample'!Q588=""),"",IF('Donor Sample'!P588="",ROUND(AA571/($C$32+($AI571-0.5)*$C$31),0),'Donor Sample'!P588))</f>
        <v/>
      </c>
      <c r="AA571" s="297" t="str">
        <f>IF('Donor Sample'!Q588="","",'Donor Sample'!Q588)</f>
        <v/>
      </c>
      <c r="AB571" s="296" t="str">
        <f t="shared" si="145"/>
        <v/>
      </c>
      <c r="AC571" s="295" t="str">
        <f>IF('Donor Sample'!R588="","",'Donor Sample'!R588)</f>
        <v/>
      </c>
      <c r="AD571" s="294" t="str">
        <f>IF('Donor Sample'!S588="","",'Donor Sample'!S588/100)</f>
        <v/>
      </c>
      <c r="AE571" s="293" t="e">
        <f t="shared" si="142"/>
        <v>#VALUE!</v>
      </c>
      <c r="AF571" s="293" t="str">
        <f t="shared" si="143"/>
        <v/>
      </c>
      <c r="AG571" s="292" t="str">
        <f>IF('Donor Sample'!T588="","",'Donor Sample'!T588)</f>
        <v/>
      </c>
      <c r="AH571" s="891">
        <f t="shared" si="144"/>
        <v>16</v>
      </c>
      <c r="AI571" s="1220">
        <v>0.96289759874343872</v>
      </c>
      <c r="AJ571" s="1216"/>
    </row>
    <row r="572" spans="5:36">
      <c r="E572" s="299">
        <v>564</v>
      </c>
      <c r="F572" s="308">
        <f t="shared" ca="1" si="133"/>
        <v>4408.3752664691201</v>
      </c>
      <c r="G572" s="307">
        <f t="shared" ca="1" si="134"/>
        <v>270.6146957048939</v>
      </c>
      <c r="H572" s="306">
        <f t="shared" ca="1" si="135"/>
        <v>0.38950467284137175</v>
      </c>
      <c r="I572" s="305">
        <f t="shared" ca="1" si="137"/>
        <v>144.51387361288869</v>
      </c>
      <c r="J572" s="305">
        <f t="shared" ca="1" si="138"/>
        <v>65.564970343395672</v>
      </c>
      <c r="K572" s="292">
        <f t="shared" ca="1" si="136"/>
        <v>10.400153550076954</v>
      </c>
      <c r="L572" s="1290">
        <f t="shared" ca="1" si="139"/>
        <v>23.666741277637534</v>
      </c>
      <c r="M572" s="299">
        <v>564</v>
      </c>
      <c r="N572" s="304">
        <f t="shared" si="140"/>
        <v>3710.3846984121869</v>
      </c>
      <c r="O572" s="303">
        <v>252.44536141286702</v>
      </c>
      <c r="P572" s="302">
        <v>0.4423782273901582</v>
      </c>
      <c r="Q572" s="301">
        <v>133.9720931492179</v>
      </c>
      <c r="R572" s="301">
        <v>57.624739849003369</v>
      </c>
      <c r="S572" s="300">
        <v>2.7735842877279824</v>
      </c>
      <c r="T572" s="891">
        <f t="shared" si="141"/>
        <v>4</v>
      </c>
      <c r="U572" s="1220">
        <v>0.37178969383239746</v>
      </c>
      <c r="W572" s="299">
        <v>564</v>
      </c>
      <c r="X572" s="298">
        <f>IF('Donor Sample'!N589="",,IF('Donor Sample'!N589="F",1,0))</f>
        <v>0</v>
      </c>
      <c r="Y572" s="298" t="str">
        <f>IF('Donor Sample'!O589="","",'Donor Sample'!O589)</f>
        <v/>
      </c>
      <c r="Z572" s="298" t="str">
        <f>IF(AND('Donor Sample'!O589="",'Donor Sample'!P589="",'Donor Sample'!Q589=""),"",IF('Donor Sample'!P589="",ROUND(AA572/($C$32+($AI572-0.5)*$C$31),0),'Donor Sample'!P589))</f>
        <v/>
      </c>
      <c r="AA572" s="297" t="str">
        <f>IF('Donor Sample'!Q589="","",'Donor Sample'!Q589)</f>
        <v/>
      </c>
      <c r="AB572" s="296" t="str">
        <f t="shared" si="145"/>
        <v/>
      </c>
      <c r="AC572" s="295" t="str">
        <f>IF('Donor Sample'!R589="","",'Donor Sample'!R589)</f>
        <v/>
      </c>
      <c r="AD572" s="294" t="str">
        <f>IF('Donor Sample'!S589="","",'Donor Sample'!S589/100)</f>
        <v/>
      </c>
      <c r="AE572" s="293" t="e">
        <f t="shared" si="142"/>
        <v>#VALUE!</v>
      </c>
      <c r="AF572" s="293" t="str">
        <f t="shared" si="143"/>
        <v/>
      </c>
      <c r="AG572" s="292" t="str">
        <f>IF('Donor Sample'!T589="","",'Donor Sample'!T589)</f>
        <v/>
      </c>
      <c r="AH572" s="891">
        <f t="shared" si="144"/>
        <v>64</v>
      </c>
      <c r="AI572" s="1220">
        <v>0.62575364112854004</v>
      </c>
      <c r="AJ572" s="1216"/>
    </row>
    <row r="573" spans="5:36">
      <c r="E573" s="299">
        <v>565</v>
      </c>
      <c r="F573" s="308">
        <f t="shared" ca="1" si="133"/>
        <v>3636.8199103962888</v>
      </c>
      <c r="G573" s="307">
        <f t="shared" ca="1" si="134"/>
        <v>214.22614838298358</v>
      </c>
      <c r="H573" s="306">
        <f t="shared" ca="1" si="135"/>
        <v>0.40185588820687829</v>
      </c>
      <c r="I573" s="305">
        <f t="shared" ca="1" si="137"/>
        <v>130.75115807320444</v>
      </c>
      <c r="J573" s="305">
        <f t="shared" ca="1" si="138"/>
        <v>63.478928744385868</v>
      </c>
      <c r="K573" s="292">
        <f t="shared" ca="1" si="136"/>
        <v>1.4944899662025894</v>
      </c>
      <c r="L573" s="1290">
        <f t="shared" ca="1" si="139"/>
        <v>22.843309558542646</v>
      </c>
      <c r="M573" s="299">
        <v>565</v>
      </c>
      <c r="N573" s="304">
        <f t="shared" si="140"/>
        <v>3874.5512826776312</v>
      </c>
      <c r="O573" s="303">
        <v>252.85177794362863</v>
      </c>
      <c r="P573" s="302">
        <v>0.39702105695205264</v>
      </c>
      <c r="Q573" s="301">
        <v>159.77569548539876</v>
      </c>
      <c r="R573" s="301">
        <v>60.543412415037025</v>
      </c>
      <c r="S573" s="300">
        <v>4.6303573221093242</v>
      </c>
      <c r="T573" s="891">
        <f t="shared" si="141"/>
        <v>128</v>
      </c>
      <c r="U573" s="1220">
        <v>0.93563741445541382</v>
      </c>
      <c r="W573" s="299">
        <v>565</v>
      </c>
      <c r="X573" s="298">
        <f>IF('Donor Sample'!N590="",,IF('Donor Sample'!N590="F",1,0))</f>
        <v>0</v>
      </c>
      <c r="Y573" s="298" t="str">
        <f>IF('Donor Sample'!O590="","",'Donor Sample'!O590)</f>
        <v/>
      </c>
      <c r="Z573" s="298" t="str">
        <f>IF(AND('Donor Sample'!O590="",'Donor Sample'!P590="",'Donor Sample'!Q590=""),"",IF('Donor Sample'!P590="",ROUND(AA573/($C$32+($AI573-0.5)*$C$31),0),'Donor Sample'!P590))</f>
        <v/>
      </c>
      <c r="AA573" s="297" t="str">
        <f>IF('Donor Sample'!Q590="","",'Donor Sample'!Q590)</f>
        <v/>
      </c>
      <c r="AB573" s="296" t="str">
        <f t="shared" si="145"/>
        <v/>
      </c>
      <c r="AC573" s="295" t="str">
        <f>IF('Donor Sample'!R590="","",'Donor Sample'!R590)</f>
        <v/>
      </c>
      <c r="AD573" s="294" t="str">
        <f>IF('Donor Sample'!S590="","",'Donor Sample'!S590/100)</f>
        <v/>
      </c>
      <c r="AE573" s="407" t="e">
        <f t="shared" si="142"/>
        <v>#VALUE!</v>
      </c>
      <c r="AF573" s="293" t="str">
        <f t="shared" si="143"/>
        <v/>
      </c>
      <c r="AG573" s="292" t="str">
        <f>IF('Donor Sample'!T590="","",'Donor Sample'!T590)</f>
        <v/>
      </c>
      <c r="AH573" s="891">
        <f t="shared" si="144"/>
        <v>32</v>
      </c>
      <c r="AI573" s="1220">
        <v>0.83439010381698608</v>
      </c>
      <c r="AJ573" s="1216"/>
    </row>
    <row r="574" spans="5:36">
      <c r="E574" s="299">
        <v>566</v>
      </c>
      <c r="F574" s="308">
        <f t="shared" ca="1" si="133"/>
        <v>3291.9417219787797</v>
      </c>
      <c r="G574" s="307">
        <f t="shared" ca="1" si="134"/>
        <v>194.15360547337355</v>
      </c>
      <c r="H574" s="306">
        <f t="shared" ca="1" si="135"/>
        <v>0.40303127813458778</v>
      </c>
      <c r="I574" s="305">
        <f t="shared" ca="1" si="137"/>
        <v>117.73024762450372</v>
      </c>
      <c r="J574" s="305">
        <f t="shared" ca="1" si="138"/>
        <v>54.422718980239424</v>
      </c>
      <c r="K574" s="292">
        <f t="shared" ca="1" si="136"/>
        <v>2.0658160437828355</v>
      </c>
      <c r="L574" s="1290">
        <f t="shared" ca="1" si="139"/>
        <v>27.983384871140764</v>
      </c>
      <c r="M574" s="299">
        <v>566</v>
      </c>
      <c r="N574" s="304">
        <f t="shared" si="140"/>
        <v>3473.3267013917252</v>
      </c>
      <c r="O574" s="303">
        <v>206.64342058173864</v>
      </c>
      <c r="P574" s="302">
        <v>0.38688754288802485</v>
      </c>
      <c r="Q574" s="301">
        <v>139.07251241481919</v>
      </c>
      <c r="R574" s="301">
        <v>51.867050927484641</v>
      </c>
      <c r="S574" s="300">
        <v>3.3018998357697464</v>
      </c>
      <c r="T574" s="891">
        <f t="shared" si="141"/>
        <v>64</v>
      </c>
      <c r="U574" s="1220">
        <v>0.73255860805511475</v>
      </c>
      <c r="W574" s="299">
        <v>566</v>
      </c>
      <c r="X574" s="298">
        <f>IF('Donor Sample'!N591="",,IF('Donor Sample'!N591="F",1,0))</f>
        <v>0</v>
      </c>
      <c r="Y574" s="298" t="str">
        <f>IF('Donor Sample'!O591="","",'Donor Sample'!O591)</f>
        <v/>
      </c>
      <c r="Z574" s="298" t="str">
        <f>IF(AND('Donor Sample'!O591="",'Donor Sample'!P591="",'Donor Sample'!Q591=""),"",IF('Donor Sample'!P591="",ROUND(AA574/($C$32+($AI574-0.5)*$C$31),0),'Donor Sample'!P591))</f>
        <v/>
      </c>
      <c r="AA574" s="297" t="str">
        <f>IF('Donor Sample'!Q591="","",'Donor Sample'!Q591)</f>
        <v/>
      </c>
      <c r="AB574" s="296" t="str">
        <f t="shared" si="145"/>
        <v/>
      </c>
      <c r="AC574" s="295" t="str">
        <f>IF('Donor Sample'!R591="","",'Donor Sample'!R591)</f>
        <v/>
      </c>
      <c r="AD574" s="294" t="str">
        <f>IF('Donor Sample'!S591="","",'Donor Sample'!S591/100)</f>
        <v/>
      </c>
      <c r="AE574" s="293" t="e">
        <f t="shared" si="142"/>
        <v>#VALUE!</v>
      </c>
      <c r="AF574" s="293" t="str">
        <f t="shared" si="143"/>
        <v/>
      </c>
      <c r="AG574" s="292" t="str">
        <f>IF('Donor Sample'!T591="","",'Donor Sample'!T591)</f>
        <v/>
      </c>
      <c r="AH574" s="891">
        <f t="shared" si="144"/>
        <v>64</v>
      </c>
      <c r="AI574" s="1220">
        <v>0.55436694622039795</v>
      </c>
      <c r="AJ574" s="1216"/>
    </row>
    <row r="575" spans="5:36">
      <c r="E575" s="299">
        <v>567</v>
      </c>
      <c r="F575" s="308">
        <f t="shared" ca="1" si="133"/>
        <v>3380.9527784573302</v>
      </c>
      <c r="G575" s="307">
        <f t="shared" ca="1" si="134"/>
        <v>283.78360935755984</v>
      </c>
      <c r="H575" s="306">
        <f t="shared" ca="1" si="135"/>
        <v>0.36013006209936094</v>
      </c>
      <c r="I575" s="305">
        <f t="shared" ca="1" si="137"/>
        <v>110.39853171602567</v>
      </c>
      <c r="J575" s="305">
        <f t="shared" ca="1" si="138"/>
        <v>57.869846182767482</v>
      </c>
      <c r="K575" s="292">
        <f t="shared" ca="1" si="136"/>
        <v>5.2218740569309912</v>
      </c>
      <c r="L575" s="1290">
        <f t="shared" ca="1" si="139"/>
        <v>23.207657178898433</v>
      </c>
      <c r="M575" s="299">
        <v>567</v>
      </c>
      <c r="N575" s="304">
        <f t="shared" si="140"/>
        <v>2669.1310757288702</v>
      </c>
      <c r="O575" s="303">
        <v>190.19922030713263</v>
      </c>
      <c r="P575" s="302">
        <v>0.3870952214860352</v>
      </c>
      <c r="Q575" s="301">
        <v>98.146422652094614</v>
      </c>
      <c r="R575" s="301">
        <v>47.2001784014262</v>
      </c>
      <c r="S575" s="300">
        <v>3.7222166595161861</v>
      </c>
      <c r="T575" s="891">
        <f t="shared" si="141"/>
        <v>2</v>
      </c>
      <c r="U575" s="1220">
        <v>6.3901960849761963E-2</v>
      </c>
      <c r="W575" s="299">
        <v>567</v>
      </c>
      <c r="X575" s="298">
        <f>IF('Donor Sample'!N592="",,IF('Donor Sample'!N592="F",1,0))</f>
        <v>0</v>
      </c>
      <c r="Y575" s="298" t="str">
        <f>IF('Donor Sample'!O592="","",'Donor Sample'!O592)</f>
        <v/>
      </c>
      <c r="Z575" s="298" t="str">
        <f>IF(AND('Donor Sample'!O592="",'Donor Sample'!P592="",'Donor Sample'!Q592=""),"",IF('Donor Sample'!P592="",ROUND(AA575/($C$32+($AI575-0.5)*$C$31),0),'Donor Sample'!P592))</f>
        <v/>
      </c>
      <c r="AA575" s="297" t="str">
        <f>IF('Donor Sample'!Q592="","",'Donor Sample'!Q592)</f>
        <v/>
      </c>
      <c r="AB575" s="296" t="str">
        <f t="shared" si="145"/>
        <v/>
      </c>
      <c r="AC575" s="295" t="str">
        <f>IF('Donor Sample'!R592="","",'Donor Sample'!R592)</f>
        <v/>
      </c>
      <c r="AD575" s="294" t="str">
        <f>IF('Donor Sample'!S592="","",'Donor Sample'!S592/100)</f>
        <v/>
      </c>
      <c r="AE575" s="293" t="e">
        <f t="shared" si="142"/>
        <v>#VALUE!</v>
      </c>
      <c r="AF575" s="293" t="str">
        <f t="shared" si="143"/>
        <v/>
      </c>
      <c r="AG575" s="292" t="str">
        <f>IF('Donor Sample'!T592="","",'Donor Sample'!T592)</f>
        <v/>
      </c>
      <c r="AH575" s="891">
        <f t="shared" si="144"/>
        <v>64</v>
      </c>
      <c r="AI575" s="1220">
        <v>0.54427772760391235</v>
      </c>
      <c r="AJ575" s="1216"/>
    </row>
    <row r="576" spans="5:36">
      <c r="E576" s="299">
        <v>568</v>
      </c>
      <c r="F576" s="308">
        <f t="shared" ca="1" si="133"/>
        <v>3952.373009487319</v>
      </c>
      <c r="G576" s="307">
        <f t="shared" ca="1" si="134"/>
        <v>212.88646081802315</v>
      </c>
      <c r="H576" s="306">
        <f t="shared" ca="1" si="135"/>
        <v>0.3642102306862679</v>
      </c>
      <c r="I576" s="305">
        <f t="shared" ca="1" si="137"/>
        <v>147.63067855391859</v>
      </c>
      <c r="J576" s="305">
        <f t="shared" ca="1" si="138"/>
        <v>58.326993256656628</v>
      </c>
      <c r="K576" s="292">
        <f t="shared" ca="1" si="136"/>
        <v>1.3478904820470183</v>
      </c>
      <c r="L576" s="1290">
        <f t="shared" ca="1" si="139"/>
        <v>30.549921356789284</v>
      </c>
      <c r="M576" s="299">
        <v>568</v>
      </c>
      <c r="N576" s="304">
        <f t="shared" si="140"/>
        <v>2607.6068769953908</v>
      </c>
      <c r="O576" s="303">
        <v>238.04095139788987</v>
      </c>
      <c r="P576" s="302">
        <v>0.46036101766552834</v>
      </c>
      <c r="Q576" s="301">
        <v>84.175890444032376</v>
      </c>
      <c r="R576" s="301">
        <v>50.507992311493702</v>
      </c>
      <c r="S576" s="300">
        <v>1.3606667459367798</v>
      </c>
      <c r="T576" s="891">
        <f t="shared" si="141"/>
        <v>2</v>
      </c>
      <c r="U576" s="1220">
        <v>0.34105110168457031</v>
      </c>
      <c r="W576" s="299">
        <v>568</v>
      </c>
      <c r="X576" s="298">
        <f>IF('Donor Sample'!N593="",,IF('Donor Sample'!N593="F",1,0))</f>
        <v>0</v>
      </c>
      <c r="Y576" s="298" t="str">
        <f>IF('Donor Sample'!O593="","",'Donor Sample'!O593)</f>
        <v/>
      </c>
      <c r="Z576" s="298" t="str">
        <f>IF(AND('Donor Sample'!O593="",'Donor Sample'!P593="",'Donor Sample'!Q593=""),"",IF('Donor Sample'!P593="",ROUND(AA576/($C$32+($AI576-0.5)*$C$31),0),'Donor Sample'!P593))</f>
        <v/>
      </c>
      <c r="AA576" s="297" t="str">
        <f>IF('Donor Sample'!Q593="","",'Donor Sample'!Q593)</f>
        <v/>
      </c>
      <c r="AB576" s="296" t="str">
        <f t="shared" si="145"/>
        <v/>
      </c>
      <c r="AC576" s="295" t="str">
        <f>IF('Donor Sample'!R593="","",'Donor Sample'!R593)</f>
        <v/>
      </c>
      <c r="AD576" s="294" t="str">
        <f>IF('Donor Sample'!S593="","",'Donor Sample'!S593/100)</f>
        <v/>
      </c>
      <c r="AE576" s="407" t="e">
        <f t="shared" si="142"/>
        <v>#VALUE!</v>
      </c>
      <c r="AF576" s="293" t="str">
        <f t="shared" si="143"/>
        <v/>
      </c>
      <c r="AG576" s="292" t="str">
        <f>IF('Donor Sample'!T593="","",'Donor Sample'!T593)</f>
        <v/>
      </c>
      <c r="AH576" s="891">
        <f t="shared" si="144"/>
        <v>64</v>
      </c>
      <c r="AI576" s="1220">
        <v>0.56252145767211914</v>
      </c>
      <c r="AJ576" s="1216"/>
    </row>
    <row r="577" spans="5:36">
      <c r="E577" s="299">
        <v>569</v>
      </c>
      <c r="F577" s="308">
        <f t="shared" ca="1" si="133"/>
        <v>3796.7057063754346</v>
      </c>
      <c r="G577" s="307">
        <f t="shared" ca="1" si="134"/>
        <v>284.04750717468545</v>
      </c>
      <c r="H577" s="306">
        <f t="shared" ca="1" si="135"/>
        <v>0.43710402044603319</v>
      </c>
      <c r="I577" s="305">
        <f t="shared" ca="1" si="137"/>
        <v>132.18407456910037</v>
      </c>
      <c r="J577" s="305">
        <f t="shared" ca="1" si="138"/>
        <v>59.44389917095608</v>
      </c>
      <c r="K577" s="292">
        <f t="shared" ca="1" si="136"/>
        <v>2.4821467944680173</v>
      </c>
      <c r="L577" s="1290">
        <f t="shared" ca="1" si="139"/>
        <v>26.335236102679602</v>
      </c>
      <c r="M577" s="299">
        <v>569</v>
      </c>
      <c r="N577" s="304">
        <f t="shared" si="140"/>
        <v>2742.9242165654696</v>
      </c>
      <c r="O577" s="303">
        <v>257.84449180121675</v>
      </c>
      <c r="P577" s="302">
        <v>0.36189103249440974</v>
      </c>
      <c r="Q577" s="301">
        <v>105.83633250120107</v>
      </c>
      <c r="R577" s="301">
        <v>46.222423743265196</v>
      </c>
      <c r="S577" s="300">
        <v>1.7263993062447254</v>
      </c>
      <c r="T577" s="891">
        <f t="shared" si="141"/>
        <v>4</v>
      </c>
      <c r="U577" s="1220">
        <v>0.38356608152389526</v>
      </c>
      <c r="W577" s="299">
        <v>569</v>
      </c>
      <c r="X577" s="298">
        <f>IF('Donor Sample'!N594="",,IF('Donor Sample'!N594="F",1,0))</f>
        <v>0</v>
      </c>
      <c r="Y577" s="298" t="str">
        <f>IF('Donor Sample'!O594="","",'Donor Sample'!O594)</f>
        <v/>
      </c>
      <c r="Z577" s="298" t="str">
        <f>IF(AND('Donor Sample'!O594="",'Donor Sample'!P594="",'Donor Sample'!Q594=""),"",IF('Donor Sample'!P594="",ROUND(AA577/($C$32+($AI577-0.5)*$C$31),0),'Donor Sample'!P594))</f>
        <v/>
      </c>
      <c r="AA577" s="297" t="str">
        <f>IF('Donor Sample'!Q594="","",'Donor Sample'!Q594)</f>
        <v/>
      </c>
      <c r="AB577" s="296" t="str">
        <f t="shared" si="145"/>
        <v/>
      </c>
      <c r="AC577" s="295" t="str">
        <f>IF('Donor Sample'!R594="","",'Donor Sample'!R594)</f>
        <v/>
      </c>
      <c r="AD577" s="294" t="str">
        <f>IF('Donor Sample'!S594="","",'Donor Sample'!S594/100)</f>
        <v/>
      </c>
      <c r="AE577" s="293" t="e">
        <f t="shared" si="142"/>
        <v>#VALUE!</v>
      </c>
      <c r="AF577" s="293" t="str">
        <f t="shared" si="143"/>
        <v/>
      </c>
      <c r="AG577" s="292" t="str">
        <f>IF('Donor Sample'!T594="","",'Donor Sample'!T594)</f>
        <v/>
      </c>
      <c r="AH577" s="891">
        <f t="shared" si="144"/>
        <v>2</v>
      </c>
      <c r="AI577" s="1220">
        <v>0.23136204481124878</v>
      </c>
      <c r="AJ577" s="1216"/>
    </row>
    <row r="578" spans="5:36">
      <c r="E578" s="299">
        <v>570</v>
      </c>
      <c r="F578" s="308">
        <f t="shared" ca="1" si="133"/>
        <v>3665.4621680667369</v>
      </c>
      <c r="G578" s="307">
        <f t="shared" ca="1" si="134"/>
        <v>265.59375798848777</v>
      </c>
      <c r="H578" s="306">
        <f t="shared" ca="1" si="135"/>
        <v>0.47605431547166283</v>
      </c>
      <c r="I578" s="305">
        <f t="shared" ca="1" si="137"/>
        <v>116.67834346654128</v>
      </c>
      <c r="J578" s="305">
        <f t="shared" ca="1" si="138"/>
        <v>66.710315808960985</v>
      </c>
      <c r="K578" s="292">
        <f t="shared" ca="1" si="136"/>
        <v>1.5842684645082463</v>
      </c>
      <c r="L578" s="1290">
        <f t="shared" ca="1" si="139"/>
        <v>18.457671846306933</v>
      </c>
      <c r="M578" s="299">
        <v>570</v>
      </c>
      <c r="N578" s="304">
        <f t="shared" si="140"/>
        <v>3609.8447562981528</v>
      </c>
      <c r="O578" s="303">
        <v>213.99526239250514</v>
      </c>
      <c r="P578" s="302">
        <v>0.3610260174789896</v>
      </c>
      <c r="Q578" s="301">
        <v>117.1569546500849</v>
      </c>
      <c r="R578" s="301">
        <v>65.894276169138351</v>
      </c>
      <c r="S578" s="300">
        <v>3.6005598695184475</v>
      </c>
      <c r="T578" s="891">
        <f t="shared" si="141"/>
        <v>64</v>
      </c>
      <c r="U578" s="1220">
        <v>0.57163393497467041</v>
      </c>
      <c r="W578" s="299">
        <v>570</v>
      </c>
      <c r="X578" s="298">
        <f>IF('Donor Sample'!N595="",,IF('Donor Sample'!N595="F",1,0))</f>
        <v>0</v>
      </c>
      <c r="Y578" s="298" t="str">
        <f>IF('Donor Sample'!O595="","",'Donor Sample'!O595)</f>
        <v/>
      </c>
      <c r="Z578" s="298" t="str">
        <f>IF(AND('Donor Sample'!O595="",'Donor Sample'!P595="",'Donor Sample'!Q595=""),"",IF('Donor Sample'!P595="",ROUND(AA578/($C$32+($AI578-0.5)*$C$31),0),'Donor Sample'!P595))</f>
        <v/>
      </c>
      <c r="AA578" s="297" t="str">
        <f>IF('Donor Sample'!Q595="","",'Donor Sample'!Q595)</f>
        <v/>
      </c>
      <c r="AB578" s="296" t="str">
        <f t="shared" si="145"/>
        <v/>
      </c>
      <c r="AC578" s="295" t="str">
        <f>IF('Donor Sample'!R595="","",'Donor Sample'!R595)</f>
        <v/>
      </c>
      <c r="AD578" s="294" t="str">
        <f>IF('Donor Sample'!S595="","",'Donor Sample'!S595/100)</f>
        <v/>
      </c>
      <c r="AE578" s="293" t="e">
        <f t="shared" si="142"/>
        <v>#VALUE!</v>
      </c>
      <c r="AF578" s="293" t="str">
        <f t="shared" si="143"/>
        <v/>
      </c>
      <c r="AG578" s="292" t="str">
        <f>IF('Donor Sample'!T595="","",'Donor Sample'!T595)</f>
        <v/>
      </c>
      <c r="AH578" s="891">
        <f t="shared" si="144"/>
        <v>8</v>
      </c>
      <c r="AI578" s="1220">
        <v>0.99162495136260986</v>
      </c>
      <c r="AJ578" s="1216"/>
    </row>
    <row r="579" spans="5:36">
      <c r="E579" s="299">
        <v>571</v>
      </c>
      <c r="F579" s="308">
        <f t="shared" ca="1" si="133"/>
        <v>2976.8829282095762</v>
      </c>
      <c r="G579" s="307">
        <f t="shared" ca="1" si="134"/>
        <v>285.20919629328716</v>
      </c>
      <c r="H579" s="306">
        <f t="shared" ca="1" si="135"/>
        <v>0.3934800468294915</v>
      </c>
      <c r="I579" s="305">
        <f t="shared" ca="1" si="137"/>
        <v>101.169295361352</v>
      </c>
      <c r="J579" s="305">
        <f t="shared" ca="1" si="138"/>
        <v>53.015049908892543</v>
      </c>
      <c r="K579" s="292">
        <f t="shared" ca="1" si="136"/>
        <v>1.5141654558768738</v>
      </c>
      <c r="L579" s="1290">
        <f t="shared" ca="1" si="139"/>
        <v>25.340958351207099</v>
      </c>
      <c r="M579" s="299">
        <v>571</v>
      </c>
      <c r="N579" s="304">
        <f t="shared" si="140"/>
        <v>3043.632563764726</v>
      </c>
      <c r="O579" s="303">
        <v>225.89874848803743</v>
      </c>
      <c r="P579" s="302">
        <v>0.44203196520873639</v>
      </c>
      <c r="Q579" s="301">
        <v>107.19586185584151</v>
      </c>
      <c r="R579" s="301">
        <v>52.592727553466098</v>
      </c>
      <c r="S579" s="300">
        <v>2.7311926008001888</v>
      </c>
      <c r="T579" s="891">
        <f t="shared" si="141"/>
        <v>2</v>
      </c>
      <c r="U579" s="1220">
        <v>0.24809199571609497</v>
      </c>
      <c r="W579" s="299">
        <v>571</v>
      </c>
      <c r="X579" s="298">
        <f>IF('Donor Sample'!N596="",,IF('Donor Sample'!N596="F",1,0))</f>
        <v>0</v>
      </c>
      <c r="Y579" s="298" t="str">
        <f>IF('Donor Sample'!O596="","",'Donor Sample'!O596)</f>
        <v/>
      </c>
      <c r="Z579" s="298" t="str">
        <f>IF(AND('Donor Sample'!O596="",'Donor Sample'!P596="",'Donor Sample'!Q596=""),"",IF('Donor Sample'!P596="",ROUND(AA579/($C$32+($AI579-0.5)*$C$31),0),'Donor Sample'!P596))</f>
        <v/>
      </c>
      <c r="AA579" s="297" t="str">
        <f>IF('Donor Sample'!Q596="","",'Donor Sample'!Q596)</f>
        <v/>
      </c>
      <c r="AB579" s="296" t="str">
        <f t="shared" si="145"/>
        <v/>
      </c>
      <c r="AC579" s="295" t="str">
        <f>IF('Donor Sample'!R596="","",'Donor Sample'!R596)</f>
        <v/>
      </c>
      <c r="AD579" s="294" t="str">
        <f>IF('Donor Sample'!S596="","",'Donor Sample'!S596/100)</f>
        <v/>
      </c>
      <c r="AE579" s="407" t="e">
        <f t="shared" si="142"/>
        <v>#VALUE!</v>
      </c>
      <c r="AF579" s="293" t="str">
        <f t="shared" si="143"/>
        <v/>
      </c>
      <c r="AG579" s="292" t="str">
        <f>IF('Donor Sample'!T596="","",'Donor Sample'!T596)</f>
        <v/>
      </c>
      <c r="AH579" s="891">
        <f t="shared" si="144"/>
        <v>64</v>
      </c>
      <c r="AI579" s="1220">
        <v>0.59798222780227661</v>
      </c>
      <c r="AJ579" s="1216"/>
    </row>
    <row r="580" spans="5:36">
      <c r="E580" s="299">
        <v>572</v>
      </c>
      <c r="F580" s="308">
        <f t="shared" ca="1" si="133"/>
        <v>4232.1130548856872</v>
      </c>
      <c r="G580" s="307">
        <f t="shared" ca="1" si="134"/>
        <v>220.27207155689663</v>
      </c>
      <c r="H580" s="306">
        <f t="shared" ca="1" si="135"/>
        <v>0.44092824119318186</v>
      </c>
      <c r="I580" s="305">
        <f t="shared" ca="1" si="137"/>
        <v>138.46003826115802</v>
      </c>
      <c r="J580" s="305">
        <f t="shared" ca="1" si="138"/>
        <v>64.411381573220964</v>
      </c>
      <c r="K580" s="292">
        <f t="shared" ca="1" si="136"/>
        <v>9.2403666441281072</v>
      </c>
      <c r="L580" s="1290">
        <f t="shared" ca="1" si="139"/>
        <v>23.494806758883282</v>
      </c>
      <c r="M580" s="299">
        <v>572</v>
      </c>
      <c r="N580" s="304">
        <f t="shared" si="140"/>
        <v>3469.1550220814934</v>
      </c>
      <c r="O580" s="303">
        <v>178.53572438921253</v>
      </c>
      <c r="P580" s="302">
        <v>0.40719390163200508</v>
      </c>
      <c r="Q580" s="301">
        <v>126.36555204607521</v>
      </c>
      <c r="R580" s="301">
        <v>55.363643639286373</v>
      </c>
      <c r="S580" s="300">
        <v>3.1055185285215408</v>
      </c>
      <c r="T580" s="891">
        <f t="shared" si="141"/>
        <v>128</v>
      </c>
      <c r="U580" s="1220">
        <v>0.93423295021057129</v>
      </c>
      <c r="W580" s="299">
        <v>572</v>
      </c>
      <c r="X580" s="298">
        <f>IF('Donor Sample'!N597="",,IF('Donor Sample'!N597="F",1,0))</f>
        <v>0</v>
      </c>
      <c r="Y580" s="298" t="str">
        <f>IF('Donor Sample'!O597="","",'Donor Sample'!O597)</f>
        <v/>
      </c>
      <c r="Z580" s="298" t="str">
        <f>IF(AND('Donor Sample'!O597="",'Donor Sample'!P597="",'Donor Sample'!Q597=""),"",IF('Donor Sample'!P597="",ROUND(AA580/($C$32+($AI580-0.5)*$C$31),0),'Donor Sample'!P597))</f>
        <v/>
      </c>
      <c r="AA580" s="297" t="str">
        <f>IF('Donor Sample'!Q597="","",'Donor Sample'!Q597)</f>
        <v/>
      </c>
      <c r="AB580" s="296" t="str">
        <f t="shared" si="145"/>
        <v/>
      </c>
      <c r="AC580" s="295" t="str">
        <f>IF('Donor Sample'!R597="","",'Donor Sample'!R597)</f>
        <v/>
      </c>
      <c r="AD580" s="294" t="str">
        <f>IF('Donor Sample'!S597="","",'Donor Sample'!S597/100)</f>
        <v/>
      </c>
      <c r="AE580" s="293" t="e">
        <f t="shared" si="142"/>
        <v>#VALUE!</v>
      </c>
      <c r="AF580" s="293" t="str">
        <f t="shared" si="143"/>
        <v/>
      </c>
      <c r="AG580" s="292" t="str">
        <f>IF('Donor Sample'!T597="","",'Donor Sample'!T597)</f>
        <v/>
      </c>
      <c r="AH580" s="891">
        <f t="shared" si="144"/>
        <v>64</v>
      </c>
      <c r="AI580" s="1220">
        <v>0.55497241020202637</v>
      </c>
      <c r="AJ580" s="1216"/>
    </row>
    <row r="581" spans="5:36">
      <c r="E581" s="299">
        <v>573</v>
      </c>
      <c r="F581" s="308">
        <f t="shared" ca="1" si="133"/>
        <v>2666.3394103172441</v>
      </c>
      <c r="G581" s="307">
        <f t="shared" ca="1" si="134"/>
        <v>225.44957156062102</v>
      </c>
      <c r="H581" s="306">
        <f t="shared" ca="1" si="135"/>
        <v>0.38182961719655334</v>
      </c>
      <c r="I581" s="305">
        <f t="shared" ca="1" si="137"/>
        <v>111.82800216007195</v>
      </c>
      <c r="J581" s="305">
        <f t="shared" ca="1" si="138"/>
        <v>41.498475542607999</v>
      </c>
      <c r="K581" s="292">
        <f t="shared" ca="1" si="136"/>
        <v>1.3258683156246522</v>
      </c>
      <c r="L581" s="1290">
        <f t="shared" ca="1" si="139"/>
        <v>45.71502263585279</v>
      </c>
      <c r="M581" s="299">
        <v>573</v>
      </c>
      <c r="N581" s="304">
        <f t="shared" si="140"/>
        <v>3502.4994720053655</v>
      </c>
      <c r="O581" s="303">
        <v>253.54696899986888</v>
      </c>
      <c r="P581" s="302">
        <v>0.3612894367118612</v>
      </c>
      <c r="Q581" s="301">
        <v>128.82553431120914</v>
      </c>
      <c r="R581" s="301">
        <v>55.317092864597207</v>
      </c>
      <c r="S581" s="300">
        <v>2.311323416096597</v>
      </c>
      <c r="T581" s="891">
        <f t="shared" si="141"/>
        <v>4</v>
      </c>
      <c r="U581" s="1220">
        <v>0.41676467657089233</v>
      </c>
      <c r="W581" s="299">
        <v>573</v>
      </c>
      <c r="X581" s="298">
        <f>IF('Donor Sample'!N598="",,IF('Donor Sample'!N598="F",1,0))</f>
        <v>0</v>
      </c>
      <c r="Y581" s="298" t="str">
        <f>IF('Donor Sample'!O598="","",'Donor Sample'!O598)</f>
        <v/>
      </c>
      <c r="Z581" s="298" t="str">
        <f>IF(AND('Donor Sample'!O598="",'Donor Sample'!P598="",'Donor Sample'!Q598=""),"",IF('Donor Sample'!P598="",ROUND(AA581/($C$32+($AI581-0.5)*$C$31),0),'Donor Sample'!P598))</f>
        <v/>
      </c>
      <c r="AA581" s="297" t="str">
        <f>IF('Donor Sample'!Q598="","",'Donor Sample'!Q598)</f>
        <v/>
      </c>
      <c r="AB581" s="296" t="str">
        <f t="shared" si="145"/>
        <v/>
      </c>
      <c r="AC581" s="295" t="str">
        <f>IF('Donor Sample'!R598="","",'Donor Sample'!R598)</f>
        <v/>
      </c>
      <c r="AD581" s="294" t="str">
        <f>IF('Donor Sample'!S598="","",'Donor Sample'!S598/100)</f>
        <v/>
      </c>
      <c r="AE581" s="293" t="e">
        <f t="shared" si="142"/>
        <v>#VALUE!</v>
      </c>
      <c r="AF581" s="293" t="str">
        <f t="shared" si="143"/>
        <v/>
      </c>
      <c r="AG581" s="292" t="str">
        <f>IF('Donor Sample'!T598="","",'Donor Sample'!T598)</f>
        <v/>
      </c>
      <c r="AH581" s="891">
        <f t="shared" si="144"/>
        <v>2</v>
      </c>
      <c r="AI581" s="1220">
        <v>4.33158278465271E-2</v>
      </c>
      <c r="AJ581" s="1216"/>
    </row>
    <row r="582" spans="5:36">
      <c r="E582" s="299">
        <v>574</v>
      </c>
      <c r="F582" s="308">
        <f t="shared" ca="1" si="133"/>
        <v>3369.8934515100404</v>
      </c>
      <c r="G582" s="307">
        <f t="shared" ca="1" si="134"/>
        <v>276.13449910333031</v>
      </c>
      <c r="H582" s="306">
        <f t="shared" ca="1" si="135"/>
        <v>0.47599761351806547</v>
      </c>
      <c r="I582" s="305">
        <f t="shared" ca="1" si="137"/>
        <v>139.86354807538154</v>
      </c>
      <c r="J582" s="305">
        <f t="shared" ca="1" si="138"/>
        <v>49.379914288302089</v>
      </c>
      <c r="K582" s="292">
        <f t="shared" ca="1" si="136"/>
        <v>1.3421079932539028</v>
      </c>
      <c r="L582" s="1290">
        <f t="shared" ca="1" si="139"/>
        <v>40.380950462513667</v>
      </c>
      <c r="M582" s="299">
        <v>574</v>
      </c>
      <c r="N582" s="304">
        <f t="shared" si="140"/>
        <v>3825.9957722022427</v>
      </c>
      <c r="O582" s="303">
        <v>307.72010387960927</v>
      </c>
      <c r="P582" s="302">
        <v>0.38819083395935183</v>
      </c>
      <c r="Q582" s="301">
        <v>123.26232500488069</v>
      </c>
      <c r="R582" s="301">
        <v>61.848729000745251</v>
      </c>
      <c r="S582" s="300">
        <v>3.471718919962973</v>
      </c>
      <c r="T582" s="891">
        <f t="shared" si="141"/>
        <v>2</v>
      </c>
      <c r="U582" s="1220">
        <v>0.2838057279586792</v>
      </c>
      <c r="W582" s="299">
        <v>574</v>
      </c>
      <c r="X582" s="298">
        <f>IF('Donor Sample'!N599="",,IF('Donor Sample'!N599="F",1,0))</f>
        <v>0</v>
      </c>
      <c r="Y582" s="298" t="str">
        <f>IF('Donor Sample'!O599="","",'Donor Sample'!O599)</f>
        <v/>
      </c>
      <c r="Z582" s="298" t="str">
        <f>IF(AND('Donor Sample'!O599="",'Donor Sample'!P599="",'Donor Sample'!Q599=""),"",IF('Donor Sample'!P599="",ROUND(AA582/($C$32+($AI582-0.5)*$C$31),0),'Donor Sample'!P599))</f>
        <v/>
      </c>
      <c r="AA582" s="297" t="str">
        <f>IF('Donor Sample'!Q599="","",'Donor Sample'!Q599)</f>
        <v/>
      </c>
      <c r="AB582" s="296" t="str">
        <f t="shared" si="145"/>
        <v/>
      </c>
      <c r="AC582" s="295" t="str">
        <f>IF('Donor Sample'!R599="","",'Donor Sample'!R599)</f>
        <v/>
      </c>
      <c r="AD582" s="294" t="str">
        <f>IF('Donor Sample'!S599="","",'Donor Sample'!S599/100)</f>
        <v/>
      </c>
      <c r="AE582" s="407" t="e">
        <f t="shared" si="142"/>
        <v>#VALUE!</v>
      </c>
      <c r="AF582" s="293" t="str">
        <f t="shared" si="143"/>
        <v/>
      </c>
      <c r="AG582" s="292" t="str">
        <f>IF('Donor Sample'!T599="","",'Donor Sample'!T599)</f>
        <v/>
      </c>
      <c r="AH582" s="891">
        <f t="shared" si="144"/>
        <v>64</v>
      </c>
      <c r="AI582" s="1220">
        <v>0.4378436803817749</v>
      </c>
      <c r="AJ582" s="1216"/>
    </row>
    <row r="583" spans="5:36">
      <c r="E583" s="299">
        <v>575</v>
      </c>
      <c r="F583" s="308">
        <f t="shared" ca="1" si="133"/>
        <v>3669.3198369204938</v>
      </c>
      <c r="G583" s="307">
        <f t="shared" ca="1" si="134"/>
        <v>259.97918920900543</v>
      </c>
      <c r="H583" s="306">
        <f t="shared" ca="1" si="135"/>
        <v>0.41259854834852511</v>
      </c>
      <c r="I583" s="305">
        <f t="shared" ca="1" si="137"/>
        <v>123.88337554085086</v>
      </c>
      <c r="J583" s="305">
        <f t="shared" ca="1" si="138"/>
        <v>65.344744920562917</v>
      </c>
      <c r="K583" s="292">
        <f t="shared" ca="1" si="136"/>
        <v>1.6005983144299949</v>
      </c>
      <c r="L583" s="1290">
        <f t="shared" ca="1" si="139"/>
        <v>20.425107715528327</v>
      </c>
      <c r="M583" s="299">
        <v>575</v>
      </c>
      <c r="N583" s="304">
        <f t="shared" si="140"/>
        <v>3427.6013828896916</v>
      </c>
      <c r="O583" s="303">
        <v>219.2535047560477</v>
      </c>
      <c r="P583" s="302">
        <v>0.48795259590643553</v>
      </c>
      <c r="Q583" s="301">
        <v>134.52665269672701</v>
      </c>
      <c r="R583" s="301">
        <v>59.461065824505631</v>
      </c>
      <c r="S583" s="300">
        <v>1.8001195158962375</v>
      </c>
      <c r="T583" s="891">
        <f t="shared" si="141"/>
        <v>256</v>
      </c>
      <c r="U583" s="1220">
        <v>0.9262738823890686</v>
      </c>
      <c r="W583" s="299">
        <v>575</v>
      </c>
      <c r="X583" s="298">
        <f>IF('Donor Sample'!N600="",,IF('Donor Sample'!N600="F",1,0))</f>
        <v>0</v>
      </c>
      <c r="Y583" s="298" t="str">
        <f>IF('Donor Sample'!O600="","",'Donor Sample'!O600)</f>
        <v/>
      </c>
      <c r="Z583" s="298" t="str">
        <f>IF(AND('Donor Sample'!O600="",'Donor Sample'!P600="",'Donor Sample'!Q600=""),"",IF('Donor Sample'!P600="",ROUND(AA583/($C$32+($AI583-0.5)*$C$31),0),'Donor Sample'!P600))</f>
        <v/>
      </c>
      <c r="AA583" s="297" t="str">
        <f>IF('Donor Sample'!Q600="","",'Donor Sample'!Q600)</f>
        <v/>
      </c>
      <c r="AB583" s="296" t="str">
        <f t="shared" si="145"/>
        <v/>
      </c>
      <c r="AC583" s="295" t="str">
        <f>IF('Donor Sample'!R600="","",'Donor Sample'!R600)</f>
        <v/>
      </c>
      <c r="AD583" s="294" t="str">
        <f>IF('Donor Sample'!S600="","",'Donor Sample'!S600/100)</f>
        <v/>
      </c>
      <c r="AE583" s="293" t="e">
        <f t="shared" si="142"/>
        <v>#VALUE!</v>
      </c>
      <c r="AF583" s="293" t="str">
        <f t="shared" si="143"/>
        <v/>
      </c>
      <c r="AG583" s="292" t="str">
        <f>IF('Donor Sample'!T600="","",'Donor Sample'!T600)</f>
        <v/>
      </c>
      <c r="AH583" s="891">
        <f t="shared" si="144"/>
        <v>256</v>
      </c>
      <c r="AI583" s="1220">
        <v>0.86308580636978149</v>
      </c>
      <c r="AJ583" s="1216"/>
    </row>
    <row r="584" spans="5:36">
      <c r="E584" s="299">
        <v>576</v>
      </c>
      <c r="F584" s="308">
        <f t="shared" ca="1" si="133"/>
        <v>2995.468826429752</v>
      </c>
      <c r="G584" s="307">
        <f t="shared" ca="1" si="134"/>
        <v>302.91024191856565</v>
      </c>
      <c r="H584" s="306">
        <f t="shared" ca="1" si="135"/>
        <v>0.45107771960900378</v>
      </c>
      <c r="I584" s="305">
        <f t="shared" ca="1" si="137"/>
        <v>117.73471705488804</v>
      </c>
      <c r="J584" s="305">
        <f t="shared" ca="1" si="138"/>
        <v>48.183699005531061</v>
      </c>
      <c r="K584" s="292">
        <f t="shared" ca="1" si="136"/>
        <v>3.3561629186161657</v>
      </c>
      <c r="L584" s="1290">
        <f t="shared" ca="1" si="139"/>
        <v>35.700716237716598</v>
      </c>
      <c r="M584" s="299">
        <v>576</v>
      </c>
      <c r="N584" s="304">
        <f t="shared" si="140"/>
        <v>3518.7893780051304</v>
      </c>
      <c r="O584" s="303">
        <v>317.94179828876963</v>
      </c>
      <c r="P584" s="302">
        <v>0.37960266221930866</v>
      </c>
      <c r="Q584" s="301">
        <v>108.61615903372727</v>
      </c>
      <c r="R584" s="301">
        <v>60.464614761834746</v>
      </c>
      <c r="S584" s="300">
        <v>4.7908828204713716</v>
      </c>
      <c r="T584" s="891">
        <f t="shared" si="141"/>
        <v>64</v>
      </c>
      <c r="U584" s="1220">
        <v>0.70559549331665039</v>
      </c>
      <c r="W584" s="299">
        <v>576</v>
      </c>
      <c r="X584" s="298">
        <f>IF('Donor Sample'!N601="",,IF('Donor Sample'!N601="F",1,0))</f>
        <v>0</v>
      </c>
      <c r="Y584" s="298" t="str">
        <f>IF('Donor Sample'!O601="","",'Donor Sample'!O601)</f>
        <v/>
      </c>
      <c r="Z584" s="298" t="str">
        <f>IF(AND('Donor Sample'!O601="",'Donor Sample'!P601="",'Donor Sample'!Q601=""),"",IF('Donor Sample'!P601="",ROUND(AA584/($C$32+($AI584-0.5)*$C$31),0),'Donor Sample'!P601))</f>
        <v/>
      </c>
      <c r="AA584" s="297" t="str">
        <f>IF('Donor Sample'!Q601="","",'Donor Sample'!Q601)</f>
        <v/>
      </c>
      <c r="AB584" s="296" t="str">
        <f t="shared" si="145"/>
        <v/>
      </c>
      <c r="AC584" s="295" t="str">
        <f>IF('Donor Sample'!R601="","",'Donor Sample'!R601)</f>
        <v/>
      </c>
      <c r="AD584" s="294" t="str">
        <f>IF('Donor Sample'!S601="","",'Donor Sample'!S601/100)</f>
        <v/>
      </c>
      <c r="AE584" s="293" t="e">
        <f t="shared" si="142"/>
        <v>#VALUE!</v>
      </c>
      <c r="AF584" s="293" t="str">
        <f t="shared" si="143"/>
        <v/>
      </c>
      <c r="AG584" s="292" t="str">
        <f>IF('Donor Sample'!T601="","",'Donor Sample'!T601)</f>
        <v/>
      </c>
      <c r="AH584" s="891">
        <f t="shared" si="144"/>
        <v>2</v>
      </c>
      <c r="AI584" s="1220">
        <v>0.19838237762451172</v>
      </c>
      <c r="AJ584" s="1216"/>
    </row>
    <row r="585" spans="5:36">
      <c r="E585" s="299">
        <v>577</v>
      </c>
      <c r="F585" s="308">
        <f t="shared" ref="F585:F648" ca="1" si="146">NORMINV(NORMDIST($C$9,$C$7,$C$8,1)+RAND()*(NORMDIST($C$10,$C$7,$C$8,1)-NORMDIST($C$9,$C$7,$C$8,1)),$C$7,$C$8)</f>
        <v>3733.0202294127066</v>
      </c>
      <c r="G585" s="307">
        <f t="shared" ref="G585:G648" ca="1" si="147">NORMINV(NORMDIST($C$13,$C$11,$C$12,1)+RAND()*(NORMDIST($C$14,$C$11,$C$12,1)-NORMDIST($C$13,$C$11,$C$12,1)),$C$11,$C$12)</f>
        <v>241.60737413526732</v>
      </c>
      <c r="H585" s="306">
        <f t="shared" ref="H585:H648" ca="1" si="148">NORMINV(NORMDIST($C$17,$C$15,$C$16,1)+RAND()*(NORMDIST($C$18,$C$15,$C$16,1)-NORMDIST($C$17,$C$15,$C$16,1)),$C$15,$C$16)/100</f>
        <v>0.351069471470904</v>
      </c>
      <c r="I585" s="305">
        <f t="shared" ca="1" si="137"/>
        <v>127.80262510080031</v>
      </c>
      <c r="J585" s="305">
        <f t="shared" ca="1" si="138"/>
        <v>59.448350087701456</v>
      </c>
      <c r="K585" s="292">
        <f t="shared" ref="K585:K648" ca="1" si="149">$C$23/($C$24+RAND())</f>
        <v>2.7550784395006951</v>
      </c>
      <c r="L585" s="1290">
        <f t="shared" ca="1" si="139"/>
        <v>25.458500598668699</v>
      </c>
      <c r="M585" s="299">
        <v>577</v>
      </c>
      <c r="N585" s="304">
        <f t="shared" si="140"/>
        <v>3132.2976745365622</v>
      </c>
      <c r="O585" s="303">
        <v>220.66523066137785</v>
      </c>
      <c r="P585" s="302">
        <v>0.38040859854759818</v>
      </c>
      <c r="Q585" s="301">
        <v>129.36962482363163</v>
      </c>
      <c r="R585" s="301">
        <v>47.381352457689346</v>
      </c>
      <c r="S585" s="300">
        <v>2.7516573501900337</v>
      </c>
      <c r="T585" s="891">
        <f t="shared" si="141"/>
        <v>128</v>
      </c>
      <c r="U585" s="1220">
        <v>0.93495243787765503</v>
      </c>
      <c r="W585" s="299">
        <v>577</v>
      </c>
      <c r="X585" s="298">
        <f>IF('Donor Sample'!N602="",,IF('Donor Sample'!N602="F",1,0))</f>
        <v>0</v>
      </c>
      <c r="Y585" s="298" t="str">
        <f>IF('Donor Sample'!O602="","",'Donor Sample'!O602)</f>
        <v/>
      </c>
      <c r="Z585" s="298" t="str">
        <f>IF(AND('Donor Sample'!O602="",'Donor Sample'!P602="",'Donor Sample'!Q602=""),"",IF('Donor Sample'!P602="",ROUND(AA585/($C$32+($AI585-0.5)*$C$31),0),'Donor Sample'!P602))</f>
        <v/>
      </c>
      <c r="AA585" s="297" t="str">
        <f>IF('Donor Sample'!Q602="","",'Donor Sample'!Q602)</f>
        <v/>
      </c>
      <c r="AB585" s="296" t="str">
        <f t="shared" si="145"/>
        <v/>
      </c>
      <c r="AC585" s="295" t="str">
        <f>IF('Donor Sample'!R602="","",'Donor Sample'!R602)</f>
        <v/>
      </c>
      <c r="AD585" s="294" t="str">
        <f>IF('Donor Sample'!S602="","",'Donor Sample'!S602/100)</f>
        <v/>
      </c>
      <c r="AE585" s="407" t="e">
        <f t="shared" si="142"/>
        <v>#VALUE!</v>
      </c>
      <c r="AF585" s="293" t="str">
        <f t="shared" si="143"/>
        <v/>
      </c>
      <c r="AG585" s="292" t="str">
        <f>IF('Donor Sample'!T602="","",'Donor Sample'!T602)</f>
        <v/>
      </c>
      <c r="AH585" s="891">
        <f t="shared" si="144"/>
        <v>2</v>
      </c>
      <c r="AI585" s="1220">
        <v>4.6923816204071045E-2</v>
      </c>
      <c r="AJ585" s="1216"/>
    </row>
    <row r="586" spans="5:36">
      <c r="E586" s="299">
        <v>578</v>
      </c>
      <c r="F586" s="308">
        <f t="shared" ca="1" si="146"/>
        <v>3823.5597841589511</v>
      </c>
      <c r="G586" s="307">
        <f t="shared" ca="1" si="147"/>
        <v>203.80513312439047</v>
      </c>
      <c r="H586" s="306">
        <f t="shared" ca="1" si="148"/>
        <v>0.54761185705807647</v>
      </c>
      <c r="I586" s="305">
        <f t="shared" ref="I586:I649" ca="1" si="150">F586/($C$32+(RAND()-0.5)*$C$31)</f>
        <v>119.16289832427984</v>
      </c>
      <c r="J586" s="305">
        <f t="shared" ref="J586:J649" ca="1" si="151">IF(AI586&lt;=$C$33,((F586-604-14.6*I586)/0.006012)^(1/3),((F586-183-15*I586)/0.005835)^(1/3))</f>
        <v>68.226633004905281</v>
      </c>
      <c r="K586" s="292">
        <f t="shared" ca="1" si="149"/>
        <v>2.5202088373484779</v>
      </c>
      <c r="L586" s="1290">
        <f t="shared" ref="L586:L649" ca="1" si="152">704*I586/J586^2</f>
        <v>18.02211838839963</v>
      </c>
      <c r="M586" s="299">
        <v>578</v>
      </c>
      <c r="N586" s="304">
        <f t="shared" ref="N586:N649" si="153">IF(AI586&gt;$C$33,183+0.005835*R586^3+15*Q586,604+0.006012*R586^3+14.6*Q586)</f>
        <v>3636.6170853503763</v>
      </c>
      <c r="O586" s="303">
        <v>297.19192754850661</v>
      </c>
      <c r="P586" s="302">
        <v>0.43954448001171975</v>
      </c>
      <c r="Q586" s="301">
        <v>114.12838422622607</v>
      </c>
      <c r="R586" s="301">
        <v>66.830817845748911</v>
      </c>
      <c r="S586" s="300">
        <v>1.534425090785845</v>
      </c>
      <c r="T586" s="891">
        <f t="shared" ref="T586:T649" si="154">HLOOKUP(U586,$AL$32:$AT$34,3)</f>
        <v>64</v>
      </c>
      <c r="U586" s="1220">
        <v>0.48241627216339111</v>
      </c>
      <c r="W586" s="299">
        <v>578</v>
      </c>
      <c r="X586" s="298">
        <f>IF('Donor Sample'!N603="",,IF('Donor Sample'!N603="F",1,0))</f>
        <v>0</v>
      </c>
      <c r="Y586" s="298" t="str">
        <f>IF('Donor Sample'!O603="","",'Donor Sample'!O603)</f>
        <v/>
      </c>
      <c r="Z586" s="298" t="str">
        <f>IF(AND('Donor Sample'!O603="",'Donor Sample'!P603="",'Donor Sample'!Q603=""),"",IF('Donor Sample'!P603="",ROUND(AA586/($C$32+($AI586-0.5)*$C$31),0),'Donor Sample'!P603))</f>
        <v/>
      </c>
      <c r="AA586" s="297" t="str">
        <f>IF('Donor Sample'!Q603="","",'Donor Sample'!Q603)</f>
        <v/>
      </c>
      <c r="AB586" s="296" t="str">
        <f t="shared" si="145"/>
        <v/>
      </c>
      <c r="AC586" s="295" t="str">
        <f>IF('Donor Sample'!R603="","",'Donor Sample'!R603)</f>
        <v/>
      </c>
      <c r="AD586" s="294" t="str">
        <f>IF('Donor Sample'!S603="","",'Donor Sample'!S603/100)</f>
        <v/>
      </c>
      <c r="AE586" s="293" t="e">
        <f t="shared" ref="AE586:AE649" si="155">IF($AB$2=1,Z586,2.2*Z586)</f>
        <v>#VALUE!</v>
      </c>
      <c r="AF586" s="293" t="str">
        <f t="shared" ref="AF586:AF649" si="156">IF(AND(Y586="",AA586=""),"",IF(AA586="",IF($AB$2=1,Y586,Y586/2.54),IF(AI586&lt;=$C$33,((AB586-604-14.6*Z586)/0.006012)^(1/3),((AB586-183-15*Z586)/0.005835)^(1/3))))</f>
        <v/>
      </c>
      <c r="AG586" s="292" t="str">
        <f>IF('Donor Sample'!T603="","",'Donor Sample'!T603)</f>
        <v/>
      </c>
      <c r="AH586" s="891">
        <f t="shared" ref="AH586:AH649" si="157">HLOOKUP(AI586,$AL$32:$AT$34,3)</f>
        <v>256</v>
      </c>
      <c r="AI586" s="1220">
        <v>0.87550604343414307</v>
      </c>
      <c r="AJ586" s="1216"/>
    </row>
    <row r="587" spans="5:36">
      <c r="E587" s="299">
        <v>579</v>
      </c>
      <c r="F587" s="308">
        <f t="shared" ca="1" si="146"/>
        <v>3652.9459000138563</v>
      </c>
      <c r="G587" s="307">
        <f t="shared" ca="1" si="147"/>
        <v>220.58834192909808</v>
      </c>
      <c r="H587" s="306">
        <f t="shared" ca="1" si="148"/>
        <v>0.47086457768478118</v>
      </c>
      <c r="I587" s="305">
        <f t="shared" ca="1" si="150"/>
        <v>119.5211033301912</v>
      </c>
      <c r="J587" s="305">
        <f t="shared" ca="1" si="151"/>
        <v>60.082219397904097</v>
      </c>
      <c r="K587" s="292">
        <f t="shared" ca="1" si="149"/>
        <v>6.2690424524832027</v>
      </c>
      <c r="L587" s="1290">
        <f t="shared" ca="1" si="152"/>
        <v>23.309090014643733</v>
      </c>
      <c r="M587" s="299">
        <v>579</v>
      </c>
      <c r="N587" s="304">
        <f t="shared" si="153"/>
        <v>3250.5917674670927</v>
      </c>
      <c r="O587" s="303">
        <v>244.89106904920959</v>
      </c>
      <c r="P587" s="302">
        <v>0.45870872413465974</v>
      </c>
      <c r="Q587" s="301">
        <v>112.40347811476596</v>
      </c>
      <c r="R587" s="301">
        <v>55.096140369528754</v>
      </c>
      <c r="S587" s="300">
        <v>5.7061817592489135</v>
      </c>
      <c r="T587" s="891">
        <f t="shared" si="154"/>
        <v>2</v>
      </c>
      <c r="U587" s="1220">
        <v>0.32092076539993286</v>
      </c>
      <c r="W587" s="299">
        <v>579</v>
      </c>
      <c r="X587" s="298">
        <f>IF('Donor Sample'!N604="",,IF('Donor Sample'!N604="F",1,0))</f>
        <v>0</v>
      </c>
      <c r="Y587" s="298" t="str">
        <f>IF('Donor Sample'!O604="","",'Donor Sample'!O604)</f>
        <v/>
      </c>
      <c r="Z587" s="298" t="str">
        <f>IF(AND('Donor Sample'!O604="",'Donor Sample'!P604="",'Donor Sample'!Q604=""),"",IF('Donor Sample'!P604="",ROUND(AA587/($C$32+($AI587-0.5)*$C$31),0),'Donor Sample'!P604))</f>
        <v/>
      </c>
      <c r="AA587" s="297" t="str">
        <f>IF('Donor Sample'!Q604="","",'Donor Sample'!Q604)</f>
        <v/>
      </c>
      <c r="AB587" s="296" t="str">
        <f t="shared" si="145"/>
        <v/>
      </c>
      <c r="AC587" s="295" t="str">
        <f>IF('Donor Sample'!R604="","",'Donor Sample'!R604)</f>
        <v/>
      </c>
      <c r="AD587" s="294" t="str">
        <f>IF('Donor Sample'!S604="","",'Donor Sample'!S604/100)</f>
        <v/>
      </c>
      <c r="AE587" s="293" t="e">
        <f t="shared" si="155"/>
        <v>#VALUE!</v>
      </c>
      <c r="AF587" s="293" t="str">
        <f t="shared" si="156"/>
        <v/>
      </c>
      <c r="AG587" s="292" t="str">
        <f>IF('Donor Sample'!T604="","",'Donor Sample'!T604)</f>
        <v/>
      </c>
      <c r="AH587" s="891">
        <f t="shared" si="157"/>
        <v>64</v>
      </c>
      <c r="AI587" s="1220">
        <v>0.454639732837677</v>
      </c>
      <c r="AJ587" s="1216"/>
    </row>
    <row r="588" spans="5:36">
      <c r="E588" s="299">
        <v>580</v>
      </c>
      <c r="F588" s="308">
        <f t="shared" ca="1" si="146"/>
        <v>3494.9848447556437</v>
      </c>
      <c r="G588" s="307">
        <f t="shared" ca="1" si="147"/>
        <v>159.9620518850607</v>
      </c>
      <c r="H588" s="306">
        <f t="shared" ca="1" si="148"/>
        <v>0.45616547201022761</v>
      </c>
      <c r="I588" s="305">
        <f t="shared" ca="1" si="150"/>
        <v>114.28303334102847</v>
      </c>
      <c r="J588" s="305">
        <f t="shared" ca="1" si="151"/>
        <v>64.936422180547609</v>
      </c>
      <c r="K588" s="292">
        <f t="shared" ca="1" si="149"/>
        <v>2.5948408807326979</v>
      </c>
      <c r="L588" s="1290">
        <f t="shared" ca="1" si="152"/>
        <v>19.079970776336182</v>
      </c>
      <c r="M588" s="299">
        <v>580</v>
      </c>
      <c r="N588" s="304">
        <f t="shared" si="153"/>
        <v>2664.9051579812458</v>
      </c>
      <c r="O588" s="303">
        <v>277.59754900664183</v>
      </c>
      <c r="P588" s="302">
        <v>0.42778651297851583</v>
      </c>
      <c r="Q588" s="301">
        <v>103.15545169089222</v>
      </c>
      <c r="R588" s="301">
        <v>54.307213008886293</v>
      </c>
      <c r="S588" s="300">
        <v>15.380683838611141</v>
      </c>
      <c r="T588" s="891">
        <f t="shared" si="154"/>
        <v>32</v>
      </c>
      <c r="U588" s="1220">
        <v>0.80021929740905762</v>
      </c>
      <c r="W588" s="299">
        <v>580</v>
      </c>
      <c r="X588" s="298">
        <f>IF('Donor Sample'!N605="",,IF('Donor Sample'!N605="F",1,0))</f>
        <v>0</v>
      </c>
      <c r="Y588" s="298" t="str">
        <f>IF('Donor Sample'!O605="","",'Donor Sample'!O605)</f>
        <v/>
      </c>
      <c r="Z588" s="298" t="str">
        <f>IF(AND('Donor Sample'!O605="",'Donor Sample'!P605="",'Donor Sample'!Q605=""),"",IF('Donor Sample'!P605="",ROUND(AA588/($C$32+($AI588-0.5)*$C$31),0),'Donor Sample'!P605))</f>
        <v/>
      </c>
      <c r="AA588" s="297" t="str">
        <f>IF('Donor Sample'!Q605="","",'Donor Sample'!Q605)</f>
        <v/>
      </c>
      <c r="AB588" s="296" t="str">
        <f t="shared" si="145"/>
        <v/>
      </c>
      <c r="AC588" s="295" t="str">
        <f>IF('Donor Sample'!R605="","",'Donor Sample'!R605)</f>
        <v/>
      </c>
      <c r="AD588" s="294" t="str">
        <f>IF('Donor Sample'!S605="","",'Donor Sample'!S605/100)</f>
        <v/>
      </c>
      <c r="AE588" s="407" t="e">
        <f t="shared" si="155"/>
        <v>#VALUE!</v>
      </c>
      <c r="AF588" s="293" t="str">
        <f t="shared" si="156"/>
        <v/>
      </c>
      <c r="AG588" s="292" t="str">
        <f>IF('Donor Sample'!T605="","",'Donor Sample'!T605)</f>
        <v/>
      </c>
      <c r="AH588" s="891">
        <f t="shared" si="157"/>
        <v>16</v>
      </c>
      <c r="AI588" s="1220">
        <v>0.9600975513458252</v>
      </c>
      <c r="AJ588" s="1216"/>
    </row>
    <row r="589" spans="5:36">
      <c r="E589" s="299">
        <v>581</v>
      </c>
      <c r="F589" s="308">
        <f t="shared" ca="1" si="146"/>
        <v>3032.1508587803228</v>
      </c>
      <c r="G589" s="307">
        <f t="shared" ca="1" si="147"/>
        <v>231.71755439770752</v>
      </c>
      <c r="H589" s="306">
        <f t="shared" ca="1" si="148"/>
        <v>0.36648397441674435</v>
      </c>
      <c r="I589" s="305">
        <f t="shared" ca="1" si="150"/>
        <v>98.887793599667603</v>
      </c>
      <c r="J589" s="305">
        <f t="shared" ca="1" si="151"/>
        <v>54.707802532544143</v>
      </c>
      <c r="K589" s="292">
        <f t="shared" ca="1" si="149"/>
        <v>2.442857854826149</v>
      </c>
      <c r="L589" s="1290">
        <f t="shared" ca="1" si="152"/>
        <v>23.260379963880112</v>
      </c>
      <c r="M589" s="299">
        <v>581</v>
      </c>
      <c r="N589" s="304">
        <f t="shared" si="153"/>
        <v>3368.2624960908843</v>
      </c>
      <c r="O589" s="303">
        <v>223.98993046982287</v>
      </c>
      <c r="P589" s="302">
        <v>0.38180677171897881</v>
      </c>
      <c r="Q589" s="301">
        <v>108.52200781487976</v>
      </c>
      <c r="R589" s="301">
        <v>58.112317196027625</v>
      </c>
      <c r="S589" s="300">
        <v>1.8602637418305397</v>
      </c>
      <c r="T589" s="891">
        <f t="shared" si="154"/>
        <v>2</v>
      </c>
      <c r="U589" s="1220">
        <v>6.538766622543335E-2</v>
      </c>
      <c r="W589" s="299">
        <v>581</v>
      </c>
      <c r="X589" s="298">
        <f>IF('Donor Sample'!N606="",,IF('Donor Sample'!N606="F",1,0))</f>
        <v>0</v>
      </c>
      <c r="Y589" s="298" t="str">
        <f>IF('Donor Sample'!O606="","",'Donor Sample'!O606)</f>
        <v/>
      </c>
      <c r="Z589" s="298" t="str">
        <f>IF(AND('Donor Sample'!O606="",'Donor Sample'!P606="",'Donor Sample'!Q606=""),"",IF('Donor Sample'!P606="",ROUND(AA589/($C$32+($AI589-0.5)*$C$31),0),'Donor Sample'!P606))</f>
        <v/>
      </c>
      <c r="AA589" s="297" t="str">
        <f>IF('Donor Sample'!Q606="","",'Donor Sample'!Q606)</f>
        <v/>
      </c>
      <c r="AB589" s="296" t="str">
        <f t="shared" si="145"/>
        <v/>
      </c>
      <c r="AC589" s="295" t="str">
        <f>IF('Donor Sample'!R606="","",'Donor Sample'!R606)</f>
        <v/>
      </c>
      <c r="AD589" s="294" t="str">
        <f>IF('Donor Sample'!S606="","",'Donor Sample'!S606/100)</f>
        <v/>
      </c>
      <c r="AE589" s="293" t="e">
        <f t="shared" si="155"/>
        <v>#VALUE!</v>
      </c>
      <c r="AF589" s="293" t="str">
        <f t="shared" si="156"/>
        <v/>
      </c>
      <c r="AG589" s="292" t="str">
        <f>IF('Donor Sample'!T606="","",'Donor Sample'!T606)</f>
        <v/>
      </c>
      <c r="AH589" s="891">
        <f t="shared" si="157"/>
        <v>4</v>
      </c>
      <c r="AI589" s="1220">
        <v>0.40264743566513062</v>
      </c>
      <c r="AJ589" s="1216"/>
    </row>
    <row r="590" spans="5:36">
      <c r="E590" s="299">
        <v>582</v>
      </c>
      <c r="F590" s="308">
        <f t="shared" ca="1" si="146"/>
        <v>3866.4927600942492</v>
      </c>
      <c r="G590" s="307">
        <f t="shared" ca="1" si="147"/>
        <v>273.28945445355976</v>
      </c>
      <c r="H590" s="306">
        <f t="shared" ca="1" si="148"/>
        <v>0.46863102626166331</v>
      </c>
      <c r="I590" s="305">
        <f t="shared" ca="1" si="150"/>
        <v>124.87799574117042</v>
      </c>
      <c r="J590" s="305">
        <f t="shared" ca="1" si="151"/>
        <v>62.092837271615146</v>
      </c>
      <c r="K590" s="292">
        <f t="shared" ca="1" si="149"/>
        <v>10.278670422143596</v>
      </c>
      <c r="L590" s="1290">
        <f t="shared" ca="1" si="152"/>
        <v>22.802137962927638</v>
      </c>
      <c r="M590" s="299">
        <v>582</v>
      </c>
      <c r="N590" s="304">
        <f t="shared" si="153"/>
        <v>3678.8488240778156</v>
      </c>
      <c r="O590" s="303">
        <v>218.44427399176371</v>
      </c>
      <c r="P590" s="302">
        <v>0.39561287477193963</v>
      </c>
      <c r="Q590" s="301">
        <v>141.33156445593488</v>
      </c>
      <c r="R590" s="301">
        <v>55.203820503920262</v>
      </c>
      <c r="S590" s="300">
        <v>13.579916424293593</v>
      </c>
      <c r="T590" s="891">
        <f t="shared" si="154"/>
        <v>2</v>
      </c>
      <c r="U590" s="1220">
        <v>9.8190665245056152E-2</v>
      </c>
      <c r="W590" s="299">
        <v>582</v>
      </c>
      <c r="X590" s="298">
        <f>IF('Donor Sample'!N607="",,IF('Donor Sample'!N607="F",1,0))</f>
        <v>0</v>
      </c>
      <c r="Y590" s="298" t="str">
        <f>IF('Donor Sample'!O607="","",'Donor Sample'!O607)</f>
        <v/>
      </c>
      <c r="Z590" s="298" t="str">
        <f>IF(AND('Donor Sample'!O607="",'Donor Sample'!P607="",'Donor Sample'!Q607=""),"",IF('Donor Sample'!P607="",ROUND(AA590/($C$32+($AI590-0.5)*$C$31),0),'Donor Sample'!P607))</f>
        <v/>
      </c>
      <c r="AA590" s="297" t="str">
        <f>IF('Donor Sample'!Q607="","",'Donor Sample'!Q607)</f>
        <v/>
      </c>
      <c r="AB590" s="296" t="str">
        <f t="shared" si="145"/>
        <v/>
      </c>
      <c r="AC590" s="295" t="str">
        <f>IF('Donor Sample'!R607="","",'Donor Sample'!R607)</f>
        <v/>
      </c>
      <c r="AD590" s="294" t="str">
        <f>IF('Donor Sample'!S607="","",'Donor Sample'!S607/100)</f>
        <v/>
      </c>
      <c r="AE590" s="293" t="e">
        <f t="shared" si="155"/>
        <v>#VALUE!</v>
      </c>
      <c r="AF590" s="293" t="str">
        <f t="shared" si="156"/>
        <v/>
      </c>
      <c r="AG590" s="292" t="str">
        <f>IF('Donor Sample'!T607="","",'Donor Sample'!T607)</f>
        <v/>
      </c>
      <c r="AH590" s="891">
        <f t="shared" si="157"/>
        <v>2</v>
      </c>
      <c r="AI590" s="1220">
        <v>0.13572776317596436</v>
      </c>
      <c r="AJ590" s="1216"/>
    </row>
    <row r="591" spans="5:36">
      <c r="E591" s="299">
        <v>583</v>
      </c>
      <c r="F591" s="308">
        <f t="shared" ca="1" si="146"/>
        <v>3615.1442766703562</v>
      </c>
      <c r="G591" s="307">
        <f t="shared" ca="1" si="147"/>
        <v>251.05860455592983</v>
      </c>
      <c r="H591" s="306">
        <f t="shared" ca="1" si="148"/>
        <v>0.35213792549685363</v>
      </c>
      <c r="I591" s="305">
        <f t="shared" ca="1" si="150"/>
        <v>113.4485245270853</v>
      </c>
      <c r="J591" s="305">
        <f t="shared" ca="1" si="151"/>
        <v>66.686294818691906</v>
      </c>
      <c r="K591" s="292">
        <f t="shared" ca="1" si="149"/>
        <v>14.446266098642111</v>
      </c>
      <c r="L591" s="1290">
        <f t="shared" ca="1" si="152"/>
        <v>17.959669274700328</v>
      </c>
      <c r="M591" s="299">
        <v>583</v>
      </c>
      <c r="N591" s="304">
        <f t="shared" si="153"/>
        <v>3531.7304710244402</v>
      </c>
      <c r="O591" s="303">
        <v>241.73367004538218</v>
      </c>
      <c r="P591" s="302">
        <v>0.44942404407901593</v>
      </c>
      <c r="Q591" s="301">
        <v>134.18278866798906</v>
      </c>
      <c r="R591" s="301">
        <v>61.176876818159933</v>
      </c>
      <c r="S591" s="300">
        <v>5.0464898560972671</v>
      </c>
      <c r="T591" s="891">
        <f t="shared" si="154"/>
        <v>64</v>
      </c>
      <c r="U591" s="1220">
        <v>0.70235735177993774</v>
      </c>
      <c r="W591" s="299">
        <v>583</v>
      </c>
      <c r="X591" s="298">
        <f>IF('Donor Sample'!N608="",,IF('Donor Sample'!N608="F",1,0))</f>
        <v>0</v>
      </c>
      <c r="Y591" s="298" t="str">
        <f>IF('Donor Sample'!O608="","",'Donor Sample'!O608)</f>
        <v/>
      </c>
      <c r="Z591" s="298" t="str">
        <f>IF(AND('Donor Sample'!O608="",'Donor Sample'!P608="",'Donor Sample'!Q608=""),"",IF('Donor Sample'!P608="",ROUND(AA591/($C$32+($AI591-0.5)*$C$31),0),'Donor Sample'!P608))</f>
        <v/>
      </c>
      <c r="AA591" s="297" t="str">
        <f>IF('Donor Sample'!Q608="","",'Donor Sample'!Q608)</f>
        <v/>
      </c>
      <c r="AB591" s="296" t="str">
        <f t="shared" si="145"/>
        <v/>
      </c>
      <c r="AC591" s="295" t="str">
        <f>IF('Donor Sample'!R608="","",'Donor Sample'!R608)</f>
        <v/>
      </c>
      <c r="AD591" s="294" t="str">
        <f>IF('Donor Sample'!S608="","",'Donor Sample'!S608/100)</f>
        <v/>
      </c>
      <c r="AE591" s="407" t="e">
        <f t="shared" si="155"/>
        <v>#VALUE!</v>
      </c>
      <c r="AF591" s="293" t="str">
        <f t="shared" si="156"/>
        <v/>
      </c>
      <c r="AG591" s="292" t="str">
        <f>IF('Donor Sample'!T608="","",'Donor Sample'!T608)</f>
        <v/>
      </c>
      <c r="AH591" s="891">
        <f t="shared" si="157"/>
        <v>128</v>
      </c>
      <c r="AI591" s="1220">
        <v>0.94179683923721313</v>
      </c>
      <c r="AJ591" s="1216"/>
    </row>
    <row r="592" spans="5:36">
      <c r="E592" s="299">
        <v>584</v>
      </c>
      <c r="F592" s="308">
        <f t="shared" ca="1" si="146"/>
        <v>3705.2200104706963</v>
      </c>
      <c r="G592" s="307">
        <f t="shared" ca="1" si="147"/>
        <v>273.18860669601582</v>
      </c>
      <c r="H592" s="306">
        <f t="shared" ca="1" si="148"/>
        <v>0.47496086926351266</v>
      </c>
      <c r="I592" s="305">
        <f t="shared" ca="1" si="150"/>
        <v>126.06733732116894</v>
      </c>
      <c r="J592" s="305">
        <f t="shared" ca="1" si="151"/>
        <v>65.386737294119115</v>
      </c>
      <c r="K592" s="292">
        <f t="shared" ca="1" si="149"/>
        <v>4.6894278817438808</v>
      </c>
      <c r="L592" s="1290">
        <f t="shared" ca="1" si="152"/>
        <v>20.758496963624637</v>
      </c>
      <c r="M592" s="299">
        <v>584</v>
      </c>
      <c r="N592" s="304">
        <f t="shared" si="153"/>
        <v>3842.6213340429376</v>
      </c>
      <c r="O592" s="303">
        <v>251.62594721816544</v>
      </c>
      <c r="P592" s="302">
        <v>0.37005163409075825</v>
      </c>
      <c r="Q592" s="301">
        <v>151.24460407439361</v>
      </c>
      <c r="R592" s="301">
        <v>62.004582756839213</v>
      </c>
      <c r="S592" s="300">
        <v>2.0148046549322012</v>
      </c>
      <c r="T592" s="891">
        <f t="shared" si="154"/>
        <v>2</v>
      </c>
      <c r="U592" s="1220">
        <v>0.21963024139404297</v>
      </c>
      <c r="W592" s="299">
        <v>584</v>
      </c>
      <c r="X592" s="298">
        <f>IF('Donor Sample'!N609="",,IF('Donor Sample'!N609="F",1,0))</f>
        <v>0</v>
      </c>
      <c r="Y592" s="298" t="str">
        <f>IF('Donor Sample'!O609="","",'Donor Sample'!O609)</f>
        <v/>
      </c>
      <c r="Z592" s="298" t="str">
        <f>IF(AND('Donor Sample'!O609="",'Donor Sample'!P609="",'Donor Sample'!Q609=""),"",IF('Donor Sample'!P609="",ROUND(AA592/($C$32+($AI592-0.5)*$C$31),0),'Donor Sample'!P609))</f>
        <v/>
      </c>
      <c r="AA592" s="297" t="str">
        <f>IF('Donor Sample'!Q609="","",'Donor Sample'!Q609)</f>
        <v/>
      </c>
      <c r="AB592" s="296" t="str">
        <f t="shared" si="145"/>
        <v/>
      </c>
      <c r="AC592" s="295" t="str">
        <f>IF('Donor Sample'!R609="","",'Donor Sample'!R609)</f>
        <v/>
      </c>
      <c r="AD592" s="294" t="str">
        <f>IF('Donor Sample'!S609="","",'Donor Sample'!S609/100)</f>
        <v/>
      </c>
      <c r="AE592" s="293" t="e">
        <f t="shared" si="155"/>
        <v>#VALUE!</v>
      </c>
      <c r="AF592" s="293" t="str">
        <f t="shared" si="156"/>
        <v/>
      </c>
      <c r="AG592" s="292" t="str">
        <f>IF('Donor Sample'!T609="","",'Donor Sample'!T609)</f>
        <v/>
      </c>
      <c r="AH592" s="891">
        <f t="shared" si="157"/>
        <v>128</v>
      </c>
      <c r="AI592" s="1220">
        <v>0.9451594352722168</v>
      </c>
      <c r="AJ592" s="1216"/>
    </row>
    <row r="593" spans="5:36">
      <c r="E593" s="299">
        <v>585</v>
      </c>
      <c r="F593" s="308">
        <f t="shared" ca="1" si="146"/>
        <v>2618.462815718879</v>
      </c>
      <c r="G593" s="307">
        <f t="shared" ca="1" si="147"/>
        <v>258.11420663244712</v>
      </c>
      <c r="H593" s="306">
        <f t="shared" ca="1" si="148"/>
        <v>0.43262942450007119</v>
      </c>
      <c r="I593" s="305">
        <f t="shared" ca="1" si="150"/>
        <v>84.307367456100152</v>
      </c>
      <c r="J593" s="305">
        <f t="shared" ca="1" si="151"/>
        <v>50.701473312309602</v>
      </c>
      <c r="K593" s="292">
        <f t="shared" ca="1" si="149"/>
        <v>1.7341486266685839</v>
      </c>
      <c r="L593" s="1290">
        <f t="shared" ca="1" si="152"/>
        <v>23.088569630011879</v>
      </c>
      <c r="M593" s="299">
        <v>585</v>
      </c>
      <c r="N593" s="304">
        <f t="shared" si="153"/>
        <v>3608.4597004648194</v>
      </c>
      <c r="O593" s="303">
        <v>236.60631248957952</v>
      </c>
      <c r="P593" s="302">
        <v>0.35069134927609746</v>
      </c>
      <c r="Q593" s="301">
        <v>132.13153601131242</v>
      </c>
      <c r="R593" s="301">
        <v>56.343286875465125</v>
      </c>
      <c r="S593" s="300">
        <v>2.0188845369619397</v>
      </c>
      <c r="T593" s="891">
        <f t="shared" si="154"/>
        <v>4</v>
      </c>
      <c r="U593" s="1220">
        <v>0.36599272489547729</v>
      </c>
      <c r="W593" s="299">
        <v>585</v>
      </c>
      <c r="X593" s="298">
        <f>IF('Donor Sample'!N610="",,IF('Donor Sample'!N610="F",1,0))</f>
        <v>0</v>
      </c>
      <c r="Y593" s="298" t="str">
        <f>IF('Donor Sample'!O610="","",'Donor Sample'!O610)</f>
        <v/>
      </c>
      <c r="Z593" s="298" t="str">
        <f>IF(AND('Donor Sample'!O610="",'Donor Sample'!P610="",'Donor Sample'!Q610=""),"",IF('Donor Sample'!P610="",ROUND(AA593/($C$32+($AI593-0.5)*$C$31),0),'Donor Sample'!P610))</f>
        <v/>
      </c>
      <c r="AA593" s="297" t="str">
        <f>IF('Donor Sample'!Q610="","",'Donor Sample'!Q610)</f>
        <v/>
      </c>
      <c r="AB593" s="296" t="str">
        <f t="shared" si="145"/>
        <v/>
      </c>
      <c r="AC593" s="295" t="str">
        <f>IF('Donor Sample'!R610="","",'Donor Sample'!R610)</f>
        <v/>
      </c>
      <c r="AD593" s="294" t="str">
        <f>IF('Donor Sample'!S610="","",'Donor Sample'!S610/100)</f>
        <v/>
      </c>
      <c r="AE593" s="293" t="e">
        <f t="shared" si="155"/>
        <v>#VALUE!</v>
      </c>
      <c r="AF593" s="293" t="str">
        <f t="shared" si="156"/>
        <v/>
      </c>
      <c r="AG593" s="292" t="str">
        <f>IF('Donor Sample'!T610="","",'Donor Sample'!T610)</f>
        <v/>
      </c>
      <c r="AH593" s="891">
        <f t="shared" si="157"/>
        <v>2</v>
      </c>
      <c r="AI593" s="1220">
        <v>0.35786217451095581</v>
      </c>
      <c r="AJ593" s="1216"/>
    </row>
    <row r="594" spans="5:36">
      <c r="E594" s="299">
        <v>586</v>
      </c>
      <c r="F594" s="308">
        <f t="shared" ca="1" si="146"/>
        <v>3540.9738370329378</v>
      </c>
      <c r="G594" s="307">
        <f t="shared" ca="1" si="147"/>
        <v>237.43462937416726</v>
      </c>
      <c r="H594" s="306">
        <f t="shared" ca="1" si="148"/>
        <v>0.39320161063980791</v>
      </c>
      <c r="I594" s="305">
        <f t="shared" ca="1" si="150"/>
        <v>138.59122240873671</v>
      </c>
      <c r="J594" s="305">
        <f t="shared" ca="1" si="151"/>
        <v>60.295999976276953</v>
      </c>
      <c r="K594" s="292">
        <f t="shared" ca="1" si="149"/>
        <v>1.3609906506698193</v>
      </c>
      <c r="L594" s="1290">
        <f t="shared" ca="1" si="152"/>
        <v>26.836840208810298</v>
      </c>
      <c r="M594" s="299">
        <v>586</v>
      </c>
      <c r="N594" s="304">
        <f t="shared" si="153"/>
        <v>2765.634125601774</v>
      </c>
      <c r="O594" s="303">
        <v>181.43107951365346</v>
      </c>
      <c r="P594" s="302">
        <v>0.42697304513541445</v>
      </c>
      <c r="Q594" s="301">
        <v>102.83214256090622</v>
      </c>
      <c r="R594" s="301">
        <v>56.279726845494068</v>
      </c>
      <c r="S594" s="300">
        <v>1.9983073109687441</v>
      </c>
      <c r="T594" s="891">
        <f t="shared" si="154"/>
        <v>64</v>
      </c>
      <c r="U594" s="1220">
        <v>0.76986181735992432</v>
      </c>
      <c r="W594" s="299">
        <v>586</v>
      </c>
      <c r="X594" s="298">
        <f>IF('Donor Sample'!N611="",,IF('Donor Sample'!N611="F",1,0))</f>
        <v>0</v>
      </c>
      <c r="Y594" s="298" t="str">
        <f>IF('Donor Sample'!O611="","",'Donor Sample'!O611)</f>
        <v/>
      </c>
      <c r="Z594" s="298" t="str">
        <f>IF(AND('Donor Sample'!O611="",'Donor Sample'!P611="",'Donor Sample'!Q611=""),"",IF('Donor Sample'!P611="",ROUND(AA594/($C$32+($AI594-0.5)*$C$31),0),'Donor Sample'!P611))</f>
        <v/>
      </c>
      <c r="AA594" s="297" t="str">
        <f>IF('Donor Sample'!Q611="","",'Donor Sample'!Q611)</f>
        <v/>
      </c>
      <c r="AB594" s="296" t="str">
        <f t="shared" si="145"/>
        <v/>
      </c>
      <c r="AC594" s="295" t="str">
        <f>IF('Donor Sample'!R611="","",'Donor Sample'!R611)</f>
        <v/>
      </c>
      <c r="AD594" s="294" t="str">
        <f>IF('Donor Sample'!S611="","",'Donor Sample'!S611/100)</f>
        <v/>
      </c>
      <c r="AE594" s="407" t="e">
        <f t="shared" si="155"/>
        <v>#VALUE!</v>
      </c>
      <c r="AF594" s="293" t="str">
        <f t="shared" si="156"/>
        <v/>
      </c>
      <c r="AG594" s="292" t="str">
        <f>IF('Donor Sample'!T611="","",'Donor Sample'!T611)</f>
        <v/>
      </c>
      <c r="AH594" s="891">
        <f t="shared" si="157"/>
        <v>32</v>
      </c>
      <c r="AI594" s="1220">
        <v>0.78888237476348877</v>
      </c>
      <c r="AJ594" s="1216"/>
    </row>
    <row r="595" spans="5:36">
      <c r="E595" s="299">
        <v>587</v>
      </c>
      <c r="F595" s="308">
        <f t="shared" ca="1" si="146"/>
        <v>3995.0179175519133</v>
      </c>
      <c r="G595" s="307">
        <f t="shared" ca="1" si="147"/>
        <v>296.96144174266567</v>
      </c>
      <c r="H595" s="306">
        <f t="shared" ca="1" si="148"/>
        <v>0.42892135132086773</v>
      </c>
      <c r="I595" s="305">
        <f t="shared" ca="1" si="150"/>
        <v>157.4760403584196</v>
      </c>
      <c r="J595" s="305">
        <f t="shared" ca="1" si="151"/>
        <v>56.630494339953657</v>
      </c>
      <c r="K595" s="292">
        <f t="shared" ca="1" si="149"/>
        <v>5.1244118409722432</v>
      </c>
      <c r="L595" s="1290">
        <f t="shared" ca="1" si="152"/>
        <v>34.568970017583517</v>
      </c>
      <c r="M595" s="299">
        <v>587</v>
      </c>
      <c r="N595" s="304">
        <f t="shared" si="153"/>
        <v>3034.4846960093082</v>
      </c>
      <c r="O595" s="303">
        <v>235.95441510291855</v>
      </c>
      <c r="P595" s="302">
        <v>0.39929210150034722</v>
      </c>
      <c r="Q595" s="301">
        <v>108.34888805009939</v>
      </c>
      <c r="R595" s="301">
        <v>52.066670241232437</v>
      </c>
      <c r="S595" s="300">
        <v>2.9252025180964552</v>
      </c>
      <c r="T595" s="891">
        <f t="shared" si="154"/>
        <v>2</v>
      </c>
      <c r="U595" s="1220">
        <v>0.21688491106033325</v>
      </c>
      <c r="W595" s="299">
        <v>587</v>
      </c>
      <c r="X595" s="298">
        <f>IF('Donor Sample'!N612="",,IF('Donor Sample'!N612="F",1,0))</f>
        <v>0</v>
      </c>
      <c r="Y595" s="298" t="str">
        <f>IF('Donor Sample'!O612="","",'Donor Sample'!O612)</f>
        <v/>
      </c>
      <c r="Z595" s="298" t="str">
        <f>IF(AND('Donor Sample'!O612="",'Donor Sample'!P612="",'Donor Sample'!Q612=""),"",IF('Donor Sample'!P612="",ROUND(AA595/($C$32+($AI595-0.5)*$C$31),0),'Donor Sample'!P612))</f>
        <v/>
      </c>
      <c r="AA595" s="297" t="str">
        <f>IF('Donor Sample'!Q612="","",'Donor Sample'!Q612)</f>
        <v/>
      </c>
      <c r="AB595" s="296" t="str">
        <f t="shared" si="145"/>
        <v/>
      </c>
      <c r="AC595" s="295" t="str">
        <f>IF('Donor Sample'!R612="","",'Donor Sample'!R612)</f>
        <v/>
      </c>
      <c r="AD595" s="294" t="str">
        <f>IF('Donor Sample'!S612="","",'Donor Sample'!S612/100)</f>
        <v/>
      </c>
      <c r="AE595" s="293" t="e">
        <f t="shared" si="155"/>
        <v>#VALUE!</v>
      </c>
      <c r="AF595" s="293" t="str">
        <f t="shared" si="156"/>
        <v/>
      </c>
      <c r="AG595" s="292" t="str">
        <f>IF('Donor Sample'!T612="","",'Donor Sample'!T612)</f>
        <v/>
      </c>
      <c r="AH595" s="891">
        <f t="shared" si="157"/>
        <v>64</v>
      </c>
      <c r="AI595" s="1220">
        <v>0.67593652009963989</v>
      </c>
      <c r="AJ595" s="1216"/>
    </row>
    <row r="596" spans="5:36">
      <c r="E596" s="299">
        <v>588</v>
      </c>
      <c r="F596" s="308">
        <f t="shared" ca="1" si="146"/>
        <v>3689.4002145149411</v>
      </c>
      <c r="G596" s="307">
        <f t="shared" ca="1" si="147"/>
        <v>241.82332924577406</v>
      </c>
      <c r="H596" s="306">
        <f t="shared" ca="1" si="148"/>
        <v>0.44466633110607573</v>
      </c>
      <c r="I596" s="305">
        <f t="shared" ca="1" si="150"/>
        <v>124.02980232421848</v>
      </c>
      <c r="J596" s="305">
        <f t="shared" ca="1" si="151"/>
        <v>65.58313993409115</v>
      </c>
      <c r="K596" s="292">
        <f t="shared" ca="1" si="149"/>
        <v>1.7102586384789322</v>
      </c>
      <c r="L596" s="1290">
        <f t="shared" ca="1" si="152"/>
        <v>20.300853607145314</v>
      </c>
      <c r="M596" s="299">
        <v>588</v>
      </c>
      <c r="N596" s="304">
        <f t="shared" si="153"/>
        <v>3907.4991261555028</v>
      </c>
      <c r="O596" s="303">
        <v>269.45856752484974</v>
      </c>
      <c r="P596" s="302">
        <v>0.46796236456856888</v>
      </c>
      <c r="Q596" s="301">
        <v>130.90588660146179</v>
      </c>
      <c r="R596" s="301">
        <v>67.075744400080168</v>
      </c>
      <c r="S596" s="300">
        <v>1.9955909496047433</v>
      </c>
      <c r="T596" s="891">
        <f t="shared" si="154"/>
        <v>2</v>
      </c>
      <c r="U596" s="1220">
        <v>0.33742451667785645</v>
      </c>
      <c r="W596" s="299">
        <v>588</v>
      </c>
      <c r="X596" s="298">
        <f>IF('Donor Sample'!N613="",,IF('Donor Sample'!N613="F",1,0))</f>
        <v>0</v>
      </c>
      <c r="Y596" s="298" t="str">
        <f>IF('Donor Sample'!O613="","",'Donor Sample'!O613)</f>
        <v/>
      </c>
      <c r="Z596" s="298" t="str">
        <f>IF(AND('Donor Sample'!O613="",'Donor Sample'!P613="",'Donor Sample'!Q613=""),"",IF('Donor Sample'!P613="",ROUND(AA596/($C$32+($AI596-0.5)*$C$31),0),'Donor Sample'!P613))</f>
        <v/>
      </c>
      <c r="AA596" s="297" t="str">
        <f>IF('Donor Sample'!Q613="","",'Donor Sample'!Q613)</f>
        <v/>
      </c>
      <c r="AB596" s="296" t="str">
        <f t="shared" si="145"/>
        <v/>
      </c>
      <c r="AC596" s="295" t="str">
        <f>IF('Donor Sample'!R613="","",'Donor Sample'!R613)</f>
        <v/>
      </c>
      <c r="AD596" s="294" t="str">
        <f>IF('Donor Sample'!S613="","",'Donor Sample'!S613/100)</f>
        <v/>
      </c>
      <c r="AE596" s="293" t="e">
        <f t="shared" si="155"/>
        <v>#VALUE!</v>
      </c>
      <c r="AF596" s="293" t="str">
        <f t="shared" si="156"/>
        <v/>
      </c>
      <c r="AG596" s="292" t="str">
        <f>IF('Donor Sample'!T613="","",'Donor Sample'!T613)</f>
        <v/>
      </c>
      <c r="AH596" s="891">
        <f t="shared" si="157"/>
        <v>256</v>
      </c>
      <c r="AI596" s="1220">
        <v>0.91192984580993652</v>
      </c>
      <c r="AJ596" s="1216"/>
    </row>
    <row r="597" spans="5:36">
      <c r="E597" s="299">
        <v>589</v>
      </c>
      <c r="F597" s="308">
        <f t="shared" ca="1" si="146"/>
        <v>3863.9950741845523</v>
      </c>
      <c r="G597" s="307">
        <f t="shared" ca="1" si="147"/>
        <v>253.376233523065</v>
      </c>
      <c r="H597" s="306">
        <f t="shared" ca="1" si="148"/>
        <v>0.41535209597997957</v>
      </c>
      <c r="I597" s="305">
        <f t="shared" ca="1" si="150"/>
        <v>149.46385096641447</v>
      </c>
      <c r="J597" s="305">
        <f t="shared" ca="1" si="151"/>
        <v>56.386629850336107</v>
      </c>
      <c r="K597" s="292">
        <f t="shared" ca="1" si="149"/>
        <v>3.6514618604211972</v>
      </c>
      <c r="L597" s="1290">
        <f t="shared" ca="1" si="152"/>
        <v>33.094555358567426</v>
      </c>
      <c r="M597" s="299">
        <v>589</v>
      </c>
      <c r="N597" s="304">
        <f t="shared" si="153"/>
        <v>3286.8495827955157</v>
      </c>
      <c r="O597" s="303">
        <v>236.75117957488214</v>
      </c>
      <c r="P597" s="302">
        <v>0.46321158393228323</v>
      </c>
      <c r="Q597" s="301">
        <v>126.45352831026018</v>
      </c>
      <c r="R597" s="301">
        <v>51.82084453418436</v>
      </c>
      <c r="S597" s="300">
        <v>2.4894146837646169</v>
      </c>
      <c r="T597" s="891">
        <f t="shared" si="154"/>
        <v>2</v>
      </c>
      <c r="U597" s="1220">
        <v>0.27847903966903687</v>
      </c>
      <c r="W597" s="299">
        <v>589</v>
      </c>
      <c r="X597" s="298">
        <f>IF('Donor Sample'!N614="",,IF('Donor Sample'!N614="F",1,0))</f>
        <v>0</v>
      </c>
      <c r="Y597" s="298" t="str">
        <f>IF('Donor Sample'!O614="","",'Donor Sample'!O614)</f>
        <v/>
      </c>
      <c r="Z597" s="298" t="str">
        <f>IF(AND('Donor Sample'!O614="",'Donor Sample'!P614="",'Donor Sample'!Q614=""),"",IF('Donor Sample'!P614="",ROUND(AA597/($C$32+($AI597-0.5)*$C$31),0),'Donor Sample'!P614))</f>
        <v/>
      </c>
      <c r="AA597" s="297" t="str">
        <f>IF('Donor Sample'!Q614="","",'Donor Sample'!Q614)</f>
        <v/>
      </c>
      <c r="AB597" s="296" t="str">
        <f t="shared" si="145"/>
        <v/>
      </c>
      <c r="AC597" s="295" t="str">
        <f>IF('Donor Sample'!R614="","",'Donor Sample'!R614)</f>
        <v/>
      </c>
      <c r="AD597" s="294" t="str">
        <f>IF('Donor Sample'!S614="","",'Donor Sample'!S614/100)</f>
        <v/>
      </c>
      <c r="AE597" s="407" t="e">
        <f t="shared" si="155"/>
        <v>#VALUE!</v>
      </c>
      <c r="AF597" s="293" t="str">
        <f t="shared" si="156"/>
        <v/>
      </c>
      <c r="AG597" s="292" t="str">
        <f>IF('Donor Sample'!T614="","",'Donor Sample'!T614)</f>
        <v/>
      </c>
      <c r="AH597" s="891">
        <f t="shared" si="157"/>
        <v>2</v>
      </c>
      <c r="AI597" s="1220">
        <v>0.19998258352279663</v>
      </c>
      <c r="AJ597" s="1216"/>
    </row>
    <row r="598" spans="5:36">
      <c r="E598" s="299">
        <v>590</v>
      </c>
      <c r="F598" s="308">
        <f t="shared" ca="1" si="146"/>
        <v>2986.6736821500808</v>
      </c>
      <c r="G598" s="307">
        <f t="shared" ca="1" si="147"/>
        <v>205.89099863110243</v>
      </c>
      <c r="H598" s="306">
        <f t="shared" ca="1" si="148"/>
        <v>0.46435611279931999</v>
      </c>
      <c r="I598" s="305">
        <f t="shared" ca="1" si="150"/>
        <v>94.030956160224406</v>
      </c>
      <c r="J598" s="305">
        <f t="shared" ca="1" si="151"/>
        <v>55.174945418260315</v>
      </c>
      <c r="K598" s="292">
        <f t="shared" ca="1" si="149"/>
        <v>1.633911951154567</v>
      </c>
      <c r="L598" s="1290">
        <f t="shared" ca="1" si="152"/>
        <v>21.745013769555605</v>
      </c>
      <c r="M598" s="299">
        <v>590</v>
      </c>
      <c r="N598" s="304">
        <f t="shared" si="153"/>
        <v>3490.7615748429712</v>
      </c>
      <c r="O598" s="303">
        <v>214.21327195926756</v>
      </c>
      <c r="P598" s="302">
        <v>0.40954417593103704</v>
      </c>
      <c r="Q598" s="301">
        <v>110.17886705627456</v>
      </c>
      <c r="R598" s="301">
        <v>59.683501905583142</v>
      </c>
      <c r="S598" s="300">
        <v>2.832902950961838</v>
      </c>
      <c r="T598" s="891">
        <f t="shared" si="154"/>
        <v>64</v>
      </c>
      <c r="U598" s="1220">
        <v>0.48479545116424561</v>
      </c>
      <c r="W598" s="299">
        <v>590</v>
      </c>
      <c r="X598" s="298">
        <f>IF('Donor Sample'!N615="",,IF('Donor Sample'!N615="F",1,0))</f>
        <v>0</v>
      </c>
      <c r="Y598" s="298" t="str">
        <f>IF('Donor Sample'!O615="","",'Donor Sample'!O615)</f>
        <v/>
      </c>
      <c r="Z598" s="298" t="str">
        <f>IF(AND('Donor Sample'!O615="",'Donor Sample'!P615="",'Donor Sample'!Q615=""),"",IF('Donor Sample'!P615="",ROUND(AA598/($C$32+($AI598-0.5)*$C$31),0),'Donor Sample'!P615))</f>
        <v/>
      </c>
      <c r="AA598" s="297" t="str">
        <f>IF('Donor Sample'!Q615="","",'Donor Sample'!Q615)</f>
        <v/>
      </c>
      <c r="AB598" s="296" t="str">
        <f t="shared" si="145"/>
        <v/>
      </c>
      <c r="AC598" s="295" t="str">
        <f>IF('Donor Sample'!R615="","",'Donor Sample'!R615)</f>
        <v/>
      </c>
      <c r="AD598" s="294" t="str">
        <f>IF('Donor Sample'!S615="","",'Donor Sample'!S615/100)</f>
        <v/>
      </c>
      <c r="AE598" s="293" t="e">
        <f t="shared" si="155"/>
        <v>#VALUE!</v>
      </c>
      <c r="AF598" s="293" t="str">
        <f t="shared" si="156"/>
        <v/>
      </c>
      <c r="AG598" s="292" t="str">
        <f>IF('Donor Sample'!T615="","",'Donor Sample'!T615)</f>
        <v/>
      </c>
      <c r="AH598" s="891">
        <f t="shared" si="157"/>
        <v>2</v>
      </c>
      <c r="AI598" s="1220">
        <v>0.28522622585296631</v>
      </c>
      <c r="AJ598" s="1216"/>
    </row>
    <row r="599" spans="5:36">
      <c r="E599" s="299">
        <v>591</v>
      </c>
      <c r="F599" s="308">
        <f t="shared" ca="1" si="146"/>
        <v>3826.5481884227488</v>
      </c>
      <c r="G599" s="307">
        <f t="shared" ca="1" si="147"/>
        <v>214.72223616390016</v>
      </c>
      <c r="H599" s="306">
        <f t="shared" ca="1" si="148"/>
        <v>0.38707144911621016</v>
      </c>
      <c r="I599" s="305">
        <f t="shared" ca="1" si="150"/>
        <v>154.8925720224693</v>
      </c>
      <c r="J599" s="305">
        <f t="shared" ca="1" si="151"/>
        <v>54.273234856297876</v>
      </c>
      <c r="K599" s="292">
        <f t="shared" ca="1" si="149"/>
        <v>3.7569061286720262</v>
      </c>
      <c r="L599" s="1290">
        <f t="shared" ca="1" si="152"/>
        <v>37.019609659075236</v>
      </c>
      <c r="M599" s="299">
        <v>591</v>
      </c>
      <c r="N599" s="304">
        <f t="shared" si="153"/>
        <v>3198.0176580910575</v>
      </c>
      <c r="O599" s="303">
        <v>160.96748691816768</v>
      </c>
      <c r="P599" s="302">
        <v>0.36868336589773937</v>
      </c>
      <c r="Q599" s="301">
        <v>128.73996232800965</v>
      </c>
      <c r="R599" s="301">
        <v>49.163603077008375</v>
      </c>
      <c r="S599" s="300">
        <v>1.4694245920939546</v>
      </c>
      <c r="T599" s="891">
        <f t="shared" si="154"/>
        <v>16</v>
      </c>
      <c r="U599" s="1220">
        <v>0.96490627527236938</v>
      </c>
      <c r="W599" s="299">
        <v>591</v>
      </c>
      <c r="X599" s="298">
        <f>IF('Donor Sample'!N616="",,IF('Donor Sample'!N616="F",1,0))</f>
        <v>0</v>
      </c>
      <c r="Y599" s="298" t="str">
        <f>IF('Donor Sample'!O616="","",'Donor Sample'!O616)</f>
        <v/>
      </c>
      <c r="Z599" s="298" t="str">
        <f>IF(AND('Donor Sample'!O616="",'Donor Sample'!P616="",'Donor Sample'!Q616=""),"",IF('Donor Sample'!P616="",ROUND(AA599/($C$32+($AI599-0.5)*$C$31),0),'Donor Sample'!P616))</f>
        <v/>
      </c>
      <c r="AA599" s="297" t="str">
        <f>IF('Donor Sample'!Q616="","",'Donor Sample'!Q616)</f>
        <v/>
      </c>
      <c r="AB599" s="296" t="str">
        <f t="shared" si="145"/>
        <v/>
      </c>
      <c r="AC599" s="295" t="str">
        <f>IF('Donor Sample'!R616="","",'Donor Sample'!R616)</f>
        <v/>
      </c>
      <c r="AD599" s="294" t="str">
        <f>IF('Donor Sample'!S616="","",'Donor Sample'!S616/100)</f>
        <v/>
      </c>
      <c r="AE599" s="293" t="e">
        <f t="shared" si="155"/>
        <v>#VALUE!</v>
      </c>
      <c r="AF599" s="293" t="str">
        <f t="shared" si="156"/>
        <v/>
      </c>
      <c r="AG599" s="292" t="str">
        <f>IF('Donor Sample'!T616="","",'Donor Sample'!T616)</f>
        <v/>
      </c>
      <c r="AH599" s="891">
        <f t="shared" si="157"/>
        <v>4</v>
      </c>
      <c r="AI599" s="1220">
        <v>0.36878973245620728</v>
      </c>
      <c r="AJ599" s="1216"/>
    </row>
    <row r="600" spans="5:36">
      <c r="E600" s="299">
        <v>592</v>
      </c>
      <c r="F600" s="308">
        <f t="shared" ca="1" si="146"/>
        <v>3489.318532800708</v>
      </c>
      <c r="G600" s="307">
        <f t="shared" ca="1" si="147"/>
        <v>230.8479612455543</v>
      </c>
      <c r="H600" s="306">
        <f t="shared" ca="1" si="148"/>
        <v>0.39963175560191488</v>
      </c>
      <c r="I600" s="305">
        <f t="shared" ca="1" si="150"/>
        <v>118.10139374849419</v>
      </c>
      <c r="J600" s="305">
        <f t="shared" ca="1" si="151"/>
        <v>57.801952712829632</v>
      </c>
      <c r="K600" s="292">
        <f t="shared" ca="1" si="149"/>
        <v>1.7942660959965253</v>
      </c>
      <c r="L600" s="1290">
        <f t="shared" ca="1" si="152"/>
        <v>24.885287430243348</v>
      </c>
      <c r="M600" s="299">
        <v>592</v>
      </c>
      <c r="N600" s="304">
        <f t="shared" si="153"/>
        <v>3591.7152944103091</v>
      </c>
      <c r="O600" s="303">
        <v>217.26876891452082</v>
      </c>
      <c r="P600" s="302">
        <v>0.42314115950429398</v>
      </c>
      <c r="Q600" s="301">
        <v>115.99996260845516</v>
      </c>
      <c r="R600" s="301">
        <v>59.930981978141652</v>
      </c>
      <c r="S600" s="300">
        <v>3.6449597275691721</v>
      </c>
      <c r="T600" s="891">
        <f t="shared" si="154"/>
        <v>64</v>
      </c>
      <c r="U600" s="1220">
        <v>0.66489362716674805</v>
      </c>
      <c r="W600" s="299">
        <v>592</v>
      </c>
      <c r="X600" s="298">
        <f>IF('Donor Sample'!N617="",,IF('Donor Sample'!N617="F",1,0))</f>
        <v>0</v>
      </c>
      <c r="Y600" s="298" t="str">
        <f>IF('Donor Sample'!O617="","",'Donor Sample'!O617)</f>
        <v/>
      </c>
      <c r="Z600" s="298" t="str">
        <f>IF(AND('Donor Sample'!O617="",'Donor Sample'!P617="",'Donor Sample'!Q617=""),"",IF('Donor Sample'!P617="",ROUND(AA600/($C$32+($AI600-0.5)*$C$31),0),'Donor Sample'!P617))</f>
        <v/>
      </c>
      <c r="AA600" s="297" t="str">
        <f>IF('Donor Sample'!Q617="","",'Donor Sample'!Q617)</f>
        <v/>
      </c>
      <c r="AB600" s="296" t="str">
        <f t="shared" si="145"/>
        <v/>
      </c>
      <c r="AC600" s="295" t="str">
        <f>IF('Donor Sample'!R617="","",'Donor Sample'!R617)</f>
        <v/>
      </c>
      <c r="AD600" s="294" t="str">
        <f>IF('Donor Sample'!S617="","",'Donor Sample'!S617/100)</f>
        <v/>
      </c>
      <c r="AE600" s="407" t="e">
        <f t="shared" si="155"/>
        <v>#VALUE!</v>
      </c>
      <c r="AF600" s="293" t="str">
        <f t="shared" si="156"/>
        <v/>
      </c>
      <c r="AG600" s="292" t="str">
        <f>IF('Donor Sample'!T617="","",'Donor Sample'!T617)</f>
        <v/>
      </c>
      <c r="AH600" s="891">
        <f t="shared" si="157"/>
        <v>64</v>
      </c>
      <c r="AI600" s="1220">
        <v>0.53771591186523438</v>
      </c>
      <c r="AJ600" s="1216"/>
    </row>
    <row r="601" spans="5:36">
      <c r="E601" s="299">
        <v>593</v>
      </c>
      <c r="F601" s="308">
        <f t="shared" ca="1" si="146"/>
        <v>3919.3840116232632</v>
      </c>
      <c r="G601" s="307">
        <f t="shared" ca="1" si="147"/>
        <v>226.70877453845259</v>
      </c>
      <c r="H601" s="306">
        <f t="shared" ca="1" si="148"/>
        <v>0.43611327245806025</v>
      </c>
      <c r="I601" s="305">
        <f t="shared" ca="1" si="150"/>
        <v>138.19072840598255</v>
      </c>
      <c r="J601" s="305">
        <f t="shared" ca="1" si="151"/>
        <v>59.987790092291519</v>
      </c>
      <c r="K601" s="292">
        <f t="shared" ca="1" si="149"/>
        <v>4.9980587246971035</v>
      </c>
      <c r="L601" s="1290">
        <f t="shared" ca="1" si="152"/>
        <v>27.034966694771768</v>
      </c>
      <c r="M601" s="299">
        <v>593</v>
      </c>
      <c r="N601" s="304">
        <f t="shared" si="153"/>
        <v>3636.3421576132664</v>
      </c>
      <c r="O601" s="303">
        <v>232.52104185089792</v>
      </c>
      <c r="P601" s="302">
        <v>0.39281029862228645</v>
      </c>
      <c r="Q601" s="301">
        <v>112.15368976642158</v>
      </c>
      <c r="R601" s="301">
        <v>61.448014748987021</v>
      </c>
      <c r="S601" s="300">
        <v>6.4598658007157947</v>
      </c>
      <c r="T601" s="891">
        <f t="shared" si="154"/>
        <v>32</v>
      </c>
      <c r="U601" s="1220">
        <v>0.83147209882736206</v>
      </c>
      <c r="W601" s="299">
        <v>593</v>
      </c>
      <c r="X601" s="298">
        <f>IF('Donor Sample'!N618="",,IF('Donor Sample'!N618="F",1,0))</f>
        <v>0</v>
      </c>
      <c r="Y601" s="298" t="str">
        <f>IF('Donor Sample'!O618="","",'Donor Sample'!O618)</f>
        <v/>
      </c>
      <c r="Z601" s="298" t="str">
        <f>IF(AND('Donor Sample'!O618="",'Donor Sample'!P618="",'Donor Sample'!Q618=""),"",IF('Donor Sample'!P618="",ROUND(AA601/($C$32+($AI601-0.5)*$C$31),0),'Donor Sample'!P618))</f>
        <v/>
      </c>
      <c r="AA601" s="297" t="str">
        <f>IF('Donor Sample'!Q618="","",'Donor Sample'!Q618)</f>
        <v/>
      </c>
      <c r="AB601" s="296" t="str">
        <f t="shared" si="145"/>
        <v/>
      </c>
      <c r="AC601" s="295" t="str">
        <f>IF('Donor Sample'!R618="","",'Donor Sample'!R618)</f>
        <v/>
      </c>
      <c r="AD601" s="294" t="str">
        <f>IF('Donor Sample'!S618="","",'Donor Sample'!S618/100)</f>
        <v/>
      </c>
      <c r="AE601" s="293" t="e">
        <f t="shared" si="155"/>
        <v>#VALUE!</v>
      </c>
      <c r="AF601" s="293" t="str">
        <f t="shared" si="156"/>
        <v/>
      </c>
      <c r="AG601" s="292" t="str">
        <f>IF('Donor Sample'!T618="","",'Donor Sample'!T618)</f>
        <v/>
      </c>
      <c r="AH601" s="891">
        <f t="shared" si="157"/>
        <v>64</v>
      </c>
      <c r="AI601" s="1220">
        <v>0.45958727598190308</v>
      </c>
      <c r="AJ601" s="1216"/>
    </row>
    <row r="602" spans="5:36">
      <c r="E602" s="299">
        <v>594</v>
      </c>
      <c r="F602" s="308">
        <f t="shared" ca="1" si="146"/>
        <v>2828.0937979901164</v>
      </c>
      <c r="G602" s="307">
        <f t="shared" ca="1" si="147"/>
        <v>249.49390309904399</v>
      </c>
      <c r="H602" s="306">
        <f t="shared" ca="1" si="148"/>
        <v>0.45127367344484948</v>
      </c>
      <c r="I602" s="305">
        <f t="shared" ca="1" si="150"/>
        <v>102.94414866795107</v>
      </c>
      <c r="J602" s="305">
        <f t="shared" ca="1" si="151"/>
        <v>49.316702120991934</v>
      </c>
      <c r="K602" s="292">
        <f t="shared" ca="1" si="149"/>
        <v>1.4844232453776889</v>
      </c>
      <c r="L602" s="1290">
        <f t="shared" ca="1" si="152"/>
        <v>29.797942073723078</v>
      </c>
      <c r="M602" s="299">
        <v>594</v>
      </c>
      <c r="N602" s="304">
        <f t="shared" si="153"/>
        <v>3962.7091429416846</v>
      </c>
      <c r="O602" s="303">
        <v>192.89087173257255</v>
      </c>
      <c r="P602" s="302">
        <v>0.39387653488334101</v>
      </c>
      <c r="Q602" s="301">
        <v>148.09882951501066</v>
      </c>
      <c r="R602" s="301">
        <v>58.38399713262654</v>
      </c>
      <c r="S602" s="300">
        <v>18.5403951217403</v>
      </c>
      <c r="T602" s="891">
        <f t="shared" si="154"/>
        <v>64</v>
      </c>
      <c r="U602" s="1220">
        <v>0.46961510181427002</v>
      </c>
      <c r="W602" s="299">
        <v>594</v>
      </c>
      <c r="X602" s="298">
        <f>IF('Donor Sample'!N619="",,IF('Donor Sample'!N619="F",1,0))</f>
        <v>0</v>
      </c>
      <c r="Y602" s="298" t="str">
        <f>IF('Donor Sample'!O619="","",'Donor Sample'!O619)</f>
        <v/>
      </c>
      <c r="Z602" s="298" t="str">
        <f>IF(AND('Donor Sample'!O619="",'Donor Sample'!P619="",'Donor Sample'!Q619=""),"",IF('Donor Sample'!P619="",ROUND(AA602/($C$32+($AI602-0.5)*$C$31),0),'Donor Sample'!P619))</f>
        <v/>
      </c>
      <c r="AA602" s="297" t="str">
        <f>IF('Donor Sample'!Q619="","",'Donor Sample'!Q619)</f>
        <v/>
      </c>
      <c r="AB602" s="296" t="str">
        <f t="shared" si="145"/>
        <v/>
      </c>
      <c r="AC602" s="295" t="str">
        <f>IF('Donor Sample'!R619="","",'Donor Sample'!R619)</f>
        <v/>
      </c>
      <c r="AD602" s="294" t="str">
        <f>IF('Donor Sample'!S619="","",'Donor Sample'!S619/100)</f>
        <v/>
      </c>
      <c r="AE602" s="293" t="e">
        <f t="shared" si="155"/>
        <v>#VALUE!</v>
      </c>
      <c r="AF602" s="293" t="str">
        <f t="shared" si="156"/>
        <v/>
      </c>
      <c r="AG602" s="292" t="str">
        <f>IF('Donor Sample'!T619="","",'Donor Sample'!T619)</f>
        <v/>
      </c>
      <c r="AH602" s="891">
        <f t="shared" si="157"/>
        <v>2</v>
      </c>
      <c r="AI602" s="1220">
        <v>0.34552347660064697</v>
      </c>
      <c r="AJ602" s="1216"/>
    </row>
    <row r="603" spans="5:36">
      <c r="E603" s="299">
        <v>595</v>
      </c>
      <c r="F603" s="308">
        <f t="shared" ca="1" si="146"/>
        <v>3123.8881505137551</v>
      </c>
      <c r="G603" s="307">
        <f t="shared" ca="1" si="147"/>
        <v>262.24765788977726</v>
      </c>
      <c r="H603" s="306">
        <f t="shared" ca="1" si="148"/>
        <v>0.37250287161869566</v>
      </c>
      <c r="I603" s="305">
        <f t="shared" ca="1" si="150"/>
        <v>127.93712980070092</v>
      </c>
      <c r="J603" s="305">
        <f t="shared" ca="1" si="151"/>
        <v>55.947338767596996</v>
      </c>
      <c r="K603" s="292">
        <f t="shared" ca="1" si="149"/>
        <v>2.4498427782334291</v>
      </c>
      <c r="L603" s="1290">
        <f t="shared" ca="1" si="152"/>
        <v>28.774672918449493</v>
      </c>
      <c r="M603" s="299">
        <v>595</v>
      </c>
      <c r="N603" s="304">
        <f t="shared" si="153"/>
        <v>3594.0913766491085</v>
      </c>
      <c r="O603" s="303">
        <v>189.50988422444098</v>
      </c>
      <c r="P603" s="302">
        <v>0.36605644576003599</v>
      </c>
      <c r="Q603" s="301">
        <v>127.65496659719503</v>
      </c>
      <c r="R603" s="301">
        <v>63.531542616302538</v>
      </c>
      <c r="S603" s="300">
        <v>2.2646852076464428</v>
      </c>
      <c r="T603" s="891">
        <f t="shared" si="154"/>
        <v>2</v>
      </c>
      <c r="U603" s="1220">
        <v>0.32905083894729614</v>
      </c>
      <c r="W603" s="299">
        <v>595</v>
      </c>
      <c r="X603" s="298">
        <f>IF('Donor Sample'!N620="",,IF('Donor Sample'!N620="F",1,0))</f>
        <v>0</v>
      </c>
      <c r="Y603" s="298" t="str">
        <f>IF('Donor Sample'!O620="","",'Donor Sample'!O620)</f>
        <v/>
      </c>
      <c r="Z603" s="298" t="str">
        <f>IF(AND('Donor Sample'!O620="",'Donor Sample'!P620="",'Donor Sample'!Q620=""),"",IF('Donor Sample'!P620="",ROUND(AA603/($C$32+($AI603-0.5)*$C$31),0),'Donor Sample'!P620))</f>
        <v/>
      </c>
      <c r="AA603" s="297" t="str">
        <f>IF('Donor Sample'!Q620="","",'Donor Sample'!Q620)</f>
        <v/>
      </c>
      <c r="AB603" s="296" t="str">
        <f t="shared" si="145"/>
        <v/>
      </c>
      <c r="AC603" s="295" t="str">
        <f>IF('Donor Sample'!R620="","",'Donor Sample'!R620)</f>
        <v/>
      </c>
      <c r="AD603" s="294" t="str">
        <f>IF('Donor Sample'!S620="","",'Donor Sample'!S620/100)</f>
        <v/>
      </c>
      <c r="AE603" s="407" t="e">
        <f t="shared" si="155"/>
        <v>#VALUE!</v>
      </c>
      <c r="AF603" s="293" t="str">
        <f t="shared" si="156"/>
        <v/>
      </c>
      <c r="AG603" s="292" t="str">
        <f>IF('Donor Sample'!T620="","",'Donor Sample'!T620)</f>
        <v/>
      </c>
      <c r="AH603" s="891">
        <f t="shared" si="157"/>
        <v>256</v>
      </c>
      <c r="AI603" s="1220">
        <v>0.92056399583816528</v>
      </c>
      <c r="AJ603" s="1216"/>
    </row>
    <row r="604" spans="5:36">
      <c r="E604" s="299">
        <v>596</v>
      </c>
      <c r="F604" s="308">
        <f t="shared" ca="1" si="146"/>
        <v>2775.2634364453957</v>
      </c>
      <c r="G604" s="307">
        <f t="shared" ca="1" si="147"/>
        <v>214.78744057373447</v>
      </c>
      <c r="H604" s="306">
        <f t="shared" ca="1" si="148"/>
        <v>0.38117121115390418</v>
      </c>
      <c r="I604" s="305">
        <f t="shared" ca="1" si="150"/>
        <v>113.86689748816653</v>
      </c>
      <c r="J604" s="305">
        <f t="shared" ca="1" si="151"/>
        <v>53.31462623845114</v>
      </c>
      <c r="K604" s="292">
        <f t="shared" ca="1" si="149"/>
        <v>2.5100800231001408</v>
      </c>
      <c r="L604" s="1290">
        <f t="shared" ca="1" si="152"/>
        <v>28.201837700629845</v>
      </c>
      <c r="M604" s="299">
        <v>596</v>
      </c>
      <c r="N604" s="304">
        <f t="shared" si="153"/>
        <v>3943.2146680640453</v>
      </c>
      <c r="O604" s="303">
        <v>214.36202465250159</v>
      </c>
      <c r="P604" s="302">
        <v>0.37817355049552343</v>
      </c>
      <c r="Q604" s="301">
        <v>160.9599393599803</v>
      </c>
      <c r="R604" s="301">
        <v>61.326507152328922</v>
      </c>
      <c r="S604" s="300">
        <v>3.7077993267162643</v>
      </c>
      <c r="T604" s="891">
        <f t="shared" si="154"/>
        <v>256</v>
      </c>
      <c r="U604" s="1220">
        <v>0.86664938926696777</v>
      </c>
      <c r="W604" s="299">
        <v>596</v>
      </c>
      <c r="X604" s="298">
        <f>IF('Donor Sample'!N621="",,IF('Donor Sample'!N621="F",1,0))</f>
        <v>0</v>
      </c>
      <c r="Y604" s="298" t="str">
        <f>IF('Donor Sample'!O621="","",'Donor Sample'!O621)</f>
        <v/>
      </c>
      <c r="Z604" s="298" t="str">
        <f>IF(AND('Donor Sample'!O621="",'Donor Sample'!P621="",'Donor Sample'!Q621=""),"",IF('Donor Sample'!P621="",ROUND(AA604/($C$32+($AI604-0.5)*$C$31),0),'Donor Sample'!P621))</f>
        <v/>
      </c>
      <c r="AA604" s="297" t="str">
        <f>IF('Donor Sample'!Q621="","",'Donor Sample'!Q621)</f>
        <v/>
      </c>
      <c r="AB604" s="296" t="str">
        <f t="shared" si="145"/>
        <v/>
      </c>
      <c r="AC604" s="295" t="str">
        <f>IF('Donor Sample'!R621="","",'Donor Sample'!R621)</f>
        <v/>
      </c>
      <c r="AD604" s="294" t="str">
        <f>IF('Donor Sample'!S621="","",'Donor Sample'!S621/100)</f>
        <v/>
      </c>
      <c r="AE604" s="293" t="e">
        <f t="shared" si="155"/>
        <v>#VALUE!</v>
      </c>
      <c r="AF604" s="293" t="str">
        <f t="shared" si="156"/>
        <v/>
      </c>
      <c r="AG604" s="292" t="str">
        <f>IF('Donor Sample'!T621="","",'Donor Sample'!T621)</f>
        <v/>
      </c>
      <c r="AH604" s="891">
        <f t="shared" si="157"/>
        <v>128</v>
      </c>
      <c r="AI604" s="1220">
        <v>0.93439507484436035</v>
      </c>
      <c r="AJ604" s="1216"/>
    </row>
    <row r="605" spans="5:36">
      <c r="E605" s="299">
        <v>597</v>
      </c>
      <c r="F605" s="308">
        <f t="shared" ca="1" si="146"/>
        <v>3150.6200641488535</v>
      </c>
      <c r="G605" s="307">
        <f t="shared" ca="1" si="147"/>
        <v>155.09302674754207</v>
      </c>
      <c r="H605" s="306">
        <f t="shared" ca="1" si="148"/>
        <v>0.3507366228268195</v>
      </c>
      <c r="I605" s="305">
        <f t="shared" ca="1" si="150"/>
        <v>100.21343622251055</v>
      </c>
      <c r="J605" s="305">
        <f t="shared" ca="1" si="151"/>
        <v>56.485524835325783</v>
      </c>
      <c r="K605" s="292">
        <f t="shared" ca="1" si="149"/>
        <v>12.955296216272007</v>
      </c>
      <c r="L605" s="1290">
        <f t="shared" ca="1" si="152"/>
        <v>22.111809104038937</v>
      </c>
      <c r="M605" s="299">
        <v>597</v>
      </c>
      <c r="N605" s="304">
        <f t="shared" si="153"/>
        <v>4269.1945237565678</v>
      </c>
      <c r="O605" s="303">
        <v>228.22100785279903</v>
      </c>
      <c r="P605" s="302">
        <v>0.36998802666852254</v>
      </c>
      <c r="Q605" s="301">
        <v>160.23914155514589</v>
      </c>
      <c r="R605" s="301">
        <v>60.414672923059342</v>
      </c>
      <c r="S605" s="300">
        <v>1.5330928145822309</v>
      </c>
      <c r="T605" s="891">
        <f t="shared" si="154"/>
        <v>64</v>
      </c>
      <c r="U605" s="1220">
        <v>0.59363645315170288</v>
      </c>
      <c r="W605" s="299">
        <v>597</v>
      </c>
      <c r="X605" s="298">
        <f>IF('Donor Sample'!N622="",,IF('Donor Sample'!N622="F",1,0))</f>
        <v>0</v>
      </c>
      <c r="Y605" s="298" t="str">
        <f>IF('Donor Sample'!O622="","",'Donor Sample'!O622)</f>
        <v/>
      </c>
      <c r="Z605" s="298" t="str">
        <f>IF(AND('Donor Sample'!O622="",'Donor Sample'!P622="",'Donor Sample'!Q622=""),"",IF('Donor Sample'!P622="",ROUND(AA605/($C$32+($AI605-0.5)*$C$31),0),'Donor Sample'!P622))</f>
        <v/>
      </c>
      <c r="AA605" s="297" t="str">
        <f>IF('Donor Sample'!Q622="","",'Donor Sample'!Q622)</f>
        <v/>
      </c>
      <c r="AB605" s="296" t="str">
        <f t="shared" si="145"/>
        <v/>
      </c>
      <c r="AC605" s="295" t="str">
        <f>IF('Donor Sample'!R622="","",'Donor Sample'!R622)</f>
        <v/>
      </c>
      <c r="AD605" s="294" t="str">
        <f>IF('Donor Sample'!S622="","",'Donor Sample'!S622/100)</f>
        <v/>
      </c>
      <c r="AE605" s="293" t="e">
        <f t="shared" si="155"/>
        <v>#VALUE!</v>
      </c>
      <c r="AF605" s="293" t="str">
        <f t="shared" si="156"/>
        <v/>
      </c>
      <c r="AG605" s="292" t="str">
        <f>IF('Donor Sample'!T622="","",'Donor Sample'!T622)</f>
        <v/>
      </c>
      <c r="AH605" s="891">
        <f t="shared" si="157"/>
        <v>4</v>
      </c>
      <c r="AI605" s="1220">
        <v>0.36354392766952515</v>
      </c>
      <c r="AJ605" s="1216"/>
    </row>
    <row r="606" spans="5:36">
      <c r="E606" s="299">
        <v>598</v>
      </c>
      <c r="F606" s="308">
        <f t="shared" ca="1" si="146"/>
        <v>3014.6596940127492</v>
      </c>
      <c r="G606" s="307">
        <f t="shared" ca="1" si="147"/>
        <v>208.28138072705585</v>
      </c>
      <c r="H606" s="306">
        <f t="shared" ca="1" si="148"/>
        <v>0.3733691731021529</v>
      </c>
      <c r="I606" s="305">
        <f t="shared" ca="1" si="150"/>
        <v>101.55254527277795</v>
      </c>
      <c r="J606" s="305">
        <f t="shared" ca="1" si="151"/>
        <v>53.642437426601447</v>
      </c>
      <c r="K606" s="292">
        <f t="shared" ca="1" si="149"/>
        <v>1.3875896044409997</v>
      </c>
      <c r="L606" s="1290">
        <f t="shared" ca="1" si="152"/>
        <v>24.845427023476194</v>
      </c>
      <c r="M606" s="299">
        <v>598</v>
      </c>
      <c r="N606" s="304">
        <f t="shared" si="153"/>
        <v>3046.6270190757527</v>
      </c>
      <c r="O606" s="303">
        <v>262.23882347634657</v>
      </c>
      <c r="P606" s="302">
        <v>0.44907267540367501</v>
      </c>
      <c r="Q606" s="301">
        <v>102.24711735393316</v>
      </c>
      <c r="R606" s="301">
        <v>54.059742962718026</v>
      </c>
      <c r="S606" s="300">
        <v>1.4306766313721242</v>
      </c>
      <c r="T606" s="891">
        <f t="shared" si="154"/>
        <v>2</v>
      </c>
      <c r="U606" s="1220">
        <v>0.33082711696624756</v>
      </c>
      <c r="W606" s="299">
        <v>598</v>
      </c>
      <c r="X606" s="298">
        <f>IF('Donor Sample'!N623="",,IF('Donor Sample'!N623="F",1,0))</f>
        <v>0</v>
      </c>
      <c r="Y606" s="298" t="str">
        <f>IF('Donor Sample'!O623="","",'Donor Sample'!O623)</f>
        <v/>
      </c>
      <c r="Z606" s="298" t="str">
        <f>IF(AND('Donor Sample'!O623="",'Donor Sample'!P623="",'Donor Sample'!Q623=""),"",IF('Donor Sample'!P623="",ROUND(AA606/($C$32+($AI606-0.5)*$C$31),0),'Donor Sample'!P623))</f>
        <v/>
      </c>
      <c r="AA606" s="297" t="str">
        <f>IF('Donor Sample'!Q623="","",'Donor Sample'!Q623)</f>
        <v/>
      </c>
      <c r="AB606" s="296" t="str">
        <f t="shared" si="145"/>
        <v/>
      </c>
      <c r="AC606" s="295" t="str">
        <f>IF('Donor Sample'!R623="","",'Donor Sample'!R623)</f>
        <v/>
      </c>
      <c r="AD606" s="294" t="str">
        <f>IF('Donor Sample'!S623="","",'Donor Sample'!S623/100)</f>
        <v/>
      </c>
      <c r="AE606" s="407" t="e">
        <f t="shared" si="155"/>
        <v>#VALUE!</v>
      </c>
      <c r="AF606" s="293" t="str">
        <f t="shared" si="156"/>
        <v/>
      </c>
      <c r="AG606" s="292" t="str">
        <f>IF('Donor Sample'!T623="","",'Donor Sample'!T623)</f>
        <v/>
      </c>
      <c r="AH606" s="891">
        <f t="shared" si="157"/>
        <v>64</v>
      </c>
      <c r="AI606" s="1220">
        <v>0.60167109966278076</v>
      </c>
      <c r="AJ606" s="1216"/>
    </row>
    <row r="607" spans="5:36">
      <c r="E607" s="299">
        <v>599</v>
      </c>
      <c r="F607" s="308">
        <f t="shared" ca="1" si="146"/>
        <v>3977.125902745438</v>
      </c>
      <c r="G607" s="307">
        <f t="shared" ca="1" si="147"/>
        <v>223.99213616754787</v>
      </c>
      <c r="H607" s="306">
        <f t="shared" ca="1" si="148"/>
        <v>0.44280544010955125</v>
      </c>
      <c r="I607" s="305">
        <f t="shared" ca="1" si="150"/>
        <v>147.10770987653262</v>
      </c>
      <c r="J607" s="305">
        <f t="shared" ca="1" si="151"/>
        <v>58.85013392297359</v>
      </c>
      <c r="K607" s="292">
        <f t="shared" ca="1" si="149"/>
        <v>4.3298845206524543</v>
      </c>
      <c r="L607" s="1290">
        <f t="shared" ca="1" si="152"/>
        <v>29.902891342409159</v>
      </c>
      <c r="M607" s="299">
        <v>599</v>
      </c>
      <c r="N607" s="304">
        <f t="shared" si="153"/>
        <v>3486.880115620208</v>
      </c>
      <c r="O607" s="303">
        <v>222.99421713114614</v>
      </c>
      <c r="P607" s="302">
        <v>0.45281168655360277</v>
      </c>
      <c r="Q607" s="301">
        <v>128.48290974951857</v>
      </c>
      <c r="R607" s="301">
        <v>55.124046811771507</v>
      </c>
      <c r="S607" s="300">
        <v>1.3382322033470919</v>
      </c>
      <c r="T607" s="891">
        <f t="shared" si="154"/>
        <v>64</v>
      </c>
      <c r="U607" s="1220">
        <v>0.55229955911636353</v>
      </c>
      <c r="W607" s="299">
        <v>599</v>
      </c>
      <c r="X607" s="298">
        <f>IF('Donor Sample'!N624="",,IF('Donor Sample'!N624="F",1,0))</f>
        <v>0</v>
      </c>
      <c r="Y607" s="298" t="str">
        <f>IF('Donor Sample'!O624="","",'Donor Sample'!O624)</f>
        <v/>
      </c>
      <c r="Z607" s="298" t="str">
        <f>IF(AND('Donor Sample'!O624="",'Donor Sample'!P624="",'Donor Sample'!Q624=""),"",IF('Donor Sample'!P624="",ROUND(AA607/($C$32+($AI607-0.5)*$C$31),0),'Donor Sample'!P624))</f>
        <v/>
      </c>
      <c r="AA607" s="297" t="str">
        <f>IF('Donor Sample'!Q624="","",'Donor Sample'!Q624)</f>
        <v/>
      </c>
      <c r="AB607" s="296" t="str">
        <f t="shared" si="145"/>
        <v/>
      </c>
      <c r="AC607" s="295" t="str">
        <f>IF('Donor Sample'!R624="","",'Donor Sample'!R624)</f>
        <v/>
      </c>
      <c r="AD607" s="294" t="str">
        <f>IF('Donor Sample'!S624="","",'Donor Sample'!S624/100)</f>
        <v/>
      </c>
      <c r="AE607" s="293" t="e">
        <f t="shared" si="155"/>
        <v>#VALUE!</v>
      </c>
      <c r="AF607" s="293" t="str">
        <f t="shared" si="156"/>
        <v/>
      </c>
      <c r="AG607" s="292" t="str">
        <f>IF('Donor Sample'!T624="","",'Donor Sample'!T624)</f>
        <v/>
      </c>
      <c r="AH607" s="891">
        <f t="shared" si="157"/>
        <v>64</v>
      </c>
      <c r="AI607" s="1220">
        <v>0.49806839227676392</v>
      </c>
      <c r="AJ607" s="1216"/>
    </row>
    <row r="608" spans="5:36">
      <c r="E608" s="299">
        <v>600</v>
      </c>
      <c r="F608" s="308">
        <f t="shared" ca="1" si="146"/>
        <v>4156.338235727646</v>
      </c>
      <c r="G608" s="307">
        <f t="shared" ca="1" si="147"/>
        <v>275.17134102265686</v>
      </c>
      <c r="H608" s="306">
        <f t="shared" ca="1" si="148"/>
        <v>0.35827436740072716</v>
      </c>
      <c r="I608" s="305">
        <f t="shared" ca="1" si="150"/>
        <v>140.66919292296413</v>
      </c>
      <c r="J608" s="305">
        <f t="shared" ca="1" si="151"/>
        <v>62.934071527085507</v>
      </c>
      <c r="K608" s="292">
        <f t="shared" ca="1" si="149"/>
        <v>2.7649269409446973</v>
      </c>
      <c r="L608" s="1290">
        <f t="shared" ca="1" si="152"/>
        <v>25.003453392703154</v>
      </c>
      <c r="M608" s="299">
        <v>600</v>
      </c>
      <c r="N608" s="304">
        <f t="shared" si="153"/>
        <v>3022.2288626008435</v>
      </c>
      <c r="O608" s="303">
        <v>243.74170037670444</v>
      </c>
      <c r="P608" s="302">
        <v>0.4234097487268802</v>
      </c>
      <c r="Q608" s="301">
        <v>98.803417690316337</v>
      </c>
      <c r="R608" s="301">
        <v>54.546341106839193</v>
      </c>
      <c r="S608" s="300">
        <v>6.9186786031018563</v>
      </c>
      <c r="T608" s="891">
        <f t="shared" si="154"/>
        <v>2</v>
      </c>
      <c r="U608" s="1220">
        <v>2.6248931884765625E-2</v>
      </c>
      <c r="W608" s="299">
        <v>600</v>
      </c>
      <c r="X608" s="298">
        <f>IF('Donor Sample'!N625="",,IF('Donor Sample'!N625="F",1,0))</f>
        <v>0</v>
      </c>
      <c r="Y608" s="298" t="str">
        <f>IF('Donor Sample'!O625="","",'Donor Sample'!O625)</f>
        <v/>
      </c>
      <c r="Z608" s="298" t="str">
        <f>IF(AND('Donor Sample'!O625="",'Donor Sample'!P625="",'Donor Sample'!Q625=""),"",IF('Donor Sample'!P625="",ROUND(AA608/($C$32+($AI608-0.5)*$C$31),0),'Donor Sample'!P625))</f>
        <v/>
      </c>
      <c r="AA608" s="297" t="str">
        <f>IF('Donor Sample'!Q625="","",'Donor Sample'!Q625)</f>
        <v/>
      </c>
      <c r="AB608" s="296" t="str">
        <f t="shared" si="145"/>
        <v/>
      </c>
      <c r="AC608" s="295" t="str">
        <f>IF('Donor Sample'!R625="","",'Donor Sample'!R625)</f>
        <v/>
      </c>
      <c r="AD608" s="294" t="str">
        <f>IF('Donor Sample'!S625="","",'Donor Sample'!S625/100)</f>
        <v/>
      </c>
      <c r="AE608" s="293" t="e">
        <f t="shared" si="155"/>
        <v>#VALUE!</v>
      </c>
      <c r="AF608" s="293" t="str">
        <f t="shared" si="156"/>
        <v/>
      </c>
      <c r="AG608" s="292" t="str">
        <f>IF('Donor Sample'!T625="","",'Donor Sample'!T625)</f>
        <v/>
      </c>
      <c r="AH608" s="891">
        <f t="shared" si="157"/>
        <v>4</v>
      </c>
      <c r="AI608" s="1220">
        <v>0.41404008865356445</v>
      </c>
      <c r="AJ608" s="1216"/>
    </row>
    <row r="609" spans="5:36">
      <c r="E609" s="299">
        <v>601</v>
      </c>
      <c r="F609" s="308">
        <f t="shared" ca="1" si="146"/>
        <v>3411.2082415305472</v>
      </c>
      <c r="G609" s="307">
        <f t="shared" ca="1" si="147"/>
        <v>286.88250597005447</v>
      </c>
      <c r="H609" s="306">
        <f t="shared" ca="1" si="148"/>
        <v>0.36287521960720331</v>
      </c>
      <c r="I609" s="305">
        <f t="shared" ca="1" si="150"/>
        <v>125.807560454499</v>
      </c>
      <c r="J609" s="305">
        <f t="shared" ca="1" si="151"/>
        <v>54.447749810543627</v>
      </c>
      <c r="K609" s="292">
        <f t="shared" ca="1" si="149"/>
        <v>6.4204078212140123</v>
      </c>
      <c r="L609" s="1290">
        <f t="shared" ca="1" si="152"/>
        <v>29.875798925128642</v>
      </c>
      <c r="M609" s="299">
        <v>601</v>
      </c>
      <c r="N609" s="304">
        <f t="shared" si="153"/>
        <v>4061.6987828944852</v>
      </c>
      <c r="O609" s="303">
        <v>279.27377884852979</v>
      </c>
      <c r="P609" s="302">
        <v>0.40843546481279219</v>
      </c>
      <c r="Q609" s="301">
        <v>167.11324027963033</v>
      </c>
      <c r="R609" s="301">
        <v>55.320694812035718</v>
      </c>
      <c r="S609" s="300">
        <v>11.023642289044734</v>
      </c>
      <c r="T609" s="891">
        <f t="shared" si="154"/>
        <v>256</v>
      </c>
      <c r="U609" s="1220">
        <v>0.87680071592330933</v>
      </c>
      <c r="W609" s="299">
        <v>601</v>
      </c>
      <c r="X609" s="298">
        <f>IF('Donor Sample'!N626="",,IF('Donor Sample'!N626="F",1,0))</f>
        <v>0</v>
      </c>
      <c r="Y609" s="298" t="str">
        <f>IF('Donor Sample'!O626="","",'Donor Sample'!O626)</f>
        <v/>
      </c>
      <c r="Z609" s="298" t="str">
        <f>IF(AND('Donor Sample'!O626="",'Donor Sample'!P626="",'Donor Sample'!Q626=""),"",IF('Donor Sample'!P626="",ROUND(AA609/($C$32+($AI609-0.5)*$C$31),0),'Donor Sample'!P626))</f>
        <v/>
      </c>
      <c r="AA609" s="297" t="str">
        <f>IF('Donor Sample'!Q626="","",'Donor Sample'!Q626)</f>
        <v/>
      </c>
      <c r="AB609" s="296" t="str">
        <f t="shared" si="145"/>
        <v/>
      </c>
      <c r="AC609" s="295" t="str">
        <f>IF('Donor Sample'!R626="","",'Donor Sample'!R626)</f>
        <v/>
      </c>
      <c r="AD609" s="294" t="str">
        <f>IF('Donor Sample'!S626="","",'Donor Sample'!S626/100)</f>
        <v/>
      </c>
      <c r="AE609" s="407" t="e">
        <f t="shared" si="155"/>
        <v>#VALUE!</v>
      </c>
      <c r="AF609" s="293" t="str">
        <f t="shared" si="156"/>
        <v/>
      </c>
      <c r="AG609" s="292" t="str">
        <f>IF('Donor Sample'!T626="","",'Donor Sample'!T626)</f>
        <v/>
      </c>
      <c r="AH609" s="891">
        <f t="shared" si="157"/>
        <v>64</v>
      </c>
      <c r="AI609" s="1220">
        <v>0.53813427686691284</v>
      </c>
      <c r="AJ609" s="1216"/>
    </row>
    <row r="610" spans="5:36">
      <c r="E610" s="299">
        <v>602</v>
      </c>
      <c r="F610" s="308">
        <f t="shared" ca="1" si="146"/>
        <v>3057.6131470462233</v>
      </c>
      <c r="G610" s="307">
        <f t="shared" ca="1" si="147"/>
        <v>264.11805554965491</v>
      </c>
      <c r="H610" s="306">
        <f t="shared" ca="1" si="148"/>
        <v>0.44561271128960361</v>
      </c>
      <c r="I610" s="305">
        <f t="shared" ca="1" si="150"/>
        <v>101.38654202306887</v>
      </c>
      <c r="J610" s="305">
        <f t="shared" ca="1" si="151"/>
        <v>54.502899525888374</v>
      </c>
      <c r="K610" s="292">
        <f t="shared" ca="1" si="149"/>
        <v>3.4621022207389731</v>
      </c>
      <c r="L610" s="1290">
        <f t="shared" ca="1" si="152"/>
        <v>24.027786025008769</v>
      </c>
      <c r="M610" s="299">
        <v>602</v>
      </c>
      <c r="N610" s="304">
        <f t="shared" si="153"/>
        <v>3661.8973789042784</v>
      </c>
      <c r="O610" s="303">
        <v>209.86344990500305</v>
      </c>
      <c r="P610" s="302">
        <v>0.45332901531490211</v>
      </c>
      <c r="Q610" s="301">
        <v>120.49453455853302</v>
      </c>
      <c r="R610" s="301">
        <v>60.001311766706948</v>
      </c>
      <c r="S610" s="300">
        <v>1.3540988255465618</v>
      </c>
      <c r="T610" s="891">
        <f t="shared" si="154"/>
        <v>64</v>
      </c>
      <c r="U610" s="1220">
        <v>0.44544565677642822</v>
      </c>
      <c r="W610" s="299">
        <v>602</v>
      </c>
      <c r="X610" s="298">
        <f>IF('Donor Sample'!N627="",,IF('Donor Sample'!N627="F",1,0))</f>
        <v>0</v>
      </c>
      <c r="Y610" s="298" t="str">
        <f>IF('Donor Sample'!O627="","",'Donor Sample'!O627)</f>
        <v/>
      </c>
      <c r="Z610" s="298" t="str">
        <f>IF(AND('Donor Sample'!O627="",'Donor Sample'!P627="",'Donor Sample'!Q627=""),"",IF('Donor Sample'!P627="",ROUND(AA610/($C$32+($AI610-0.5)*$C$31),0),'Donor Sample'!P627))</f>
        <v/>
      </c>
      <c r="AA610" s="297" t="str">
        <f>IF('Donor Sample'!Q627="","",'Donor Sample'!Q627)</f>
        <v/>
      </c>
      <c r="AB610" s="296" t="str">
        <f t="shared" si="145"/>
        <v/>
      </c>
      <c r="AC610" s="295" t="str">
        <f>IF('Donor Sample'!R627="","",'Donor Sample'!R627)</f>
        <v/>
      </c>
      <c r="AD610" s="294" t="str">
        <f>IF('Donor Sample'!S627="","",'Donor Sample'!S627/100)</f>
        <v/>
      </c>
      <c r="AE610" s="293" t="e">
        <f t="shared" si="155"/>
        <v>#VALUE!</v>
      </c>
      <c r="AF610" s="293" t="str">
        <f t="shared" si="156"/>
        <v/>
      </c>
      <c r="AG610" s="292" t="str">
        <f>IF('Donor Sample'!T627="","",'Donor Sample'!T627)</f>
        <v/>
      </c>
      <c r="AH610" s="891">
        <f t="shared" si="157"/>
        <v>64</v>
      </c>
      <c r="AI610" s="1220">
        <v>0.48732388019561768</v>
      </c>
      <c r="AJ610" s="1216"/>
    </row>
    <row r="611" spans="5:36">
      <c r="E611" s="299">
        <v>603</v>
      </c>
      <c r="F611" s="308">
        <f t="shared" ca="1" si="146"/>
        <v>3249.4383448895619</v>
      </c>
      <c r="G611" s="307">
        <f t="shared" ca="1" si="147"/>
        <v>270.43500164379725</v>
      </c>
      <c r="H611" s="306">
        <f t="shared" ca="1" si="148"/>
        <v>0.50375633714373991</v>
      </c>
      <c r="I611" s="305">
        <f t="shared" ca="1" si="150"/>
        <v>109.56531864060725</v>
      </c>
      <c r="J611" s="305">
        <f t="shared" ca="1" si="151"/>
        <v>62.476563204097729</v>
      </c>
      <c r="K611" s="292">
        <f t="shared" ca="1" si="149"/>
        <v>1.3561169577052441</v>
      </c>
      <c r="L611" s="1290">
        <f t="shared" ca="1" si="152"/>
        <v>19.76111760090502</v>
      </c>
      <c r="M611" s="299">
        <v>603</v>
      </c>
      <c r="N611" s="304">
        <f t="shared" si="153"/>
        <v>3780.5080223254145</v>
      </c>
      <c r="O611" s="303">
        <v>281.83224850970987</v>
      </c>
      <c r="P611" s="302">
        <v>0.3588135046445074</v>
      </c>
      <c r="Q611" s="301">
        <v>128.88669796075601</v>
      </c>
      <c r="R611" s="301">
        <v>65.824698127635003</v>
      </c>
      <c r="S611" s="300">
        <v>2.2935727164596935</v>
      </c>
      <c r="T611" s="891">
        <f t="shared" si="154"/>
        <v>64</v>
      </c>
      <c r="U611" s="1220">
        <v>0.56610995531082153</v>
      </c>
      <c r="W611" s="299">
        <v>603</v>
      </c>
      <c r="X611" s="298">
        <f>IF('Donor Sample'!N628="",,IF('Donor Sample'!N628="F",1,0))</f>
        <v>0</v>
      </c>
      <c r="Y611" s="298" t="str">
        <f>IF('Donor Sample'!O628="","",'Donor Sample'!O628)</f>
        <v/>
      </c>
      <c r="Z611" s="298" t="str">
        <f>IF(AND('Donor Sample'!O628="",'Donor Sample'!P628="",'Donor Sample'!Q628=""),"",IF('Donor Sample'!P628="",ROUND(AA611/($C$32+($AI611-0.5)*$C$31),0),'Donor Sample'!P628))</f>
        <v/>
      </c>
      <c r="AA611" s="297" t="str">
        <f>IF('Donor Sample'!Q628="","",'Donor Sample'!Q628)</f>
        <v/>
      </c>
      <c r="AB611" s="296" t="str">
        <f t="shared" si="145"/>
        <v/>
      </c>
      <c r="AC611" s="295" t="str">
        <f>IF('Donor Sample'!R628="","",'Donor Sample'!R628)</f>
        <v/>
      </c>
      <c r="AD611" s="294" t="str">
        <f>IF('Donor Sample'!S628="","",'Donor Sample'!S628/100)</f>
        <v/>
      </c>
      <c r="AE611" s="293" t="e">
        <f t="shared" si="155"/>
        <v>#VALUE!</v>
      </c>
      <c r="AF611" s="293" t="str">
        <f t="shared" si="156"/>
        <v/>
      </c>
      <c r="AG611" s="292" t="str">
        <f>IF('Donor Sample'!T628="","",'Donor Sample'!T628)</f>
        <v/>
      </c>
      <c r="AH611" s="891">
        <f t="shared" si="157"/>
        <v>256</v>
      </c>
      <c r="AI611" s="1220">
        <v>0.86283856630325317</v>
      </c>
      <c r="AJ611" s="1216"/>
    </row>
    <row r="612" spans="5:36">
      <c r="E612" s="299">
        <v>604</v>
      </c>
      <c r="F612" s="308">
        <f t="shared" ca="1" si="146"/>
        <v>3436.7621674119309</v>
      </c>
      <c r="G612" s="307">
        <f t="shared" ca="1" si="147"/>
        <v>168.41957583946225</v>
      </c>
      <c r="H612" s="306">
        <f t="shared" ca="1" si="148"/>
        <v>0.36957939600642903</v>
      </c>
      <c r="I612" s="305">
        <f t="shared" ca="1" si="150"/>
        <v>144.04775653424477</v>
      </c>
      <c r="J612" s="305">
        <f t="shared" ca="1" si="151"/>
        <v>49.510977284128224</v>
      </c>
      <c r="K612" s="292">
        <f t="shared" ca="1" si="149"/>
        <v>1.2353053575649424</v>
      </c>
      <c r="L612" s="1290">
        <f t="shared" ca="1" si="152"/>
        <v>41.36910833177285</v>
      </c>
      <c r="M612" s="299">
        <v>604</v>
      </c>
      <c r="N612" s="304">
        <f t="shared" si="153"/>
        <v>3094.394366230732</v>
      </c>
      <c r="O612" s="303">
        <v>230.58710922591669</v>
      </c>
      <c r="P612" s="302">
        <v>0.46039176606566107</v>
      </c>
      <c r="Q612" s="301">
        <v>129.74041765637165</v>
      </c>
      <c r="R612" s="301">
        <v>46.286447170393856</v>
      </c>
      <c r="S612" s="300">
        <v>2.4681990516274532</v>
      </c>
      <c r="T612" s="891">
        <f t="shared" si="154"/>
        <v>2</v>
      </c>
      <c r="U612" s="1220">
        <v>0.1618196964263916</v>
      </c>
      <c r="W612" s="299">
        <v>604</v>
      </c>
      <c r="X612" s="298">
        <f>IF('Donor Sample'!N629="",,IF('Donor Sample'!N629="F",1,0))</f>
        <v>0</v>
      </c>
      <c r="Y612" s="298" t="str">
        <f>IF('Donor Sample'!O629="","",'Donor Sample'!O629)</f>
        <v/>
      </c>
      <c r="Z612" s="298" t="str">
        <f>IF(AND('Donor Sample'!O629="",'Donor Sample'!P629="",'Donor Sample'!Q629=""),"",IF('Donor Sample'!P629="",ROUND(AA612/($C$32+($AI612-0.5)*$C$31),0),'Donor Sample'!P629))</f>
        <v/>
      </c>
      <c r="AA612" s="297" t="str">
        <f>IF('Donor Sample'!Q629="","",'Donor Sample'!Q629)</f>
        <v/>
      </c>
      <c r="AB612" s="296" t="str">
        <f t="shared" si="145"/>
        <v/>
      </c>
      <c r="AC612" s="295" t="str">
        <f>IF('Donor Sample'!R629="","",'Donor Sample'!R629)</f>
        <v/>
      </c>
      <c r="AD612" s="294" t="str">
        <f>IF('Donor Sample'!S629="","",'Donor Sample'!S629/100)</f>
        <v/>
      </c>
      <c r="AE612" s="407" t="e">
        <f t="shared" si="155"/>
        <v>#VALUE!</v>
      </c>
      <c r="AF612" s="293" t="str">
        <f t="shared" si="156"/>
        <v/>
      </c>
      <c r="AG612" s="292" t="str">
        <f>IF('Donor Sample'!T629="","",'Donor Sample'!T629)</f>
        <v/>
      </c>
      <c r="AH612" s="891">
        <f t="shared" si="157"/>
        <v>64</v>
      </c>
      <c r="AI612" s="1220">
        <v>0.50454401969909668</v>
      </c>
      <c r="AJ612" s="1216"/>
    </row>
    <row r="613" spans="5:36">
      <c r="E613" s="299">
        <v>605</v>
      </c>
      <c r="F613" s="308">
        <f t="shared" ca="1" si="146"/>
        <v>3332.5100267022799</v>
      </c>
      <c r="G613" s="307">
        <f t="shared" ca="1" si="147"/>
        <v>190.51410054954553</v>
      </c>
      <c r="H613" s="306">
        <f t="shared" ca="1" si="148"/>
        <v>0.46163225965420557</v>
      </c>
      <c r="I613" s="305">
        <f t="shared" ca="1" si="150"/>
        <v>132.44900908636396</v>
      </c>
      <c r="J613" s="305">
        <f t="shared" ca="1" si="151"/>
        <v>58.40969361039209</v>
      </c>
      <c r="K613" s="292">
        <f t="shared" ca="1" si="149"/>
        <v>1.2910757150999013</v>
      </c>
      <c r="L613" s="1290">
        <f t="shared" ca="1" si="152"/>
        <v>27.330747906969808</v>
      </c>
      <c r="M613" s="299">
        <v>605</v>
      </c>
      <c r="N613" s="304">
        <f t="shared" si="153"/>
        <v>3060.6620333003139</v>
      </c>
      <c r="O613" s="303">
        <v>231.71201651384206</v>
      </c>
      <c r="P613" s="302">
        <v>0.43542835766171356</v>
      </c>
      <c r="Q613" s="301">
        <v>96.057188878050312</v>
      </c>
      <c r="R613" s="301">
        <v>62.678545455950498</v>
      </c>
      <c r="S613" s="300">
        <v>1.9530821077818386</v>
      </c>
      <c r="T613" s="891">
        <f t="shared" si="154"/>
        <v>2</v>
      </c>
      <c r="U613" s="1220">
        <v>0.1890825629234314</v>
      </c>
      <c r="W613" s="299">
        <v>605</v>
      </c>
      <c r="X613" s="298">
        <f>IF('Donor Sample'!N630="",,IF('Donor Sample'!N630="F",1,0))</f>
        <v>0</v>
      </c>
      <c r="Y613" s="298" t="str">
        <f>IF('Donor Sample'!O630="","",'Donor Sample'!O630)</f>
        <v/>
      </c>
      <c r="Z613" s="298" t="str">
        <f>IF(AND('Donor Sample'!O630="",'Donor Sample'!P630="",'Donor Sample'!Q630=""),"",IF('Donor Sample'!P630="",ROUND(AA613/($C$32+($AI613-0.5)*$C$31),0),'Donor Sample'!P630))</f>
        <v/>
      </c>
      <c r="AA613" s="297" t="str">
        <f>IF('Donor Sample'!Q630="","",'Donor Sample'!Q630)</f>
        <v/>
      </c>
      <c r="AB613" s="296" t="str">
        <f t="shared" si="145"/>
        <v/>
      </c>
      <c r="AC613" s="295" t="str">
        <f>IF('Donor Sample'!R630="","",'Donor Sample'!R630)</f>
        <v/>
      </c>
      <c r="AD613" s="294" t="str">
        <f>IF('Donor Sample'!S630="","",'Donor Sample'!S630/100)</f>
        <v/>
      </c>
      <c r="AE613" s="293" t="e">
        <f t="shared" si="155"/>
        <v>#VALUE!</v>
      </c>
      <c r="AF613" s="293" t="str">
        <f t="shared" si="156"/>
        <v/>
      </c>
      <c r="AG613" s="292" t="str">
        <f>IF('Donor Sample'!T630="","",'Donor Sample'!T630)</f>
        <v/>
      </c>
      <c r="AH613" s="891">
        <f t="shared" si="157"/>
        <v>16</v>
      </c>
      <c r="AI613" s="1220">
        <v>0.96217912435531616</v>
      </c>
      <c r="AJ613" s="1216"/>
    </row>
    <row r="614" spans="5:36">
      <c r="E614" s="299">
        <v>606</v>
      </c>
      <c r="F614" s="308">
        <f t="shared" ca="1" si="146"/>
        <v>2886.852158447517</v>
      </c>
      <c r="G614" s="307">
        <f t="shared" ca="1" si="147"/>
        <v>215.4314626341102</v>
      </c>
      <c r="H614" s="306">
        <f t="shared" ca="1" si="148"/>
        <v>0.35053700896851292</v>
      </c>
      <c r="I614" s="305">
        <f t="shared" ca="1" si="150"/>
        <v>118.80131169317575</v>
      </c>
      <c r="J614" s="305">
        <f t="shared" ca="1" si="151"/>
        <v>45.013946040900393</v>
      </c>
      <c r="K614" s="292">
        <f t="shared" ca="1" si="149"/>
        <v>1.8813515747606302</v>
      </c>
      <c r="L614" s="1290">
        <f t="shared" ca="1" si="152"/>
        <v>41.276201402831859</v>
      </c>
      <c r="M614" s="299">
        <v>606</v>
      </c>
      <c r="N614" s="304">
        <f t="shared" si="153"/>
        <v>3916.9461099763357</v>
      </c>
      <c r="O614" s="303">
        <v>232.50421590471717</v>
      </c>
      <c r="P614" s="302">
        <v>0.35180914473002789</v>
      </c>
      <c r="Q614" s="301">
        <v>150.30803286945638</v>
      </c>
      <c r="R614" s="301">
        <v>57.086364022280307</v>
      </c>
      <c r="S614" s="300">
        <v>1.3635360056650534</v>
      </c>
      <c r="T614" s="891">
        <f t="shared" si="154"/>
        <v>64</v>
      </c>
      <c r="U614" s="1220">
        <v>0.60161769390106201</v>
      </c>
      <c r="W614" s="299">
        <v>606</v>
      </c>
      <c r="X614" s="298">
        <f>IF('Donor Sample'!N631="",,IF('Donor Sample'!N631="F",1,0))</f>
        <v>0</v>
      </c>
      <c r="Y614" s="298" t="str">
        <f>IF('Donor Sample'!O631="","",'Donor Sample'!O631)</f>
        <v/>
      </c>
      <c r="Z614" s="298" t="str">
        <f>IF(AND('Donor Sample'!O631="",'Donor Sample'!P631="",'Donor Sample'!Q631=""),"",IF('Donor Sample'!P631="",ROUND(AA614/($C$32+($AI614-0.5)*$C$31),0),'Donor Sample'!P631))</f>
        <v/>
      </c>
      <c r="AA614" s="297" t="str">
        <f>IF('Donor Sample'!Q631="","",'Donor Sample'!Q631)</f>
        <v/>
      </c>
      <c r="AB614" s="296" t="str">
        <f t="shared" si="145"/>
        <v/>
      </c>
      <c r="AC614" s="295" t="str">
        <f>IF('Donor Sample'!R631="","",'Donor Sample'!R631)</f>
        <v/>
      </c>
      <c r="AD614" s="294" t="str">
        <f>IF('Donor Sample'!S631="","",'Donor Sample'!S631/100)</f>
        <v/>
      </c>
      <c r="AE614" s="293" t="e">
        <f t="shared" si="155"/>
        <v>#VALUE!</v>
      </c>
      <c r="AF614" s="293" t="str">
        <f t="shared" si="156"/>
        <v/>
      </c>
      <c r="AG614" s="292" t="str">
        <f>IF('Donor Sample'!T631="","",'Donor Sample'!T631)</f>
        <v/>
      </c>
      <c r="AH614" s="891">
        <f t="shared" si="157"/>
        <v>4</v>
      </c>
      <c r="AI614" s="1220">
        <v>0.37851941585540771</v>
      </c>
      <c r="AJ614" s="1216"/>
    </row>
    <row r="615" spans="5:36">
      <c r="E615" s="299">
        <v>607</v>
      </c>
      <c r="F615" s="308">
        <f t="shared" ca="1" si="146"/>
        <v>2853.5664428152691</v>
      </c>
      <c r="G615" s="307">
        <f t="shared" ca="1" si="147"/>
        <v>158.37418940273753</v>
      </c>
      <c r="H615" s="306">
        <f t="shared" ca="1" si="148"/>
        <v>0.4445141348357754</v>
      </c>
      <c r="I615" s="305">
        <f t="shared" ca="1" si="150"/>
        <v>107.68320036396567</v>
      </c>
      <c r="J615" s="305">
        <f t="shared" ca="1" si="151"/>
        <v>56.551946150468325</v>
      </c>
      <c r="K615" s="292">
        <f t="shared" ca="1" si="149"/>
        <v>1.5043697546349717</v>
      </c>
      <c r="L615" s="1290">
        <f t="shared" ca="1" si="152"/>
        <v>23.704210945029363</v>
      </c>
      <c r="M615" s="299">
        <v>607</v>
      </c>
      <c r="N615" s="304">
        <f t="shared" si="153"/>
        <v>3989.8924363107267</v>
      </c>
      <c r="O615" s="303">
        <v>200.168323927974</v>
      </c>
      <c r="P615" s="302">
        <v>0.47946760811175287</v>
      </c>
      <c r="Q615" s="301">
        <v>140.53899442918939</v>
      </c>
      <c r="R615" s="301">
        <v>66.277752275131377</v>
      </c>
      <c r="S615" s="300">
        <v>2.4922715592114666</v>
      </c>
      <c r="T615" s="891">
        <f t="shared" si="154"/>
        <v>2</v>
      </c>
      <c r="U615" s="1220">
        <v>6.8541109561920166E-2</v>
      </c>
      <c r="W615" s="299">
        <v>607</v>
      </c>
      <c r="X615" s="298">
        <f>IF('Donor Sample'!N632="",,IF('Donor Sample'!N632="F",1,0))</f>
        <v>0</v>
      </c>
      <c r="Y615" s="298" t="str">
        <f>IF('Donor Sample'!O632="","",'Donor Sample'!O632)</f>
        <v/>
      </c>
      <c r="Z615" s="298" t="str">
        <f>IF(AND('Donor Sample'!O632="",'Donor Sample'!P632="",'Donor Sample'!Q632=""),"",IF('Donor Sample'!P632="",ROUND(AA615/($C$32+($AI615-0.5)*$C$31),0),'Donor Sample'!P632))</f>
        <v/>
      </c>
      <c r="AA615" s="297" t="str">
        <f>IF('Donor Sample'!Q632="","",'Donor Sample'!Q632)</f>
        <v/>
      </c>
      <c r="AB615" s="296" t="str">
        <f t="shared" si="145"/>
        <v/>
      </c>
      <c r="AC615" s="295" t="str">
        <f>IF('Donor Sample'!R632="","",'Donor Sample'!R632)</f>
        <v/>
      </c>
      <c r="AD615" s="294" t="str">
        <f>IF('Donor Sample'!S632="","",'Donor Sample'!S632/100)</f>
        <v/>
      </c>
      <c r="AE615" s="407" t="e">
        <f t="shared" si="155"/>
        <v>#VALUE!</v>
      </c>
      <c r="AF615" s="293" t="str">
        <f t="shared" si="156"/>
        <v/>
      </c>
      <c r="AG615" s="292" t="str">
        <f>IF('Donor Sample'!T632="","",'Donor Sample'!T632)</f>
        <v/>
      </c>
      <c r="AH615" s="891">
        <f t="shared" si="157"/>
        <v>128</v>
      </c>
      <c r="AI615" s="1220">
        <v>0.94926172494888306</v>
      </c>
      <c r="AJ615" s="1216"/>
    </row>
    <row r="616" spans="5:36">
      <c r="E616" s="299">
        <v>608</v>
      </c>
      <c r="F616" s="308">
        <f t="shared" ca="1" si="146"/>
        <v>3947.0000988614242</v>
      </c>
      <c r="G616" s="307">
        <f t="shared" ca="1" si="147"/>
        <v>276.49287220372935</v>
      </c>
      <c r="H616" s="306">
        <f t="shared" ca="1" si="148"/>
        <v>0.38705512231124034</v>
      </c>
      <c r="I616" s="305">
        <f t="shared" ca="1" si="150"/>
        <v>123.25440066527811</v>
      </c>
      <c r="J616" s="305">
        <f t="shared" ca="1" si="151"/>
        <v>63.556683482461949</v>
      </c>
      <c r="K616" s="292">
        <f t="shared" ca="1" si="149"/>
        <v>4.0719803618642079</v>
      </c>
      <c r="L616" s="1290">
        <f t="shared" ca="1" si="152"/>
        <v>21.480908237037074</v>
      </c>
      <c r="M616" s="299">
        <v>608</v>
      </c>
      <c r="N616" s="304">
        <f t="shared" si="153"/>
        <v>3074.1520504757464</v>
      </c>
      <c r="O616" s="303">
        <v>247.78466410553261</v>
      </c>
      <c r="P616" s="302">
        <v>0.47101594337933134</v>
      </c>
      <c r="Q616" s="301">
        <v>118.77053208143933</v>
      </c>
      <c r="R616" s="301">
        <v>49.656152263029902</v>
      </c>
      <c r="S616" s="300">
        <v>2.6867325313247559</v>
      </c>
      <c r="T616" s="891">
        <f t="shared" si="154"/>
        <v>8</v>
      </c>
      <c r="U616" s="1220">
        <v>0.9916844367980957</v>
      </c>
      <c r="W616" s="299">
        <v>608</v>
      </c>
      <c r="X616" s="298">
        <f>IF('Donor Sample'!N633="",,IF('Donor Sample'!N633="F",1,0))</f>
        <v>0</v>
      </c>
      <c r="Y616" s="298" t="str">
        <f>IF('Donor Sample'!O633="","",'Donor Sample'!O633)</f>
        <v/>
      </c>
      <c r="Z616" s="298" t="str">
        <f>IF(AND('Donor Sample'!O633="",'Donor Sample'!P633="",'Donor Sample'!Q633=""),"",IF('Donor Sample'!P633="",ROUND(AA616/($C$32+($AI616-0.5)*$C$31),0),'Donor Sample'!P633))</f>
        <v/>
      </c>
      <c r="AA616" s="297" t="str">
        <f>IF('Donor Sample'!Q633="","",'Donor Sample'!Q633)</f>
        <v/>
      </c>
      <c r="AB616" s="296" t="str">
        <f t="shared" si="145"/>
        <v/>
      </c>
      <c r="AC616" s="295" t="str">
        <f>IF('Donor Sample'!R633="","",'Donor Sample'!R633)</f>
        <v/>
      </c>
      <c r="AD616" s="294" t="str">
        <f>IF('Donor Sample'!S633="","",'Donor Sample'!S633/100)</f>
        <v/>
      </c>
      <c r="AE616" s="293" t="e">
        <f t="shared" si="155"/>
        <v>#VALUE!</v>
      </c>
      <c r="AF616" s="293" t="str">
        <f t="shared" si="156"/>
        <v/>
      </c>
      <c r="AG616" s="292" t="str">
        <f>IF('Donor Sample'!T633="","",'Donor Sample'!T633)</f>
        <v/>
      </c>
      <c r="AH616" s="891">
        <f t="shared" si="157"/>
        <v>2</v>
      </c>
      <c r="AI616" s="1220">
        <v>0.21524524688720703</v>
      </c>
      <c r="AJ616" s="1216"/>
    </row>
    <row r="617" spans="5:36">
      <c r="E617" s="299">
        <v>609</v>
      </c>
      <c r="F617" s="308">
        <f t="shared" ca="1" si="146"/>
        <v>3324.8973861940549</v>
      </c>
      <c r="G617" s="307">
        <f t="shared" ca="1" si="147"/>
        <v>234.96922603776284</v>
      </c>
      <c r="H617" s="306">
        <f t="shared" ca="1" si="148"/>
        <v>0.48144132177283167</v>
      </c>
      <c r="I617" s="305">
        <f t="shared" ca="1" si="150"/>
        <v>130.85467737687728</v>
      </c>
      <c r="J617" s="305">
        <f t="shared" ca="1" si="151"/>
        <v>51.273964463152204</v>
      </c>
      <c r="K617" s="292">
        <f t="shared" ca="1" si="149"/>
        <v>2.1572446874354165</v>
      </c>
      <c r="L617" s="1290">
        <f t="shared" ca="1" si="152"/>
        <v>35.040324069171852</v>
      </c>
      <c r="M617" s="299">
        <v>609</v>
      </c>
      <c r="N617" s="304">
        <f t="shared" si="153"/>
        <v>3197.7862412853015</v>
      </c>
      <c r="O617" s="303">
        <v>165.48030561182247</v>
      </c>
      <c r="P617" s="302">
        <v>0.44067396333899922</v>
      </c>
      <c r="Q617" s="301">
        <v>126.95135907879208</v>
      </c>
      <c r="R617" s="301">
        <v>49.750282930920989</v>
      </c>
      <c r="S617" s="300">
        <v>1.8099587935871242</v>
      </c>
      <c r="T617" s="891">
        <f t="shared" si="154"/>
        <v>128</v>
      </c>
      <c r="U617" s="1220">
        <v>0.93801373243331909</v>
      </c>
      <c r="W617" s="299">
        <v>609</v>
      </c>
      <c r="X617" s="298">
        <f>IF('Donor Sample'!N634="",,IF('Donor Sample'!N634="F",1,0))</f>
        <v>0</v>
      </c>
      <c r="Y617" s="298" t="str">
        <f>IF('Donor Sample'!O634="","",'Donor Sample'!O634)</f>
        <v/>
      </c>
      <c r="Z617" s="298" t="str">
        <f>IF(AND('Donor Sample'!O634="",'Donor Sample'!P634="",'Donor Sample'!Q634=""),"",IF('Donor Sample'!P634="",ROUND(AA617/($C$32+($AI617-0.5)*$C$31),0),'Donor Sample'!P634))</f>
        <v/>
      </c>
      <c r="AA617" s="297" t="str">
        <f>IF('Donor Sample'!Q634="","",'Donor Sample'!Q634)</f>
        <v/>
      </c>
      <c r="AB617" s="296" t="str">
        <f t="shared" si="145"/>
        <v/>
      </c>
      <c r="AC617" s="295" t="str">
        <f>IF('Donor Sample'!R634="","",'Donor Sample'!R634)</f>
        <v/>
      </c>
      <c r="AD617" s="294" t="str">
        <f>IF('Donor Sample'!S634="","",'Donor Sample'!S634/100)</f>
        <v/>
      </c>
      <c r="AE617" s="293" t="e">
        <f t="shared" si="155"/>
        <v>#VALUE!</v>
      </c>
      <c r="AF617" s="293" t="str">
        <f t="shared" si="156"/>
        <v/>
      </c>
      <c r="AG617" s="292" t="str">
        <f>IF('Donor Sample'!T634="","",'Donor Sample'!T634)</f>
        <v/>
      </c>
      <c r="AH617" s="891">
        <f t="shared" si="157"/>
        <v>2</v>
      </c>
      <c r="AI617" s="1220">
        <v>0.17016333341598511</v>
      </c>
      <c r="AJ617" s="1216"/>
    </row>
    <row r="618" spans="5:36">
      <c r="E618" s="299">
        <v>610</v>
      </c>
      <c r="F618" s="308">
        <f t="shared" ca="1" si="146"/>
        <v>3762.2831133313848</v>
      </c>
      <c r="G618" s="307">
        <f t="shared" ca="1" si="147"/>
        <v>255.56707562676849</v>
      </c>
      <c r="H618" s="306">
        <f t="shared" ca="1" si="148"/>
        <v>0.37055198670011036</v>
      </c>
      <c r="I618" s="305">
        <f t="shared" ca="1" si="150"/>
        <v>130.45991318066015</v>
      </c>
      <c r="J618" s="305">
        <f t="shared" ca="1" si="151"/>
        <v>65.268600689228577</v>
      </c>
      <c r="K618" s="292">
        <f t="shared" ca="1" si="149"/>
        <v>5.3468261239793486</v>
      </c>
      <c r="L618" s="1290">
        <f t="shared" ca="1" si="152"/>
        <v>21.55962192226362</v>
      </c>
      <c r="M618" s="299">
        <v>610</v>
      </c>
      <c r="N618" s="304">
        <f t="shared" si="153"/>
        <v>2778.9931614900679</v>
      </c>
      <c r="O618" s="303">
        <v>203.46325279665285</v>
      </c>
      <c r="P618" s="302">
        <v>0.38773976717515102</v>
      </c>
      <c r="Q618" s="301">
        <v>110.52425537814567</v>
      </c>
      <c r="R618" s="301">
        <v>54.376003479141737</v>
      </c>
      <c r="S618" s="300">
        <v>2.2299023722959102</v>
      </c>
      <c r="T618" s="891">
        <f t="shared" si="154"/>
        <v>256</v>
      </c>
      <c r="U618" s="1220">
        <v>0.88924801349639893</v>
      </c>
      <c r="W618" s="299">
        <v>610</v>
      </c>
      <c r="X618" s="298">
        <f>IF('Donor Sample'!N635="",,IF('Donor Sample'!N635="F",1,0))</f>
        <v>0</v>
      </c>
      <c r="Y618" s="298" t="str">
        <f>IF('Donor Sample'!O635="","",'Donor Sample'!O635)</f>
        <v/>
      </c>
      <c r="Z618" s="298" t="str">
        <f>IF(AND('Donor Sample'!O635="",'Donor Sample'!P635="",'Donor Sample'!Q635=""),"",IF('Donor Sample'!P635="",ROUND(AA618/($C$32+($AI618-0.5)*$C$31),0),'Donor Sample'!P635))</f>
        <v/>
      </c>
      <c r="AA618" s="297" t="str">
        <f>IF('Donor Sample'!Q635="","",'Donor Sample'!Q635)</f>
        <v/>
      </c>
      <c r="AB618" s="296" t="str">
        <f t="shared" si="145"/>
        <v/>
      </c>
      <c r="AC618" s="295" t="str">
        <f>IF('Donor Sample'!R635="","",'Donor Sample'!R635)</f>
        <v/>
      </c>
      <c r="AD618" s="294" t="str">
        <f>IF('Donor Sample'!S635="","",'Donor Sample'!S635/100)</f>
        <v/>
      </c>
      <c r="AE618" s="407" t="e">
        <f t="shared" si="155"/>
        <v>#VALUE!</v>
      </c>
      <c r="AF618" s="293" t="str">
        <f t="shared" si="156"/>
        <v/>
      </c>
      <c r="AG618" s="292" t="str">
        <f>IF('Donor Sample'!T635="","",'Donor Sample'!T635)</f>
        <v/>
      </c>
      <c r="AH618" s="891">
        <f t="shared" si="157"/>
        <v>16</v>
      </c>
      <c r="AI618" s="1220">
        <v>0.98430311679840088</v>
      </c>
      <c r="AJ618" s="1216"/>
    </row>
    <row r="619" spans="5:36">
      <c r="E619" s="299">
        <v>611</v>
      </c>
      <c r="F619" s="308">
        <f t="shared" ca="1" si="146"/>
        <v>4482.2877908795426</v>
      </c>
      <c r="G619" s="307">
        <f t="shared" ca="1" si="147"/>
        <v>226.71602255999852</v>
      </c>
      <c r="H619" s="306">
        <f t="shared" ca="1" si="148"/>
        <v>0.40144665400813273</v>
      </c>
      <c r="I619" s="305">
        <f t="shared" ca="1" si="150"/>
        <v>164.48524881015371</v>
      </c>
      <c r="J619" s="305">
        <f t="shared" ca="1" si="151"/>
        <v>62.627904431152196</v>
      </c>
      <c r="K619" s="292">
        <f t="shared" ca="1" si="149"/>
        <v>1.5179583380657773</v>
      </c>
      <c r="L619" s="1290">
        <f t="shared" ca="1" si="152"/>
        <v>29.523228979137318</v>
      </c>
      <c r="M619" s="299">
        <v>611</v>
      </c>
      <c r="N619" s="304">
        <f t="shared" si="153"/>
        <v>2962.4978180321823</v>
      </c>
      <c r="O619" s="303">
        <v>272.68692514890085</v>
      </c>
      <c r="P619" s="302">
        <v>0.50027489799503311</v>
      </c>
      <c r="Q619" s="301">
        <v>122.40083231765995</v>
      </c>
      <c r="R619" s="301">
        <v>45.637164909187049</v>
      </c>
      <c r="S619" s="300">
        <v>4.0808657194608955</v>
      </c>
      <c r="T619" s="891">
        <f t="shared" si="154"/>
        <v>256</v>
      </c>
      <c r="U619" s="1220">
        <v>0.85237866640090942</v>
      </c>
      <c r="W619" s="299">
        <v>611</v>
      </c>
      <c r="X619" s="298">
        <f>IF('Donor Sample'!N636="",,IF('Donor Sample'!N636="F",1,0))</f>
        <v>0</v>
      </c>
      <c r="Y619" s="298" t="str">
        <f>IF('Donor Sample'!O636="","",'Donor Sample'!O636)</f>
        <v/>
      </c>
      <c r="Z619" s="298" t="str">
        <f>IF(AND('Donor Sample'!O636="",'Donor Sample'!P636="",'Donor Sample'!Q636=""),"",IF('Donor Sample'!P636="",ROUND(AA619/($C$32+($AI619-0.5)*$C$31),0),'Donor Sample'!P636))</f>
        <v/>
      </c>
      <c r="AA619" s="297" t="str">
        <f>IF('Donor Sample'!Q636="","",'Donor Sample'!Q636)</f>
        <v/>
      </c>
      <c r="AB619" s="296" t="str">
        <f t="shared" si="145"/>
        <v/>
      </c>
      <c r="AC619" s="295" t="str">
        <f>IF('Donor Sample'!R636="","",'Donor Sample'!R636)</f>
        <v/>
      </c>
      <c r="AD619" s="294" t="str">
        <f>IF('Donor Sample'!S636="","",'Donor Sample'!S636/100)</f>
        <v/>
      </c>
      <c r="AE619" s="293" t="e">
        <f t="shared" si="155"/>
        <v>#VALUE!</v>
      </c>
      <c r="AF619" s="293" t="str">
        <f t="shared" si="156"/>
        <v/>
      </c>
      <c r="AG619" s="292" t="str">
        <f>IF('Donor Sample'!T636="","",'Donor Sample'!T636)</f>
        <v/>
      </c>
      <c r="AH619" s="891">
        <f t="shared" si="157"/>
        <v>64</v>
      </c>
      <c r="AI619" s="1220">
        <v>0.69270163774490356</v>
      </c>
      <c r="AJ619" s="1216"/>
    </row>
    <row r="620" spans="5:36">
      <c r="E620" s="299">
        <v>612</v>
      </c>
      <c r="F620" s="308">
        <f t="shared" ca="1" si="146"/>
        <v>3232.8527549101259</v>
      </c>
      <c r="G620" s="307">
        <f t="shared" ca="1" si="147"/>
        <v>217.90528046002646</v>
      </c>
      <c r="H620" s="306">
        <f t="shared" ca="1" si="148"/>
        <v>0.38984522551020179</v>
      </c>
      <c r="I620" s="305">
        <f t="shared" ca="1" si="150"/>
        <v>110.40556557270818</v>
      </c>
      <c r="J620" s="305">
        <f t="shared" ca="1" si="151"/>
        <v>55.304131394467653</v>
      </c>
      <c r="K620" s="292">
        <f t="shared" ca="1" si="149"/>
        <v>1.9547977766526234</v>
      </c>
      <c r="L620" s="1290">
        <f t="shared" ca="1" si="152"/>
        <v>25.412563368060514</v>
      </c>
      <c r="M620" s="299">
        <v>612</v>
      </c>
      <c r="N620" s="304">
        <f t="shared" si="153"/>
        <v>3138.0510151901062</v>
      </c>
      <c r="O620" s="303">
        <v>292.11548367508129</v>
      </c>
      <c r="P620" s="302">
        <v>0.35639826894094595</v>
      </c>
      <c r="Q620" s="301">
        <v>122.91955924932769</v>
      </c>
      <c r="R620" s="301">
        <v>49.730765099022037</v>
      </c>
      <c r="S620" s="300">
        <v>2.6547526225904843</v>
      </c>
      <c r="T620" s="891">
        <f t="shared" si="154"/>
        <v>128</v>
      </c>
      <c r="U620" s="1220">
        <v>0.94998621940612793</v>
      </c>
      <c r="W620" s="299">
        <v>612</v>
      </c>
      <c r="X620" s="298">
        <f>IF('Donor Sample'!N637="",,IF('Donor Sample'!N637="F",1,0))</f>
        <v>0</v>
      </c>
      <c r="Y620" s="298" t="str">
        <f>IF('Donor Sample'!O637="","",'Donor Sample'!O637)</f>
        <v/>
      </c>
      <c r="Z620" s="298" t="str">
        <f>IF(AND('Donor Sample'!O637="",'Donor Sample'!P637="",'Donor Sample'!Q637=""),"",IF('Donor Sample'!P637="",ROUND(AA620/($C$32+($AI620-0.5)*$C$31),0),'Donor Sample'!P637))</f>
        <v/>
      </c>
      <c r="AA620" s="297" t="str">
        <f>IF('Donor Sample'!Q637="","",'Donor Sample'!Q637)</f>
        <v/>
      </c>
      <c r="AB620" s="296" t="str">
        <f t="shared" si="145"/>
        <v/>
      </c>
      <c r="AC620" s="295" t="str">
        <f>IF('Donor Sample'!R637="","",'Donor Sample'!R637)</f>
        <v/>
      </c>
      <c r="AD620" s="294" t="str">
        <f>IF('Donor Sample'!S637="","",'Donor Sample'!S637/100)</f>
        <v/>
      </c>
      <c r="AE620" s="293" t="e">
        <f t="shared" si="155"/>
        <v>#VALUE!</v>
      </c>
      <c r="AF620" s="293" t="str">
        <f t="shared" si="156"/>
        <v/>
      </c>
      <c r="AG620" s="292" t="str">
        <f>IF('Donor Sample'!T637="","",'Donor Sample'!T637)</f>
        <v/>
      </c>
      <c r="AH620" s="891">
        <f t="shared" si="157"/>
        <v>64</v>
      </c>
      <c r="AI620" s="1220">
        <v>0.55255246162414551</v>
      </c>
      <c r="AJ620" s="1216"/>
    </row>
    <row r="621" spans="5:36">
      <c r="E621" s="299">
        <v>613</v>
      </c>
      <c r="F621" s="308">
        <f t="shared" ca="1" si="146"/>
        <v>3217.8941393907362</v>
      </c>
      <c r="G621" s="307">
        <f t="shared" ca="1" si="147"/>
        <v>171.17722079688684</v>
      </c>
      <c r="H621" s="306">
        <f t="shared" ca="1" si="148"/>
        <v>0.36385887729019217</v>
      </c>
      <c r="I621" s="305">
        <f t="shared" ca="1" si="150"/>
        <v>110.24793361307547</v>
      </c>
      <c r="J621" s="305">
        <f t="shared" ca="1" si="151"/>
        <v>55.073726088455949</v>
      </c>
      <c r="K621" s="292">
        <f t="shared" ca="1" si="149"/>
        <v>4.2385602121740993</v>
      </c>
      <c r="L621" s="1290">
        <f t="shared" ca="1" si="152"/>
        <v>25.589051998401178</v>
      </c>
      <c r="M621" s="299">
        <v>613</v>
      </c>
      <c r="N621" s="304">
        <f t="shared" si="153"/>
        <v>3054.8989106343429</v>
      </c>
      <c r="O621" s="303">
        <v>212.57369450339485</v>
      </c>
      <c r="P621" s="302">
        <v>0.35827728551619892</v>
      </c>
      <c r="Q621" s="301">
        <v>108.62276723367464</v>
      </c>
      <c r="R621" s="301">
        <v>52.400263134172476</v>
      </c>
      <c r="S621" s="300">
        <v>2.5549089430283272</v>
      </c>
      <c r="T621" s="891">
        <f t="shared" si="154"/>
        <v>4</v>
      </c>
      <c r="U621" s="1220">
        <v>0.38366502523422241</v>
      </c>
      <c r="W621" s="299">
        <v>613</v>
      </c>
      <c r="X621" s="298">
        <f>IF('Donor Sample'!N638="",,IF('Donor Sample'!N638="F",1,0))</f>
        <v>0</v>
      </c>
      <c r="Y621" s="298" t="str">
        <f>IF('Donor Sample'!O638="","",'Donor Sample'!O638)</f>
        <v/>
      </c>
      <c r="Z621" s="298" t="str">
        <f>IF(AND('Donor Sample'!O638="",'Donor Sample'!P638="",'Donor Sample'!Q638=""),"",IF('Donor Sample'!P638="",ROUND(AA621/($C$32+($AI621-0.5)*$C$31),0),'Donor Sample'!P638))</f>
        <v/>
      </c>
      <c r="AA621" s="297" t="str">
        <f>IF('Donor Sample'!Q638="","",'Donor Sample'!Q638)</f>
        <v/>
      </c>
      <c r="AB621" s="296" t="str">
        <f t="shared" si="145"/>
        <v/>
      </c>
      <c r="AC621" s="295" t="str">
        <f>IF('Donor Sample'!R638="","",'Donor Sample'!R638)</f>
        <v/>
      </c>
      <c r="AD621" s="294" t="str">
        <f>IF('Donor Sample'!S638="","",'Donor Sample'!S638/100)</f>
        <v/>
      </c>
      <c r="AE621" s="407" t="e">
        <f t="shared" si="155"/>
        <v>#VALUE!</v>
      </c>
      <c r="AF621" s="293" t="str">
        <f t="shared" si="156"/>
        <v/>
      </c>
      <c r="AG621" s="292" t="str">
        <f>IF('Donor Sample'!T638="","",'Donor Sample'!T638)</f>
        <v/>
      </c>
      <c r="AH621" s="891">
        <f t="shared" si="157"/>
        <v>64</v>
      </c>
      <c r="AI621" s="1220">
        <v>0.70536082983016968</v>
      </c>
      <c r="AJ621" s="1216"/>
    </row>
    <row r="622" spans="5:36">
      <c r="E622" s="299">
        <v>614</v>
      </c>
      <c r="F622" s="308">
        <f t="shared" ca="1" si="146"/>
        <v>3484.434329537768</v>
      </c>
      <c r="G622" s="307">
        <f t="shared" ca="1" si="147"/>
        <v>178.37282785566464</v>
      </c>
      <c r="H622" s="306">
        <f t="shared" ca="1" si="148"/>
        <v>0.35466965578212323</v>
      </c>
      <c r="I622" s="305">
        <f t="shared" ca="1" si="150"/>
        <v>110.65215588446668</v>
      </c>
      <c r="J622" s="305">
        <f t="shared" ca="1" si="151"/>
        <v>65.525963032061725</v>
      </c>
      <c r="K622" s="292">
        <f t="shared" ca="1" si="149"/>
        <v>1.6891740307608047</v>
      </c>
      <c r="L622" s="1290">
        <f t="shared" ca="1" si="152"/>
        <v>18.142858527832161</v>
      </c>
      <c r="M622" s="299">
        <v>614</v>
      </c>
      <c r="N622" s="304">
        <f t="shared" si="153"/>
        <v>2577.385219211621</v>
      </c>
      <c r="O622" s="303">
        <v>285.81271499891091</v>
      </c>
      <c r="P622" s="302">
        <v>0.4373144950127501</v>
      </c>
      <c r="Q622" s="301">
        <v>80.880354851130718</v>
      </c>
      <c r="R622" s="301">
        <v>58.716261425358709</v>
      </c>
      <c r="S622" s="300">
        <v>1.4267004883493057</v>
      </c>
      <c r="T622" s="891">
        <f t="shared" si="154"/>
        <v>256</v>
      </c>
      <c r="U622" s="1220">
        <v>0.84062421321868896</v>
      </c>
      <c r="W622" s="299">
        <v>614</v>
      </c>
      <c r="X622" s="298">
        <f>IF('Donor Sample'!N639="",,IF('Donor Sample'!N639="F",1,0))</f>
        <v>0</v>
      </c>
      <c r="Y622" s="298" t="str">
        <f>IF('Donor Sample'!O639="","",'Donor Sample'!O639)</f>
        <v/>
      </c>
      <c r="Z622" s="298" t="str">
        <f>IF(AND('Donor Sample'!O639="",'Donor Sample'!P639="",'Donor Sample'!Q639=""),"",IF('Donor Sample'!P639="",ROUND(AA622/($C$32+($AI622-0.5)*$C$31),0),'Donor Sample'!P639))</f>
        <v/>
      </c>
      <c r="AA622" s="297" t="str">
        <f>IF('Donor Sample'!Q639="","",'Donor Sample'!Q639)</f>
        <v/>
      </c>
      <c r="AB622" s="296" t="str">
        <f t="shared" si="145"/>
        <v/>
      </c>
      <c r="AC622" s="295" t="str">
        <f>IF('Donor Sample'!R639="","",'Donor Sample'!R639)</f>
        <v/>
      </c>
      <c r="AD622" s="294" t="str">
        <f>IF('Donor Sample'!S639="","",'Donor Sample'!S639/100)</f>
        <v/>
      </c>
      <c r="AE622" s="293" t="e">
        <f t="shared" si="155"/>
        <v>#VALUE!</v>
      </c>
      <c r="AF622" s="293" t="str">
        <f t="shared" si="156"/>
        <v/>
      </c>
      <c r="AG622" s="292" t="str">
        <f>IF('Donor Sample'!T639="","",'Donor Sample'!T639)</f>
        <v/>
      </c>
      <c r="AH622" s="891">
        <f t="shared" si="157"/>
        <v>16</v>
      </c>
      <c r="AI622" s="1220">
        <v>0.98735320568084717</v>
      </c>
      <c r="AJ622" s="1216"/>
    </row>
    <row r="623" spans="5:36">
      <c r="E623" s="299">
        <v>615</v>
      </c>
      <c r="F623" s="308">
        <f t="shared" ca="1" si="146"/>
        <v>2588.3301008651397</v>
      </c>
      <c r="G623" s="307">
        <f t="shared" ca="1" si="147"/>
        <v>244.45263787283091</v>
      </c>
      <c r="H623" s="306">
        <f t="shared" ca="1" si="148"/>
        <v>0.3861436773319547</v>
      </c>
      <c r="I623" s="305">
        <f t="shared" ca="1" si="150"/>
        <v>93.423111877748042</v>
      </c>
      <c r="J623" s="305">
        <f t="shared" ca="1" si="151"/>
        <v>46.903641387406097</v>
      </c>
      <c r="K623" s="292">
        <f t="shared" ca="1" si="149"/>
        <v>2.3774044182246019</v>
      </c>
      <c r="L623" s="1290">
        <f t="shared" ca="1" si="152"/>
        <v>29.896053848378099</v>
      </c>
      <c r="M623" s="299">
        <v>615</v>
      </c>
      <c r="N623" s="304">
        <f t="shared" si="153"/>
        <v>3566.8220248529265</v>
      </c>
      <c r="O623" s="303">
        <v>244.35678512098485</v>
      </c>
      <c r="P623" s="302">
        <v>0.42677407510254717</v>
      </c>
      <c r="Q623" s="301">
        <v>133.43637341807832</v>
      </c>
      <c r="R623" s="301">
        <v>55.262759604638866</v>
      </c>
      <c r="S623" s="300">
        <v>1.2975553719387147</v>
      </c>
      <c r="T623" s="891">
        <f t="shared" si="154"/>
        <v>4</v>
      </c>
      <c r="U623" s="1220">
        <v>0.38325983285903931</v>
      </c>
      <c r="W623" s="299">
        <v>615</v>
      </c>
      <c r="X623" s="298">
        <f>IF('Donor Sample'!N640="",,IF('Donor Sample'!N640="F",1,0))</f>
        <v>0</v>
      </c>
      <c r="Y623" s="298" t="str">
        <f>IF('Donor Sample'!O640="","",'Donor Sample'!O640)</f>
        <v/>
      </c>
      <c r="Z623" s="298" t="str">
        <f>IF(AND('Donor Sample'!O640="",'Donor Sample'!P640="",'Donor Sample'!Q640=""),"",IF('Donor Sample'!P640="",ROUND(AA623/($C$32+($AI623-0.5)*$C$31),0),'Donor Sample'!P640))</f>
        <v/>
      </c>
      <c r="AA623" s="297" t="str">
        <f>IF('Donor Sample'!Q640="","",'Donor Sample'!Q640)</f>
        <v/>
      </c>
      <c r="AB623" s="296" t="str">
        <f t="shared" si="145"/>
        <v/>
      </c>
      <c r="AC623" s="295" t="str">
        <f>IF('Donor Sample'!R640="","",'Donor Sample'!R640)</f>
        <v/>
      </c>
      <c r="AD623" s="294" t="str">
        <f>IF('Donor Sample'!S640="","",'Donor Sample'!S640/100)</f>
        <v/>
      </c>
      <c r="AE623" s="293" t="e">
        <f t="shared" si="155"/>
        <v>#VALUE!</v>
      </c>
      <c r="AF623" s="293" t="str">
        <f t="shared" si="156"/>
        <v/>
      </c>
      <c r="AG623" s="292" t="str">
        <f>IF('Donor Sample'!T640="","",'Donor Sample'!T640)</f>
        <v/>
      </c>
      <c r="AH623" s="891">
        <f t="shared" si="157"/>
        <v>2</v>
      </c>
      <c r="AI623" s="1220">
        <v>0.1076236367225647</v>
      </c>
      <c r="AJ623" s="1216"/>
    </row>
    <row r="624" spans="5:36">
      <c r="E624" s="299">
        <v>616</v>
      </c>
      <c r="F624" s="308">
        <f t="shared" ca="1" si="146"/>
        <v>3292.7476594043492</v>
      </c>
      <c r="G624" s="307">
        <f t="shared" ca="1" si="147"/>
        <v>276.95912230499704</v>
      </c>
      <c r="H624" s="306">
        <f t="shared" ca="1" si="148"/>
        <v>0.41308639505856964</v>
      </c>
      <c r="I624" s="305">
        <f t="shared" ca="1" si="150"/>
        <v>135.19933263514179</v>
      </c>
      <c r="J624" s="305">
        <f t="shared" ca="1" si="151"/>
        <v>49.173308779716336</v>
      </c>
      <c r="K624" s="292">
        <f t="shared" ca="1" si="149"/>
        <v>2.3816769419308854</v>
      </c>
      <c r="L624" s="1290">
        <f t="shared" ca="1" si="152"/>
        <v>39.363013824607549</v>
      </c>
      <c r="M624" s="299">
        <v>616</v>
      </c>
      <c r="N624" s="304">
        <f t="shared" si="153"/>
        <v>3888.4258482639088</v>
      </c>
      <c r="O624" s="303">
        <v>256.24577446244541</v>
      </c>
      <c r="P624" s="302">
        <v>0.36458637881027328</v>
      </c>
      <c r="Q624" s="301">
        <v>138.77116445174681</v>
      </c>
      <c r="R624" s="301">
        <v>59.373971362331631</v>
      </c>
      <c r="S624" s="300">
        <v>1.2684073249922871</v>
      </c>
      <c r="T624" s="891">
        <f t="shared" si="154"/>
        <v>64</v>
      </c>
      <c r="U624" s="1220">
        <v>0.45231342315673828</v>
      </c>
      <c r="W624" s="299">
        <v>616</v>
      </c>
      <c r="X624" s="298">
        <f>IF('Donor Sample'!N641="",,IF('Donor Sample'!N641="F",1,0))</f>
        <v>0</v>
      </c>
      <c r="Y624" s="298" t="str">
        <f>IF('Donor Sample'!O641="","",'Donor Sample'!O641)</f>
        <v/>
      </c>
      <c r="Z624" s="298" t="str">
        <f>IF(AND('Donor Sample'!O641="",'Donor Sample'!P641="",'Donor Sample'!Q641=""),"",IF('Donor Sample'!P641="",ROUND(AA624/($C$32+($AI624-0.5)*$C$31),0),'Donor Sample'!P641))</f>
        <v/>
      </c>
      <c r="AA624" s="297" t="str">
        <f>IF('Donor Sample'!Q641="","",'Donor Sample'!Q641)</f>
        <v/>
      </c>
      <c r="AB624" s="296" t="str">
        <f t="shared" si="145"/>
        <v/>
      </c>
      <c r="AC624" s="295" t="str">
        <f>IF('Donor Sample'!R641="","",'Donor Sample'!R641)</f>
        <v/>
      </c>
      <c r="AD624" s="294" t="str">
        <f>IF('Donor Sample'!S641="","",'Donor Sample'!S641/100)</f>
        <v/>
      </c>
      <c r="AE624" s="407" t="e">
        <f t="shared" si="155"/>
        <v>#VALUE!</v>
      </c>
      <c r="AF624" s="293" t="str">
        <f t="shared" si="156"/>
        <v/>
      </c>
      <c r="AG624" s="292" t="str">
        <f>IF('Donor Sample'!T641="","",'Donor Sample'!T641)</f>
        <v/>
      </c>
      <c r="AH624" s="891">
        <f t="shared" si="157"/>
        <v>2</v>
      </c>
      <c r="AI624" s="1220">
        <v>0.28556966781616211</v>
      </c>
      <c r="AJ624" s="1216"/>
    </row>
    <row r="625" spans="5:36">
      <c r="E625" s="299">
        <v>617</v>
      </c>
      <c r="F625" s="308">
        <f t="shared" ca="1" si="146"/>
        <v>3078.6781962768641</v>
      </c>
      <c r="G625" s="307">
        <f t="shared" ca="1" si="147"/>
        <v>216.55589613288592</v>
      </c>
      <c r="H625" s="306">
        <f t="shared" ca="1" si="148"/>
        <v>0.42265008519898878</v>
      </c>
      <c r="I625" s="305">
        <f t="shared" ca="1" si="150"/>
        <v>110.70025865761622</v>
      </c>
      <c r="J625" s="305">
        <f t="shared" ca="1" si="151"/>
        <v>59.597649363238943</v>
      </c>
      <c r="K625" s="292">
        <f t="shared" ca="1" si="149"/>
        <v>6.9756242861802686</v>
      </c>
      <c r="L625" s="1290">
        <f t="shared" ca="1" si="152"/>
        <v>21.941334243294985</v>
      </c>
      <c r="M625" s="299">
        <v>617</v>
      </c>
      <c r="N625" s="304">
        <f t="shared" si="153"/>
        <v>2643.706018174752</v>
      </c>
      <c r="O625" s="303">
        <v>205.42391711160869</v>
      </c>
      <c r="P625" s="302">
        <v>0.38018048149656408</v>
      </c>
      <c r="Q625" s="301">
        <v>99.248027630946666</v>
      </c>
      <c r="R625" s="301">
        <v>55.022416166626073</v>
      </c>
      <c r="S625" s="300">
        <v>3.1516033756497457</v>
      </c>
      <c r="T625" s="891">
        <f t="shared" si="154"/>
        <v>256</v>
      </c>
      <c r="U625" s="1220">
        <v>0.84177130460739136</v>
      </c>
      <c r="W625" s="299">
        <v>617</v>
      </c>
      <c r="X625" s="298">
        <f>IF('Donor Sample'!N642="",,IF('Donor Sample'!N642="F",1,0))</f>
        <v>0</v>
      </c>
      <c r="Y625" s="298" t="str">
        <f>IF('Donor Sample'!O642="","",'Donor Sample'!O642)</f>
        <v/>
      </c>
      <c r="Z625" s="298" t="str">
        <f>IF(AND('Donor Sample'!O642="",'Donor Sample'!P642="",'Donor Sample'!Q642=""),"",IF('Donor Sample'!P642="",ROUND(AA625/($C$32+($AI625-0.5)*$C$31),0),'Donor Sample'!P642))</f>
        <v/>
      </c>
      <c r="AA625" s="297" t="str">
        <f>IF('Donor Sample'!Q642="","",'Donor Sample'!Q642)</f>
        <v/>
      </c>
      <c r="AB625" s="296" t="str">
        <f t="shared" si="145"/>
        <v/>
      </c>
      <c r="AC625" s="295" t="str">
        <f>IF('Donor Sample'!R642="","",'Donor Sample'!R642)</f>
        <v/>
      </c>
      <c r="AD625" s="294" t="str">
        <f>IF('Donor Sample'!S642="","",'Donor Sample'!S642/100)</f>
        <v/>
      </c>
      <c r="AE625" s="293" t="e">
        <f t="shared" si="155"/>
        <v>#VALUE!</v>
      </c>
      <c r="AF625" s="293" t="str">
        <f t="shared" si="156"/>
        <v/>
      </c>
      <c r="AG625" s="292" t="str">
        <f>IF('Donor Sample'!T642="","",'Donor Sample'!T642)</f>
        <v/>
      </c>
      <c r="AH625" s="891">
        <f t="shared" si="157"/>
        <v>32</v>
      </c>
      <c r="AI625" s="1220">
        <v>0.82295960187911987</v>
      </c>
      <c r="AJ625" s="1216"/>
    </row>
    <row r="626" spans="5:36">
      <c r="E626" s="299">
        <v>618</v>
      </c>
      <c r="F626" s="308">
        <f t="shared" ca="1" si="146"/>
        <v>3761.2478575873483</v>
      </c>
      <c r="G626" s="307">
        <f t="shared" ca="1" si="147"/>
        <v>252.98677323769422</v>
      </c>
      <c r="H626" s="306">
        <f t="shared" ca="1" si="148"/>
        <v>0.37366186527067652</v>
      </c>
      <c r="I626" s="305">
        <f t="shared" ca="1" si="150"/>
        <v>135.20887870781556</v>
      </c>
      <c r="J626" s="305">
        <f t="shared" ca="1" si="151"/>
        <v>64.28470510295702</v>
      </c>
      <c r="K626" s="292">
        <f t="shared" ca="1" si="149"/>
        <v>1.6699926111997159</v>
      </c>
      <c r="L626" s="1290">
        <f t="shared" ca="1" si="152"/>
        <v>23.03363912696015</v>
      </c>
      <c r="M626" s="299">
        <v>618</v>
      </c>
      <c r="N626" s="304">
        <f t="shared" si="153"/>
        <v>3793.4938286108568</v>
      </c>
      <c r="O626" s="303">
        <v>205.07720728938907</v>
      </c>
      <c r="P626" s="302">
        <v>0.36311765610860802</v>
      </c>
      <c r="Q626" s="301">
        <v>119.62273886669988</v>
      </c>
      <c r="R626" s="301">
        <v>67.769950808995688</v>
      </c>
      <c r="S626" s="300">
        <v>6.9667923875291144</v>
      </c>
      <c r="T626" s="891">
        <f t="shared" si="154"/>
        <v>32</v>
      </c>
      <c r="U626" s="1220">
        <v>0.82104170322418213</v>
      </c>
      <c r="W626" s="299">
        <v>618</v>
      </c>
      <c r="X626" s="298">
        <f>IF('Donor Sample'!N643="",,IF('Donor Sample'!N643="F",1,0))</f>
        <v>0</v>
      </c>
      <c r="Y626" s="298" t="str">
        <f>IF('Donor Sample'!O643="","",'Donor Sample'!O643)</f>
        <v/>
      </c>
      <c r="Z626" s="298" t="str">
        <f>IF(AND('Donor Sample'!O643="",'Donor Sample'!P643="",'Donor Sample'!Q643=""),"",IF('Donor Sample'!P643="",ROUND(AA626/($C$32+($AI626-0.5)*$C$31),0),'Donor Sample'!P643))</f>
        <v/>
      </c>
      <c r="AA626" s="297" t="str">
        <f>IF('Donor Sample'!Q643="","",'Donor Sample'!Q643)</f>
        <v/>
      </c>
      <c r="AB626" s="296" t="str">
        <f t="shared" si="145"/>
        <v/>
      </c>
      <c r="AC626" s="295" t="str">
        <f>IF('Donor Sample'!R643="","",'Donor Sample'!R643)</f>
        <v/>
      </c>
      <c r="AD626" s="294" t="str">
        <f>IF('Donor Sample'!S643="","",'Donor Sample'!S643/100)</f>
        <v/>
      </c>
      <c r="AE626" s="293" t="e">
        <f t="shared" si="155"/>
        <v>#VALUE!</v>
      </c>
      <c r="AF626" s="293" t="str">
        <f t="shared" si="156"/>
        <v/>
      </c>
      <c r="AG626" s="292" t="str">
        <f>IF('Donor Sample'!T643="","",'Donor Sample'!T643)</f>
        <v/>
      </c>
      <c r="AH626" s="891">
        <f t="shared" si="157"/>
        <v>128</v>
      </c>
      <c r="AI626" s="1220">
        <v>0.93460571765899658</v>
      </c>
      <c r="AJ626" s="1216"/>
    </row>
    <row r="627" spans="5:36">
      <c r="E627" s="299">
        <v>619</v>
      </c>
      <c r="F627" s="308">
        <f t="shared" ca="1" si="146"/>
        <v>2833.4408786879903</v>
      </c>
      <c r="G627" s="307">
        <f t="shared" ca="1" si="147"/>
        <v>206.14748135593035</v>
      </c>
      <c r="H627" s="306">
        <f t="shared" ca="1" si="148"/>
        <v>0.43898396618092533</v>
      </c>
      <c r="I627" s="305">
        <f t="shared" ca="1" si="150"/>
        <v>113.70544938676906</v>
      </c>
      <c r="J627" s="305">
        <f t="shared" ca="1" si="151"/>
        <v>45.581076387155647</v>
      </c>
      <c r="K627" s="292">
        <f t="shared" ca="1" si="149"/>
        <v>2.2391965103044589</v>
      </c>
      <c r="L627" s="1290">
        <f t="shared" ca="1" si="152"/>
        <v>38.528738052832189</v>
      </c>
      <c r="M627" s="299">
        <v>619</v>
      </c>
      <c r="N627" s="304">
        <f t="shared" si="153"/>
        <v>4216.6231163033899</v>
      </c>
      <c r="O627" s="303">
        <v>238.65565921017583</v>
      </c>
      <c r="P627" s="302">
        <v>0.42479220472965729</v>
      </c>
      <c r="Q627" s="301">
        <v>131.0167171307599</v>
      </c>
      <c r="R627" s="301">
        <v>65.633339129429032</v>
      </c>
      <c r="S627" s="300">
        <v>1.3444059163515916</v>
      </c>
      <c r="T627" s="891">
        <f t="shared" si="154"/>
        <v>64</v>
      </c>
      <c r="U627" s="1220">
        <v>0.62779837846755981</v>
      </c>
      <c r="W627" s="299">
        <v>619</v>
      </c>
      <c r="X627" s="298">
        <f>IF('Donor Sample'!N644="",,IF('Donor Sample'!N644="F",1,0))</f>
        <v>0</v>
      </c>
      <c r="Y627" s="298" t="str">
        <f>IF('Donor Sample'!O644="","",'Donor Sample'!O644)</f>
        <v/>
      </c>
      <c r="Z627" s="298" t="str">
        <f>IF(AND('Donor Sample'!O644="",'Donor Sample'!P644="",'Donor Sample'!Q644=""),"",IF('Donor Sample'!P644="",ROUND(AA627/($C$32+($AI627-0.5)*$C$31),0),'Donor Sample'!P644))</f>
        <v/>
      </c>
      <c r="AA627" s="297" t="str">
        <f>IF('Donor Sample'!Q644="","",'Donor Sample'!Q644)</f>
        <v/>
      </c>
      <c r="AB627" s="296" t="str">
        <f t="shared" si="145"/>
        <v/>
      </c>
      <c r="AC627" s="295" t="str">
        <f>IF('Donor Sample'!R644="","",'Donor Sample'!R644)</f>
        <v/>
      </c>
      <c r="AD627" s="294" t="str">
        <f>IF('Donor Sample'!S644="","",'Donor Sample'!S644/100)</f>
        <v/>
      </c>
      <c r="AE627" s="407" t="e">
        <f t="shared" si="155"/>
        <v>#VALUE!</v>
      </c>
      <c r="AF627" s="293" t="str">
        <f t="shared" si="156"/>
        <v/>
      </c>
      <c r="AG627" s="292" t="str">
        <f>IF('Donor Sample'!T644="","",'Donor Sample'!T644)</f>
        <v/>
      </c>
      <c r="AH627" s="891">
        <f t="shared" si="157"/>
        <v>64</v>
      </c>
      <c r="AI627" s="1220">
        <v>0.61571961641311646</v>
      </c>
      <c r="AJ627" s="1216"/>
    </row>
    <row r="628" spans="5:36">
      <c r="E628" s="299">
        <v>620</v>
      </c>
      <c r="F628" s="308">
        <f t="shared" ca="1" si="146"/>
        <v>3554.2548521233562</v>
      </c>
      <c r="G628" s="307">
        <f t="shared" ca="1" si="147"/>
        <v>261.33113263823407</v>
      </c>
      <c r="H628" s="306">
        <f t="shared" ca="1" si="148"/>
        <v>0.38917953374620246</v>
      </c>
      <c r="I628" s="305">
        <f t="shared" ca="1" si="150"/>
        <v>141.60198845568942</v>
      </c>
      <c r="J628" s="305">
        <f t="shared" ca="1" si="151"/>
        <v>59.790839602662153</v>
      </c>
      <c r="K628" s="292">
        <f t="shared" ca="1" si="149"/>
        <v>6.381801367588646</v>
      </c>
      <c r="L628" s="1290">
        <f t="shared" ca="1" si="152"/>
        <v>27.885132164120215</v>
      </c>
      <c r="M628" s="299">
        <v>620</v>
      </c>
      <c r="N628" s="304">
        <f t="shared" si="153"/>
        <v>2709.1503127870646</v>
      </c>
      <c r="O628" s="303">
        <v>290.89195792807084</v>
      </c>
      <c r="P628" s="302">
        <v>0.41007732614717818</v>
      </c>
      <c r="Q628" s="301">
        <v>113.17138265243324</v>
      </c>
      <c r="R628" s="301">
        <v>52.171235383793906</v>
      </c>
      <c r="S628" s="300">
        <v>10.347474367661592</v>
      </c>
      <c r="T628" s="891">
        <f t="shared" si="154"/>
        <v>4</v>
      </c>
      <c r="U628" s="1220">
        <v>0.41132473945617676</v>
      </c>
      <c r="W628" s="299">
        <v>620</v>
      </c>
      <c r="X628" s="298">
        <f>IF('Donor Sample'!N645="",,IF('Donor Sample'!N645="F",1,0))</f>
        <v>0</v>
      </c>
      <c r="Y628" s="298" t="str">
        <f>IF('Donor Sample'!O645="","",'Donor Sample'!O645)</f>
        <v/>
      </c>
      <c r="Z628" s="298" t="str">
        <f>IF(AND('Donor Sample'!O645="",'Donor Sample'!P645="",'Donor Sample'!Q645=""),"",IF('Donor Sample'!P645="",ROUND(AA628/($C$32+($AI628-0.5)*$C$31),0),'Donor Sample'!P645))</f>
        <v/>
      </c>
      <c r="AA628" s="297" t="str">
        <f>IF('Donor Sample'!Q645="","",'Donor Sample'!Q645)</f>
        <v/>
      </c>
      <c r="AB628" s="296" t="str">
        <f t="shared" si="145"/>
        <v/>
      </c>
      <c r="AC628" s="295" t="str">
        <f>IF('Donor Sample'!R645="","",'Donor Sample'!R645)</f>
        <v/>
      </c>
      <c r="AD628" s="294" t="str">
        <f>IF('Donor Sample'!S645="","",'Donor Sample'!S645/100)</f>
        <v/>
      </c>
      <c r="AE628" s="293" t="e">
        <f t="shared" si="155"/>
        <v>#VALUE!</v>
      </c>
      <c r="AF628" s="293" t="str">
        <f t="shared" si="156"/>
        <v/>
      </c>
      <c r="AG628" s="292" t="str">
        <f>IF('Donor Sample'!T645="","",'Donor Sample'!T645)</f>
        <v/>
      </c>
      <c r="AH628" s="891">
        <f t="shared" si="157"/>
        <v>16</v>
      </c>
      <c r="AI628" s="1220">
        <v>0.96172118186950684</v>
      </c>
      <c r="AJ628" s="1216"/>
    </row>
    <row r="629" spans="5:36">
      <c r="E629" s="299">
        <v>621</v>
      </c>
      <c r="F629" s="308">
        <f t="shared" ca="1" si="146"/>
        <v>3310.436716320613</v>
      </c>
      <c r="G629" s="307">
        <f t="shared" ca="1" si="147"/>
        <v>233.91407985176514</v>
      </c>
      <c r="H629" s="306">
        <f t="shared" ca="1" si="148"/>
        <v>0.36252870101887646</v>
      </c>
      <c r="I629" s="305">
        <f t="shared" ca="1" si="150"/>
        <v>129.74433923250095</v>
      </c>
      <c r="J629" s="305">
        <f t="shared" ca="1" si="151"/>
        <v>51.310850152403994</v>
      </c>
      <c r="K629" s="292">
        <f t="shared" ca="1" si="149"/>
        <v>6.1293942452272878</v>
      </c>
      <c r="L629" s="1290">
        <f t="shared" ca="1" si="152"/>
        <v>34.693063973029879</v>
      </c>
      <c r="M629" s="299">
        <v>621</v>
      </c>
      <c r="N629" s="304">
        <f t="shared" si="153"/>
        <v>3463.4342387737029</v>
      </c>
      <c r="O629" s="303">
        <v>268.11093771547115</v>
      </c>
      <c r="P629" s="302">
        <v>0.41805644820753346</v>
      </c>
      <c r="Q629" s="301">
        <v>144.82650594579471</v>
      </c>
      <c r="R629" s="301">
        <v>49.854695728696576</v>
      </c>
      <c r="S629" s="300">
        <v>2.0271181927539073</v>
      </c>
      <c r="T629" s="891">
        <f t="shared" si="154"/>
        <v>2</v>
      </c>
      <c r="U629" s="1220">
        <v>0.13685649633407593</v>
      </c>
      <c r="W629" s="299">
        <v>621</v>
      </c>
      <c r="X629" s="298">
        <f>IF('Donor Sample'!N646="",,IF('Donor Sample'!N646="F",1,0))</f>
        <v>0</v>
      </c>
      <c r="Y629" s="298" t="str">
        <f>IF('Donor Sample'!O646="","",'Donor Sample'!O646)</f>
        <v/>
      </c>
      <c r="Z629" s="298" t="str">
        <f>IF(AND('Donor Sample'!O646="",'Donor Sample'!P646="",'Donor Sample'!Q646=""),"",IF('Donor Sample'!P646="",ROUND(AA629/($C$32+($AI629-0.5)*$C$31),0),'Donor Sample'!P646))</f>
        <v/>
      </c>
      <c r="AA629" s="297" t="str">
        <f>IF('Donor Sample'!Q646="","",'Donor Sample'!Q646)</f>
        <v/>
      </c>
      <c r="AB629" s="296" t="str">
        <f t="shared" si="145"/>
        <v/>
      </c>
      <c r="AC629" s="295" t="str">
        <f>IF('Donor Sample'!R646="","",'Donor Sample'!R646)</f>
        <v/>
      </c>
      <c r="AD629" s="294" t="str">
        <f>IF('Donor Sample'!S646="","",'Donor Sample'!S646/100)</f>
        <v/>
      </c>
      <c r="AE629" s="293" t="e">
        <f t="shared" si="155"/>
        <v>#VALUE!</v>
      </c>
      <c r="AF629" s="293" t="str">
        <f t="shared" si="156"/>
        <v/>
      </c>
      <c r="AG629" s="292" t="str">
        <f>IF('Donor Sample'!T646="","",'Donor Sample'!T646)</f>
        <v/>
      </c>
      <c r="AH629" s="891">
        <f t="shared" si="157"/>
        <v>64</v>
      </c>
      <c r="AI629" s="1220">
        <v>0.44318670034408569</v>
      </c>
      <c r="AJ629" s="1216"/>
    </row>
    <row r="630" spans="5:36">
      <c r="E630" s="299">
        <v>622</v>
      </c>
      <c r="F630" s="308">
        <f t="shared" ca="1" si="146"/>
        <v>3520.1953911462592</v>
      </c>
      <c r="G630" s="307">
        <f t="shared" ca="1" si="147"/>
        <v>191.32375613729914</v>
      </c>
      <c r="H630" s="306">
        <f t="shared" ca="1" si="148"/>
        <v>0.42980378476807329</v>
      </c>
      <c r="I630" s="305">
        <f t="shared" ca="1" si="150"/>
        <v>109.24648464341537</v>
      </c>
      <c r="J630" s="305">
        <f t="shared" ca="1" si="151"/>
        <v>60.346141180724537</v>
      </c>
      <c r="K630" s="292">
        <f t="shared" ca="1" si="149"/>
        <v>15.702397041383255</v>
      </c>
      <c r="L630" s="1290">
        <f t="shared" ca="1" si="152"/>
        <v>21.119377897116916</v>
      </c>
      <c r="M630" s="299">
        <v>622</v>
      </c>
      <c r="N630" s="304">
        <f t="shared" si="153"/>
        <v>2978.5620264084428</v>
      </c>
      <c r="O630" s="303">
        <v>196.93112391177945</v>
      </c>
      <c r="P630" s="302">
        <v>0.38672593455427806</v>
      </c>
      <c r="Q630" s="301">
        <v>123.47042506472192</v>
      </c>
      <c r="R630" s="301">
        <v>45.649092054219402</v>
      </c>
      <c r="S630" s="300">
        <v>1.7447593756290305</v>
      </c>
      <c r="T630" s="891">
        <f t="shared" si="154"/>
        <v>64</v>
      </c>
      <c r="U630" s="1220">
        <v>0.66942870616912842</v>
      </c>
      <c r="W630" s="299">
        <v>622</v>
      </c>
      <c r="X630" s="298">
        <f>IF('Donor Sample'!N647="",,IF('Donor Sample'!N647="F",1,0))</f>
        <v>0</v>
      </c>
      <c r="Y630" s="298" t="str">
        <f>IF('Donor Sample'!O647="","",'Donor Sample'!O647)</f>
        <v/>
      </c>
      <c r="Z630" s="298" t="str">
        <f>IF(AND('Donor Sample'!O647="",'Donor Sample'!P647="",'Donor Sample'!Q647=""),"",IF('Donor Sample'!P647="",ROUND(AA630/($C$32+($AI630-0.5)*$C$31),0),'Donor Sample'!P647))</f>
        <v/>
      </c>
      <c r="AA630" s="297" t="str">
        <f>IF('Donor Sample'!Q647="","",'Donor Sample'!Q647)</f>
        <v/>
      </c>
      <c r="AB630" s="296" t="str">
        <f t="shared" ref="AB630:AB693" si="158">IF(AND(Y630="",Z630="",AA630=""),"",IF(AA630="",IF(X630=0,604+IF($AB$2=1,0.006012,0.0003669)*Y630^3+IF($AB$2=1,14.6,32.187)*Z630,183+IF($AB$2=1,0.005835,0.0003561)*Y630^3+IF($AB$2=1,15,33.069)*Z630),AA630))</f>
        <v/>
      </c>
      <c r="AC630" s="295" t="str">
        <f>IF('Donor Sample'!R647="","",'Donor Sample'!R647)</f>
        <v/>
      </c>
      <c r="AD630" s="294" t="str">
        <f>IF('Donor Sample'!S647="","",'Donor Sample'!S647/100)</f>
        <v/>
      </c>
      <c r="AE630" s="407" t="e">
        <f t="shared" si="155"/>
        <v>#VALUE!</v>
      </c>
      <c r="AF630" s="293" t="str">
        <f t="shared" si="156"/>
        <v/>
      </c>
      <c r="AG630" s="292" t="str">
        <f>IF('Donor Sample'!T647="","",'Donor Sample'!T647)</f>
        <v/>
      </c>
      <c r="AH630" s="891">
        <f t="shared" si="157"/>
        <v>4</v>
      </c>
      <c r="AI630" s="1220">
        <v>0.37787950038909912</v>
      </c>
      <c r="AJ630" s="1216"/>
    </row>
    <row r="631" spans="5:36">
      <c r="E631" s="299">
        <v>623</v>
      </c>
      <c r="F631" s="308">
        <f t="shared" ca="1" si="146"/>
        <v>2545.6912056017418</v>
      </c>
      <c r="G631" s="307">
        <f t="shared" ca="1" si="147"/>
        <v>247.83624309179089</v>
      </c>
      <c r="H631" s="306">
        <f t="shared" ca="1" si="148"/>
        <v>0.35206630757568891</v>
      </c>
      <c r="I631" s="305">
        <f t="shared" ca="1" si="150"/>
        <v>101.68148422074964</v>
      </c>
      <c r="J631" s="305">
        <f t="shared" ca="1" si="151"/>
        <v>42.365327734395031</v>
      </c>
      <c r="K631" s="292">
        <f t="shared" ca="1" si="149"/>
        <v>1.3080895407389168</v>
      </c>
      <c r="L631" s="1290">
        <f t="shared" ca="1" si="152"/>
        <v>39.883512132410843</v>
      </c>
      <c r="M631" s="299">
        <v>623</v>
      </c>
      <c r="N631" s="304">
        <f t="shared" si="153"/>
        <v>3805.6727743114966</v>
      </c>
      <c r="O631" s="303">
        <v>222.75004951749776</v>
      </c>
      <c r="P631" s="302">
        <v>0.4780441492353763</v>
      </c>
      <c r="Q631" s="301">
        <v>121.82347455951036</v>
      </c>
      <c r="R631" s="301">
        <v>61.858644702903796</v>
      </c>
      <c r="S631" s="300">
        <v>8.1146438892745003</v>
      </c>
      <c r="T631" s="891">
        <f t="shared" si="154"/>
        <v>2</v>
      </c>
      <c r="U631" s="1220">
        <v>0.13170963525772095</v>
      </c>
      <c r="W631" s="299">
        <v>623</v>
      </c>
      <c r="X631" s="298">
        <f>IF('Donor Sample'!N648="",,IF('Donor Sample'!N648="F",1,0))</f>
        <v>0</v>
      </c>
      <c r="Y631" s="298" t="str">
        <f>IF('Donor Sample'!O648="","",'Donor Sample'!O648)</f>
        <v/>
      </c>
      <c r="Z631" s="298" t="str">
        <f>IF(AND('Donor Sample'!O648="",'Donor Sample'!P648="",'Donor Sample'!Q648=""),"",IF('Donor Sample'!P648="",ROUND(AA631/($C$32+($AI631-0.5)*$C$31),0),'Donor Sample'!P648))</f>
        <v/>
      </c>
      <c r="AA631" s="297" t="str">
        <f>IF('Donor Sample'!Q648="","",'Donor Sample'!Q648)</f>
        <v/>
      </c>
      <c r="AB631" s="296" t="str">
        <f t="shared" si="158"/>
        <v/>
      </c>
      <c r="AC631" s="295" t="str">
        <f>IF('Donor Sample'!R648="","",'Donor Sample'!R648)</f>
        <v/>
      </c>
      <c r="AD631" s="294" t="str">
        <f>IF('Donor Sample'!S648="","",'Donor Sample'!S648/100)</f>
        <v/>
      </c>
      <c r="AE631" s="293" t="e">
        <f t="shared" si="155"/>
        <v>#VALUE!</v>
      </c>
      <c r="AF631" s="293" t="str">
        <f t="shared" si="156"/>
        <v/>
      </c>
      <c r="AG631" s="292" t="str">
        <f>IF('Donor Sample'!T648="","",'Donor Sample'!T648)</f>
        <v/>
      </c>
      <c r="AH631" s="891">
        <f t="shared" si="157"/>
        <v>64</v>
      </c>
      <c r="AI631" s="1220">
        <v>0.62403303384780884</v>
      </c>
      <c r="AJ631" s="1216"/>
    </row>
    <row r="632" spans="5:36">
      <c r="E632" s="299">
        <v>624</v>
      </c>
      <c r="F632" s="308">
        <f t="shared" ca="1" si="146"/>
        <v>3459.2401999306271</v>
      </c>
      <c r="G632" s="307">
        <f t="shared" ca="1" si="147"/>
        <v>198.00685683384376</v>
      </c>
      <c r="H632" s="306">
        <f t="shared" ca="1" si="148"/>
        <v>0.40916933737676042</v>
      </c>
      <c r="I632" s="305">
        <f t="shared" ca="1" si="150"/>
        <v>132.05014124662287</v>
      </c>
      <c r="J632" s="305">
        <f t="shared" ca="1" si="151"/>
        <v>53.629247068683298</v>
      </c>
      <c r="K632" s="292">
        <f t="shared" ca="1" si="149"/>
        <v>17.473257452566664</v>
      </c>
      <c r="L632" s="1290">
        <f t="shared" ca="1" si="152"/>
        <v>32.322737097490098</v>
      </c>
      <c r="M632" s="299">
        <v>624</v>
      </c>
      <c r="N632" s="304">
        <f t="shared" si="153"/>
        <v>3013.1647669534136</v>
      </c>
      <c r="O632" s="303">
        <v>199.67547506959107</v>
      </c>
      <c r="P632" s="302">
        <v>0.43209207122791427</v>
      </c>
      <c r="Q632" s="301">
        <v>99.734721146784466</v>
      </c>
      <c r="R632" s="301">
        <v>54.120739723758938</v>
      </c>
      <c r="S632" s="300">
        <v>4.4081040755799217</v>
      </c>
      <c r="T632" s="891">
        <f t="shared" si="154"/>
        <v>2</v>
      </c>
      <c r="U632" s="1220">
        <v>2.3741722106933594E-3</v>
      </c>
      <c r="W632" s="299">
        <v>624</v>
      </c>
      <c r="X632" s="298">
        <f>IF('Donor Sample'!N649="",,IF('Donor Sample'!N649="F",1,0))</f>
        <v>0</v>
      </c>
      <c r="Y632" s="298" t="str">
        <f>IF('Donor Sample'!O649="","",'Donor Sample'!O649)</f>
        <v/>
      </c>
      <c r="Z632" s="298" t="str">
        <f>IF(AND('Donor Sample'!O649="",'Donor Sample'!P649="",'Donor Sample'!Q649=""),"",IF('Donor Sample'!P649="",ROUND(AA632/($C$32+($AI632-0.5)*$C$31),0),'Donor Sample'!P649))</f>
        <v/>
      </c>
      <c r="AA632" s="297" t="str">
        <f>IF('Donor Sample'!Q649="","",'Donor Sample'!Q649)</f>
        <v/>
      </c>
      <c r="AB632" s="296" t="str">
        <f t="shared" si="158"/>
        <v/>
      </c>
      <c r="AC632" s="295" t="str">
        <f>IF('Donor Sample'!R649="","",'Donor Sample'!R649)</f>
        <v/>
      </c>
      <c r="AD632" s="294" t="str">
        <f>IF('Donor Sample'!S649="","",'Donor Sample'!S649/100)</f>
        <v/>
      </c>
      <c r="AE632" s="293" t="e">
        <f t="shared" si="155"/>
        <v>#VALUE!</v>
      </c>
      <c r="AF632" s="293" t="str">
        <f t="shared" si="156"/>
        <v/>
      </c>
      <c r="AG632" s="292" t="str">
        <f>IF('Donor Sample'!T649="","",'Donor Sample'!T649)</f>
        <v/>
      </c>
      <c r="AH632" s="891">
        <f t="shared" si="157"/>
        <v>2</v>
      </c>
      <c r="AI632" s="1220">
        <v>0.17237663269042969</v>
      </c>
      <c r="AJ632" s="1216"/>
    </row>
    <row r="633" spans="5:36">
      <c r="E633" s="299">
        <v>625</v>
      </c>
      <c r="F633" s="308">
        <f t="shared" ca="1" si="146"/>
        <v>4109.0856788131014</v>
      </c>
      <c r="G633" s="307">
        <f t="shared" ca="1" si="147"/>
        <v>254.18489514059769</v>
      </c>
      <c r="H633" s="306">
        <f t="shared" ca="1" si="148"/>
        <v>0.37341172224208363</v>
      </c>
      <c r="I633" s="305">
        <f t="shared" ca="1" si="150"/>
        <v>156.81272479298869</v>
      </c>
      <c r="J633" s="305">
        <f t="shared" ca="1" si="151"/>
        <v>58.693896601540061</v>
      </c>
      <c r="K633" s="292">
        <f t="shared" ca="1" si="149"/>
        <v>1.7742239191574236</v>
      </c>
      <c r="L633" s="1290">
        <f t="shared" ca="1" si="152"/>
        <v>32.045575476743132</v>
      </c>
      <c r="M633" s="299">
        <v>625</v>
      </c>
      <c r="N633" s="304">
        <f t="shared" si="153"/>
        <v>3646.8730684057714</v>
      </c>
      <c r="O633" s="303">
        <v>276.34368661561103</v>
      </c>
      <c r="P633" s="302">
        <v>0.42831801794769414</v>
      </c>
      <c r="Q633" s="301">
        <v>148.49168763332167</v>
      </c>
      <c r="R633" s="301">
        <v>52.599170229638865</v>
      </c>
      <c r="S633" s="300">
        <v>1.8442263572936577</v>
      </c>
      <c r="T633" s="891">
        <f t="shared" si="154"/>
        <v>2</v>
      </c>
      <c r="U633" s="1220">
        <v>0.30535858869552612</v>
      </c>
      <c r="W633" s="299">
        <v>625</v>
      </c>
      <c r="X633" s="298">
        <f>IF('Donor Sample'!N650="",,IF('Donor Sample'!N650="F",1,0))</f>
        <v>0</v>
      </c>
      <c r="Y633" s="298" t="str">
        <f>IF('Donor Sample'!O650="","",'Donor Sample'!O650)</f>
        <v/>
      </c>
      <c r="Z633" s="298" t="str">
        <f>IF(AND('Donor Sample'!O650="",'Donor Sample'!P650="",'Donor Sample'!Q650=""),"",IF('Donor Sample'!P650="",ROUND(AA633/($C$32+($AI633-0.5)*$C$31),0),'Donor Sample'!P650))</f>
        <v/>
      </c>
      <c r="AA633" s="297" t="str">
        <f>IF('Donor Sample'!Q650="","",'Donor Sample'!Q650)</f>
        <v/>
      </c>
      <c r="AB633" s="296" t="str">
        <f t="shared" si="158"/>
        <v/>
      </c>
      <c r="AC633" s="295" t="str">
        <f>IF('Donor Sample'!R650="","",'Donor Sample'!R650)</f>
        <v/>
      </c>
      <c r="AD633" s="294" t="str">
        <f>IF('Donor Sample'!S650="","",'Donor Sample'!S650/100)</f>
        <v/>
      </c>
      <c r="AE633" s="407" t="e">
        <f t="shared" si="155"/>
        <v>#VALUE!</v>
      </c>
      <c r="AF633" s="293" t="str">
        <f t="shared" si="156"/>
        <v/>
      </c>
      <c r="AG633" s="292" t="str">
        <f>IF('Donor Sample'!T650="","",'Donor Sample'!T650)</f>
        <v/>
      </c>
      <c r="AH633" s="891">
        <f t="shared" si="157"/>
        <v>2</v>
      </c>
      <c r="AI633" s="1220">
        <v>0.35443323850631714</v>
      </c>
      <c r="AJ633" s="1216"/>
    </row>
    <row r="634" spans="5:36">
      <c r="E634" s="299">
        <v>626</v>
      </c>
      <c r="F634" s="308">
        <f t="shared" ca="1" si="146"/>
        <v>3215.3742707288575</v>
      </c>
      <c r="G634" s="307">
        <f t="shared" ca="1" si="147"/>
        <v>255.27181992274586</v>
      </c>
      <c r="H634" s="306">
        <f t="shared" ca="1" si="148"/>
        <v>0.40443199808699043</v>
      </c>
      <c r="I634" s="305">
        <f t="shared" ca="1" si="150"/>
        <v>99.794472537247657</v>
      </c>
      <c r="J634" s="305">
        <f t="shared" ca="1" si="151"/>
        <v>57.691165132661389</v>
      </c>
      <c r="K634" s="292">
        <f t="shared" ca="1" si="149"/>
        <v>2.6141052147505146</v>
      </c>
      <c r="L634" s="1290">
        <f t="shared" ca="1" si="152"/>
        <v>21.108653260257686</v>
      </c>
      <c r="M634" s="299">
        <v>626</v>
      </c>
      <c r="N634" s="304">
        <f t="shared" si="153"/>
        <v>2817.8924324908639</v>
      </c>
      <c r="O634" s="303">
        <v>257.19011193915009</v>
      </c>
      <c r="P634" s="302">
        <v>0.42206714624505814</v>
      </c>
      <c r="Q634" s="301">
        <v>104.2532622080351</v>
      </c>
      <c r="R634" s="301">
        <v>48.639164698148498</v>
      </c>
      <c r="S634" s="300">
        <v>1.466077053000836</v>
      </c>
      <c r="T634" s="891">
        <f t="shared" si="154"/>
        <v>64</v>
      </c>
      <c r="U634" s="1220">
        <v>0.58897125720977783</v>
      </c>
      <c r="W634" s="299">
        <v>626</v>
      </c>
      <c r="X634" s="298">
        <f>IF('Donor Sample'!N651="",,IF('Donor Sample'!N651="F",1,0))</f>
        <v>0</v>
      </c>
      <c r="Y634" s="298" t="str">
        <f>IF('Donor Sample'!O651="","",'Donor Sample'!O651)</f>
        <v/>
      </c>
      <c r="Z634" s="298" t="str">
        <f>IF(AND('Donor Sample'!O651="",'Donor Sample'!P651="",'Donor Sample'!Q651=""),"",IF('Donor Sample'!P651="",ROUND(AA634/($C$32+($AI634-0.5)*$C$31),0),'Donor Sample'!P651))</f>
        <v/>
      </c>
      <c r="AA634" s="297" t="str">
        <f>IF('Donor Sample'!Q651="","",'Donor Sample'!Q651)</f>
        <v/>
      </c>
      <c r="AB634" s="296" t="str">
        <f t="shared" si="158"/>
        <v/>
      </c>
      <c r="AC634" s="295" t="str">
        <f>IF('Donor Sample'!R651="","",'Donor Sample'!R651)</f>
        <v/>
      </c>
      <c r="AD634" s="294" t="str">
        <f>IF('Donor Sample'!S651="","",'Donor Sample'!S651/100)</f>
        <v/>
      </c>
      <c r="AE634" s="293" t="e">
        <f t="shared" si="155"/>
        <v>#VALUE!</v>
      </c>
      <c r="AF634" s="293" t="str">
        <f t="shared" si="156"/>
        <v/>
      </c>
      <c r="AG634" s="292" t="str">
        <f>IF('Donor Sample'!T651="","",'Donor Sample'!T651)</f>
        <v/>
      </c>
      <c r="AH634" s="891">
        <f t="shared" si="157"/>
        <v>2</v>
      </c>
      <c r="AI634" s="1220">
        <v>0.26450121402740479</v>
      </c>
      <c r="AJ634" s="1216"/>
    </row>
    <row r="635" spans="5:36">
      <c r="E635" s="299">
        <v>627</v>
      </c>
      <c r="F635" s="308">
        <f t="shared" ca="1" si="146"/>
        <v>3032.5826290766281</v>
      </c>
      <c r="G635" s="307">
        <f t="shared" ca="1" si="147"/>
        <v>249.66464885789901</v>
      </c>
      <c r="H635" s="306">
        <f t="shared" ca="1" si="148"/>
        <v>0.41276679235721514</v>
      </c>
      <c r="I635" s="305">
        <f t="shared" ca="1" si="150"/>
        <v>99.544809888548727</v>
      </c>
      <c r="J635" s="305">
        <f t="shared" ca="1" si="151"/>
        <v>54.537570835893852</v>
      </c>
      <c r="K635" s="292">
        <f t="shared" ca="1" si="149"/>
        <v>1.2995048986210189</v>
      </c>
      <c r="L635" s="1290">
        <f t="shared" ca="1" si="152"/>
        <v>23.5613244910835</v>
      </c>
      <c r="M635" s="299">
        <v>627</v>
      </c>
      <c r="N635" s="304">
        <f t="shared" si="153"/>
        <v>4102.3096782130378</v>
      </c>
      <c r="O635" s="303">
        <v>222.81646371851727</v>
      </c>
      <c r="P635" s="302">
        <v>0.3543520399768228</v>
      </c>
      <c r="Q635" s="301">
        <v>134.86902565433215</v>
      </c>
      <c r="R635" s="301">
        <v>63.360293355357619</v>
      </c>
      <c r="S635" s="300">
        <v>8.215320260971783</v>
      </c>
      <c r="T635" s="891">
        <f t="shared" si="154"/>
        <v>2</v>
      </c>
      <c r="U635" s="1220">
        <v>0.34793549776077271</v>
      </c>
      <c r="W635" s="299">
        <v>627</v>
      </c>
      <c r="X635" s="298">
        <f>IF('Donor Sample'!N652="",,IF('Donor Sample'!N652="F",1,0))</f>
        <v>0</v>
      </c>
      <c r="Y635" s="298" t="str">
        <f>IF('Donor Sample'!O652="","",'Donor Sample'!O652)</f>
        <v/>
      </c>
      <c r="Z635" s="298" t="str">
        <f>IF(AND('Donor Sample'!O652="",'Donor Sample'!P652="",'Donor Sample'!Q652=""),"",IF('Donor Sample'!P652="",ROUND(AA635/($C$32+($AI635-0.5)*$C$31),0),'Donor Sample'!P652))</f>
        <v/>
      </c>
      <c r="AA635" s="297" t="str">
        <f>IF('Donor Sample'!Q652="","",'Donor Sample'!Q652)</f>
        <v/>
      </c>
      <c r="AB635" s="296" t="str">
        <f t="shared" si="158"/>
        <v/>
      </c>
      <c r="AC635" s="295" t="str">
        <f>IF('Donor Sample'!R652="","",'Donor Sample'!R652)</f>
        <v/>
      </c>
      <c r="AD635" s="294" t="str">
        <f>IF('Donor Sample'!S652="","",'Donor Sample'!S652/100)</f>
        <v/>
      </c>
      <c r="AE635" s="293" t="e">
        <f t="shared" si="155"/>
        <v>#VALUE!</v>
      </c>
      <c r="AF635" s="293" t="str">
        <f t="shared" si="156"/>
        <v/>
      </c>
      <c r="AG635" s="292" t="str">
        <f>IF('Donor Sample'!T652="","",'Donor Sample'!T652)</f>
        <v/>
      </c>
      <c r="AH635" s="891">
        <f t="shared" si="157"/>
        <v>2</v>
      </c>
      <c r="AI635" s="1220">
        <v>0.35308390855789185</v>
      </c>
      <c r="AJ635" s="1216"/>
    </row>
    <row r="636" spans="5:36">
      <c r="E636" s="299">
        <v>628</v>
      </c>
      <c r="F636" s="308">
        <f t="shared" ca="1" si="146"/>
        <v>3710.6312106457385</v>
      </c>
      <c r="G636" s="307">
        <f t="shared" ca="1" si="147"/>
        <v>232.57139965118995</v>
      </c>
      <c r="H636" s="306">
        <f t="shared" ca="1" si="148"/>
        <v>0.38145340389564053</v>
      </c>
      <c r="I636" s="305">
        <f t="shared" ca="1" si="150"/>
        <v>124.94611734025561</v>
      </c>
      <c r="J636" s="305">
        <f t="shared" ca="1" si="151"/>
        <v>59.749856442656586</v>
      </c>
      <c r="K636" s="292">
        <f t="shared" ca="1" si="149"/>
        <v>1.3045775900138241</v>
      </c>
      <c r="L636" s="1290">
        <f t="shared" ca="1" si="152"/>
        <v>24.638921388702585</v>
      </c>
      <c r="M636" s="299">
        <v>628</v>
      </c>
      <c r="N636" s="304">
        <f t="shared" si="153"/>
        <v>3105.8100637584821</v>
      </c>
      <c r="O636" s="303">
        <v>214.5229667314926</v>
      </c>
      <c r="P636" s="302">
        <v>0.3840541877023797</v>
      </c>
      <c r="Q636" s="301">
        <v>114.40830524564851</v>
      </c>
      <c r="R636" s="301">
        <v>51.713688394930578</v>
      </c>
      <c r="S636" s="300">
        <v>4.5189879057972417</v>
      </c>
      <c r="T636" s="891">
        <f t="shared" si="154"/>
        <v>64</v>
      </c>
      <c r="U636" s="1220">
        <v>0.67913603782653809</v>
      </c>
      <c r="W636" s="299">
        <v>628</v>
      </c>
      <c r="X636" s="298">
        <f>IF('Donor Sample'!N653="",,IF('Donor Sample'!N653="F",1,0))</f>
        <v>0</v>
      </c>
      <c r="Y636" s="298" t="str">
        <f>IF('Donor Sample'!O653="","",'Donor Sample'!O653)</f>
        <v/>
      </c>
      <c r="Z636" s="298" t="str">
        <f>IF(AND('Donor Sample'!O653="",'Donor Sample'!P653="",'Donor Sample'!Q653=""),"",IF('Donor Sample'!P653="",ROUND(AA636/($C$32+($AI636-0.5)*$C$31),0),'Donor Sample'!P653))</f>
        <v/>
      </c>
      <c r="AA636" s="297" t="str">
        <f>IF('Donor Sample'!Q653="","",'Donor Sample'!Q653)</f>
        <v/>
      </c>
      <c r="AB636" s="296" t="str">
        <f t="shared" si="158"/>
        <v/>
      </c>
      <c r="AC636" s="295" t="str">
        <f>IF('Donor Sample'!R653="","",'Donor Sample'!R653)</f>
        <v/>
      </c>
      <c r="AD636" s="294" t="str">
        <f>IF('Donor Sample'!S653="","",'Donor Sample'!S653/100)</f>
        <v/>
      </c>
      <c r="AE636" s="407" t="e">
        <f t="shared" si="155"/>
        <v>#VALUE!</v>
      </c>
      <c r="AF636" s="293" t="str">
        <f t="shared" si="156"/>
        <v/>
      </c>
      <c r="AG636" s="292" t="str">
        <f>IF('Donor Sample'!T653="","",'Donor Sample'!T653)</f>
        <v/>
      </c>
      <c r="AH636" s="891">
        <f t="shared" si="157"/>
        <v>2</v>
      </c>
      <c r="AI636" s="1220">
        <v>6.8475961685180664E-2</v>
      </c>
      <c r="AJ636" s="1216"/>
    </row>
    <row r="637" spans="5:36">
      <c r="E637" s="299">
        <v>629</v>
      </c>
      <c r="F637" s="308">
        <f t="shared" ca="1" si="146"/>
        <v>3169.7248034630506</v>
      </c>
      <c r="G637" s="307">
        <f t="shared" ca="1" si="147"/>
        <v>176.77304434049373</v>
      </c>
      <c r="H637" s="306">
        <f t="shared" ca="1" si="148"/>
        <v>0.4159399857776076</v>
      </c>
      <c r="I637" s="305">
        <f t="shared" ca="1" si="150"/>
        <v>114.30546799020958</v>
      </c>
      <c r="J637" s="305">
        <f t="shared" ca="1" si="151"/>
        <v>53.035829203898317</v>
      </c>
      <c r="K637" s="292">
        <f t="shared" ca="1" si="149"/>
        <v>5.5809787994597349</v>
      </c>
      <c r="L637" s="1290">
        <f t="shared" ca="1" si="152"/>
        <v>28.60888543200025</v>
      </c>
      <c r="M637" s="299">
        <v>629</v>
      </c>
      <c r="N637" s="304">
        <f t="shared" si="153"/>
        <v>2974.4520841053918</v>
      </c>
      <c r="O637" s="303">
        <v>203.15142490971999</v>
      </c>
      <c r="P637" s="302">
        <v>0.44745244564931325</v>
      </c>
      <c r="Q637" s="301">
        <v>122.63125946128005</v>
      </c>
      <c r="R637" s="301">
        <v>45.864702744246017</v>
      </c>
      <c r="S637" s="300">
        <v>1.8760814943439308</v>
      </c>
      <c r="T637" s="891">
        <f t="shared" si="154"/>
        <v>64</v>
      </c>
      <c r="U637" s="1220">
        <v>0.54875463247299194</v>
      </c>
      <c r="W637" s="299">
        <v>629</v>
      </c>
      <c r="X637" s="298">
        <f>IF('Donor Sample'!N654="",,IF('Donor Sample'!N654="F",1,0))</f>
        <v>0</v>
      </c>
      <c r="Y637" s="298" t="str">
        <f>IF('Donor Sample'!O654="","",'Donor Sample'!O654)</f>
        <v/>
      </c>
      <c r="Z637" s="298" t="str">
        <f>IF(AND('Donor Sample'!O654="",'Donor Sample'!P654="",'Donor Sample'!Q654=""),"",IF('Donor Sample'!P654="",ROUND(AA637/($C$32+($AI637-0.5)*$C$31),0),'Donor Sample'!P654))</f>
        <v/>
      </c>
      <c r="AA637" s="297" t="str">
        <f>IF('Donor Sample'!Q654="","",'Donor Sample'!Q654)</f>
        <v/>
      </c>
      <c r="AB637" s="296" t="str">
        <f t="shared" si="158"/>
        <v/>
      </c>
      <c r="AC637" s="295" t="str">
        <f>IF('Donor Sample'!R654="","",'Donor Sample'!R654)</f>
        <v/>
      </c>
      <c r="AD637" s="294" t="str">
        <f>IF('Donor Sample'!S654="","",'Donor Sample'!S654/100)</f>
        <v/>
      </c>
      <c r="AE637" s="293" t="e">
        <f t="shared" si="155"/>
        <v>#VALUE!</v>
      </c>
      <c r="AF637" s="293" t="str">
        <f t="shared" si="156"/>
        <v/>
      </c>
      <c r="AG637" s="292" t="str">
        <f>IF('Donor Sample'!T654="","",'Donor Sample'!T654)</f>
        <v/>
      </c>
      <c r="AH637" s="891">
        <f t="shared" si="157"/>
        <v>64</v>
      </c>
      <c r="AI637" s="1220">
        <v>0.66637939214706421</v>
      </c>
      <c r="AJ637" s="1216"/>
    </row>
    <row r="638" spans="5:36">
      <c r="E638" s="299">
        <v>630</v>
      </c>
      <c r="F638" s="308">
        <f t="shared" ca="1" si="146"/>
        <v>3134.9432372637821</v>
      </c>
      <c r="G638" s="307">
        <f t="shared" ca="1" si="147"/>
        <v>206.25073935859683</v>
      </c>
      <c r="H638" s="306">
        <f t="shared" ca="1" si="148"/>
        <v>0.4112577011078678</v>
      </c>
      <c r="I638" s="305">
        <f t="shared" ca="1" si="150"/>
        <v>129.82241950255366</v>
      </c>
      <c r="J638" s="305">
        <f t="shared" ca="1" si="151"/>
        <v>47.283219680527253</v>
      </c>
      <c r="K638" s="292">
        <f t="shared" ca="1" si="149"/>
        <v>3.5045044106611436</v>
      </c>
      <c r="L638" s="1290">
        <f t="shared" ca="1" si="152"/>
        <v>40.879754115698738</v>
      </c>
      <c r="M638" s="299">
        <v>630</v>
      </c>
      <c r="N638" s="304">
        <f t="shared" si="153"/>
        <v>2935.1761892821296</v>
      </c>
      <c r="O638" s="303">
        <v>224.06797244601131</v>
      </c>
      <c r="P638" s="302">
        <v>0.38153652406332272</v>
      </c>
      <c r="Q638" s="301">
        <v>90.614753716334704</v>
      </c>
      <c r="R638" s="301">
        <v>55.145407855841974</v>
      </c>
      <c r="S638" s="300">
        <v>11.224909670563424</v>
      </c>
      <c r="T638" s="891">
        <f t="shared" si="154"/>
        <v>2</v>
      </c>
      <c r="U638" s="1220">
        <v>0.28773820400238037</v>
      </c>
      <c r="W638" s="299">
        <v>630</v>
      </c>
      <c r="X638" s="298">
        <f>IF('Donor Sample'!N655="",,IF('Donor Sample'!N655="F",1,0))</f>
        <v>0</v>
      </c>
      <c r="Y638" s="298" t="str">
        <f>IF('Donor Sample'!O655="","",'Donor Sample'!O655)</f>
        <v/>
      </c>
      <c r="Z638" s="298" t="str">
        <f>IF(AND('Donor Sample'!O655="",'Donor Sample'!P655="",'Donor Sample'!Q655=""),"",IF('Donor Sample'!P655="",ROUND(AA638/($C$32+($AI638-0.5)*$C$31),0),'Donor Sample'!P655))</f>
        <v/>
      </c>
      <c r="AA638" s="297" t="str">
        <f>IF('Donor Sample'!Q655="","",'Donor Sample'!Q655)</f>
        <v/>
      </c>
      <c r="AB638" s="296" t="str">
        <f t="shared" si="158"/>
        <v/>
      </c>
      <c r="AC638" s="295" t="str">
        <f>IF('Donor Sample'!R655="","",'Donor Sample'!R655)</f>
        <v/>
      </c>
      <c r="AD638" s="294" t="str">
        <f>IF('Donor Sample'!S655="","",'Donor Sample'!S655/100)</f>
        <v/>
      </c>
      <c r="AE638" s="293" t="e">
        <f t="shared" si="155"/>
        <v>#VALUE!</v>
      </c>
      <c r="AF638" s="293" t="str">
        <f t="shared" si="156"/>
        <v/>
      </c>
      <c r="AG638" s="292" t="str">
        <f>IF('Donor Sample'!T655="","",'Donor Sample'!T655)</f>
        <v/>
      </c>
      <c r="AH638" s="891">
        <f t="shared" si="157"/>
        <v>64</v>
      </c>
      <c r="AI638" s="1220">
        <v>0.57793033123016357</v>
      </c>
      <c r="AJ638" s="1216"/>
    </row>
    <row r="639" spans="5:36">
      <c r="E639" s="299">
        <v>631</v>
      </c>
      <c r="F639" s="308">
        <f t="shared" ca="1" si="146"/>
        <v>4120.5973544704857</v>
      </c>
      <c r="G639" s="307">
        <f t="shared" ca="1" si="147"/>
        <v>203.91634858649795</v>
      </c>
      <c r="H639" s="306">
        <f t="shared" ca="1" si="148"/>
        <v>0.3974060068345377</v>
      </c>
      <c r="I639" s="305">
        <f t="shared" ca="1" si="150"/>
        <v>149.29782054871734</v>
      </c>
      <c r="J639" s="305">
        <f t="shared" ca="1" si="151"/>
        <v>66.268940721687656</v>
      </c>
      <c r="K639" s="292">
        <f t="shared" ca="1" si="149"/>
        <v>2.5846844053093121</v>
      </c>
      <c r="L639" s="1290">
        <f t="shared" ca="1" si="152"/>
        <v>23.933492060440468</v>
      </c>
      <c r="M639" s="299">
        <v>631</v>
      </c>
      <c r="N639" s="304">
        <f t="shared" si="153"/>
        <v>3330.7937645343136</v>
      </c>
      <c r="O639" s="303">
        <v>261.29889975594767</v>
      </c>
      <c r="P639" s="302">
        <v>0.44904271970837528</v>
      </c>
      <c r="Q639" s="301">
        <v>104.14063758708197</v>
      </c>
      <c r="R639" s="301">
        <v>64.772691880090179</v>
      </c>
      <c r="S639" s="300">
        <v>6.8220485040490786</v>
      </c>
      <c r="T639" s="891">
        <f t="shared" si="154"/>
        <v>2</v>
      </c>
      <c r="U639" s="1220">
        <v>0.21476942300796509</v>
      </c>
      <c r="W639" s="299">
        <v>631</v>
      </c>
      <c r="X639" s="298">
        <f>IF('Donor Sample'!N656="",,IF('Donor Sample'!N656="F",1,0))</f>
        <v>0</v>
      </c>
      <c r="Y639" s="298" t="str">
        <f>IF('Donor Sample'!O656="","",'Donor Sample'!O656)</f>
        <v/>
      </c>
      <c r="Z639" s="298" t="str">
        <f>IF(AND('Donor Sample'!O656="",'Donor Sample'!P656="",'Donor Sample'!Q656=""),"",IF('Donor Sample'!P656="",ROUND(AA639/($C$32+($AI639-0.5)*$C$31),0),'Donor Sample'!P656))</f>
        <v/>
      </c>
      <c r="AA639" s="297" t="str">
        <f>IF('Donor Sample'!Q656="","",'Donor Sample'!Q656)</f>
        <v/>
      </c>
      <c r="AB639" s="296" t="str">
        <f t="shared" si="158"/>
        <v/>
      </c>
      <c r="AC639" s="295" t="str">
        <f>IF('Donor Sample'!R656="","",'Donor Sample'!R656)</f>
        <v/>
      </c>
      <c r="AD639" s="294" t="str">
        <f>IF('Donor Sample'!S656="","",'Donor Sample'!S656/100)</f>
        <v/>
      </c>
      <c r="AE639" s="407" t="e">
        <f t="shared" si="155"/>
        <v>#VALUE!</v>
      </c>
      <c r="AF639" s="293" t="str">
        <f t="shared" si="156"/>
        <v/>
      </c>
      <c r="AG639" s="292" t="str">
        <f>IF('Donor Sample'!T656="","",'Donor Sample'!T656)</f>
        <v/>
      </c>
      <c r="AH639" s="891">
        <f t="shared" si="157"/>
        <v>256</v>
      </c>
      <c r="AI639" s="1220">
        <v>0.91499382257461548</v>
      </c>
      <c r="AJ639" s="1216"/>
    </row>
    <row r="640" spans="5:36">
      <c r="E640" s="299">
        <v>632</v>
      </c>
      <c r="F640" s="308">
        <f t="shared" ca="1" si="146"/>
        <v>3495.9200619681078</v>
      </c>
      <c r="G640" s="307">
        <f t="shared" ca="1" si="147"/>
        <v>257.21134887100737</v>
      </c>
      <c r="H640" s="306">
        <f t="shared" ca="1" si="148"/>
        <v>0.4096206837133361</v>
      </c>
      <c r="I640" s="305">
        <f t="shared" ca="1" si="150"/>
        <v>130.89541924576329</v>
      </c>
      <c r="J640" s="305">
        <f t="shared" ca="1" si="151"/>
        <v>54.642105232884184</v>
      </c>
      <c r="K640" s="292">
        <f t="shared" ca="1" si="149"/>
        <v>1.6700336097806048</v>
      </c>
      <c r="L640" s="1290">
        <f t="shared" ca="1" si="152"/>
        <v>30.863292933924029</v>
      </c>
      <c r="M640" s="299">
        <v>632</v>
      </c>
      <c r="N640" s="304">
        <f t="shared" si="153"/>
        <v>4410.5823308024555</v>
      </c>
      <c r="O640" s="303">
        <v>213.971563486131</v>
      </c>
      <c r="P640" s="302">
        <v>0.40318575405473511</v>
      </c>
      <c r="Q640" s="301">
        <v>155.5934045559145</v>
      </c>
      <c r="R640" s="301">
        <v>63.438873320537766</v>
      </c>
      <c r="S640" s="300">
        <v>2.5372992236027239</v>
      </c>
      <c r="T640" s="891">
        <f t="shared" si="154"/>
        <v>64</v>
      </c>
      <c r="U640" s="1220">
        <v>0.43922996520996094</v>
      </c>
      <c r="W640" s="299">
        <v>632</v>
      </c>
      <c r="X640" s="298">
        <f>IF('Donor Sample'!N657="",,IF('Donor Sample'!N657="F",1,0))</f>
        <v>0</v>
      </c>
      <c r="Y640" s="298" t="str">
        <f>IF('Donor Sample'!O657="","",'Donor Sample'!O657)</f>
        <v/>
      </c>
      <c r="Z640" s="298" t="str">
        <f>IF(AND('Donor Sample'!O657="",'Donor Sample'!P657="",'Donor Sample'!Q657=""),"",IF('Donor Sample'!P657="",ROUND(AA640/($C$32+($AI640-0.5)*$C$31),0),'Donor Sample'!P657))</f>
        <v/>
      </c>
      <c r="AA640" s="297" t="str">
        <f>IF('Donor Sample'!Q657="","",'Donor Sample'!Q657)</f>
        <v/>
      </c>
      <c r="AB640" s="296" t="str">
        <f t="shared" si="158"/>
        <v/>
      </c>
      <c r="AC640" s="295" t="str">
        <f>IF('Donor Sample'!R657="","",'Donor Sample'!R657)</f>
        <v/>
      </c>
      <c r="AD640" s="294" t="str">
        <f>IF('Donor Sample'!S657="","",'Donor Sample'!S657/100)</f>
        <v/>
      </c>
      <c r="AE640" s="293" t="e">
        <f t="shared" si="155"/>
        <v>#VALUE!</v>
      </c>
      <c r="AF640" s="293" t="str">
        <f t="shared" si="156"/>
        <v/>
      </c>
      <c r="AG640" s="292" t="str">
        <f>IF('Donor Sample'!T657="","",'Donor Sample'!T657)</f>
        <v/>
      </c>
      <c r="AH640" s="891">
        <f t="shared" si="157"/>
        <v>2</v>
      </c>
      <c r="AI640" s="1220">
        <v>0.12615442276000977</v>
      </c>
      <c r="AJ640" s="1216"/>
    </row>
    <row r="641" spans="5:36">
      <c r="E641" s="299">
        <v>633</v>
      </c>
      <c r="F641" s="308">
        <f t="shared" ca="1" si="146"/>
        <v>2963.6345896532675</v>
      </c>
      <c r="G641" s="307">
        <f t="shared" ca="1" si="147"/>
        <v>279.02380515769812</v>
      </c>
      <c r="H641" s="306">
        <f t="shared" ca="1" si="148"/>
        <v>0.41788147295307732</v>
      </c>
      <c r="I641" s="305">
        <f t="shared" ca="1" si="150"/>
        <v>121.17812393571744</v>
      </c>
      <c r="J641" s="305">
        <f t="shared" ca="1" si="151"/>
        <v>46.137152865501349</v>
      </c>
      <c r="K641" s="292">
        <f t="shared" ca="1" si="149"/>
        <v>1.3033012671848845</v>
      </c>
      <c r="L641" s="1290">
        <f t="shared" ca="1" si="152"/>
        <v>40.077009033959975</v>
      </c>
      <c r="M641" s="299">
        <v>633</v>
      </c>
      <c r="N641" s="304">
        <f t="shared" si="153"/>
        <v>3712.0597372134084</v>
      </c>
      <c r="O641" s="303">
        <v>257.06990739220799</v>
      </c>
      <c r="P641" s="302">
        <v>0.38486754919577665</v>
      </c>
      <c r="Q641" s="301">
        <v>121.70895042355308</v>
      </c>
      <c r="R641" s="301">
        <v>60.496681992385604</v>
      </c>
      <c r="S641" s="300">
        <v>2.4070543608740795</v>
      </c>
      <c r="T641" s="891">
        <f t="shared" si="154"/>
        <v>64</v>
      </c>
      <c r="U641" s="1220">
        <v>0.43668574094772339</v>
      </c>
      <c r="W641" s="299">
        <v>633</v>
      </c>
      <c r="X641" s="298">
        <f>IF('Donor Sample'!N658="",,IF('Donor Sample'!N658="F",1,0))</f>
        <v>0</v>
      </c>
      <c r="Y641" s="298" t="str">
        <f>IF('Donor Sample'!O658="","",'Donor Sample'!O658)</f>
        <v/>
      </c>
      <c r="Z641" s="298" t="str">
        <f>IF(AND('Donor Sample'!O658="",'Donor Sample'!P658="",'Donor Sample'!Q658=""),"",IF('Donor Sample'!P658="",ROUND(AA641/($C$32+($AI641-0.5)*$C$31),0),'Donor Sample'!P658))</f>
        <v/>
      </c>
      <c r="AA641" s="297" t="str">
        <f>IF('Donor Sample'!Q658="","",'Donor Sample'!Q658)</f>
        <v/>
      </c>
      <c r="AB641" s="296" t="str">
        <f t="shared" si="158"/>
        <v/>
      </c>
      <c r="AC641" s="295" t="str">
        <f>IF('Donor Sample'!R658="","",'Donor Sample'!R658)</f>
        <v/>
      </c>
      <c r="AD641" s="294" t="str">
        <f>IF('Donor Sample'!S658="","",'Donor Sample'!S658/100)</f>
        <v/>
      </c>
      <c r="AE641" s="293" t="e">
        <f t="shared" si="155"/>
        <v>#VALUE!</v>
      </c>
      <c r="AF641" s="293" t="str">
        <f t="shared" si="156"/>
        <v/>
      </c>
      <c r="AG641" s="292" t="str">
        <f>IF('Donor Sample'!T658="","",'Donor Sample'!T658)</f>
        <v/>
      </c>
      <c r="AH641" s="891">
        <f t="shared" si="157"/>
        <v>64</v>
      </c>
      <c r="AI641" s="1220">
        <v>0.5131193995475769</v>
      </c>
      <c r="AJ641" s="1216"/>
    </row>
    <row r="642" spans="5:36">
      <c r="E642" s="299">
        <v>634</v>
      </c>
      <c r="F642" s="308">
        <f t="shared" ca="1" si="146"/>
        <v>2773.927534182551</v>
      </c>
      <c r="G642" s="307">
        <f t="shared" ca="1" si="147"/>
        <v>271.14490218069926</v>
      </c>
      <c r="H642" s="306">
        <f t="shared" ca="1" si="148"/>
        <v>0.48562012349841999</v>
      </c>
      <c r="I642" s="305">
        <f t="shared" ca="1" si="150"/>
        <v>104.15029355164729</v>
      </c>
      <c r="J642" s="305">
        <f t="shared" ca="1" si="151"/>
        <v>47.622942190024908</v>
      </c>
      <c r="K642" s="292">
        <f t="shared" ca="1" si="149"/>
        <v>1.2816084903000133</v>
      </c>
      <c r="L642" s="1290">
        <f t="shared" ca="1" si="152"/>
        <v>32.329628299619962</v>
      </c>
      <c r="M642" s="299">
        <v>634</v>
      </c>
      <c r="N642" s="304">
        <f t="shared" si="153"/>
        <v>3480.4765820989064</v>
      </c>
      <c r="O642" s="303">
        <v>251.87846292749595</v>
      </c>
      <c r="P642" s="302">
        <v>0.42955267297109229</v>
      </c>
      <c r="Q642" s="301">
        <v>114.73273402246571</v>
      </c>
      <c r="R642" s="301">
        <v>58.463792075555752</v>
      </c>
      <c r="S642" s="300">
        <v>4.1294879867603296</v>
      </c>
      <c r="T642" s="891">
        <f t="shared" si="154"/>
        <v>4</v>
      </c>
      <c r="U642" s="1220">
        <v>0.36930620670318604</v>
      </c>
      <c r="W642" s="299">
        <v>634</v>
      </c>
      <c r="X642" s="298">
        <f>IF('Donor Sample'!N659="",,IF('Donor Sample'!N659="F",1,0))</f>
        <v>0</v>
      </c>
      <c r="Y642" s="298" t="str">
        <f>IF('Donor Sample'!O659="","",'Donor Sample'!O659)</f>
        <v/>
      </c>
      <c r="Z642" s="298" t="str">
        <f>IF(AND('Donor Sample'!O659="",'Donor Sample'!P659="",'Donor Sample'!Q659=""),"",IF('Donor Sample'!P659="",ROUND(AA642/($C$32+($AI642-0.5)*$C$31),0),'Donor Sample'!P659))</f>
        <v/>
      </c>
      <c r="AA642" s="297" t="str">
        <f>IF('Donor Sample'!Q659="","",'Donor Sample'!Q659)</f>
        <v/>
      </c>
      <c r="AB642" s="296" t="str">
        <f t="shared" si="158"/>
        <v/>
      </c>
      <c r="AC642" s="295" t="str">
        <f>IF('Donor Sample'!R659="","",'Donor Sample'!R659)</f>
        <v/>
      </c>
      <c r="AD642" s="294" t="str">
        <f>IF('Donor Sample'!S659="","",'Donor Sample'!S659/100)</f>
        <v/>
      </c>
      <c r="AE642" s="407" t="e">
        <f t="shared" si="155"/>
        <v>#VALUE!</v>
      </c>
      <c r="AF642" s="293" t="str">
        <f t="shared" si="156"/>
        <v/>
      </c>
      <c r="AG642" s="292" t="str">
        <f>IF('Donor Sample'!T659="","",'Donor Sample'!T659)</f>
        <v/>
      </c>
      <c r="AH642" s="891">
        <f t="shared" si="157"/>
        <v>2</v>
      </c>
      <c r="AI642" s="1220">
        <v>0.22838413715362549</v>
      </c>
      <c r="AJ642" s="1216"/>
    </row>
    <row r="643" spans="5:36">
      <c r="E643" s="299">
        <v>635</v>
      </c>
      <c r="F643" s="308">
        <f t="shared" ca="1" si="146"/>
        <v>3306.0221241163549</v>
      </c>
      <c r="G643" s="307">
        <f t="shared" ca="1" si="147"/>
        <v>232.69838321080243</v>
      </c>
      <c r="H643" s="306">
        <f t="shared" ca="1" si="148"/>
        <v>0.42044343485494662</v>
      </c>
      <c r="I643" s="305">
        <f t="shared" ca="1" si="150"/>
        <v>118.66336706739654</v>
      </c>
      <c r="J643" s="305">
        <f t="shared" ca="1" si="151"/>
        <v>54.431269894657206</v>
      </c>
      <c r="K643" s="292">
        <f t="shared" ca="1" si="149"/>
        <v>2.2398743013546776</v>
      </c>
      <c r="L643" s="1290">
        <f t="shared" ca="1" si="152"/>
        <v>28.196317559602942</v>
      </c>
      <c r="M643" s="299">
        <v>635</v>
      </c>
      <c r="N643" s="304">
        <f t="shared" si="153"/>
        <v>3501.3228865571718</v>
      </c>
      <c r="O643" s="303">
        <v>215.49940308248239</v>
      </c>
      <c r="P643" s="302">
        <v>0.44281902630208497</v>
      </c>
      <c r="Q643" s="301">
        <v>136.22668504492663</v>
      </c>
      <c r="R643" s="301">
        <v>53.262494411765829</v>
      </c>
      <c r="S643" s="300">
        <v>2.635971295119186</v>
      </c>
      <c r="T643" s="891">
        <f t="shared" si="154"/>
        <v>16</v>
      </c>
      <c r="U643" s="1220">
        <v>0.9839814305305481</v>
      </c>
      <c r="W643" s="299">
        <v>635</v>
      </c>
      <c r="X643" s="298">
        <f>IF('Donor Sample'!N660="",,IF('Donor Sample'!N660="F",1,0))</f>
        <v>0</v>
      </c>
      <c r="Y643" s="298" t="str">
        <f>IF('Donor Sample'!O660="","",'Donor Sample'!O660)</f>
        <v/>
      </c>
      <c r="Z643" s="298" t="str">
        <f>IF(AND('Donor Sample'!O660="",'Donor Sample'!P660="",'Donor Sample'!Q660=""),"",IF('Donor Sample'!P660="",ROUND(AA643/($C$32+($AI643-0.5)*$C$31),0),'Donor Sample'!P660))</f>
        <v/>
      </c>
      <c r="AA643" s="297" t="str">
        <f>IF('Donor Sample'!Q660="","",'Donor Sample'!Q660)</f>
        <v/>
      </c>
      <c r="AB643" s="296" t="str">
        <f t="shared" si="158"/>
        <v/>
      </c>
      <c r="AC643" s="295" t="str">
        <f>IF('Donor Sample'!R660="","",'Donor Sample'!R660)</f>
        <v/>
      </c>
      <c r="AD643" s="294" t="str">
        <f>IF('Donor Sample'!S660="","",'Donor Sample'!S660/100)</f>
        <v/>
      </c>
      <c r="AE643" s="293" t="e">
        <f t="shared" si="155"/>
        <v>#VALUE!</v>
      </c>
      <c r="AF643" s="293" t="str">
        <f t="shared" si="156"/>
        <v/>
      </c>
      <c r="AG643" s="292" t="str">
        <f>IF('Donor Sample'!T660="","",'Donor Sample'!T660)</f>
        <v/>
      </c>
      <c r="AH643" s="891">
        <f t="shared" si="157"/>
        <v>64</v>
      </c>
      <c r="AI643" s="1220">
        <v>0.64161092042922974</v>
      </c>
      <c r="AJ643" s="1216"/>
    </row>
    <row r="644" spans="5:36">
      <c r="E644" s="299">
        <v>636</v>
      </c>
      <c r="F644" s="308">
        <f t="shared" ca="1" si="146"/>
        <v>3361.6678559255765</v>
      </c>
      <c r="G644" s="307">
        <f t="shared" ca="1" si="147"/>
        <v>214.15832547557193</v>
      </c>
      <c r="H644" s="306">
        <f t="shared" ca="1" si="148"/>
        <v>0.36358800619161258</v>
      </c>
      <c r="I644" s="305">
        <f t="shared" ca="1" si="150"/>
        <v>138.03035084639058</v>
      </c>
      <c r="J644" s="305">
        <f t="shared" ca="1" si="151"/>
        <v>49.797914280348543</v>
      </c>
      <c r="K644" s="292">
        <f t="shared" ca="1" si="149"/>
        <v>5.1189170968874942</v>
      </c>
      <c r="L644" s="1290">
        <f t="shared" ca="1" si="152"/>
        <v>39.185459557807626</v>
      </c>
      <c r="M644" s="299">
        <v>636</v>
      </c>
      <c r="N644" s="304">
        <f t="shared" si="153"/>
        <v>2535.1396651384575</v>
      </c>
      <c r="O644" s="303">
        <v>265.5707126580275</v>
      </c>
      <c r="P644" s="302">
        <v>0.41177001570743743</v>
      </c>
      <c r="Q644" s="301">
        <v>97.134324822047532</v>
      </c>
      <c r="R644" s="301">
        <v>44.024395720348423</v>
      </c>
      <c r="S644" s="300">
        <v>2.4354618762995357</v>
      </c>
      <c r="T644" s="891">
        <f t="shared" si="154"/>
        <v>2</v>
      </c>
      <c r="U644" s="1220">
        <v>0.33984589576721191</v>
      </c>
      <c r="W644" s="299">
        <v>636</v>
      </c>
      <c r="X644" s="298">
        <f>IF('Donor Sample'!N661="",,IF('Donor Sample'!N661="F",1,0))</f>
        <v>0</v>
      </c>
      <c r="Y644" s="298" t="str">
        <f>IF('Donor Sample'!O661="","",'Donor Sample'!O661)</f>
        <v/>
      </c>
      <c r="Z644" s="298" t="str">
        <f>IF(AND('Donor Sample'!O661="",'Donor Sample'!P661="",'Donor Sample'!Q661=""),"",IF('Donor Sample'!P661="",ROUND(AA644/($C$32+($AI644-0.5)*$C$31),0),'Donor Sample'!P661))</f>
        <v/>
      </c>
      <c r="AA644" s="297" t="str">
        <f>IF('Donor Sample'!Q661="","",'Donor Sample'!Q661)</f>
        <v/>
      </c>
      <c r="AB644" s="296" t="str">
        <f t="shared" si="158"/>
        <v/>
      </c>
      <c r="AC644" s="295" t="str">
        <f>IF('Donor Sample'!R661="","",'Donor Sample'!R661)</f>
        <v/>
      </c>
      <c r="AD644" s="294" t="str">
        <f>IF('Donor Sample'!S661="","",'Donor Sample'!S661/100)</f>
        <v/>
      </c>
      <c r="AE644" s="293" t="e">
        <f t="shared" si="155"/>
        <v>#VALUE!</v>
      </c>
      <c r="AF644" s="293" t="str">
        <f t="shared" si="156"/>
        <v/>
      </c>
      <c r="AG644" s="292" t="str">
        <f>IF('Donor Sample'!T661="","",'Donor Sample'!T661)</f>
        <v/>
      </c>
      <c r="AH644" s="891">
        <f t="shared" si="157"/>
        <v>2</v>
      </c>
      <c r="AI644" s="1220">
        <v>0.16236758232116699</v>
      </c>
      <c r="AJ644" s="1216"/>
    </row>
    <row r="645" spans="5:36">
      <c r="E645" s="299">
        <v>637</v>
      </c>
      <c r="F645" s="308">
        <f t="shared" ca="1" si="146"/>
        <v>2791.9200536712547</v>
      </c>
      <c r="G645" s="307">
        <f t="shared" ca="1" si="147"/>
        <v>204.6450386457843</v>
      </c>
      <c r="H645" s="306">
        <f t="shared" ca="1" si="148"/>
        <v>0.48975114039589074</v>
      </c>
      <c r="I645" s="305">
        <f t="shared" ca="1" si="150"/>
        <v>103.70737121100758</v>
      </c>
      <c r="J645" s="305">
        <f t="shared" ca="1" si="151"/>
        <v>48.213543627627217</v>
      </c>
      <c r="K645" s="292">
        <f t="shared" ca="1" si="149"/>
        <v>1.3343001512806307</v>
      </c>
      <c r="L645" s="1290">
        <f t="shared" ca="1" si="152"/>
        <v>31.408281856119842</v>
      </c>
      <c r="M645" s="299">
        <v>637</v>
      </c>
      <c r="N645" s="304">
        <f t="shared" si="153"/>
        <v>3419.2288679144276</v>
      </c>
      <c r="O645" s="303">
        <v>234.3765649468634</v>
      </c>
      <c r="P645" s="302">
        <v>0.38520431283403356</v>
      </c>
      <c r="Q645" s="301">
        <v>109.04747699942757</v>
      </c>
      <c r="R645" s="301">
        <v>58.814610314543209</v>
      </c>
      <c r="S645" s="300">
        <v>1.6829466093345453</v>
      </c>
      <c r="T645" s="891">
        <f t="shared" si="154"/>
        <v>4</v>
      </c>
      <c r="U645" s="1220">
        <v>0.36008208990097046</v>
      </c>
      <c r="W645" s="299">
        <v>637</v>
      </c>
      <c r="X645" s="298">
        <f>IF('Donor Sample'!N662="",,IF('Donor Sample'!N662="F",1,0))</f>
        <v>0</v>
      </c>
      <c r="Y645" s="298" t="str">
        <f>IF('Donor Sample'!O662="","",'Donor Sample'!O662)</f>
        <v/>
      </c>
      <c r="Z645" s="298" t="str">
        <f>IF(AND('Donor Sample'!O662="",'Donor Sample'!P662="",'Donor Sample'!Q662=""),"",IF('Donor Sample'!P662="",ROUND(AA645/($C$32+($AI645-0.5)*$C$31),0),'Donor Sample'!P662))</f>
        <v/>
      </c>
      <c r="AA645" s="297" t="str">
        <f>IF('Donor Sample'!Q662="","",'Donor Sample'!Q662)</f>
        <v/>
      </c>
      <c r="AB645" s="296" t="str">
        <f t="shared" si="158"/>
        <v/>
      </c>
      <c r="AC645" s="295" t="str">
        <f>IF('Donor Sample'!R662="","",'Donor Sample'!R662)</f>
        <v/>
      </c>
      <c r="AD645" s="294" t="str">
        <f>IF('Donor Sample'!S662="","",'Donor Sample'!S662/100)</f>
        <v/>
      </c>
      <c r="AE645" s="407" t="e">
        <f t="shared" si="155"/>
        <v>#VALUE!</v>
      </c>
      <c r="AF645" s="293" t="str">
        <f t="shared" si="156"/>
        <v/>
      </c>
      <c r="AG645" s="292" t="str">
        <f>IF('Donor Sample'!T662="","",'Donor Sample'!T662)</f>
        <v/>
      </c>
      <c r="AH645" s="891">
        <f t="shared" si="157"/>
        <v>2</v>
      </c>
      <c r="AI645" s="1220">
        <v>6.2865614891052246E-3</v>
      </c>
      <c r="AJ645" s="1216"/>
    </row>
    <row r="646" spans="5:36">
      <c r="E646" s="299">
        <v>638</v>
      </c>
      <c r="F646" s="308">
        <f t="shared" ca="1" si="146"/>
        <v>2750.2189072682177</v>
      </c>
      <c r="G646" s="307">
        <f t="shared" ca="1" si="147"/>
        <v>262.1233671377741</v>
      </c>
      <c r="H646" s="306">
        <f t="shared" ca="1" si="148"/>
        <v>0.36040432798657546</v>
      </c>
      <c r="I646" s="305">
        <f t="shared" ca="1" si="150"/>
        <v>93.937757925951644</v>
      </c>
      <c r="J646" s="305">
        <f t="shared" ca="1" si="151"/>
        <v>50.509921456671812</v>
      </c>
      <c r="K646" s="292">
        <f t="shared" ca="1" si="149"/>
        <v>1.234618369778486</v>
      </c>
      <c r="L646" s="1290">
        <f t="shared" ca="1" si="152"/>
        <v>25.921460243180558</v>
      </c>
      <c r="M646" s="299">
        <v>638</v>
      </c>
      <c r="N646" s="304">
        <f t="shared" si="153"/>
        <v>3691.9530065492322</v>
      </c>
      <c r="O646" s="303">
        <v>272.41004751854672</v>
      </c>
      <c r="P646" s="302">
        <v>0.38518919839325705</v>
      </c>
      <c r="Q646" s="301">
        <v>118.55437542621888</v>
      </c>
      <c r="R646" s="301">
        <v>60.887283630473313</v>
      </c>
      <c r="S646" s="300">
        <v>2.7193217796712674</v>
      </c>
      <c r="T646" s="891">
        <f t="shared" si="154"/>
        <v>16</v>
      </c>
      <c r="U646" s="1220">
        <v>0.97338473796844482</v>
      </c>
      <c r="W646" s="299">
        <v>638</v>
      </c>
      <c r="X646" s="298">
        <f>IF('Donor Sample'!N663="",,IF('Donor Sample'!N663="F",1,0))</f>
        <v>0</v>
      </c>
      <c r="Y646" s="298" t="str">
        <f>IF('Donor Sample'!O663="","",'Donor Sample'!O663)</f>
        <v/>
      </c>
      <c r="Z646" s="298" t="str">
        <f>IF(AND('Donor Sample'!O663="",'Donor Sample'!P663="",'Donor Sample'!Q663=""),"",IF('Donor Sample'!P663="",ROUND(AA646/($C$32+($AI646-0.5)*$C$31),0),'Donor Sample'!P663))</f>
        <v/>
      </c>
      <c r="AA646" s="297" t="str">
        <f>IF('Donor Sample'!Q663="","",'Donor Sample'!Q663)</f>
        <v/>
      </c>
      <c r="AB646" s="296" t="str">
        <f t="shared" si="158"/>
        <v/>
      </c>
      <c r="AC646" s="295" t="str">
        <f>IF('Donor Sample'!R663="","",'Donor Sample'!R663)</f>
        <v/>
      </c>
      <c r="AD646" s="294" t="str">
        <f>IF('Donor Sample'!S663="","",'Donor Sample'!S663/100)</f>
        <v/>
      </c>
      <c r="AE646" s="293" t="e">
        <f t="shared" si="155"/>
        <v>#VALUE!</v>
      </c>
      <c r="AF646" s="293" t="str">
        <f t="shared" si="156"/>
        <v/>
      </c>
      <c r="AG646" s="292" t="str">
        <f>IF('Donor Sample'!T663="","",'Donor Sample'!T663)</f>
        <v/>
      </c>
      <c r="AH646" s="891">
        <f t="shared" si="157"/>
        <v>2</v>
      </c>
      <c r="AI646" s="1220">
        <v>0.19346272945404053</v>
      </c>
      <c r="AJ646" s="1216"/>
    </row>
    <row r="647" spans="5:36">
      <c r="E647" s="299">
        <v>639</v>
      </c>
      <c r="F647" s="308">
        <f t="shared" ca="1" si="146"/>
        <v>3486.1480844900079</v>
      </c>
      <c r="G647" s="307">
        <f t="shared" ca="1" si="147"/>
        <v>256.79879431240334</v>
      </c>
      <c r="H647" s="306">
        <f t="shared" ca="1" si="148"/>
        <v>0.45139173724130982</v>
      </c>
      <c r="I647" s="305">
        <f t="shared" ca="1" si="150"/>
        <v>145.32630738907943</v>
      </c>
      <c r="J647" s="305">
        <f t="shared" ca="1" si="151"/>
        <v>50.19625674857938</v>
      </c>
      <c r="K647" s="292">
        <f t="shared" ca="1" si="149"/>
        <v>1.336076417617321</v>
      </c>
      <c r="L647" s="1290">
        <f t="shared" ca="1" si="152"/>
        <v>40.604506245013248</v>
      </c>
      <c r="M647" s="299">
        <v>639</v>
      </c>
      <c r="N647" s="304">
        <f t="shared" si="153"/>
        <v>3382.3068888735779</v>
      </c>
      <c r="O647" s="303">
        <v>260.43571791895494</v>
      </c>
      <c r="P647" s="302">
        <v>0.46901037129340639</v>
      </c>
      <c r="Q647" s="301">
        <v>117.11746866192156</v>
      </c>
      <c r="R647" s="301">
        <v>56.221685880796656</v>
      </c>
      <c r="S647" s="300">
        <v>7.615482866844923</v>
      </c>
      <c r="T647" s="891">
        <f t="shared" si="154"/>
        <v>2</v>
      </c>
      <c r="U647" s="1220">
        <v>0.29894310235977173</v>
      </c>
      <c r="W647" s="299">
        <v>639</v>
      </c>
      <c r="X647" s="298">
        <f>IF('Donor Sample'!N664="",,IF('Donor Sample'!N664="F",1,0))</f>
        <v>0</v>
      </c>
      <c r="Y647" s="298" t="str">
        <f>IF('Donor Sample'!O664="","",'Donor Sample'!O664)</f>
        <v/>
      </c>
      <c r="Z647" s="298" t="str">
        <f>IF(AND('Donor Sample'!O664="",'Donor Sample'!P664="",'Donor Sample'!Q664=""),"",IF('Donor Sample'!P664="",ROUND(AA647/($C$32+($AI647-0.5)*$C$31),0),'Donor Sample'!P664))</f>
        <v/>
      </c>
      <c r="AA647" s="297" t="str">
        <f>IF('Donor Sample'!Q664="","",'Donor Sample'!Q664)</f>
        <v/>
      </c>
      <c r="AB647" s="296" t="str">
        <f t="shared" si="158"/>
        <v/>
      </c>
      <c r="AC647" s="295" t="str">
        <f>IF('Donor Sample'!R664="","",'Donor Sample'!R664)</f>
        <v/>
      </c>
      <c r="AD647" s="294" t="str">
        <f>IF('Donor Sample'!S664="","",'Donor Sample'!S664/100)</f>
        <v/>
      </c>
      <c r="AE647" s="293" t="e">
        <f t="shared" si="155"/>
        <v>#VALUE!</v>
      </c>
      <c r="AF647" s="293" t="str">
        <f t="shared" si="156"/>
        <v/>
      </c>
      <c r="AG647" s="292" t="str">
        <f>IF('Donor Sample'!T664="","",'Donor Sample'!T664)</f>
        <v/>
      </c>
      <c r="AH647" s="891">
        <f t="shared" si="157"/>
        <v>64</v>
      </c>
      <c r="AI647" s="1220">
        <v>0.66263490915298462</v>
      </c>
      <c r="AJ647" s="1216"/>
    </row>
    <row r="648" spans="5:36">
      <c r="E648" s="299">
        <v>640</v>
      </c>
      <c r="F648" s="308">
        <f t="shared" ca="1" si="146"/>
        <v>2902.1840526687911</v>
      </c>
      <c r="G648" s="307">
        <f t="shared" ca="1" si="147"/>
        <v>199.65847303246647</v>
      </c>
      <c r="H648" s="306">
        <f t="shared" ca="1" si="148"/>
        <v>0.39638418542735948</v>
      </c>
      <c r="I648" s="305">
        <f t="shared" ca="1" si="150"/>
        <v>93.970104653099497</v>
      </c>
      <c r="J648" s="305">
        <f t="shared" ca="1" si="151"/>
        <v>53.608272133353005</v>
      </c>
      <c r="K648" s="292">
        <f t="shared" ca="1" si="149"/>
        <v>1.3021070716498466</v>
      </c>
      <c r="L648" s="1290">
        <f t="shared" ca="1" si="152"/>
        <v>23.019651823169681</v>
      </c>
      <c r="M648" s="299">
        <v>640</v>
      </c>
      <c r="N648" s="304">
        <f t="shared" si="153"/>
        <v>3145.2159937630499</v>
      </c>
      <c r="O648" s="303">
        <v>278.47404678540647</v>
      </c>
      <c r="P648" s="302">
        <v>0.41347324169978639</v>
      </c>
      <c r="Q648" s="301">
        <v>121.79875610747024</v>
      </c>
      <c r="R648" s="301">
        <v>50.252748918204759</v>
      </c>
      <c r="S648" s="300">
        <v>3.4843527010085036</v>
      </c>
      <c r="T648" s="891">
        <f t="shared" si="154"/>
        <v>2</v>
      </c>
      <c r="U648" s="1220">
        <v>0.26336908340454102</v>
      </c>
      <c r="W648" s="299">
        <v>640</v>
      </c>
      <c r="X648" s="298">
        <f>IF('Donor Sample'!N665="",,IF('Donor Sample'!N665="F",1,0))</f>
        <v>0</v>
      </c>
      <c r="Y648" s="298" t="str">
        <f>IF('Donor Sample'!O665="","",'Donor Sample'!O665)</f>
        <v/>
      </c>
      <c r="Z648" s="298" t="str">
        <f>IF(AND('Donor Sample'!O665="",'Donor Sample'!P665="",'Donor Sample'!Q665=""),"",IF('Donor Sample'!P665="",ROUND(AA648/($C$32+($AI648-0.5)*$C$31),0),'Donor Sample'!P665))</f>
        <v/>
      </c>
      <c r="AA648" s="297" t="str">
        <f>IF('Donor Sample'!Q665="","",'Donor Sample'!Q665)</f>
        <v/>
      </c>
      <c r="AB648" s="296" t="str">
        <f t="shared" si="158"/>
        <v/>
      </c>
      <c r="AC648" s="295" t="str">
        <f>IF('Donor Sample'!R665="","",'Donor Sample'!R665)</f>
        <v/>
      </c>
      <c r="AD648" s="294" t="str">
        <f>IF('Donor Sample'!S665="","",'Donor Sample'!S665/100)</f>
        <v/>
      </c>
      <c r="AE648" s="407" t="e">
        <f t="shared" si="155"/>
        <v>#VALUE!</v>
      </c>
      <c r="AF648" s="293" t="str">
        <f t="shared" si="156"/>
        <v/>
      </c>
      <c r="AG648" s="292" t="str">
        <f>IF('Donor Sample'!T665="","",'Donor Sample'!T665)</f>
        <v/>
      </c>
      <c r="AH648" s="891">
        <f t="shared" si="157"/>
        <v>64</v>
      </c>
      <c r="AI648" s="1220">
        <v>0.60051631927490234</v>
      </c>
      <c r="AJ648" s="1216"/>
    </row>
    <row r="649" spans="5:36">
      <c r="E649" s="299">
        <v>641</v>
      </c>
      <c r="F649" s="308">
        <f t="shared" ref="F649:F712" ca="1" si="159">NORMINV(NORMDIST($C$9,$C$7,$C$8,1)+RAND()*(NORMDIST($C$10,$C$7,$C$8,1)-NORMDIST($C$9,$C$7,$C$8,1)),$C$7,$C$8)</f>
        <v>3986.2642092078695</v>
      </c>
      <c r="G649" s="307">
        <f t="shared" ref="G649:G712" ca="1" si="160">NORMINV(NORMDIST($C$13,$C$11,$C$12,1)+RAND()*(NORMDIST($C$14,$C$11,$C$12,1)-NORMDIST($C$13,$C$11,$C$12,1)),$C$11,$C$12)</f>
        <v>251.25194166320952</v>
      </c>
      <c r="H649" s="306">
        <f t="shared" ref="H649:H712" ca="1" si="161">NORMINV(NORMDIST($C$17,$C$15,$C$16,1)+RAND()*(NORMDIST($C$18,$C$15,$C$16,1)-NORMDIST($C$17,$C$15,$C$16,1)),$C$15,$C$16)/100</f>
        <v>0.46689872346840278</v>
      </c>
      <c r="I649" s="305">
        <f t="shared" ca="1" si="150"/>
        <v>126.86304036048107</v>
      </c>
      <c r="J649" s="305">
        <f t="shared" ca="1" si="151"/>
        <v>63.371918935684</v>
      </c>
      <c r="K649" s="292">
        <f t="shared" ref="K649:K712" ca="1" si="162">$C$23/($C$24+RAND())</f>
        <v>2.0915193291650258</v>
      </c>
      <c r="L649" s="1290">
        <f t="shared" ca="1" si="152"/>
        <v>22.23893873919155</v>
      </c>
      <c r="M649" s="299">
        <v>641</v>
      </c>
      <c r="N649" s="304">
        <f t="shared" si="153"/>
        <v>3358.045255701988</v>
      </c>
      <c r="O649" s="303">
        <v>266.74840329544372</v>
      </c>
      <c r="P649" s="302">
        <v>0.40895153457836053</v>
      </c>
      <c r="Q649" s="301">
        <v>116.6002045728102</v>
      </c>
      <c r="R649" s="301">
        <v>55.92704329295799</v>
      </c>
      <c r="S649" s="300">
        <v>1.9199661542763244</v>
      </c>
      <c r="T649" s="891">
        <f t="shared" si="154"/>
        <v>2</v>
      </c>
      <c r="U649" s="1220">
        <v>0.23428791761398315</v>
      </c>
      <c r="W649" s="299">
        <v>641</v>
      </c>
      <c r="X649" s="298">
        <f>IF('Donor Sample'!N666="",,IF('Donor Sample'!N666="F",1,0))</f>
        <v>0</v>
      </c>
      <c r="Y649" s="298" t="str">
        <f>IF('Donor Sample'!O666="","",'Donor Sample'!O666)</f>
        <v/>
      </c>
      <c r="Z649" s="298" t="str">
        <f>IF(AND('Donor Sample'!O666="",'Donor Sample'!P666="",'Donor Sample'!Q666=""),"",IF('Donor Sample'!P666="",ROUND(AA649/($C$32+($AI649-0.5)*$C$31),0),'Donor Sample'!P666))</f>
        <v/>
      </c>
      <c r="AA649" s="297" t="str">
        <f>IF('Donor Sample'!Q666="","",'Donor Sample'!Q666)</f>
        <v/>
      </c>
      <c r="AB649" s="296" t="str">
        <f t="shared" si="158"/>
        <v/>
      </c>
      <c r="AC649" s="295" t="str">
        <f>IF('Donor Sample'!R666="","",'Donor Sample'!R666)</f>
        <v/>
      </c>
      <c r="AD649" s="294" t="str">
        <f>IF('Donor Sample'!S666="","",'Donor Sample'!S666/100)</f>
        <v/>
      </c>
      <c r="AE649" s="293" t="e">
        <f t="shared" si="155"/>
        <v>#VALUE!</v>
      </c>
      <c r="AF649" s="293" t="str">
        <f t="shared" si="156"/>
        <v/>
      </c>
      <c r="AG649" s="292" t="str">
        <f>IF('Donor Sample'!T666="","",'Donor Sample'!T666)</f>
        <v/>
      </c>
      <c r="AH649" s="891">
        <f t="shared" si="157"/>
        <v>64</v>
      </c>
      <c r="AI649" s="1220">
        <v>0.43817824125289917</v>
      </c>
      <c r="AJ649" s="1216"/>
    </row>
    <row r="650" spans="5:36">
      <c r="E650" s="299">
        <v>642</v>
      </c>
      <c r="F650" s="308">
        <f t="shared" ca="1" si="159"/>
        <v>2848.7825150226176</v>
      </c>
      <c r="G650" s="307">
        <f t="shared" ca="1" si="160"/>
        <v>276.157405594144</v>
      </c>
      <c r="H650" s="306">
        <f t="shared" ca="1" si="161"/>
        <v>0.38991095709366108</v>
      </c>
      <c r="I650" s="305">
        <f t="shared" ref="I650:I713" ca="1" si="163">F650/($C$32+(RAND()-0.5)*$C$31)</f>
        <v>95.875530277837044</v>
      </c>
      <c r="J650" s="305">
        <f t="shared" ref="J650:J713" ca="1" si="164">IF(AI650&lt;=$C$33,((F650-604-14.6*I650)/0.006012)^(1/3),((F650-183-15*I650)/0.005835)^(1/3))</f>
        <v>59.476378621899471</v>
      </c>
      <c r="K650" s="292">
        <f t="shared" ca="1" si="162"/>
        <v>3.9879199608308649</v>
      </c>
      <c r="L650" s="1290">
        <f t="shared" ref="L650:L713" ca="1" si="165">704*I650/J650^2</f>
        <v>19.080572583892586</v>
      </c>
      <c r="M650" s="299">
        <v>642</v>
      </c>
      <c r="N650" s="304">
        <f t="shared" ref="N650:N713" si="166">IF(AI650&gt;$C$33,183+0.005835*R650^3+15*Q650,604+0.006012*R650^3+14.6*Q650)</f>
        <v>3466.2070142266984</v>
      </c>
      <c r="O650" s="303">
        <v>216.61979580182836</v>
      </c>
      <c r="P650" s="302">
        <v>0.38940696974421046</v>
      </c>
      <c r="Q650" s="301">
        <v>108.13741942521844</v>
      </c>
      <c r="R650" s="301">
        <v>65.784304975347354</v>
      </c>
      <c r="S650" s="300">
        <v>11.708164483348114</v>
      </c>
      <c r="T650" s="891">
        <f t="shared" ref="T650:T713" si="167">HLOOKUP(U650,$AL$32:$AT$34,3)</f>
        <v>64</v>
      </c>
      <c r="U650" s="1220">
        <v>0.66644108295440674</v>
      </c>
      <c r="W650" s="299">
        <v>642</v>
      </c>
      <c r="X650" s="298">
        <f>IF('Donor Sample'!N667="",,IF('Donor Sample'!N667="F",1,0))</f>
        <v>0</v>
      </c>
      <c r="Y650" s="298" t="str">
        <f>IF('Donor Sample'!O667="","",'Donor Sample'!O667)</f>
        <v/>
      </c>
      <c r="Z650" s="298" t="str">
        <f>IF(AND('Donor Sample'!O667="",'Donor Sample'!P667="",'Donor Sample'!Q667=""),"",IF('Donor Sample'!P667="",ROUND(AA650/($C$32+($AI650-0.5)*$C$31),0),'Donor Sample'!P667))</f>
        <v/>
      </c>
      <c r="AA650" s="297" t="str">
        <f>IF('Donor Sample'!Q667="","",'Donor Sample'!Q667)</f>
        <v/>
      </c>
      <c r="AB650" s="296" t="str">
        <f t="shared" si="158"/>
        <v/>
      </c>
      <c r="AC650" s="295" t="str">
        <f>IF('Donor Sample'!R667="","",'Donor Sample'!R667)</f>
        <v/>
      </c>
      <c r="AD650" s="294" t="str">
        <f>IF('Donor Sample'!S667="","",'Donor Sample'!S667/100)</f>
        <v/>
      </c>
      <c r="AE650" s="293" t="e">
        <f t="shared" ref="AE650:AE713" si="168">IF($AB$2=1,Z650,2.2*Z650)</f>
        <v>#VALUE!</v>
      </c>
      <c r="AF650" s="293" t="str">
        <f t="shared" ref="AF650:AF713" si="169">IF(AND(Y650="",AA650=""),"",IF(AA650="",IF($AB$2=1,Y650,Y650/2.54),IF(AI650&lt;=$C$33,((AB650-604-14.6*Z650)/0.006012)^(1/3),((AB650-183-15*Z650)/0.005835)^(1/3))))</f>
        <v/>
      </c>
      <c r="AG650" s="292" t="str">
        <f>IF('Donor Sample'!T667="","",'Donor Sample'!T667)</f>
        <v/>
      </c>
      <c r="AH650" s="891">
        <f t="shared" ref="AH650:AH713" si="170">HLOOKUP(AI650,$AL$32:$AT$34,3)</f>
        <v>256</v>
      </c>
      <c r="AI650" s="1220">
        <v>0.90877401828765869</v>
      </c>
      <c r="AJ650" s="1216"/>
    </row>
    <row r="651" spans="5:36">
      <c r="E651" s="299">
        <v>643</v>
      </c>
      <c r="F651" s="308">
        <f t="shared" ca="1" si="159"/>
        <v>3519.1962236556119</v>
      </c>
      <c r="G651" s="307">
        <f t="shared" ca="1" si="160"/>
        <v>241.06371780309141</v>
      </c>
      <c r="H651" s="306">
        <f t="shared" ca="1" si="161"/>
        <v>0.41849196616449191</v>
      </c>
      <c r="I651" s="305">
        <f t="shared" ca="1" si="163"/>
        <v>131.95742299518216</v>
      </c>
      <c r="J651" s="305">
        <f t="shared" ca="1" si="164"/>
        <v>54.786029236613281</v>
      </c>
      <c r="K651" s="292">
        <f t="shared" ca="1" si="162"/>
        <v>2.5947159732712199</v>
      </c>
      <c r="L651" s="1290">
        <f t="shared" ca="1" si="165"/>
        <v>30.950440529619538</v>
      </c>
      <c r="M651" s="299">
        <v>643</v>
      </c>
      <c r="N651" s="304">
        <f t="shared" si="166"/>
        <v>3460.5941844778445</v>
      </c>
      <c r="O651" s="303">
        <v>338.60638731704489</v>
      </c>
      <c r="P651" s="302">
        <v>0.40655948125751107</v>
      </c>
      <c r="Q651" s="301">
        <v>130.21309196616352</v>
      </c>
      <c r="R651" s="301">
        <v>54.166985949311922</v>
      </c>
      <c r="S651" s="300">
        <v>2.0443840160333009</v>
      </c>
      <c r="T651" s="891">
        <f t="shared" si="167"/>
        <v>64</v>
      </c>
      <c r="U651" s="1220">
        <v>0.52275258302688599</v>
      </c>
      <c r="W651" s="299">
        <v>643</v>
      </c>
      <c r="X651" s="298">
        <f>IF('Donor Sample'!N668="",,IF('Donor Sample'!N668="F",1,0))</f>
        <v>0</v>
      </c>
      <c r="Y651" s="298" t="str">
        <f>IF('Donor Sample'!O668="","",'Donor Sample'!O668)</f>
        <v/>
      </c>
      <c r="Z651" s="298" t="str">
        <f>IF(AND('Donor Sample'!O668="",'Donor Sample'!P668="",'Donor Sample'!Q668=""),"",IF('Donor Sample'!P668="",ROUND(AA651/($C$32+($AI651-0.5)*$C$31),0),'Donor Sample'!P668))</f>
        <v/>
      </c>
      <c r="AA651" s="297" t="str">
        <f>IF('Donor Sample'!Q668="","",'Donor Sample'!Q668)</f>
        <v/>
      </c>
      <c r="AB651" s="296" t="str">
        <f t="shared" si="158"/>
        <v/>
      </c>
      <c r="AC651" s="295" t="str">
        <f>IF('Donor Sample'!R668="","",'Donor Sample'!R668)</f>
        <v/>
      </c>
      <c r="AD651" s="294" t="str">
        <f>IF('Donor Sample'!S668="","",'Donor Sample'!S668/100)</f>
        <v/>
      </c>
      <c r="AE651" s="407" t="e">
        <f t="shared" si="168"/>
        <v>#VALUE!</v>
      </c>
      <c r="AF651" s="293" t="str">
        <f t="shared" si="169"/>
        <v/>
      </c>
      <c r="AG651" s="292" t="str">
        <f>IF('Donor Sample'!T668="","",'Donor Sample'!T668)</f>
        <v/>
      </c>
      <c r="AH651" s="891">
        <f t="shared" si="170"/>
        <v>64</v>
      </c>
      <c r="AI651" s="1220">
        <v>0.73374205827713013</v>
      </c>
      <c r="AJ651" s="1216"/>
    </row>
    <row r="652" spans="5:36">
      <c r="E652" s="299">
        <v>644</v>
      </c>
      <c r="F652" s="308">
        <f t="shared" ca="1" si="159"/>
        <v>2812.8774202225977</v>
      </c>
      <c r="G652" s="307">
        <f t="shared" ca="1" si="160"/>
        <v>205.0157247308033</v>
      </c>
      <c r="H652" s="306">
        <f t="shared" ca="1" si="161"/>
        <v>0.42616324121131621</v>
      </c>
      <c r="I652" s="305">
        <f t="shared" ca="1" si="163"/>
        <v>100.64653738279715</v>
      </c>
      <c r="J652" s="305">
        <f t="shared" ca="1" si="164"/>
        <v>57.687568654233573</v>
      </c>
      <c r="K652" s="292">
        <f t="shared" ca="1" si="162"/>
        <v>6.6911753335037867</v>
      </c>
      <c r="L652" s="1290">
        <f t="shared" ca="1" si="165"/>
        <v>21.291537650296586</v>
      </c>
      <c r="M652" s="299">
        <v>644</v>
      </c>
      <c r="N652" s="304">
        <f t="shared" si="166"/>
        <v>2635.6656802772327</v>
      </c>
      <c r="O652" s="303">
        <v>201.1658149039236</v>
      </c>
      <c r="P652" s="302">
        <v>0.44102710651348692</v>
      </c>
      <c r="Q652" s="301">
        <v>82.819946196511765</v>
      </c>
      <c r="R652" s="301">
        <v>59.195952089670129</v>
      </c>
      <c r="S652" s="300">
        <v>4.0449085152219899</v>
      </c>
      <c r="T652" s="891">
        <f t="shared" si="167"/>
        <v>128</v>
      </c>
      <c r="U652" s="1220">
        <v>0.93300509452819824</v>
      </c>
      <c r="W652" s="299">
        <v>644</v>
      </c>
      <c r="X652" s="298">
        <f>IF('Donor Sample'!N669="",,IF('Donor Sample'!N669="F",1,0))</f>
        <v>0</v>
      </c>
      <c r="Y652" s="298" t="str">
        <f>IF('Donor Sample'!O669="","",'Donor Sample'!O669)</f>
        <v/>
      </c>
      <c r="Z652" s="298" t="str">
        <f>IF(AND('Donor Sample'!O669="",'Donor Sample'!P669="",'Donor Sample'!Q669=""),"",IF('Donor Sample'!P669="",ROUND(AA652/($C$32+($AI652-0.5)*$C$31),0),'Donor Sample'!P669))</f>
        <v/>
      </c>
      <c r="AA652" s="297" t="str">
        <f>IF('Donor Sample'!Q669="","",'Donor Sample'!Q669)</f>
        <v/>
      </c>
      <c r="AB652" s="296" t="str">
        <f t="shared" si="158"/>
        <v/>
      </c>
      <c r="AC652" s="295" t="str">
        <f>IF('Donor Sample'!R669="","",'Donor Sample'!R669)</f>
        <v/>
      </c>
      <c r="AD652" s="294" t="str">
        <f>IF('Donor Sample'!S669="","",'Donor Sample'!S669/100)</f>
        <v/>
      </c>
      <c r="AE652" s="293" t="e">
        <f t="shared" si="168"/>
        <v>#VALUE!</v>
      </c>
      <c r="AF652" s="293" t="str">
        <f t="shared" si="169"/>
        <v/>
      </c>
      <c r="AG652" s="292" t="str">
        <f>IF('Donor Sample'!T669="","",'Donor Sample'!T669)</f>
        <v/>
      </c>
      <c r="AH652" s="891">
        <f t="shared" si="170"/>
        <v>16</v>
      </c>
      <c r="AI652" s="1220">
        <v>0.98607182502746582</v>
      </c>
      <c r="AJ652" s="1216"/>
    </row>
    <row r="653" spans="5:36">
      <c r="E653" s="299">
        <v>645</v>
      </c>
      <c r="F653" s="308">
        <f t="shared" ca="1" si="159"/>
        <v>3306.6714849562545</v>
      </c>
      <c r="G653" s="307">
        <f t="shared" ca="1" si="160"/>
        <v>220.20137291554676</v>
      </c>
      <c r="H653" s="306">
        <f t="shared" ca="1" si="161"/>
        <v>0.44568847534682243</v>
      </c>
      <c r="I653" s="305">
        <f t="shared" ca="1" si="163"/>
        <v>117.18348975033192</v>
      </c>
      <c r="J653" s="305">
        <f t="shared" ca="1" si="164"/>
        <v>54.844610225415039</v>
      </c>
      <c r="K653" s="292">
        <f t="shared" ca="1" si="162"/>
        <v>2.7807004869410497</v>
      </c>
      <c r="L653" s="1290">
        <f t="shared" ca="1" si="165"/>
        <v>27.426549797098271</v>
      </c>
      <c r="M653" s="299">
        <v>645</v>
      </c>
      <c r="N653" s="304">
        <f t="shared" si="166"/>
        <v>2883.3104823890335</v>
      </c>
      <c r="O653" s="303">
        <v>293.71431690779809</v>
      </c>
      <c r="P653" s="302">
        <v>0.41274293042917065</v>
      </c>
      <c r="Q653" s="301">
        <v>103.90217916855394</v>
      </c>
      <c r="R653" s="301">
        <v>50.23923203429537</v>
      </c>
      <c r="S653" s="300">
        <v>3.0018440531223693</v>
      </c>
      <c r="T653" s="891">
        <f t="shared" si="167"/>
        <v>64</v>
      </c>
      <c r="U653" s="1220">
        <v>0.45218652486801147</v>
      </c>
      <c r="W653" s="299">
        <v>645</v>
      </c>
      <c r="X653" s="298">
        <f>IF('Donor Sample'!N670="",,IF('Donor Sample'!N670="F",1,0))</f>
        <v>0</v>
      </c>
      <c r="Y653" s="298" t="str">
        <f>IF('Donor Sample'!O670="","",'Donor Sample'!O670)</f>
        <v/>
      </c>
      <c r="Z653" s="298" t="str">
        <f>IF(AND('Donor Sample'!O670="",'Donor Sample'!P670="",'Donor Sample'!Q670=""),"",IF('Donor Sample'!P670="",ROUND(AA653/($C$32+($AI653-0.5)*$C$31),0),'Donor Sample'!P670))</f>
        <v/>
      </c>
      <c r="AA653" s="297" t="str">
        <f>IF('Donor Sample'!Q670="","",'Donor Sample'!Q670)</f>
        <v/>
      </c>
      <c r="AB653" s="296" t="str">
        <f t="shared" si="158"/>
        <v/>
      </c>
      <c r="AC653" s="295" t="str">
        <f>IF('Donor Sample'!R670="","",'Donor Sample'!R670)</f>
        <v/>
      </c>
      <c r="AD653" s="294" t="str">
        <f>IF('Donor Sample'!S670="","",'Donor Sample'!S670/100)</f>
        <v/>
      </c>
      <c r="AE653" s="293" t="e">
        <f t="shared" si="168"/>
        <v>#VALUE!</v>
      </c>
      <c r="AF653" s="293" t="str">
        <f t="shared" si="169"/>
        <v/>
      </c>
      <c r="AG653" s="292" t="str">
        <f>IF('Donor Sample'!T670="","",'Donor Sample'!T670)</f>
        <v/>
      </c>
      <c r="AH653" s="891">
        <f t="shared" si="170"/>
        <v>64</v>
      </c>
      <c r="AI653" s="1220">
        <v>0.73488086462020874</v>
      </c>
      <c r="AJ653" s="1216"/>
    </row>
    <row r="654" spans="5:36">
      <c r="E654" s="299">
        <v>646</v>
      </c>
      <c r="F654" s="308">
        <f t="shared" ca="1" si="159"/>
        <v>3424.176893307917</v>
      </c>
      <c r="G654" s="307">
        <f t="shared" ca="1" si="160"/>
        <v>197.0497540751511</v>
      </c>
      <c r="H654" s="306">
        <f t="shared" ca="1" si="161"/>
        <v>0.44315593792839614</v>
      </c>
      <c r="I654" s="305">
        <f t="shared" ca="1" si="163"/>
        <v>112.27093557561295</v>
      </c>
      <c r="J654" s="305">
        <f t="shared" ca="1" si="164"/>
        <v>64.381300278356349</v>
      </c>
      <c r="K654" s="292">
        <f t="shared" ca="1" si="162"/>
        <v>3.4198049277176326</v>
      </c>
      <c r="L654" s="1290">
        <f t="shared" ca="1" si="165"/>
        <v>19.068674853679184</v>
      </c>
      <c r="M654" s="299">
        <v>646</v>
      </c>
      <c r="N654" s="304">
        <f t="shared" si="166"/>
        <v>2949.1202603736328</v>
      </c>
      <c r="O654" s="303">
        <v>242.70254829974832</v>
      </c>
      <c r="P654" s="302">
        <v>0.36996428337097592</v>
      </c>
      <c r="Q654" s="301">
        <v>119.02035062917963</v>
      </c>
      <c r="R654" s="301">
        <v>55.188519834102401</v>
      </c>
      <c r="S654" s="300">
        <v>8.1133452770398371</v>
      </c>
      <c r="T654" s="891">
        <f t="shared" si="167"/>
        <v>64</v>
      </c>
      <c r="U654" s="1220">
        <v>0.58232533931732178</v>
      </c>
      <c r="W654" s="299">
        <v>646</v>
      </c>
      <c r="X654" s="298">
        <f>IF('Donor Sample'!N671="",,IF('Donor Sample'!N671="F",1,0))</f>
        <v>0</v>
      </c>
      <c r="Y654" s="298" t="str">
        <f>IF('Donor Sample'!O671="","",'Donor Sample'!O671)</f>
        <v/>
      </c>
      <c r="Z654" s="298" t="str">
        <f>IF(AND('Donor Sample'!O671="",'Donor Sample'!P671="",'Donor Sample'!Q671=""),"",IF('Donor Sample'!P671="",ROUND(AA654/($C$32+($AI654-0.5)*$C$31),0),'Donor Sample'!P671))</f>
        <v/>
      </c>
      <c r="AA654" s="297" t="str">
        <f>IF('Donor Sample'!Q671="","",'Donor Sample'!Q671)</f>
        <v/>
      </c>
      <c r="AB654" s="296" t="str">
        <f t="shared" si="158"/>
        <v/>
      </c>
      <c r="AC654" s="295" t="str">
        <f>IF('Donor Sample'!R671="","",'Donor Sample'!R671)</f>
        <v/>
      </c>
      <c r="AD654" s="294" t="str">
        <f>IF('Donor Sample'!S671="","",'Donor Sample'!S671/100)</f>
        <v/>
      </c>
      <c r="AE654" s="407" t="e">
        <f t="shared" si="168"/>
        <v>#VALUE!</v>
      </c>
      <c r="AF654" s="293" t="str">
        <f t="shared" si="169"/>
        <v/>
      </c>
      <c r="AG654" s="292" t="str">
        <f>IF('Donor Sample'!T671="","",'Donor Sample'!T671)</f>
        <v/>
      </c>
      <c r="AH654" s="891">
        <f t="shared" si="170"/>
        <v>256</v>
      </c>
      <c r="AI654" s="1220">
        <v>0.90855872631072998</v>
      </c>
      <c r="AJ654" s="1216"/>
    </row>
    <row r="655" spans="5:36">
      <c r="E655" s="299">
        <v>647</v>
      </c>
      <c r="F655" s="308">
        <f t="shared" ca="1" si="159"/>
        <v>3146.5936638869871</v>
      </c>
      <c r="G655" s="307">
        <f t="shared" ca="1" si="160"/>
        <v>278.41696434226878</v>
      </c>
      <c r="H655" s="306">
        <f t="shared" ca="1" si="161"/>
        <v>0.45684405848347992</v>
      </c>
      <c r="I655" s="305">
        <f t="shared" ca="1" si="163"/>
        <v>115.95735426789174</v>
      </c>
      <c r="J655" s="305">
        <f t="shared" ca="1" si="164"/>
        <v>52.087632697121578</v>
      </c>
      <c r="K655" s="292">
        <f t="shared" ca="1" si="162"/>
        <v>1.5815823832118467</v>
      </c>
      <c r="L655" s="1290">
        <f t="shared" ca="1" si="165"/>
        <v>30.088581733866629</v>
      </c>
      <c r="M655" s="299">
        <v>647</v>
      </c>
      <c r="N655" s="304">
        <f t="shared" si="166"/>
        <v>3314.3224744159329</v>
      </c>
      <c r="O655" s="303">
        <v>237.24818252179998</v>
      </c>
      <c r="P655" s="302">
        <v>0.40360195059568982</v>
      </c>
      <c r="Q655" s="301">
        <v>102.85856441799292</v>
      </c>
      <c r="R655" s="301">
        <v>58.580494603582821</v>
      </c>
      <c r="S655" s="300">
        <v>3.2280097966504933</v>
      </c>
      <c r="T655" s="891">
        <f t="shared" si="167"/>
        <v>2</v>
      </c>
      <c r="U655" s="1220">
        <v>0.31635957956314087</v>
      </c>
      <c r="W655" s="299">
        <v>647</v>
      </c>
      <c r="X655" s="298">
        <f>IF('Donor Sample'!N672="",,IF('Donor Sample'!N672="F",1,0))</f>
        <v>0</v>
      </c>
      <c r="Y655" s="298" t="str">
        <f>IF('Donor Sample'!O672="","",'Donor Sample'!O672)</f>
        <v/>
      </c>
      <c r="Z655" s="298" t="str">
        <f>IF(AND('Donor Sample'!O672="",'Donor Sample'!P672="",'Donor Sample'!Q672=""),"",IF('Donor Sample'!P672="",ROUND(AA655/($C$32+($AI655-0.5)*$C$31),0),'Donor Sample'!P672))</f>
        <v/>
      </c>
      <c r="AA655" s="297" t="str">
        <f>IF('Donor Sample'!Q672="","",'Donor Sample'!Q672)</f>
        <v/>
      </c>
      <c r="AB655" s="296" t="str">
        <f t="shared" si="158"/>
        <v/>
      </c>
      <c r="AC655" s="295" t="str">
        <f>IF('Donor Sample'!R672="","",'Donor Sample'!R672)</f>
        <v/>
      </c>
      <c r="AD655" s="294" t="str">
        <f>IF('Donor Sample'!S672="","",'Donor Sample'!S672/100)</f>
        <v/>
      </c>
      <c r="AE655" s="293" t="e">
        <f t="shared" si="168"/>
        <v>#VALUE!</v>
      </c>
      <c r="AF655" s="293" t="str">
        <f t="shared" si="169"/>
        <v/>
      </c>
      <c r="AG655" s="292" t="str">
        <f>IF('Donor Sample'!T672="","",'Donor Sample'!T672)</f>
        <v/>
      </c>
      <c r="AH655" s="891">
        <f t="shared" si="170"/>
        <v>2</v>
      </c>
      <c r="AI655" s="1220">
        <v>0.31471019983291626</v>
      </c>
      <c r="AJ655" s="1216"/>
    </row>
    <row r="656" spans="5:36">
      <c r="E656" s="299">
        <v>648</v>
      </c>
      <c r="F656" s="308">
        <f t="shared" ca="1" si="159"/>
        <v>3032.0843752222177</v>
      </c>
      <c r="G656" s="307">
        <f t="shared" ca="1" si="160"/>
        <v>282.69979867120605</v>
      </c>
      <c r="H656" s="306">
        <f t="shared" ca="1" si="161"/>
        <v>0.37985647966593838</v>
      </c>
      <c r="I656" s="305">
        <f t="shared" ca="1" si="163"/>
        <v>127.1236452700992</v>
      </c>
      <c r="J656" s="305">
        <f t="shared" ca="1" si="164"/>
        <v>45.654022693639227</v>
      </c>
      <c r="K656" s="292">
        <f t="shared" ca="1" si="162"/>
        <v>2.1432452625233451</v>
      </c>
      <c r="L656" s="1290">
        <f t="shared" ca="1" si="165"/>
        <v>42.937909488701941</v>
      </c>
      <c r="M656" s="299">
        <v>648</v>
      </c>
      <c r="N656" s="304">
        <f t="shared" si="166"/>
        <v>3588.1694350228381</v>
      </c>
      <c r="O656" s="303">
        <v>253.20225007538735</v>
      </c>
      <c r="P656" s="302">
        <v>0.37012478790519365</v>
      </c>
      <c r="Q656" s="301">
        <v>116.00232732611835</v>
      </c>
      <c r="R656" s="301">
        <v>59.875661290081986</v>
      </c>
      <c r="S656" s="300">
        <v>1.5905187731894803</v>
      </c>
      <c r="T656" s="891">
        <f t="shared" si="167"/>
        <v>2</v>
      </c>
      <c r="U656" s="1220">
        <v>0.17840480804443359</v>
      </c>
      <c r="W656" s="299">
        <v>648</v>
      </c>
      <c r="X656" s="298">
        <f>IF('Donor Sample'!N673="",,IF('Donor Sample'!N673="F",1,0))</f>
        <v>0</v>
      </c>
      <c r="Y656" s="298" t="str">
        <f>IF('Donor Sample'!O673="","",'Donor Sample'!O673)</f>
        <v/>
      </c>
      <c r="Z656" s="298" t="str">
        <f>IF(AND('Donor Sample'!O673="",'Donor Sample'!P673="",'Donor Sample'!Q673=""),"",IF('Donor Sample'!P673="",ROUND(AA656/($C$32+($AI656-0.5)*$C$31),0),'Donor Sample'!P673))</f>
        <v/>
      </c>
      <c r="AA656" s="297" t="str">
        <f>IF('Donor Sample'!Q673="","",'Donor Sample'!Q673)</f>
        <v/>
      </c>
      <c r="AB656" s="296" t="str">
        <f t="shared" si="158"/>
        <v/>
      </c>
      <c r="AC656" s="295" t="str">
        <f>IF('Donor Sample'!R673="","",'Donor Sample'!R673)</f>
        <v/>
      </c>
      <c r="AD656" s="294" t="str">
        <f>IF('Donor Sample'!S673="","",'Donor Sample'!S673/100)</f>
        <v/>
      </c>
      <c r="AE656" s="293" t="e">
        <f t="shared" si="168"/>
        <v>#VALUE!</v>
      </c>
      <c r="AF656" s="293" t="str">
        <f t="shared" si="169"/>
        <v/>
      </c>
      <c r="AG656" s="292" t="str">
        <f>IF('Donor Sample'!T673="","",'Donor Sample'!T673)</f>
        <v/>
      </c>
      <c r="AH656" s="891">
        <f t="shared" si="170"/>
        <v>64</v>
      </c>
      <c r="AI656" s="1220">
        <v>0.75220060348510742</v>
      </c>
      <c r="AJ656" s="1216"/>
    </row>
    <row r="657" spans="5:36">
      <c r="E657" s="299">
        <v>649</v>
      </c>
      <c r="F657" s="308">
        <f t="shared" ca="1" si="159"/>
        <v>3245.4936294066397</v>
      </c>
      <c r="G657" s="307">
        <f t="shared" ca="1" si="160"/>
        <v>308.23216765154024</v>
      </c>
      <c r="H657" s="306">
        <f t="shared" ca="1" si="161"/>
        <v>0.39283265421947067</v>
      </c>
      <c r="I657" s="305">
        <f t="shared" ca="1" si="163"/>
        <v>112.6207998179961</v>
      </c>
      <c r="J657" s="305">
        <f t="shared" ca="1" si="164"/>
        <v>54.944654575757809</v>
      </c>
      <c r="K657" s="292">
        <f t="shared" ca="1" si="162"/>
        <v>1.591804358057592</v>
      </c>
      <c r="L657" s="1290">
        <f t="shared" ca="1" si="165"/>
        <v>26.262760404557948</v>
      </c>
      <c r="M657" s="299">
        <v>649</v>
      </c>
      <c r="N657" s="304">
        <f t="shared" si="166"/>
        <v>2634.8937288588113</v>
      </c>
      <c r="O657" s="303">
        <v>240.22957149792623</v>
      </c>
      <c r="P657" s="302">
        <v>0.43100278990572505</v>
      </c>
      <c r="Q657" s="301">
        <v>99.660918308183341</v>
      </c>
      <c r="R657" s="301">
        <v>45.753961832105936</v>
      </c>
      <c r="S657" s="300">
        <v>4.993229412562286</v>
      </c>
      <c r="T657" s="891">
        <f t="shared" si="167"/>
        <v>2</v>
      </c>
      <c r="U657" s="1220">
        <v>8.732527494430542E-2</v>
      </c>
      <c r="W657" s="299">
        <v>649</v>
      </c>
      <c r="X657" s="298">
        <f>IF('Donor Sample'!N674="",,IF('Donor Sample'!N674="F",1,0))</f>
        <v>0</v>
      </c>
      <c r="Y657" s="298" t="str">
        <f>IF('Donor Sample'!O674="","",'Donor Sample'!O674)</f>
        <v/>
      </c>
      <c r="Z657" s="298" t="str">
        <f>IF(AND('Donor Sample'!O674="",'Donor Sample'!P674="",'Donor Sample'!Q674=""),"",IF('Donor Sample'!P674="",ROUND(AA657/($C$32+($AI657-0.5)*$C$31),0),'Donor Sample'!P674))</f>
        <v/>
      </c>
      <c r="AA657" s="297" t="str">
        <f>IF('Donor Sample'!Q674="","",'Donor Sample'!Q674)</f>
        <v/>
      </c>
      <c r="AB657" s="296" t="str">
        <f t="shared" si="158"/>
        <v/>
      </c>
      <c r="AC657" s="295" t="str">
        <f>IF('Donor Sample'!R674="","",'Donor Sample'!R674)</f>
        <v/>
      </c>
      <c r="AD657" s="294" t="str">
        <f>IF('Donor Sample'!S674="","",'Donor Sample'!S674/100)</f>
        <v/>
      </c>
      <c r="AE657" s="407" t="e">
        <f t="shared" si="168"/>
        <v>#VALUE!</v>
      </c>
      <c r="AF657" s="293" t="str">
        <f t="shared" si="169"/>
        <v/>
      </c>
      <c r="AG657" s="292" t="str">
        <f>IF('Donor Sample'!T674="","",'Donor Sample'!T674)</f>
        <v/>
      </c>
      <c r="AH657" s="891">
        <f t="shared" si="170"/>
        <v>2</v>
      </c>
      <c r="AI657" s="1220">
        <v>0.15939491987228394</v>
      </c>
      <c r="AJ657" s="1216"/>
    </row>
    <row r="658" spans="5:36">
      <c r="E658" s="299">
        <v>650</v>
      </c>
      <c r="F658" s="308">
        <f t="shared" ca="1" si="159"/>
        <v>2740.9441153859452</v>
      </c>
      <c r="G658" s="307">
        <f t="shared" ca="1" si="160"/>
        <v>252.82722537406821</v>
      </c>
      <c r="H658" s="306">
        <f t="shared" ca="1" si="161"/>
        <v>0.37998870966952786</v>
      </c>
      <c r="I658" s="305">
        <f t="shared" ca="1" si="163"/>
        <v>104.97407616969869</v>
      </c>
      <c r="J658" s="305">
        <f t="shared" ca="1" si="164"/>
        <v>46.496110222207882</v>
      </c>
      <c r="K658" s="292">
        <f t="shared" ca="1" si="162"/>
        <v>8.8810755606995162</v>
      </c>
      <c r="L658" s="1290">
        <f t="shared" ca="1" si="165"/>
        <v>34.183889515801418</v>
      </c>
      <c r="M658" s="299">
        <v>650</v>
      </c>
      <c r="N658" s="304">
        <f t="shared" si="166"/>
        <v>3042.0956803151194</v>
      </c>
      <c r="O658" s="303">
        <v>261.41419581585717</v>
      </c>
      <c r="P658" s="302">
        <v>0.39581269390060247</v>
      </c>
      <c r="Q658" s="301">
        <v>103.0053215239363</v>
      </c>
      <c r="R658" s="301">
        <v>53.762123906668627</v>
      </c>
      <c r="S658" s="300">
        <v>2.0860886138355923</v>
      </c>
      <c r="T658" s="891">
        <f t="shared" si="167"/>
        <v>32</v>
      </c>
      <c r="U658" s="1220">
        <v>0.81289541721343994</v>
      </c>
      <c r="W658" s="299">
        <v>650</v>
      </c>
      <c r="X658" s="298">
        <f>IF('Donor Sample'!N675="",,IF('Donor Sample'!N675="F",1,0))</f>
        <v>0</v>
      </c>
      <c r="Y658" s="298" t="str">
        <f>IF('Donor Sample'!O675="","",'Donor Sample'!O675)</f>
        <v/>
      </c>
      <c r="Z658" s="298" t="str">
        <f>IF(AND('Donor Sample'!O675="",'Donor Sample'!P675="",'Donor Sample'!Q675=""),"",IF('Donor Sample'!P675="",ROUND(AA658/($C$32+($AI658-0.5)*$C$31),0),'Donor Sample'!P675))</f>
        <v/>
      </c>
      <c r="AA658" s="297" t="str">
        <f>IF('Donor Sample'!Q675="","",'Donor Sample'!Q675)</f>
        <v/>
      </c>
      <c r="AB658" s="296" t="str">
        <f t="shared" si="158"/>
        <v/>
      </c>
      <c r="AC658" s="295" t="str">
        <f>IF('Donor Sample'!R675="","",'Donor Sample'!R675)</f>
        <v/>
      </c>
      <c r="AD658" s="294" t="str">
        <f>IF('Donor Sample'!S675="","",'Donor Sample'!S675/100)</f>
        <v/>
      </c>
      <c r="AE658" s="293" t="e">
        <f t="shared" si="168"/>
        <v>#VALUE!</v>
      </c>
      <c r="AF658" s="293" t="str">
        <f t="shared" si="169"/>
        <v/>
      </c>
      <c r="AG658" s="292" t="str">
        <f>IF('Donor Sample'!T675="","",'Donor Sample'!T675)</f>
        <v/>
      </c>
      <c r="AH658" s="891">
        <f t="shared" si="170"/>
        <v>64</v>
      </c>
      <c r="AI658" s="1220">
        <v>0.71631538867950439</v>
      </c>
      <c r="AJ658" s="1216"/>
    </row>
    <row r="659" spans="5:36">
      <c r="E659" s="299">
        <v>651</v>
      </c>
      <c r="F659" s="308">
        <f t="shared" ca="1" si="159"/>
        <v>3470.8090912954917</v>
      </c>
      <c r="G659" s="307">
        <f t="shared" ca="1" si="160"/>
        <v>213.62882837188519</v>
      </c>
      <c r="H659" s="306">
        <f t="shared" ca="1" si="161"/>
        <v>0.47843661504009211</v>
      </c>
      <c r="I659" s="305">
        <f t="shared" ca="1" si="163"/>
        <v>122.07289338366859</v>
      </c>
      <c r="J659" s="305">
        <f t="shared" ca="1" si="164"/>
        <v>62.966755017652197</v>
      </c>
      <c r="K659" s="292">
        <f t="shared" ca="1" si="162"/>
        <v>1.5065295844164939</v>
      </c>
      <c r="L659" s="1290">
        <f t="shared" ca="1" si="165"/>
        <v>21.675507387282881</v>
      </c>
      <c r="M659" s="299">
        <v>651</v>
      </c>
      <c r="N659" s="304">
        <f t="shared" si="166"/>
        <v>2806.7578077334688</v>
      </c>
      <c r="O659" s="303">
        <v>226.93922942372976</v>
      </c>
      <c r="P659" s="302">
        <v>0.39905528437772164</v>
      </c>
      <c r="Q659" s="301">
        <v>98.980361198112334</v>
      </c>
      <c r="R659" s="301">
        <v>58.009743663620966</v>
      </c>
      <c r="S659" s="300">
        <v>2.1725757968138764</v>
      </c>
      <c r="T659" s="891">
        <f t="shared" si="167"/>
        <v>64</v>
      </c>
      <c r="U659" s="1220">
        <v>0.46669036149978638</v>
      </c>
      <c r="W659" s="299">
        <v>651</v>
      </c>
      <c r="X659" s="298">
        <f>IF('Donor Sample'!N676="",,IF('Donor Sample'!N676="F",1,0))</f>
        <v>0</v>
      </c>
      <c r="Y659" s="298" t="str">
        <f>IF('Donor Sample'!O676="","",'Donor Sample'!O676)</f>
        <v/>
      </c>
      <c r="Z659" s="298" t="str">
        <f>IF(AND('Donor Sample'!O676="",'Donor Sample'!P676="",'Donor Sample'!Q676=""),"",IF('Donor Sample'!P676="",ROUND(AA659/($C$32+($AI659-0.5)*$C$31),0),'Donor Sample'!P676))</f>
        <v/>
      </c>
      <c r="AA659" s="297" t="str">
        <f>IF('Donor Sample'!Q676="","",'Donor Sample'!Q676)</f>
        <v/>
      </c>
      <c r="AB659" s="296" t="str">
        <f t="shared" si="158"/>
        <v/>
      </c>
      <c r="AC659" s="295" t="str">
        <f>IF('Donor Sample'!R676="","",'Donor Sample'!R676)</f>
        <v/>
      </c>
      <c r="AD659" s="294" t="str">
        <f>IF('Donor Sample'!S676="","",'Donor Sample'!S676/100)</f>
        <v/>
      </c>
      <c r="AE659" s="293" t="e">
        <f t="shared" si="168"/>
        <v>#VALUE!</v>
      </c>
      <c r="AF659" s="293" t="str">
        <f t="shared" si="169"/>
        <v/>
      </c>
      <c r="AG659" s="292" t="str">
        <f>IF('Donor Sample'!T676="","",'Donor Sample'!T676)</f>
        <v/>
      </c>
      <c r="AH659" s="891">
        <f t="shared" si="170"/>
        <v>256</v>
      </c>
      <c r="AI659" s="1220">
        <v>0.89754372835159302</v>
      </c>
      <c r="AJ659" s="1216"/>
    </row>
    <row r="660" spans="5:36">
      <c r="E660" s="299">
        <v>652</v>
      </c>
      <c r="F660" s="308">
        <f t="shared" ca="1" si="159"/>
        <v>3432.448002676972</v>
      </c>
      <c r="G660" s="307">
        <f t="shared" ca="1" si="160"/>
        <v>240.46455001605904</v>
      </c>
      <c r="H660" s="306">
        <f t="shared" ca="1" si="161"/>
        <v>0.43716787854632161</v>
      </c>
      <c r="I660" s="305">
        <f t="shared" ca="1" si="163"/>
        <v>133.43870025091849</v>
      </c>
      <c r="J660" s="305">
        <f t="shared" ca="1" si="164"/>
        <v>52.706138542994239</v>
      </c>
      <c r="K660" s="292">
        <f t="shared" ca="1" si="162"/>
        <v>4.0014779340574833</v>
      </c>
      <c r="L660" s="1290">
        <f t="shared" ca="1" si="165"/>
        <v>33.816765326263507</v>
      </c>
      <c r="M660" s="299">
        <v>652</v>
      </c>
      <c r="N660" s="304">
        <f t="shared" si="166"/>
        <v>3186.1539377592153</v>
      </c>
      <c r="O660" s="303">
        <v>201.3813528892569</v>
      </c>
      <c r="P660" s="302">
        <v>0.38751315994739177</v>
      </c>
      <c r="Q660" s="301">
        <v>116.66514274287826</v>
      </c>
      <c r="R660" s="301">
        <v>52.678178702757997</v>
      </c>
      <c r="S660" s="300">
        <v>7.6294075128596202</v>
      </c>
      <c r="T660" s="891">
        <f t="shared" si="167"/>
        <v>64</v>
      </c>
      <c r="U660" s="1220">
        <v>0.45128941535949707</v>
      </c>
      <c r="W660" s="299">
        <v>652</v>
      </c>
      <c r="X660" s="298">
        <f>IF('Donor Sample'!N677="",,IF('Donor Sample'!N677="F",1,0))</f>
        <v>0</v>
      </c>
      <c r="Y660" s="298" t="str">
        <f>IF('Donor Sample'!O677="","",'Donor Sample'!O677)</f>
        <v/>
      </c>
      <c r="Z660" s="298" t="str">
        <f>IF(AND('Donor Sample'!O677="",'Donor Sample'!P677="",'Donor Sample'!Q677=""),"",IF('Donor Sample'!P677="",ROUND(AA660/($C$32+($AI660-0.5)*$C$31),0),'Donor Sample'!P677))</f>
        <v/>
      </c>
      <c r="AA660" s="297" t="str">
        <f>IF('Donor Sample'!Q677="","",'Donor Sample'!Q677)</f>
        <v/>
      </c>
      <c r="AB660" s="296" t="str">
        <f t="shared" si="158"/>
        <v/>
      </c>
      <c r="AC660" s="295" t="str">
        <f>IF('Donor Sample'!R677="","",'Donor Sample'!R677)</f>
        <v/>
      </c>
      <c r="AD660" s="294" t="str">
        <f>IF('Donor Sample'!S677="","",'Donor Sample'!S677/100)</f>
        <v/>
      </c>
      <c r="AE660" s="407" t="e">
        <f t="shared" si="168"/>
        <v>#VALUE!</v>
      </c>
      <c r="AF660" s="293" t="str">
        <f t="shared" si="169"/>
        <v/>
      </c>
      <c r="AG660" s="292" t="str">
        <f>IF('Donor Sample'!T677="","",'Donor Sample'!T677)</f>
        <v/>
      </c>
      <c r="AH660" s="891">
        <f t="shared" si="170"/>
        <v>2</v>
      </c>
      <c r="AI660" s="1220">
        <v>0.23538947105407715</v>
      </c>
      <c r="AJ660" s="1216"/>
    </row>
    <row r="661" spans="5:36">
      <c r="E661" s="299">
        <v>653</v>
      </c>
      <c r="F661" s="308">
        <f t="shared" ca="1" si="159"/>
        <v>2986.2500014670181</v>
      </c>
      <c r="G661" s="307">
        <f t="shared" ca="1" si="160"/>
        <v>209.13415005119998</v>
      </c>
      <c r="H661" s="306">
        <f t="shared" ca="1" si="161"/>
        <v>0.46620283347348179</v>
      </c>
      <c r="I661" s="305">
        <f t="shared" ca="1" si="163"/>
        <v>103.15967725411731</v>
      </c>
      <c r="J661" s="305">
        <f t="shared" ca="1" si="164"/>
        <v>52.623693698777565</v>
      </c>
      <c r="K661" s="292">
        <f t="shared" ca="1" si="162"/>
        <v>7.0371122157283663</v>
      </c>
      <c r="L661" s="1290">
        <f t="shared" ca="1" si="165"/>
        <v>26.225270552970851</v>
      </c>
      <c r="M661" s="299">
        <v>653</v>
      </c>
      <c r="N661" s="304">
        <f t="shared" si="166"/>
        <v>4204.9577355502297</v>
      </c>
      <c r="O661" s="303">
        <v>240.39169451628786</v>
      </c>
      <c r="P661" s="302">
        <v>0.38672037319312402</v>
      </c>
      <c r="Q661" s="301">
        <v>154.23649573095628</v>
      </c>
      <c r="R661" s="301">
        <v>60.768089452957305</v>
      </c>
      <c r="S661" s="300">
        <v>11.52756801219585</v>
      </c>
      <c r="T661" s="891">
        <f t="shared" si="167"/>
        <v>2</v>
      </c>
      <c r="U661" s="1220">
        <v>0.34704059362411499</v>
      </c>
      <c r="W661" s="299">
        <v>653</v>
      </c>
      <c r="X661" s="298">
        <f>IF('Donor Sample'!N678="",,IF('Donor Sample'!N678="F",1,0))</f>
        <v>0</v>
      </c>
      <c r="Y661" s="298" t="str">
        <f>IF('Donor Sample'!O678="","",'Donor Sample'!O678)</f>
        <v/>
      </c>
      <c r="Z661" s="298" t="str">
        <f>IF(AND('Donor Sample'!O678="",'Donor Sample'!P678="",'Donor Sample'!Q678=""),"",IF('Donor Sample'!P678="",ROUND(AA661/($C$32+($AI661-0.5)*$C$31),0),'Donor Sample'!P678))</f>
        <v/>
      </c>
      <c r="AA661" s="297" t="str">
        <f>IF('Donor Sample'!Q678="","",'Donor Sample'!Q678)</f>
        <v/>
      </c>
      <c r="AB661" s="296" t="str">
        <f t="shared" si="158"/>
        <v/>
      </c>
      <c r="AC661" s="295" t="str">
        <f>IF('Donor Sample'!R678="","",'Donor Sample'!R678)</f>
        <v/>
      </c>
      <c r="AD661" s="294" t="str">
        <f>IF('Donor Sample'!S678="","",'Donor Sample'!S678/100)</f>
        <v/>
      </c>
      <c r="AE661" s="293" t="e">
        <f t="shared" si="168"/>
        <v>#VALUE!</v>
      </c>
      <c r="AF661" s="293" t="str">
        <f t="shared" si="169"/>
        <v/>
      </c>
      <c r="AG661" s="292" t="str">
        <f>IF('Donor Sample'!T678="","",'Donor Sample'!T678)</f>
        <v/>
      </c>
      <c r="AH661" s="891">
        <f t="shared" si="170"/>
        <v>2</v>
      </c>
      <c r="AI661" s="1220">
        <v>0.26475995779037476</v>
      </c>
      <c r="AJ661" s="1216"/>
    </row>
    <row r="662" spans="5:36">
      <c r="E662" s="299">
        <v>654</v>
      </c>
      <c r="F662" s="308">
        <f t="shared" ca="1" si="159"/>
        <v>2826.3581977544591</v>
      </c>
      <c r="G662" s="307">
        <f t="shared" ca="1" si="160"/>
        <v>186.75050629639679</v>
      </c>
      <c r="H662" s="306">
        <f t="shared" ca="1" si="161"/>
        <v>0.40257077756964726</v>
      </c>
      <c r="I662" s="305">
        <f t="shared" ca="1" si="163"/>
        <v>118.16012605594543</v>
      </c>
      <c r="J662" s="305">
        <f t="shared" ca="1" si="164"/>
        <v>53.045901681209891</v>
      </c>
      <c r="K662" s="292">
        <f t="shared" ca="1" si="162"/>
        <v>2.5179663305307396</v>
      </c>
      <c r="L662" s="1290">
        <f t="shared" ca="1" si="165"/>
        <v>29.562416591838971</v>
      </c>
      <c r="M662" s="299">
        <v>654</v>
      </c>
      <c r="N662" s="304">
        <f t="shared" si="166"/>
        <v>3275.9314448560854</v>
      </c>
      <c r="O662" s="303">
        <v>222.36171184944516</v>
      </c>
      <c r="P662" s="302">
        <v>0.45807477365387611</v>
      </c>
      <c r="Q662" s="301">
        <v>102.1627967278142</v>
      </c>
      <c r="R662" s="301">
        <v>64.427804112327905</v>
      </c>
      <c r="S662" s="300">
        <v>1.4233017734075557</v>
      </c>
      <c r="T662" s="891">
        <f t="shared" si="167"/>
        <v>2</v>
      </c>
      <c r="U662" s="1220">
        <v>4.864203929901123E-2</v>
      </c>
      <c r="W662" s="299">
        <v>654</v>
      </c>
      <c r="X662" s="298">
        <f>IF('Donor Sample'!N679="",,IF('Donor Sample'!N679="F",1,0))</f>
        <v>0</v>
      </c>
      <c r="Y662" s="298" t="str">
        <f>IF('Donor Sample'!O679="","",'Donor Sample'!O679)</f>
        <v/>
      </c>
      <c r="Z662" s="298" t="str">
        <f>IF(AND('Donor Sample'!O679="",'Donor Sample'!P679="",'Donor Sample'!Q679=""),"",IF('Donor Sample'!P679="",ROUND(AA662/($C$32+($AI662-0.5)*$C$31),0),'Donor Sample'!P679))</f>
        <v/>
      </c>
      <c r="AA662" s="297" t="str">
        <f>IF('Donor Sample'!Q679="","",'Donor Sample'!Q679)</f>
        <v/>
      </c>
      <c r="AB662" s="296" t="str">
        <f t="shared" si="158"/>
        <v/>
      </c>
      <c r="AC662" s="295" t="str">
        <f>IF('Donor Sample'!R679="","",'Donor Sample'!R679)</f>
        <v/>
      </c>
      <c r="AD662" s="294" t="str">
        <f>IF('Donor Sample'!S679="","",'Donor Sample'!S679/100)</f>
        <v/>
      </c>
      <c r="AE662" s="293" t="e">
        <f t="shared" si="168"/>
        <v>#VALUE!</v>
      </c>
      <c r="AF662" s="293" t="str">
        <f t="shared" si="169"/>
        <v/>
      </c>
      <c r="AG662" s="292" t="str">
        <f>IF('Donor Sample'!T679="","",'Donor Sample'!T679)</f>
        <v/>
      </c>
      <c r="AH662" s="891">
        <f t="shared" si="170"/>
        <v>16</v>
      </c>
      <c r="AI662" s="1220">
        <v>0.98542535305023193</v>
      </c>
      <c r="AJ662" s="1216"/>
    </row>
    <row r="663" spans="5:36">
      <c r="E663" s="299">
        <v>655</v>
      </c>
      <c r="F663" s="308">
        <f t="shared" ca="1" si="159"/>
        <v>3272.0655941608693</v>
      </c>
      <c r="G663" s="307">
        <f t="shared" ca="1" si="160"/>
        <v>256.0319367437491</v>
      </c>
      <c r="H663" s="306">
        <f t="shared" ca="1" si="161"/>
        <v>0.40871959561315285</v>
      </c>
      <c r="I663" s="305">
        <f t="shared" ca="1" si="163"/>
        <v>125.00674712199074</v>
      </c>
      <c r="J663" s="305">
        <f t="shared" ca="1" si="164"/>
        <v>51.951395188241989</v>
      </c>
      <c r="K663" s="292">
        <f t="shared" ca="1" si="162"/>
        <v>1.6898168747893902</v>
      </c>
      <c r="L663" s="1290">
        <f t="shared" ca="1" si="165"/>
        <v>32.60706301726519</v>
      </c>
      <c r="M663" s="299">
        <v>655</v>
      </c>
      <c r="N663" s="304">
        <f t="shared" si="166"/>
        <v>2897.0744731506829</v>
      </c>
      <c r="O663" s="303">
        <v>263.67283758697732</v>
      </c>
      <c r="P663" s="302">
        <v>0.4848785013786725</v>
      </c>
      <c r="Q663" s="301">
        <v>99.299417095895592</v>
      </c>
      <c r="R663" s="301">
        <v>51.958294635064384</v>
      </c>
      <c r="S663" s="300">
        <v>11.712019198230243</v>
      </c>
      <c r="T663" s="891">
        <f t="shared" si="167"/>
        <v>16</v>
      </c>
      <c r="U663" s="1220">
        <v>0.96477276086807251</v>
      </c>
      <c r="W663" s="299">
        <v>655</v>
      </c>
      <c r="X663" s="298">
        <f>IF('Donor Sample'!N680="",,IF('Donor Sample'!N680="F",1,0))</f>
        <v>0</v>
      </c>
      <c r="Y663" s="298" t="str">
        <f>IF('Donor Sample'!O680="","",'Donor Sample'!O680)</f>
        <v/>
      </c>
      <c r="Z663" s="298" t="str">
        <f>IF(AND('Donor Sample'!O680="",'Donor Sample'!P680="",'Donor Sample'!Q680=""),"",IF('Donor Sample'!P680="",ROUND(AA663/($C$32+($AI663-0.5)*$C$31),0),'Donor Sample'!P680))</f>
        <v/>
      </c>
      <c r="AA663" s="297" t="str">
        <f>IF('Donor Sample'!Q680="","",'Donor Sample'!Q680)</f>
        <v/>
      </c>
      <c r="AB663" s="296" t="str">
        <f t="shared" si="158"/>
        <v/>
      </c>
      <c r="AC663" s="295" t="str">
        <f>IF('Donor Sample'!R680="","",'Donor Sample'!R680)</f>
        <v/>
      </c>
      <c r="AD663" s="294" t="str">
        <f>IF('Donor Sample'!S680="","",'Donor Sample'!S680/100)</f>
        <v/>
      </c>
      <c r="AE663" s="407" t="e">
        <f t="shared" si="168"/>
        <v>#VALUE!</v>
      </c>
      <c r="AF663" s="293" t="str">
        <f t="shared" si="169"/>
        <v/>
      </c>
      <c r="AG663" s="292" t="str">
        <f>IF('Donor Sample'!T680="","",'Donor Sample'!T680)</f>
        <v/>
      </c>
      <c r="AH663" s="891">
        <f t="shared" si="170"/>
        <v>64</v>
      </c>
      <c r="AI663" s="1220">
        <v>0.5845986008644104</v>
      </c>
      <c r="AJ663" s="1216"/>
    </row>
    <row r="664" spans="5:36">
      <c r="E664" s="299">
        <v>656</v>
      </c>
      <c r="F664" s="308">
        <f t="shared" ca="1" si="159"/>
        <v>3110.0577607101131</v>
      </c>
      <c r="G664" s="307">
        <f t="shared" ca="1" si="160"/>
        <v>260.20653972405853</v>
      </c>
      <c r="H664" s="306">
        <f t="shared" ca="1" si="161"/>
        <v>0.46260089482240879</v>
      </c>
      <c r="I664" s="305">
        <f t="shared" ca="1" si="163"/>
        <v>124.57758752253228</v>
      </c>
      <c r="J664" s="305">
        <f t="shared" ca="1" si="164"/>
        <v>56.606829243753957</v>
      </c>
      <c r="K664" s="292">
        <f t="shared" ca="1" si="162"/>
        <v>1.7072571200972919</v>
      </c>
      <c r="L664" s="1290">
        <f t="shared" ca="1" si="165"/>
        <v>27.370007553119226</v>
      </c>
      <c r="M664" s="299">
        <v>656</v>
      </c>
      <c r="N664" s="304">
        <f t="shared" si="166"/>
        <v>3634.1662023694789</v>
      </c>
      <c r="O664" s="303">
        <v>237.16356967150264</v>
      </c>
      <c r="P664" s="302">
        <v>0.41209826906095692</v>
      </c>
      <c r="Q664" s="301">
        <v>117.00217112654207</v>
      </c>
      <c r="R664" s="301">
        <v>66.242960790148203</v>
      </c>
      <c r="S664" s="300">
        <v>2.4582021564621614</v>
      </c>
      <c r="T664" s="891">
        <f t="shared" si="167"/>
        <v>64</v>
      </c>
      <c r="U664" s="1220">
        <v>0.59107542037963867</v>
      </c>
      <c r="W664" s="299">
        <v>656</v>
      </c>
      <c r="X664" s="298">
        <f>IF('Donor Sample'!N681="",,IF('Donor Sample'!N681="F",1,0))</f>
        <v>0</v>
      </c>
      <c r="Y664" s="298" t="str">
        <f>IF('Donor Sample'!O681="","",'Donor Sample'!O681)</f>
        <v/>
      </c>
      <c r="Z664" s="298" t="str">
        <f>IF(AND('Donor Sample'!O681="",'Donor Sample'!P681="",'Donor Sample'!Q681=""),"",IF('Donor Sample'!P681="",ROUND(AA664/($C$32+($AI664-0.5)*$C$31),0),'Donor Sample'!P681))</f>
        <v/>
      </c>
      <c r="AA664" s="297" t="str">
        <f>IF('Donor Sample'!Q681="","",'Donor Sample'!Q681)</f>
        <v/>
      </c>
      <c r="AB664" s="296" t="str">
        <f t="shared" si="158"/>
        <v/>
      </c>
      <c r="AC664" s="295" t="str">
        <f>IF('Donor Sample'!R681="","",'Donor Sample'!R681)</f>
        <v/>
      </c>
      <c r="AD664" s="294" t="str">
        <f>IF('Donor Sample'!S681="","",'Donor Sample'!S681/100)</f>
        <v/>
      </c>
      <c r="AE664" s="293" t="e">
        <f t="shared" si="168"/>
        <v>#VALUE!</v>
      </c>
      <c r="AF664" s="293" t="str">
        <f t="shared" si="169"/>
        <v/>
      </c>
      <c r="AG664" s="292" t="str">
        <f>IF('Donor Sample'!T681="","",'Donor Sample'!T681)</f>
        <v/>
      </c>
      <c r="AH664" s="891">
        <f t="shared" si="170"/>
        <v>128</v>
      </c>
      <c r="AI664" s="1220">
        <v>0.941070556640625</v>
      </c>
      <c r="AJ664" s="1216"/>
    </row>
    <row r="665" spans="5:36">
      <c r="E665" s="299">
        <v>657</v>
      </c>
      <c r="F665" s="308">
        <f t="shared" ca="1" si="159"/>
        <v>3112.1797276400621</v>
      </c>
      <c r="G665" s="307">
        <f t="shared" ca="1" si="160"/>
        <v>201.2750776011859</v>
      </c>
      <c r="H665" s="306">
        <f t="shared" ca="1" si="161"/>
        <v>0.3955493139832747</v>
      </c>
      <c r="I665" s="305">
        <f t="shared" ca="1" si="163"/>
        <v>104.46580265398777</v>
      </c>
      <c r="J665" s="305">
        <f t="shared" ca="1" si="164"/>
        <v>54.681668445581828</v>
      </c>
      <c r="K665" s="292">
        <f t="shared" ca="1" si="162"/>
        <v>1.9931351985627206</v>
      </c>
      <c r="L665" s="1290">
        <f t="shared" ca="1" si="165"/>
        <v>24.595932360999001</v>
      </c>
      <c r="M665" s="299">
        <v>657</v>
      </c>
      <c r="N665" s="304">
        <f t="shared" si="166"/>
        <v>3458.5806926445084</v>
      </c>
      <c r="O665" s="303">
        <v>232.19357043740098</v>
      </c>
      <c r="P665" s="302">
        <v>0.37787165089017022</v>
      </c>
      <c r="Q665" s="301">
        <v>126.15596199231159</v>
      </c>
      <c r="R665" s="301">
        <v>55.227383402615196</v>
      </c>
      <c r="S665" s="300">
        <v>2.3742867164001238</v>
      </c>
      <c r="T665" s="891">
        <f t="shared" si="167"/>
        <v>2</v>
      </c>
      <c r="U665" s="1220">
        <v>0.27558296918869019</v>
      </c>
      <c r="W665" s="299">
        <v>657</v>
      </c>
      <c r="X665" s="298">
        <f>IF('Donor Sample'!N682="",,IF('Donor Sample'!N682="F",1,0))</f>
        <v>0</v>
      </c>
      <c r="Y665" s="298" t="str">
        <f>IF('Donor Sample'!O682="","",'Donor Sample'!O682)</f>
        <v/>
      </c>
      <c r="Z665" s="298" t="str">
        <f>IF(AND('Donor Sample'!O682="",'Donor Sample'!P682="",'Donor Sample'!Q682=""),"",IF('Donor Sample'!P682="",ROUND(AA665/($C$32+($AI665-0.5)*$C$31),0),'Donor Sample'!P682))</f>
        <v/>
      </c>
      <c r="AA665" s="297" t="str">
        <f>IF('Donor Sample'!Q682="","",'Donor Sample'!Q682)</f>
        <v/>
      </c>
      <c r="AB665" s="296" t="str">
        <f t="shared" si="158"/>
        <v/>
      </c>
      <c r="AC665" s="295" t="str">
        <f>IF('Donor Sample'!R682="","",'Donor Sample'!R682)</f>
        <v/>
      </c>
      <c r="AD665" s="294" t="str">
        <f>IF('Donor Sample'!S682="","",'Donor Sample'!S682/100)</f>
        <v/>
      </c>
      <c r="AE665" s="293" t="e">
        <f t="shared" si="168"/>
        <v>#VALUE!</v>
      </c>
      <c r="AF665" s="293" t="str">
        <f t="shared" si="169"/>
        <v/>
      </c>
      <c r="AG665" s="292" t="str">
        <f>IF('Donor Sample'!T682="","",'Donor Sample'!T682)</f>
        <v/>
      </c>
      <c r="AH665" s="891">
        <f t="shared" si="170"/>
        <v>2</v>
      </c>
      <c r="AI665" s="1220">
        <v>9.7179591655731201E-2</v>
      </c>
      <c r="AJ665" s="1216"/>
    </row>
    <row r="666" spans="5:36">
      <c r="E666" s="299">
        <v>658</v>
      </c>
      <c r="F666" s="308">
        <f t="shared" ca="1" si="159"/>
        <v>2951.3993799975942</v>
      </c>
      <c r="G666" s="307">
        <f t="shared" ca="1" si="160"/>
        <v>194.96570574749026</v>
      </c>
      <c r="H666" s="306">
        <f t="shared" ca="1" si="161"/>
        <v>0.38807523677480626</v>
      </c>
      <c r="I666" s="305">
        <f t="shared" ca="1" si="163"/>
        <v>109.97429635134115</v>
      </c>
      <c r="J666" s="305">
        <f t="shared" ca="1" si="164"/>
        <v>57.663621782287301</v>
      </c>
      <c r="K666" s="292">
        <f t="shared" ca="1" si="162"/>
        <v>2.2025105848847275</v>
      </c>
      <c r="L666" s="1290">
        <f t="shared" ca="1" si="165"/>
        <v>23.284130152287503</v>
      </c>
      <c r="M666" s="299">
        <v>658</v>
      </c>
      <c r="N666" s="304">
        <f t="shared" si="166"/>
        <v>3760.9082402144672</v>
      </c>
      <c r="O666" s="303">
        <v>262.86029628058168</v>
      </c>
      <c r="P666" s="302">
        <v>0.39149267123272752</v>
      </c>
      <c r="Q666" s="301">
        <v>146.67699566770571</v>
      </c>
      <c r="R666" s="301">
        <v>61.807835327541426</v>
      </c>
      <c r="S666" s="300">
        <v>10.745590519262031</v>
      </c>
      <c r="T666" s="891">
        <f t="shared" si="167"/>
        <v>64</v>
      </c>
      <c r="U666" s="1220">
        <v>0.46931374073028564</v>
      </c>
      <c r="W666" s="299">
        <v>658</v>
      </c>
      <c r="X666" s="298">
        <f>IF('Donor Sample'!N683="",,IF('Donor Sample'!N683="F",1,0))</f>
        <v>0</v>
      </c>
      <c r="Y666" s="298" t="str">
        <f>IF('Donor Sample'!O683="","",'Donor Sample'!O683)</f>
        <v/>
      </c>
      <c r="Z666" s="298" t="str">
        <f>IF(AND('Donor Sample'!O683="",'Donor Sample'!P683="",'Donor Sample'!Q683=""),"",IF('Donor Sample'!P683="",ROUND(AA666/($C$32+($AI666-0.5)*$C$31),0),'Donor Sample'!P683))</f>
        <v/>
      </c>
      <c r="AA666" s="297" t="str">
        <f>IF('Donor Sample'!Q683="","",'Donor Sample'!Q683)</f>
        <v/>
      </c>
      <c r="AB666" s="296" t="str">
        <f t="shared" si="158"/>
        <v/>
      </c>
      <c r="AC666" s="295" t="str">
        <f>IF('Donor Sample'!R683="","",'Donor Sample'!R683)</f>
        <v/>
      </c>
      <c r="AD666" s="294" t="str">
        <f>IF('Donor Sample'!S683="","",'Donor Sample'!S683/100)</f>
        <v/>
      </c>
      <c r="AE666" s="407" t="e">
        <f t="shared" si="168"/>
        <v>#VALUE!</v>
      </c>
      <c r="AF666" s="293" t="str">
        <f t="shared" si="169"/>
        <v/>
      </c>
      <c r="AG666" s="292" t="str">
        <f>IF('Donor Sample'!T683="","",'Donor Sample'!T683)</f>
        <v/>
      </c>
      <c r="AH666" s="891">
        <f t="shared" si="170"/>
        <v>256</v>
      </c>
      <c r="AI666" s="1220">
        <v>0.8897777795791626</v>
      </c>
      <c r="AJ666" s="1216"/>
    </row>
    <row r="667" spans="5:36">
      <c r="E667" s="299">
        <v>659</v>
      </c>
      <c r="F667" s="308">
        <f t="shared" ca="1" si="159"/>
        <v>3342.4652400993673</v>
      </c>
      <c r="G667" s="307">
        <f t="shared" ca="1" si="160"/>
        <v>184.73420682143558</v>
      </c>
      <c r="H667" s="306">
        <f t="shared" ca="1" si="161"/>
        <v>0.39743223449448295</v>
      </c>
      <c r="I667" s="305">
        <f t="shared" ca="1" si="163"/>
        <v>125.40479160837825</v>
      </c>
      <c r="J667" s="305">
        <f t="shared" ca="1" si="164"/>
        <v>60.284808077273645</v>
      </c>
      <c r="K667" s="292">
        <f t="shared" ca="1" si="162"/>
        <v>1.6769733882853159</v>
      </c>
      <c r="L667" s="1290">
        <f t="shared" ca="1" si="165"/>
        <v>24.292433621811504</v>
      </c>
      <c r="M667" s="299">
        <v>659</v>
      </c>
      <c r="N667" s="304">
        <f t="shared" si="166"/>
        <v>3230.1970742978078</v>
      </c>
      <c r="O667" s="303">
        <v>288.8102331313662</v>
      </c>
      <c r="P667" s="302">
        <v>0.52231348640976483</v>
      </c>
      <c r="Q667" s="301">
        <v>109.58671717437825</v>
      </c>
      <c r="R667" s="301">
        <v>62.188940418783083</v>
      </c>
      <c r="S667" s="300">
        <v>13.765166085441569</v>
      </c>
      <c r="T667" s="891">
        <f t="shared" si="167"/>
        <v>2</v>
      </c>
      <c r="U667" s="1220">
        <v>0.33386117219924927</v>
      </c>
      <c r="W667" s="299">
        <v>659</v>
      </c>
      <c r="X667" s="298">
        <f>IF('Donor Sample'!N684="",,IF('Donor Sample'!N684="F",1,0))</f>
        <v>0</v>
      </c>
      <c r="Y667" s="298" t="str">
        <f>IF('Donor Sample'!O684="","",'Donor Sample'!O684)</f>
        <v/>
      </c>
      <c r="Z667" s="298" t="str">
        <f>IF(AND('Donor Sample'!O684="",'Donor Sample'!P684="",'Donor Sample'!Q684=""),"",IF('Donor Sample'!P684="",ROUND(AA667/($C$32+($AI667-0.5)*$C$31),0),'Donor Sample'!P684))</f>
        <v/>
      </c>
      <c r="AA667" s="297" t="str">
        <f>IF('Donor Sample'!Q684="","",'Donor Sample'!Q684)</f>
        <v/>
      </c>
      <c r="AB667" s="296" t="str">
        <f t="shared" si="158"/>
        <v/>
      </c>
      <c r="AC667" s="295" t="str">
        <f>IF('Donor Sample'!R684="","",'Donor Sample'!R684)</f>
        <v/>
      </c>
      <c r="AD667" s="294" t="str">
        <f>IF('Donor Sample'!S684="","",'Donor Sample'!S684/100)</f>
        <v/>
      </c>
      <c r="AE667" s="293" t="e">
        <f t="shared" si="168"/>
        <v>#VALUE!</v>
      </c>
      <c r="AF667" s="293" t="str">
        <f t="shared" si="169"/>
        <v/>
      </c>
      <c r="AG667" s="292" t="str">
        <f>IF('Donor Sample'!T684="","",'Donor Sample'!T684)</f>
        <v/>
      </c>
      <c r="AH667" s="891">
        <f t="shared" si="170"/>
        <v>256</v>
      </c>
      <c r="AI667" s="1220">
        <v>0.91670733690261841</v>
      </c>
      <c r="AJ667" s="1216"/>
    </row>
    <row r="668" spans="5:36">
      <c r="E668" s="299">
        <v>660</v>
      </c>
      <c r="F668" s="308">
        <f t="shared" ca="1" si="159"/>
        <v>2999.664981477044</v>
      </c>
      <c r="G668" s="307">
        <f t="shared" ca="1" si="160"/>
        <v>302.65640925327654</v>
      </c>
      <c r="H668" s="306">
        <f t="shared" ca="1" si="161"/>
        <v>0.39976327986979981</v>
      </c>
      <c r="I668" s="305">
        <f t="shared" ca="1" si="163"/>
        <v>117.6883294859537</v>
      </c>
      <c r="J668" s="305">
        <f t="shared" ca="1" si="164"/>
        <v>48.299802878245707</v>
      </c>
      <c r="K668" s="292">
        <f t="shared" ca="1" si="162"/>
        <v>6.4559462851050382</v>
      </c>
      <c r="L668" s="1290">
        <f t="shared" ca="1" si="165"/>
        <v>35.515288006497101</v>
      </c>
      <c r="M668" s="299">
        <v>660</v>
      </c>
      <c r="N668" s="304">
        <f t="shared" si="166"/>
        <v>3298.7499577429817</v>
      </c>
      <c r="O668" s="303">
        <v>314.98796317999239</v>
      </c>
      <c r="P668" s="302">
        <v>0.44222024096062235</v>
      </c>
      <c r="Q668" s="301">
        <v>134.81730174065714</v>
      </c>
      <c r="R668" s="301">
        <v>49.43741407157286</v>
      </c>
      <c r="S668" s="300">
        <v>4.3002346882111597</v>
      </c>
      <c r="T668" s="891">
        <f t="shared" si="167"/>
        <v>256</v>
      </c>
      <c r="U668" s="1220">
        <v>0.8404996395111084</v>
      </c>
      <c r="W668" s="299">
        <v>660</v>
      </c>
      <c r="X668" s="298">
        <f>IF('Donor Sample'!N685="",,IF('Donor Sample'!N685="F",1,0))</f>
        <v>0</v>
      </c>
      <c r="Y668" s="298" t="str">
        <f>IF('Donor Sample'!O685="","",'Donor Sample'!O685)</f>
        <v/>
      </c>
      <c r="Z668" s="298" t="str">
        <f>IF(AND('Donor Sample'!O685="",'Donor Sample'!P685="",'Donor Sample'!Q685=""),"",IF('Donor Sample'!P685="",ROUND(AA668/($C$32+($AI668-0.5)*$C$31),0),'Donor Sample'!P685))</f>
        <v/>
      </c>
      <c r="AA668" s="297" t="str">
        <f>IF('Donor Sample'!Q685="","",'Donor Sample'!Q685)</f>
        <v/>
      </c>
      <c r="AB668" s="296" t="str">
        <f t="shared" si="158"/>
        <v/>
      </c>
      <c r="AC668" s="295" t="str">
        <f>IF('Donor Sample'!R685="","",'Donor Sample'!R685)</f>
        <v/>
      </c>
      <c r="AD668" s="294" t="str">
        <f>IF('Donor Sample'!S685="","",'Donor Sample'!S685/100)</f>
        <v/>
      </c>
      <c r="AE668" s="293" t="e">
        <f t="shared" si="168"/>
        <v>#VALUE!</v>
      </c>
      <c r="AF668" s="293" t="str">
        <f t="shared" si="169"/>
        <v/>
      </c>
      <c r="AG668" s="292" t="str">
        <f>IF('Donor Sample'!T685="","",'Donor Sample'!T685)</f>
        <v/>
      </c>
      <c r="AH668" s="891">
        <f t="shared" si="170"/>
        <v>2</v>
      </c>
      <c r="AI668" s="1220">
        <v>5.9246301651000977E-2</v>
      </c>
      <c r="AJ668" s="1216"/>
    </row>
    <row r="669" spans="5:36">
      <c r="E669" s="299">
        <v>661</v>
      </c>
      <c r="F669" s="308">
        <f t="shared" ca="1" si="159"/>
        <v>3240.1644721202279</v>
      </c>
      <c r="G669" s="307">
        <f t="shared" ca="1" si="160"/>
        <v>273.91274224664409</v>
      </c>
      <c r="H669" s="306">
        <f t="shared" ca="1" si="161"/>
        <v>0.37850471589058848</v>
      </c>
      <c r="I669" s="305">
        <f t="shared" ca="1" si="163"/>
        <v>129.54427362506576</v>
      </c>
      <c r="J669" s="305">
        <f t="shared" ca="1" si="164"/>
        <v>49.851367815398632</v>
      </c>
      <c r="K669" s="292">
        <f t="shared" ca="1" si="162"/>
        <v>1.5997450996794822</v>
      </c>
      <c r="L669" s="1290">
        <f t="shared" ca="1" si="165"/>
        <v>36.697520476638879</v>
      </c>
      <c r="M669" s="299">
        <v>661</v>
      </c>
      <c r="N669" s="304">
        <f t="shared" si="166"/>
        <v>2562.163651436349</v>
      </c>
      <c r="O669" s="303">
        <v>286.97342147269865</v>
      </c>
      <c r="P669" s="302">
        <v>0.43092611188166347</v>
      </c>
      <c r="Q669" s="301">
        <v>90.170594041954971</v>
      </c>
      <c r="R669" s="301">
        <v>47.434929528512107</v>
      </c>
      <c r="S669" s="300">
        <v>1.694085954835199</v>
      </c>
      <c r="T669" s="891">
        <f t="shared" si="167"/>
        <v>64</v>
      </c>
      <c r="U669" s="1220">
        <v>0.70724195241928101</v>
      </c>
      <c r="W669" s="299">
        <v>661</v>
      </c>
      <c r="X669" s="298">
        <f>IF('Donor Sample'!N686="",,IF('Donor Sample'!N686="F",1,0))</f>
        <v>0</v>
      </c>
      <c r="Y669" s="298" t="str">
        <f>IF('Donor Sample'!O686="","",'Donor Sample'!O686)</f>
        <v/>
      </c>
      <c r="Z669" s="298" t="str">
        <f>IF(AND('Donor Sample'!O686="",'Donor Sample'!P686="",'Donor Sample'!Q686=""),"",IF('Donor Sample'!P686="",ROUND(AA669/($C$32+($AI669-0.5)*$C$31),0),'Donor Sample'!P686))</f>
        <v/>
      </c>
      <c r="AA669" s="297" t="str">
        <f>IF('Donor Sample'!Q686="","",'Donor Sample'!Q686)</f>
        <v/>
      </c>
      <c r="AB669" s="296" t="str">
        <f t="shared" si="158"/>
        <v/>
      </c>
      <c r="AC669" s="295" t="str">
        <f>IF('Donor Sample'!R686="","",'Donor Sample'!R686)</f>
        <v/>
      </c>
      <c r="AD669" s="294" t="str">
        <f>IF('Donor Sample'!S686="","",'Donor Sample'!S686/100)</f>
        <v/>
      </c>
      <c r="AE669" s="407" t="e">
        <f t="shared" si="168"/>
        <v>#VALUE!</v>
      </c>
      <c r="AF669" s="293" t="str">
        <f t="shared" si="169"/>
        <v/>
      </c>
      <c r="AG669" s="292" t="str">
        <f>IF('Donor Sample'!T686="","",'Donor Sample'!T686)</f>
        <v/>
      </c>
      <c r="AH669" s="891">
        <f t="shared" si="170"/>
        <v>64</v>
      </c>
      <c r="AI669" s="1220">
        <v>0.64914649724960327</v>
      </c>
      <c r="AJ669" s="1216"/>
    </row>
    <row r="670" spans="5:36">
      <c r="E670" s="299">
        <v>662</v>
      </c>
      <c r="F670" s="308">
        <f t="shared" ca="1" si="159"/>
        <v>3492.5800028392405</v>
      </c>
      <c r="G670" s="307">
        <f t="shared" ca="1" si="160"/>
        <v>248.30116636053077</v>
      </c>
      <c r="H670" s="306">
        <f t="shared" ca="1" si="161"/>
        <v>0.36667634181773279</v>
      </c>
      <c r="I670" s="305">
        <f t="shared" ca="1" si="163"/>
        <v>131.11827340368259</v>
      </c>
      <c r="J670" s="305">
        <f t="shared" ca="1" si="164"/>
        <v>54.519386232519281</v>
      </c>
      <c r="K670" s="292">
        <f t="shared" ca="1" si="162"/>
        <v>2.0419824692124013</v>
      </c>
      <c r="L670" s="1290">
        <f t="shared" ca="1" si="165"/>
        <v>31.055173853155402</v>
      </c>
      <c r="M670" s="299">
        <v>662</v>
      </c>
      <c r="N670" s="304">
        <f t="shared" si="166"/>
        <v>2799.445734252663</v>
      </c>
      <c r="O670" s="303">
        <v>221.66870621446839</v>
      </c>
      <c r="P670" s="302">
        <v>0.43155584495308086</v>
      </c>
      <c r="Q670" s="301">
        <v>108.70839528233093</v>
      </c>
      <c r="R670" s="301">
        <v>46.597973953113048</v>
      </c>
      <c r="S670" s="300">
        <v>2.210725451639699</v>
      </c>
      <c r="T670" s="891">
        <f t="shared" si="167"/>
        <v>256</v>
      </c>
      <c r="U670" s="1220">
        <v>0.88454186916351318</v>
      </c>
      <c r="W670" s="299">
        <v>662</v>
      </c>
      <c r="X670" s="298">
        <f>IF('Donor Sample'!N687="",,IF('Donor Sample'!N687="F",1,0))</f>
        <v>0</v>
      </c>
      <c r="Y670" s="298" t="str">
        <f>IF('Donor Sample'!O687="","",'Donor Sample'!O687)</f>
        <v/>
      </c>
      <c r="Z670" s="298" t="str">
        <f>IF(AND('Donor Sample'!O687="",'Donor Sample'!P687="",'Donor Sample'!Q687=""),"",IF('Donor Sample'!P687="",ROUND(AA670/($C$32+($AI670-0.5)*$C$31),0),'Donor Sample'!P687))</f>
        <v/>
      </c>
      <c r="AA670" s="297" t="str">
        <f>IF('Donor Sample'!Q687="","",'Donor Sample'!Q687)</f>
        <v/>
      </c>
      <c r="AB670" s="296" t="str">
        <f t="shared" si="158"/>
        <v/>
      </c>
      <c r="AC670" s="295" t="str">
        <f>IF('Donor Sample'!R687="","",'Donor Sample'!R687)</f>
        <v/>
      </c>
      <c r="AD670" s="294" t="str">
        <f>IF('Donor Sample'!S687="","",'Donor Sample'!S687/100)</f>
        <v/>
      </c>
      <c r="AE670" s="293" t="e">
        <f t="shared" si="168"/>
        <v>#VALUE!</v>
      </c>
      <c r="AF670" s="293" t="str">
        <f t="shared" si="169"/>
        <v/>
      </c>
      <c r="AG670" s="292" t="str">
        <f>IF('Donor Sample'!T687="","",'Donor Sample'!T687)</f>
        <v/>
      </c>
      <c r="AH670" s="891">
        <f t="shared" si="170"/>
        <v>64</v>
      </c>
      <c r="AI670" s="1220">
        <v>0.76439464092254639</v>
      </c>
      <c r="AJ670" s="1216"/>
    </row>
    <row r="671" spans="5:36">
      <c r="E671" s="299">
        <v>663</v>
      </c>
      <c r="F671" s="308">
        <f t="shared" ca="1" si="159"/>
        <v>3392.3914591089024</v>
      </c>
      <c r="G671" s="307">
        <f t="shared" ca="1" si="160"/>
        <v>277.2106877287909</v>
      </c>
      <c r="H671" s="306">
        <f t="shared" ca="1" si="161"/>
        <v>0.5047713097747879</v>
      </c>
      <c r="I671" s="305">
        <f t="shared" ca="1" si="163"/>
        <v>117.70124453975134</v>
      </c>
      <c r="J671" s="305">
        <f t="shared" ca="1" si="164"/>
        <v>62.781163108792477</v>
      </c>
      <c r="K671" s="292">
        <f t="shared" ca="1" si="162"/>
        <v>2.5155868864969144</v>
      </c>
      <c r="L671" s="1290">
        <f t="shared" ca="1" si="165"/>
        <v>21.023014963102558</v>
      </c>
      <c r="M671" s="299">
        <v>663</v>
      </c>
      <c r="N671" s="304">
        <f t="shared" si="166"/>
        <v>3204.0655550814827</v>
      </c>
      <c r="O671" s="303">
        <v>242.05606070355557</v>
      </c>
      <c r="P671" s="302">
        <v>0.41749439030011382</v>
      </c>
      <c r="Q671" s="301">
        <v>112.32194222221159</v>
      </c>
      <c r="R671" s="301">
        <v>61.180658665435175</v>
      </c>
      <c r="S671" s="300">
        <v>2.754492350961486</v>
      </c>
      <c r="T671" s="891">
        <f t="shared" si="167"/>
        <v>2</v>
      </c>
      <c r="U671" s="1220">
        <v>0.20756155252456665</v>
      </c>
      <c r="W671" s="299">
        <v>663</v>
      </c>
      <c r="X671" s="298">
        <f>IF('Donor Sample'!N688="",,IF('Donor Sample'!N688="F",1,0))</f>
        <v>0</v>
      </c>
      <c r="Y671" s="298" t="str">
        <f>IF('Donor Sample'!O688="","",'Donor Sample'!O688)</f>
        <v/>
      </c>
      <c r="Z671" s="298" t="str">
        <f>IF(AND('Donor Sample'!O688="",'Donor Sample'!P688="",'Donor Sample'!Q688=""),"",IF('Donor Sample'!P688="",ROUND(AA671/($C$32+($AI671-0.5)*$C$31),0),'Donor Sample'!P688))</f>
        <v/>
      </c>
      <c r="AA671" s="297" t="str">
        <f>IF('Donor Sample'!Q688="","",'Donor Sample'!Q688)</f>
        <v/>
      </c>
      <c r="AB671" s="296" t="str">
        <f t="shared" si="158"/>
        <v/>
      </c>
      <c r="AC671" s="295" t="str">
        <f>IF('Donor Sample'!R688="","",'Donor Sample'!R688)</f>
        <v/>
      </c>
      <c r="AD671" s="294" t="str">
        <f>IF('Donor Sample'!S688="","",'Donor Sample'!S688/100)</f>
        <v/>
      </c>
      <c r="AE671" s="293" t="e">
        <f t="shared" si="168"/>
        <v>#VALUE!</v>
      </c>
      <c r="AF671" s="293" t="str">
        <f t="shared" si="169"/>
        <v/>
      </c>
      <c r="AG671" s="292" t="str">
        <f>IF('Donor Sample'!T688="","",'Donor Sample'!T688)</f>
        <v/>
      </c>
      <c r="AH671" s="891">
        <f t="shared" si="170"/>
        <v>16</v>
      </c>
      <c r="AI671" s="1220">
        <v>0.95130401849746704</v>
      </c>
      <c r="AJ671" s="1216"/>
    </row>
    <row r="672" spans="5:36">
      <c r="E672" s="299">
        <v>664</v>
      </c>
      <c r="F672" s="308">
        <f t="shared" ca="1" si="159"/>
        <v>2627.2070835952909</v>
      </c>
      <c r="G672" s="307">
        <f t="shared" ca="1" si="160"/>
        <v>225.78243046855482</v>
      </c>
      <c r="H672" s="306">
        <f t="shared" ca="1" si="161"/>
        <v>0.42846273327183781</v>
      </c>
      <c r="I672" s="305">
        <f t="shared" ca="1" si="163"/>
        <v>89.422224214044149</v>
      </c>
      <c r="J672" s="305">
        <f t="shared" ca="1" si="164"/>
        <v>49.237547756521671</v>
      </c>
      <c r="K672" s="292">
        <f t="shared" ca="1" si="162"/>
        <v>2.9130228733065642</v>
      </c>
      <c r="L672" s="1290">
        <f t="shared" ca="1" si="165"/>
        <v>25.967210409074514</v>
      </c>
      <c r="M672" s="299">
        <v>664</v>
      </c>
      <c r="N672" s="304">
        <f t="shared" si="166"/>
        <v>3078.4659219484997</v>
      </c>
      <c r="O672" s="303">
        <v>276.78696885780141</v>
      </c>
      <c r="P672" s="302">
        <v>0.39119869957397541</v>
      </c>
      <c r="Q672" s="301">
        <v>113.43279168988843</v>
      </c>
      <c r="R672" s="301">
        <v>51.440621036378907</v>
      </c>
      <c r="S672" s="300">
        <v>2.4843768316220958</v>
      </c>
      <c r="T672" s="891">
        <f t="shared" si="167"/>
        <v>2</v>
      </c>
      <c r="U672" s="1220">
        <v>0.11124420166015625</v>
      </c>
      <c r="W672" s="299">
        <v>664</v>
      </c>
      <c r="X672" s="298">
        <f>IF('Donor Sample'!N689="",,IF('Donor Sample'!N689="F",1,0))</f>
        <v>0</v>
      </c>
      <c r="Y672" s="298" t="str">
        <f>IF('Donor Sample'!O689="","",'Donor Sample'!O689)</f>
        <v/>
      </c>
      <c r="Z672" s="298" t="str">
        <f>IF(AND('Donor Sample'!O689="",'Donor Sample'!P689="",'Donor Sample'!Q689=""),"",IF('Donor Sample'!P689="",ROUND(AA672/($C$32+($AI672-0.5)*$C$31),0),'Donor Sample'!P689))</f>
        <v/>
      </c>
      <c r="AA672" s="297" t="str">
        <f>IF('Donor Sample'!Q689="","",'Donor Sample'!Q689)</f>
        <v/>
      </c>
      <c r="AB672" s="296" t="str">
        <f t="shared" si="158"/>
        <v/>
      </c>
      <c r="AC672" s="295" t="str">
        <f>IF('Donor Sample'!R689="","",'Donor Sample'!R689)</f>
        <v/>
      </c>
      <c r="AD672" s="294" t="str">
        <f>IF('Donor Sample'!S689="","",'Donor Sample'!S689/100)</f>
        <v/>
      </c>
      <c r="AE672" s="407" t="e">
        <f t="shared" si="168"/>
        <v>#VALUE!</v>
      </c>
      <c r="AF672" s="293" t="str">
        <f t="shared" si="169"/>
        <v/>
      </c>
      <c r="AG672" s="292" t="str">
        <f>IF('Donor Sample'!T689="","",'Donor Sample'!T689)</f>
        <v/>
      </c>
      <c r="AH672" s="891">
        <f t="shared" si="170"/>
        <v>2</v>
      </c>
      <c r="AI672" s="1220">
        <v>0.23011445999145508</v>
      </c>
      <c r="AJ672" s="1216"/>
    </row>
    <row r="673" spans="5:36">
      <c r="E673" s="299">
        <v>665</v>
      </c>
      <c r="F673" s="308">
        <f t="shared" ca="1" si="159"/>
        <v>3914.9953298860883</v>
      </c>
      <c r="G673" s="307">
        <f t="shared" ca="1" si="160"/>
        <v>268.53024464203475</v>
      </c>
      <c r="H673" s="306">
        <f t="shared" ca="1" si="161"/>
        <v>0.37010102651077398</v>
      </c>
      <c r="I673" s="305">
        <f t="shared" ca="1" si="163"/>
        <v>127.75190130521511</v>
      </c>
      <c r="J673" s="305">
        <f t="shared" ca="1" si="164"/>
        <v>62.186795126155246</v>
      </c>
      <c r="K673" s="292">
        <f t="shared" ca="1" si="162"/>
        <v>1.5464500570543436</v>
      </c>
      <c r="L673" s="1290">
        <f t="shared" ca="1" si="165"/>
        <v>23.256463833692919</v>
      </c>
      <c r="M673" s="299">
        <v>665</v>
      </c>
      <c r="N673" s="304">
        <f t="shared" si="166"/>
        <v>3287.3723029525709</v>
      </c>
      <c r="O673" s="303">
        <v>275.08180709849768</v>
      </c>
      <c r="P673" s="302">
        <v>0.42433296691103584</v>
      </c>
      <c r="Q673" s="301">
        <v>108.44747342790107</v>
      </c>
      <c r="R673" s="301">
        <v>56.771416273823434</v>
      </c>
      <c r="S673" s="300">
        <v>1.5357568688841841</v>
      </c>
      <c r="T673" s="891">
        <f t="shared" si="167"/>
        <v>64</v>
      </c>
      <c r="U673" s="1220">
        <v>0.46947115659713745</v>
      </c>
      <c r="W673" s="299">
        <v>665</v>
      </c>
      <c r="X673" s="298">
        <f>IF('Donor Sample'!N690="",,IF('Donor Sample'!N690="F",1,0))</f>
        <v>0</v>
      </c>
      <c r="Y673" s="298" t="str">
        <f>IF('Donor Sample'!O690="","",'Donor Sample'!O690)</f>
        <v/>
      </c>
      <c r="Z673" s="298" t="str">
        <f>IF(AND('Donor Sample'!O690="",'Donor Sample'!P690="",'Donor Sample'!Q690=""),"",IF('Donor Sample'!P690="",ROUND(AA673/($C$32+($AI673-0.5)*$C$31),0),'Donor Sample'!P690))</f>
        <v/>
      </c>
      <c r="AA673" s="297" t="str">
        <f>IF('Donor Sample'!Q690="","",'Donor Sample'!Q690)</f>
        <v/>
      </c>
      <c r="AB673" s="296" t="str">
        <f t="shared" si="158"/>
        <v/>
      </c>
      <c r="AC673" s="295" t="str">
        <f>IF('Donor Sample'!R690="","",'Donor Sample'!R690)</f>
        <v/>
      </c>
      <c r="AD673" s="294" t="str">
        <f>IF('Donor Sample'!S690="","",'Donor Sample'!S690/100)</f>
        <v/>
      </c>
      <c r="AE673" s="293" t="e">
        <f t="shared" si="168"/>
        <v>#VALUE!</v>
      </c>
      <c r="AF673" s="293" t="str">
        <f t="shared" si="169"/>
        <v/>
      </c>
      <c r="AG673" s="292" t="str">
        <f>IF('Donor Sample'!T690="","",'Donor Sample'!T690)</f>
        <v/>
      </c>
      <c r="AH673" s="891">
        <f t="shared" si="170"/>
        <v>64</v>
      </c>
      <c r="AI673" s="1220">
        <v>0.56256741285324097</v>
      </c>
      <c r="AJ673" s="1216"/>
    </row>
    <row r="674" spans="5:36">
      <c r="E674" s="299">
        <v>666</v>
      </c>
      <c r="F674" s="308">
        <f t="shared" ca="1" si="159"/>
        <v>3635.1740262652825</v>
      </c>
      <c r="G674" s="307">
        <f t="shared" ca="1" si="160"/>
        <v>268.31902116191316</v>
      </c>
      <c r="H674" s="306">
        <f t="shared" ca="1" si="161"/>
        <v>0.36934563618904931</v>
      </c>
      <c r="I674" s="305">
        <f t="shared" ca="1" si="163"/>
        <v>144.17997077169227</v>
      </c>
      <c r="J674" s="305">
        <f t="shared" ca="1" si="164"/>
        <v>60.458489885771243</v>
      </c>
      <c r="K674" s="292">
        <f t="shared" ca="1" si="162"/>
        <v>1.6076641833480778</v>
      </c>
      <c r="L674" s="1290">
        <f t="shared" ca="1" si="165"/>
        <v>27.769176553261389</v>
      </c>
      <c r="M674" s="299">
        <v>666</v>
      </c>
      <c r="N674" s="304">
        <f t="shared" si="166"/>
        <v>3805.4934064303052</v>
      </c>
      <c r="O674" s="303">
        <v>174.90923321882224</v>
      </c>
      <c r="P674" s="302">
        <v>0.39834863488513655</v>
      </c>
      <c r="Q674" s="301">
        <v>143.81518862976714</v>
      </c>
      <c r="R674" s="301">
        <v>63.089704830651044</v>
      </c>
      <c r="S674" s="300">
        <v>1.2328166544544916</v>
      </c>
      <c r="T674" s="891">
        <f t="shared" si="167"/>
        <v>2</v>
      </c>
      <c r="U674" s="1220">
        <v>0.12446558475494385</v>
      </c>
      <c r="W674" s="299">
        <v>666</v>
      </c>
      <c r="X674" s="298">
        <f>IF('Donor Sample'!N691="",,IF('Donor Sample'!N691="F",1,0))</f>
        <v>0</v>
      </c>
      <c r="Y674" s="298" t="str">
        <f>IF('Donor Sample'!O691="","",'Donor Sample'!O691)</f>
        <v/>
      </c>
      <c r="Z674" s="298" t="str">
        <f>IF(AND('Donor Sample'!O691="",'Donor Sample'!P691="",'Donor Sample'!Q691=""),"",IF('Donor Sample'!P691="",ROUND(AA674/($C$32+($AI674-0.5)*$C$31),0),'Donor Sample'!P691))</f>
        <v/>
      </c>
      <c r="AA674" s="297" t="str">
        <f>IF('Donor Sample'!Q691="","",'Donor Sample'!Q691)</f>
        <v/>
      </c>
      <c r="AB674" s="296" t="str">
        <f t="shared" si="158"/>
        <v/>
      </c>
      <c r="AC674" s="295" t="str">
        <f>IF('Donor Sample'!R691="","",'Donor Sample'!R691)</f>
        <v/>
      </c>
      <c r="AD674" s="294" t="str">
        <f>IF('Donor Sample'!S691="","",'Donor Sample'!S691/100)</f>
        <v/>
      </c>
      <c r="AE674" s="293" t="e">
        <f t="shared" si="168"/>
        <v>#VALUE!</v>
      </c>
      <c r="AF674" s="293" t="str">
        <f t="shared" si="169"/>
        <v/>
      </c>
      <c r="AG674" s="292" t="str">
        <f>IF('Donor Sample'!T691="","",'Donor Sample'!T691)</f>
        <v/>
      </c>
      <c r="AH674" s="891">
        <f t="shared" si="170"/>
        <v>8</v>
      </c>
      <c r="AI674" s="1220">
        <v>0.9960557222366333</v>
      </c>
      <c r="AJ674" s="1216"/>
    </row>
    <row r="675" spans="5:36">
      <c r="E675" s="299">
        <v>667</v>
      </c>
      <c r="F675" s="308">
        <f t="shared" ca="1" si="159"/>
        <v>3457.871416348522</v>
      </c>
      <c r="G675" s="307">
        <f t="shared" ca="1" si="160"/>
        <v>220.09185387237079</v>
      </c>
      <c r="H675" s="306">
        <f t="shared" ca="1" si="161"/>
        <v>0.37515316549615091</v>
      </c>
      <c r="I675" s="305">
        <f t="shared" ca="1" si="163"/>
        <v>107.704847639894</v>
      </c>
      <c r="J675" s="305">
        <f t="shared" ca="1" si="164"/>
        <v>59.733742960411639</v>
      </c>
      <c r="K675" s="292">
        <f t="shared" ca="1" si="162"/>
        <v>2.6408022521953392</v>
      </c>
      <c r="L675" s="1290">
        <f t="shared" ca="1" si="165"/>
        <v>21.250465712245326</v>
      </c>
      <c r="M675" s="299">
        <v>667</v>
      </c>
      <c r="N675" s="304">
        <f t="shared" si="166"/>
        <v>3444.1377515247232</v>
      </c>
      <c r="O675" s="303">
        <v>285.39089465600762</v>
      </c>
      <c r="P675" s="302">
        <v>0.39724848262623469</v>
      </c>
      <c r="Q675" s="301">
        <v>134.97002799285545</v>
      </c>
      <c r="R675" s="301">
        <v>52.492357940351539</v>
      </c>
      <c r="S675" s="300">
        <v>1.4636175753945082</v>
      </c>
      <c r="T675" s="891">
        <f t="shared" si="167"/>
        <v>2</v>
      </c>
      <c r="U675" s="1220">
        <v>0.15795642137527466</v>
      </c>
      <c r="W675" s="299">
        <v>667</v>
      </c>
      <c r="X675" s="298">
        <f>IF('Donor Sample'!N692="",,IF('Donor Sample'!N692="F",1,0))</f>
        <v>0</v>
      </c>
      <c r="Y675" s="298" t="str">
        <f>IF('Donor Sample'!O692="","",'Donor Sample'!O692)</f>
        <v/>
      </c>
      <c r="Z675" s="298" t="str">
        <f>IF(AND('Donor Sample'!O692="",'Donor Sample'!P692="",'Donor Sample'!Q692=""),"",IF('Donor Sample'!P692="",ROUND(AA675/($C$32+($AI675-0.5)*$C$31),0),'Donor Sample'!P692))</f>
        <v/>
      </c>
      <c r="AA675" s="297" t="str">
        <f>IF('Donor Sample'!Q692="","",'Donor Sample'!Q692)</f>
        <v/>
      </c>
      <c r="AB675" s="296" t="str">
        <f t="shared" si="158"/>
        <v/>
      </c>
      <c r="AC675" s="295" t="str">
        <f>IF('Donor Sample'!R692="","",'Donor Sample'!R692)</f>
        <v/>
      </c>
      <c r="AD675" s="294" t="str">
        <f>IF('Donor Sample'!S692="","",'Donor Sample'!S692/100)</f>
        <v/>
      </c>
      <c r="AE675" s="407" t="e">
        <f t="shared" si="168"/>
        <v>#VALUE!</v>
      </c>
      <c r="AF675" s="293" t="str">
        <f t="shared" si="169"/>
        <v/>
      </c>
      <c r="AG675" s="292" t="str">
        <f>IF('Donor Sample'!T692="","",'Donor Sample'!T692)</f>
        <v/>
      </c>
      <c r="AH675" s="891">
        <f t="shared" si="170"/>
        <v>64</v>
      </c>
      <c r="AI675" s="1220">
        <v>0.5905492901802063</v>
      </c>
      <c r="AJ675" s="1216"/>
    </row>
    <row r="676" spans="5:36">
      <c r="E676" s="299">
        <v>668</v>
      </c>
      <c r="F676" s="308">
        <f t="shared" ca="1" si="159"/>
        <v>2882.0854927148739</v>
      </c>
      <c r="G676" s="307">
        <f t="shared" ca="1" si="160"/>
        <v>306.92990814410405</v>
      </c>
      <c r="H676" s="306">
        <f t="shared" ca="1" si="161"/>
        <v>0.40959504041232586</v>
      </c>
      <c r="I676" s="305">
        <f t="shared" ca="1" si="163"/>
        <v>120.81310346284646</v>
      </c>
      <c r="J676" s="305">
        <f t="shared" ca="1" si="164"/>
        <v>44.05971593778446</v>
      </c>
      <c r="K676" s="292">
        <f t="shared" ca="1" si="162"/>
        <v>5.2097538371856373</v>
      </c>
      <c r="L676" s="1290">
        <f t="shared" ca="1" si="165"/>
        <v>43.8130325435027</v>
      </c>
      <c r="M676" s="299">
        <v>668</v>
      </c>
      <c r="N676" s="304">
        <f t="shared" si="166"/>
        <v>3240.4113297522863</v>
      </c>
      <c r="O676" s="303">
        <v>240.78837544513269</v>
      </c>
      <c r="P676" s="302">
        <v>0.43161096181985592</v>
      </c>
      <c r="Q676" s="301">
        <v>106.18245957818394</v>
      </c>
      <c r="R676" s="301">
        <v>56.531425178558528</v>
      </c>
      <c r="S676" s="300">
        <v>2.2878168749560084</v>
      </c>
      <c r="T676" s="891">
        <f t="shared" si="167"/>
        <v>64</v>
      </c>
      <c r="U676" s="1220">
        <v>0.49956154823303223</v>
      </c>
      <c r="W676" s="299">
        <v>668</v>
      </c>
      <c r="X676" s="298">
        <f>IF('Donor Sample'!N693="",,IF('Donor Sample'!N693="F",1,0))</f>
        <v>0</v>
      </c>
      <c r="Y676" s="298" t="str">
        <f>IF('Donor Sample'!O693="","",'Donor Sample'!O693)</f>
        <v/>
      </c>
      <c r="Z676" s="298" t="str">
        <f>IF(AND('Donor Sample'!O693="",'Donor Sample'!P693="",'Donor Sample'!Q693=""),"",IF('Donor Sample'!P693="",ROUND(AA676/($C$32+($AI676-0.5)*$C$31),0),'Donor Sample'!P693))</f>
        <v/>
      </c>
      <c r="AA676" s="297" t="str">
        <f>IF('Donor Sample'!Q693="","",'Donor Sample'!Q693)</f>
        <v/>
      </c>
      <c r="AB676" s="296" t="str">
        <f t="shared" si="158"/>
        <v/>
      </c>
      <c r="AC676" s="295" t="str">
        <f>IF('Donor Sample'!R693="","",'Donor Sample'!R693)</f>
        <v/>
      </c>
      <c r="AD676" s="294" t="str">
        <f>IF('Donor Sample'!S693="","",'Donor Sample'!S693/100)</f>
        <v/>
      </c>
      <c r="AE676" s="293" t="e">
        <f t="shared" si="168"/>
        <v>#VALUE!</v>
      </c>
      <c r="AF676" s="293" t="str">
        <f t="shared" si="169"/>
        <v/>
      </c>
      <c r="AG676" s="292" t="str">
        <f>IF('Donor Sample'!T693="","",'Donor Sample'!T693)</f>
        <v/>
      </c>
      <c r="AH676" s="891">
        <f t="shared" si="170"/>
        <v>64</v>
      </c>
      <c r="AI676" s="1220">
        <v>0.5596930980682373</v>
      </c>
      <c r="AJ676" s="1216"/>
    </row>
    <row r="677" spans="5:36">
      <c r="E677" s="299">
        <v>669</v>
      </c>
      <c r="F677" s="308">
        <f t="shared" ca="1" si="159"/>
        <v>3367.8272388114497</v>
      </c>
      <c r="G677" s="307">
        <f t="shared" ca="1" si="160"/>
        <v>258.20147482081762</v>
      </c>
      <c r="H677" s="306">
        <f t="shared" ca="1" si="161"/>
        <v>0.48183495665181225</v>
      </c>
      <c r="I677" s="305">
        <f t="shared" ca="1" si="163"/>
        <v>139.06614139628735</v>
      </c>
      <c r="J677" s="305">
        <f t="shared" ca="1" si="164"/>
        <v>49.596701966004112</v>
      </c>
      <c r="K677" s="292">
        <f t="shared" ca="1" si="162"/>
        <v>2.385816319483943</v>
      </c>
      <c r="L677" s="1290">
        <f t="shared" ca="1" si="165"/>
        <v>39.800494454728415</v>
      </c>
      <c r="M677" s="299">
        <v>669</v>
      </c>
      <c r="N677" s="304">
        <f t="shared" si="166"/>
        <v>3369.733021418745</v>
      </c>
      <c r="O677" s="303">
        <v>281.95704385235229</v>
      </c>
      <c r="P677" s="302">
        <v>0.40125743115179752</v>
      </c>
      <c r="Q677" s="301">
        <v>112.26930855109626</v>
      </c>
      <c r="R677" s="301">
        <v>57.224727745751174</v>
      </c>
      <c r="S677" s="300">
        <v>2.1304860518071198</v>
      </c>
      <c r="T677" s="891">
        <f t="shared" si="167"/>
        <v>32</v>
      </c>
      <c r="U677" s="1220">
        <v>0.83601325750350952</v>
      </c>
      <c r="W677" s="299">
        <v>669</v>
      </c>
      <c r="X677" s="298">
        <f>IF('Donor Sample'!N694="",,IF('Donor Sample'!N694="F",1,0))</f>
        <v>0</v>
      </c>
      <c r="Y677" s="298" t="str">
        <f>IF('Donor Sample'!O694="","",'Donor Sample'!O694)</f>
        <v/>
      </c>
      <c r="Z677" s="298" t="str">
        <f>IF(AND('Donor Sample'!O694="",'Donor Sample'!P694="",'Donor Sample'!Q694=""),"",IF('Donor Sample'!P694="",ROUND(AA677/($C$32+($AI677-0.5)*$C$31),0),'Donor Sample'!P694))</f>
        <v/>
      </c>
      <c r="AA677" s="297" t="str">
        <f>IF('Donor Sample'!Q694="","",'Donor Sample'!Q694)</f>
        <v/>
      </c>
      <c r="AB677" s="296" t="str">
        <f t="shared" si="158"/>
        <v/>
      </c>
      <c r="AC677" s="295" t="str">
        <f>IF('Donor Sample'!R694="","",'Donor Sample'!R694)</f>
        <v/>
      </c>
      <c r="AD677" s="294" t="str">
        <f>IF('Donor Sample'!S694="","",'Donor Sample'!S694/100)</f>
        <v/>
      </c>
      <c r="AE677" s="293" t="e">
        <f t="shared" si="168"/>
        <v>#VALUE!</v>
      </c>
      <c r="AF677" s="293" t="str">
        <f t="shared" si="169"/>
        <v/>
      </c>
      <c r="AG677" s="292" t="str">
        <f>IF('Donor Sample'!T694="","",'Donor Sample'!T694)</f>
        <v/>
      </c>
      <c r="AH677" s="891">
        <f t="shared" si="170"/>
        <v>2</v>
      </c>
      <c r="AI677" s="1220">
        <v>8.1888139247894287E-2</v>
      </c>
      <c r="AJ677" s="1216"/>
    </row>
    <row r="678" spans="5:36">
      <c r="E678" s="299">
        <v>670</v>
      </c>
      <c r="F678" s="308">
        <f t="shared" ca="1" si="159"/>
        <v>3256.5326934436071</v>
      </c>
      <c r="G678" s="307">
        <f t="shared" ca="1" si="160"/>
        <v>242.96562414907896</v>
      </c>
      <c r="H678" s="306">
        <f t="shared" ca="1" si="161"/>
        <v>0.4038736163324923</v>
      </c>
      <c r="I678" s="305">
        <f t="shared" ca="1" si="163"/>
        <v>120.07269282778606</v>
      </c>
      <c r="J678" s="305">
        <f t="shared" ca="1" si="164"/>
        <v>53.087155876140805</v>
      </c>
      <c r="K678" s="292">
        <f t="shared" ca="1" si="162"/>
        <v>1.8830651564001961</v>
      </c>
      <c r="L678" s="1290">
        <f t="shared" ca="1" si="165"/>
        <v>29.994248969364531</v>
      </c>
      <c r="M678" s="299">
        <v>670</v>
      </c>
      <c r="N678" s="304">
        <f t="shared" si="166"/>
        <v>3660.4401334629038</v>
      </c>
      <c r="O678" s="303">
        <v>270.76734808804474</v>
      </c>
      <c r="P678" s="302">
        <v>0.43263750489090624</v>
      </c>
      <c r="Q678" s="301">
        <v>152.85284651923814</v>
      </c>
      <c r="R678" s="301">
        <v>51.57523570022969</v>
      </c>
      <c r="S678" s="300">
        <v>12.252424617827296</v>
      </c>
      <c r="T678" s="891">
        <f t="shared" si="167"/>
        <v>64</v>
      </c>
      <c r="U678" s="1220">
        <v>0.68035686016082764</v>
      </c>
      <c r="W678" s="299">
        <v>670</v>
      </c>
      <c r="X678" s="298">
        <f>IF('Donor Sample'!N695="",,IF('Donor Sample'!N695="F",1,0))</f>
        <v>0</v>
      </c>
      <c r="Y678" s="298" t="str">
        <f>IF('Donor Sample'!O695="","",'Donor Sample'!O695)</f>
        <v/>
      </c>
      <c r="Z678" s="298" t="str">
        <f>IF(AND('Donor Sample'!O695="",'Donor Sample'!P695="",'Donor Sample'!Q695=""),"",IF('Donor Sample'!P695="",ROUND(AA678/($C$32+($AI678-0.5)*$C$31),0),'Donor Sample'!P695))</f>
        <v/>
      </c>
      <c r="AA678" s="297" t="str">
        <f>IF('Donor Sample'!Q695="","",'Donor Sample'!Q695)</f>
        <v/>
      </c>
      <c r="AB678" s="296" t="str">
        <f t="shared" si="158"/>
        <v/>
      </c>
      <c r="AC678" s="295" t="str">
        <f>IF('Donor Sample'!R695="","",'Donor Sample'!R695)</f>
        <v/>
      </c>
      <c r="AD678" s="294" t="str">
        <f>IF('Donor Sample'!S695="","",'Donor Sample'!S695/100)</f>
        <v/>
      </c>
      <c r="AE678" s="407" t="e">
        <f t="shared" si="168"/>
        <v>#VALUE!</v>
      </c>
      <c r="AF678" s="293" t="str">
        <f t="shared" si="169"/>
        <v/>
      </c>
      <c r="AG678" s="292" t="str">
        <f>IF('Donor Sample'!T695="","",'Donor Sample'!T695)</f>
        <v/>
      </c>
      <c r="AH678" s="891">
        <f t="shared" si="170"/>
        <v>2</v>
      </c>
      <c r="AI678" s="1220">
        <v>0.16392362117767334</v>
      </c>
      <c r="AJ678" s="1216"/>
    </row>
    <row r="679" spans="5:36">
      <c r="E679" s="299">
        <v>671</v>
      </c>
      <c r="F679" s="308">
        <f t="shared" ca="1" si="159"/>
        <v>3253.2425281720671</v>
      </c>
      <c r="G679" s="307">
        <f t="shared" ca="1" si="160"/>
        <v>182.37054239479215</v>
      </c>
      <c r="H679" s="306">
        <f t="shared" ca="1" si="161"/>
        <v>0.42762642461175987</v>
      </c>
      <c r="I679" s="305">
        <f t="shared" ca="1" si="163"/>
        <v>136.13380756621427</v>
      </c>
      <c r="J679" s="305">
        <f t="shared" ca="1" si="164"/>
        <v>47.923107050741805</v>
      </c>
      <c r="K679" s="292">
        <f t="shared" ca="1" si="162"/>
        <v>1.5700869133607995</v>
      </c>
      <c r="L679" s="1290">
        <f t="shared" ca="1" si="165"/>
        <v>41.730031830668793</v>
      </c>
      <c r="M679" s="299">
        <v>671</v>
      </c>
      <c r="N679" s="304">
        <f t="shared" si="166"/>
        <v>3221.0319919076192</v>
      </c>
      <c r="O679" s="303">
        <v>278.49351278688306</v>
      </c>
      <c r="P679" s="302">
        <v>0.38080666718469702</v>
      </c>
      <c r="Q679" s="301">
        <v>105.51059224715119</v>
      </c>
      <c r="R679" s="301">
        <v>56.36490182166628</v>
      </c>
      <c r="S679" s="300">
        <v>5.5172984281567778</v>
      </c>
      <c r="T679" s="891">
        <f t="shared" si="167"/>
        <v>32</v>
      </c>
      <c r="U679" s="1220">
        <v>0.77372986078262329</v>
      </c>
      <c r="W679" s="299">
        <v>671</v>
      </c>
      <c r="X679" s="298">
        <f>IF('Donor Sample'!N696="",,IF('Donor Sample'!N696="F",1,0))</f>
        <v>0</v>
      </c>
      <c r="Y679" s="298" t="str">
        <f>IF('Donor Sample'!O696="","",'Donor Sample'!O696)</f>
        <v/>
      </c>
      <c r="Z679" s="298" t="str">
        <f>IF(AND('Donor Sample'!O696="",'Donor Sample'!P696="",'Donor Sample'!Q696=""),"",IF('Donor Sample'!P696="",ROUND(AA679/($C$32+($AI679-0.5)*$C$31),0),'Donor Sample'!P696))</f>
        <v/>
      </c>
      <c r="AA679" s="297" t="str">
        <f>IF('Donor Sample'!Q696="","",'Donor Sample'!Q696)</f>
        <v/>
      </c>
      <c r="AB679" s="296" t="str">
        <f t="shared" si="158"/>
        <v/>
      </c>
      <c r="AC679" s="295" t="str">
        <f>IF('Donor Sample'!R696="","",'Donor Sample'!R696)</f>
        <v/>
      </c>
      <c r="AD679" s="294" t="str">
        <f>IF('Donor Sample'!S696="","",'Donor Sample'!S696/100)</f>
        <v/>
      </c>
      <c r="AE679" s="293" t="e">
        <f t="shared" si="168"/>
        <v>#VALUE!</v>
      </c>
      <c r="AF679" s="293" t="str">
        <f t="shared" si="169"/>
        <v/>
      </c>
      <c r="AG679" s="292" t="str">
        <f>IF('Donor Sample'!T696="","",'Donor Sample'!T696)</f>
        <v/>
      </c>
      <c r="AH679" s="891">
        <f t="shared" si="170"/>
        <v>2</v>
      </c>
      <c r="AI679" s="1220">
        <v>0.15945535898208618</v>
      </c>
      <c r="AJ679" s="1216"/>
    </row>
    <row r="680" spans="5:36">
      <c r="E680" s="299">
        <v>672</v>
      </c>
      <c r="F680" s="308">
        <f t="shared" ca="1" si="159"/>
        <v>3488.3451041484941</v>
      </c>
      <c r="G680" s="307">
        <f t="shared" ca="1" si="160"/>
        <v>191.22406494670167</v>
      </c>
      <c r="H680" s="306">
        <f t="shared" ca="1" si="161"/>
        <v>0.45401514762021677</v>
      </c>
      <c r="I680" s="305">
        <f t="shared" ca="1" si="163"/>
        <v>116.84368198899439</v>
      </c>
      <c r="J680" s="305">
        <f t="shared" ca="1" si="164"/>
        <v>64.320284021799637</v>
      </c>
      <c r="K680" s="292">
        <f t="shared" ca="1" si="162"/>
        <v>2.924326585824343</v>
      </c>
      <c r="L680" s="1290">
        <f t="shared" ca="1" si="165"/>
        <v>19.883003375055868</v>
      </c>
      <c r="M680" s="299">
        <v>672</v>
      </c>
      <c r="N680" s="304">
        <f t="shared" si="166"/>
        <v>2942.4921716530121</v>
      </c>
      <c r="O680" s="303">
        <v>307.24009970595773</v>
      </c>
      <c r="P680" s="302">
        <v>0.38565645765836948</v>
      </c>
      <c r="Q680" s="301">
        <v>100.51431527116085</v>
      </c>
      <c r="R680" s="301">
        <v>59.863497528734662</v>
      </c>
      <c r="S680" s="300">
        <v>1.5393669164882877</v>
      </c>
      <c r="T680" s="891">
        <f t="shared" si="167"/>
        <v>2</v>
      </c>
      <c r="U680" s="1220">
        <v>5.1899433135986328E-2</v>
      </c>
      <c r="W680" s="299">
        <v>672</v>
      </c>
      <c r="X680" s="298">
        <f>IF('Donor Sample'!N697="",,IF('Donor Sample'!N697="F",1,0))</f>
        <v>0</v>
      </c>
      <c r="Y680" s="298" t="str">
        <f>IF('Donor Sample'!O697="","",'Donor Sample'!O697)</f>
        <v/>
      </c>
      <c r="Z680" s="298" t="str">
        <f>IF(AND('Donor Sample'!O697="",'Donor Sample'!P697="",'Donor Sample'!Q697=""),"",IF('Donor Sample'!P697="",ROUND(AA680/($C$32+($AI680-0.5)*$C$31),0),'Donor Sample'!P697))</f>
        <v/>
      </c>
      <c r="AA680" s="297" t="str">
        <f>IF('Donor Sample'!Q697="","",'Donor Sample'!Q697)</f>
        <v/>
      </c>
      <c r="AB680" s="296" t="str">
        <f t="shared" si="158"/>
        <v/>
      </c>
      <c r="AC680" s="295" t="str">
        <f>IF('Donor Sample'!R697="","",'Donor Sample'!R697)</f>
        <v/>
      </c>
      <c r="AD680" s="294" t="str">
        <f>IF('Donor Sample'!S697="","",'Donor Sample'!S697/100)</f>
        <v/>
      </c>
      <c r="AE680" s="293" t="e">
        <f t="shared" si="168"/>
        <v>#VALUE!</v>
      </c>
      <c r="AF680" s="293" t="str">
        <f t="shared" si="169"/>
        <v/>
      </c>
      <c r="AG680" s="292" t="str">
        <f>IF('Donor Sample'!T697="","",'Donor Sample'!T697)</f>
        <v/>
      </c>
      <c r="AH680" s="891">
        <f t="shared" si="170"/>
        <v>256</v>
      </c>
      <c r="AI680" s="1220">
        <v>0.88544559478759766</v>
      </c>
      <c r="AJ680" s="1216"/>
    </row>
    <row r="681" spans="5:36">
      <c r="E681" s="299">
        <v>673</v>
      </c>
      <c r="F681" s="308">
        <f t="shared" ca="1" si="159"/>
        <v>3281.3214554390561</v>
      </c>
      <c r="G681" s="307">
        <f t="shared" ca="1" si="160"/>
        <v>195.41669005686742</v>
      </c>
      <c r="H681" s="306">
        <f t="shared" ca="1" si="161"/>
        <v>0.41301029940629197</v>
      </c>
      <c r="I681" s="305">
        <f t="shared" ca="1" si="163"/>
        <v>104.97851572970342</v>
      </c>
      <c r="J681" s="305">
        <f t="shared" ca="1" si="164"/>
        <v>57.52845346543355</v>
      </c>
      <c r="K681" s="292">
        <f t="shared" ca="1" si="162"/>
        <v>2.5852101097031004</v>
      </c>
      <c r="L681" s="1290">
        <f t="shared" ca="1" si="165"/>
        <v>22.33097519153992</v>
      </c>
      <c r="M681" s="299">
        <v>673</v>
      </c>
      <c r="N681" s="304">
        <f t="shared" si="166"/>
        <v>3773.1723649826436</v>
      </c>
      <c r="O681" s="303">
        <v>240.31459990046756</v>
      </c>
      <c r="P681" s="302">
        <v>0.43965095880473187</v>
      </c>
      <c r="Q681" s="301">
        <v>140.54329608909447</v>
      </c>
      <c r="R681" s="301">
        <v>57.065794235787315</v>
      </c>
      <c r="S681" s="300">
        <v>10.509295768206991</v>
      </c>
      <c r="T681" s="891">
        <f t="shared" si="167"/>
        <v>2</v>
      </c>
      <c r="U681" s="1220">
        <v>0.23002499341964722</v>
      </c>
      <c r="W681" s="299">
        <v>673</v>
      </c>
      <c r="X681" s="298">
        <f>IF('Donor Sample'!N698="",,IF('Donor Sample'!N698="F",1,0))</f>
        <v>0</v>
      </c>
      <c r="Y681" s="298" t="str">
        <f>IF('Donor Sample'!O698="","",'Donor Sample'!O698)</f>
        <v/>
      </c>
      <c r="Z681" s="298" t="str">
        <f>IF(AND('Donor Sample'!O698="",'Donor Sample'!P698="",'Donor Sample'!Q698=""),"",IF('Donor Sample'!P698="",ROUND(AA681/($C$32+($AI681-0.5)*$C$31),0),'Donor Sample'!P698))</f>
        <v/>
      </c>
      <c r="AA681" s="297" t="str">
        <f>IF('Donor Sample'!Q698="","",'Donor Sample'!Q698)</f>
        <v/>
      </c>
      <c r="AB681" s="296" t="str">
        <f t="shared" si="158"/>
        <v/>
      </c>
      <c r="AC681" s="295" t="str">
        <f>IF('Donor Sample'!R698="","",'Donor Sample'!R698)</f>
        <v/>
      </c>
      <c r="AD681" s="294" t="str">
        <f>IF('Donor Sample'!S698="","",'Donor Sample'!S698/100)</f>
        <v/>
      </c>
      <c r="AE681" s="407" t="e">
        <f t="shared" si="168"/>
        <v>#VALUE!</v>
      </c>
      <c r="AF681" s="293" t="str">
        <f t="shared" si="169"/>
        <v/>
      </c>
      <c r="AG681" s="292" t="str">
        <f>IF('Donor Sample'!T698="","",'Donor Sample'!T698)</f>
        <v/>
      </c>
      <c r="AH681" s="891">
        <f t="shared" si="170"/>
        <v>2</v>
      </c>
      <c r="AI681" s="1220">
        <v>0.25721853971481323</v>
      </c>
      <c r="AJ681" s="1216"/>
    </row>
    <row r="682" spans="5:36">
      <c r="E682" s="299">
        <v>674</v>
      </c>
      <c r="F682" s="308">
        <f t="shared" ca="1" si="159"/>
        <v>3242.5585953777636</v>
      </c>
      <c r="G682" s="307">
        <f t="shared" ca="1" si="160"/>
        <v>272.50753768104664</v>
      </c>
      <c r="H682" s="306">
        <f t="shared" ca="1" si="161"/>
        <v>0.39740443970467348</v>
      </c>
      <c r="I682" s="305">
        <f t="shared" ca="1" si="163"/>
        <v>109.65871056687466</v>
      </c>
      <c r="J682" s="305">
        <f t="shared" ca="1" si="164"/>
        <v>55.675247622948099</v>
      </c>
      <c r="K682" s="292">
        <f t="shared" ca="1" si="162"/>
        <v>1.3366690504950149</v>
      </c>
      <c r="L682" s="1290">
        <f t="shared" ca="1" si="165"/>
        <v>24.905282910143345</v>
      </c>
      <c r="M682" s="299">
        <v>674</v>
      </c>
      <c r="N682" s="304">
        <f t="shared" si="166"/>
        <v>3572.5876166782555</v>
      </c>
      <c r="O682" s="303">
        <v>283.16658489933087</v>
      </c>
      <c r="P682" s="302">
        <v>0.42366920395796875</v>
      </c>
      <c r="Q682" s="301">
        <v>144.13099934772401</v>
      </c>
      <c r="R682" s="301">
        <v>52.385488408433652</v>
      </c>
      <c r="S682" s="300">
        <v>1.4471902329960618</v>
      </c>
      <c r="T682" s="891">
        <f t="shared" si="167"/>
        <v>64</v>
      </c>
      <c r="U682" s="1220">
        <v>0.59524548053741455</v>
      </c>
      <c r="W682" s="299">
        <v>674</v>
      </c>
      <c r="X682" s="298">
        <f>IF('Donor Sample'!N699="",,IF('Donor Sample'!N699="F",1,0))</f>
        <v>0</v>
      </c>
      <c r="Y682" s="298" t="str">
        <f>IF('Donor Sample'!O699="","",'Donor Sample'!O699)</f>
        <v/>
      </c>
      <c r="Z682" s="298" t="str">
        <f>IF(AND('Donor Sample'!O699="",'Donor Sample'!P699="",'Donor Sample'!Q699=""),"",IF('Donor Sample'!P699="",ROUND(AA682/($C$32+($AI682-0.5)*$C$31),0),'Donor Sample'!P699))</f>
        <v/>
      </c>
      <c r="AA682" s="297" t="str">
        <f>IF('Donor Sample'!Q699="","",'Donor Sample'!Q699)</f>
        <v/>
      </c>
      <c r="AB682" s="296" t="str">
        <f t="shared" si="158"/>
        <v/>
      </c>
      <c r="AC682" s="295" t="str">
        <f>IF('Donor Sample'!R699="","",'Donor Sample'!R699)</f>
        <v/>
      </c>
      <c r="AD682" s="294" t="str">
        <f>IF('Donor Sample'!S699="","",'Donor Sample'!S699/100)</f>
        <v/>
      </c>
      <c r="AE682" s="293" t="e">
        <f t="shared" si="168"/>
        <v>#VALUE!</v>
      </c>
      <c r="AF682" s="293" t="str">
        <f t="shared" si="169"/>
        <v/>
      </c>
      <c r="AG682" s="292" t="str">
        <f>IF('Donor Sample'!T699="","",'Donor Sample'!T699)</f>
        <v/>
      </c>
      <c r="AH682" s="891">
        <f t="shared" si="170"/>
        <v>64</v>
      </c>
      <c r="AI682" s="1220">
        <v>0.4301687479019165</v>
      </c>
      <c r="AJ682" s="1216"/>
    </row>
    <row r="683" spans="5:36">
      <c r="E683" s="299">
        <v>675</v>
      </c>
      <c r="F683" s="308">
        <f t="shared" ca="1" si="159"/>
        <v>2512.4582678743332</v>
      </c>
      <c r="G683" s="307">
        <f t="shared" ca="1" si="160"/>
        <v>209.60201028604814</v>
      </c>
      <c r="H683" s="306">
        <f t="shared" ca="1" si="161"/>
        <v>0.50745332850712221</v>
      </c>
      <c r="I683" s="305">
        <f t="shared" ca="1" si="163"/>
        <v>81.074439782584506</v>
      </c>
      <c r="J683" s="305">
        <f t="shared" ca="1" si="164"/>
        <v>49.400047658079416</v>
      </c>
      <c r="K683" s="292">
        <f t="shared" ca="1" si="162"/>
        <v>2.7688674238415656</v>
      </c>
      <c r="L683" s="1290">
        <f t="shared" ca="1" si="165"/>
        <v>23.388473618438567</v>
      </c>
      <c r="M683" s="299">
        <v>675</v>
      </c>
      <c r="N683" s="304">
        <f t="shared" si="166"/>
        <v>3177.9517488289703</v>
      </c>
      <c r="O683" s="303">
        <v>179.18468919545597</v>
      </c>
      <c r="P683" s="302">
        <v>0.46285151382810491</v>
      </c>
      <c r="Q683" s="301">
        <v>122.12116612161616</v>
      </c>
      <c r="R683" s="301">
        <v>50.860740073306346</v>
      </c>
      <c r="S683" s="300">
        <v>4.820978055132521</v>
      </c>
      <c r="T683" s="891">
        <f t="shared" si="167"/>
        <v>16</v>
      </c>
      <c r="U683" s="1220">
        <v>0.98829251527786255</v>
      </c>
      <c r="W683" s="299">
        <v>675</v>
      </c>
      <c r="X683" s="298">
        <f>IF('Donor Sample'!N700="",,IF('Donor Sample'!N700="F",1,0))</f>
        <v>0</v>
      </c>
      <c r="Y683" s="298" t="str">
        <f>IF('Donor Sample'!O700="","",'Donor Sample'!O700)</f>
        <v/>
      </c>
      <c r="Z683" s="298" t="str">
        <f>IF(AND('Donor Sample'!O700="",'Donor Sample'!P700="",'Donor Sample'!Q700=""),"",IF('Donor Sample'!P700="",ROUND(AA683/($C$32+($AI683-0.5)*$C$31),0),'Donor Sample'!P700))</f>
        <v/>
      </c>
      <c r="AA683" s="297" t="str">
        <f>IF('Donor Sample'!Q700="","",'Donor Sample'!Q700)</f>
        <v/>
      </c>
      <c r="AB683" s="296" t="str">
        <f t="shared" si="158"/>
        <v/>
      </c>
      <c r="AC683" s="295" t="str">
        <f>IF('Donor Sample'!R700="","",'Donor Sample'!R700)</f>
        <v/>
      </c>
      <c r="AD683" s="294" t="str">
        <f>IF('Donor Sample'!S700="","",'Donor Sample'!S700/100)</f>
        <v/>
      </c>
      <c r="AE683" s="293" t="e">
        <f t="shared" si="168"/>
        <v>#VALUE!</v>
      </c>
      <c r="AF683" s="293" t="str">
        <f t="shared" si="169"/>
        <v/>
      </c>
      <c r="AG683" s="292" t="str">
        <f>IF('Donor Sample'!T700="","",'Donor Sample'!T700)</f>
        <v/>
      </c>
      <c r="AH683" s="891">
        <f t="shared" si="170"/>
        <v>2</v>
      </c>
      <c r="AI683" s="1220">
        <v>0.23401099443435669</v>
      </c>
      <c r="AJ683" s="1216"/>
    </row>
    <row r="684" spans="5:36">
      <c r="E684" s="299">
        <v>676</v>
      </c>
      <c r="F684" s="308">
        <f t="shared" ca="1" si="159"/>
        <v>3501.9318531352287</v>
      </c>
      <c r="G684" s="307">
        <f t="shared" ca="1" si="160"/>
        <v>210.06752247336817</v>
      </c>
      <c r="H684" s="306">
        <f t="shared" ca="1" si="161"/>
        <v>0.44837203596523395</v>
      </c>
      <c r="I684" s="305">
        <f t="shared" ca="1" si="163"/>
        <v>144.44311558790446</v>
      </c>
      <c r="J684" s="305">
        <f t="shared" ca="1" si="164"/>
        <v>50.81954660172574</v>
      </c>
      <c r="K684" s="292">
        <f t="shared" ca="1" si="162"/>
        <v>17.91560693480325</v>
      </c>
      <c r="L684" s="1290">
        <f t="shared" ca="1" si="165"/>
        <v>39.373854712239293</v>
      </c>
      <c r="M684" s="299">
        <v>676</v>
      </c>
      <c r="N684" s="304">
        <f t="shared" si="166"/>
        <v>2871.492168835226</v>
      </c>
      <c r="O684" s="303">
        <v>202.54042530629678</v>
      </c>
      <c r="P684" s="302">
        <v>0.39474763825938758</v>
      </c>
      <c r="Q684" s="301">
        <v>110.81786032856688</v>
      </c>
      <c r="R684" s="301">
        <v>47.62827496481497</v>
      </c>
      <c r="S684" s="300">
        <v>1.5736422109660555</v>
      </c>
      <c r="T684" s="891">
        <f t="shared" si="167"/>
        <v>32</v>
      </c>
      <c r="U684" s="1220">
        <v>0.78052592277526855</v>
      </c>
      <c r="W684" s="299">
        <v>676</v>
      </c>
      <c r="X684" s="298">
        <f>IF('Donor Sample'!N701="",,IF('Donor Sample'!N701="F",1,0))</f>
        <v>0</v>
      </c>
      <c r="Y684" s="298" t="str">
        <f>IF('Donor Sample'!O701="","",'Donor Sample'!O701)</f>
        <v/>
      </c>
      <c r="Z684" s="298" t="str">
        <f>IF(AND('Donor Sample'!O701="",'Donor Sample'!P701="",'Donor Sample'!Q701=""),"",IF('Donor Sample'!P701="",ROUND(AA684/($C$32+($AI684-0.5)*$C$31),0),'Donor Sample'!P701))</f>
        <v/>
      </c>
      <c r="AA684" s="297" t="str">
        <f>IF('Donor Sample'!Q701="","",'Donor Sample'!Q701)</f>
        <v/>
      </c>
      <c r="AB684" s="296" t="str">
        <f t="shared" si="158"/>
        <v/>
      </c>
      <c r="AC684" s="295" t="str">
        <f>IF('Donor Sample'!R701="","",'Donor Sample'!R701)</f>
        <v/>
      </c>
      <c r="AD684" s="294" t="str">
        <f>IF('Donor Sample'!S701="","",'Donor Sample'!S701/100)</f>
        <v/>
      </c>
      <c r="AE684" s="407" t="e">
        <f t="shared" si="168"/>
        <v>#VALUE!</v>
      </c>
      <c r="AF684" s="293" t="str">
        <f t="shared" si="169"/>
        <v/>
      </c>
      <c r="AG684" s="292" t="str">
        <f>IF('Donor Sample'!T701="","",'Donor Sample'!T701)</f>
        <v/>
      </c>
      <c r="AH684" s="891">
        <f t="shared" si="170"/>
        <v>2</v>
      </c>
      <c r="AI684" s="1220">
        <v>0.29190564155578613</v>
      </c>
      <c r="AJ684" s="1216"/>
    </row>
    <row r="685" spans="5:36">
      <c r="E685" s="299">
        <v>677</v>
      </c>
      <c r="F685" s="308">
        <f t="shared" ca="1" si="159"/>
        <v>3073.6263565292206</v>
      </c>
      <c r="G685" s="307">
        <f t="shared" ca="1" si="160"/>
        <v>261.08299163363364</v>
      </c>
      <c r="H685" s="306">
        <f t="shared" ca="1" si="161"/>
        <v>0.46789136319179264</v>
      </c>
      <c r="I685" s="305">
        <f t="shared" ca="1" si="163"/>
        <v>124.33266301595162</v>
      </c>
      <c r="J685" s="305">
        <f t="shared" ca="1" si="164"/>
        <v>47.745746412805644</v>
      </c>
      <c r="K685" s="292">
        <f t="shared" ca="1" si="162"/>
        <v>1.2711240722649766</v>
      </c>
      <c r="L685" s="1290">
        <f t="shared" ca="1" si="165"/>
        <v>38.396224353390316</v>
      </c>
      <c r="M685" s="299">
        <v>677</v>
      </c>
      <c r="N685" s="304">
        <f t="shared" si="166"/>
        <v>2528.2600011390159</v>
      </c>
      <c r="O685" s="303">
        <v>209.87073050412707</v>
      </c>
      <c r="P685" s="302">
        <v>0.45034703067767645</v>
      </c>
      <c r="Q685" s="301">
        <v>89.575206543362242</v>
      </c>
      <c r="R685" s="301">
        <v>46.805380084585906</v>
      </c>
      <c r="S685" s="300">
        <v>2.9768695696919307</v>
      </c>
      <c r="T685" s="891">
        <f t="shared" si="167"/>
        <v>2</v>
      </c>
      <c r="U685" s="1220">
        <v>0.17720216512680054</v>
      </c>
      <c r="W685" s="299">
        <v>677</v>
      </c>
      <c r="X685" s="298">
        <f>IF('Donor Sample'!N702="",,IF('Donor Sample'!N702="F",1,0))</f>
        <v>0</v>
      </c>
      <c r="Y685" s="298" t="str">
        <f>IF('Donor Sample'!O702="","",'Donor Sample'!O702)</f>
        <v/>
      </c>
      <c r="Z685" s="298" t="str">
        <f>IF(AND('Donor Sample'!O702="",'Donor Sample'!P702="",'Donor Sample'!Q702=""),"",IF('Donor Sample'!P702="",ROUND(AA685/($C$32+($AI685-0.5)*$C$31),0),'Donor Sample'!P702))</f>
        <v/>
      </c>
      <c r="AA685" s="297" t="str">
        <f>IF('Donor Sample'!Q702="","",'Donor Sample'!Q702)</f>
        <v/>
      </c>
      <c r="AB685" s="296" t="str">
        <f t="shared" si="158"/>
        <v/>
      </c>
      <c r="AC685" s="295" t="str">
        <f>IF('Donor Sample'!R702="","",'Donor Sample'!R702)</f>
        <v/>
      </c>
      <c r="AD685" s="294" t="str">
        <f>IF('Donor Sample'!S702="","",'Donor Sample'!S702/100)</f>
        <v/>
      </c>
      <c r="AE685" s="293" t="e">
        <f t="shared" si="168"/>
        <v>#VALUE!</v>
      </c>
      <c r="AF685" s="293" t="str">
        <f t="shared" si="169"/>
        <v/>
      </c>
      <c r="AG685" s="292" t="str">
        <f>IF('Donor Sample'!T702="","",'Donor Sample'!T702)</f>
        <v/>
      </c>
      <c r="AH685" s="891">
        <f t="shared" si="170"/>
        <v>4</v>
      </c>
      <c r="AI685" s="1220">
        <v>0.3974575400352478</v>
      </c>
      <c r="AJ685" s="1216"/>
    </row>
    <row r="686" spans="5:36">
      <c r="E686" s="299">
        <v>678</v>
      </c>
      <c r="F686" s="308">
        <f t="shared" ca="1" si="159"/>
        <v>2968.4241444919844</v>
      </c>
      <c r="G686" s="307">
        <f t="shared" ca="1" si="160"/>
        <v>283.28250663142012</v>
      </c>
      <c r="H686" s="306">
        <f t="shared" ca="1" si="161"/>
        <v>0.38301630708912704</v>
      </c>
      <c r="I686" s="305">
        <f t="shared" ca="1" si="163"/>
        <v>95.073701133105104</v>
      </c>
      <c r="J686" s="305">
        <f t="shared" ca="1" si="164"/>
        <v>54.558435192320673</v>
      </c>
      <c r="K686" s="292">
        <f t="shared" ca="1" si="162"/>
        <v>2.9201571598138227</v>
      </c>
      <c r="L686" s="1290">
        <f t="shared" ca="1" si="165"/>
        <v>22.485846866167556</v>
      </c>
      <c r="M686" s="299">
        <v>678</v>
      </c>
      <c r="N686" s="304">
        <f t="shared" si="166"/>
        <v>3905.9543409461648</v>
      </c>
      <c r="O686" s="303">
        <v>274.40013530754806</v>
      </c>
      <c r="P686" s="302">
        <v>0.39541733657346323</v>
      </c>
      <c r="Q686" s="301">
        <v>122.12647057269788</v>
      </c>
      <c r="R686" s="301">
        <v>63.217524693084627</v>
      </c>
      <c r="S686" s="300">
        <v>3.229349351770308</v>
      </c>
      <c r="T686" s="891">
        <f t="shared" si="167"/>
        <v>64</v>
      </c>
      <c r="U686" s="1220">
        <v>0.60454404354095459</v>
      </c>
      <c r="W686" s="299">
        <v>678</v>
      </c>
      <c r="X686" s="298">
        <f>IF('Donor Sample'!N703="",,IF('Donor Sample'!N703="F",1,0))</f>
        <v>0</v>
      </c>
      <c r="Y686" s="298" t="str">
        <f>IF('Donor Sample'!O703="","",'Donor Sample'!O703)</f>
        <v/>
      </c>
      <c r="Z686" s="298" t="str">
        <f>IF(AND('Donor Sample'!O703="",'Donor Sample'!P703="",'Donor Sample'!Q703=""),"",IF('Donor Sample'!P703="",ROUND(AA686/($C$32+($AI686-0.5)*$C$31),0),'Donor Sample'!P703))</f>
        <v/>
      </c>
      <c r="AA686" s="297" t="str">
        <f>IF('Donor Sample'!Q703="","",'Donor Sample'!Q703)</f>
        <v/>
      </c>
      <c r="AB686" s="296" t="str">
        <f t="shared" si="158"/>
        <v/>
      </c>
      <c r="AC686" s="295" t="str">
        <f>IF('Donor Sample'!R703="","",'Donor Sample'!R703)</f>
        <v/>
      </c>
      <c r="AD686" s="294" t="str">
        <f>IF('Donor Sample'!S703="","",'Donor Sample'!S703/100)</f>
        <v/>
      </c>
      <c r="AE686" s="293" t="e">
        <f t="shared" si="168"/>
        <v>#VALUE!</v>
      </c>
      <c r="AF686" s="293" t="str">
        <f t="shared" si="169"/>
        <v/>
      </c>
      <c r="AG686" s="292" t="str">
        <f>IF('Donor Sample'!T703="","",'Donor Sample'!T703)</f>
        <v/>
      </c>
      <c r="AH686" s="891">
        <f t="shared" si="170"/>
        <v>2</v>
      </c>
      <c r="AI686" s="1220">
        <v>0.18059432506561279</v>
      </c>
      <c r="AJ686" s="1216"/>
    </row>
    <row r="687" spans="5:36">
      <c r="E687" s="299">
        <v>679</v>
      </c>
      <c r="F687" s="308">
        <f t="shared" ca="1" si="159"/>
        <v>3271.688224375423</v>
      </c>
      <c r="G687" s="307">
        <f t="shared" ca="1" si="160"/>
        <v>222.12199851206486</v>
      </c>
      <c r="H687" s="306">
        <f t="shared" ca="1" si="161"/>
        <v>0.35354724083327566</v>
      </c>
      <c r="I687" s="305">
        <f t="shared" ca="1" si="163"/>
        <v>122.60335217835059</v>
      </c>
      <c r="J687" s="305">
        <f t="shared" ca="1" si="164"/>
        <v>52.654920134500621</v>
      </c>
      <c r="K687" s="292">
        <f t="shared" ca="1" si="162"/>
        <v>14.473923393723009</v>
      </c>
      <c r="L687" s="1290">
        <f t="shared" ca="1" si="165"/>
        <v>31.131287847031821</v>
      </c>
      <c r="M687" s="299">
        <v>679</v>
      </c>
      <c r="N687" s="304">
        <f t="shared" si="166"/>
        <v>3944.6971908420473</v>
      </c>
      <c r="O687" s="303">
        <v>169.73707423935883</v>
      </c>
      <c r="P687" s="302">
        <v>0.42225613719081179</v>
      </c>
      <c r="Q687" s="301">
        <v>143.5652056903553</v>
      </c>
      <c r="R687" s="301">
        <v>59.157370832165363</v>
      </c>
      <c r="S687" s="300">
        <v>1.5296973416196964</v>
      </c>
      <c r="T687" s="891">
        <f t="shared" si="167"/>
        <v>64</v>
      </c>
      <c r="U687" s="1220">
        <v>0.65790659189224243</v>
      </c>
      <c r="W687" s="299">
        <v>679</v>
      </c>
      <c r="X687" s="298">
        <f>IF('Donor Sample'!N704="",,IF('Donor Sample'!N704="F",1,0))</f>
        <v>0</v>
      </c>
      <c r="Y687" s="298" t="str">
        <f>IF('Donor Sample'!O704="","",'Donor Sample'!O704)</f>
        <v/>
      </c>
      <c r="Z687" s="298" t="str">
        <f>IF(AND('Donor Sample'!O704="",'Donor Sample'!P704="",'Donor Sample'!Q704=""),"",IF('Donor Sample'!P704="",ROUND(AA687/($C$32+($AI687-0.5)*$C$31),0),'Donor Sample'!P704))</f>
        <v/>
      </c>
      <c r="AA687" s="297" t="str">
        <f>IF('Donor Sample'!Q704="","",'Donor Sample'!Q704)</f>
        <v/>
      </c>
      <c r="AB687" s="296" t="str">
        <f t="shared" si="158"/>
        <v/>
      </c>
      <c r="AC687" s="295" t="str">
        <f>IF('Donor Sample'!R704="","",'Donor Sample'!R704)</f>
        <v/>
      </c>
      <c r="AD687" s="294" t="str">
        <f>IF('Donor Sample'!S704="","",'Donor Sample'!S704/100)</f>
        <v/>
      </c>
      <c r="AE687" s="407" t="e">
        <f t="shared" si="168"/>
        <v>#VALUE!</v>
      </c>
      <c r="AF687" s="293" t="str">
        <f t="shared" si="169"/>
        <v/>
      </c>
      <c r="AG687" s="292" t="str">
        <f>IF('Donor Sample'!T704="","",'Donor Sample'!T704)</f>
        <v/>
      </c>
      <c r="AH687" s="891">
        <f t="shared" si="170"/>
        <v>64</v>
      </c>
      <c r="AI687" s="1220">
        <v>0.71930652856826782</v>
      </c>
      <c r="AJ687" s="1216"/>
    </row>
    <row r="688" spans="5:36">
      <c r="E688" s="299">
        <v>680</v>
      </c>
      <c r="F688" s="308">
        <f t="shared" ca="1" si="159"/>
        <v>2621.6032401910061</v>
      </c>
      <c r="G688" s="307">
        <f t="shared" ca="1" si="160"/>
        <v>244.3433448214831</v>
      </c>
      <c r="H688" s="306">
        <f t="shared" ca="1" si="161"/>
        <v>0.36157738465153527</v>
      </c>
      <c r="I688" s="305">
        <f t="shared" ca="1" si="163"/>
        <v>87.369722168409112</v>
      </c>
      <c r="J688" s="305">
        <f t="shared" ca="1" si="164"/>
        <v>57.822488772104549</v>
      </c>
      <c r="K688" s="292">
        <f t="shared" ca="1" si="162"/>
        <v>1.6787249763395811</v>
      </c>
      <c r="L688" s="1290">
        <f t="shared" ca="1" si="165"/>
        <v>18.39670536445151</v>
      </c>
      <c r="M688" s="299">
        <v>680</v>
      </c>
      <c r="N688" s="304">
        <f t="shared" si="166"/>
        <v>3035.7440217235139</v>
      </c>
      <c r="O688" s="303">
        <v>206.02403369805083</v>
      </c>
      <c r="P688" s="302">
        <v>0.44599472199382717</v>
      </c>
      <c r="Q688" s="301">
        <v>100.05903978858697</v>
      </c>
      <c r="R688" s="301">
        <v>61.41815750975281</v>
      </c>
      <c r="S688" s="300">
        <v>6.7377113615761122</v>
      </c>
      <c r="T688" s="891">
        <f t="shared" si="167"/>
        <v>256</v>
      </c>
      <c r="U688" s="1220">
        <v>0.92915439605712891</v>
      </c>
      <c r="W688" s="299">
        <v>680</v>
      </c>
      <c r="X688" s="298">
        <f>IF('Donor Sample'!N705="",,IF('Donor Sample'!N705="F",1,0))</f>
        <v>0</v>
      </c>
      <c r="Y688" s="298" t="str">
        <f>IF('Donor Sample'!O705="","",'Donor Sample'!O705)</f>
        <v/>
      </c>
      <c r="Z688" s="298" t="str">
        <f>IF(AND('Donor Sample'!O705="",'Donor Sample'!P705="",'Donor Sample'!Q705=""),"",IF('Donor Sample'!P705="",ROUND(AA688/($C$32+($AI688-0.5)*$C$31),0),'Donor Sample'!P705))</f>
        <v/>
      </c>
      <c r="AA688" s="297" t="str">
        <f>IF('Donor Sample'!Q705="","",'Donor Sample'!Q705)</f>
        <v/>
      </c>
      <c r="AB688" s="296" t="str">
        <f t="shared" si="158"/>
        <v/>
      </c>
      <c r="AC688" s="295" t="str">
        <f>IF('Donor Sample'!R705="","",'Donor Sample'!R705)</f>
        <v/>
      </c>
      <c r="AD688" s="294" t="str">
        <f>IF('Donor Sample'!S705="","",'Donor Sample'!S705/100)</f>
        <v/>
      </c>
      <c r="AE688" s="293" t="e">
        <f t="shared" si="168"/>
        <v>#VALUE!</v>
      </c>
      <c r="AF688" s="293" t="str">
        <f t="shared" si="169"/>
        <v/>
      </c>
      <c r="AG688" s="292" t="str">
        <f>IF('Donor Sample'!T705="","",'Donor Sample'!T705)</f>
        <v/>
      </c>
      <c r="AH688" s="891">
        <f t="shared" si="170"/>
        <v>256</v>
      </c>
      <c r="AI688" s="1220">
        <v>0.87630224227905273</v>
      </c>
      <c r="AJ688" s="1216"/>
    </row>
    <row r="689" spans="5:36">
      <c r="E689" s="299">
        <v>681</v>
      </c>
      <c r="F689" s="308">
        <f t="shared" ca="1" si="159"/>
        <v>2750.0760885430068</v>
      </c>
      <c r="G689" s="307">
        <f t="shared" ca="1" si="160"/>
        <v>189.37448925911826</v>
      </c>
      <c r="H689" s="306">
        <f t="shared" ca="1" si="161"/>
        <v>0.38736226489533537</v>
      </c>
      <c r="I689" s="305">
        <f t="shared" ca="1" si="163"/>
        <v>113.07940486980634</v>
      </c>
      <c r="J689" s="305">
        <f t="shared" ca="1" si="164"/>
        <v>53.044454298687079</v>
      </c>
      <c r="K689" s="292">
        <f t="shared" ca="1" si="162"/>
        <v>1.2950852617638831</v>
      </c>
      <c r="L689" s="1290">
        <f t="shared" ca="1" si="165"/>
        <v>28.292817712838943</v>
      </c>
      <c r="M689" s="299">
        <v>681</v>
      </c>
      <c r="N689" s="304">
        <f t="shared" si="166"/>
        <v>3160.3248669602704</v>
      </c>
      <c r="O689" s="303">
        <v>266.55195318911825</v>
      </c>
      <c r="P689" s="302">
        <v>0.43421108405821146</v>
      </c>
      <c r="Q689" s="301">
        <v>117.09145763092198</v>
      </c>
      <c r="R689" s="301">
        <v>59.368037869199384</v>
      </c>
      <c r="S689" s="300">
        <v>1.8747013893436186</v>
      </c>
      <c r="T689" s="891">
        <f t="shared" si="167"/>
        <v>64</v>
      </c>
      <c r="U689" s="1220">
        <v>0.50890463590621948</v>
      </c>
      <c r="W689" s="299">
        <v>681</v>
      </c>
      <c r="X689" s="298">
        <f>IF('Donor Sample'!N706="",,IF('Donor Sample'!N706="F",1,0))</f>
        <v>0</v>
      </c>
      <c r="Y689" s="298" t="str">
        <f>IF('Donor Sample'!O706="","",'Donor Sample'!O706)</f>
        <v/>
      </c>
      <c r="Z689" s="298" t="str">
        <f>IF(AND('Donor Sample'!O706="",'Donor Sample'!P706="",'Donor Sample'!Q706=""),"",IF('Donor Sample'!P706="",ROUND(AA689/($C$32+($AI689-0.5)*$C$31),0),'Donor Sample'!P706))</f>
        <v/>
      </c>
      <c r="AA689" s="297" t="str">
        <f>IF('Donor Sample'!Q706="","",'Donor Sample'!Q706)</f>
        <v/>
      </c>
      <c r="AB689" s="296" t="str">
        <f t="shared" si="158"/>
        <v/>
      </c>
      <c r="AC689" s="295" t="str">
        <f>IF('Donor Sample'!R706="","",'Donor Sample'!R706)</f>
        <v/>
      </c>
      <c r="AD689" s="294" t="str">
        <f>IF('Donor Sample'!S706="","",'Donor Sample'!S706/100)</f>
        <v/>
      </c>
      <c r="AE689" s="293" t="e">
        <f t="shared" si="168"/>
        <v>#VALUE!</v>
      </c>
      <c r="AF689" s="293" t="str">
        <f t="shared" si="169"/>
        <v/>
      </c>
      <c r="AG689" s="292" t="str">
        <f>IF('Donor Sample'!T706="","",'Donor Sample'!T706)</f>
        <v/>
      </c>
      <c r="AH689" s="891">
        <f t="shared" si="170"/>
        <v>32</v>
      </c>
      <c r="AI689" s="1220">
        <v>0.773418128490448</v>
      </c>
      <c r="AJ689" s="1216"/>
    </row>
    <row r="690" spans="5:36">
      <c r="E690" s="299">
        <v>682</v>
      </c>
      <c r="F690" s="308">
        <f t="shared" ca="1" si="159"/>
        <v>3691.7261177353485</v>
      </c>
      <c r="G690" s="307">
        <f t="shared" ca="1" si="160"/>
        <v>253.96495422463164</v>
      </c>
      <c r="H690" s="306">
        <f t="shared" ca="1" si="161"/>
        <v>0.39860696020921421</v>
      </c>
      <c r="I690" s="305">
        <f t="shared" ca="1" si="163"/>
        <v>143.70824953993687</v>
      </c>
      <c r="J690" s="305">
        <f t="shared" ca="1" si="164"/>
        <v>61.436990270525378</v>
      </c>
      <c r="K690" s="292">
        <f t="shared" ca="1" si="162"/>
        <v>16.653687831501614</v>
      </c>
      <c r="L690" s="1290">
        <f t="shared" ca="1" si="165"/>
        <v>26.803684337633019</v>
      </c>
      <c r="M690" s="299">
        <v>682</v>
      </c>
      <c r="N690" s="304">
        <f t="shared" si="166"/>
        <v>3380.2156397670515</v>
      </c>
      <c r="O690" s="303">
        <v>231.68177270787251</v>
      </c>
      <c r="P690" s="302">
        <v>0.43438751170797202</v>
      </c>
      <c r="Q690" s="301">
        <v>134.49985571383169</v>
      </c>
      <c r="R690" s="301">
        <v>58.692024630394592</v>
      </c>
      <c r="S690" s="300">
        <v>1.4201631081604635</v>
      </c>
      <c r="T690" s="891">
        <f t="shared" si="167"/>
        <v>64</v>
      </c>
      <c r="U690" s="1220">
        <v>0.52667295932769775</v>
      </c>
      <c r="W690" s="299">
        <v>682</v>
      </c>
      <c r="X690" s="298">
        <f>IF('Donor Sample'!N707="",,IF('Donor Sample'!N707="F",1,0))</f>
        <v>0</v>
      </c>
      <c r="Y690" s="298" t="str">
        <f>IF('Donor Sample'!O707="","",'Donor Sample'!O707)</f>
        <v/>
      </c>
      <c r="Z690" s="298" t="str">
        <f>IF(AND('Donor Sample'!O707="",'Donor Sample'!P707="",'Donor Sample'!Q707=""),"",IF('Donor Sample'!P707="",ROUND(AA690/($C$32+($AI690-0.5)*$C$31),0),'Donor Sample'!P707))</f>
        <v/>
      </c>
      <c r="AA690" s="297" t="str">
        <f>IF('Donor Sample'!Q707="","",'Donor Sample'!Q707)</f>
        <v/>
      </c>
      <c r="AB690" s="296" t="str">
        <f t="shared" si="158"/>
        <v/>
      </c>
      <c r="AC690" s="295" t="str">
        <f>IF('Donor Sample'!R707="","",'Donor Sample'!R707)</f>
        <v/>
      </c>
      <c r="AD690" s="294" t="str">
        <f>IF('Donor Sample'!S707="","",'Donor Sample'!S707/100)</f>
        <v/>
      </c>
      <c r="AE690" s="407" t="e">
        <f t="shared" si="168"/>
        <v>#VALUE!</v>
      </c>
      <c r="AF690" s="293" t="str">
        <f t="shared" si="169"/>
        <v/>
      </c>
      <c r="AG690" s="292" t="str">
        <f>IF('Donor Sample'!T707="","",'Donor Sample'!T707)</f>
        <v/>
      </c>
      <c r="AH690" s="891">
        <f t="shared" si="170"/>
        <v>256</v>
      </c>
      <c r="AI690" s="1220">
        <v>0.91526138782501221</v>
      </c>
      <c r="AJ690" s="1216"/>
    </row>
    <row r="691" spans="5:36">
      <c r="E691" s="299">
        <v>683</v>
      </c>
      <c r="F691" s="308">
        <f t="shared" ca="1" si="159"/>
        <v>4211.0510532209419</v>
      </c>
      <c r="G691" s="307">
        <f t="shared" ca="1" si="160"/>
        <v>201.83837325393961</v>
      </c>
      <c r="H691" s="306">
        <f t="shared" ca="1" si="161"/>
        <v>0.36235217438546941</v>
      </c>
      <c r="I691" s="305">
        <f t="shared" ca="1" si="163"/>
        <v>170.20467588961432</v>
      </c>
      <c r="J691" s="305">
        <f t="shared" ca="1" si="164"/>
        <v>57.147784131790957</v>
      </c>
      <c r="K691" s="292">
        <f t="shared" ca="1" si="162"/>
        <v>1.6174939514305773</v>
      </c>
      <c r="L691" s="1290">
        <f t="shared" ca="1" si="165"/>
        <v>36.689800890534372</v>
      </c>
      <c r="M691" s="299">
        <v>683</v>
      </c>
      <c r="N691" s="304">
        <f t="shared" si="166"/>
        <v>3123.5562785026882</v>
      </c>
      <c r="O691" s="303">
        <v>289.81726483492338</v>
      </c>
      <c r="P691" s="302">
        <v>0.37689789022935882</v>
      </c>
      <c r="Q691" s="301">
        <v>117.26834843191131</v>
      </c>
      <c r="R691" s="301">
        <v>51.211025701683546</v>
      </c>
      <c r="S691" s="300">
        <v>5.8042599842077225</v>
      </c>
      <c r="T691" s="891">
        <f t="shared" si="167"/>
        <v>4</v>
      </c>
      <c r="U691" s="1220">
        <v>0.38981086015701294</v>
      </c>
      <c r="W691" s="299">
        <v>683</v>
      </c>
      <c r="X691" s="298">
        <f>IF('Donor Sample'!N708="",,IF('Donor Sample'!N708="F",1,0))</f>
        <v>0</v>
      </c>
      <c r="Y691" s="298" t="str">
        <f>IF('Donor Sample'!O708="","",'Donor Sample'!O708)</f>
        <v/>
      </c>
      <c r="Z691" s="298" t="str">
        <f>IF(AND('Donor Sample'!O708="",'Donor Sample'!P708="",'Donor Sample'!Q708=""),"",IF('Donor Sample'!P708="",ROUND(AA691/($C$32+($AI691-0.5)*$C$31),0),'Donor Sample'!P708))</f>
        <v/>
      </c>
      <c r="AA691" s="297" t="str">
        <f>IF('Donor Sample'!Q708="","",'Donor Sample'!Q708)</f>
        <v/>
      </c>
      <c r="AB691" s="296" t="str">
        <f t="shared" si="158"/>
        <v/>
      </c>
      <c r="AC691" s="295" t="str">
        <f>IF('Donor Sample'!R708="","",'Donor Sample'!R708)</f>
        <v/>
      </c>
      <c r="AD691" s="294" t="str">
        <f>IF('Donor Sample'!S708="","",'Donor Sample'!S708/100)</f>
        <v/>
      </c>
      <c r="AE691" s="293" t="e">
        <f t="shared" si="168"/>
        <v>#VALUE!</v>
      </c>
      <c r="AF691" s="293" t="str">
        <f t="shared" si="169"/>
        <v/>
      </c>
      <c r="AG691" s="292" t="str">
        <f>IF('Donor Sample'!T708="","",'Donor Sample'!T708)</f>
        <v/>
      </c>
      <c r="AH691" s="891">
        <f t="shared" si="170"/>
        <v>2</v>
      </c>
      <c r="AI691" s="1220">
        <v>0.17765885591506958</v>
      </c>
      <c r="AJ691" s="1216"/>
    </row>
    <row r="692" spans="5:36">
      <c r="E692" s="299">
        <v>684</v>
      </c>
      <c r="F692" s="308">
        <f t="shared" ca="1" si="159"/>
        <v>3021.8245415944402</v>
      </c>
      <c r="G692" s="307">
        <f t="shared" ca="1" si="160"/>
        <v>278.63949754446617</v>
      </c>
      <c r="H692" s="306">
        <f t="shared" ca="1" si="161"/>
        <v>0.53790870347350395</v>
      </c>
      <c r="I692" s="305">
        <f t="shared" ca="1" si="163"/>
        <v>94.31031806068539</v>
      </c>
      <c r="J692" s="305">
        <f t="shared" ca="1" si="164"/>
        <v>55.73514862218893</v>
      </c>
      <c r="K692" s="292">
        <f t="shared" ca="1" si="162"/>
        <v>2.0459588243904601</v>
      </c>
      <c r="L692" s="1290">
        <f t="shared" ca="1" si="165"/>
        <v>21.373396455044379</v>
      </c>
      <c r="M692" s="299">
        <v>684</v>
      </c>
      <c r="N692" s="304">
        <f t="shared" si="166"/>
        <v>2541.8037121688558</v>
      </c>
      <c r="O692" s="303">
        <v>250.14662479046942</v>
      </c>
      <c r="P692" s="302">
        <v>0.42347518205283918</v>
      </c>
      <c r="Q692" s="301">
        <v>105.5979450017378</v>
      </c>
      <c r="R692" s="301">
        <v>40.388000228168742</v>
      </c>
      <c r="S692" s="300">
        <v>1.3410863987754127</v>
      </c>
      <c r="T692" s="891">
        <f t="shared" si="167"/>
        <v>64</v>
      </c>
      <c r="U692" s="1220">
        <v>0.48856854438781738</v>
      </c>
      <c r="W692" s="299">
        <v>684</v>
      </c>
      <c r="X692" s="298">
        <f>IF('Donor Sample'!N709="",,IF('Donor Sample'!N709="F",1,0))</f>
        <v>0</v>
      </c>
      <c r="Y692" s="298" t="str">
        <f>IF('Donor Sample'!O709="","",'Donor Sample'!O709)</f>
        <v/>
      </c>
      <c r="Z692" s="298" t="str">
        <f>IF(AND('Donor Sample'!O709="",'Donor Sample'!P709="",'Donor Sample'!Q709=""),"",IF('Donor Sample'!P709="",ROUND(AA692/($C$32+($AI692-0.5)*$C$31),0),'Donor Sample'!P709))</f>
        <v/>
      </c>
      <c r="AA692" s="297" t="str">
        <f>IF('Donor Sample'!Q709="","",'Donor Sample'!Q709)</f>
        <v/>
      </c>
      <c r="AB692" s="296" t="str">
        <f t="shared" si="158"/>
        <v/>
      </c>
      <c r="AC692" s="295" t="str">
        <f>IF('Donor Sample'!R709="","",'Donor Sample'!R709)</f>
        <v/>
      </c>
      <c r="AD692" s="294" t="str">
        <f>IF('Donor Sample'!S709="","",'Donor Sample'!S709/100)</f>
        <v/>
      </c>
      <c r="AE692" s="293" t="e">
        <f t="shared" si="168"/>
        <v>#VALUE!</v>
      </c>
      <c r="AF692" s="293" t="str">
        <f t="shared" si="169"/>
        <v/>
      </c>
      <c r="AG692" s="292" t="str">
        <f>IF('Donor Sample'!T709="","",'Donor Sample'!T709)</f>
        <v/>
      </c>
      <c r="AH692" s="891">
        <f t="shared" si="170"/>
        <v>64</v>
      </c>
      <c r="AI692" s="1220">
        <v>0.76418471336364746</v>
      </c>
      <c r="AJ692" s="1216"/>
    </row>
    <row r="693" spans="5:36">
      <c r="E693" s="299">
        <v>685</v>
      </c>
      <c r="F693" s="308">
        <f t="shared" ca="1" si="159"/>
        <v>4159.425261534373</v>
      </c>
      <c r="G693" s="307">
        <f t="shared" ca="1" si="160"/>
        <v>209.32080546634194</v>
      </c>
      <c r="H693" s="306">
        <f t="shared" ca="1" si="161"/>
        <v>0.4477645561862692</v>
      </c>
      <c r="I693" s="305">
        <f t="shared" ca="1" si="163"/>
        <v>143.58400022682878</v>
      </c>
      <c r="J693" s="305">
        <f t="shared" ca="1" si="164"/>
        <v>62.37663109897489</v>
      </c>
      <c r="K693" s="292">
        <f t="shared" ca="1" si="162"/>
        <v>8.2895682161538442</v>
      </c>
      <c r="L693" s="1290">
        <f t="shared" ca="1" si="165"/>
        <v>25.979744593502687</v>
      </c>
      <c r="M693" s="299">
        <v>685</v>
      </c>
      <c r="N693" s="304">
        <f t="shared" si="166"/>
        <v>3355.3225126929192</v>
      </c>
      <c r="O693" s="303">
        <v>247.31452094697912</v>
      </c>
      <c r="P693" s="302">
        <v>0.4525279559385732</v>
      </c>
      <c r="Q693" s="301">
        <v>103.62664078315572</v>
      </c>
      <c r="R693" s="301">
        <v>59.057840971407749</v>
      </c>
      <c r="S693" s="300">
        <v>2.1579996006317392</v>
      </c>
      <c r="T693" s="891">
        <f t="shared" si="167"/>
        <v>32</v>
      </c>
      <c r="U693" s="1220">
        <v>0.81528133153915405</v>
      </c>
      <c r="W693" s="299">
        <v>685</v>
      </c>
      <c r="X693" s="298">
        <f>IF('Donor Sample'!N710="",,IF('Donor Sample'!N710="F",1,0))</f>
        <v>0</v>
      </c>
      <c r="Y693" s="298" t="str">
        <f>IF('Donor Sample'!O710="","",'Donor Sample'!O710)</f>
        <v/>
      </c>
      <c r="Z693" s="298" t="str">
        <f>IF(AND('Donor Sample'!O710="",'Donor Sample'!P710="",'Donor Sample'!Q710=""),"",IF('Donor Sample'!P710="",ROUND(AA693/($C$32+($AI693-0.5)*$C$31),0),'Donor Sample'!P710))</f>
        <v/>
      </c>
      <c r="AA693" s="297" t="str">
        <f>IF('Donor Sample'!Q710="","",'Donor Sample'!Q710)</f>
        <v/>
      </c>
      <c r="AB693" s="296" t="str">
        <f t="shared" si="158"/>
        <v/>
      </c>
      <c r="AC693" s="295" t="str">
        <f>IF('Donor Sample'!R710="","",'Donor Sample'!R710)</f>
        <v/>
      </c>
      <c r="AD693" s="294" t="str">
        <f>IF('Donor Sample'!S710="","",'Donor Sample'!S710/100)</f>
        <v/>
      </c>
      <c r="AE693" s="407" t="e">
        <f t="shared" si="168"/>
        <v>#VALUE!</v>
      </c>
      <c r="AF693" s="293" t="str">
        <f t="shared" si="169"/>
        <v/>
      </c>
      <c r="AG693" s="292" t="str">
        <f>IF('Donor Sample'!T710="","",'Donor Sample'!T710)</f>
        <v/>
      </c>
      <c r="AH693" s="891">
        <f t="shared" si="170"/>
        <v>64</v>
      </c>
      <c r="AI693" s="1220">
        <v>0.57095235586166382</v>
      </c>
      <c r="AJ693" s="1216"/>
    </row>
    <row r="694" spans="5:36">
      <c r="E694" s="299">
        <v>686</v>
      </c>
      <c r="F694" s="308">
        <f t="shared" ca="1" si="159"/>
        <v>3549.8621168738318</v>
      </c>
      <c r="G694" s="307">
        <f t="shared" ca="1" si="160"/>
        <v>256.81938893769905</v>
      </c>
      <c r="H694" s="306">
        <f t="shared" ca="1" si="161"/>
        <v>0.44681498851544149</v>
      </c>
      <c r="I694" s="305">
        <f t="shared" ca="1" si="163"/>
        <v>120.78106122056641</v>
      </c>
      <c r="J694" s="305">
        <f t="shared" ca="1" si="164"/>
        <v>58.155258914333679</v>
      </c>
      <c r="K694" s="292">
        <f t="shared" ca="1" si="162"/>
        <v>1.4208253524386296</v>
      </c>
      <c r="L694" s="1290">
        <f t="shared" ca="1" si="165"/>
        <v>25.141634766151423</v>
      </c>
      <c r="M694" s="299">
        <v>686</v>
      </c>
      <c r="N694" s="304">
        <f t="shared" si="166"/>
        <v>3562.2269662348272</v>
      </c>
      <c r="O694" s="303">
        <v>238.97376781904754</v>
      </c>
      <c r="P694" s="302">
        <v>0.38590396048640491</v>
      </c>
      <c r="Q694" s="301">
        <v>126.43983383547143</v>
      </c>
      <c r="R694" s="301">
        <v>56.979942694972848</v>
      </c>
      <c r="S694" s="300">
        <v>6.3456563856376818</v>
      </c>
      <c r="T694" s="891">
        <f t="shared" si="167"/>
        <v>256</v>
      </c>
      <c r="U694" s="1220">
        <v>0.90368545055389404</v>
      </c>
      <c r="W694" s="299">
        <v>686</v>
      </c>
      <c r="X694" s="298">
        <f>IF('Donor Sample'!N711="",,IF('Donor Sample'!N711="F",1,0))</f>
        <v>0</v>
      </c>
      <c r="Y694" s="298" t="str">
        <f>IF('Donor Sample'!O711="","",'Donor Sample'!O711)</f>
        <v/>
      </c>
      <c r="Z694" s="298" t="str">
        <f>IF(AND('Donor Sample'!O711="",'Donor Sample'!P711="",'Donor Sample'!Q711=""),"",IF('Donor Sample'!P711="",ROUND(AA694/($C$32+($AI694-0.5)*$C$31),0),'Donor Sample'!P711))</f>
        <v/>
      </c>
      <c r="AA694" s="297" t="str">
        <f>IF('Donor Sample'!Q711="","",'Donor Sample'!Q711)</f>
        <v/>
      </c>
      <c r="AB694" s="296" t="str">
        <f t="shared" ref="AB694:AB757" si="171">IF(AND(Y694="",Z694="",AA694=""),"",IF(AA694="",IF(X694=0,604+IF($AB$2=1,0.006012,0.0003669)*Y694^3+IF($AB$2=1,14.6,32.187)*Z694,183+IF($AB$2=1,0.005835,0.0003561)*Y694^3+IF($AB$2=1,15,33.069)*Z694),AA694))</f>
        <v/>
      </c>
      <c r="AC694" s="295" t="str">
        <f>IF('Donor Sample'!R711="","",'Donor Sample'!R711)</f>
        <v/>
      </c>
      <c r="AD694" s="294" t="str">
        <f>IF('Donor Sample'!S711="","",'Donor Sample'!S711/100)</f>
        <v/>
      </c>
      <c r="AE694" s="293" t="e">
        <f t="shared" si="168"/>
        <v>#VALUE!</v>
      </c>
      <c r="AF694" s="293" t="str">
        <f t="shared" si="169"/>
        <v/>
      </c>
      <c r="AG694" s="292" t="str">
        <f>IF('Donor Sample'!T711="","",'Donor Sample'!T711)</f>
        <v/>
      </c>
      <c r="AH694" s="891">
        <f t="shared" si="170"/>
        <v>4</v>
      </c>
      <c r="AI694" s="1220">
        <v>0.38911378383636475</v>
      </c>
      <c r="AJ694" s="1216"/>
    </row>
    <row r="695" spans="5:36">
      <c r="E695" s="299">
        <v>687</v>
      </c>
      <c r="F695" s="308">
        <f t="shared" ca="1" si="159"/>
        <v>3819.1491966010085</v>
      </c>
      <c r="G695" s="307">
        <f t="shared" ca="1" si="160"/>
        <v>255.36441605683018</v>
      </c>
      <c r="H695" s="306">
        <f t="shared" ca="1" si="161"/>
        <v>0.40091995933706664</v>
      </c>
      <c r="I695" s="305">
        <f t="shared" ca="1" si="163"/>
        <v>156.03356359811917</v>
      </c>
      <c r="J695" s="305">
        <f t="shared" ca="1" si="164"/>
        <v>53.816569940480861</v>
      </c>
      <c r="K695" s="292">
        <f t="shared" ca="1" si="162"/>
        <v>2.2159397566375545</v>
      </c>
      <c r="L695" s="1290">
        <f t="shared" ca="1" si="165"/>
        <v>37.927887866880546</v>
      </c>
      <c r="M695" s="299">
        <v>687</v>
      </c>
      <c r="N695" s="304">
        <f t="shared" si="166"/>
        <v>2924.5197701102952</v>
      </c>
      <c r="O695" s="303">
        <v>189.96077364956454</v>
      </c>
      <c r="P695" s="302">
        <v>0.47411391935765151</v>
      </c>
      <c r="Q695" s="301">
        <v>95.037159477455063</v>
      </c>
      <c r="R695" s="301">
        <v>53.738312689317169</v>
      </c>
      <c r="S695" s="300">
        <v>1.8548676511943873</v>
      </c>
      <c r="T695" s="891">
        <f t="shared" si="167"/>
        <v>64</v>
      </c>
      <c r="U695" s="1220">
        <v>0.62034565210342407</v>
      </c>
      <c r="W695" s="299">
        <v>687</v>
      </c>
      <c r="X695" s="298">
        <f>IF('Donor Sample'!N712="",,IF('Donor Sample'!N712="F",1,0))</f>
        <v>0</v>
      </c>
      <c r="Y695" s="298" t="str">
        <f>IF('Donor Sample'!O712="","",'Donor Sample'!O712)</f>
        <v/>
      </c>
      <c r="Z695" s="298" t="str">
        <f>IF(AND('Donor Sample'!O712="",'Donor Sample'!P712="",'Donor Sample'!Q712=""),"",IF('Donor Sample'!P712="",ROUND(AA695/($C$32+($AI695-0.5)*$C$31),0),'Donor Sample'!P712))</f>
        <v/>
      </c>
      <c r="AA695" s="297" t="str">
        <f>IF('Donor Sample'!Q712="","",'Donor Sample'!Q712)</f>
        <v/>
      </c>
      <c r="AB695" s="296" t="str">
        <f t="shared" si="171"/>
        <v/>
      </c>
      <c r="AC695" s="295" t="str">
        <f>IF('Donor Sample'!R712="","",'Donor Sample'!R712)</f>
        <v/>
      </c>
      <c r="AD695" s="294" t="str">
        <f>IF('Donor Sample'!S712="","",'Donor Sample'!S712/100)</f>
        <v/>
      </c>
      <c r="AE695" s="293" t="e">
        <f t="shared" si="168"/>
        <v>#VALUE!</v>
      </c>
      <c r="AF695" s="293" t="str">
        <f t="shared" si="169"/>
        <v/>
      </c>
      <c r="AG695" s="292" t="str">
        <f>IF('Donor Sample'!T712="","",'Donor Sample'!T712)</f>
        <v/>
      </c>
      <c r="AH695" s="891">
        <f t="shared" si="170"/>
        <v>4</v>
      </c>
      <c r="AI695" s="1220">
        <v>0.40673643350601196</v>
      </c>
      <c r="AJ695" s="1216"/>
    </row>
    <row r="696" spans="5:36">
      <c r="E696" s="299">
        <v>688</v>
      </c>
      <c r="F696" s="308">
        <f t="shared" ca="1" si="159"/>
        <v>2909.9762959852919</v>
      </c>
      <c r="G696" s="307">
        <f t="shared" ca="1" si="160"/>
        <v>220.28589607676241</v>
      </c>
      <c r="H696" s="306">
        <f t="shared" ca="1" si="161"/>
        <v>0.40600514410680311</v>
      </c>
      <c r="I696" s="305">
        <f t="shared" ca="1" si="163"/>
        <v>106.12465831775228</v>
      </c>
      <c r="J696" s="305">
        <f t="shared" ca="1" si="164"/>
        <v>50.111887042631501</v>
      </c>
      <c r="K696" s="292">
        <f t="shared" ca="1" si="162"/>
        <v>1.2887047650040537</v>
      </c>
      <c r="L696" s="1290">
        <f t="shared" ca="1" si="165"/>
        <v>29.75140294302383</v>
      </c>
      <c r="M696" s="299">
        <v>688</v>
      </c>
      <c r="N696" s="304">
        <f t="shared" si="166"/>
        <v>3603.7074627289267</v>
      </c>
      <c r="O696" s="303">
        <v>216.58769933197127</v>
      </c>
      <c r="P696" s="302">
        <v>0.39166283604945756</v>
      </c>
      <c r="Q696" s="301">
        <v>145.46110985834943</v>
      </c>
      <c r="R696" s="301">
        <v>52.620821359183793</v>
      </c>
      <c r="S696" s="300">
        <v>2.1450009833984374</v>
      </c>
      <c r="T696" s="891">
        <f t="shared" si="167"/>
        <v>16</v>
      </c>
      <c r="U696" s="1220">
        <v>0.96224737167358398</v>
      </c>
      <c r="W696" s="299">
        <v>688</v>
      </c>
      <c r="X696" s="298">
        <f>IF('Donor Sample'!N713="",,IF('Donor Sample'!N713="F",1,0))</f>
        <v>0</v>
      </c>
      <c r="Y696" s="298" t="str">
        <f>IF('Donor Sample'!O713="","",'Donor Sample'!O713)</f>
        <v/>
      </c>
      <c r="Z696" s="298" t="str">
        <f>IF(AND('Donor Sample'!O713="",'Donor Sample'!P713="",'Donor Sample'!Q713=""),"",IF('Donor Sample'!P713="",ROUND(AA696/($C$32+($AI696-0.5)*$C$31),0),'Donor Sample'!P713))</f>
        <v/>
      </c>
      <c r="AA696" s="297" t="str">
        <f>IF('Donor Sample'!Q713="","",'Donor Sample'!Q713)</f>
        <v/>
      </c>
      <c r="AB696" s="296" t="str">
        <f t="shared" si="171"/>
        <v/>
      </c>
      <c r="AC696" s="295" t="str">
        <f>IF('Donor Sample'!R713="","",'Donor Sample'!R713)</f>
        <v/>
      </c>
      <c r="AD696" s="294" t="str">
        <f>IF('Donor Sample'!S713="","",'Donor Sample'!S713/100)</f>
        <v/>
      </c>
      <c r="AE696" s="407" t="e">
        <f t="shared" si="168"/>
        <v>#VALUE!</v>
      </c>
      <c r="AF696" s="293" t="str">
        <f t="shared" si="169"/>
        <v/>
      </c>
      <c r="AG696" s="292" t="str">
        <f>IF('Donor Sample'!T713="","",'Donor Sample'!T713)</f>
        <v/>
      </c>
      <c r="AH696" s="891">
        <f t="shared" si="170"/>
        <v>4</v>
      </c>
      <c r="AI696" s="1220">
        <v>0.37504768371582031</v>
      </c>
      <c r="AJ696" s="1216"/>
    </row>
    <row r="697" spans="5:36">
      <c r="E697" s="299">
        <v>689</v>
      </c>
      <c r="F697" s="308">
        <f t="shared" ca="1" si="159"/>
        <v>3143.7646145098724</v>
      </c>
      <c r="G697" s="307">
        <f t="shared" ca="1" si="160"/>
        <v>261.87447955172888</v>
      </c>
      <c r="H697" s="306">
        <f t="shared" ca="1" si="161"/>
        <v>0.38513246165444243</v>
      </c>
      <c r="I697" s="305">
        <f t="shared" ca="1" si="163"/>
        <v>98.27126496167817</v>
      </c>
      <c r="J697" s="305">
        <f t="shared" ca="1" si="164"/>
        <v>56.856699457454404</v>
      </c>
      <c r="K697" s="292">
        <f t="shared" ca="1" si="162"/>
        <v>3.9019720655582115</v>
      </c>
      <c r="L697" s="1290">
        <f t="shared" ca="1" si="165"/>
        <v>21.401091070560568</v>
      </c>
      <c r="M697" s="299">
        <v>689</v>
      </c>
      <c r="N697" s="304">
        <f t="shared" si="166"/>
        <v>2899.7566248017793</v>
      </c>
      <c r="O697" s="303">
        <v>243.75753069253201</v>
      </c>
      <c r="P697" s="302">
        <v>0.50178835239262765</v>
      </c>
      <c r="Q697" s="301">
        <v>117.0963662253109</v>
      </c>
      <c r="R697" s="301">
        <v>46.025288512521421</v>
      </c>
      <c r="S697" s="300">
        <v>2.2186034353030224</v>
      </c>
      <c r="T697" s="891">
        <f t="shared" si="167"/>
        <v>2</v>
      </c>
      <c r="U697" s="1220">
        <v>0.14839524030685425</v>
      </c>
      <c r="W697" s="299">
        <v>689</v>
      </c>
      <c r="X697" s="298">
        <f>IF('Donor Sample'!N714="",,IF('Donor Sample'!N714="F",1,0))</f>
        <v>0</v>
      </c>
      <c r="Y697" s="298" t="str">
        <f>IF('Donor Sample'!O714="","",'Donor Sample'!O714)</f>
        <v/>
      </c>
      <c r="Z697" s="298" t="str">
        <f>IF(AND('Donor Sample'!O714="",'Donor Sample'!P714="",'Donor Sample'!Q714=""),"",IF('Donor Sample'!P714="",ROUND(AA697/($C$32+($AI697-0.5)*$C$31),0),'Donor Sample'!P714))</f>
        <v/>
      </c>
      <c r="AA697" s="297" t="str">
        <f>IF('Donor Sample'!Q714="","",'Donor Sample'!Q714)</f>
        <v/>
      </c>
      <c r="AB697" s="296" t="str">
        <f t="shared" si="171"/>
        <v/>
      </c>
      <c r="AC697" s="295" t="str">
        <f>IF('Donor Sample'!R714="","",'Donor Sample'!R714)</f>
        <v/>
      </c>
      <c r="AD697" s="294" t="str">
        <f>IF('Donor Sample'!S714="","",'Donor Sample'!S714/100)</f>
        <v/>
      </c>
      <c r="AE697" s="293" t="e">
        <f t="shared" si="168"/>
        <v>#VALUE!</v>
      </c>
      <c r="AF697" s="293" t="str">
        <f t="shared" si="169"/>
        <v/>
      </c>
      <c r="AG697" s="292" t="str">
        <f>IF('Donor Sample'!T714="","",'Donor Sample'!T714)</f>
        <v/>
      </c>
      <c r="AH697" s="891">
        <f t="shared" si="170"/>
        <v>2</v>
      </c>
      <c r="AI697" s="1220">
        <v>9.4076335430145264E-2</v>
      </c>
      <c r="AJ697" s="1216"/>
    </row>
    <row r="698" spans="5:36">
      <c r="E698" s="299">
        <v>690</v>
      </c>
      <c r="F698" s="308">
        <f t="shared" ca="1" si="159"/>
        <v>2810.6953443381649</v>
      </c>
      <c r="G698" s="307">
        <f t="shared" ca="1" si="160"/>
        <v>255.39303518944479</v>
      </c>
      <c r="H698" s="306">
        <f t="shared" ca="1" si="161"/>
        <v>0.41446583840803924</v>
      </c>
      <c r="I698" s="305">
        <f t="shared" ca="1" si="163"/>
        <v>97.439984621648691</v>
      </c>
      <c r="J698" s="305">
        <f t="shared" ca="1" si="164"/>
        <v>50.71217585504651</v>
      </c>
      <c r="K698" s="292">
        <f t="shared" ca="1" si="162"/>
        <v>1.6560345212380578</v>
      </c>
      <c r="L698" s="1290">
        <f t="shared" ca="1" si="165"/>
        <v>26.673829839167322</v>
      </c>
      <c r="M698" s="299">
        <v>690</v>
      </c>
      <c r="N698" s="304">
        <f t="shared" si="166"/>
        <v>3572.8729475704463</v>
      </c>
      <c r="O698" s="303">
        <v>245.53142446104249</v>
      </c>
      <c r="P698" s="302">
        <v>0.44633058576589918</v>
      </c>
      <c r="Q698" s="301">
        <v>116.09281472568732</v>
      </c>
      <c r="R698" s="301">
        <v>59.617553572702413</v>
      </c>
      <c r="S698" s="300">
        <v>18.934746635622645</v>
      </c>
      <c r="T698" s="891">
        <f t="shared" si="167"/>
        <v>256</v>
      </c>
      <c r="U698" s="1220">
        <v>0.89189255237579346</v>
      </c>
      <c r="W698" s="299">
        <v>690</v>
      </c>
      <c r="X698" s="298">
        <f>IF('Donor Sample'!N715="",,IF('Donor Sample'!N715="F",1,0))</f>
        <v>0</v>
      </c>
      <c r="Y698" s="298" t="str">
        <f>IF('Donor Sample'!O715="","",'Donor Sample'!O715)</f>
        <v/>
      </c>
      <c r="Z698" s="298" t="str">
        <f>IF(AND('Donor Sample'!O715="",'Donor Sample'!P715="",'Donor Sample'!Q715=""),"",IF('Donor Sample'!P715="",ROUND(AA698/($C$32+($AI698-0.5)*$C$31),0),'Donor Sample'!P715))</f>
        <v/>
      </c>
      <c r="AA698" s="297" t="str">
        <f>IF('Donor Sample'!Q715="","",'Donor Sample'!Q715)</f>
        <v/>
      </c>
      <c r="AB698" s="296" t="str">
        <f t="shared" si="171"/>
        <v/>
      </c>
      <c r="AC698" s="295" t="str">
        <f>IF('Donor Sample'!R715="","",'Donor Sample'!R715)</f>
        <v/>
      </c>
      <c r="AD698" s="294" t="str">
        <f>IF('Donor Sample'!S715="","",'Donor Sample'!S715/100)</f>
        <v/>
      </c>
      <c r="AE698" s="293" t="e">
        <f t="shared" si="168"/>
        <v>#VALUE!</v>
      </c>
      <c r="AF698" s="293" t="str">
        <f t="shared" si="169"/>
        <v/>
      </c>
      <c r="AG698" s="292" t="str">
        <f>IF('Donor Sample'!T715="","",'Donor Sample'!T715)</f>
        <v/>
      </c>
      <c r="AH698" s="891">
        <f t="shared" si="170"/>
        <v>2</v>
      </c>
      <c r="AI698" s="1220">
        <v>2.6031732559204102E-3</v>
      </c>
      <c r="AJ698" s="1216"/>
    </row>
    <row r="699" spans="5:36">
      <c r="E699" s="299">
        <v>691</v>
      </c>
      <c r="F699" s="308">
        <f t="shared" ca="1" si="159"/>
        <v>3696.9566685138216</v>
      </c>
      <c r="G699" s="307">
        <f t="shared" ca="1" si="160"/>
        <v>224.3933365631072</v>
      </c>
      <c r="H699" s="306">
        <f t="shared" ca="1" si="161"/>
        <v>0.37833301657265861</v>
      </c>
      <c r="I699" s="305">
        <f t="shared" ca="1" si="163"/>
        <v>153.67914484333804</v>
      </c>
      <c r="J699" s="305">
        <f t="shared" ca="1" si="164"/>
        <v>52.079965347594936</v>
      </c>
      <c r="K699" s="292">
        <f t="shared" ca="1" si="162"/>
        <v>1.8702971682440013</v>
      </c>
      <c r="L699" s="1290">
        <f t="shared" ca="1" si="165"/>
        <v>39.888363709656453</v>
      </c>
      <c r="M699" s="299">
        <v>691</v>
      </c>
      <c r="N699" s="304">
        <f t="shared" si="166"/>
        <v>2703.8978067453236</v>
      </c>
      <c r="O699" s="303">
        <v>238.23554329206462</v>
      </c>
      <c r="P699" s="302">
        <v>0.43508940251818545</v>
      </c>
      <c r="Q699" s="301">
        <v>109.01028545328649</v>
      </c>
      <c r="R699" s="301">
        <v>43.891519183750972</v>
      </c>
      <c r="S699" s="300">
        <v>1.4225001235249308</v>
      </c>
      <c r="T699" s="891">
        <f t="shared" si="167"/>
        <v>128</v>
      </c>
      <c r="U699" s="1220">
        <v>0.94307786226272583</v>
      </c>
      <c r="W699" s="299">
        <v>691</v>
      </c>
      <c r="X699" s="298">
        <f>IF('Donor Sample'!N716="",,IF('Donor Sample'!N716="F",1,0))</f>
        <v>0</v>
      </c>
      <c r="Y699" s="298" t="str">
        <f>IF('Donor Sample'!O716="","",'Donor Sample'!O716)</f>
        <v/>
      </c>
      <c r="Z699" s="298" t="str">
        <f>IF(AND('Donor Sample'!O716="",'Donor Sample'!P716="",'Donor Sample'!Q716=""),"",IF('Donor Sample'!P716="",ROUND(AA699/($C$32+($AI699-0.5)*$C$31),0),'Donor Sample'!P716))</f>
        <v/>
      </c>
      <c r="AA699" s="297" t="str">
        <f>IF('Donor Sample'!Q716="","",'Donor Sample'!Q716)</f>
        <v/>
      </c>
      <c r="AB699" s="296" t="str">
        <f t="shared" si="171"/>
        <v/>
      </c>
      <c r="AC699" s="295" t="str">
        <f>IF('Donor Sample'!R716="","",'Donor Sample'!R716)</f>
        <v/>
      </c>
      <c r="AD699" s="294" t="str">
        <f>IF('Donor Sample'!S716="","",'Donor Sample'!S716/100)</f>
        <v/>
      </c>
      <c r="AE699" s="407" t="e">
        <f t="shared" si="168"/>
        <v>#VALUE!</v>
      </c>
      <c r="AF699" s="293" t="str">
        <f t="shared" si="169"/>
        <v/>
      </c>
      <c r="AG699" s="292" t="str">
        <f>IF('Donor Sample'!T716="","",'Donor Sample'!T716)</f>
        <v/>
      </c>
      <c r="AH699" s="891">
        <f t="shared" si="170"/>
        <v>2</v>
      </c>
      <c r="AI699" s="1220">
        <v>0.26768428087234497</v>
      </c>
      <c r="AJ699" s="1216"/>
    </row>
    <row r="700" spans="5:36">
      <c r="E700" s="299">
        <v>692</v>
      </c>
      <c r="F700" s="308">
        <f t="shared" ca="1" si="159"/>
        <v>3608.9607567345925</v>
      </c>
      <c r="G700" s="307">
        <f t="shared" ca="1" si="160"/>
        <v>220.27678797170708</v>
      </c>
      <c r="H700" s="306">
        <f t="shared" ca="1" si="161"/>
        <v>0.44167632343978647</v>
      </c>
      <c r="I700" s="305">
        <f t="shared" ca="1" si="163"/>
        <v>125.69644767740051</v>
      </c>
      <c r="J700" s="305">
        <f t="shared" ca="1" si="164"/>
        <v>64.151714388878148</v>
      </c>
      <c r="K700" s="292">
        <f t="shared" ca="1" si="162"/>
        <v>7.8931139571914297</v>
      </c>
      <c r="L700" s="1290">
        <f t="shared" ca="1" si="165"/>
        <v>21.502013464112363</v>
      </c>
      <c r="M700" s="299">
        <v>692</v>
      </c>
      <c r="N700" s="304">
        <f t="shared" si="166"/>
        <v>2674.6391364097944</v>
      </c>
      <c r="O700" s="303">
        <v>250.0437714461718</v>
      </c>
      <c r="P700" s="302">
        <v>0.46263601690340977</v>
      </c>
      <c r="Q700" s="301">
        <v>92.477302060263099</v>
      </c>
      <c r="R700" s="301">
        <v>57.416795037948127</v>
      </c>
      <c r="S700" s="300">
        <v>2.4214543360084662</v>
      </c>
      <c r="T700" s="891">
        <f t="shared" si="167"/>
        <v>4</v>
      </c>
      <c r="U700" s="1220">
        <v>0.38199019432067871</v>
      </c>
      <c r="W700" s="299">
        <v>692</v>
      </c>
      <c r="X700" s="298">
        <f>IF('Donor Sample'!N717="",,IF('Donor Sample'!N717="F",1,0))</f>
        <v>0</v>
      </c>
      <c r="Y700" s="298" t="str">
        <f>IF('Donor Sample'!O717="","",'Donor Sample'!O717)</f>
        <v/>
      </c>
      <c r="Z700" s="298" t="str">
        <f>IF(AND('Donor Sample'!O717="",'Donor Sample'!P717="",'Donor Sample'!Q717=""),"",IF('Donor Sample'!P717="",ROUND(AA700/($C$32+($AI700-0.5)*$C$31),0),'Donor Sample'!P717))</f>
        <v/>
      </c>
      <c r="AA700" s="297" t="str">
        <f>IF('Donor Sample'!Q717="","",'Donor Sample'!Q717)</f>
        <v/>
      </c>
      <c r="AB700" s="296" t="str">
        <f t="shared" si="171"/>
        <v/>
      </c>
      <c r="AC700" s="295" t="str">
        <f>IF('Donor Sample'!R717="","",'Donor Sample'!R717)</f>
        <v/>
      </c>
      <c r="AD700" s="294" t="str">
        <f>IF('Donor Sample'!S717="","",'Donor Sample'!S717/100)</f>
        <v/>
      </c>
      <c r="AE700" s="293" t="e">
        <f t="shared" si="168"/>
        <v>#VALUE!</v>
      </c>
      <c r="AF700" s="293" t="str">
        <f t="shared" si="169"/>
        <v/>
      </c>
      <c r="AG700" s="292" t="str">
        <f>IF('Donor Sample'!T717="","",'Donor Sample'!T717)</f>
        <v/>
      </c>
      <c r="AH700" s="891">
        <f t="shared" si="170"/>
        <v>128</v>
      </c>
      <c r="AI700" s="1220">
        <v>0.93795609474182129</v>
      </c>
      <c r="AJ700" s="1216"/>
    </row>
    <row r="701" spans="5:36">
      <c r="E701" s="299">
        <v>693</v>
      </c>
      <c r="F701" s="308">
        <f t="shared" ca="1" si="159"/>
        <v>3818.1762350592317</v>
      </c>
      <c r="G701" s="307">
        <f t="shared" ca="1" si="160"/>
        <v>247.21786141780274</v>
      </c>
      <c r="H701" s="306">
        <f t="shared" ca="1" si="161"/>
        <v>0.45138779071329505</v>
      </c>
      <c r="I701" s="305">
        <f t="shared" ca="1" si="163"/>
        <v>137.16672374267765</v>
      </c>
      <c r="J701" s="305">
        <f t="shared" ca="1" si="164"/>
        <v>58.628193013258652</v>
      </c>
      <c r="K701" s="292">
        <f t="shared" ca="1" si="162"/>
        <v>2.0443622653950095</v>
      </c>
      <c r="L701" s="1290">
        <f t="shared" ca="1" si="165"/>
        <v>28.093665476868651</v>
      </c>
      <c r="M701" s="299">
        <v>693</v>
      </c>
      <c r="N701" s="304">
        <f t="shared" si="166"/>
        <v>3844.3281088750637</v>
      </c>
      <c r="O701" s="303">
        <v>260.32613448350901</v>
      </c>
      <c r="P701" s="302">
        <v>0.45532312614370724</v>
      </c>
      <c r="Q701" s="301">
        <v>122.05929553512318</v>
      </c>
      <c r="R701" s="301">
        <v>62.364709176618824</v>
      </c>
      <c r="S701" s="300">
        <v>1.3540850381969478</v>
      </c>
      <c r="T701" s="891">
        <f t="shared" si="167"/>
        <v>16</v>
      </c>
      <c r="U701" s="1220">
        <v>0.97534841299057007</v>
      </c>
      <c r="W701" s="299">
        <v>693</v>
      </c>
      <c r="X701" s="298">
        <f>IF('Donor Sample'!N718="",,IF('Donor Sample'!N718="F",1,0))</f>
        <v>0</v>
      </c>
      <c r="Y701" s="298" t="str">
        <f>IF('Donor Sample'!O718="","",'Donor Sample'!O718)</f>
        <v/>
      </c>
      <c r="Z701" s="298" t="str">
        <f>IF(AND('Donor Sample'!O718="",'Donor Sample'!P718="",'Donor Sample'!Q718=""),"",IF('Donor Sample'!P718="",ROUND(AA701/($C$32+($AI701-0.5)*$C$31),0),'Donor Sample'!P718))</f>
        <v/>
      </c>
      <c r="AA701" s="297" t="str">
        <f>IF('Donor Sample'!Q718="","",'Donor Sample'!Q718)</f>
        <v/>
      </c>
      <c r="AB701" s="296" t="str">
        <f t="shared" si="171"/>
        <v/>
      </c>
      <c r="AC701" s="295" t="str">
        <f>IF('Donor Sample'!R718="","",'Donor Sample'!R718)</f>
        <v/>
      </c>
      <c r="AD701" s="294" t="str">
        <f>IF('Donor Sample'!S718="","",'Donor Sample'!S718/100)</f>
        <v/>
      </c>
      <c r="AE701" s="293" t="e">
        <f t="shared" si="168"/>
        <v>#VALUE!</v>
      </c>
      <c r="AF701" s="293" t="str">
        <f t="shared" si="169"/>
        <v/>
      </c>
      <c r="AG701" s="292" t="str">
        <f>IF('Donor Sample'!T718="","",'Donor Sample'!T718)</f>
        <v/>
      </c>
      <c r="AH701" s="891">
        <f t="shared" si="170"/>
        <v>2</v>
      </c>
      <c r="AI701" s="1220">
        <v>0.21809524297714233</v>
      </c>
      <c r="AJ701" s="1216"/>
    </row>
    <row r="702" spans="5:36">
      <c r="E702" s="299">
        <v>694</v>
      </c>
      <c r="F702" s="308">
        <f t="shared" ca="1" si="159"/>
        <v>4144.1777608961584</v>
      </c>
      <c r="G702" s="307">
        <f t="shared" ca="1" si="160"/>
        <v>208.61755767463333</v>
      </c>
      <c r="H702" s="306">
        <f t="shared" ca="1" si="161"/>
        <v>0.41103163558320588</v>
      </c>
      <c r="I702" s="305">
        <f t="shared" ca="1" si="163"/>
        <v>133.01841840288964</v>
      </c>
      <c r="J702" s="305">
        <f t="shared" ca="1" si="164"/>
        <v>64.297752864604789</v>
      </c>
      <c r="K702" s="292">
        <f t="shared" ca="1" si="162"/>
        <v>1.4431604466441545</v>
      </c>
      <c r="L702" s="1290">
        <f t="shared" ca="1" si="165"/>
        <v>22.651285224094856</v>
      </c>
      <c r="M702" s="299">
        <v>694</v>
      </c>
      <c r="N702" s="304">
        <f t="shared" si="166"/>
        <v>3163.9152452781545</v>
      </c>
      <c r="O702" s="303">
        <v>277.16997737238734</v>
      </c>
      <c r="P702" s="302">
        <v>0.41171441604063425</v>
      </c>
      <c r="Q702" s="301">
        <v>107.11387376428351</v>
      </c>
      <c r="R702" s="301">
        <v>54.923024719852293</v>
      </c>
      <c r="S702" s="300">
        <v>6.1005181157979198</v>
      </c>
      <c r="T702" s="891">
        <f t="shared" si="167"/>
        <v>4</v>
      </c>
      <c r="U702" s="1220">
        <v>0.402488112449646</v>
      </c>
      <c r="W702" s="299">
        <v>694</v>
      </c>
      <c r="X702" s="298">
        <f>IF('Donor Sample'!N719="",,IF('Donor Sample'!N719="F",1,0))</f>
        <v>0</v>
      </c>
      <c r="Y702" s="298" t="str">
        <f>IF('Donor Sample'!O719="","",'Donor Sample'!O719)</f>
        <v/>
      </c>
      <c r="Z702" s="298" t="str">
        <f>IF(AND('Donor Sample'!O719="",'Donor Sample'!P719="",'Donor Sample'!Q719=""),"",IF('Donor Sample'!P719="",ROUND(AA702/($C$32+($AI702-0.5)*$C$31),0),'Donor Sample'!P719))</f>
        <v/>
      </c>
      <c r="AA702" s="297" t="str">
        <f>IF('Donor Sample'!Q719="","",'Donor Sample'!Q719)</f>
        <v/>
      </c>
      <c r="AB702" s="296" t="str">
        <f t="shared" si="171"/>
        <v/>
      </c>
      <c r="AC702" s="295" t="str">
        <f>IF('Donor Sample'!R719="","",'Donor Sample'!R719)</f>
        <v/>
      </c>
      <c r="AD702" s="294" t="str">
        <f>IF('Donor Sample'!S719="","",'Donor Sample'!S719/100)</f>
        <v/>
      </c>
      <c r="AE702" s="407" t="e">
        <f t="shared" si="168"/>
        <v>#VALUE!</v>
      </c>
      <c r="AF702" s="293" t="str">
        <f t="shared" si="169"/>
        <v/>
      </c>
      <c r="AG702" s="292" t="str">
        <f>IF('Donor Sample'!T719="","",'Donor Sample'!T719)</f>
        <v/>
      </c>
      <c r="AH702" s="891">
        <f t="shared" si="170"/>
        <v>64</v>
      </c>
      <c r="AI702" s="1220">
        <v>0.4423140287399292</v>
      </c>
      <c r="AJ702" s="1216"/>
    </row>
    <row r="703" spans="5:36">
      <c r="E703" s="299">
        <v>695</v>
      </c>
      <c r="F703" s="308">
        <f t="shared" ca="1" si="159"/>
        <v>2905.2250402131667</v>
      </c>
      <c r="G703" s="307">
        <f t="shared" ca="1" si="160"/>
        <v>221.72839972060626</v>
      </c>
      <c r="H703" s="306">
        <f t="shared" ca="1" si="161"/>
        <v>0.36832112034500247</v>
      </c>
      <c r="I703" s="305">
        <f t="shared" ca="1" si="163"/>
        <v>104.22114211329989</v>
      </c>
      <c r="J703" s="305">
        <f t="shared" ca="1" si="164"/>
        <v>50.615509313887074</v>
      </c>
      <c r="K703" s="292">
        <f t="shared" ca="1" si="162"/>
        <v>5.5634494801715251</v>
      </c>
      <c r="L703" s="1290">
        <f t="shared" ca="1" si="165"/>
        <v>28.639225216727663</v>
      </c>
      <c r="M703" s="299">
        <v>695</v>
      </c>
      <c r="N703" s="304">
        <f t="shared" si="166"/>
        <v>2741.7135139442253</v>
      </c>
      <c r="O703" s="303">
        <v>275.45627097271597</v>
      </c>
      <c r="P703" s="302">
        <v>0.47222414718390032</v>
      </c>
      <c r="Q703" s="301">
        <v>95.587466374855168</v>
      </c>
      <c r="R703" s="301">
        <v>49.791469162020995</v>
      </c>
      <c r="S703" s="300">
        <v>1.8652670162085634</v>
      </c>
      <c r="T703" s="891">
        <f t="shared" si="167"/>
        <v>64</v>
      </c>
      <c r="U703" s="1220">
        <v>0.68692594766616821</v>
      </c>
      <c r="W703" s="299">
        <v>695</v>
      </c>
      <c r="X703" s="298">
        <f>IF('Donor Sample'!N720="",,IF('Donor Sample'!N720="F",1,0))</f>
        <v>0</v>
      </c>
      <c r="Y703" s="298" t="str">
        <f>IF('Donor Sample'!O720="","",'Donor Sample'!O720)</f>
        <v/>
      </c>
      <c r="Z703" s="298" t="str">
        <f>IF(AND('Donor Sample'!O720="",'Donor Sample'!P720="",'Donor Sample'!Q720=""),"",IF('Donor Sample'!P720="",ROUND(AA703/($C$32+($AI703-0.5)*$C$31),0),'Donor Sample'!P720))</f>
        <v/>
      </c>
      <c r="AA703" s="297" t="str">
        <f>IF('Donor Sample'!Q720="","",'Donor Sample'!Q720)</f>
        <v/>
      </c>
      <c r="AB703" s="296" t="str">
        <f t="shared" si="171"/>
        <v/>
      </c>
      <c r="AC703" s="295" t="str">
        <f>IF('Donor Sample'!R720="","",'Donor Sample'!R720)</f>
        <v/>
      </c>
      <c r="AD703" s="294" t="str">
        <f>IF('Donor Sample'!S720="","",'Donor Sample'!S720/100)</f>
        <v/>
      </c>
      <c r="AE703" s="293" t="e">
        <f t="shared" si="168"/>
        <v>#VALUE!</v>
      </c>
      <c r="AF703" s="293" t="str">
        <f t="shared" si="169"/>
        <v/>
      </c>
      <c r="AG703" s="292" t="str">
        <f>IF('Donor Sample'!T720="","",'Donor Sample'!T720)</f>
        <v/>
      </c>
      <c r="AH703" s="891">
        <f t="shared" si="170"/>
        <v>64</v>
      </c>
      <c r="AI703" s="1220">
        <v>0.7632489800453186</v>
      </c>
      <c r="AJ703" s="1216"/>
    </row>
    <row r="704" spans="5:36">
      <c r="E704" s="299">
        <v>696</v>
      </c>
      <c r="F704" s="308">
        <f t="shared" ca="1" si="159"/>
        <v>2944.8272148111491</v>
      </c>
      <c r="G704" s="307">
        <f t="shared" ca="1" si="160"/>
        <v>245.40711404242143</v>
      </c>
      <c r="H704" s="306">
        <f t="shared" ca="1" si="161"/>
        <v>0.48762971718439219</v>
      </c>
      <c r="I704" s="305">
        <f t="shared" ca="1" si="163"/>
        <v>110.22418810438023</v>
      </c>
      <c r="J704" s="305">
        <f t="shared" ca="1" si="164"/>
        <v>49.553669429536107</v>
      </c>
      <c r="K704" s="292">
        <f t="shared" ca="1" si="162"/>
        <v>1.6257094123297948</v>
      </c>
      <c r="L704" s="1290">
        <f t="shared" ca="1" si="165"/>
        <v>31.600789211578586</v>
      </c>
      <c r="M704" s="299">
        <v>696</v>
      </c>
      <c r="N704" s="304">
        <f t="shared" si="166"/>
        <v>3106.6323876946494</v>
      </c>
      <c r="O704" s="303">
        <v>246.6655901568891</v>
      </c>
      <c r="P704" s="302">
        <v>0.43017328044698222</v>
      </c>
      <c r="Q704" s="301">
        <v>96.454672684989944</v>
      </c>
      <c r="R704" s="301">
        <v>56.674139197186193</v>
      </c>
      <c r="S704" s="300">
        <v>2.1042702843649028</v>
      </c>
      <c r="T704" s="891">
        <f t="shared" si="167"/>
        <v>64</v>
      </c>
      <c r="U704" s="1220">
        <v>0.57354164123535156</v>
      </c>
      <c r="W704" s="299">
        <v>696</v>
      </c>
      <c r="X704" s="298">
        <f>IF('Donor Sample'!N721="",,IF('Donor Sample'!N721="F",1,0))</f>
        <v>0</v>
      </c>
      <c r="Y704" s="298" t="str">
        <f>IF('Donor Sample'!O721="","",'Donor Sample'!O721)</f>
        <v/>
      </c>
      <c r="Z704" s="298" t="str">
        <f>IF(AND('Donor Sample'!O721="",'Donor Sample'!P721="",'Donor Sample'!Q721=""),"",IF('Donor Sample'!P721="",ROUND(AA704/($C$32+($AI704-0.5)*$C$31),0),'Donor Sample'!P721))</f>
        <v/>
      </c>
      <c r="AA704" s="297" t="str">
        <f>IF('Donor Sample'!Q721="","",'Donor Sample'!Q721)</f>
        <v/>
      </c>
      <c r="AB704" s="296" t="str">
        <f t="shared" si="171"/>
        <v/>
      </c>
      <c r="AC704" s="295" t="str">
        <f>IF('Donor Sample'!R721="","",'Donor Sample'!R721)</f>
        <v/>
      </c>
      <c r="AD704" s="294" t="str">
        <f>IF('Donor Sample'!S721="","",'Donor Sample'!S721/100)</f>
        <v/>
      </c>
      <c r="AE704" s="293" t="e">
        <f t="shared" si="168"/>
        <v>#VALUE!</v>
      </c>
      <c r="AF704" s="293" t="str">
        <f t="shared" si="169"/>
        <v/>
      </c>
      <c r="AG704" s="292" t="str">
        <f>IF('Donor Sample'!T721="","",'Donor Sample'!T721)</f>
        <v/>
      </c>
      <c r="AH704" s="891">
        <f t="shared" si="170"/>
        <v>2</v>
      </c>
      <c r="AI704" s="1220">
        <v>0.25717020034790039</v>
      </c>
      <c r="AJ704" s="1216"/>
    </row>
    <row r="705" spans="5:36">
      <c r="E705" s="299">
        <v>697</v>
      </c>
      <c r="F705" s="308">
        <f t="shared" ca="1" si="159"/>
        <v>3566.5283941214684</v>
      </c>
      <c r="G705" s="307">
        <f t="shared" ca="1" si="160"/>
        <v>286.5861310440863</v>
      </c>
      <c r="H705" s="306">
        <f t="shared" ca="1" si="161"/>
        <v>0.40571627948899613</v>
      </c>
      <c r="I705" s="305">
        <f t="shared" ca="1" si="163"/>
        <v>146.06164572462748</v>
      </c>
      <c r="J705" s="305">
        <f t="shared" ca="1" si="164"/>
        <v>51.684222522058526</v>
      </c>
      <c r="K705" s="292">
        <f t="shared" ca="1" si="162"/>
        <v>12.924839707591648</v>
      </c>
      <c r="L705" s="1290">
        <f t="shared" ca="1" si="165"/>
        <v>38.493985071256624</v>
      </c>
      <c r="M705" s="299">
        <v>697</v>
      </c>
      <c r="N705" s="304">
        <f t="shared" si="166"/>
        <v>2715.5080693492191</v>
      </c>
      <c r="O705" s="303">
        <v>218.20868460406828</v>
      </c>
      <c r="P705" s="302">
        <v>0.37496233151999392</v>
      </c>
      <c r="Q705" s="301">
        <v>111.66517007622123</v>
      </c>
      <c r="R705" s="301">
        <v>43.09575781208143</v>
      </c>
      <c r="S705" s="300">
        <v>1.2475505541297371</v>
      </c>
      <c r="T705" s="891">
        <f t="shared" si="167"/>
        <v>4</v>
      </c>
      <c r="U705" s="1220">
        <v>0.38140696287155151</v>
      </c>
      <c r="W705" s="299">
        <v>697</v>
      </c>
      <c r="X705" s="298">
        <f>IF('Donor Sample'!N722="",,IF('Donor Sample'!N722="F",1,0))</f>
        <v>0</v>
      </c>
      <c r="Y705" s="298" t="str">
        <f>IF('Donor Sample'!O722="","",'Donor Sample'!O722)</f>
        <v/>
      </c>
      <c r="Z705" s="298" t="str">
        <f>IF(AND('Donor Sample'!O722="",'Donor Sample'!P722="",'Donor Sample'!Q722=""),"",IF('Donor Sample'!P722="",ROUND(AA705/($C$32+($AI705-0.5)*$C$31),0),'Donor Sample'!P722))</f>
        <v/>
      </c>
      <c r="AA705" s="297" t="str">
        <f>IF('Donor Sample'!Q722="","",'Donor Sample'!Q722)</f>
        <v/>
      </c>
      <c r="AB705" s="296" t="str">
        <f t="shared" si="171"/>
        <v/>
      </c>
      <c r="AC705" s="295" t="str">
        <f>IF('Donor Sample'!R722="","",'Donor Sample'!R722)</f>
        <v/>
      </c>
      <c r="AD705" s="294" t="str">
        <f>IF('Donor Sample'!S722="","",'Donor Sample'!S722/100)</f>
        <v/>
      </c>
      <c r="AE705" s="407" t="e">
        <f t="shared" si="168"/>
        <v>#VALUE!</v>
      </c>
      <c r="AF705" s="293" t="str">
        <f t="shared" si="169"/>
        <v/>
      </c>
      <c r="AG705" s="292" t="str">
        <f>IF('Donor Sample'!T722="","",'Donor Sample'!T722)</f>
        <v/>
      </c>
      <c r="AH705" s="891">
        <f t="shared" si="170"/>
        <v>2</v>
      </c>
      <c r="AI705" s="1220">
        <v>9.2728316783905029E-2</v>
      </c>
      <c r="AJ705" s="1216"/>
    </row>
    <row r="706" spans="5:36">
      <c r="E706" s="299">
        <v>698</v>
      </c>
      <c r="F706" s="308">
        <f t="shared" ca="1" si="159"/>
        <v>3429.3725860157901</v>
      </c>
      <c r="G706" s="307">
        <f t="shared" ca="1" si="160"/>
        <v>253.68252848217341</v>
      </c>
      <c r="H706" s="306">
        <f t="shared" ca="1" si="161"/>
        <v>0.37042394393775652</v>
      </c>
      <c r="I706" s="305">
        <f t="shared" ca="1" si="163"/>
        <v>125.25957540286635</v>
      </c>
      <c r="J706" s="305">
        <f t="shared" ca="1" si="164"/>
        <v>54.932766291897224</v>
      </c>
      <c r="K706" s="292">
        <f t="shared" ca="1" si="162"/>
        <v>1.5470424769097455</v>
      </c>
      <c r="L706" s="1290">
        <f t="shared" ca="1" si="165"/>
        <v>29.222721221820567</v>
      </c>
      <c r="M706" s="299">
        <v>698</v>
      </c>
      <c r="N706" s="304">
        <f t="shared" si="166"/>
        <v>3147.0396185816771</v>
      </c>
      <c r="O706" s="303">
        <v>219.79940530937557</v>
      </c>
      <c r="P706" s="302">
        <v>0.37535860008493721</v>
      </c>
      <c r="Q706" s="301">
        <v>105.45608817334708</v>
      </c>
      <c r="R706" s="301">
        <v>55.057386847539142</v>
      </c>
      <c r="S706" s="300">
        <v>1.7227395907595144</v>
      </c>
      <c r="T706" s="891">
        <f t="shared" si="167"/>
        <v>64</v>
      </c>
      <c r="U706" s="1220">
        <v>0.49217379093170166</v>
      </c>
      <c r="W706" s="299">
        <v>698</v>
      </c>
      <c r="X706" s="298">
        <f>IF('Donor Sample'!N723="",,IF('Donor Sample'!N723="F",1,0))</f>
        <v>0</v>
      </c>
      <c r="Y706" s="298" t="str">
        <f>IF('Donor Sample'!O723="","",'Donor Sample'!O723)</f>
        <v/>
      </c>
      <c r="Z706" s="298" t="str">
        <f>IF(AND('Donor Sample'!O723="",'Donor Sample'!P723="",'Donor Sample'!Q723=""),"",IF('Donor Sample'!P723="",ROUND(AA706/($C$32+($AI706-0.5)*$C$31),0),'Donor Sample'!P723))</f>
        <v/>
      </c>
      <c r="AA706" s="297" t="str">
        <f>IF('Donor Sample'!Q723="","",'Donor Sample'!Q723)</f>
        <v/>
      </c>
      <c r="AB706" s="296" t="str">
        <f t="shared" si="171"/>
        <v/>
      </c>
      <c r="AC706" s="295" t="str">
        <f>IF('Donor Sample'!R723="","",'Donor Sample'!R723)</f>
        <v/>
      </c>
      <c r="AD706" s="294" t="str">
        <f>IF('Donor Sample'!S723="","",'Donor Sample'!S723/100)</f>
        <v/>
      </c>
      <c r="AE706" s="293" t="e">
        <f t="shared" si="168"/>
        <v>#VALUE!</v>
      </c>
      <c r="AF706" s="293" t="str">
        <f t="shared" si="169"/>
        <v/>
      </c>
      <c r="AG706" s="292" t="str">
        <f>IF('Donor Sample'!T723="","",'Donor Sample'!T723)</f>
        <v/>
      </c>
      <c r="AH706" s="891">
        <f t="shared" si="170"/>
        <v>64</v>
      </c>
      <c r="AI706" s="1220">
        <v>0.57158863544464111</v>
      </c>
      <c r="AJ706" s="1216"/>
    </row>
    <row r="707" spans="5:36">
      <c r="E707" s="299">
        <v>699</v>
      </c>
      <c r="F707" s="308">
        <f t="shared" ca="1" si="159"/>
        <v>2633.0319676442532</v>
      </c>
      <c r="G707" s="307">
        <f t="shared" ca="1" si="160"/>
        <v>244.15160526006576</v>
      </c>
      <c r="H707" s="306">
        <f t="shared" ca="1" si="161"/>
        <v>0.43261456008685933</v>
      </c>
      <c r="I707" s="305">
        <f t="shared" ca="1" si="163"/>
        <v>101.59707032237772</v>
      </c>
      <c r="J707" s="305">
        <f t="shared" ca="1" si="164"/>
        <v>44.941638745160276</v>
      </c>
      <c r="K707" s="292">
        <f t="shared" ca="1" si="162"/>
        <v>4.6123107685928009</v>
      </c>
      <c r="L707" s="1290">
        <f t="shared" ca="1" si="165"/>
        <v>35.412454947430625</v>
      </c>
      <c r="M707" s="299">
        <v>699</v>
      </c>
      <c r="N707" s="304">
        <f t="shared" si="166"/>
        <v>2706.2739860978522</v>
      </c>
      <c r="O707" s="303">
        <v>241.86080192174879</v>
      </c>
      <c r="P707" s="302">
        <v>0.4343149552423658</v>
      </c>
      <c r="Q707" s="301">
        <v>88.757373854447778</v>
      </c>
      <c r="R707" s="301">
        <v>51.189408769004316</v>
      </c>
      <c r="S707" s="300">
        <v>2.1030956642639329</v>
      </c>
      <c r="T707" s="891">
        <f t="shared" si="167"/>
        <v>64</v>
      </c>
      <c r="U707" s="1220">
        <v>0.74428492784500122</v>
      </c>
      <c r="W707" s="299">
        <v>699</v>
      </c>
      <c r="X707" s="298">
        <f>IF('Donor Sample'!N724="",,IF('Donor Sample'!N724="F",1,0))</f>
        <v>0</v>
      </c>
      <c r="Y707" s="298" t="str">
        <f>IF('Donor Sample'!O724="","",'Donor Sample'!O724)</f>
        <v/>
      </c>
      <c r="Z707" s="298" t="str">
        <f>IF(AND('Donor Sample'!O724="",'Donor Sample'!P724="",'Donor Sample'!Q724=""),"",IF('Donor Sample'!P724="",ROUND(AA707/($C$32+($AI707-0.5)*$C$31),0),'Donor Sample'!P724))</f>
        <v/>
      </c>
      <c r="AA707" s="297" t="str">
        <f>IF('Donor Sample'!Q724="","",'Donor Sample'!Q724)</f>
        <v/>
      </c>
      <c r="AB707" s="296" t="str">
        <f t="shared" si="171"/>
        <v/>
      </c>
      <c r="AC707" s="295" t="str">
        <f>IF('Donor Sample'!R724="","",'Donor Sample'!R724)</f>
        <v/>
      </c>
      <c r="AD707" s="294" t="str">
        <f>IF('Donor Sample'!S724="","",'Donor Sample'!S724/100)</f>
        <v/>
      </c>
      <c r="AE707" s="293" t="e">
        <f t="shared" si="168"/>
        <v>#VALUE!</v>
      </c>
      <c r="AF707" s="293" t="str">
        <f t="shared" si="169"/>
        <v/>
      </c>
      <c r="AG707" s="292" t="str">
        <f>IF('Donor Sample'!T724="","",'Donor Sample'!T724)</f>
        <v/>
      </c>
      <c r="AH707" s="891">
        <f t="shared" si="170"/>
        <v>4</v>
      </c>
      <c r="AI707" s="1220">
        <v>0.36590367555618286</v>
      </c>
      <c r="AJ707" s="1216"/>
    </row>
    <row r="708" spans="5:36">
      <c r="E708" s="299">
        <v>700</v>
      </c>
      <c r="F708" s="308">
        <f t="shared" ca="1" si="159"/>
        <v>3657.7232097576912</v>
      </c>
      <c r="G708" s="307">
        <f t="shared" ca="1" si="160"/>
        <v>245.49787500037795</v>
      </c>
      <c r="H708" s="306">
        <f t="shared" ca="1" si="161"/>
        <v>0.40041693434024345</v>
      </c>
      <c r="I708" s="305">
        <f t="shared" ca="1" si="163"/>
        <v>147.38013679370624</v>
      </c>
      <c r="J708" s="305">
        <f t="shared" ca="1" si="164"/>
        <v>53.136330064028947</v>
      </c>
      <c r="K708" s="292">
        <f t="shared" ca="1" si="162"/>
        <v>4.1332653170095837</v>
      </c>
      <c r="L708" s="1290">
        <f t="shared" ca="1" si="165"/>
        <v>36.747559565349697</v>
      </c>
      <c r="M708" s="299">
        <v>700</v>
      </c>
      <c r="N708" s="304">
        <f t="shared" si="166"/>
        <v>3738.6249564387704</v>
      </c>
      <c r="O708" s="303">
        <v>228.71946416270887</v>
      </c>
      <c r="P708" s="302">
        <v>0.43563258019737072</v>
      </c>
      <c r="Q708" s="301">
        <v>131.14461022225589</v>
      </c>
      <c r="R708" s="301">
        <v>58.762920589676291</v>
      </c>
      <c r="S708" s="300">
        <v>2.8357725499847657</v>
      </c>
      <c r="T708" s="891">
        <f t="shared" si="167"/>
        <v>64</v>
      </c>
      <c r="U708" s="1220">
        <v>0.67221665382385254</v>
      </c>
      <c r="W708" s="299">
        <v>700</v>
      </c>
      <c r="X708" s="298">
        <f>IF('Donor Sample'!N725="",,IF('Donor Sample'!N725="F",1,0))</f>
        <v>0</v>
      </c>
      <c r="Y708" s="298" t="str">
        <f>IF('Donor Sample'!O725="","",'Donor Sample'!O725)</f>
        <v/>
      </c>
      <c r="Z708" s="298" t="str">
        <f>IF(AND('Donor Sample'!O725="",'Donor Sample'!P725="",'Donor Sample'!Q725=""),"",IF('Donor Sample'!P725="",ROUND(AA708/($C$32+($AI708-0.5)*$C$31),0),'Donor Sample'!P725))</f>
        <v/>
      </c>
      <c r="AA708" s="297" t="str">
        <f>IF('Donor Sample'!Q725="","",'Donor Sample'!Q725)</f>
        <v/>
      </c>
      <c r="AB708" s="296" t="str">
        <f t="shared" si="171"/>
        <v/>
      </c>
      <c r="AC708" s="295" t="str">
        <f>IF('Donor Sample'!R725="","",'Donor Sample'!R725)</f>
        <v/>
      </c>
      <c r="AD708" s="294" t="str">
        <f>IF('Donor Sample'!S725="","",'Donor Sample'!S725/100)</f>
        <v/>
      </c>
      <c r="AE708" s="407" t="e">
        <f t="shared" si="168"/>
        <v>#VALUE!</v>
      </c>
      <c r="AF708" s="293" t="str">
        <f t="shared" si="169"/>
        <v/>
      </c>
      <c r="AG708" s="292" t="str">
        <f>IF('Donor Sample'!T725="","",'Donor Sample'!T725)</f>
        <v/>
      </c>
      <c r="AH708" s="891">
        <f t="shared" si="170"/>
        <v>64</v>
      </c>
      <c r="AI708" s="1220">
        <v>0.72777056694030762</v>
      </c>
      <c r="AJ708" s="1216"/>
    </row>
    <row r="709" spans="5:36">
      <c r="E709" s="299">
        <v>701</v>
      </c>
      <c r="F709" s="308">
        <f t="shared" ca="1" si="159"/>
        <v>2775.7746315744407</v>
      </c>
      <c r="G709" s="307">
        <f t="shared" ca="1" si="160"/>
        <v>217.48949437924014</v>
      </c>
      <c r="H709" s="306">
        <f t="shared" ca="1" si="161"/>
        <v>0.35057876685939632</v>
      </c>
      <c r="I709" s="305">
        <f t="shared" ca="1" si="163"/>
        <v>98.886212040025683</v>
      </c>
      <c r="J709" s="305">
        <f t="shared" ca="1" si="164"/>
        <v>49.474105202465211</v>
      </c>
      <c r="K709" s="292">
        <f t="shared" ca="1" si="162"/>
        <v>3.8157345314683568</v>
      </c>
      <c r="L709" s="1290">
        <f t="shared" ca="1" si="165"/>
        <v>28.441500421427975</v>
      </c>
      <c r="M709" s="299">
        <v>701</v>
      </c>
      <c r="N709" s="304">
        <f t="shared" si="166"/>
        <v>2533.1090991290353</v>
      </c>
      <c r="O709" s="303">
        <v>226.33971161069303</v>
      </c>
      <c r="P709" s="302">
        <v>0.35267748305978502</v>
      </c>
      <c r="Q709" s="301">
        <v>86.785452918875563</v>
      </c>
      <c r="R709" s="301">
        <v>47.931616706158181</v>
      </c>
      <c r="S709" s="300">
        <v>1.2332783827827709</v>
      </c>
      <c r="T709" s="891">
        <f t="shared" si="167"/>
        <v>64</v>
      </c>
      <c r="U709" s="1220">
        <v>0.52312606573104858</v>
      </c>
      <c r="W709" s="299">
        <v>701</v>
      </c>
      <c r="X709" s="298">
        <f>IF('Donor Sample'!N726="",,IF('Donor Sample'!N726="F",1,0))</f>
        <v>0</v>
      </c>
      <c r="Y709" s="298" t="str">
        <f>IF('Donor Sample'!O726="","",'Donor Sample'!O726)</f>
        <v/>
      </c>
      <c r="Z709" s="298" t="str">
        <f>IF(AND('Donor Sample'!O726="",'Donor Sample'!P726="",'Donor Sample'!Q726=""),"",IF('Donor Sample'!P726="",ROUND(AA709/($C$32+($AI709-0.5)*$C$31),0),'Donor Sample'!P726))</f>
        <v/>
      </c>
      <c r="AA709" s="297" t="str">
        <f>IF('Donor Sample'!Q726="","",'Donor Sample'!Q726)</f>
        <v/>
      </c>
      <c r="AB709" s="296" t="str">
        <f t="shared" si="171"/>
        <v/>
      </c>
      <c r="AC709" s="295" t="str">
        <f>IF('Donor Sample'!R726="","",'Donor Sample'!R726)</f>
        <v/>
      </c>
      <c r="AD709" s="294" t="str">
        <f>IF('Donor Sample'!S726="","",'Donor Sample'!S726/100)</f>
        <v/>
      </c>
      <c r="AE709" s="293" t="e">
        <f t="shared" si="168"/>
        <v>#VALUE!</v>
      </c>
      <c r="AF709" s="293" t="str">
        <f t="shared" si="169"/>
        <v/>
      </c>
      <c r="AG709" s="292" t="str">
        <f>IF('Donor Sample'!T726="","",'Donor Sample'!T726)</f>
        <v/>
      </c>
      <c r="AH709" s="891">
        <f t="shared" si="170"/>
        <v>2</v>
      </c>
      <c r="AI709" s="1220">
        <v>9.523385763168335E-2</v>
      </c>
      <c r="AJ709" s="1216"/>
    </row>
    <row r="710" spans="5:36">
      <c r="E710" s="299">
        <v>702</v>
      </c>
      <c r="F710" s="308">
        <f t="shared" ca="1" si="159"/>
        <v>3086.0979598451268</v>
      </c>
      <c r="G710" s="307">
        <f t="shared" ca="1" si="160"/>
        <v>207.49911762420399</v>
      </c>
      <c r="H710" s="306">
        <f t="shared" ca="1" si="161"/>
        <v>0.3826175827402723</v>
      </c>
      <c r="I710" s="305">
        <f t="shared" ca="1" si="163"/>
        <v>127.27474977915534</v>
      </c>
      <c r="J710" s="305">
        <f t="shared" ca="1" si="164"/>
        <v>46.992537681721601</v>
      </c>
      <c r="K710" s="292">
        <f t="shared" ca="1" si="162"/>
        <v>3.3808785563148955</v>
      </c>
      <c r="L710" s="1290">
        <f t="shared" ca="1" si="165"/>
        <v>40.574867880225739</v>
      </c>
      <c r="M710" s="299">
        <v>702</v>
      </c>
      <c r="N710" s="304">
        <f t="shared" si="166"/>
        <v>3690.9078831368015</v>
      </c>
      <c r="O710" s="303">
        <v>210.37754199648563</v>
      </c>
      <c r="P710" s="302">
        <v>0.4119321402760211</v>
      </c>
      <c r="Q710" s="301">
        <v>154.27973603789076</v>
      </c>
      <c r="R710" s="301">
        <v>51.775292296506642</v>
      </c>
      <c r="S710" s="300">
        <v>1.7597101893997762</v>
      </c>
      <c r="T710" s="891">
        <f t="shared" si="167"/>
        <v>2</v>
      </c>
      <c r="U710" s="1220">
        <v>3.7840604782104492E-3</v>
      </c>
      <c r="W710" s="299">
        <v>702</v>
      </c>
      <c r="X710" s="298">
        <f>IF('Donor Sample'!N727="",,IF('Donor Sample'!N727="F",1,0))</f>
        <v>0</v>
      </c>
      <c r="Y710" s="298" t="str">
        <f>IF('Donor Sample'!O727="","",'Donor Sample'!O727)</f>
        <v/>
      </c>
      <c r="Z710" s="298" t="str">
        <f>IF(AND('Donor Sample'!O727="",'Donor Sample'!P727="",'Donor Sample'!Q727=""),"",IF('Donor Sample'!P727="",ROUND(AA710/($C$32+($AI710-0.5)*$C$31),0),'Donor Sample'!P727))</f>
        <v/>
      </c>
      <c r="AA710" s="297" t="str">
        <f>IF('Donor Sample'!Q727="","",'Donor Sample'!Q727)</f>
        <v/>
      </c>
      <c r="AB710" s="296" t="str">
        <f t="shared" si="171"/>
        <v/>
      </c>
      <c r="AC710" s="295" t="str">
        <f>IF('Donor Sample'!R727="","",'Donor Sample'!R727)</f>
        <v/>
      </c>
      <c r="AD710" s="294" t="str">
        <f>IF('Donor Sample'!S727="","",'Donor Sample'!S727/100)</f>
        <v/>
      </c>
      <c r="AE710" s="293" t="e">
        <f t="shared" si="168"/>
        <v>#VALUE!</v>
      </c>
      <c r="AF710" s="293" t="str">
        <f t="shared" si="169"/>
        <v/>
      </c>
      <c r="AG710" s="292" t="str">
        <f>IF('Donor Sample'!T727="","",'Donor Sample'!T727)</f>
        <v/>
      </c>
      <c r="AH710" s="891">
        <f t="shared" si="170"/>
        <v>64</v>
      </c>
      <c r="AI710" s="1220">
        <v>0.57115209102630615</v>
      </c>
      <c r="AJ710" s="1216"/>
    </row>
    <row r="711" spans="5:36">
      <c r="E711" s="299">
        <v>703</v>
      </c>
      <c r="F711" s="308">
        <f t="shared" ca="1" si="159"/>
        <v>2981.4512224882119</v>
      </c>
      <c r="G711" s="307">
        <f t="shared" ca="1" si="160"/>
        <v>264.97195847157724</v>
      </c>
      <c r="H711" s="306">
        <f t="shared" ca="1" si="161"/>
        <v>0.49259221101947054</v>
      </c>
      <c r="I711" s="305">
        <f t="shared" ca="1" si="163"/>
        <v>123.99387595064239</v>
      </c>
      <c r="J711" s="305">
        <f t="shared" ca="1" si="164"/>
        <v>45.522272136924215</v>
      </c>
      <c r="K711" s="292">
        <f t="shared" ca="1" si="162"/>
        <v>17.247265208135754</v>
      </c>
      <c r="L711" s="1290">
        <f t="shared" ca="1" si="165"/>
        <v>42.123556694264742</v>
      </c>
      <c r="M711" s="299">
        <v>703</v>
      </c>
      <c r="N711" s="304">
        <f t="shared" si="166"/>
        <v>3908.2942684491818</v>
      </c>
      <c r="O711" s="303">
        <v>242.86771728792527</v>
      </c>
      <c r="P711" s="302">
        <v>0.38517420717950435</v>
      </c>
      <c r="Q711" s="301">
        <v>157.11723039531597</v>
      </c>
      <c r="R711" s="301">
        <v>55.185160570265133</v>
      </c>
      <c r="S711" s="300">
        <v>2.3393865325602974</v>
      </c>
      <c r="T711" s="891">
        <f t="shared" si="167"/>
        <v>64</v>
      </c>
      <c r="U711" s="1220">
        <v>0.64915138483047485</v>
      </c>
      <c r="W711" s="299">
        <v>703</v>
      </c>
      <c r="X711" s="298">
        <f>IF('Donor Sample'!N728="",,IF('Donor Sample'!N728="F",1,0))</f>
        <v>0</v>
      </c>
      <c r="Y711" s="298" t="str">
        <f>IF('Donor Sample'!O728="","",'Donor Sample'!O728)</f>
        <v/>
      </c>
      <c r="Z711" s="298" t="str">
        <f>IF(AND('Donor Sample'!O728="",'Donor Sample'!P728="",'Donor Sample'!Q728=""),"",IF('Donor Sample'!P728="",ROUND(AA711/($C$32+($AI711-0.5)*$C$31),0),'Donor Sample'!P728))</f>
        <v/>
      </c>
      <c r="AA711" s="297" t="str">
        <f>IF('Donor Sample'!Q728="","",'Donor Sample'!Q728)</f>
        <v/>
      </c>
      <c r="AB711" s="296" t="str">
        <f t="shared" si="171"/>
        <v/>
      </c>
      <c r="AC711" s="295" t="str">
        <f>IF('Donor Sample'!R728="","",'Donor Sample'!R728)</f>
        <v/>
      </c>
      <c r="AD711" s="294" t="str">
        <f>IF('Donor Sample'!S728="","",'Donor Sample'!S728/100)</f>
        <v/>
      </c>
      <c r="AE711" s="407" t="e">
        <f t="shared" si="168"/>
        <v>#VALUE!</v>
      </c>
      <c r="AF711" s="293" t="str">
        <f t="shared" si="169"/>
        <v/>
      </c>
      <c r="AG711" s="292" t="str">
        <f>IF('Donor Sample'!T728="","",'Donor Sample'!T728)</f>
        <v/>
      </c>
      <c r="AH711" s="891">
        <f t="shared" si="170"/>
        <v>64</v>
      </c>
      <c r="AI711" s="1220">
        <v>0.59597307443618774</v>
      </c>
      <c r="AJ711" s="1216"/>
    </row>
    <row r="712" spans="5:36">
      <c r="E712" s="299">
        <v>704</v>
      </c>
      <c r="F712" s="308">
        <f t="shared" ca="1" si="159"/>
        <v>3218.9760086468818</v>
      </c>
      <c r="G712" s="307">
        <f t="shared" ca="1" si="160"/>
        <v>241.24479966968022</v>
      </c>
      <c r="H712" s="306">
        <f t="shared" ca="1" si="161"/>
        <v>0.3985790225103063</v>
      </c>
      <c r="I712" s="305">
        <f t="shared" ca="1" si="163"/>
        <v>107.23856323215911</v>
      </c>
      <c r="J712" s="305">
        <f t="shared" ca="1" si="164"/>
        <v>55.884658222295897</v>
      </c>
      <c r="K712" s="292">
        <f t="shared" ca="1" si="162"/>
        <v>1.2602857580000293</v>
      </c>
      <c r="L712" s="1290">
        <f t="shared" ca="1" si="165"/>
        <v>24.173439463167679</v>
      </c>
      <c r="M712" s="299">
        <v>704</v>
      </c>
      <c r="N712" s="304">
        <f t="shared" si="166"/>
        <v>3568.0110102798967</v>
      </c>
      <c r="O712" s="303">
        <v>276.6469622174738</v>
      </c>
      <c r="P712" s="302">
        <v>0.40827716420072169</v>
      </c>
      <c r="Q712" s="301">
        <v>128.45792424882697</v>
      </c>
      <c r="R712" s="301">
        <v>56.572649750911182</v>
      </c>
      <c r="S712" s="300">
        <v>13.223272462611639</v>
      </c>
      <c r="T712" s="891">
        <f t="shared" si="167"/>
        <v>256</v>
      </c>
      <c r="U712" s="1220">
        <v>0.88852548599243164</v>
      </c>
      <c r="W712" s="299">
        <v>704</v>
      </c>
      <c r="X712" s="298">
        <f>IF('Donor Sample'!N729="",,IF('Donor Sample'!N729="F",1,0))</f>
        <v>0</v>
      </c>
      <c r="Y712" s="298" t="str">
        <f>IF('Donor Sample'!O729="","",'Donor Sample'!O729)</f>
        <v/>
      </c>
      <c r="Z712" s="298" t="str">
        <f>IF(AND('Donor Sample'!O729="",'Donor Sample'!P729="",'Donor Sample'!Q729=""),"",IF('Donor Sample'!P729="",ROUND(AA712/($C$32+($AI712-0.5)*$C$31),0),'Donor Sample'!P729))</f>
        <v/>
      </c>
      <c r="AA712" s="297" t="str">
        <f>IF('Donor Sample'!Q729="","",'Donor Sample'!Q729)</f>
        <v/>
      </c>
      <c r="AB712" s="296" t="str">
        <f t="shared" si="171"/>
        <v/>
      </c>
      <c r="AC712" s="295" t="str">
        <f>IF('Donor Sample'!R729="","",'Donor Sample'!R729)</f>
        <v/>
      </c>
      <c r="AD712" s="294" t="str">
        <f>IF('Donor Sample'!S729="","",'Donor Sample'!S729/100)</f>
        <v/>
      </c>
      <c r="AE712" s="293" t="e">
        <f t="shared" si="168"/>
        <v>#VALUE!</v>
      </c>
      <c r="AF712" s="293" t="str">
        <f t="shared" si="169"/>
        <v/>
      </c>
      <c r="AG712" s="292" t="str">
        <f>IF('Donor Sample'!T729="","",'Donor Sample'!T729)</f>
        <v/>
      </c>
      <c r="AH712" s="891">
        <f t="shared" si="170"/>
        <v>64</v>
      </c>
      <c r="AI712" s="1220">
        <v>0.60128307342529297</v>
      </c>
      <c r="AJ712" s="1216"/>
    </row>
    <row r="713" spans="5:36">
      <c r="E713" s="299">
        <v>705</v>
      </c>
      <c r="F713" s="308">
        <f t="shared" ref="F713:F776" ca="1" si="172">NORMINV(NORMDIST($C$9,$C$7,$C$8,1)+RAND()*(NORMDIST($C$10,$C$7,$C$8,1)-NORMDIST($C$9,$C$7,$C$8,1)),$C$7,$C$8)</f>
        <v>2750.0138534226403</v>
      </c>
      <c r="G713" s="307">
        <f t="shared" ref="G713:G776" ca="1" si="173">NORMINV(NORMDIST($C$13,$C$11,$C$12,1)+RAND()*(NORMDIST($C$14,$C$11,$C$12,1)-NORMDIST($C$13,$C$11,$C$12,1)),$C$11,$C$12)</f>
        <v>284.34060225910298</v>
      </c>
      <c r="H713" s="306">
        <f t="shared" ref="H713:H776" ca="1" si="174">NORMINV(NORMDIST($C$17,$C$15,$C$16,1)+RAND()*(NORMDIST($C$18,$C$15,$C$16,1)-NORMDIST($C$17,$C$15,$C$16,1)),$C$15,$C$16)/100</f>
        <v>0.37764578590986231</v>
      </c>
      <c r="I713" s="305">
        <f t="shared" ca="1" si="163"/>
        <v>94.47065067117282</v>
      </c>
      <c r="J713" s="305">
        <f t="shared" ca="1" si="164"/>
        <v>50.33578283347876</v>
      </c>
      <c r="K713" s="292">
        <f t="shared" ref="K713:K776" ca="1" si="175">$C$23/($C$24+RAND())</f>
        <v>1.7389974068890877</v>
      </c>
      <c r="L713" s="1290">
        <f t="shared" ca="1" si="165"/>
        <v>26.249190289672445</v>
      </c>
      <c r="M713" s="299">
        <v>705</v>
      </c>
      <c r="N713" s="304">
        <f t="shared" si="166"/>
        <v>3410.3886128816966</v>
      </c>
      <c r="O713" s="303">
        <v>195.68591914236103</v>
      </c>
      <c r="P713" s="302">
        <v>0.44753024161695742</v>
      </c>
      <c r="Q713" s="301">
        <v>119.13385938269728</v>
      </c>
      <c r="R713" s="301">
        <v>56.19786259389155</v>
      </c>
      <c r="S713" s="300">
        <v>1.9988377587439314</v>
      </c>
      <c r="T713" s="891">
        <f t="shared" si="167"/>
        <v>2</v>
      </c>
      <c r="U713" s="1220">
        <v>0.33147495985031128</v>
      </c>
      <c r="W713" s="299">
        <v>705</v>
      </c>
      <c r="X713" s="298">
        <f>IF('Donor Sample'!N730="",,IF('Donor Sample'!N730="F",1,0))</f>
        <v>0</v>
      </c>
      <c r="Y713" s="298" t="str">
        <f>IF('Donor Sample'!O730="","",'Donor Sample'!O730)</f>
        <v/>
      </c>
      <c r="Z713" s="298" t="str">
        <f>IF(AND('Donor Sample'!O730="",'Donor Sample'!P730="",'Donor Sample'!Q730=""),"",IF('Donor Sample'!P730="",ROUND(AA713/($C$32+($AI713-0.5)*$C$31),0),'Donor Sample'!P730))</f>
        <v/>
      </c>
      <c r="AA713" s="297" t="str">
        <f>IF('Donor Sample'!Q730="","",'Donor Sample'!Q730)</f>
        <v/>
      </c>
      <c r="AB713" s="296" t="str">
        <f t="shared" si="171"/>
        <v/>
      </c>
      <c r="AC713" s="295" t="str">
        <f>IF('Donor Sample'!R730="","",'Donor Sample'!R730)</f>
        <v/>
      </c>
      <c r="AD713" s="294" t="str">
        <f>IF('Donor Sample'!S730="","",'Donor Sample'!S730/100)</f>
        <v/>
      </c>
      <c r="AE713" s="293" t="e">
        <f t="shared" si="168"/>
        <v>#VALUE!</v>
      </c>
      <c r="AF713" s="293" t="str">
        <f t="shared" si="169"/>
        <v/>
      </c>
      <c r="AG713" s="292" t="str">
        <f>IF('Donor Sample'!T730="","",'Donor Sample'!T730)</f>
        <v/>
      </c>
      <c r="AH713" s="891">
        <f t="shared" si="170"/>
        <v>2</v>
      </c>
      <c r="AI713" s="1220">
        <v>3.3534228801727295E-2</v>
      </c>
      <c r="AJ713" s="1216"/>
    </row>
    <row r="714" spans="5:36">
      <c r="E714" s="299">
        <v>706</v>
      </c>
      <c r="F714" s="308">
        <f t="shared" ca="1" si="172"/>
        <v>3005.730622368626</v>
      </c>
      <c r="G714" s="307">
        <f t="shared" ca="1" si="173"/>
        <v>283.01372861735973</v>
      </c>
      <c r="H714" s="306">
        <f t="shared" ca="1" si="174"/>
        <v>0.42083771025250344</v>
      </c>
      <c r="I714" s="305">
        <f t="shared" ref="I714:I777" ca="1" si="176">F714/($C$32+(RAND()-0.5)*$C$31)</f>
        <v>111.53756435070339</v>
      </c>
      <c r="J714" s="305">
        <f t="shared" ref="J714:J777" ca="1" si="177">IF(AI714&lt;=$C$33,((F714-604-14.6*I714)/0.006012)^(1/3),((F714-183-15*I714)/0.005835)^(1/3))</f>
        <v>50.478488707434934</v>
      </c>
      <c r="K714" s="292">
        <f t="shared" ca="1" si="175"/>
        <v>2.3907836679648762</v>
      </c>
      <c r="L714" s="1290">
        <f t="shared" ref="L714:L777" ca="1" si="178">704*I714/J714^2</f>
        <v>30.816345018658435</v>
      </c>
      <c r="M714" s="299">
        <v>706</v>
      </c>
      <c r="N714" s="304">
        <f t="shared" ref="N714:N777" si="179">IF(AI714&gt;$C$33,183+0.005835*R714^3+15*Q714,604+0.006012*R714^3+14.6*Q714)</f>
        <v>2924.1177951855325</v>
      </c>
      <c r="O714" s="303">
        <v>270.0286275519702</v>
      </c>
      <c r="P714" s="302">
        <v>0.38447258378432769</v>
      </c>
      <c r="Q714" s="301">
        <v>103.72869817277086</v>
      </c>
      <c r="R714" s="301">
        <v>51.173798538976435</v>
      </c>
      <c r="S714" s="300">
        <v>1.3216148507301051</v>
      </c>
      <c r="T714" s="891">
        <f t="shared" ref="T714:T777" si="180">HLOOKUP(U714,$AL$32:$AT$34,3)</f>
        <v>64</v>
      </c>
      <c r="U714" s="1220">
        <v>0.45691120624542236</v>
      </c>
      <c r="W714" s="299">
        <v>706</v>
      </c>
      <c r="X714" s="298">
        <f>IF('Donor Sample'!N731="",,IF('Donor Sample'!N731="F",1,0))</f>
        <v>0</v>
      </c>
      <c r="Y714" s="298" t="str">
        <f>IF('Donor Sample'!O731="","",'Donor Sample'!O731)</f>
        <v/>
      </c>
      <c r="Z714" s="298" t="str">
        <f>IF(AND('Donor Sample'!O731="",'Donor Sample'!P731="",'Donor Sample'!Q731=""),"",IF('Donor Sample'!P731="",ROUND(AA714/($C$32+($AI714-0.5)*$C$31),0),'Donor Sample'!P731))</f>
        <v/>
      </c>
      <c r="AA714" s="297" t="str">
        <f>IF('Donor Sample'!Q731="","",'Donor Sample'!Q731)</f>
        <v/>
      </c>
      <c r="AB714" s="296" t="str">
        <f t="shared" si="171"/>
        <v/>
      </c>
      <c r="AC714" s="295" t="str">
        <f>IF('Donor Sample'!R731="","",'Donor Sample'!R731)</f>
        <v/>
      </c>
      <c r="AD714" s="294" t="str">
        <f>IF('Donor Sample'!S731="","",'Donor Sample'!S731/100)</f>
        <v/>
      </c>
      <c r="AE714" s="407" t="e">
        <f t="shared" ref="AE714:AE777" si="181">IF($AB$2=1,Z714,2.2*Z714)</f>
        <v>#VALUE!</v>
      </c>
      <c r="AF714" s="293" t="str">
        <f t="shared" ref="AF714:AF777" si="182">IF(AND(Y714="",AA714=""),"",IF(AA714="",IF($AB$2=1,Y714,Y714/2.54),IF(AI714&lt;=$C$33,((AB714-604-14.6*Z714)/0.006012)^(1/3),((AB714-183-15*Z714)/0.005835)^(1/3))))</f>
        <v/>
      </c>
      <c r="AG714" s="292" t="str">
        <f>IF('Donor Sample'!T731="","",'Donor Sample'!T731)</f>
        <v/>
      </c>
      <c r="AH714" s="891">
        <f t="shared" ref="AH714:AH777" si="183">HLOOKUP(AI714,$AL$32:$AT$34,3)</f>
        <v>2</v>
      </c>
      <c r="AI714" s="1220">
        <v>0.32973730564117432</v>
      </c>
      <c r="AJ714" s="1216"/>
    </row>
    <row r="715" spans="5:36">
      <c r="E715" s="299">
        <v>707</v>
      </c>
      <c r="F715" s="308">
        <f t="shared" ca="1" si="172"/>
        <v>3504.9197588628949</v>
      </c>
      <c r="G715" s="307">
        <f t="shared" ca="1" si="173"/>
        <v>211.80477565058266</v>
      </c>
      <c r="H715" s="306">
        <f t="shared" ca="1" si="174"/>
        <v>0.39220185985805339</v>
      </c>
      <c r="I715" s="305">
        <f t="shared" ca="1" si="176"/>
        <v>112.17879512176064</v>
      </c>
      <c r="J715" s="305">
        <f t="shared" ca="1" si="177"/>
        <v>65.493827168097681</v>
      </c>
      <c r="K715" s="292">
        <f t="shared" ca="1" si="175"/>
        <v>4.1001119554474306</v>
      </c>
      <c r="L715" s="1290">
        <f t="shared" ca="1" si="178"/>
        <v>18.411225251534667</v>
      </c>
      <c r="M715" s="299">
        <v>707</v>
      </c>
      <c r="N715" s="304">
        <f t="shared" si="179"/>
        <v>3751.4103941670783</v>
      </c>
      <c r="O715" s="303">
        <v>274.68516371796153</v>
      </c>
      <c r="P715" s="302">
        <v>0.41437268431632801</v>
      </c>
      <c r="Q715" s="301">
        <v>139.34745032041806</v>
      </c>
      <c r="R715" s="301">
        <v>63.274780305998355</v>
      </c>
      <c r="S715" s="300">
        <v>12.0688757645626</v>
      </c>
      <c r="T715" s="891">
        <f t="shared" si="180"/>
        <v>256</v>
      </c>
      <c r="U715" s="1220">
        <v>0.90524846315383911</v>
      </c>
      <c r="W715" s="299">
        <v>707</v>
      </c>
      <c r="X715" s="298">
        <f>IF('Donor Sample'!N732="",,IF('Donor Sample'!N732="F",1,0))</f>
        <v>0</v>
      </c>
      <c r="Y715" s="298" t="str">
        <f>IF('Donor Sample'!O732="","",'Donor Sample'!O732)</f>
        <v/>
      </c>
      <c r="Z715" s="298" t="str">
        <f>IF(AND('Donor Sample'!O732="",'Donor Sample'!P732="",'Donor Sample'!Q732=""),"",IF('Donor Sample'!P732="",ROUND(AA715/($C$32+($AI715-0.5)*$C$31),0),'Donor Sample'!P732))</f>
        <v/>
      </c>
      <c r="AA715" s="297" t="str">
        <f>IF('Donor Sample'!Q732="","",'Donor Sample'!Q732)</f>
        <v/>
      </c>
      <c r="AB715" s="296" t="str">
        <f t="shared" si="171"/>
        <v/>
      </c>
      <c r="AC715" s="295" t="str">
        <f>IF('Donor Sample'!R732="","",'Donor Sample'!R732)</f>
        <v/>
      </c>
      <c r="AD715" s="294" t="str">
        <f>IF('Donor Sample'!S732="","",'Donor Sample'!S732/100)</f>
        <v/>
      </c>
      <c r="AE715" s="293" t="e">
        <f t="shared" si="181"/>
        <v>#VALUE!</v>
      </c>
      <c r="AF715" s="293" t="str">
        <f t="shared" si="182"/>
        <v/>
      </c>
      <c r="AG715" s="292" t="str">
        <f>IF('Donor Sample'!T732="","",'Donor Sample'!T732)</f>
        <v/>
      </c>
      <c r="AH715" s="891">
        <f t="shared" si="183"/>
        <v>256</v>
      </c>
      <c r="AI715" s="1220">
        <v>0.84975844621658325</v>
      </c>
      <c r="AJ715" s="1216"/>
    </row>
    <row r="716" spans="5:36">
      <c r="E716" s="299">
        <v>708</v>
      </c>
      <c r="F716" s="308">
        <f t="shared" ca="1" si="172"/>
        <v>3454.348040198523</v>
      </c>
      <c r="G716" s="307">
        <f t="shared" ca="1" si="173"/>
        <v>202.49891891022395</v>
      </c>
      <c r="H716" s="306">
        <f t="shared" ca="1" si="174"/>
        <v>0.40002183513448691</v>
      </c>
      <c r="I716" s="305">
        <f t="shared" ca="1" si="176"/>
        <v>130.07017705831981</v>
      </c>
      <c r="J716" s="305">
        <f t="shared" ca="1" si="177"/>
        <v>54.088268340673409</v>
      </c>
      <c r="K716" s="292">
        <f t="shared" ca="1" si="175"/>
        <v>11.863959428277507</v>
      </c>
      <c r="L716" s="1290">
        <f t="shared" ca="1" si="178"/>
        <v>31.299992644968633</v>
      </c>
      <c r="M716" s="299">
        <v>708</v>
      </c>
      <c r="N716" s="304">
        <f t="shared" si="179"/>
        <v>3199.7291566378353</v>
      </c>
      <c r="O716" s="303">
        <v>225.84701790798906</v>
      </c>
      <c r="P716" s="302">
        <v>0.35572068195460099</v>
      </c>
      <c r="Q716" s="301">
        <v>99.785650381077147</v>
      </c>
      <c r="R716" s="301">
        <v>57.431516705073427</v>
      </c>
      <c r="S716" s="300">
        <v>7.5054552184944754</v>
      </c>
      <c r="T716" s="891">
        <f t="shared" si="180"/>
        <v>64</v>
      </c>
      <c r="U716" s="1220">
        <v>0.52379870414733887</v>
      </c>
      <c r="W716" s="299">
        <v>708</v>
      </c>
      <c r="X716" s="298">
        <f>IF('Donor Sample'!N733="",,IF('Donor Sample'!N733="F",1,0))</f>
        <v>0</v>
      </c>
      <c r="Y716" s="298" t="str">
        <f>IF('Donor Sample'!O733="","",'Donor Sample'!O733)</f>
        <v/>
      </c>
      <c r="Z716" s="298" t="str">
        <f>IF(AND('Donor Sample'!O733="",'Donor Sample'!P733="",'Donor Sample'!Q733=""),"",IF('Donor Sample'!P733="",ROUND(AA716/($C$32+($AI716-0.5)*$C$31),0),'Donor Sample'!P733))</f>
        <v/>
      </c>
      <c r="AA716" s="297" t="str">
        <f>IF('Donor Sample'!Q733="","",'Donor Sample'!Q733)</f>
        <v/>
      </c>
      <c r="AB716" s="296" t="str">
        <f t="shared" si="171"/>
        <v/>
      </c>
      <c r="AC716" s="295" t="str">
        <f>IF('Donor Sample'!R733="","",'Donor Sample'!R733)</f>
        <v/>
      </c>
      <c r="AD716" s="294" t="str">
        <f>IF('Donor Sample'!S733="","",'Donor Sample'!S733/100)</f>
        <v/>
      </c>
      <c r="AE716" s="293" t="e">
        <f t="shared" si="181"/>
        <v>#VALUE!</v>
      </c>
      <c r="AF716" s="293" t="str">
        <f t="shared" si="182"/>
        <v/>
      </c>
      <c r="AG716" s="292" t="str">
        <f>IF('Donor Sample'!T733="","",'Donor Sample'!T733)</f>
        <v/>
      </c>
      <c r="AH716" s="891">
        <f t="shared" si="183"/>
        <v>64</v>
      </c>
      <c r="AI716" s="1220">
        <v>0.50130391120910645</v>
      </c>
      <c r="AJ716" s="1216"/>
    </row>
    <row r="717" spans="5:36">
      <c r="E717" s="299">
        <v>709</v>
      </c>
      <c r="F717" s="308">
        <f t="shared" ca="1" si="172"/>
        <v>2928.1313072719831</v>
      </c>
      <c r="G717" s="307">
        <f t="shared" ca="1" si="173"/>
        <v>247.9304244449313</v>
      </c>
      <c r="H717" s="306">
        <f t="shared" ca="1" si="174"/>
        <v>0.43759010369236023</v>
      </c>
      <c r="I717" s="305">
        <f t="shared" ca="1" si="176"/>
        <v>93.702461221905082</v>
      </c>
      <c r="J717" s="305">
        <f t="shared" ca="1" si="177"/>
        <v>54.17817686584236</v>
      </c>
      <c r="K717" s="292">
        <f t="shared" ca="1" si="175"/>
        <v>1.3683096267995385</v>
      </c>
      <c r="L717" s="1290">
        <f t="shared" ca="1" si="178"/>
        <v>22.473715786372015</v>
      </c>
      <c r="M717" s="299">
        <v>709</v>
      </c>
      <c r="N717" s="304">
        <f t="shared" si="179"/>
        <v>3193.8195032477338</v>
      </c>
      <c r="O717" s="303">
        <v>212.85308440338528</v>
      </c>
      <c r="P717" s="302">
        <v>0.42279936981921806</v>
      </c>
      <c r="Q717" s="301">
        <v>123.04083339988796</v>
      </c>
      <c r="R717" s="301">
        <v>50.912997383232153</v>
      </c>
      <c r="S717" s="300">
        <v>1.3141113952450345</v>
      </c>
      <c r="T717" s="891">
        <f t="shared" si="180"/>
        <v>64</v>
      </c>
      <c r="U717" s="1220">
        <v>0.4649619460105896</v>
      </c>
      <c r="W717" s="299">
        <v>709</v>
      </c>
      <c r="X717" s="298">
        <f>IF('Donor Sample'!N734="",,IF('Donor Sample'!N734="F",1,0))</f>
        <v>0</v>
      </c>
      <c r="Y717" s="298" t="str">
        <f>IF('Donor Sample'!O734="","",'Donor Sample'!O734)</f>
        <v/>
      </c>
      <c r="Z717" s="298" t="str">
        <f>IF(AND('Donor Sample'!O734="",'Donor Sample'!P734="",'Donor Sample'!Q734=""),"",IF('Donor Sample'!P734="",ROUND(AA717/($C$32+($AI717-0.5)*$C$31),0),'Donor Sample'!P734))</f>
        <v/>
      </c>
      <c r="AA717" s="297" t="str">
        <f>IF('Donor Sample'!Q734="","",'Donor Sample'!Q734)</f>
        <v/>
      </c>
      <c r="AB717" s="296" t="str">
        <f t="shared" si="171"/>
        <v/>
      </c>
      <c r="AC717" s="295" t="str">
        <f>IF('Donor Sample'!R734="","",'Donor Sample'!R734)</f>
        <v/>
      </c>
      <c r="AD717" s="294" t="str">
        <f>IF('Donor Sample'!S734="","",'Donor Sample'!S734/100)</f>
        <v/>
      </c>
      <c r="AE717" s="407" t="e">
        <f t="shared" si="181"/>
        <v>#VALUE!</v>
      </c>
      <c r="AF717" s="293" t="str">
        <f t="shared" si="182"/>
        <v/>
      </c>
      <c r="AG717" s="292" t="str">
        <f>IF('Donor Sample'!T734="","",'Donor Sample'!T734)</f>
        <v/>
      </c>
      <c r="AH717" s="891">
        <f t="shared" si="183"/>
        <v>64</v>
      </c>
      <c r="AI717" s="1220">
        <v>0.59934085607528687</v>
      </c>
      <c r="AJ717" s="1216"/>
    </row>
    <row r="718" spans="5:36">
      <c r="E718" s="299">
        <v>710</v>
      </c>
      <c r="F718" s="308">
        <f t="shared" ca="1" si="172"/>
        <v>4117.4114739408442</v>
      </c>
      <c r="G718" s="307">
        <f t="shared" ca="1" si="173"/>
        <v>246.63131103821638</v>
      </c>
      <c r="H718" s="306">
        <f t="shared" ca="1" si="174"/>
        <v>0.389607882048286</v>
      </c>
      <c r="I718" s="305">
        <f t="shared" ca="1" si="176"/>
        <v>146.84725236593374</v>
      </c>
      <c r="J718" s="305">
        <f t="shared" ca="1" si="177"/>
        <v>61.071911564439006</v>
      </c>
      <c r="K718" s="292">
        <f t="shared" ca="1" si="175"/>
        <v>4.4012647646123089</v>
      </c>
      <c r="L718" s="1290">
        <f t="shared" ca="1" si="178"/>
        <v>27.717589377642796</v>
      </c>
      <c r="M718" s="299">
        <v>710</v>
      </c>
      <c r="N718" s="304">
        <f t="shared" si="179"/>
        <v>4467.9444269776186</v>
      </c>
      <c r="O718" s="303">
        <v>245.08288701849796</v>
      </c>
      <c r="P718" s="302">
        <v>0.39360865579071763</v>
      </c>
      <c r="Q718" s="301">
        <v>161.89775478690871</v>
      </c>
      <c r="R718" s="301">
        <v>62.957429341345509</v>
      </c>
      <c r="S718" s="300">
        <v>4.0784684577565793</v>
      </c>
      <c r="T718" s="891">
        <f t="shared" si="180"/>
        <v>2</v>
      </c>
      <c r="U718" s="1220">
        <v>0.1885303258895874</v>
      </c>
      <c r="W718" s="299">
        <v>710</v>
      </c>
      <c r="X718" s="298">
        <f>IF('Donor Sample'!N735="",,IF('Donor Sample'!N735="F",1,0))</f>
        <v>0</v>
      </c>
      <c r="Y718" s="298" t="str">
        <f>IF('Donor Sample'!O735="","",'Donor Sample'!O735)</f>
        <v/>
      </c>
      <c r="Z718" s="298" t="str">
        <f>IF(AND('Donor Sample'!O735="",'Donor Sample'!P735="",'Donor Sample'!Q735=""),"",IF('Donor Sample'!P735="",ROUND(AA718/($C$32+($AI718-0.5)*$C$31),0),'Donor Sample'!P735))</f>
        <v/>
      </c>
      <c r="AA718" s="297" t="str">
        <f>IF('Donor Sample'!Q735="","",'Donor Sample'!Q735)</f>
        <v/>
      </c>
      <c r="AB718" s="296" t="str">
        <f t="shared" si="171"/>
        <v/>
      </c>
      <c r="AC718" s="295" t="str">
        <f>IF('Donor Sample'!R735="","",'Donor Sample'!R735)</f>
        <v/>
      </c>
      <c r="AD718" s="294" t="str">
        <f>IF('Donor Sample'!S735="","",'Donor Sample'!S735/100)</f>
        <v/>
      </c>
      <c r="AE718" s="293" t="e">
        <f t="shared" si="181"/>
        <v>#VALUE!</v>
      </c>
      <c r="AF718" s="293" t="str">
        <f t="shared" si="182"/>
        <v/>
      </c>
      <c r="AG718" s="292" t="str">
        <f>IF('Donor Sample'!T735="","",'Donor Sample'!T735)</f>
        <v/>
      </c>
      <c r="AH718" s="891">
        <f t="shared" si="183"/>
        <v>2</v>
      </c>
      <c r="AI718" s="1220">
        <v>8.4710001945495605E-2</v>
      </c>
      <c r="AJ718" s="1216"/>
    </row>
    <row r="719" spans="5:36">
      <c r="E719" s="299">
        <v>711</v>
      </c>
      <c r="F719" s="308">
        <f t="shared" ca="1" si="172"/>
        <v>3252.9407242928633</v>
      </c>
      <c r="G719" s="307">
        <f t="shared" ca="1" si="173"/>
        <v>279.29274552174735</v>
      </c>
      <c r="H719" s="306">
        <f t="shared" ca="1" si="174"/>
        <v>0.46772292665014648</v>
      </c>
      <c r="I719" s="305">
        <f t="shared" ca="1" si="176"/>
        <v>121.24763097848572</v>
      </c>
      <c r="J719" s="305">
        <f t="shared" ca="1" si="177"/>
        <v>52.675830099688177</v>
      </c>
      <c r="K719" s="292">
        <f t="shared" ca="1" si="175"/>
        <v>2.3477832931456093</v>
      </c>
      <c r="L719" s="1290">
        <f t="shared" ca="1" si="178"/>
        <v>30.762607509824225</v>
      </c>
      <c r="M719" s="299">
        <v>711</v>
      </c>
      <c r="N719" s="304">
        <f t="shared" si="179"/>
        <v>3793.1252547909125</v>
      </c>
      <c r="O719" s="303">
        <v>241.42216585616191</v>
      </c>
      <c r="P719" s="302">
        <v>0.45189488422308133</v>
      </c>
      <c r="Q719" s="301">
        <v>121.66831295374156</v>
      </c>
      <c r="R719" s="301">
        <v>61.709299157342187</v>
      </c>
      <c r="S719" s="300">
        <v>2.0895311429047063</v>
      </c>
      <c r="T719" s="891">
        <f t="shared" si="180"/>
        <v>64</v>
      </c>
      <c r="U719" s="1220">
        <v>0.56415086984634399</v>
      </c>
      <c r="W719" s="299">
        <v>711</v>
      </c>
      <c r="X719" s="298">
        <f>IF('Donor Sample'!N736="",,IF('Donor Sample'!N736="F",1,0))</f>
        <v>0</v>
      </c>
      <c r="Y719" s="298" t="str">
        <f>IF('Donor Sample'!O736="","",'Donor Sample'!O736)</f>
        <v/>
      </c>
      <c r="Z719" s="298" t="str">
        <f>IF(AND('Donor Sample'!O736="",'Donor Sample'!P736="",'Donor Sample'!Q736=""),"",IF('Donor Sample'!P736="",ROUND(AA719/($C$32+($AI719-0.5)*$C$31),0),'Donor Sample'!P736))</f>
        <v/>
      </c>
      <c r="AA719" s="297" t="str">
        <f>IF('Donor Sample'!Q736="","",'Donor Sample'!Q736)</f>
        <v/>
      </c>
      <c r="AB719" s="296" t="str">
        <f t="shared" si="171"/>
        <v/>
      </c>
      <c r="AC719" s="295" t="str">
        <f>IF('Donor Sample'!R736="","",'Donor Sample'!R736)</f>
        <v/>
      </c>
      <c r="AD719" s="294" t="str">
        <f>IF('Donor Sample'!S736="","",'Donor Sample'!S736/100)</f>
        <v/>
      </c>
      <c r="AE719" s="293" t="e">
        <f t="shared" si="181"/>
        <v>#VALUE!</v>
      </c>
      <c r="AF719" s="293" t="str">
        <f t="shared" si="182"/>
        <v/>
      </c>
      <c r="AG719" s="292" t="str">
        <f>IF('Donor Sample'!T736="","",'Donor Sample'!T736)</f>
        <v/>
      </c>
      <c r="AH719" s="891">
        <f t="shared" si="183"/>
        <v>64</v>
      </c>
      <c r="AI719" s="1220">
        <v>0.47766262292861938</v>
      </c>
      <c r="AJ719" s="1216"/>
    </row>
    <row r="720" spans="5:36">
      <c r="E720" s="299">
        <v>712</v>
      </c>
      <c r="F720" s="308">
        <f t="shared" ca="1" si="172"/>
        <v>3724.0651021842436</v>
      </c>
      <c r="G720" s="307">
        <f t="shared" ca="1" si="173"/>
        <v>249.98990372786847</v>
      </c>
      <c r="H720" s="306">
        <f t="shared" ca="1" si="174"/>
        <v>0.51410067411089266</v>
      </c>
      <c r="I720" s="305">
        <f t="shared" ca="1" si="176"/>
        <v>126.66497108567779</v>
      </c>
      <c r="J720" s="305">
        <f t="shared" ca="1" si="177"/>
        <v>59.568197493116628</v>
      </c>
      <c r="K720" s="292">
        <f t="shared" ca="1" si="175"/>
        <v>1.7519015706653231</v>
      </c>
      <c r="L720" s="1290">
        <f t="shared" ca="1" si="178"/>
        <v>25.130450265879702</v>
      </c>
      <c r="M720" s="299">
        <v>712</v>
      </c>
      <c r="N720" s="304">
        <f t="shared" si="179"/>
        <v>4807.9609044276949</v>
      </c>
      <c r="O720" s="303">
        <v>297.2167946313964</v>
      </c>
      <c r="P720" s="302">
        <v>0.42192773163236647</v>
      </c>
      <c r="Q720" s="301">
        <v>194.49964685730112</v>
      </c>
      <c r="R720" s="301">
        <v>60.994878102637159</v>
      </c>
      <c r="S720" s="300">
        <v>16.931648854302953</v>
      </c>
      <c r="T720" s="891">
        <f t="shared" si="180"/>
        <v>2</v>
      </c>
      <c r="U720" s="1220">
        <v>0.23581218719482422</v>
      </c>
      <c r="W720" s="299">
        <v>712</v>
      </c>
      <c r="X720" s="298">
        <f>IF('Donor Sample'!N737="",,IF('Donor Sample'!N737="F",1,0))</f>
        <v>0</v>
      </c>
      <c r="Y720" s="298" t="str">
        <f>IF('Donor Sample'!O737="","",'Donor Sample'!O737)</f>
        <v/>
      </c>
      <c r="Z720" s="298" t="str">
        <f>IF(AND('Donor Sample'!O737="",'Donor Sample'!P737="",'Donor Sample'!Q737=""),"",IF('Donor Sample'!P737="",ROUND(AA720/($C$32+($AI720-0.5)*$C$31),0),'Donor Sample'!P737))</f>
        <v/>
      </c>
      <c r="AA720" s="297" t="str">
        <f>IF('Donor Sample'!Q737="","",'Donor Sample'!Q737)</f>
        <v/>
      </c>
      <c r="AB720" s="296" t="str">
        <f t="shared" si="171"/>
        <v/>
      </c>
      <c r="AC720" s="295" t="str">
        <f>IF('Donor Sample'!R737="","",'Donor Sample'!R737)</f>
        <v/>
      </c>
      <c r="AD720" s="294" t="str">
        <f>IF('Donor Sample'!S737="","",'Donor Sample'!S737/100)</f>
        <v/>
      </c>
      <c r="AE720" s="407" t="e">
        <f t="shared" si="181"/>
        <v>#VALUE!</v>
      </c>
      <c r="AF720" s="293" t="str">
        <f t="shared" si="182"/>
        <v/>
      </c>
      <c r="AG720" s="292" t="str">
        <f>IF('Donor Sample'!T737="","",'Donor Sample'!T737)</f>
        <v/>
      </c>
      <c r="AH720" s="891">
        <f t="shared" si="183"/>
        <v>2</v>
      </c>
      <c r="AI720" s="1220">
        <v>0.18912458419799805</v>
      </c>
      <c r="AJ720" s="1216"/>
    </row>
    <row r="721" spans="5:36">
      <c r="E721" s="299">
        <v>713</v>
      </c>
      <c r="F721" s="308">
        <f t="shared" ca="1" si="172"/>
        <v>3600.6998033014765</v>
      </c>
      <c r="G721" s="307">
        <f t="shared" ca="1" si="173"/>
        <v>265.04434392408052</v>
      </c>
      <c r="H721" s="306">
        <f t="shared" ca="1" si="174"/>
        <v>0.45477279682823529</v>
      </c>
      <c r="I721" s="305">
        <f t="shared" ca="1" si="176"/>
        <v>130.05222312192552</v>
      </c>
      <c r="J721" s="305">
        <f t="shared" ca="1" si="177"/>
        <v>56.735235500275358</v>
      </c>
      <c r="K721" s="292">
        <f t="shared" ca="1" si="175"/>
        <v>12.624626140304992</v>
      </c>
      <c r="L721" s="1290">
        <f t="shared" ca="1" si="178"/>
        <v>28.44361003589707</v>
      </c>
      <c r="M721" s="299">
        <v>713</v>
      </c>
      <c r="N721" s="304">
        <f t="shared" si="179"/>
        <v>3977.44454105155</v>
      </c>
      <c r="O721" s="303">
        <v>212.40654685514974</v>
      </c>
      <c r="P721" s="302">
        <v>0.39494422324151079</v>
      </c>
      <c r="Q721" s="301">
        <v>145.19371831612895</v>
      </c>
      <c r="R721" s="301">
        <v>59.299160824085959</v>
      </c>
      <c r="S721" s="300">
        <v>14.281537524964341</v>
      </c>
      <c r="T721" s="891">
        <f t="shared" si="180"/>
        <v>64</v>
      </c>
      <c r="U721" s="1220">
        <v>0.51275938749313354</v>
      </c>
      <c r="W721" s="299">
        <v>713</v>
      </c>
      <c r="X721" s="298">
        <f>IF('Donor Sample'!N738="",,IF('Donor Sample'!N738="F",1,0))</f>
        <v>0</v>
      </c>
      <c r="Y721" s="298" t="str">
        <f>IF('Donor Sample'!O738="","",'Donor Sample'!O738)</f>
        <v/>
      </c>
      <c r="Z721" s="298" t="str">
        <f>IF(AND('Donor Sample'!O738="",'Donor Sample'!P738="",'Donor Sample'!Q738=""),"",IF('Donor Sample'!P738="",ROUND(AA721/($C$32+($AI721-0.5)*$C$31),0),'Donor Sample'!P738))</f>
        <v/>
      </c>
      <c r="AA721" s="297" t="str">
        <f>IF('Donor Sample'!Q738="","",'Donor Sample'!Q738)</f>
        <v/>
      </c>
      <c r="AB721" s="296" t="str">
        <f t="shared" si="171"/>
        <v/>
      </c>
      <c r="AC721" s="295" t="str">
        <f>IF('Donor Sample'!R738="","",'Donor Sample'!R738)</f>
        <v/>
      </c>
      <c r="AD721" s="294" t="str">
        <f>IF('Donor Sample'!S738="","",'Donor Sample'!S738/100)</f>
        <v/>
      </c>
      <c r="AE721" s="293" t="e">
        <f t="shared" si="181"/>
        <v>#VALUE!</v>
      </c>
      <c r="AF721" s="293" t="str">
        <f t="shared" si="182"/>
        <v/>
      </c>
      <c r="AG721" s="292" t="str">
        <f>IF('Donor Sample'!T738="","",'Donor Sample'!T738)</f>
        <v/>
      </c>
      <c r="AH721" s="891">
        <f t="shared" si="183"/>
        <v>2</v>
      </c>
      <c r="AI721" s="1220">
        <v>7.1279227733612061E-2</v>
      </c>
      <c r="AJ721" s="1216"/>
    </row>
    <row r="722" spans="5:36">
      <c r="E722" s="299">
        <v>714</v>
      </c>
      <c r="F722" s="308">
        <f t="shared" ca="1" si="172"/>
        <v>3267.027951729548</v>
      </c>
      <c r="G722" s="307">
        <f t="shared" ca="1" si="173"/>
        <v>281.24226641432608</v>
      </c>
      <c r="H722" s="306">
        <f t="shared" ca="1" si="174"/>
        <v>0.42548453194621916</v>
      </c>
      <c r="I722" s="305">
        <f t="shared" ca="1" si="176"/>
        <v>112.96170900325292</v>
      </c>
      <c r="J722" s="305">
        <f t="shared" ca="1" si="177"/>
        <v>55.247069785114057</v>
      </c>
      <c r="K722" s="292">
        <f t="shared" ca="1" si="175"/>
        <v>1.3332420842091899</v>
      </c>
      <c r="L722" s="1290">
        <f t="shared" ca="1" si="178"/>
        <v>26.054660345317259</v>
      </c>
      <c r="M722" s="299">
        <v>714</v>
      </c>
      <c r="N722" s="304">
        <f t="shared" si="179"/>
        <v>2761.4885588754023</v>
      </c>
      <c r="O722" s="303">
        <v>276.36623728506265</v>
      </c>
      <c r="P722" s="302">
        <v>0.41794875043194329</v>
      </c>
      <c r="Q722" s="301">
        <v>109.9933782698657</v>
      </c>
      <c r="R722" s="301">
        <v>45.102216683386999</v>
      </c>
      <c r="S722" s="300">
        <v>2.3446356303276499</v>
      </c>
      <c r="T722" s="891">
        <f t="shared" si="180"/>
        <v>64</v>
      </c>
      <c r="U722" s="1220">
        <v>0.74362432956695557</v>
      </c>
      <c r="W722" s="299">
        <v>714</v>
      </c>
      <c r="X722" s="298">
        <f>IF('Donor Sample'!N739="",,IF('Donor Sample'!N739="F",1,0))</f>
        <v>0</v>
      </c>
      <c r="Y722" s="298" t="str">
        <f>IF('Donor Sample'!O739="","",'Donor Sample'!O739)</f>
        <v/>
      </c>
      <c r="Z722" s="298" t="str">
        <f>IF(AND('Donor Sample'!O739="",'Donor Sample'!P739="",'Donor Sample'!Q739=""),"",IF('Donor Sample'!P739="",ROUND(AA722/($C$32+($AI722-0.5)*$C$31),0),'Donor Sample'!P739))</f>
        <v/>
      </c>
      <c r="AA722" s="297" t="str">
        <f>IF('Donor Sample'!Q739="","",'Donor Sample'!Q739)</f>
        <v/>
      </c>
      <c r="AB722" s="296" t="str">
        <f t="shared" si="171"/>
        <v/>
      </c>
      <c r="AC722" s="295" t="str">
        <f>IF('Donor Sample'!R739="","",'Donor Sample'!R739)</f>
        <v/>
      </c>
      <c r="AD722" s="294" t="str">
        <f>IF('Donor Sample'!S739="","",'Donor Sample'!S739/100)</f>
        <v/>
      </c>
      <c r="AE722" s="293" t="e">
        <f t="shared" si="181"/>
        <v>#VALUE!</v>
      </c>
      <c r="AF722" s="293" t="str">
        <f t="shared" si="182"/>
        <v/>
      </c>
      <c r="AG722" s="292" t="str">
        <f>IF('Donor Sample'!T739="","",'Donor Sample'!T739)</f>
        <v/>
      </c>
      <c r="AH722" s="891">
        <f t="shared" si="183"/>
        <v>2</v>
      </c>
      <c r="AI722" s="1220">
        <v>0.31269371509552002</v>
      </c>
      <c r="AJ722" s="1216"/>
    </row>
    <row r="723" spans="5:36">
      <c r="E723" s="299">
        <v>715</v>
      </c>
      <c r="F723" s="308">
        <f t="shared" ca="1" si="172"/>
        <v>2999.3609530904355</v>
      </c>
      <c r="G723" s="307">
        <f t="shared" ca="1" si="173"/>
        <v>201.90267406805566</v>
      </c>
      <c r="H723" s="306">
        <f t="shared" ca="1" si="174"/>
        <v>0.36512721096981687</v>
      </c>
      <c r="I723" s="305">
        <f t="shared" ca="1" si="176"/>
        <v>98.251282201191302</v>
      </c>
      <c r="J723" s="305">
        <f t="shared" ca="1" si="177"/>
        <v>54.269010576831413</v>
      </c>
      <c r="K723" s="292">
        <f t="shared" ca="1" si="175"/>
        <v>4.876036076270081</v>
      </c>
      <c r="L723" s="1290">
        <f t="shared" ca="1" si="178"/>
        <v>23.485893031907072</v>
      </c>
      <c r="M723" s="299">
        <v>715</v>
      </c>
      <c r="N723" s="304">
        <f t="shared" si="179"/>
        <v>3448.4393746236715</v>
      </c>
      <c r="O723" s="303">
        <v>215.85107860549459</v>
      </c>
      <c r="P723" s="302">
        <v>0.42186858001153332</v>
      </c>
      <c r="Q723" s="301">
        <v>124.86536218354384</v>
      </c>
      <c r="R723" s="301">
        <v>55.385109008018588</v>
      </c>
      <c r="S723" s="300">
        <v>6.1990005749853649</v>
      </c>
      <c r="T723" s="891">
        <f t="shared" si="180"/>
        <v>2</v>
      </c>
      <c r="U723" s="1220">
        <v>5.3409874439239502E-2</v>
      </c>
      <c r="W723" s="299">
        <v>715</v>
      </c>
      <c r="X723" s="298">
        <f>IF('Donor Sample'!N740="",,IF('Donor Sample'!N740="F",1,0))</f>
        <v>0</v>
      </c>
      <c r="Y723" s="298" t="str">
        <f>IF('Donor Sample'!O740="","",'Donor Sample'!O740)</f>
        <v/>
      </c>
      <c r="Z723" s="298" t="str">
        <f>IF(AND('Donor Sample'!O740="",'Donor Sample'!P740="",'Donor Sample'!Q740=""),"",IF('Donor Sample'!P740="",ROUND(AA723/($C$32+($AI723-0.5)*$C$31),0),'Donor Sample'!P740))</f>
        <v/>
      </c>
      <c r="AA723" s="297" t="str">
        <f>IF('Donor Sample'!Q740="","",'Donor Sample'!Q740)</f>
        <v/>
      </c>
      <c r="AB723" s="296" t="str">
        <f t="shared" si="171"/>
        <v/>
      </c>
      <c r="AC723" s="295" t="str">
        <f>IF('Donor Sample'!R740="","",'Donor Sample'!R740)</f>
        <v/>
      </c>
      <c r="AD723" s="294" t="str">
        <f>IF('Donor Sample'!S740="","",'Donor Sample'!S740/100)</f>
        <v/>
      </c>
      <c r="AE723" s="407" t="e">
        <f t="shared" si="181"/>
        <v>#VALUE!</v>
      </c>
      <c r="AF723" s="293" t="str">
        <f t="shared" si="182"/>
        <v/>
      </c>
      <c r="AG723" s="292" t="str">
        <f>IF('Donor Sample'!T740="","",'Donor Sample'!T740)</f>
        <v/>
      </c>
      <c r="AH723" s="891">
        <f t="shared" si="183"/>
        <v>2</v>
      </c>
      <c r="AI723" s="1220">
        <v>0.11231499910354614</v>
      </c>
      <c r="AJ723" s="1216"/>
    </row>
    <row r="724" spans="5:36">
      <c r="E724" s="299">
        <v>716</v>
      </c>
      <c r="F724" s="308">
        <f t="shared" ca="1" si="172"/>
        <v>4087.5297583533807</v>
      </c>
      <c r="G724" s="307">
        <f t="shared" ca="1" si="173"/>
        <v>183.91000959320689</v>
      </c>
      <c r="H724" s="306">
        <f t="shared" ca="1" si="174"/>
        <v>0.39947772610953919</v>
      </c>
      <c r="I724" s="305">
        <f t="shared" ca="1" si="176"/>
        <v>136.20933896303302</v>
      </c>
      <c r="J724" s="305">
        <f t="shared" ca="1" si="177"/>
        <v>62.882309185557567</v>
      </c>
      <c r="K724" s="292">
        <f t="shared" ca="1" si="175"/>
        <v>2.0861770671529589</v>
      </c>
      <c r="L724" s="1290">
        <f t="shared" ca="1" si="178"/>
        <v>24.250605187610276</v>
      </c>
      <c r="M724" s="299">
        <v>716</v>
      </c>
      <c r="N724" s="304">
        <f t="shared" si="179"/>
        <v>3832.33860135132</v>
      </c>
      <c r="O724" s="303">
        <v>226.7709039543499</v>
      </c>
      <c r="P724" s="302">
        <v>0.42085082013712638</v>
      </c>
      <c r="Q724" s="301">
        <v>128.73799582668613</v>
      </c>
      <c r="R724" s="301">
        <v>60.762968569183897</v>
      </c>
      <c r="S724" s="300">
        <v>1.8189865806850476</v>
      </c>
      <c r="T724" s="891">
        <f t="shared" si="180"/>
        <v>64</v>
      </c>
      <c r="U724" s="1220">
        <v>0.5544121265411377</v>
      </c>
      <c r="W724" s="299">
        <v>716</v>
      </c>
      <c r="X724" s="298">
        <f>IF('Donor Sample'!N741="",,IF('Donor Sample'!N741="F",1,0))</f>
        <v>0</v>
      </c>
      <c r="Y724" s="298" t="str">
        <f>IF('Donor Sample'!O741="","",'Donor Sample'!O741)</f>
        <v/>
      </c>
      <c r="Z724" s="298" t="str">
        <f>IF(AND('Donor Sample'!O741="",'Donor Sample'!P741="",'Donor Sample'!Q741=""),"",IF('Donor Sample'!P741="",ROUND(AA724/($C$32+($AI724-0.5)*$C$31),0),'Donor Sample'!P741))</f>
        <v/>
      </c>
      <c r="AA724" s="297" t="str">
        <f>IF('Donor Sample'!Q741="","",'Donor Sample'!Q741)</f>
        <v/>
      </c>
      <c r="AB724" s="296" t="str">
        <f t="shared" si="171"/>
        <v/>
      </c>
      <c r="AC724" s="295" t="str">
        <f>IF('Donor Sample'!R741="","",'Donor Sample'!R741)</f>
        <v/>
      </c>
      <c r="AD724" s="294" t="str">
        <f>IF('Donor Sample'!S741="","",'Donor Sample'!S741/100)</f>
        <v/>
      </c>
      <c r="AE724" s="293" t="e">
        <f t="shared" si="181"/>
        <v>#VALUE!</v>
      </c>
      <c r="AF724" s="293" t="str">
        <f t="shared" si="182"/>
        <v/>
      </c>
      <c r="AG724" s="292" t="str">
        <f>IF('Donor Sample'!T741="","",'Donor Sample'!T741)</f>
        <v/>
      </c>
      <c r="AH724" s="891">
        <f t="shared" si="183"/>
        <v>64</v>
      </c>
      <c r="AI724" s="1220">
        <v>0.57935690879821777</v>
      </c>
      <c r="AJ724" s="1216"/>
    </row>
    <row r="725" spans="5:36">
      <c r="E725" s="299">
        <v>717</v>
      </c>
      <c r="F725" s="308">
        <f t="shared" ca="1" si="172"/>
        <v>3474.9687653839196</v>
      </c>
      <c r="G725" s="307">
        <f t="shared" ca="1" si="173"/>
        <v>189.06426134329675</v>
      </c>
      <c r="H725" s="306">
        <f t="shared" ca="1" si="174"/>
        <v>0.43523886981161269</v>
      </c>
      <c r="I725" s="305">
        <f t="shared" ca="1" si="176"/>
        <v>140.19926335618865</v>
      </c>
      <c r="J725" s="305">
        <f t="shared" ca="1" si="177"/>
        <v>51.5600349517523</v>
      </c>
      <c r="K725" s="292">
        <f t="shared" ca="1" si="175"/>
        <v>10.770363514827682</v>
      </c>
      <c r="L725" s="1290">
        <f t="shared" ca="1" si="178"/>
        <v>37.127181806611929</v>
      </c>
      <c r="M725" s="299">
        <v>717</v>
      </c>
      <c r="N725" s="304">
        <f t="shared" si="179"/>
        <v>3141.6657535811796</v>
      </c>
      <c r="O725" s="303">
        <v>264.16334735375921</v>
      </c>
      <c r="P725" s="302">
        <v>0.45837420503650828</v>
      </c>
      <c r="Q725" s="301">
        <v>117.51210456597734</v>
      </c>
      <c r="R725" s="301">
        <v>51.516816289832626</v>
      </c>
      <c r="S725" s="300">
        <v>2.3189326031140087</v>
      </c>
      <c r="T725" s="891">
        <f t="shared" si="180"/>
        <v>64</v>
      </c>
      <c r="U725" s="1220">
        <v>0.44782871007919312</v>
      </c>
      <c r="W725" s="299">
        <v>717</v>
      </c>
      <c r="X725" s="298">
        <f>IF('Donor Sample'!N742="",,IF('Donor Sample'!N742="F",1,0))</f>
        <v>0</v>
      </c>
      <c r="Y725" s="298" t="str">
        <f>IF('Donor Sample'!O742="","",'Donor Sample'!O742)</f>
        <v/>
      </c>
      <c r="Z725" s="298" t="str">
        <f>IF(AND('Donor Sample'!O742="",'Donor Sample'!P742="",'Donor Sample'!Q742=""),"",IF('Donor Sample'!P742="",ROUND(AA725/($C$32+($AI725-0.5)*$C$31),0),'Donor Sample'!P742))</f>
        <v/>
      </c>
      <c r="AA725" s="297" t="str">
        <f>IF('Donor Sample'!Q742="","",'Donor Sample'!Q742)</f>
        <v/>
      </c>
      <c r="AB725" s="296" t="str">
        <f t="shared" si="171"/>
        <v/>
      </c>
      <c r="AC725" s="295" t="str">
        <f>IF('Donor Sample'!R742="","",'Donor Sample'!R742)</f>
        <v/>
      </c>
      <c r="AD725" s="294" t="str">
        <f>IF('Donor Sample'!S742="","",'Donor Sample'!S742/100)</f>
        <v/>
      </c>
      <c r="AE725" s="293" t="e">
        <f t="shared" si="181"/>
        <v>#VALUE!</v>
      </c>
      <c r="AF725" s="293" t="str">
        <f t="shared" si="182"/>
        <v/>
      </c>
      <c r="AG725" s="292" t="str">
        <f>IF('Donor Sample'!T742="","",'Donor Sample'!T742)</f>
        <v/>
      </c>
      <c r="AH725" s="891">
        <f t="shared" si="183"/>
        <v>2</v>
      </c>
      <c r="AI725" s="1220">
        <v>0.26801389455795288</v>
      </c>
      <c r="AJ725" s="1216"/>
    </row>
    <row r="726" spans="5:36">
      <c r="E726" s="299">
        <v>718</v>
      </c>
      <c r="F726" s="308">
        <f t="shared" ca="1" si="172"/>
        <v>3253.231855947558</v>
      </c>
      <c r="G726" s="307">
        <f t="shared" ca="1" si="173"/>
        <v>214.35833339573435</v>
      </c>
      <c r="H726" s="306">
        <f t="shared" ca="1" si="174"/>
        <v>0.36094375963364433</v>
      </c>
      <c r="I726" s="305">
        <f t="shared" ca="1" si="176"/>
        <v>107.51835178917986</v>
      </c>
      <c r="J726" s="305">
        <f t="shared" ca="1" si="177"/>
        <v>62.977428215035189</v>
      </c>
      <c r="K726" s="292">
        <f t="shared" ca="1" si="175"/>
        <v>3.3967357142792487</v>
      </c>
      <c r="L726" s="1290">
        <f t="shared" ca="1" si="178"/>
        <v>19.084703373546791</v>
      </c>
      <c r="M726" s="299">
        <v>718</v>
      </c>
      <c r="N726" s="304">
        <f t="shared" si="179"/>
        <v>2956.1635092084407</v>
      </c>
      <c r="O726" s="303">
        <v>219.32517186411351</v>
      </c>
      <c r="P726" s="302">
        <v>0.35074993882167244</v>
      </c>
      <c r="Q726" s="301">
        <v>121.62369828850805</v>
      </c>
      <c r="R726" s="301">
        <v>54.581545801662593</v>
      </c>
      <c r="S726" s="300">
        <v>4.1883008178169261</v>
      </c>
      <c r="T726" s="891">
        <f t="shared" si="180"/>
        <v>64</v>
      </c>
      <c r="U726" s="1220">
        <v>0.51580893993377686</v>
      </c>
      <c r="W726" s="299">
        <v>718</v>
      </c>
      <c r="X726" s="298">
        <f>IF('Donor Sample'!N743="",,IF('Donor Sample'!N743="F",1,0))</f>
        <v>0</v>
      </c>
      <c r="Y726" s="298" t="str">
        <f>IF('Donor Sample'!O743="","",'Donor Sample'!O743)</f>
        <v/>
      </c>
      <c r="Z726" s="298" t="str">
        <f>IF(AND('Donor Sample'!O743="",'Donor Sample'!P743="",'Donor Sample'!Q743=""),"",IF('Donor Sample'!P743="",ROUND(AA726/($C$32+($AI726-0.5)*$C$31),0),'Donor Sample'!P743))</f>
        <v/>
      </c>
      <c r="AA726" s="297" t="str">
        <f>IF('Donor Sample'!Q743="","",'Donor Sample'!Q743)</f>
        <v/>
      </c>
      <c r="AB726" s="296" t="str">
        <f t="shared" si="171"/>
        <v/>
      </c>
      <c r="AC726" s="295" t="str">
        <f>IF('Donor Sample'!R743="","",'Donor Sample'!R743)</f>
        <v/>
      </c>
      <c r="AD726" s="294" t="str">
        <f>IF('Donor Sample'!S743="","",'Donor Sample'!S743/100)</f>
        <v/>
      </c>
      <c r="AE726" s="407" t="e">
        <f t="shared" si="181"/>
        <v>#VALUE!</v>
      </c>
      <c r="AF726" s="293" t="str">
        <f t="shared" si="182"/>
        <v/>
      </c>
      <c r="AG726" s="292" t="str">
        <f>IF('Donor Sample'!T743="","",'Donor Sample'!T743)</f>
        <v/>
      </c>
      <c r="AH726" s="891">
        <f t="shared" si="183"/>
        <v>256</v>
      </c>
      <c r="AI726" s="1220">
        <v>0.87019479274749756</v>
      </c>
      <c r="AJ726" s="1216"/>
    </row>
    <row r="727" spans="5:36">
      <c r="E727" s="299">
        <v>719</v>
      </c>
      <c r="F727" s="308">
        <f t="shared" ca="1" si="172"/>
        <v>3015.6016943104041</v>
      </c>
      <c r="G727" s="307">
        <f t="shared" ca="1" si="173"/>
        <v>231.81438970764935</v>
      </c>
      <c r="H727" s="306">
        <f t="shared" ca="1" si="174"/>
        <v>0.35659576400671733</v>
      </c>
      <c r="I727" s="305">
        <f t="shared" ca="1" si="176"/>
        <v>107.63812250453925</v>
      </c>
      <c r="J727" s="305">
        <f t="shared" ca="1" si="177"/>
        <v>51.89212286366412</v>
      </c>
      <c r="K727" s="292">
        <f t="shared" ca="1" si="175"/>
        <v>2.2349621151236989</v>
      </c>
      <c r="L727" s="1290">
        <f t="shared" ca="1" si="178"/>
        <v>28.140764885072134</v>
      </c>
      <c r="M727" s="299">
        <v>719</v>
      </c>
      <c r="N727" s="304">
        <f t="shared" si="179"/>
        <v>3120.5863156240448</v>
      </c>
      <c r="O727" s="303">
        <v>234.46138433022514</v>
      </c>
      <c r="P727" s="302">
        <v>0.45834154364938295</v>
      </c>
      <c r="Q727" s="301">
        <v>128.64000610882812</v>
      </c>
      <c r="R727" s="301">
        <v>47.355185682013968</v>
      </c>
      <c r="S727" s="300">
        <v>1.4923959164613285</v>
      </c>
      <c r="T727" s="891">
        <f t="shared" si="180"/>
        <v>2</v>
      </c>
      <c r="U727" s="1220">
        <v>0.25467830896377563</v>
      </c>
      <c r="W727" s="299">
        <v>719</v>
      </c>
      <c r="X727" s="298">
        <f>IF('Donor Sample'!N744="",,IF('Donor Sample'!N744="F",1,0))</f>
        <v>0</v>
      </c>
      <c r="Y727" s="298" t="str">
        <f>IF('Donor Sample'!O744="","",'Donor Sample'!O744)</f>
        <v/>
      </c>
      <c r="Z727" s="298" t="str">
        <f>IF(AND('Donor Sample'!O744="",'Donor Sample'!P744="",'Donor Sample'!Q744=""),"",IF('Donor Sample'!P744="",ROUND(AA727/($C$32+($AI727-0.5)*$C$31),0),'Donor Sample'!P744))</f>
        <v/>
      </c>
      <c r="AA727" s="297" t="str">
        <f>IF('Donor Sample'!Q744="","",'Donor Sample'!Q744)</f>
        <v/>
      </c>
      <c r="AB727" s="296" t="str">
        <f t="shared" si="171"/>
        <v/>
      </c>
      <c r="AC727" s="295" t="str">
        <f>IF('Donor Sample'!R744="","",'Donor Sample'!R744)</f>
        <v/>
      </c>
      <c r="AD727" s="294" t="str">
        <f>IF('Donor Sample'!S744="","",'Donor Sample'!S744/100)</f>
        <v/>
      </c>
      <c r="AE727" s="293" t="e">
        <f t="shared" si="181"/>
        <v>#VALUE!</v>
      </c>
      <c r="AF727" s="293" t="str">
        <f t="shared" si="182"/>
        <v/>
      </c>
      <c r="AG727" s="292" t="str">
        <f>IF('Donor Sample'!T744="","",'Donor Sample'!T744)</f>
        <v/>
      </c>
      <c r="AH727" s="891">
        <f t="shared" si="183"/>
        <v>2</v>
      </c>
      <c r="AI727" s="1220">
        <v>0.24669653177261353</v>
      </c>
      <c r="AJ727" s="1216"/>
    </row>
    <row r="728" spans="5:36">
      <c r="E728" s="299">
        <v>720</v>
      </c>
      <c r="F728" s="308">
        <f t="shared" ca="1" si="172"/>
        <v>2769.9355109326143</v>
      </c>
      <c r="G728" s="307">
        <f t="shared" ca="1" si="173"/>
        <v>250.48038590892813</v>
      </c>
      <c r="H728" s="306">
        <f t="shared" ca="1" si="174"/>
        <v>0.36976690823182606</v>
      </c>
      <c r="I728" s="305">
        <f t="shared" ca="1" si="176"/>
        <v>114.54590182282092</v>
      </c>
      <c r="J728" s="305">
        <f t="shared" ca="1" si="177"/>
        <v>43.461885374563721</v>
      </c>
      <c r="K728" s="292">
        <f t="shared" ca="1" si="175"/>
        <v>2.8548619352980893</v>
      </c>
      <c r="L728" s="1290">
        <f t="shared" ca="1" si="178"/>
        <v>42.690878393558741</v>
      </c>
      <c r="M728" s="299">
        <v>720</v>
      </c>
      <c r="N728" s="304">
        <f t="shared" si="179"/>
        <v>3833.4177311041058</v>
      </c>
      <c r="O728" s="303">
        <v>264.732014665549</v>
      </c>
      <c r="P728" s="302">
        <v>0.47055637364983588</v>
      </c>
      <c r="Q728" s="301">
        <v>118.3000452138799</v>
      </c>
      <c r="R728" s="301">
        <v>62.985391671751714</v>
      </c>
      <c r="S728" s="300">
        <v>6.0851407021735859</v>
      </c>
      <c r="T728" s="891">
        <f t="shared" si="180"/>
        <v>64</v>
      </c>
      <c r="U728" s="1220">
        <v>0.6471400260925293</v>
      </c>
      <c r="W728" s="299">
        <v>720</v>
      </c>
      <c r="X728" s="298">
        <f>IF('Donor Sample'!N745="",,IF('Donor Sample'!N745="F",1,0))</f>
        <v>0</v>
      </c>
      <c r="Y728" s="298" t="str">
        <f>IF('Donor Sample'!O745="","",'Donor Sample'!O745)</f>
        <v/>
      </c>
      <c r="Z728" s="298" t="str">
        <f>IF(AND('Donor Sample'!O745="",'Donor Sample'!P745="",'Donor Sample'!Q745=""),"",IF('Donor Sample'!P745="",ROUND(AA728/($C$32+($AI728-0.5)*$C$31),0),'Donor Sample'!P745))</f>
        <v/>
      </c>
      <c r="AA728" s="297" t="str">
        <f>IF('Donor Sample'!Q745="","",'Donor Sample'!Q745)</f>
        <v/>
      </c>
      <c r="AB728" s="296" t="str">
        <f t="shared" si="171"/>
        <v/>
      </c>
      <c r="AC728" s="295" t="str">
        <f>IF('Donor Sample'!R745="","",'Donor Sample'!R745)</f>
        <v/>
      </c>
      <c r="AD728" s="294" t="str">
        <f>IF('Donor Sample'!S745="","",'Donor Sample'!S745/100)</f>
        <v/>
      </c>
      <c r="AE728" s="293" t="e">
        <f t="shared" si="181"/>
        <v>#VALUE!</v>
      </c>
      <c r="AF728" s="293" t="str">
        <f t="shared" si="182"/>
        <v/>
      </c>
      <c r="AG728" s="292" t="str">
        <f>IF('Donor Sample'!T745="","",'Donor Sample'!T745)</f>
        <v/>
      </c>
      <c r="AH728" s="891">
        <f t="shared" si="183"/>
        <v>2</v>
      </c>
      <c r="AI728" s="1220">
        <v>5.558013916015625E-3</v>
      </c>
      <c r="AJ728" s="1216"/>
    </row>
    <row r="729" spans="5:36">
      <c r="E729" s="299">
        <v>721</v>
      </c>
      <c r="F729" s="308">
        <f t="shared" ca="1" si="172"/>
        <v>3719.7751869993931</v>
      </c>
      <c r="G729" s="307">
        <f t="shared" ca="1" si="173"/>
        <v>258.94622861882823</v>
      </c>
      <c r="H729" s="306">
        <f t="shared" ca="1" si="174"/>
        <v>0.3946704214566511</v>
      </c>
      <c r="I729" s="305">
        <f t="shared" ca="1" si="176"/>
        <v>134.16073055524905</v>
      </c>
      <c r="J729" s="305">
        <f t="shared" ca="1" si="177"/>
        <v>57.735335989775542</v>
      </c>
      <c r="K729" s="292">
        <f t="shared" ca="1" si="175"/>
        <v>1.6188328343380853</v>
      </c>
      <c r="L729" s="1290">
        <f t="shared" ca="1" si="178"/>
        <v>28.334442928977683</v>
      </c>
      <c r="M729" s="299">
        <v>721</v>
      </c>
      <c r="N729" s="304">
        <f t="shared" si="179"/>
        <v>3193.4454168270559</v>
      </c>
      <c r="O729" s="303">
        <v>236.82409531397863</v>
      </c>
      <c r="P729" s="302">
        <v>0.38176859319792067</v>
      </c>
      <c r="Q729" s="301">
        <v>101.24063053835104</v>
      </c>
      <c r="R729" s="301">
        <v>56.965027330972276</v>
      </c>
      <c r="S729" s="300">
        <v>3.5866197635473656</v>
      </c>
      <c r="T729" s="891">
        <f t="shared" si="180"/>
        <v>2</v>
      </c>
      <c r="U729" s="1220">
        <v>0.33004540205001831</v>
      </c>
      <c r="W729" s="299">
        <v>721</v>
      </c>
      <c r="X729" s="298">
        <f>IF('Donor Sample'!N746="",,IF('Donor Sample'!N746="F",1,0))</f>
        <v>0</v>
      </c>
      <c r="Y729" s="298" t="str">
        <f>IF('Donor Sample'!O746="","",'Donor Sample'!O746)</f>
        <v/>
      </c>
      <c r="Z729" s="298" t="str">
        <f>IF(AND('Donor Sample'!O746="",'Donor Sample'!P746="",'Donor Sample'!Q746=""),"",IF('Donor Sample'!P746="",ROUND(AA729/($C$32+($AI729-0.5)*$C$31),0),'Donor Sample'!P746))</f>
        <v/>
      </c>
      <c r="AA729" s="297" t="str">
        <f>IF('Donor Sample'!Q746="","",'Donor Sample'!Q746)</f>
        <v/>
      </c>
      <c r="AB729" s="296" t="str">
        <f t="shared" si="171"/>
        <v/>
      </c>
      <c r="AC729" s="295" t="str">
        <f>IF('Donor Sample'!R746="","",'Donor Sample'!R746)</f>
        <v/>
      </c>
      <c r="AD729" s="294" t="str">
        <f>IF('Donor Sample'!S746="","",'Donor Sample'!S746/100)</f>
        <v/>
      </c>
      <c r="AE729" s="407" t="e">
        <f t="shared" si="181"/>
        <v>#VALUE!</v>
      </c>
      <c r="AF729" s="293" t="str">
        <f t="shared" si="182"/>
        <v/>
      </c>
      <c r="AG729" s="292" t="str">
        <f>IF('Donor Sample'!T746="","",'Donor Sample'!T746)</f>
        <v/>
      </c>
      <c r="AH729" s="891">
        <f t="shared" si="183"/>
        <v>64</v>
      </c>
      <c r="AI729" s="1220">
        <v>0.75137346982955933</v>
      </c>
      <c r="AJ729" s="1216"/>
    </row>
    <row r="730" spans="5:36">
      <c r="E730" s="299">
        <v>722</v>
      </c>
      <c r="F730" s="308">
        <f t="shared" ca="1" si="172"/>
        <v>3366.3498933219421</v>
      </c>
      <c r="G730" s="307">
        <f t="shared" ca="1" si="173"/>
        <v>179.94023678132396</v>
      </c>
      <c r="H730" s="306">
        <f t="shared" ca="1" si="174"/>
        <v>0.47353845061440369</v>
      </c>
      <c r="I730" s="305">
        <f t="shared" ca="1" si="176"/>
        <v>120.75480278977332</v>
      </c>
      <c r="J730" s="305">
        <f t="shared" ca="1" si="177"/>
        <v>54.983192336866885</v>
      </c>
      <c r="K730" s="292">
        <f t="shared" ca="1" si="175"/>
        <v>2.5235156189844514</v>
      </c>
      <c r="L730" s="1290">
        <f t="shared" ca="1" si="178"/>
        <v>28.120119968774368</v>
      </c>
      <c r="M730" s="299">
        <v>722</v>
      </c>
      <c r="N730" s="304">
        <f t="shared" si="179"/>
        <v>3490.4124098104403</v>
      </c>
      <c r="O730" s="303">
        <v>246.65934686968433</v>
      </c>
      <c r="P730" s="302">
        <v>0.41776627684206352</v>
      </c>
      <c r="Q730" s="301">
        <v>144.20747724979995</v>
      </c>
      <c r="R730" s="301">
        <v>50.645505982059454</v>
      </c>
      <c r="S730" s="300">
        <v>2.0073782909561011</v>
      </c>
      <c r="T730" s="891">
        <f t="shared" si="180"/>
        <v>64</v>
      </c>
      <c r="U730" s="1220">
        <v>0.63795769214630127</v>
      </c>
      <c r="W730" s="299">
        <v>722</v>
      </c>
      <c r="X730" s="298">
        <f>IF('Donor Sample'!N747="",,IF('Donor Sample'!N747="F",1,0))</f>
        <v>0</v>
      </c>
      <c r="Y730" s="298" t="str">
        <f>IF('Donor Sample'!O747="","",'Donor Sample'!O747)</f>
        <v/>
      </c>
      <c r="Z730" s="298" t="str">
        <f>IF(AND('Donor Sample'!O747="",'Donor Sample'!P747="",'Donor Sample'!Q747=""),"",IF('Donor Sample'!P747="",ROUND(AA730/($C$32+($AI730-0.5)*$C$31),0),'Donor Sample'!P747))</f>
        <v/>
      </c>
      <c r="AA730" s="297" t="str">
        <f>IF('Donor Sample'!Q747="","",'Donor Sample'!Q747)</f>
        <v/>
      </c>
      <c r="AB730" s="296" t="str">
        <f t="shared" si="171"/>
        <v/>
      </c>
      <c r="AC730" s="295" t="str">
        <f>IF('Donor Sample'!R747="","",'Donor Sample'!R747)</f>
        <v/>
      </c>
      <c r="AD730" s="294" t="str">
        <f>IF('Donor Sample'!S747="","",'Donor Sample'!S747/100)</f>
        <v/>
      </c>
      <c r="AE730" s="293" t="e">
        <f t="shared" si="181"/>
        <v>#VALUE!</v>
      </c>
      <c r="AF730" s="293" t="str">
        <f t="shared" si="182"/>
        <v/>
      </c>
      <c r="AG730" s="292" t="str">
        <f>IF('Donor Sample'!T747="","",'Donor Sample'!T747)</f>
        <v/>
      </c>
      <c r="AH730" s="891">
        <f t="shared" si="183"/>
        <v>4</v>
      </c>
      <c r="AI730" s="1220">
        <v>0.38422739505767822</v>
      </c>
      <c r="AJ730" s="1216"/>
    </row>
    <row r="731" spans="5:36">
      <c r="E731" s="299">
        <v>723</v>
      </c>
      <c r="F731" s="308">
        <f t="shared" ca="1" si="172"/>
        <v>4179.1423869718456</v>
      </c>
      <c r="G731" s="307">
        <f t="shared" ca="1" si="173"/>
        <v>264.30977140923864</v>
      </c>
      <c r="H731" s="306">
        <f t="shared" ca="1" si="174"/>
        <v>0.44548220246072678</v>
      </c>
      <c r="I731" s="305">
        <f t="shared" ca="1" si="176"/>
        <v>164.12773360688183</v>
      </c>
      <c r="J731" s="305">
        <f t="shared" ca="1" si="177"/>
        <v>58.096490652012903</v>
      </c>
      <c r="K731" s="292">
        <f t="shared" ca="1" si="175"/>
        <v>2.1893224066603771</v>
      </c>
      <c r="L731" s="1290">
        <f t="shared" ca="1" si="178"/>
        <v>34.233778221182611</v>
      </c>
      <c r="M731" s="299">
        <v>723</v>
      </c>
      <c r="N731" s="304">
        <f t="shared" si="179"/>
        <v>2824.6765614302249</v>
      </c>
      <c r="O731" s="303">
        <v>180.68000067300619</v>
      </c>
      <c r="P731" s="302">
        <v>0.41065528593385986</v>
      </c>
      <c r="Q731" s="301">
        <v>107.25431576559785</v>
      </c>
      <c r="R731" s="301">
        <v>47.755328979591418</v>
      </c>
      <c r="S731" s="300">
        <v>1.399885632693002</v>
      </c>
      <c r="T731" s="891">
        <f t="shared" si="180"/>
        <v>32</v>
      </c>
      <c r="U731" s="1220">
        <v>0.83183556795120239</v>
      </c>
      <c r="W731" s="299">
        <v>723</v>
      </c>
      <c r="X731" s="298">
        <f>IF('Donor Sample'!N748="",,IF('Donor Sample'!N748="F",1,0))</f>
        <v>0</v>
      </c>
      <c r="Y731" s="298" t="str">
        <f>IF('Donor Sample'!O748="","",'Donor Sample'!O748)</f>
        <v/>
      </c>
      <c r="Z731" s="298" t="str">
        <f>IF(AND('Donor Sample'!O748="",'Donor Sample'!P748="",'Donor Sample'!Q748=""),"",IF('Donor Sample'!P748="",ROUND(AA731/($C$32+($AI731-0.5)*$C$31),0),'Donor Sample'!P748))</f>
        <v/>
      </c>
      <c r="AA731" s="297" t="str">
        <f>IF('Donor Sample'!Q748="","",'Donor Sample'!Q748)</f>
        <v/>
      </c>
      <c r="AB731" s="296" t="str">
        <f t="shared" si="171"/>
        <v/>
      </c>
      <c r="AC731" s="295" t="str">
        <f>IF('Donor Sample'!R748="","",'Donor Sample'!R748)</f>
        <v/>
      </c>
      <c r="AD731" s="294" t="str">
        <f>IF('Donor Sample'!S748="","",'Donor Sample'!S748/100)</f>
        <v/>
      </c>
      <c r="AE731" s="293" t="e">
        <f t="shared" si="181"/>
        <v>#VALUE!</v>
      </c>
      <c r="AF731" s="293" t="str">
        <f t="shared" si="182"/>
        <v/>
      </c>
      <c r="AG731" s="292" t="str">
        <f>IF('Donor Sample'!T748="","",'Donor Sample'!T748)</f>
        <v/>
      </c>
      <c r="AH731" s="891">
        <f t="shared" si="183"/>
        <v>2</v>
      </c>
      <c r="AI731" s="1220">
        <v>6.2264740467071533E-2</v>
      </c>
      <c r="AJ731" s="1216"/>
    </row>
    <row r="732" spans="5:36">
      <c r="E732" s="299">
        <v>724</v>
      </c>
      <c r="F732" s="308">
        <f t="shared" ca="1" si="172"/>
        <v>2919.5137107599198</v>
      </c>
      <c r="G732" s="307">
        <f t="shared" ca="1" si="173"/>
        <v>241.99679932845746</v>
      </c>
      <c r="H732" s="306">
        <f t="shared" ca="1" si="174"/>
        <v>0.4498087561391621</v>
      </c>
      <c r="I732" s="305">
        <f t="shared" ca="1" si="176"/>
        <v>112.94507482129043</v>
      </c>
      <c r="J732" s="305">
        <f t="shared" ca="1" si="177"/>
        <v>48.039349674307118</v>
      </c>
      <c r="K732" s="292">
        <f t="shared" ca="1" si="175"/>
        <v>3.8944751102457627</v>
      </c>
      <c r="L732" s="1290">
        <f t="shared" ca="1" si="178"/>
        <v>34.454481403341894</v>
      </c>
      <c r="M732" s="299">
        <v>724</v>
      </c>
      <c r="N732" s="304">
        <f t="shared" si="179"/>
        <v>4076.9454029867552</v>
      </c>
      <c r="O732" s="303">
        <v>256.7679056369202</v>
      </c>
      <c r="P732" s="302">
        <v>0.42809086468584245</v>
      </c>
      <c r="Q732" s="301">
        <v>170.83220118930404</v>
      </c>
      <c r="R732" s="301">
        <v>54.603979638285963</v>
      </c>
      <c r="S732" s="300">
        <v>3.9457953575087039</v>
      </c>
      <c r="T732" s="891">
        <f t="shared" si="180"/>
        <v>2</v>
      </c>
      <c r="U732" s="1220">
        <v>0.33485770225524902</v>
      </c>
      <c r="W732" s="299">
        <v>724</v>
      </c>
      <c r="X732" s="298">
        <f>IF('Donor Sample'!N749="",,IF('Donor Sample'!N749="F",1,0))</f>
        <v>0</v>
      </c>
      <c r="Y732" s="298" t="str">
        <f>IF('Donor Sample'!O749="","",'Donor Sample'!O749)</f>
        <v/>
      </c>
      <c r="Z732" s="298" t="str">
        <f>IF(AND('Donor Sample'!O749="",'Donor Sample'!P749="",'Donor Sample'!Q749=""),"",IF('Donor Sample'!P749="",ROUND(AA732/($C$32+($AI732-0.5)*$C$31),0),'Donor Sample'!P749))</f>
        <v/>
      </c>
      <c r="AA732" s="297" t="str">
        <f>IF('Donor Sample'!Q749="","",'Donor Sample'!Q749)</f>
        <v/>
      </c>
      <c r="AB732" s="296" t="str">
        <f t="shared" si="171"/>
        <v/>
      </c>
      <c r="AC732" s="295" t="str">
        <f>IF('Donor Sample'!R749="","",'Donor Sample'!R749)</f>
        <v/>
      </c>
      <c r="AD732" s="294" t="str">
        <f>IF('Donor Sample'!S749="","",'Donor Sample'!S749/100)</f>
        <v/>
      </c>
      <c r="AE732" s="407" t="e">
        <f t="shared" si="181"/>
        <v>#VALUE!</v>
      </c>
      <c r="AF732" s="293" t="str">
        <f t="shared" si="182"/>
        <v/>
      </c>
      <c r="AG732" s="292" t="str">
        <f>IF('Donor Sample'!T749="","",'Donor Sample'!T749)</f>
        <v/>
      </c>
      <c r="AH732" s="891">
        <f t="shared" si="183"/>
        <v>64</v>
      </c>
      <c r="AI732" s="1220">
        <v>0.7358553409576416</v>
      </c>
      <c r="AJ732" s="1216"/>
    </row>
    <row r="733" spans="5:36">
      <c r="E733" s="299">
        <v>725</v>
      </c>
      <c r="F733" s="308">
        <f t="shared" ca="1" si="172"/>
        <v>3161.5633177998338</v>
      </c>
      <c r="G733" s="307">
        <f t="shared" ca="1" si="173"/>
        <v>203.30303980205184</v>
      </c>
      <c r="H733" s="306">
        <f t="shared" ca="1" si="174"/>
        <v>0.41899501349829926</v>
      </c>
      <c r="I733" s="305">
        <f t="shared" ca="1" si="176"/>
        <v>99.296258687939442</v>
      </c>
      <c r="J733" s="305">
        <f t="shared" ca="1" si="177"/>
        <v>56.905261172251798</v>
      </c>
      <c r="K733" s="292">
        <f t="shared" ca="1" si="175"/>
        <v>6.4217283716201958</v>
      </c>
      <c r="L733" s="1290">
        <f t="shared" ca="1" si="178"/>
        <v>21.587418086039865</v>
      </c>
      <c r="M733" s="299">
        <v>725</v>
      </c>
      <c r="N733" s="304">
        <f t="shared" si="179"/>
        <v>2776.3525423664441</v>
      </c>
      <c r="O733" s="303">
        <v>199.29538058102088</v>
      </c>
      <c r="P733" s="302">
        <v>0.37011874143707474</v>
      </c>
      <c r="Q733" s="301">
        <v>96.3608629098443</v>
      </c>
      <c r="R733" s="301">
        <v>50.308230021023697</v>
      </c>
      <c r="S733" s="300">
        <v>12.145064315391595</v>
      </c>
      <c r="T733" s="891">
        <f t="shared" si="180"/>
        <v>2</v>
      </c>
      <c r="U733" s="1220">
        <v>0.25932401418685913</v>
      </c>
      <c r="W733" s="299">
        <v>725</v>
      </c>
      <c r="X733" s="298">
        <f>IF('Donor Sample'!N750="",,IF('Donor Sample'!N750="F",1,0))</f>
        <v>0</v>
      </c>
      <c r="Y733" s="298" t="str">
        <f>IF('Donor Sample'!O750="","",'Donor Sample'!O750)</f>
        <v/>
      </c>
      <c r="Z733" s="298" t="str">
        <f>IF(AND('Donor Sample'!O750="",'Donor Sample'!P750="",'Donor Sample'!Q750=""),"",IF('Donor Sample'!P750="",ROUND(AA733/($C$32+($AI733-0.5)*$C$31),0),'Donor Sample'!P750))</f>
        <v/>
      </c>
      <c r="AA733" s="297" t="str">
        <f>IF('Donor Sample'!Q750="","",'Donor Sample'!Q750)</f>
        <v/>
      </c>
      <c r="AB733" s="296" t="str">
        <f t="shared" si="171"/>
        <v/>
      </c>
      <c r="AC733" s="295" t="str">
        <f>IF('Donor Sample'!R750="","",'Donor Sample'!R750)</f>
        <v/>
      </c>
      <c r="AD733" s="294" t="str">
        <f>IF('Donor Sample'!S750="","",'Donor Sample'!S750/100)</f>
        <v/>
      </c>
      <c r="AE733" s="293" t="e">
        <f t="shared" si="181"/>
        <v>#VALUE!</v>
      </c>
      <c r="AF733" s="293" t="str">
        <f t="shared" si="182"/>
        <v/>
      </c>
      <c r="AG733" s="292" t="str">
        <f>IF('Donor Sample'!T750="","",'Donor Sample'!T750)</f>
        <v/>
      </c>
      <c r="AH733" s="891">
        <f t="shared" si="183"/>
        <v>2</v>
      </c>
      <c r="AI733" s="1220">
        <v>0.2794756293296814</v>
      </c>
      <c r="AJ733" s="1216"/>
    </row>
    <row r="734" spans="5:36">
      <c r="E734" s="299">
        <v>726</v>
      </c>
      <c r="F734" s="308">
        <f t="shared" ca="1" si="172"/>
        <v>4192.3152327173248</v>
      </c>
      <c r="G734" s="307">
        <f t="shared" ca="1" si="173"/>
        <v>237.22184966030275</v>
      </c>
      <c r="H734" s="306">
        <f t="shared" ca="1" si="174"/>
        <v>0.39239051535661795</v>
      </c>
      <c r="I734" s="305">
        <f t="shared" ca="1" si="176"/>
        <v>153.67599710078574</v>
      </c>
      <c r="J734" s="305">
        <f t="shared" ca="1" si="177"/>
        <v>66.34748526391914</v>
      </c>
      <c r="K734" s="292">
        <f t="shared" ca="1" si="175"/>
        <v>1.5722457785811521</v>
      </c>
      <c r="L734" s="1290">
        <f t="shared" ca="1" si="178"/>
        <v>24.577050704481977</v>
      </c>
      <c r="M734" s="299">
        <v>726</v>
      </c>
      <c r="N734" s="304">
        <f t="shared" si="179"/>
        <v>3489.149103743363</v>
      </c>
      <c r="O734" s="303">
        <v>264.37617222224605</v>
      </c>
      <c r="P734" s="302">
        <v>0.43495732836694778</v>
      </c>
      <c r="Q734" s="301">
        <v>122.81518090982966</v>
      </c>
      <c r="R734" s="301">
        <v>63.070406781933066</v>
      </c>
      <c r="S734" s="300">
        <v>2.387474169311238</v>
      </c>
      <c r="T734" s="891">
        <f t="shared" si="180"/>
        <v>2</v>
      </c>
      <c r="U734" s="1220">
        <v>0.12282693386077881</v>
      </c>
      <c r="W734" s="299">
        <v>726</v>
      </c>
      <c r="X734" s="298">
        <f>IF('Donor Sample'!N751="",,IF('Donor Sample'!N751="F",1,0))</f>
        <v>0</v>
      </c>
      <c r="Y734" s="298" t="str">
        <f>IF('Donor Sample'!O751="","",'Donor Sample'!O751)</f>
        <v/>
      </c>
      <c r="Z734" s="298" t="str">
        <f>IF(AND('Donor Sample'!O751="",'Donor Sample'!P751="",'Donor Sample'!Q751=""),"",IF('Donor Sample'!P751="",ROUND(AA734/($C$32+($AI734-0.5)*$C$31),0),'Donor Sample'!P751))</f>
        <v/>
      </c>
      <c r="AA734" s="297" t="str">
        <f>IF('Donor Sample'!Q751="","",'Donor Sample'!Q751)</f>
        <v/>
      </c>
      <c r="AB734" s="296" t="str">
        <f t="shared" si="171"/>
        <v/>
      </c>
      <c r="AC734" s="295" t="str">
        <f>IF('Donor Sample'!R751="","",'Donor Sample'!R751)</f>
        <v/>
      </c>
      <c r="AD734" s="294" t="str">
        <f>IF('Donor Sample'!S751="","",'Donor Sample'!S751/100)</f>
        <v/>
      </c>
      <c r="AE734" s="293" t="e">
        <f t="shared" si="181"/>
        <v>#VALUE!</v>
      </c>
      <c r="AF734" s="293" t="str">
        <f t="shared" si="182"/>
        <v/>
      </c>
      <c r="AG734" s="292" t="str">
        <f>IF('Donor Sample'!T751="","",'Donor Sample'!T751)</f>
        <v/>
      </c>
      <c r="AH734" s="891">
        <f t="shared" si="183"/>
        <v>256</v>
      </c>
      <c r="AI734" s="1220">
        <v>0.89293849468231201</v>
      </c>
      <c r="AJ734" s="1216"/>
    </row>
    <row r="735" spans="5:36">
      <c r="E735" s="299">
        <v>727</v>
      </c>
      <c r="F735" s="308">
        <f t="shared" ca="1" si="172"/>
        <v>2942.4449481591578</v>
      </c>
      <c r="G735" s="307">
        <f t="shared" ca="1" si="173"/>
        <v>270.63248467014733</v>
      </c>
      <c r="H735" s="306">
        <f t="shared" ca="1" si="174"/>
        <v>0.36411564082659659</v>
      </c>
      <c r="I735" s="305">
        <f t="shared" ca="1" si="176"/>
        <v>91.505273754606421</v>
      </c>
      <c r="J735" s="305">
        <f t="shared" ca="1" si="177"/>
        <v>55.040686465905502</v>
      </c>
      <c r="K735" s="292">
        <f t="shared" ca="1" si="175"/>
        <v>1.7778487629546058</v>
      </c>
      <c r="L735" s="1290">
        <f t="shared" ca="1" si="178"/>
        <v>21.26430046499776</v>
      </c>
      <c r="M735" s="299">
        <v>727</v>
      </c>
      <c r="N735" s="304">
        <f t="shared" si="179"/>
        <v>4038.8459687763216</v>
      </c>
      <c r="O735" s="303">
        <v>204.51554482214439</v>
      </c>
      <c r="P735" s="302">
        <v>0.39267831063437547</v>
      </c>
      <c r="Q735" s="301">
        <v>132.17439781834094</v>
      </c>
      <c r="R735" s="301">
        <v>63.025374978595167</v>
      </c>
      <c r="S735" s="300">
        <v>1.4101807513320781</v>
      </c>
      <c r="T735" s="891">
        <f t="shared" si="180"/>
        <v>32</v>
      </c>
      <c r="U735" s="1220">
        <v>0.80911260843276978</v>
      </c>
      <c r="W735" s="299">
        <v>727</v>
      </c>
      <c r="X735" s="298">
        <f>IF('Donor Sample'!N752="",,IF('Donor Sample'!N752="F",1,0))</f>
        <v>0</v>
      </c>
      <c r="Y735" s="298" t="str">
        <f>IF('Donor Sample'!O752="","",'Donor Sample'!O752)</f>
        <v/>
      </c>
      <c r="Z735" s="298" t="str">
        <f>IF(AND('Donor Sample'!O752="",'Donor Sample'!P752="",'Donor Sample'!Q752=""),"",IF('Donor Sample'!P752="",ROUND(AA735/($C$32+($AI735-0.5)*$C$31),0),'Donor Sample'!P752))</f>
        <v/>
      </c>
      <c r="AA735" s="297" t="str">
        <f>IF('Donor Sample'!Q752="","",'Donor Sample'!Q752)</f>
        <v/>
      </c>
      <c r="AB735" s="296" t="str">
        <f t="shared" si="171"/>
        <v/>
      </c>
      <c r="AC735" s="295" t="str">
        <f>IF('Donor Sample'!R752="","",'Donor Sample'!R752)</f>
        <v/>
      </c>
      <c r="AD735" s="294" t="str">
        <f>IF('Donor Sample'!S752="","",'Donor Sample'!S752/100)</f>
        <v/>
      </c>
      <c r="AE735" s="407" t="e">
        <f t="shared" si="181"/>
        <v>#VALUE!</v>
      </c>
      <c r="AF735" s="293" t="str">
        <f t="shared" si="182"/>
        <v/>
      </c>
      <c r="AG735" s="292" t="str">
        <f>IF('Donor Sample'!T752="","",'Donor Sample'!T752)</f>
        <v/>
      </c>
      <c r="AH735" s="891">
        <f t="shared" si="183"/>
        <v>64</v>
      </c>
      <c r="AI735" s="1220">
        <v>0.50707870721817017</v>
      </c>
      <c r="AJ735" s="1216"/>
    </row>
    <row r="736" spans="5:36">
      <c r="E736" s="299">
        <v>728</v>
      </c>
      <c r="F736" s="308">
        <f t="shared" ca="1" si="172"/>
        <v>3707.1830795281517</v>
      </c>
      <c r="G736" s="307">
        <f t="shared" ca="1" si="173"/>
        <v>193.80750910659324</v>
      </c>
      <c r="H736" s="306">
        <f t="shared" ca="1" si="174"/>
        <v>0.41708541925706943</v>
      </c>
      <c r="I736" s="305">
        <f t="shared" ca="1" si="176"/>
        <v>121.36276670071301</v>
      </c>
      <c r="J736" s="305">
        <f t="shared" ca="1" si="177"/>
        <v>60.499372787463606</v>
      </c>
      <c r="K736" s="292">
        <f t="shared" ca="1" si="175"/>
        <v>2.9063226838426091</v>
      </c>
      <c r="L736" s="1290">
        <f t="shared" ca="1" si="178"/>
        <v>23.342984580462915</v>
      </c>
      <c r="M736" s="299">
        <v>728</v>
      </c>
      <c r="N736" s="304">
        <f t="shared" si="179"/>
        <v>2728.2616465326701</v>
      </c>
      <c r="O736" s="303">
        <v>240.64031764035713</v>
      </c>
      <c r="P736" s="302">
        <v>0.48604818324081195</v>
      </c>
      <c r="Q736" s="301">
        <v>87.636238193515382</v>
      </c>
      <c r="R736" s="301">
        <v>51.988458897351656</v>
      </c>
      <c r="S736" s="300">
        <v>6.6164645046797474</v>
      </c>
      <c r="T736" s="891">
        <f t="shared" si="180"/>
        <v>2</v>
      </c>
      <c r="U736" s="1220">
        <v>0.35737228393554688</v>
      </c>
      <c r="W736" s="299">
        <v>728</v>
      </c>
      <c r="X736" s="298">
        <f>IF('Donor Sample'!N753="",,IF('Donor Sample'!N753="F",1,0))</f>
        <v>0</v>
      </c>
      <c r="Y736" s="298" t="str">
        <f>IF('Donor Sample'!O753="","",'Donor Sample'!O753)</f>
        <v/>
      </c>
      <c r="Z736" s="298" t="str">
        <f>IF(AND('Donor Sample'!O753="",'Donor Sample'!P753="",'Donor Sample'!Q753=""),"",IF('Donor Sample'!P753="",ROUND(AA736/($C$32+($AI736-0.5)*$C$31),0),'Donor Sample'!P753))</f>
        <v/>
      </c>
      <c r="AA736" s="297" t="str">
        <f>IF('Donor Sample'!Q753="","",'Donor Sample'!Q753)</f>
        <v/>
      </c>
      <c r="AB736" s="296" t="str">
        <f t="shared" si="171"/>
        <v/>
      </c>
      <c r="AC736" s="295" t="str">
        <f>IF('Donor Sample'!R753="","",'Donor Sample'!R753)</f>
        <v/>
      </c>
      <c r="AD736" s="294" t="str">
        <f>IF('Donor Sample'!S753="","",'Donor Sample'!S753/100)</f>
        <v/>
      </c>
      <c r="AE736" s="293" t="e">
        <f t="shared" si="181"/>
        <v>#VALUE!</v>
      </c>
      <c r="AF736" s="293" t="str">
        <f t="shared" si="182"/>
        <v/>
      </c>
      <c r="AG736" s="292" t="str">
        <f>IF('Donor Sample'!T753="","",'Donor Sample'!T753)</f>
        <v/>
      </c>
      <c r="AH736" s="891">
        <f t="shared" si="183"/>
        <v>64</v>
      </c>
      <c r="AI736" s="1220">
        <v>0.7385716438293457</v>
      </c>
      <c r="AJ736" s="1216"/>
    </row>
    <row r="737" spans="5:36">
      <c r="E737" s="299">
        <v>729</v>
      </c>
      <c r="F737" s="308">
        <f t="shared" ca="1" si="172"/>
        <v>3247.9226258643871</v>
      </c>
      <c r="G737" s="307">
        <f t="shared" ca="1" si="173"/>
        <v>194.88802883931317</v>
      </c>
      <c r="H737" s="306">
        <f t="shared" ca="1" si="174"/>
        <v>0.3878852992440342</v>
      </c>
      <c r="I737" s="305">
        <f t="shared" ca="1" si="176"/>
        <v>112.40305134712868</v>
      </c>
      <c r="J737" s="305">
        <f t="shared" ca="1" si="177"/>
        <v>55.04745955670726</v>
      </c>
      <c r="K737" s="292">
        <f t="shared" ca="1" si="175"/>
        <v>1.3193860812859364</v>
      </c>
      <c r="L737" s="1290">
        <f t="shared" ca="1" si="178"/>
        <v>26.114168256252256</v>
      </c>
      <c r="M737" s="299">
        <v>729</v>
      </c>
      <c r="N737" s="304">
        <f t="shared" si="179"/>
        <v>3533.985405343099</v>
      </c>
      <c r="O737" s="303">
        <v>175.90587147423921</v>
      </c>
      <c r="P737" s="302">
        <v>0.41844681807804129</v>
      </c>
      <c r="Q737" s="301">
        <v>123.59572668091636</v>
      </c>
      <c r="R737" s="301">
        <v>57.205871478357047</v>
      </c>
      <c r="S737" s="300">
        <v>1.7241376865417291</v>
      </c>
      <c r="T737" s="891">
        <f t="shared" si="180"/>
        <v>64</v>
      </c>
      <c r="U737" s="1220">
        <v>0.57874315977096558</v>
      </c>
      <c r="W737" s="299">
        <v>729</v>
      </c>
      <c r="X737" s="298">
        <f>IF('Donor Sample'!N754="",,IF('Donor Sample'!N754="F",1,0))</f>
        <v>0</v>
      </c>
      <c r="Y737" s="298" t="str">
        <f>IF('Donor Sample'!O754="","",'Donor Sample'!O754)</f>
        <v/>
      </c>
      <c r="Z737" s="298" t="str">
        <f>IF(AND('Donor Sample'!O754="",'Donor Sample'!P754="",'Donor Sample'!Q754=""),"",IF('Donor Sample'!P754="",ROUND(AA737/($C$32+($AI737-0.5)*$C$31),0),'Donor Sample'!P754))</f>
        <v/>
      </c>
      <c r="AA737" s="297" t="str">
        <f>IF('Donor Sample'!Q754="","",'Donor Sample'!Q754)</f>
        <v/>
      </c>
      <c r="AB737" s="296" t="str">
        <f t="shared" si="171"/>
        <v/>
      </c>
      <c r="AC737" s="295" t="str">
        <f>IF('Donor Sample'!R754="","",'Donor Sample'!R754)</f>
        <v/>
      </c>
      <c r="AD737" s="294" t="str">
        <f>IF('Donor Sample'!S754="","",'Donor Sample'!S754/100)</f>
        <v/>
      </c>
      <c r="AE737" s="293" t="e">
        <f t="shared" si="181"/>
        <v>#VALUE!</v>
      </c>
      <c r="AF737" s="293" t="str">
        <f t="shared" si="182"/>
        <v/>
      </c>
      <c r="AG737" s="292" t="str">
        <f>IF('Donor Sample'!T754="","",'Donor Sample'!T754)</f>
        <v/>
      </c>
      <c r="AH737" s="891">
        <f t="shared" si="183"/>
        <v>64</v>
      </c>
      <c r="AI737" s="1220">
        <v>0.50985211133956909</v>
      </c>
      <c r="AJ737" s="1216"/>
    </row>
    <row r="738" spans="5:36">
      <c r="E738" s="299">
        <v>730</v>
      </c>
      <c r="F738" s="308">
        <f t="shared" ca="1" si="172"/>
        <v>2967.3976578238662</v>
      </c>
      <c r="G738" s="307">
        <f t="shared" ca="1" si="173"/>
        <v>195.36613156092528</v>
      </c>
      <c r="H738" s="306">
        <f t="shared" ca="1" si="174"/>
        <v>0.40140006171400272</v>
      </c>
      <c r="I738" s="305">
        <f t="shared" ca="1" si="176"/>
        <v>118.49463902370955</v>
      </c>
      <c r="J738" s="305">
        <f t="shared" ca="1" si="177"/>
        <v>47.22959200464814</v>
      </c>
      <c r="K738" s="292">
        <f t="shared" ca="1" si="175"/>
        <v>2.6199183898576908</v>
      </c>
      <c r="L738" s="1290">
        <f t="shared" ca="1" si="178"/>
        <v>37.397534680708148</v>
      </c>
      <c r="M738" s="299">
        <v>730</v>
      </c>
      <c r="N738" s="304">
        <f t="shared" si="179"/>
        <v>3440.0915191155336</v>
      </c>
      <c r="O738" s="303">
        <v>209.30133799266957</v>
      </c>
      <c r="P738" s="302">
        <v>0.44088146398263189</v>
      </c>
      <c r="Q738" s="301">
        <v>126.49367963224165</v>
      </c>
      <c r="R738" s="301">
        <v>54.798328052965346</v>
      </c>
      <c r="S738" s="300">
        <v>5.8593920653236085</v>
      </c>
      <c r="T738" s="891">
        <f t="shared" si="180"/>
        <v>2</v>
      </c>
      <c r="U738" s="1220">
        <v>0.25368082523345947</v>
      </c>
      <c r="W738" s="299">
        <v>730</v>
      </c>
      <c r="X738" s="298">
        <f>IF('Donor Sample'!N755="",,IF('Donor Sample'!N755="F",1,0))</f>
        <v>0</v>
      </c>
      <c r="Y738" s="298" t="str">
        <f>IF('Donor Sample'!O755="","",'Donor Sample'!O755)</f>
        <v/>
      </c>
      <c r="Z738" s="298" t="str">
        <f>IF(AND('Donor Sample'!O755="",'Donor Sample'!P755="",'Donor Sample'!Q755=""),"",IF('Donor Sample'!P755="",ROUND(AA738/($C$32+($AI738-0.5)*$C$31),0),'Donor Sample'!P755))</f>
        <v/>
      </c>
      <c r="AA738" s="297" t="str">
        <f>IF('Donor Sample'!Q755="","",'Donor Sample'!Q755)</f>
        <v/>
      </c>
      <c r="AB738" s="296" t="str">
        <f t="shared" si="171"/>
        <v/>
      </c>
      <c r="AC738" s="295" t="str">
        <f>IF('Donor Sample'!R755="","",'Donor Sample'!R755)</f>
        <v/>
      </c>
      <c r="AD738" s="294" t="str">
        <f>IF('Donor Sample'!S755="","",'Donor Sample'!S755/100)</f>
        <v/>
      </c>
      <c r="AE738" s="407" t="e">
        <f t="shared" si="181"/>
        <v>#VALUE!</v>
      </c>
      <c r="AF738" s="293" t="str">
        <f t="shared" si="182"/>
        <v/>
      </c>
      <c r="AG738" s="292" t="str">
        <f>IF('Donor Sample'!T755="","",'Donor Sample'!T755)</f>
        <v/>
      </c>
      <c r="AH738" s="891">
        <f t="shared" si="183"/>
        <v>64</v>
      </c>
      <c r="AI738" s="1220">
        <v>0.73623287677764893</v>
      </c>
      <c r="AJ738" s="1216"/>
    </row>
    <row r="739" spans="5:36">
      <c r="E739" s="299">
        <v>731</v>
      </c>
      <c r="F739" s="308">
        <f t="shared" ca="1" si="172"/>
        <v>3007.3572150218129</v>
      </c>
      <c r="G739" s="307">
        <f t="shared" ca="1" si="173"/>
        <v>310.71307448831237</v>
      </c>
      <c r="H739" s="306">
        <f t="shared" ca="1" si="174"/>
        <v>0.40154601912804239</v>
      </c>
      <c r="I739" s="305">
        <f t="shared" ca="1" si="176"/>
        <v>117.10952924040757</v>
      </c>
      <c r="J739" s="305">
        <f t="shared" ca="1" si="177"/>
        <v>48.680454345157685</v>
      </c>
      <c r="K739" s="292">
        <f t="shared" ca="1" si="175"/>
        <v>1.2501743154507159</v>
      </c>
      <c r="L739" s="1290">
        <f t="shared" ca="1" si="178"/>
        <v>34.790097707051693</v>
      </c>
      <c r="M739" s="299">
        <v>731</v>
      </c>
      <c r="N739" s="304">
        <f t="shared" si="179"/>
        <v>3761.3870058923671</v>
      </c>
      <c r="O739" s="303">
        <v>244.3615909514823</v>
      </c>
      <c r="P739" s="302">
        <v>0.44937310434259942</v>
      </c>
      <c r="Q739" s="301">
        <v>122.9286147882346</v>
      </c>
      <c r="R739" s="301">
        <v>60.970474695299309</v>
      </c>
      <c r="S739" s="300">
        <v>2.1113285739731635</v>
      </c>
      <c r="T739" s="891">
        <f t="shared" si="180"/>
        <v>4</v>
      </c>
      <c r="U739" s="1220">
        <v>0.39921694993972778</v>
      </c>
      <c r="W739" s="299">
        <v>731</v>
      </c>
      <c r="X739" s="298">
        <f>IF('Donor Sample'!N756="",,IF('Donor Sample'!N756="F",1,0))</f>
        <v>0</v>
      </c>
      <c r="Y739" s="298" t="str">
        <f>IF('Donor Sample'!O756="","",'Donor Sample'!O756)</f>
        <v/>
      </c>
      <c r="Z739" s="298" t="str">
        <f>IF(AND('Donor Sample'!O756="",'Donor Sample'!P756="",'Donor Sample'!Q756=""),"",IF('Donor Sample'!P756="",ROUND(AA739/($C$32+($AI739-0.5)*$C$31),0),'Donor Sample'!P756))</f>
        <v/>
      </c>
      <c r="AA739" s="297" t="str">
        <f>IF('Donor Sample'!Q756="","",'Donor Sample'!Q756)</f>
        <v/>
      </c>
      <c r="AB739" s="296" t="str">
        <f t="shared" si="171"/>
        <v/>
      </c>
      <c r="AC739" s="295" t="str">
        <f>IF('Donor Sample'!R756="","",'Donor Sample'!R756)</f>
        <v/>
      </c>
      <c r="AD739" s="294" t="str">
        <f>IF('Donor Sample'!S756="","",'Donor Sample'!S756/100)</f>
        <v/>
      </c>
      <c r="AE739" s="293" t="e">
        <f t="shared" si="181"/>
        <v>#VALUE!</v>
      </c>
      <c r="AF739" s="293" t="str">
        <f t="shared" si="182"/>
        <v/>
      </c>
      <c r="AG739" s="292" t="str">
        <f>IF('Donor Sample'!T756="","",'Donor Sample'!T756)</f>
        <v/>
      </c>
      <c r="AH739" s="891">
        <f t="shared" si="183"/>
        <v>64</v>
      </c>
      <c r="AI739" s="1220">
        <v>0.62392407655715942</v>
      </c>
      <c r="AJ739" s="1216"/>
    </row>
    <row r="740" spans="5:36">
      <c r="E740" s="299">
        <v>732</v>
      </c>
      <c r="F740" s="308">
        <f t="shared" ca="1" si="172"/>
        <v>3536.0156481285708</v>
      </c>
      <c r="G740" s="307">
        <f t="shared" ca="1" si="173"/>
        <v>273.31028411975791</v>
      </c>
      <c r="H740" s="306">
        <f t="shared" ca="1" si="174"/>
        <v>0.3895514015920522</v>
      </c>
      <c r="I740" s="305">
        <f t="shared" ca="1" si="176"/>
        <v>114.53347083701786</v>
      </c>
      <c r="J740" s="305">
        <f t="shared" ca="1" si="177"/>
        <v>59.396927044376767</v>
      </c>
      <c r="K740" s="292">
        <f t="shared" ca="1" si="175"/>
        <v>3.4368088672199457</v>
      </c>
      <c r="L740" s="1290">
        <f t="shared" ca="1" si="178"/>
        <v>22.854784314501135</v>
      </c>
      <c r="M740" s="299">
        <v>732</v>
      </c>
      <c r="N740" s="304">
        <f t="shared" si="179"/>
        <v>2854.2337568874764</v>
      </c>
      <c r="O740" s="303">
        <v>239.37868074943887</v>
      </c>
      <c r="P740" s="302">
        <v>0.4699466676562149</v>
      </c>
      <c r="Q740" s="301">
        <v>107.59170337081194</v>
      </c>
      <c r="R740" s="301">
        <v>48.346803724626398</v>
      </c>
      <c r="S740" s="300">
        <v>2.2642870542525215</v>
      </c>
      <c r="T740" s="891">
        <f t="shared" si="180"/>
        <v>256</v>
      </c>
      <c r="U740" s="1220">
        <v>0.88906121253967285</v>
      </c>
      <c r="W740" s="299">
        <v>732</v>
      </c>
      <c r="X740" s="298">
        <f>IF('Donor Sample'!N757="",,IF('Donor Sample'!N757="F",1,0))</f>
        <v>0</v>
      </c>
      <c r="Y740" s="298" t="str">
        <f>IF('Donor Sample'!O757="","",'Donor Sample'!O757)</f>
        <v/>
      </c>
      <c r="Z740" s="298" t="str">
        <f>IF(AND('Donor Sample'!O757="",'Donor Sample'!P757="",'Donor Sample'!Q757=""),"",IF('Donor Sample'!P757="",ROUND(AA740/($C$32+($AI740-0.5)*$C$31),0),'Donor Sample'!P757))</f>
        <v/>
      </c>
      <c r="AA740" s="297" t="str">
        <f>IF('Donor Sample'!Q757="","",'Donor Sample'!Q757)</f>
        <v/>
      </c>
      <c r="AB740" s="296" t="str">
        <f t="shared" si="171"/>
        <v/>
      </c>
      <c r="AC740" s="295" t="str">
        <f>IF('Donor Sample'!R757="","",'Donor Sample'!R757)</f>
        <v/>
      </c>
      <c r="AD740" s="294" t="str">
        <f>IF('Donor Sample'!S757="","",'Donor Sample'!S757/100)</f>
        <v/>
      </c>
      <c r="AE740" s="293" t="e">
        <f t="shared" si="181"/>
        <v>#VALUE!</v>
      </c>
      <c r="AF740" s="293" t="str">
        <f t="shared" si="182"/>
        <v/>
      </c>
      <c r="AG740" s="292" t="str">
        <f>IF('Donor Sample'!T757="","",'Donor Sample'!T757)</f>
        <v/>
      </c>
      <c r="AH740" s="891">
        <f t="shared" si="183"/>
        <v>64</v>
      </c>
      <c r="AI740" s="1220">
        <v>0.69784998893737793</v>
      </c>
      <c r="AJ740" s="1216"/>
    </row>
    <row r="741" spans="5:36">
      <c r="E741" s="299">
        <v>733</v>
      </c>
      <c r="F741" s="308">
        <f t="shared" ca="1" si="172"/>
        <v>3268.5649004531329</v>
      </c>
      <c r="G741" s="307">
        <f t="shared" ca="1" si="173"/>
        <v>268.32666286908886</v>
      </c>
      <c r="H741" s="306">
        <f t="shared" ca="1" si="174"/>
        <v>0.41573021610383293</v>
      </c>
      <c r="I741" s="305">
        <f t="shared" ca="1" si="176"/>
        <v>128.01885356290259</v>
      </c>
      <c r="J741" s="305">
        <f t="shared" ca="1" si="177"/>
        <v>58.451644991883875</v>
      </c>
      <c r="K741" s="292">
        <f t="shared" ca="1" si="175"/>
        <v>7.3453984583037153</v>
      </c>
      <c r="L741" s="1290">
        <f t="shared" ca="1" si="178"/>
        <v>26.378683491744717</v>
      </c>
      <c r="M741" s="299">
        <v>733</v>
      </c>
      <c r="N741" s="304">
        <f t="shared" si="179"/>
        <v>4156.195029028986</v>
      </c>
      <c r="O741" s="303">
        <v>226.40559245380797</v>
      </c>
      <c r="P741" s="302">
        <v>0.38257762119499211</v>
      </c>
      <c r="Q741" s="301">
        <v>137.97962637126349</v>
      </c>
      <c r="R741" s="301">
        <v>68.839449461715219</v>
      </c>
      <c r="S741" s="300">
        <v>4.0931990933789617</v>
      </c>
      <c r="T741" s="891">
        <f t="shared" si="180"/>
        <v>2</v>
      </c>
      <c r="U741" s="1220">
        <v>0.32767051458358765</v>
      </c>
      <c r="W741" s="299">
        <v>733</v>
      </c>
      <c r="X741" s="298">
        <f>IF('Donor Sample'!N758="",,IF('Donor Sample'!N758="F",1,0))</f>
        <v>0</v>
      </c>
      <c r="Y741" s="298" t="str">
        <f>IF('Donor Sample'!O758="","",'Donor Sample'!O758)</f>
        <v/>
      </c>
      <c r="Z741" s="298" t="str">
        <f>IF(AND('Donor Sample'!O758="",'Donor Sample'!P758="",'Donor Sample'!Q758=""),"",IF('Donor Sample'!P758="",ROUND(AA741/($C$32+($AI741-0.5)*$C$31),0),'Donor Sample'!P758))</f>
        <v/>
      </c>
      <c r="AA741" s="297" t="str">
        <f>IF('Donor Sample'!Q758="","",'Donor Sample'!Q758)</f>
        <v/>
      </c>
      <c r="AB741" s="296" t="str">
        <f t="shared" si="171"/>
        <v/>
      </c>
      <c r="AC741" s="295" t="str">
        <f>IF('Donor Sample'!R758="","",'Donor Sample'!R758)</f>
        <v/>
      </c>
      <c r="AD741" s="294" t="str">
        <f>IF('Donor Sample'!S758="","",'Donor Sample'!S758/100)</f>
        <v/>
      </c>
      <c r="AE741" s="407" t="e">
        <f t="shared" si="181"/>
        <v>#VALUE!</v>
      </c>
      <c r="AF741" s="293" t="str">
        <f t="shared" si="182"/>
        <v/>
      </c>
      <c r="AG741" s="292" t="str">
        <f>IF('Donor Sample'!T758="","",'Donor Sample'!T758)</f>
        <v/>
      </c>
      <c r="AH741" s="891">
        <f t="shared" si="183"/>
        <v>16</v>
      </c>
      <c r="AI741" s="1220">
        <v>0.95257371664047241</v>
      </c>
      <c r="AJ741" s="1216"/>
    </row>
    <row r="742" spans="5:36">
      <c r="E742" s="299">
        <v>734</v>
      </c>
      <c r="F742" s="308">
        <f t="shared" ca="1" si="172"/>
        <v>4152.6066604746866</v>
      </c>
      <c r="G742" s="307">
        <f t="shared" ca="1" si="173"/>
        <v>222.2645850829426</v>
      </c>
      <c r="H742" s="306">
        <f t="shared" ca="1" si="174"/>
        <v>0.37778659634775819</v>
      </c>
      <c r="I742" s="305">
        <f t="shared" ca="1" si="176"/>
        <v>167.44605510527973</v>
      </c>
      <c r="J742" s="305">
        <f t="shared" ca="1" si="177"/>
        <v>56.837657046442928</v>
      </c>
      <c r="K742" s="292">
        <f t="shared" ca="1" si="175"/>
        <v>1.5926647482026988</v>
      </c>
      <c r="L742" s="1290">
        <f t="shared" ca="1" si="178"/>
        <v>36.490116096008535</v>
      </c>
      <c r="M742" s="299">
        <v>734</v>
      </c>
      <c r="N742" s="304">
        <f t="shared" si="179"/>
        <v>3899.7283652034721</v>
      </c>
      <c r="O742" s="303">
        <v>255.06956620803086</v>
      </c>
      <c r="P742" s="302">
        <v>0.39760108290903162</v>
      </c>
      <c r="Q742" s="301">
        <v>126.36394145477377</v>
      </c>
      <c r="R742" s="301">
        <v>62.258359147625825</v>
      </c>
      <c r="S742" s="300">
        <v>3.3584271141507291</v>
      </c>
      <c r="T742" s="891">
        <f t="shared" si="180"/>
        <v>2</v>
      </c>
      <c r="U742" s="1220">
        <v>0.22491633892059326</v>
      </c>
      <c r="W742" s="299">
        <v>734</v>
      </c>
      <c r="X742" s="298">
        <f>IF('Donor Sample'!N759="",,IF('Donor Sample'!N759="F",1,0))</f>
        <v>0</v>
      </c>
      <c r="Y742" s="298" t="str">
        <f>IF('Donor Sample'!O759="","",'Donor Sample'!O759)</f>
        <v/>
      </c>
      <c r="Z742" s="298" t="str">
        <f>IF(AND('Donor Sample'!O759="",'Donor Sample'!P759="",'Donor Sample'!Q759=""),"",IF('Donor Sample'!P759="",ROUND(AA742/($C$32+($AI742-0.5)*$C$31),0),'Donor Sample'!P759))</f>
        <v/>
      </c>
      <c r="AA742" s="297" t="str">
        <f>IF('Donor Sample'!Q759="","",'Donor Sample'!Q759)</f>
        <v/>
      </c>
      <c r="AB742" s="296" t="str">
        <f t="shared" si="171"/>
        <v/>
      </c>
      <c r="AC742" s="295" t="str">
        <f>IF('Donor Sample'!R759="","",'Donor Sample'!R759)</f>
        <v/>
      </c>
      <c r="AD742" s="294" t="str">
        <f>IF('Donor Sample'!S759="","",'Donor Sample'!S759/100)</f>
        <v/>
      </c>
      <c r="AE742" s="293" t="e">
        <f t="shared" si="181"/>
        <v>#VALUE!</v>
      </c>
      <c r="AF742" s="293" t="str">
        <f t="shared" si="182"/>
        <v/>
      </c>
      <c r="AG742" s="292" t="str">
        <f>IF('Donor Sample'!T759="","",'Donor Sample'!T759)</f>
        <v/>
      </c>
      <c r="AH742" s="891">
        <f t="shared" si="183"/>
        <v>64</v>
      </c>
      <c r="AI742" s="1220">
        <v>0.69639813899993896</v>
      </c>
      <c r="AJ742" s="1216"/>
    </row>
    <row r="743" spans="5:36">
      <c r="E743" s="299">
        <v>735</v>
      </c>
      <c r="F743" s="308">
        <f t="shared" ca="1" si="172"/>
        <v>2930.6287168255076</v>
      </c>
      <c r="G743" s="307">
        <f t="shared" ca="1" si="173"/>
        <v>231.83961720316933</v>
      </c>
      <c r="H743" s="306">
        <f t="shared" ca="1" si="174"/>
        <v>0.42861398094744563</v>
      </c>
      <c r="I743" s="305">
        <f t="shared" ca="1" si="176"/>
        <v>90.584302268503407</v>
      </c>
      <c r="J743" s="305">
        <f t="shared" ca="1" si="177"/>
        <v>55.070501257067171</v>
      </c>
      <c r="K743" s="292">
        <f t="shared" ca="1" si="175"/>
        <v>1.6152630537051562</v>
      </c>
      <c r="L743" s="1290">
        <f t="shared" ca="1" si="178"/>
        <v>21.027495255556047</v>
      </c>
      <c r="M743" s="299">
        <v>735</v>
      </c>
      <c r="N743" s="304">
        <f t="shared" si="179"/>
        <v>4191.834258396002</v>
      </c>
      <c r="O743" s="303">
        <v>242.76975177203278</v>
      </c>
      <c r="P743" s="302">
        <v>0.41852791796167665</v>
      </c>
      <c r="Q743" s="301">
        <v>161.71115164889005</v>
      </c>
      <c r="R743" s="301">
        <v>58.874107367384298</v>
      </c>
      <c r="S743" s="300">
        <v>2.5236113108213178</v>
      </c>
      <c r="T743" s="891">
        <f t="shared" si="180"/>
        <v>2</v>
      </c>
      <c r="U743" s="1220">
        <v>8.1457674503326416E-2</v>
      </c>
      <c r="W743" s="299">
        <v>735</v>
      </c>
      <c r="X743" s="298">
        <f>IF('Donor Sample'!N760="",,IF('Donor Sample'!N760="F",1,0))</f>
        <v>0</v>
      </c>
      <c r="Y743" s="298" t="str">
        <f>IF('Donor Sample'!O760="","",'Donor Sample'!O760)</f>
        <v/>
      </c>
      <c r="Z743" s="298" t="str">
        <f>IF(AND('Donor Sample'!O760="",'Donor Sample'!P760="",'Donor Sample'!Q760=""),"",IF('Donor Sample'!P760="",ROUND(AA743/($C$32+($AI743-0.5)*$C$31),0),'Donor Sample'!P760))</f>
        <v/>
      </c>
      <c r="AA743" s="297" t="str">
        <f>IF('Donor Sample'!Q760="","",'Donor Sample'!Q760)</f>
        <v/>
      </c>
      <c r="AB743" s="296" t="str">
        <f t="shared" si="171"/>
        <v/>
      </c>
      <c r="AC743" s="295" t="str">
        <f>IF('Donor Sample'!R760="","",'Donor Sample'!R760)</f>
        <v/>
      </c>
      <c r="AD743" s="294" t="str">
        <f>IF('Donor Sample'!S760="","",'Donor Sample'!S760/100)</f>
        <v/>
      </c>
      <c r="AE743" s="293" t="e">
        <f t="shared" si="181"/>
        <v>#VALUE!</v>
      </c>
      <c r="AF743" s="293" t="str">
        <f t="shared" si="182"/>
        <v/>
      </c>
      <c r="AG743" s="292" t="str">
        <f>IF('Donor Sample'!T760="","",'Donor Sample'!T760)</f>
        <v/>
      </c>
      <c r="AH743" s="891">
        <f t="shared" si="183"/>
        <v>2</v>
      </c>
      <c r="AI743" s="1220">
        <v>0.12843805551528931</v>
      </c>
      <c r="AJ743" s="1216"/>
    </row>
    <row r="744" spans="5:36">
      <c r="E744" s="299">
        <v>736</v>
      </c>
      <c r="F744" s="308">
        <f t="shared" ca="1" si="172"/>
        <v>3643.2221580961536</v>
      </c>
      <c r="G744" s="307">
        <f t="shared" ca="1" si="173"/>
        <v>227.54900308617687</v>
      </c>
      <c r="H744" s="306">
        <f t="shared" ca="1" si="174"/>
        <v>0.41121838416556394</v>
      </c>
      <c r="I744" s="305">
        <f t="shared" ca="1" si="176"/>
        <v>148.60476724664741</v>
      </c>
      <c r="J744" s="305">
        <f t="shared" ca="1" si="177"/>
        <v>52.492704304611443</v>
      </c>
      <c r="K744" s="292">
        <f t="shared" ca="1" si="175"/>
        <v>2.3202021670051369</v>
      </c>
      <c r="L744" s="1290">
        <f t="shared" ca="1" si="178"/>
        <v>37.967107028666845</v>
      </c>
      <c r="M744" s="299">
        <v>736</v>
      </c>
      <c r="N744" s="304">
        <f t="shared" si="179"/>
        <v>3500.5559277034808</v>
      </c>
      <c r="O744" s="303">
        <v>210.8351778801769</v>
      </c>
      <c r="P744" s="302">
        <v>0.43089636073771975</v>
      </c>
      <c r="Q744" s="301">
        <v>109.64206875305307</v>
      </c>
      <c r="R744" s="301">
        <v>59.956686845961485</v>
      </c>
      <c r="S744" s="300">
        <v>13.101982770589849</v>
      </c>
      <c r="T744" s="891">
        <f t="shared" si="180"/>
        <v>2</v>
      </c>
      <c r="U744" s="1220">
        <v>0.30449724197387695</v>
      </c>
      <c r="W744" s="299">
        <v>736</v>
      </c>
      <c r="X744" s="298">
        <f>IF('Donor Sample'!N761="",,IF('Donor Sample'!N761="F",1,0))</f>
        <v>0</v>
      </c>
      <c r="Y744" s="298" t="str">
        <f>IF('Donor Sample'!O761="","",'Donor Sample'!O761)</f>
        <v/>
      </c>
      <c r="Z744" s="298" t="str">
        <f>IF(AND('Donor Sample'!O761="",'Donor Sample'!P761="",'Donor Sample'!Q761=""),"",IF('Donor Sample'!P761="",ROUND(AA744/($C$32+($AI744-0.5)*$C$31),0),'Donor Sample'!P761))</f>
        <v/>
      </c>
      <c r="AA744" s="297" t="str">
        <f>IF('Donor Sample'!Q761="","",'Donor Sample'!Q761)</f>
        <v/>
      </c>
      <c r="AB744" s="296" t="str">
        <f t="shared" si="171"/>
        <v/>
      </c>
      <c r="AC744" s="295" t="str">
        <f>IF('Donor Sample'!R761="","",'Donor Sample'!R761)</f>
        <v/>
      </c>
      <c r="AD744" s="294" t="str">
        <f>IF('Donor Sample'!S761="","",'Donor Sample'!S761/100)</f>
        <v/>
      </c>
      <c r="AE744" s="407" t="e">
        <f t="shared" si="181"/>
        <v>#VALUE!</v>
      </c>
      <c r="AF744" s="293" t="str">
        <f t="shared" si="182"/>
        <v/>
      </c>
      <c r="AG744" s="292" t="str">
        <f>IF('Donor Sample'!T761="","",'Donor Sample'!T761)</f>
        <v/>
      </c>
      <c r="AH744" s="891">
        <f t="shared" si="183"/>
        <v>2</v>
      </c>
      <c r="AI744" s="1220">
        <v>0.27927875518798828</v>
      </c>
      <c r="AJ744" s="1216"/>
    </row>
    <row r="745" spans="5:36">
      <c r="E745" s="299">
        <v>737</v>
      </c>
      <c r="F745" s="308">
        <f t="shared" ca="1" si="172"/>
        <v>4251.6163204060858</v>
      </c>
      <c r="G745" s="307">
        <f t="shared" ca="1" si="173"/>
        <v>230.08817689105257</v>
      </c>
      <c r="H745" s="306">
        <f t="shared" ca="1" si="174"/>
        <v>0.38943323227061682</v>
      </c>
      <c r="I745" s="305">
        <f t="shared" ca="1" si="176"/>
        <v>144.87165512157435</v>
      </c>
      <c r="J745" s="305">
        <f t="shared" ca="1" si="177"/>
        <v>63.405399095338005</v>
      </c>
      <c r="K745" s="292">
        <f t="shared" ca="1" si="175"/>
        <v>3.9723983231428956</v>
      </c>
      <c r="L745" s="1290">
        <f t="shared" ca="1" si="178"/>
        <v>25.36901469425581</v>
      </c>
      <c r="M745" s="299">
        <v>737</v>
      </c>
      <c r="N745" s="304">
        <f t="shared" si="179"/>
        <v>2748.2772267670798</v>
      </c>
      <c r="O745" s="303">
        <v>260.72636093993566</v>
      </c>
      <c r="P745" s="302">
        <v>0.38701617646417225</v>
      </c>
      <c r="Q745" s="301">
        <v>110.87085011954521</v>
      </c>
      <c r="R745" s="301">
        <v>44.381490772465675</v>
      </c>
      <c r="S745" s="300">
        <v>2.3063643970567203</v>
      </c>
      <c r="T745" s="891">
        <f t="shared" si="180"/>
        <v>128</v>
      </c>
      <c r="U745" s="1220">
        <v>0.94488781690597534</v>
      </c>
      <c r="W745" s="299">
        <v>737</v>
      </c>
      <c r="X745" s="298">
        <f>IF('Donor Sample'!N762="",,IF('Donor Sample'!N762="F",1,0))</f>
        <v>0</v>
      </c>
      <c r="Y745" s="298" t="str">
        <f>IF('Donor Sample'!O762="","",'Donor Sample'!O762)</f>
        <v/>
      </c>
      <c r="Z745" s="298" t="str">
        <f>IF(AND('Donor Sample'!O762="",'Donor Sample'!P762="",'Donor Sample'!Q762=""),"",IF('Donor Sample'!P762="",ROUND(AA745/($C$32+($AI745-0.5)*$C$31),0),'Donor Sample'!P762))</f>
        <v/>
      </c>
      <c r="AA745" s="297" t="str">
        <f>IF('Donor Sample'!Q762="","",'Donor Sample'!Q762)</f>
        <v/>
      </c>
      <c r="AB745" s="296" t="str">
        <f t="shared" si="171"/>
        <v/>
      </c>
      <c r="AC745" s="295" t="str">
        <f>IF('Donor Sample'!R762="","",'Donor Sample'!R762)</f>
        <v/>
      </c>
      <c r="AD745" s="294" t="str">
        <f>IF('Donor Sample'!S762="","",'Donor Sample'!S762/100)</f>
        <v/>
      </c>
      <c r="AE745" s="293" t="e">
        <f t="shared" si="181"/>
        <v>#VALUE!</v>
      </c>
      <c r="AF745" s="293" t="str">
        <f t="shared" si="182"/>
        <v/>
      </c>
      <c r="AG745" s="292" t="str">
        <f>IF('Donor Sample'!T762="","",'Donor Sample'!T762)</f>
        <v/>
      </c>
      <c r="AH745" s="891">
        <f t="shared" si="183"/>
        <v>2</v>
      </c>
      <c r="AI745" s="1220">
        <v>0.17337530851364136</v>
      </c>
      <c r="AJ745" s="1216"/>
    </row>
    <row r="746" spans="5:36">
      <c r="E746" s="299">
        <v>738</v>
      </c>
      <c r="F746" s="308">
        <f t="shared" ca="1" si="172"/>
        <v>3220.6423249315526</v>
      </c>
      <c r="G746" s="307">
        <f t="shared" ca="1" si="173"/>
        <v>222.97267646298656</v>
      </c>
      <c r="H746" s="306">
        <f t="shared" ca="1" si="174"/>
        <v>0.48076342861833005</v>
      </c>
      <c r="I746" s="305">
        <f t="shared" ca="1" si="176"/>
        <v>131.68586605277636</v>
      </c>
      <c r="J746" s="305">
        <f t="shared" ca="1" si="177"/>
        <v>48.691462062829217</v>
      </c>
      <c r="K746" s="292">
        <f t="shared" ca="1" si="175"/>
        <v>1.5431815267739188</v>
      </c>
      <c r="L746" s="1290">
        <f t="shared" ca="1" si="178"/>
        <v>39.10265018709898</v>
      </c>
      <c r="M746" s="299">
        <v>738</v>
      </c>
      <c r="N746" s="304">
        <f t="shared" si="179"/>
        <v>3209.7149888607823</v>
      </c>
      <c r="O746" s="303">
        <v>270.02809851292642</v>
      </c>
      <c r="P746" s="302">
        <v>0.38896693062914139</v>
      </c>
      <c r="Q746" s="301">
        <v>109.29470141654946</v>
      </c>
      <c r="R746" s="301">
        <v>55.178417026306626</v>
      </c>
      <c r="S746" s="300">
        <v>2.4465896504995581</v>
      </c>
      <c r="T746" s="891">
        <f t="shared" si="180"/>
        <v>2</v>
      </c>
      <c r="U746" s="1220">
        <v>3.2688260078430176E-2</v>
      </c>
      <c r="W746" s="299">
        <v>738</v>
      </c>
      <c r="X746" s="298">
        <f>IF('Donor Sample'!N763="",,IF('Donor Sample'!N763="F",1,0))</f>
        <v>0</v>
      </c>
      <c r="Y746" s="298" t="str">
        <f>IF('Donor Sample'!O763="","",'Donor Sample'!O763)</f>
        <v/>
      </c>
      <c r="Z746" s="298" t="str">
        <f>IF(AND('Donor Sample'!O763="",'Donor Sample'!P763="",'Donor Sample'!Q763=""),"",IF('Donor Sample'!P763="",ROUND(AA746/($C$32+($AI746-0.5)*$C$31),0),'Donor Sample'!P763))</f>
        <v/>
      </c>
      <c r="AA746" s="297" t="str">
        <f>IF('Donor Sample'!Q763="","",'Donor Sample'!Q763)</f>
        <v/>
      </c>
      <c r="AB746" s="296" t="str">
        <f t="shared" si="171"/>
        <v/>
      </c>
      <c r="AC746" s="295" t="str">
        <f>IF('Donor Sample'!R763="","",'Donor Sample'!R763)</f>
        <v/>
      </c>
      <c r="AD746" s="294" t="str">
        <f>IF('Donor Sample'!S763="","",'Donor Sample'!S763/100)</f>
        <v/>
      </c>
      <c r="AE746" s="293" t="e">
        <f t="shared" si="181"/>
        <v>#VALUE!</v>
      </c>
      <c r="AF746" s="293" t="str">
        <f t="shared" si="182"/>
        <v/>
      </c>
      <c r="AG746" s="292" t="str">
        <f>IF('Donor Sample'!T763="","",'Donor Sample'!T763)</f>
        <v/>
      </c>
      <c r="AH746" s="891">
        <f t="shared" si="183"/>
        <v>4</v>
      </c>
      <c r="AI746" s="1220">
        <v>0.38872969150543213</v>
      </c>
      <c r="AJ746" s="1216"/>
    </row>
    <row r="747" spans="5:36">
      <c r="E747" s="299">
        <v>739</v>
      </c>
      <c r="F747" s="308">
        <f t="shared" ca="1" si="172"/>
        <v>3072.7790820976556</v>
      </c>
      <c r="G747" s="307">
        <f t="shared" ca="1" si="173"/>
        <v>240.49248980468028</v>
      </c>
      <c r="H747" s="306">
        <f t="shared" ca="1" si="174"/>
        <v>0.38764714282881024</v>
      </c>
      <c r="I747" s="305">
        <f t="shared" ca="1" si="176"/>
        <v>121.92394603011238</v>
      </c>
      <c r="J747" s="305">
        <f t="shared" ca="1" si="177"/>
        <v>48.566278237428101</v>
      </c>
      <c r="K747" s="292">
        <f t="shared" ca="1" si="175"/>
        <v>2.4686238133051366</v>
      </c>
      <c r="L747" s="1290">
        <f t="shared" ca="1" si="178"/>
        <v>36.390835101577579</v>
      </c>
      <c r="M747" s="299">
        <v>739</v>
      </c>
      <c r="N747" s="304">
        <f t="shared" si="179"/>
        <v>3863.2576923014349</v>
      </c>
      <c r="O747" s="303">
        <v>245.26390687630433</v>
      </c>
      <c r="P747" s="302">
        <v>0.38358219932154702</v>
      </c>
      <c r="Q747" s="301">
        <v>121.74299147826937</v>
      </c>
      <c r="R747" s="301">
        <v>62.698601136099541</v>
      </c>
      <c r="S747" s="300">
        <v>2.5642135317197807</v>
      </c>
      <c r="T747" s="891">
        <f t="shared" si="180"/>
        <v>256</v>
      </c>
      <c r="U747" s="1220">
        <v>0.92987042665481567</v>
      </c>
      <c r="W747" s="299">
        <v>739</v>
      </c>
      <c r="X747" s="298">
        <f>IF('Donor Sample'!N764="",,IF('Donor Sample'!N764="F",1,0))</f>
        <v>0</v>
      </c>
      <c r="Y747" s="298" t="str">
        <f>IF('Donor Sample'!O764="","",'Donor Sample'!O764)</f>
        <v/>
      </c>
      <c r="Z747" s="298" t="str">
        <f>IF(AND('Donor Sample'!O764="",'Donor Sample'!P764="",'Donor Sample'!Q764=""),"",IF('Donor Sample'!P764="",ROUND(AA747/($C$32+($AI747-0.5)*$C$31),0),'Donor Sample'!P764))</f>
        <v/>
      </c>
      <c r="AA747" s="297" t="str">
        <f>IF('Donor Sample'!Q764="","",'Donor Sample'!Q764)</f>
        <v/>
      </c>
      <c r="AB747" s="296" t="str">
        <f t="shared" si="171"/>
        <v/>
      </c>
      <c r="AC747" s="295" t="str">
        <f>IF('Donor Sample'!R764="","",'Donor Sample'!R764)</f>
        <v/>
      </c>
      <c r="AD747" s="294" t="str">
        <f>IF('Donor Sample'!S764="","",'Donor Sample'!S764/100)</f>
        <v/>
      </c>
      <c r="AE747" s="407" t="e">
        <f t="shared" si="181"/>
        <v>#VALUE!</v>
      </c>
      <c r="AF747" s="293" t="str">
        <f t="shared" si="182"/>
        <v/>
      </c>
      <c r="AG747" s="292" t="str">
        <f>IF('Donor Sample'!T764="","",'Donor Sample'!T764)</f>
        <v/>
      </c>
      <c r="AH747" s="891">
        <f t="shared" si="183"/>
        <v>2</v>
      </c>
      <c r="AI747" s="1220">
        <v>0.23723441362380981</v>
      </c>
      <c r="AJ747" s="1216"/>
    </row>
    <row r="748" spans="5:36">
      <c r="E748" s="299">
        <v>740</v>
      </c>
      <c r="F748" s="308">
        <f t="shared" ca="1" si="172"/>
        <v>4573.6464803133185</v>
      </c>
      <c r="G748" s="307">
        <f t="shared" ca="1" si="173"/>
        <v>242.49242676391194</v>
      </c>
      <c r="H748" s="306">
        <f t="shared" ca="1" si="174"/>
        <v>0.41192060508807449</v>
      </c>
      <c r="I748" s="305">
        <f t="shared" ca="1" si="176"/>
        <v>147.5869412994513</v>
      </c>
      <c r="J748" s="305">
        <f t="shared" ca="1" si="177"/>
        <v>67.082527794403816</v>
      </c>
      <c r="K748" s="292">
        <f t="shared" ca="1" si="175"/>
        <v>1.7583600730855833</v>
      </c>
      <c r="L748" s="1290">
        <f t="shared" ca="1" si="178"/>
        <v>23.088820787181742</v>
      </c>
      <c r="M748" s="299">
        <v>740</v>
      </c>
      <c r="N748" s="304">
        <f t="shared" si="179"/>
        <v>2710.6404788589061</v>
      </c>
      <c r="O748" s="303">
        <v>233.92875298926057</v>
      </c>
      <c r="P748" s="302">
        <v>0.39490071768021889</v>
      </c>
      <c r="Q748" s="301">
        <v>88.712820696902469</v>
      </c>
      <c r="R748" s="301">
        <v>51.295344506817266</v>
      </c>
      <c r="S748" s="300">
        <v>1.8632858614346965</v>
      </c>
      <c r="T748" s="891">
        <f t="shared" si="180"/>
        <v>2</v>
      </c>
      <c r="U748" s="1220">
        <v>0.19407343864440918</v>
      </c>
      <c r="W748" s="299">
        <v>740</v>
      </c>
      <c r="X748" s="298">
        <f>IF('Donor Sample'!N765="",,IF('Donor Sample'!N765="F",1,0))</f>
        <v>0</v>
      </c>
      <c r="Y748" s="298" t="str">
        <f>IF('Donor Sample'!O765="","",'Donor Sample'!O765)</f>
        <v/>
      </c>
      <c r="Z748" s="298" t="str">
        <f>IF(AND('Donor Sample'!O765="",'Donor Sample'!P765="",'Donor Sample'!Q765=""),"",IF('Donor Sample'!P765="",ROUND(AA748/($C$32+($AI748-0.5)*$C$31),0),'Donor Sample'!P765))</f>
        <v/>
      </c>
      <c r="AA748" s="297" t="str">
        <f>IF('Donor Sample'!Q765="","",'Donor Sample'!Q765)</f>
        <v/>
      </c>
      <c r="AB748" s="296" t="str">
        <f t="shared" si="171"/>
        <v/>
      </c>
      <c r="AC748" s="295" t="str">
        <f>IF('Donor Sample'!R765="","",'Donor Sample'!R765)</f>
        <v/>
      </c>
      <c r="AD748" s="294" t="str">
        <f>IF('Donor Sample'!S765="","",'Donor Sample'!S765/100)</f>
        <v/>
      </c>
      <c r="AE748" s="293" t="e">
        <f t="shared" si="181"/>
        <v>#VALUE!</v>
      </c>
      <c r="AF748" s="293" t="str">
        <f t="shared" si="182"/>
        <v/>
      </c>
      <c r="AG748" s="292" t="str">
        <f>IF('Donor Sample'!T765="","",'Donor Sample'!T765)</f>
        <v/>
      </c>
      <c r="AH748" s="891">
        <f t="shared" si="183"/>
        <v>64</v>
      </c>
      <c r="AI748" s="1220">
        <v>0.64551663398742676</v>
      </c>
      <c r="AJ748" s="1216"/>
    </row>
    <row r="749" spans="5:36">
      <c r="E749" s="299">
        <v>741</v>
      </c>
      <c r="F749" s="308">
        <f t="shared" ca="1" si="172"/>
        <v>2979.2101539025562</v>
      </c>
      <c r="G749" s="307">
        <f t="shared" ca="1" si="173"/>
        <v>224.99401543221035</v>
      </c>
      <c r="H749" s="306">
        <f t="shared" ca="1" si="174"/>
        <v>0.41315266516770238</v>
      </c>
      <c r="I749" s="305">
        <f t="shared" ca="1" si="176"/>
        <v>94.487287378113294</v>
      </c>
      <c r="J749" s="305">
        <f t="shared" ca="1" si="177"/>
        <v>54.916463478970506</v>
      </c>
      <c r="K749" s="292">
        <f t="shared" ca="1" si="175"/>
        <v>1.7405640533969988</v>
      </c>
      <c r="L749" s="1290">
        <f t="shared" ca="1" si="178"/>
        <v>22.056719329079367</v>
      </c>
      <c r="M749" s="299">
        <v>741</v>
      </c>
      <c r="N749" s="304">
        <f t="shared" si="179"/>
        <v>2532.3886434679853</v>
      </c>
      <c r="O749" s="303">
        <v>311.85251726776278</v>
      </c>
      <c r="P749" s="302">
        <v>0.37699150958623612</v>
      </c>
      <c r="Q749" s="301">
        <v>91.838137078816104</v>
      </c>
      <c r="R749" s="301">
        <v>46.061959248919379</v>
      </c>
      <c r="S749" s="300">
        <v>2.2050002114259284</v>
      </c>
      <c r="T749" s="891">
        <f t="shared" si="180"/>
        <v>2</v>
      </c>
      <c r="U749" s="1220">
        <v>0.22171586751937866</v>
      </c>
      <c r="W749" s="299">
        <v>741</v>
      </c>
      <c r="X749" s="298">
        <f>IF('Donor Sample'!N766="",,IF('Donor Sample'!N766="F",1,0))</f>
        <v>0</v>
      </c>
      <c r="Y749" s="298" t="str">
        <f>IF('Donor Sample'!O766="","",'Donor Sample'!O766)</f>
        <v/>
      </c>
      <c r="Z749" s="298" t="str">
        <f>IF(AND('Donor Sample'!O766="",'Donor Sample'!P766="",'Donor Sample'!Q766=""),"",IF('Donor Sample'!P766="",ROUND(AA749/($C$32+($AI749-0.5)*$C$31),0),'Donor Sample'!P766))</f>
        <v/>
      </c>
      <c r="AA749" s="297" t="str">
        <f>IF('Donor Sample'!Q766="","",'Donor Sample'!Q766)</f>
        <v/>
      </c>
      <c r="AB749" s="296" t="str">
        <f t="shared" si="171"/>
        <v/>
      </c>
      <c r="AC749" s="295" t="str">
        <f>IF('Donor Sample'!R766="","",'Donor Sample'!R766)</f>
        <v/>
      </c>
      <c r="AD749" s="294" t="str">
        <f>IF('Donor Sample'!S766="","",'Donor Sample'!S766/100)</f>
        <v/>
      </c>
      <c r="AE749" s="293" t="e">
        <f t="shared" si="181"/>
        <v>#VALUE!</v>
      </c>
      <c r="AF749" s="293" t="str">
        <f t="shared" si="182"/>
        <v/>
      </c>
      <c r="AG749" s="292" t="str">
        <f>IF('Donor Sample'!T766="","",'Donor Sample'!T766)</f>
        <v/>
      </c>
      <c r="AH749" s="891">
        <f t="shared" si="183"/>
        <v>2</v>
      </c>
      <c r="AI749" s="1220">
        <v>0.24678081274032593</v>
      </c>
      <c r="AJ749" s="1216"/>
    </row>
    <row r="750" spans="5:36">
      <c r="E750" s="299">
        <v>742</v>
      </c>
      <c r="F750" s="308">
        <f t="shared" ca="1" si="172"/>
        <v>3251.7725138121518</v>
      </c>
      <c r="G750" s="307">
        <f t="shared" ca="1" si="173"/>
        <v>221.99390342749751</v>
      </c>
      <c r="H750" s="306">
        <f t="shared" ca="1" si="174"/>
        <v>0.46341083688525392</v>
      </c>
      <c r="I750" s="305">
        <f t="shared" ca="1" si="176"/>
        <v>100.30191903498596</v>
      </c>
      <c r="J750" s="305">
        <f t="shared" ca="1" si="177"/>
        <v>64.479429657866007</v>
      </c>
      <c r="K750" s="292">
        <f t="shared" ca="1" si="175"/>
        <v>2.3112193647938093</v>
      </c>
      <c r="L750" s="1290">
        <f t="shared" ca="1" si="178"/>
        <v>16.983982229434158</v>
      </c>
      <c r="M750" s="299">
        <v>742</v>
      </c>
      <c r="N750" s="304">
        <f t="shared" si="179"/>
        <v>3579.7273716493319</v>
      </c>
      <c r="O750" s="303">
        <v>284.32750885221191</v>
      </c>
      <c r="P750" s="302">
        <v>0.41882991162300037</v>
      </c>
      <c r="Q750" s="301">
        <v>118.60768157682149</v>
      </c>
      <c r="R750" s="301">
        <v>65.204541654895493</v>
      </c>
      <c r="S750" s="300">
        <v>2.1415103099219515</v>
      </c>
      <c r="T750" s="891">
        <f t="shared" si="180"/>
        <v>64</v>
      </c>
      <c r="U750" s="1220">
        <v>0.61553418636322021</v>
      </c>
      <c r="W750" s="299">
        <v>742</v>
      </c>
      <c r="X750" s="298">
        <f>IF('Donor Sample'!N767="",,IF('Donor Sample'!N767="F",1,0))</f>
        <v>0</v>
      </c>
      <c r="Y750" s="298" t="str">
        <f>IF('Donor Sample'!O767="","",'Donor Sample'!O767)</f>
        <v/>
      </c>
      <c r="Z750" s="298" t="str">
        <f>IF(AND('Donor Sample'!O767="",'Donor Sample'!P767="",'Donor Sample'!Q767=""),"",IF('Donor Sample'!P767="",ROUND(AA750/($C$32+($AI750-0.5)*$C$31),0),'Donor Sample'!P767))</f>
        <v/>
      </c>
      <c r="AA750" s="297" t="str">
        <f>IF('Donor Sample'!Q767="","",'Donor Sample'!Q767)</f>
        <v/>
      </c>
      <c r="AB750" s="296" t="str">
        <f t="shared" si="171"/>
        <v/>
      </c>
      <c r="AC750" s="295" t="str">
        <f>IF('Donor Sample'!R767="","",'Donor Sample'!R767)</f>
        <v/>
      </c>
      <c r="AD750" s="294" t="str">
        <f>IF('Donor Sample'!S767="","",'Donor Sample'!S767/100)</f>
        <v/>
      </c>
      <c r="AE750" s="407" t="e">
        <f t="shared" si="181"/>
        <v>#VALUE!</v>
      </c>
      <c r="AF750" s="293" t="str">
        <f t="shared" si="182"/>
        <v/>
      </c>
      <c r="AG750" s="292" t="str">
        <f>IF('Donor Sample'!T767="","",'Donor Sample'!T767)</f>
        <v/>
      </c>
      <c r="AH750" s="891">
        <f t="shared" si="183"/>
        <v>256</v>
      </c>
      <c r="AI750" s="1220">
        <v>0.90215575695037842</v>
      </c>
      <c r="AJ750" s="1216"/>
    </row>
    <row r="751" spans="5:36">
      <c r="E751" s="299">
        <v>743</v>
      </c>
      <c r="F751" s="308">
        <f t="shared" ca="1" si="172"/>
        <v>2664.8504858293786</v>
      </c>
      <c r="G751" s="307">
        <f t="shared" ca="1" si="173"/>
        <v>181.09847159348578</v>
      </c>
      <c r="H751" s="306">
        <f t="shared" ca="1" si="174"/>
        <v>0.41766484986820518</v>
      </c>
      <c r="I751" s="305">
        <f t="shared" ca="1" si="176"/>
        <v>105.80576697369396</v>
      </c>
      <c r="J751" s="305">
        <f t="shared" ca="1" si="177"/>
        <v>44.113120761651601</v>
      </c>
      <c r="K751" s="292">
        <f t="shared" ca="1" si="175"/>
        <v>1.3094928856703087</v>
      </c>
      <c r="L751" s="1290">
        <f t="shared" ca="1" si="178"/>
        <v>38.277752780638473</v>
      </c>
      <c r="M751" s="299">
        <v>743</v>
      </c>
      <c r="N751" s="304">
        <f t="shared" si="179"/>
        <v>2680.5648046470187</v>
      </c>
      <c r="O751" s="303">
        <v>190.81522824660902</v>
      </c>
      <c r="P751" s="302">
        <v>0.38250278664816151</v>
      </c>
      <c r="Q751" s="301">
        <v>104.43103153087925</v>
      </c>
      <c r="R751" s="301">
        <v>45.110024431902161</v>
      </c>
      <c r="S751" s="300">
        <v>11.671418296623779</v>
      </c>
      <c r="T751" s="891">
        <f t="shared" si="180"/>
        <v>2</v>
      </c>
      <c r="U751" s="1220">
        <v>0.19134241342544556</v>
      </c>
      <c r="W751" s="299">
        <v>743</v>
      </c>
      <c r="X751" s="298">
        <f>IF('Donor Sample'!N768="",,IF('Donor Sample'!N768="F",1,0))</f>
        <v>0</v>
      </c>
      <c r="Y751" s="298" t="str">
        <f>IF('Donor Sample'!O768="","",'Donor Sample'!O768)</f>
        <v/>
      </c>
      <c r="Z751" s="298" t="str">
        <f>IF(AND('Donor Sample'!O768="",'Donor Sample'!P768="",'Donor Sample'!Q768=""),"",IF('Donor Sample'!P768="",ROUND(AA751/($C$32+($AI751-0.5)*$C$31),0),'Donor Sample'!P768))</f>
        <v/>
      </c>
      <c r="AA751" s="297" t="str">
        <f>IF('Donor Sample'!Q768="","",'Donor Sample'!Q768)</f>
        <v/>
      </c>
      <c r="AB751" s="296" t="str">
        <f t="shared" si="171"/>
        <v/>
      </c>
      <c r="AC751" s="295" t="str">
        <f>IF('Donor Sample'!R768="","",'Donor Sample'!R768)</f>
        <v/>
      </c>
      <c r="AD751" s="294" t="str">
        <f>IF('Donor Sample'!S768="","",'Donor Sample'!S768/100)</f>
        <v/>
      </c>
      <c r="AE751" s="293" t="e">
        <f t="shared" si="181"/>
        <v>#VALUE!</v>
      </c>
      <c r="AF751" s="293" t="str">
        <f t="shared" si="182"/>
        <v/>
      </c>
      <c r="AG751" s="292" t="str">
        <f>IF('Donor Sample'!T768="","",'Donor Sample'!T768)</f>
        <v/>
      </c>
      <c r="AH751" s="891">
        <f t="shared" si="183"/>
        <v>64</v>
      </c>
      <c r="AI751" s="1220">
        <v>0.74602848291397095</v>
      </c>
      <c r="AJ751" s="1216"/>
    </row>
    <row r="752" spans="5:36">
      <c r="E752" s="299">
        <v>744</v>
      </c>
      <c r="F752" s="308">
        <f t="shared" ca="1" si="172"/>
        <v>3316.3806618545846</v>
      </c>
      <c r="G752" s="307">
        <f t="shared" ca="1" si="173"/>
        <v>293.64882834339437</v>
      </c>
      <c r="H752" s="306">
        <f t="shared" ca="1" si="174"/>
        <v>0.44334685289250009</v>
      </c>
      <c r="I752" s="305">
        <f t="shared" ca="1" si="176"/>
        <v>117.98822653728423</v>
      </c>
      <c r="J752" s="305">
        <f t="shared" ca="1" si="177"/>
        <v>54.806981819987321</v>
      </c>
      <c r="K752" s="292">
        <f t="shared" ca="1" si="175"/>
        <v>1.6509172007071251</v>
      </c>
      <c r="L752" s="1290">
        <f t="shared" ca="1" si="178"/>
        <v>27.652828461614305</v>
      </c>
      <c r="M752" s="299">
        <v>744</v>
      </c>
      <c r="N752" s="304">
        <f t="shared" si="179"/>
        <v>2823.1720857796081</v>
      </c>
      <c r="O752" s="303">
        <v>255.15151395451423</v>
      </c>
      <c r="P752" s="302">
        <v>0.48809228735213428</v>
      </c>
      <c r="Q752" s="301">
        <v>93.757757112305157</v>
      </c>
      <c r="R752" s="301">
        <v>52.101781433705469</v>
      </c>
      <c r="S752" s="300">
        <v>16.978451713091193</v>
      </c>
      <c r="T752" s="891">
        <f t="shared" si="180"/>
        <v>64</v>
      </c>
      <c r="U752" s="1220">
        <v>0.62962818145751953</v>
      </c>
      <c r="W752" s="299">
        <v>744</v>
      </c>
      <c r="X752" s="298">
        <f>IF('Donor Sample'!N769="",,IF('Donor Sample'!N769="F",1,0))</f>
        <v>0</v>
      </c>
      <c r="Y752" s="298" t="str">
        <f>IF('Donor Sample'!O769="","",'Donor Sample'!O769)</f>
        <v/>
      </c>
      <c r="Z752" s="298" t="str">
        <f>IF(AND('Donor Sample'!O769="",'Donor Sample'!P769="",'Donor Sample'!Q769=""),"",IF('Donor Sample'!P769="",ROUND(AA752/($C$32+($AI752-0.5)*$C$31),0),'Donor Sample'!P769))</f>
        <v/>
      </c>
      <c r="AA752" s="297" t="str">
        <f>IF('Donor Sample'!Q769="","",'Donor Sample'!Q769)</f>
        <v/>
      </c>
      <c r="AB752" s="296" t="str">
        <f t="shared" si="171"/>
        <v/>
      </c>
      <c r="AC752" s="295" t="str">
        <f>IF('Donor Sample'!R769="","",'Donor Sample'!R769)</f>
        <v/>
      </c>
      <c r="AD752" s="294" t="str">
        <f>IF('Donor Sample'!S769="","",'Donor Sample'!S769/100)</f>
        <v/>
      </c>
      <c r="AE752" s="293" t="e">
        <f t="shared" si="181"/>
        <v>#VALUE!</v>
      </c>
      <c r="AF752" s="293" t="str">
        <f t="shared" si="182"/>
        <v/>
      </c>
      <c r="AG752" s="292" t="str">
        <f>IF('Donor Sample'!T769="","",'Donor Sample'!T769)</f>
        <v/>
      </c>
      <c r="AH752" s="891">
        <f t="shared" si="183"/>
        <v>2</v>
      </c>
      <c r="AI752" s="1220">
        <v>0.22191762924194336</v>
      </c>
      <c r="AJ752" s="1216"/>
    </row>
    <row r="753" spans="5:36">
      <c r="E753" s="299">
        <v>745</v>
      </c>
      <c r="F753" s="308">
        <f t="shared" ca="1" si="172"/>
        <v>4452.6556097862849</v>
      </c>
      <c r="G753" s="307">
        <f t="shared" ca="1" si="173"/>
        <v>275.02590270054424</v>
      </c>
      <c r="H753" s="306">
        <f t="shared" ca="1" si="174"/>
        <v>0.40496294727990595</v>
      </c>
      <c r="I753" s="305">
        <f t="shared" ca="1" si="176"/>
        <v>140.18168813888573</v>
      </c>
      <c r="J753" s="305">
        <f t="shared" ca="1" si="177"/>
        <v>66.923530372141997</v>
      </c>
      <c r="K753" s="292">
        <f t="shared" ca="1" si="175"/>
        <v>1.5471002010984243</v>
      </c>
      <c r="L753" s="1290">
        <f t="shared" ca="1" si="178"/>
        <v>22.034655195395274</v>
      </c>
      <c r="M753" s="299">
        <v>745</v>
      </c>
      <c r="N753" s="304">
        <f t="shared" si="179"/>
        <v>3240.4127109400315</v>
      </c>
      <c r="O753" s="303">
        <v>266.60433659448961</v>
      </c>
      <c r="P753" s="302">
        <v>0.4106962023128321</v>
      </c>
      <c r="Q753" s="301">
        <v>109.87739992816782</v>
      </c>
      <c r="R753" s="301">
        <v>55.579589607953878</v>
      </c>
      <c r="S753" s="300">
        <v>1.5062267825809792</v>
      </c>
      <c r="T753" s="891">
        <f t="shared" si="180"/>
        <v>64</v>
      </c>
      <c r="U753" s="1220">
        <v>0.50513952970504761</v>
      </c>
      <c r="W753" s="299">
        <v>745</v>
      </c>
      <c r="X753" s="298">
        <f>IF('Donor Sample'!N770="",,IF('Donor Sample'!N770="F",1,0))</f>
        <v>0</v>
      </c>
      <c r="Y753" s="298" t="str">
        <f>IF('Donor Sample'!O770="","",'Donor Sample'!O770)</f>
        <v/>
      </c>
      <c r="Z753" s="298" t="str">
        <f>IF(AND('Donor Sample'!O770="",'Donor Sample'!P770="",'Donor Sample'!Q770=""),"",IF('Donor Sample'!P770="",ROUND(AA753/($C$32+($AI753-0.5)*$C$31),0),'Donor Sample'!P770))</f>
        <v/>
      </c>
      <c r="AA753" s="297" t="str">
        <f>IF('Donor Sample'!Q770="","",'Donor Sample'!Q770)</f>
        <v/>
      </c>
      <c r="AB753" s="296" t="str">
        <f t="shared" si="171"/>
        <v/>
      </c>
      <c r="AC753" s="295" t="str">
        <f>IF('Donor Sample'!R770="","",'Donor Sample'!R770)</f>
        <v/>
      </c>
      <c r="AD753" s="294" t="str">
        <f>IF('Donor Sample'!S770="","",'Donor Sample'!S770/100)</f>
        <v/>
      </c>
      <c r="AE753" s="407" t="e">
        <f t="shared" si="181"/>
        <v>#VALUE!</v>
      </c>
      <c r="AF753" s="293" t="str">
        <f t="shared" si="182"/>
        <v/>
      </c>
      <c r="AG753" s="292" t="str">
        <f>IF('Donor Sample'!T770="","",'Donor Sample'!T770)</f>
        <v/>
      </c>
      <c r="AH753" s="891">
        <f t="shared" si="183"/>
        <v>64</v>
      </c>
      <c r="AI753" s="1220">
        <v>0.45922821760177612</v>
      </c>
      <c r="AJ753" s="1216"/>
    </row>
    <row r="754" spans="5:36">
      <c r="E754" s="299">
        <v>746</v>
      </c>
      <c r="F754" s="308">
        <f t="shared" ca="1" si="172"/>
        <v>3095.5983700946545</v>
      </c>
      <c r="G754" s="307">
        <f t="shared" ca="1" si="173"/>
        <v>185.06216404780784</v>
      </c>
      <c r="H754" s="306">
        <f t="shared" ca="1" si="174"/>
        <v>0.4788568310284757</v>
      </c>
      <c r="I754" s="305">
        <f t="shared" ca="1" si="176"/>
        <v>100.35540440022997</v>
      </c>
      <c r="J754" s="305">
        <f t="shared" ca="1" si="177"/>
        <v>55.475414885666041</v>
      </c>
      <c r="K754" s="292">
        <f t="shared" ca="1" si="175"/>
        <v>10.67177551540054</v>
      </c>
      <c r="L754" s="1290">
        <f t="shared" ca="1" si="178"/>
        <v>22.956850536894422</v>
      </c>
      <c r="M754" s="299">
        <v>746</v>
      </c>
      <c r="N754" s="304">
        <f t="shared" si="179"/>
        <v>2997.4511483876881</v>
      </c>
      <c r="O754" s="303">
        <v>274.69554391968069</v>
      </c>
      <c r="P754" s="302">
        <v>0.4380023737488638</v>
      </c>
      <c r="Q754" s="301">
        <v>94.337788025045853</v>
      </c>
      <c r="R754" s="301">
        <v>55.289406732209159</v>
      </c>
      <c r="S754" s="300">
        <v>4.6386903242189286</v>
      </c>
      <c r="T754" s="891">
        <f t="shared" si="180"/>
        <v>2</v>
      </c>
      <c r="U754" s="1220">
        <v>0.24499952793121338</v>
      </c>
      <c r="W754" s="299">
        <v>746</v>
      </c>
      <c r="X754" s="298">
        <f>IF('Donor Sample'!N771="",,IF('Donor Sample'!N771="F",1,0))</f>
        <v>0</v>
      </c>
      <c r="Y754" s="298" t="str">
        <f>IF('Donor Sample'!O771="","",'Donor Sample'!O771)</f>
        <v/>
      </c>
      <c r="Z754" s="298" t="str">
        <f>IF(AND('Donor Sample'!O771="",'Donor Sample'!P771="",'Donor Sample'!Q771=""),"",IF('Donor Sample'!P771="",ROUND(AA754/($C$32+($AI754-0.5)*$C$31),0),'Donor Sample'!P771))</f>
        <v/>
      </c>
      <c r="AA754" s="297" t="str">
        <f>IF('Donor Sample'!Q771="","",'Donor Sample'!Q771)</f>
        <v/>
      </c>
      <c r="AB754" s="296" t="str">
        <f t="shared" si="171"/>
        <v/>
      </c>
      <c r="AC754" s="295" t="str">
        <f>IF('Donor Sample'!R771="","",'Donor Sample'!R771)</f>
        <v/>
      </c>
      <c r="AD754" s="294" t="str">
        <f>IF('Donor Sample'!S771="","",'Donor Sample'!S771/100)</f>
        <v/>
      </c>
      <c r="AE754" s="293" t="e">
        <f t="shared" si="181"/>
        <v>#VALUE!</v>
      </c>
      <c r="AF754" s="293" t="str">
        <f t="shared" si="182"/>
        <v/>
      </c>
      <c r="AG754" s="292" t="str">
        <f>IF('Donor Sample'!T771="","",'Donor Sample'!T771)</f>
        <v/>
      </c>
      <c r="AH754" s="891">
        <f t="shared" si="183"/>
        <v>64</v>
      </c>
      <c r="AI754" s="1220">
        <v>0.68986237049102783</v>
      </c>
      <c r="AJ754" s="1216"/>
    </row>
    <row r="755" spans="5:36">
      <c r="E755" s="299">
        <v>747</v>
      </c>
      <c r="F755" s="308">
        <f t="shared" ca="1" si="172"/>
        <v>2770.2006635080588</v>
      </c>
      <c r="G755" s="307">
        <f t="shared" ca="1" si="173"/>
        <v>203.2929380585976</v>
      </c>
      <c r="H755" s="306">
        <f t="shared" ca="1" si="174"/>
        <v>0.49707146851342388</v>
      </c>
      <c r="I755" s="305">
        <f t="shared" ca="1" si="176"/>
        <v>103.84546824584174</v>
      </c>
      <c r="J755" s="305">
        <f t="shared" ca="1" si="177"/>
        <v>47.640625025574295</v>
      </c>
      <c r="K755" s="292">
        <f t="shared" ca="1" si="175"/>
        <v>4.9274190437268128</v>
      </c>
      <c r="L755" s="1290">
        <f t="shared" ca="1" si="178"/>
        <v>32.211081512589729</v>
      </c>
      <c r="M755" s="299">
        <v>747</v>
      </c>
      <c r="N755" s="304">
        <f t="shared" si="179"/>
        <v>3245.3838583045817</v>
      </c>
      <c r="O755" s="303">
        <v>300.87240123984361</v>
      </c>
      <c r="P755" s="302">
        <v>0.38132557210002527</v>
      </c>
      <c r="Q755" s="301">
        <v>109.07709220941558</v>
      </c>
      <c r="R755" s="301">
        <v>55.87694034928694</v>
      </c>
      <c r="S755" s="300">
        <v>8.7355733468444292</v>
      </c>
      <c r="T755" s="891">
        <f t="shared" si="180"/>
        <v>2</v>
      </c>
      <c r="U755" s="1220">
        <v>0.11373740434646606</v>
      </c>
      <c r="W755" s="299">
        <v>747</v>
      </c>
      <c r="X755" s="298">
        <f>IF('Donor Sample'!N772="",,IF('Donor Sample'!N772="F",1,0))</f>
        <v>0</v>
      </c>
      <c r="Y755" s="298" t="str">
        <f>IF('Donor Sample'!O772="","",'Donor Sample'!O772)</f>
        <v/>
      </c>
      <c r="Z755" s="298" t="str">
        <f>IF(AND('Donor Sample'!O772="",'Donor Sample'!P772="",'Donor Sample'!Q772=""),"",IF('Donor Sample'!P772="",ROUND(AA755/($C$32+($AI755-0.5)*$C$31),0),'Donor Sample'!P772))</f>
        <v/>
      </c>
      <c r="AA755" s="297" t="str">
        <f>IF('Donor Sample'!Q772="","",'Donor Sample'!Q772)</f>
        <v/>
      </c>
      <c r="AB755" s="296" t="str">
        <f t="shared" si="171"/>
        <v/>
      </c>
      <c r="AC755" s="295" t="str">
        <f>IF('Donor Sample'!R772="","",'Donor Sample'!R772)</f>
        <v/>
      </c>
      <c r="AD755" s="294" t="str">
        <f>IF('Donor Sample'!S772="","",'Donor Sample'!S772/100)</f>
        <v/>
      </c>
      <c r="AE755" s="293" t="e">
        <f t="shared" si="181"/>
        <v>#VALUE!</v>
      </c>
      <c r="AF755" s="293" t="str">
        <f t="shared" si="182"/>
        <v/>
      </c>
      <c r="AG755" s="292" t="str">
        <f>IF('Donor Sample'!T772="","",'Donor Sample'!T772)</f>
        <v/>
      </c>
      <c r="AH755" s="891">
        <f t="shared" si="183"/>
        <v>2</v>
      </c>
      <c r="AI755" s="1220">
        <v>0.35776215791702271</v>
      </c>
      <c r="AJ755" s="1216"/>
    </row>
    <row r="756" spans="5:36">
      <c r="E756" s="299">
        <v>748</v>
      </c>
      <c r="F756" s="308">
        <f t="shared" ca="1" si="172"/>
        <v>4663.4996464798778</v>
      </c>
      <c r="G756" s="307">
        <f t="shared" ca="1" si="173"/>
        <v>271.71358109043069</v>
      </c>
      <c r="H756" s="306">
        <f t="shared" ca="1" si="174"/>
        <v>0.44874567903328888</v>
      </c>
      <c r="I756" s="305">
        <f t="shared" ca="1" si="176"/>
        <v>177.12532605405644</v>
      </c>
      <c r="J756" s="305">
        <f t="shared" ca="1" si="177"/>
        <v>62.580750074711823</v>
      </c>
      <c r="K756" s="292">
        <f t="shared" ca="1" si="175"/>
        <v>1.4800236674425429</v>
      </c>
      <c r="L756" s="1290">
        <f t="shared" ca="1" si="178"/>
        <v>31.839907217085926</v>
      </c>
      <c r="M756" s="299">
        <v>748</v>
      </c>
      <c r="N756" s="304">
        <f t="shared" si="179"/>
        <v>3548.9306726972409</v>
      </c>
      <c r="O756" s="303">
        <v>247.31615319550838</v>
      </c>
      <c r="P756" s="302">
        <v>0.41098262336572106</v>
      </c>
      <c r="Q756" s="301">
        <v>118.58269828273019</v>
      </c>
      <c r="R756" s="301">
        <v>58.661744673149194</v>
      </c>
      <c r="S756" s="300">
        <v>2.3250992566034774</v>
      </c>
      <c r="T756" s="891">
        <f t="shared" si="180"/>
        <v>64</v>
      </c>
      <c r="U756" s="1220">
        <v>0.68007016181945801</v>
      </c>
      <c r="W756" s="299">
        <v>748</v>
      </c>
      <c r="X756" s="298">
        <f>IF('Donor Sample'!N773="",,IF('Donor Sample'!N773="F",1,0))</f>
        <v>0</v>
      </c>
      <c r="Y756" s="298" t="str">
        <f>IF('Donor Sample'!O773="","",'Donor Sample'!O773)</f>
        <v/>
      </c>
      <c r="Z756" s="298" t="str">
        <f>IF(AND('Donor Sample'!O773="",'Donor Sample'!P773="",'Donor Sample'!Q773=""),"",IF('Donor Sample'!P773="",ROUND(AA756/($C$32+($AI756-0.5)*$C$31),0),'Donor Sample'!P773))</f>
        <v/>
      </c>
      <c r="AA756" s="297" t="str">
        <f>IF('Donor Sample'!Q773="","",'Donor Sample'!Q773)</f>
        <v/>
      </c>
      <c r="AB756" s="296" t="str">
        <f t="shared" si="171"/>
        <v/>
      </c>
      <c r="AC756" s="295" t="str">
        <f>IF('Donor Sample'!R773="","",'Donor Sample'!R773)</f>
        <v/>
      </c>
      <c r="AD756" s="294" t="str">
        <f>IF('Donor Sample'!S773="","",'Donor Sample'!S773/100)</f>
        <v/>
      </c>
      <c r="AE756" s="407" t="e">
        <f t="shared" si="181"/>
        <v>#VALUE!</v>
      </c>
      <c r="AF756" s="293" t="str">
        <f t="shared" si="182"/>
        <v/>
      </c>
      <c r="AG756" s="292" t="str">
        <f>IF('Donor Sample'!T773="","",'Donor Sample'!T773)</f>
        <v/>
      </c>
      <c r="AH756" s="891">
        <f t="shared" si="183"/>
        <v>64</v>
      </c>
      <c r="AI756" s="1220">
        <v>0.71215605735778809</v>
      </c>
      <c r="AJ756" s="1216"/>
    </row>
    <row r="757" spans="5:36">
      <c r="E757" s="299">
        <v>749</v>
      </c>
      <c r="F757" s="308">
        <f t="shared" ca="1" si="172"/>
        <v>3477.9804571601285</v>
      </c>
      <c r="G757" s="307">
        <f t="shared" ca="1" si="173"/>
        <v>232.73806292963056</v>
      </c>
      <c r="H757" s="306">
        <f t="shared" ca="1" si="174"/>
        <v>0.39407873133155413</v>
      </c>
      <c r="I757" s="305">
        <f t="shared" ca="1" si="176"/>
        <v>122.03683596757482</v>
      </c>
      <c r="J757" s="305">
        <f t="shared" ca="1" si="177"/>
        <v>56.636975492994281</v>
      </c>
      <c r="K757" s="292">
        <f t="shared" ca="1" si="175"/>
        <v>1.7493812938806619</v>
      </c>
      <c r="L757" s="1290">
        <f t="shared" ca="1" si="178"/>
        <v>26.783263364852427</v>
      </c>
      <c r="M757" s="299">
        <v>749</v>
      </c>
      <c r="N757" s="304">
        <f t="shared" si="179"/>
        <v>3604.9696922753883</v>
      </c>
      <c r="O757" s="303">
        <v>266.97626791870317</v>
      </c>
      <c r="P757" s="302">
        <v>0.35284225734771751</v>
      </c>
      <c r="Q757" s="301">
        <v>125.50170550313732</v>
      </c>
      <c r="R757" s="301">
        <v>57.927908971675627</v>
      </c>
      <c r="S757" s="300">
        <v>13.883122228579252</v>
      </c>
      <c r="T757" s="891">
        <f t="shared" si="180"/>
        <v>2</v>
      </c>
      <c r="U757" s="1220">
        <v>0.15093272924423218</v>
      </c>
      <c r="W757" s="299">
        <v>749</v>
      </c>
      <c r="X757" s="298">
        <f>IF('Donor Sample'!N774="",,IF('Donor Sample'!N774="F",1,0))</f>
        <v>0</v>
      </c>
      <c r="Y757" s="298" t="str">
        <f>IF('Donor Sample'!O774="","",'Donor Sample'!O774)</f>
        <v/>
      </c>
      <c r="Z757" s="298" t="str">
        <f>IF(AND('Donor Sample'!O774="",'Donor Sample'!P774="",'Donor Sample'!Q774=""),"",IF('Donor Sample'!P774="",ROUND(AA757/($C$32+($AI757-0.5)*$C$31),0),'Donor Sample'!P774))</f>
        <v/>
      </c>
      <c r="AA757" s="297" t="str">
        <f>IF('Donor Sample'!Q774="","",'Donor Sample'!Q774)</f>
        <v/>
      </c>
      <c r="AB757" s="296" t="str">
        <f t="shared" si="171"/>
        <v/>
      </c>
      <c r="AC757" s="295" t="str">
        <f>IF('Donor Sample'!R774="","",'Donor Sample'!R774)</f>
        <v/>
      </c>
      <c r="AD757" s="294" t="str">
        <f>IF('Donor Sample'!S774="","",'Donor Sample'!S774/100)</f>
        <v/>
      </c>
      <c r="AE757" s="293" t="e">
        <f t="shared" si="181"/>
        <v>#VALUE!</v>
      </c>
      <c r="AF757" s="293" t="str">
        <f t="shared" si="182"/>
        <v/>
      </c>
      <c r="AG757" s="292" t="str">
        <f>IF('Donor Sample'!T774="","",'Donor Sample'!T774)</f>
        <v/>
      </c>
      <c r="AH757" s="891">
        <f t="shared" si="183"/>
        <v>2</v>
      </c>
      <c r="AI757" s="1220">
        <v>0.26219457387924194</v>
      </c>
      <c r="AJ757" s="1216"/>
    </row>
    <row r="758" spans="5:36">
      <c r="E758" s="299">
        <v>750</v>
      </c>
      <c r="F758" s="308">
        <f t="shared" ca="1" si="172"/>
        <v>2935.7056287445207</v>
      </c>
      <c r="G758" s="307">
        <f t="shared" ca="1" si="173"/>
        <v>249.29938860822028</v>
      </c>
      <c r="H758" s="306">
        <f t="shared" ca="1" si="174"/>
        <v>0.39561219883919874</v>
      </c>
      <c r="I758" s="305">
        <f t="shared" ca="1" si="176"/>
        <v>100.14029083699876</v>
      </c>
      <c r="J758" s="305">
        <f t="shared" ca="1" si="177"/>
        <v>52.494008677754053</v>
      </c>
      <c r="K758" s="292">
        <f t="shared" ca="1" si="175"/>
        <v>3.9189205821567863</v>
      </c>
      <c r="L758" s="1290">
        <f t="shared" ca="1" si="178"/>
        <v>25.583622023362814</v>
      </c>
      <c r="M758" s="299">
        <v>750</v>
      </c>
      <c r="N758" s="304">
        <f t="shared" si="179"/>
        <v>3051.9741098818549</v>
      </c>
      <c r="O758" s="303">
        <v>228.62860194907904</v>
      </c>
      <c r="P758" s="302">
        <v>0.43223293154291836</v>
      </c>
      <c r="Q758" s="301">
        <v>116.247758982731</v>
      </c>
      <c r="R758" s="301">
        <v>49.983512610801142</v>
      </c>
      <c r="S758" s="300">
        <v>2.5070209307652096</v>
      </c>
      <c r="T758" s="891">
        <f t="shared" si="180"/>
        <v>2</v>
      </c>
      <c r="U758" s="1220">
        <v>0.16626250743865967</v>
      </c>
      <c r="W758" s="299">
        <v>750</v>
      </c>
      <c r="X758" s="298">
        <f>IF('Donor Sample'!N775="",,IF('Donor Sample'!N775="F",1,0))</f>
        <v>0</v>
      </c>
      <c r="Y758" s="298" t="str">
        <f>IF('Donor Sample'!O775="","",'Donor Sample'!O775)</f>
        <v/>
      </c>
      <c r="Z758" s="298" t="str">
        <f>IF(AND('Donor Sample'!O775="",'Donor Sample'!P775="",'Donor Sample'!Q775=""),"",IF('Donor Sample'!P775="",ROUND(AA758/($C$32+($AI758-0.5)*$C$31),0),'Donor Sample'!P775))</f>
        <v/>
      </c>
      <c r="AA758" s="297" t="str">
        <f>IF('Donor Sample'!Q775="","",'Donor Sample'!Q775)</f>
        <v/>
      </c>
      <c r="AB758" s="296" t="str">
        <f t="shared" ref="AB758:AB821" si="184">IF(AND(Y758="",Z758="",AA758=""),"",IF(AA758="",IF(X758=0,604+IF($AB$2=1,0.006012,0.0003669)*Y758^3+IF($AB$2=1,14.6,32.187)*Z758,183+IF($AB$2=1,0.005835,0.0003561)*Y758^3+IF($AB$2=1,15,33.069)*Z758),AA758))</f>
        <v/>
      </c>
      <c r="AC758" s="295" t="str">
        <f>IF('Donor Sample'!R775="","",'Donor Sample'!R775)</f>
        <v/>
      </c>
      <c r="AD758" s="294" t="str">
        <f>IF('Donor Sample'!S775="","",'Donor Sample'!S775/100)</f>
        <v/>
      </c>
      <c r="AE758" s="293" t="e">
        <f t="shared" si="181"/>
        <v>#VALUE!</v>
      </c>
      <c r="AF758" s="293" t="str">
        <f t="shared" si="182"/>
        <v/>
      </c>
      <c r="AG758" s="292" t="str">
        <f>IF('Donor Sample'!T775="","",'Donor Sample'!T775)</f>
        <v/>
      </c>
      <c r="AH758" s="891">
        <f t="shared" si="183"/>
        <v>64</v>
      </c>
      <c r="AI758" s="1220">
        <v>0.70991837978363037</v>
      </c>
      <c r="AJ758" s="1216"/>
    </row>
    <row r="759" spans="5:36">
      <c r="E759" s="299">
        <v>751</v>
      </c>
      <c r="F759" s="308">
        <f t="shared" ca="1" si="172"/>
        <v>2764.5949650761486</v>
      </c>
      <c r="G759" s="307">
        <f t="shared" ca="1" si="173"/>
        <v>225.78556129156001</v>
      </c>
      <c r="H759" s="306">
        <f t="shared" ca="1" si="174"/>
        <v>0.42902269379162433</v>
      </c>
      <c r="I759" s="305">
        <f t="shared" ca="1" si="176"/>
        <v>88.017517021071782</v>
      </c>
      <c r="J759" s="305">
        <f t="shared" ca="1" si="177"/>
        <v>52.61208872729744</v>
      </c>
      <c r="K759" s="292">
        <f t="shared" ca="1" si="175"/>
        <v>5.293855420740158</v>
      </c>
      <c r="L759" s="1290">
        <f t="shared" ca="1" si="178"/>
        <v>22.385700260525933</v>
      </c>
      <c r="M759" s="299">
        <v>751</v>
      </c>
      <c r="N759" s="304">
        <f t="shared" si="179"/>
        <v>3174.7649959001274</v>
      </c>
      <c r="O759" s="303">
        <v>218.94164519998583</v>
      </c>
      <c r="P759" s="302">
        <v>0.36791480830671225</v>
      </c>
      <c r="Q759" s="301">
        <v>120.10912291988049</v>
      </c>
      <c r="R759" s="301">
        <v>51.415981810909891</v>
      </c>
      <c r="S759" s="300">
        <v>3.1500145509573723</v>
      </c>
      <c r="T759" s="891">
        <f t="shared" si="180"/>
        <v>2</v>
      </c>
      <c r="U759" s="1220">
        <v>2.4020731449127197E-2</v>
      </c>
      <c r="W759" s="299">
        <v>751</v>
      </c>
      <c r="X759" s="298">
        <f>IF('Donor Sample'!N776="",,IF('Donor Sample'!N776="F",1,0))</f>
        <v>0</v>
      </c>
      <c r="Y759" s="298" t="str">
        <f>IF('Donor Sample'!O776="","",'Donor Sample'!O776)</f>
        <v/>
      </c>
      <c r="Z759" s="298" t="str">
        <f>IF(AND('Donor Sample'!O776="",'Donor Sample'!P776="",'Donor Sample'!Q776=""),"",IF('Donor Sample'!P776="",ROUND(AA759/($C$32+($AI759-0.5)*$C$31),0),'Donor Sample'!P776))</f>
        <v/>
      </c>
      <c r="AA759" s="297" t="str">
        <f>IF('Donor Sample'!Q776="","",'Donor Sample'!Q776)</f>
        <v/>
      </c>
      <c r="AB759" s="296" t="str">
        <f t="shared" si="184"/>
        <v/>
      </c>
      <c r="AC759" s="295" t="str">
        <f>IF('Donor Sample'!R776="","",'Donor Sample'!R776)</f>
        <v/>
      </c>
      <c r="AD759" s="294" t="str">
        <f>IF('Donor Sample'!S776="","",'Donor Sample'!S776/100)</f>
        <v/>
      </c>
      <c r="AE759" s="407" t="e">
        <f t="shared" si="181"/>
        <v>#VALUE!</v>
      </c>
      <c r="AF759" s="293" t="str">
        <f t="shared" si="182"/>
        <v/>
      </c>
      <c r="AG759" s="292" t="str">
        <f>IF('Donor Sample'!T776="","",'Donor Sample'!T776)</f>
        <v/>
      </c>
      <c r="AH759" s="891">
        <f t="shared" si="183"/>
        <v>2</v>
      </c>
      <c r="AI759" s="1220">
        <v>0.26072889566421509</v>
      </c>
      <c r="AJ759" s="1216"/>
    </row>
    <row r="760" spans="5:36">
      <c r="E760" s="299">
        <v>752</v>
      </c>
      <c r="F760" s="308">
        <f t="shared" ca="1" si="172"/>
        <v>3058.3852972899763</v>
      </c>
      <c r="G760" s="307">
        <f t="shared" ca="1" si="173"/>
        <v>216.26504190990693</v>
      </c>
      <c r="H760" s="306">
        <f t="shared" ca="1" si="174"/>
        <v>0.44559195330061391</v>
      </c>
      <c r="I760" s="305">
        <f t="shared" ca="1" si="176"/>
        <v>95.643922215230148</v>
      </c>
      <c r="J760" s="305">
        <f t="shared" ca="1" si="177"/>
        <v>56.038527348998549</v>
      </c>
      <c r="K760" s="292">
        <f t="shared" ca="1" si="175"/>
        <v>2.8651956598453863</v>
      </c>
      <c r="L760" s="1290">
        <f t="shared" ca="1" si="178"/>
        <v>21.441571326405562</v>
      </c>
      <c r="M760" s="299">
        <v>752</v>
      </c>
      <c r="N760" s="304">
        <f t="shared" si="179"/>
        <v>3038.7189289170356</v>
      </c>
      <c r="O760" s="303">
        <v>279.53100577766213</v>
      </c>
      <c r="P760" s="302">
        <v>0.43912148086405095</v>
      </c>
      <c r="Q760" s="301">
        <v>105.05688808883193</v>
      </c>
      <c r="R760" s="301">
        <v>53.115018248313397</v>
      </c>
      <c r="S760" s="300">
        <v>1.4070274194728192</v>
      </c>
      <c r="T760" s="891">
        <f t="shared" si="180"/>
        <v>2</v>
      </c>
      <c r="U760" s="1220">
        <v>0.17700338363647461</v>
      </c>
      <c r="W760" s="299">
        <v>752</v>
      </c>
      <c r="X760" s="298">
        <f>IF('Donor Sample'!N777="",,IF('Donor Sample'!N777="F",1,0))</f>
        <v>0</v>
      </c>
      <c r="Y760" s="298" t="str">
        <f>IF('Donor Sample'!O777="","",'Donor Sample'!O777)</f>
        <v/>
      </c>
      <c r="Z760" s="298" t="str">
        <f>IF(AND('Donor Sample'!O777="",'Donor Sample'!P777="",'Donor Sample'!Q777=""),"",IF('Donor Sample'!P777="",ROUND(AA760/($C$32+($AI760-0.5)*$C$31),0),'Donor Sample'!P777))</f>
        <v/>
      </c>
      <c r="AA760" s="297" t="str">
        <f>IF('Donor Sample'!Q777="","",'Donor Sample'!Q777)</f>
        <v/>
      </c>
      <c r="AB760" s="296" t="str">
        <f t="shared" si="184"/>
        <v/>
      </c>
      <c r="AC760" s="295" t="str">
        <f>IF('Donor Sample'!R777="","",'Donor Sample'!R777)</f>
        <v/>
      </c>
      <c r="AD760" s="294" t="str">
        <f>IF('Donor Sample'!S777="","",'Donor Sample'!S777/100)</f>
        <v/>
      </c>
      <c r="AE760" s="293" t="e">
        <f t="shared" si="181"/>
        <v>#VALUE!</v>
      </c>
      <c r="AF760" s="293" t="str">
        <f t="shared" si="182"/>
        <v/>
      </c>
      <c r="AG760" s="292" t="str">
        <f>IF('Donor Sample'!T777="","",'Donor Sample'!T777)</f>
        <v/>
      </c>
      <c r="AH760" s="891">
        <f t="shared" si="183"/>
        <v>4</v>
      </c>
      <c r="AI760" s="1220">
        <v>0.36385154724121094</v>
      </c>
      <c r="AJ760" s="1216"/>
    </row>
    <row r="761" spans="5:36">
      <c r="E761" s="299">
        <v>753</v>
      </c>
      <c r="F761" s="308">
        <f t="shared" ca="1" si="172"/>
        <v>3264.3760683195428</v>
      </c>
      <c r="G761" s="307">
        <f t="shared" ca="1" si="173"/>
        <v>289.16749925911984</v>
      </c>
      <c r="H761" s="306">
        <f t="shared" ca="1" si="174"/>
        <v>0.3532417406338661</v>
      </c>
      <c r="I761" s="305">
        <f t="shared" ca="1" si="176"/>
        <v>101.95278298061115</v>
      </c>
      <c r="J761" s="305">
        <f t="shared" ca="1" si="177"/>
        <v>57.981074285449125</v>
      </c>
      <c r="K761" s="292">
        <f t="shared" ca="1" si="175"/>
        <v>2.8160879333277364</v>
      </c>
      <c r="L761" s="1290">
        <f t="shared" ca="1" si="178"/>
        <v>21.350066332166364</v>
      </c>
      <c r="M761" s="299">
        <v>753</v>
      </c>
      <c r="N761" s="304">
        <f t="shared" si="179"/>
        <v>3472.9650863221914</v>
      </c>
      <c r="O761" s="303">
        <v>254.85714398736837</v>
      </c>
      <c r="P761" s="302">
        <v>0.39798262043883931</v>
      </c>
      <c r="Q761" s="301">
        <v>138.87423442595534</v>
      </c>
      <c r="R761" s="301">
        <v>51.919208450408668</v>
      </c>
      <c r="S761" s="300">
        <v>3.8948118564914211</v>
      </c>
      <c r="T761" s="891">
        <f t="shared" si="180"/>
        <v>2</v>
      </c>
      <c r="U761" s="1220">
        <v>0.22678345441818237</v>
      </c>
      <c r="W761" s="299">
        <v>753</v>
      </c>
      <c r="X761" s="298">
        <f>IF('Donor Sample'!N778="",,IF('Donor Sample'!N778="F",1,0))</f>
        <v>0</v>
      </c>
      <c r="Y761" s="298" t="str">
        <f>IF('Donor Sample'!O778="","",'Donor Sample'!O778)</f>
        <v/>
      </c>
      <c r="Z761" s="298" t="str">
        <f>IF(AND('Donor Sample'!O778="",'Donor Sample'!P778="",'Donor Sample'!Q778=""),"",IF('Donor Sample'!P778="",ROUND(AA761/($C$32+($AI761-0.5)*$C$31),0),'Donor Sample'!P778))</f>
        <v/>
      </c>
      <c r="AA761" s="297" t="str">
        <f>IF('Donor Sample'!Q778="","",'Donor Sample'!Q778)</f>
        <v/>
      </c>
      <c r="AB761" s="296" t="str">
        <f t="shared" si="184"/>
        <v/>
      </c>
      <c r="AC761" s="295" t="str">
        <f>IF('Donor Sample'!R778="","",'Donor Sample'!R778)</f>
        <v/>
      </c>
      <c r="AD761" s="294" t="str">
        <f>IF('Donor Sample'!S778="","",'Donor Sample'!S778/100)</f>
        <v/>
      </c>
      <c r="AE761" s="293" t="e">
        <f t="shared" si="181"/>
        <v>#VALUE!</v>
      </c>
      <c r="AF761" s="293" t="str">
        <f t="shared" si="182"/>
        <v/>
      </c>
      <c r="AG761" s="292" t="str">
        <f>IF('Donor Sample'!T778="","",'Donor Sample'!T778)</f>
        <v/>
      </c>
      <c r="AH761" s="891">
        <f t="shared" si="183"/>
        <v>64</v>
      </c>
      <c r="AI761" s="1220">
        <v>0.47532099485397339</v>
      </c>
      <c r="AJ761" s="1216"/>
    </row>
    <row r="762" spans="5:36">
      <c r="E762" s="299">
        <v>754</v>
      </c>
      <c r="F762" s="308">
        <f t="shared" ca="1" si="172"/>
        <v>4177.1847560460892</v>
      </c>
      <c r="G762" s="307">
        <f t="shared" ca="1" si="173"/>
        <v>267.51842737027562</v>
      </c>
      <c r="H762" s="306">
        <f t="shared" ca="1" si="174"/>
        <v>0.4334518408901033</v>
      </c>
      <c r="I762" s="305">
        <f t="shared" ca="1" si="176"/>
        <v>166.82218681976445</v>
      </c>
      <c r="J762" s="305">
        <f t="shared" ca="1" si="177"/>
        <v>63.468995117477313</v>
      </c>
      <c r="K762" s="292">
        <f t="shared" ca="1" si="175"/>
        <v>11.6797338187737</v>
      </c>
      <c r="L762" s="1290">
        <f t="shared" ca="1" si="178"/>
        <v>29.154340681322747</v>
      </c>
      <c r="M762" s="299">
        <v>754</v>
      </c>
      <c r="N762" s="304">
        <f t="shared" si="179"/>
        <v>2570.8222005119978</v>
      </c>
      <c r="O762" s="303">
        <v>271.5738881716868</v>
      </c>
      <c r="P762" s="302">
        <v>0.42875955940528049</v>
      </c>
      <c r="Q762" s="301">
        <v>105.79801720392611</v>
      </c>
      <c r="R762" s="301">
        <v>51.582666771865924</v>
      </c>
      <c r="S762" s="300">
        <v>4.4983146938528673</v>
      </c>
      <c r="T762" s="891">
        <f t="shared" si="180"/>
        <v>64</v>
      </c>
      <c r="U762" s="1220">
        <v>0.48875916004180908</v>
      </c>
      <c r="W762" s="299">
        <v>754</v>
      </c>
      <c r="X762" s="298">
        <f>IF('Donor Sample'!N779="",,IF('Donor Sample'!N779="F",1,0))</f>
        <v>0</v>
      </c>
      <c r="Y762" s="298" t="str">
        <f>IF('Donor Sample'!O779="","",'Donor Sample'!O779)</f>
        <v/>
      </c>
      <c r="Z762" s="298" t="str">
        <f>IF(AND('Donor Sample'!O779="",'Donor Sample'!P779="",'Donor Sample'!Q779=""),"",IF('Donor Sample'!P779="",ROUND(AA762/($C$32+($AI762-0.5)*$C$31),0),'Donor Sample'!P779))</f>
        <v/>
      </c>
      <c r="AA762" s="297" t="str">
        <f>IF('Donor Sample'!Q779="","",'Donor Sample'!Q779)</f>
        <v/>
      </c>
      <c r="AB762" s="296" t="str">
        <f t="shared" si="184"/>
        <v/>
      </c>
      <c r="AC762" s="295" t="str">
        <f>IF('Donor Sample'!R779="","",'Donor Sample'!R779)</f>
        <v/>
      </c>
      <c r="AD762" s="294" t="str">
        <f>IF('Donor Sample'!S779="","",'Donor Sample'!S779/100)</f>
        <v/>
      </c>
      <c r="AE762" s="407" t="e">
        <f t="shared" si="181"/>
        <v>#VALUE!</v>
      </c>
      <c r="AF762" s="293" t="str">
        <f t="shared" si="182"/>
        <v/>
      </c>
      <c r="AG762" s="292" t="str">
        <f>IF('Donor Sample'!T779="","",'Donor Sample'!T779)</f>
        <v/>
      </c>
      <c r="AH762" s="891">
        <f t="shared" si="183"/>
        <v>32</v>
      </c>
      <c r="AI762" s="1220">
        <v>0.81590044498443604</v>
      </c>
      <c r="AJ762" s="1216"/>
    </row>
    <row r="763" spans="5:36">
      <c r="E763" s="299">
        <v>755</v>
      </c>
      <c r="F763" s="308">
        <f t="shared" ca="1" si="172"/>
        <v>3912.9345719417061</v>
      </c>
      <c r="G763" s="307">
        <f t="shared" ca="1" si="173"/>
        <v>208.61071710019982</v>
      </c>
      <c r="H763" s="306">
        <f t="shared" ca="1" si="174"/>
        <v>0.47622368305448537</v>
      </c>
      <c r="I763" s="305">
        <f t="shared" ca="1" si="176"/>
        <v>122.61976484836103</v>
      </c>
      <c r="J763" s="305">
        <f t="shared" ca="1" si="177"/>
        <v>68.68404250614249</v>
      </c>
      <c r="K763" s="292">
        <f t="shared" ca="1" si="175"/>
        <v>4.6080369769521639</v>
      </c>
      <c r="L763" s="1290">
        <f t="shared" ca="1" si="178"/>
        <v>18.298750743429856</v>
      </c>
      <c r="M763" s="299">
        <v>755</v>
      </c>
      <c r="N763" s="304">
        <f t="shared" si="179"/>
        <v>3635.7167042515375</v>
      </c>
      <c r="O763" s="303">
        <v>227.65753189190693</v>
      </c>
      <c r="P763" s="302">
        <v>0.45804626704382634</v>
      </c>
      <c r="Q763" s="301">
        <v>122.20721029402354</v>
      </c>
      <c r="R763" s="301">
        <v>65.231355035708845</v>
      </c>
      <c r="S763" s="300">
        <v>1.7464000968181874</v>
      </c>
      <c r="T763" s="891">
        <f t="shared" si="180"/>
        <v>64</v>
      </c>
      <c r="U763" s="1220">
        <v>0.65638428926467896</v>
      </c>
      <c r="W763" s="299">
        <v>755</v>
      </c>
      <c r="X763" s="298">
        <f>IF('Donor Sample'!N780="",,IF('Donor Sample'!N780="F",1,0))</f>
        <v>0</v>
      </c>
      <c r="Y763" s="298" t="str">
        <f>IF('Donor Sample'!O780="","",'Donor Sample'!O780)</f>
        <v/>
      </c>
      <c r="Z763" s="298" t="str">
        <f>IF(AND('Donor Sample'!O780="",'Donor Sample'!P780="",'Donor Sample'!Q780=""),"",IF('Donor Sample'!P780="",ROUND(AA763/($C$32+($AI763-0.5)*$C$31),0),'Donor Sample'!P780))</f>
        <v/>
      </c>
      <c r="AA763" s="297" t="str">
        <f>IF('Donor Sample'!Q780="","",'Donor Sample'!Q780)</f>
        <v/>
      </c>
      <c r="AB763" s="296" t="str">
        <f t="shared" si="184"/>
        <v/>
      </c>
      <c r="AC763" s="295" t="str">
        <f>IF('Donor Sample'!R780="","",'Donor Sample'!R780)</f>
        <v/>
      </c>
      <c r="AD763" s="294" t="str">
        <f>IF('Donor Sample'!S780="","",'Donor Sample'!S780/100)</f>
        <v/>
      </c>
      <c r="AE763" s="293" t="e">
        <f t="shared" si="181"/>
        <v>#VALUE!</v>
      </c>
      <c r="AF763" s="293" t="str">
        <f t="shared" si="182"/>
        <v/>
      </c>
      <c r="AG763" s="292" t="str">
        <f>IF('Donor Sample'!T780="","",'Donor Sample'!T780)</f>
        <v/>
      </c>
      <c r="AH763" s="891">
        <f t="shared" si="183"/>
        <v>16</v>
      </c>
      <c r="AI763" s="1220">
        <v>0.9566987156867981</v>
      </c>
      <c r="AJ763" s="1216"/>
    </row>
    <row r="764" spans="5:36">
      <c r="E764" s="299">
        <v>756</v>
      </c>
      <c r="F764" s="308">
        <f t="shared" ca="1" si="172"/>
        <v>4124.025100658153</v>
      </c>
      <c r="G764" s="307">
        <f t="shared" ca="1" si="173"/>
        <v>229.56334418134495</v>
      </c>
      <c r="H764" s="306">
        <f t="shared" ca="1" si="174"/>
        <v>0.40830941210977928</v>
      </c>
      <c r="I764" s="305">
        <f t="shared" ca="1" si="176"/>
        <v>137.80979921510007</v>
      </c>
      <c r="J764" s="305">
        <f t="shared" ca="1" si="177"/>
        <v>63.065859405204357</v>
      </c>
      <c r="K764" s="292">
        <f t="shared" ca="1" si="175"/>
        <v>2.1530331834717167</v>
      </c>
      <c r="L764" s="1290">
        <f t="shared" ca="1" si="178"/>
        <v>24.392938595663953</v>
      </c>
      <c r="M764" s="299">
        <v>756</v>
      </c>
      <c r="N764" s="304">
        <f t="shared" si="179"/>
        <v>3510.932530066073</v>
      </c>
      <c r="O764" s="303">
        <v>238.00370760608661</v>
      </c>
      <c r="P764" s="302">
        <v>0.46531859185040686</v>
      </c>
      <c r="Q764" s="301">
        <v>132.9951904556948</v>
      </c>
      <c r="R764" s="301">
        <v>54.350038926911004</v>
      </c>
      <c r="S764" s="300">
        <v>20.223681887365835</v>
      </c>
      <c r="T764" s="891">
        <f t="shared" si="180"/>
        <v>64</v>
      </c>
      <c r="U764" s="1220">
        <v>0.73035216331481934</v>
      </c>
      <c r="W764" s="299">
        <v>756</v>
      </c>
      <c r="X764" s="298">
        <f>IF('Donor Sample'!N781="",,IF('Donor Sample'!N781="F",1,0))</f>
        <v>0</v>
      </c>
      <c r="Y764" s="298" t="str">
        <f>IF('Donor Sample'!O781="","",'Donor Sample'!O781)</f>
        <v/>
      </c>
      <c r="Z764" s="298" t="str">
        <f>IF(AND('Donor Sample'!O781="",'Donor Sample'!P781="",'Donor Sample'!Q781=""),"",IF('Donor Sample'!P781="",ROUND(AA764/($C$32+($AI764-0.5)*$C$31),0),'Donor Sample'!P781))</f>
        <v/>
      </c>
      <c r="AA764" s="297" t="str">
        <f>IF('Donor Sample'!Q781="","",'Donor Sample'!Q781)</f>
        <v/>
      </c>
      <c r="AB764" s="296" t="str">
        <f t="shared" si="184"/>
        <v/>
      </c>
      <c r="AC764" s="295" t="str">
        <f>IF('Donor Sample'!R781="","",'Donor Sample'!R781)</f>
        <v/>
      </c>
      <c r="AD764" s="294" t="str">
        <f>IF('Donor Sample'!S781="","",'Donor Sample'!S781/100)</f>
        <v/>
      </c>
      <c r="AE764" s="293" t="e">
        <f t="shared" si="181"/>
        <v>#VALUE!</v>
      </c>
      <c r="AF764" s="293" t="str">
        <f t="shared" si="182"/>
        <v/>
      </c>
      <c r="AG764" s="292" t="str">
        <f>IF('Donor Sample'!T781="","",'Donor Sample'!T781)</f>
        <v/>
      </c>
      <c r="AH764" s="891">
        <f t="shared" si="183"/>
        <v>64</v>
      </c>
      <c r="AI764" s="1220">
        <v>0.48419404029846191</v>
      </c>
      <c r="AJ764" s="1216"/>
    </row>
    <row r="765" spans="5:36">
      <c r="E765" s="299">
        <v>757</v>
      </c>
      <c r="F765" s="308">
        <f t="shared" ca="1" si="172"/>
        <v>3268.8851955028895</v>
      </c>
      <c r="G765" s="307">
        <f t="shared" ca="1" si="173"/>
        <v>284.98162904903887</v>
      </c>
      <c r="H765" s="306">
        <f t="shared" ca="1" si="174"/>
        <v>0.37187385267518003</v>
      </c>
      <c r="I765" s="305">
        <f t="shared" ca="1" si="176"/>
        <v>104.10026437364287</v>
      </c>
      <c r="J765" s="305">
        <f t="shared" ca="1" si="177"/>
        <v>57.534922938311823</v>
      </c>
      <c r="K765" s="292">
        <f t="shared" ca="1" si="175"/>
        <v>6.3464173943634137</v>
      </c>
      <c r="L765" s="1290">
        <f t="shared" ca="1" si="178"/>
        <v>22.139174333642202</v>
      </c>
      <c r="M765" s="299">
        <v>757</v>
      </c>
      <c r="N765" s="304">
        <f t="shared" si="179"/>
        <v>3986.4793509774768</v>
      </c>
      <c r="O765" s="303">
        <v>255.61922052944956</v>
      </c>
      <c r="P765" s="302">
        <v>0.46874764277741354</v>
      </c>
      <c r="Q765" s="301">
        <v>131.0337197982179</v>
      </c>
      <c r="R765" s="301">
        <v>62.522894846413315</v>
      </c>
      <c r="S765" s="300">
        <v>5.7955119547241027</v>
      </c>
      <c r="T765" s="891">
        <f t="shared" si="180"/>
        <v>64</v>
      </c>
      <c r="U765" s="1220">
        <v>0.46541875600814819</v>
      </c>
      <c r="W765" s="299">
        <v>757</v>
      </c>
      <c r="X765" s="298">
        <f>IF('Donor Sample'!N782="",,IF('Donor Sample'!N782="F",1,0))</f>
        <v>0</v>
      </c>
      <c r="Y765" s="298" t="str">
        <f>IF('Donor Sample'!O782="","",'Donor Sample'!O782)</f>
        <v/>
      </c>
      <c r="Z765" s="298" t="str">
        <f>IF(AND('Donor Sample'!O782="",'Donor Sample'!P782="",'Donor Sample'!Q782=""),"",IF('Donor Sample'!P782="",ROUND(AA765/($C$32+($AI765-0.5)*$C$31),0),'Donor Sample'!P782))</f>
        <v/>
      </c>
      <c r="AA765" s="297" t="str">
        <f>IF('Donor Sample'!Q782="","",'Donor Sample'!Q782)</f>
        <v/>
      </c>
      <c r="AB765" s="296" t="str">
        <f t="shared" si="184"/>
        <v/>
      </c>
      <c r="AC765" s="295" t="str">
        <f>IF('Donor Sample'!R782="","",'Donor Sample'!R782)</f>
        <v/>
      </c>
      <c r="AD765" s="294" t="str">
        <f>IF('Donor Sample'!S782="","",'Donor Sample'!S782/100)</f>
        <v/>
      </c>
      <c r="AE765" s="407" t="e">
        <f t="shared" si="181"/>
        <v>#VALUE!</v>
      </c>
      <c r="AF765" s="293" t="str">
        <f t="shared" si="182"/>
        <v/>
      </c>
      <c r="AG765" s="292" t="str">
        <f>IF('Donor Sample'!T782="","",'Donor Sample'!T782)</f>
        <v/>
      </c>
      <c r="AH765" s="891">
        <f t="shared" si="183"/>
        <v>64</v>
      </c>
      <c r="AI765" s="1220">
        <v>0.73953765630722046</v>
      </c>
      <c r="AJ765" s="1216"/>
    </row>
    <row r="766" spans="5:36">
      <c r="E766" s="299">
        <v>758</v>
      </c>
      <c r="F766" s="308">
        <f t="shared" ca="1" si="172"/>
        <v>3586.191727112111</v>
      </c>
      <c r="G766" s="307">
        <f t="shared" ca="1" si="173"/>
        <v>240.28461361577428</v>
      </c>
      <c r="H766" s="306">
        <f t="shared" ca="1" si="174"/>
        <v>0.36548592249593076</v>
      </c>
      <c r="I766" s="305">
        <f t="shared" ca="1" si="176"/>
        <v>139.83534920813202</v>
      </c>
      <c r="J766" s="305">
        <f t="shared" ca="1" si="177"/>
        <v>53.884186182142301</v>
      </c>
      <c r="K766" s="292">
        <f t="shared" ca="1" si="175"/>
        <v>20.083112139179327</v>
      </c>
      <c r="L766" s="1290">
        <f t="shared" ca="1" si="178"/>
        <v>33.905251823035307</v>
      </c>
      <c r="M766" s="299">
        <v>758</v>
      </c>
      <c r="N766" s="304">
        <f t="shared" si="179"/>
        <v>4066.4805239336538</v>
      </c>
      <c r="O766" s="303">
        <v>242.25221885501787</v>
      </c>
      <c r="P766" s="302">
        <v>0.44996637726295041</v>
      </c>
      <c r="Q766" s="301">
        <v>162.42976199366376</v>
      </c>
      <c r="R766" s="301">
        <v>56.615592348427718</v>
      </c>
      <c r="S766" s="300">
        <v>1.7280436764333162</v>
      </c>
      <c r="T766" s="891">
        <f t="shared" si="180"/>
        <v>2</v>
      </c>
      <c r="U766" s="1220">
        <v>0.32680833339691162</v>
      </c>
      <c r="W766" s="299">
        <v>758</v>
      </c>
      <c r="X766" s="298">
        <f>IF('Donor Sample'!N783="",,IF('Donor Sample'!N783="F",1,0))</f>
        <v>0</v>
      </c>
      <c r="Y766" s="298" t="str">
        <f>IF('Donor Sample'!O783="","",'Donor Sample'!O783)</f>
        <v/>
      </c>
      <c r="Z766" s="298" t="str">
        <f>IF(AND('Donor Sample'!O783="",'Donor Sample'!P783="",'Donor Sample'!Q783=""),"",IF('Donor Sample'!P783="",ROUND(AA766/($C$32+($AI766-0.5)*$C$31),0),'Donor Sample'!P783))</f>
        <v/>
      </c>
      <c r="AA766" s="297" t="str">
        <f>IF('Donor Sample'!Q783="","",'Donor Sample'!Q783)</f>
        <v/>
      </c>
      <c r="AB766" s="296" t="str">
        <f t="shared" si="184"/>
        <v/>
      </c>
      <c r="AC766" s="295" t="str">
        <f>IF('Donor Sample'!R783="","",'Donor Sample'!R783)</f>
        <v/>
      </c>
      <c r="AD766" s="294" t="str">
        <f>IF('Donor Sample'!S783="","",'Donor Sample'!S783/100)</f>
        <v/>
      </c>
      <c r="AE766" s="293" t="e">
        <f t="shared" si="181"/>
        <v>#VALUE!</v>
      </c>
      <c r="AF766" s="293" t="str">
        <f t="shared" si="182"/>
        <v/>
      </c>
      <c r="AG766" s="292" t="str">
        <f>IF('Donor Sample'!T783="","",'Donor Sample'!T783)</f>
        <v/>
      </c>
      <c r="AH766" s="891">
        <f t="shared" si="183"/>
        <v>4</v>
      </c>
      <c r="AI766" s="1220">
        <v>0.39751803874969482</v>
      </c>
      <c r="AJ766" s="1216"/>
    </row>
    <row r="767" spans="5:36">
      <c r="E767" s="299">
        <v>759</v>
      </c>
      <c r="F767" s="308">
        <f t="shared" ca="1" si="172"/>
        <v>3166.6164150519417</v>
      </c>
      <c r="G767" s="307">
        <f t="shared" ca="1" si="173"/>
        <v>212.14624335570011</v>
      </c>
      <c r="H767" s="306">
        <f t="shared" ca="1" si="174"/>
        <v>0.45912437994751448</v>
      </c>
      <c r="I767" s="305">
        <f t="shared" ca="1" si="176"/>
        <v>107.93545821085884</v>
      </c>
      <c r="J767" s="305">
        <f t="shared" ca="1" si="177"/>
        <v>54.751665480907093</v>
      </c>
      <c r="K767" s="292">
        <f t="shared" ca="1" si="175"/>
        <v>1.615931420459684</v>
      </c>
      <c r="L767" s="1290">
        <f t="shared" ca="1" si="178"/>
        <v>25.347908444955596</v>
      </c>
      <c r="M767" s="299">
        <v>759</v>
      </c>
      <c r="N767" s="304">
        <f t="shared" si="179"/>
        <v>2787.440192209765</v>
      </c>
      <c r="O767" s="303">
        <v>258.21978707442969</v>
      </c>
      <c r="P767" s="302">
        <v>0.41196784105853618</v>
      </c>
      <c r="Q767" s="301">
        <v>91.816752537673878</v>
      </c>
      <c r="R767" s="301">
        <v>51.950337588520846</v>
      </c>
      <c r="S767" s="300">
        <v>2.2753107103136929</v>
      </c>
      <c r="T767" s="891">
        <f t="shared" si="180"/>
        <v>64</v>
      </c>
      <c r="U767" s="1220">
        <v>0.73037153482437134</v>
      </c>
      <c r="W767" s="299">
        <v>759</v>
      </c>
      <c r="X767" s="298">
        <f>IF('Donor Sample'!N784="",,IF('Donor Sample'!N784="F",1,0))</f>
        <v>0</v>
      </c>
      <c r="Y767" s="298" t="str">
        <f>IF('Donor Sample'!O784="","",'Donor Sample'!O784)</f>
        <v/>
      </c>
      <c r="Z767" s="298" t="str">
        <f>IF(AND('Donor Sample'!O784="",'Donor Sample'!P784="",'Donor Sample'!Q784=""),"",IF('Donor Sample'!P784="",ROUND(AA767/($C$32+($AI767-0.5)*$C$31),0),'Donor Sample'!P784))</f>
        <v/>
      </c>
      <c r="AA767" s="297" t="str">
        <f>IF('Donor Sample'!Q784="","",'Donor Sample'!Q784)</f>
        <v/>
      </c>
      <c r="AB767" s="296" t="str">
        <f t="shared" si="184"/>
        <v/>
      </c>
      <c r="AC767" s="295" t="str">
        <f>IF('Donor Sample'!R784="","",'Donor Sample'!R784)</f>
        <v/>
      </c>
      <c r="AD767" s="294" t="str">
        <f>IF('Donor Sample'!S784="","",'Donor Sample'!S784/100)</f>
        <v/>
      </c>
      <c r="AE767" s="293" t="e">
        <f t="shared" si="181"/>
        <v>#VALUE!</v>
      </c>
      <c r="AF767" s="293" t="str">
        <f t="shared" si="182"/>
        <v/>
      </c>
      <c r="AG767" s="292" t="str">
        <f>IF('Donor Sample'!T784="","",'Donor Sample'!T784)</f>
        <v/>
      </c>
      <c r="AH767" s="891">
        <f t="shared" si="183"/>
        <v>2</v>
      </c>
      <c r="AI767" s="1220">
        <v>0.33904320001602173</v>
      </c>
      <c r="AJ767" s="1216"/>
    </row>
    <row r="768" spans="5:36">
      <c r="E768" s="299">
        <v>760</v>
      </c>
      <c r="F768" s="308">
        <f t="shared" ca="1" si="172"/>
        <v>2856.2460657267652</v>
      </c>
      <c r="G768" s="307">
        <f t="shared" ca="1" si="173"/>
        <v>300.09105660495464</v>
      </c>
      <c r="H768" s="306">
        <f t="shared" ca="1" si="174"/>
        <v>0.40750557138368615</v>
      </c>
      <c r="I768" s="305">
        <f t="shared" ca="1" si="176"/>
        <v>104.7572652685152</v>
      </c>
      <c r="J768" s="305">
        <f t="shared" ca="1" si="177"/>
        <v>49.354988271048207</v>
      </c>
      <c r="K768" s="292">
        <f t="shared" ca="1" si="175"/>
        <v>1.4388569856847637</v>
      </c>
      <c r="L768" s="1290">
        <f t="shared" ca="1" si="178"/>
        <v>30.275735716797783</v>
      </c>
      <c r="M768" s="299">
        <v>760</v>
      </c>
      <c r="N768" s="304">
        <f t="shared" si="179"/>
        <v>4140.6772805011606</v>
      </c>
      <c r="O768" s="303">
        <v>250.67722256911941</v>
      </c>
      <c r="P768" s="302">
        <v>0.40179299326587126</v>
      </c>
      <c r="Q768" s="301">
        <v>151.80079108711462</v>
      </c>
      <c r="R768" s="301">
        <v>60.333791312621869</v>
      </c>
      <c r="S768" s="300">
        <v>1.4613075870616976</v>
      </c>
      <c r="T768" s="891">
        <f t="shared" si="180"/>
        <v>8</v>
      </c>
      <c r="U768" s="1220">
        <v>0.99398612976074219</v>
      </c>
      <c r="W768" s="299">
        <v>760</v>
      </c>
      <c r="X768" s="298">
        <f>IF('Donor Sample'!N785="",,IF('Donor Sample'!N785="F",1,0))</f>
        <v>0</v>
      </c>
      <c r="Y768" s="298" t="str">
        <f>IF('Donor Sample'!O785="","",'Donor Sample'!O785)</f>
        <v/>
      </c>
      <c r="Z768" s="298" t="str">
        <f>IF(AND('Donor Sample'!O785="",'Donor Sample'!P785="",'Donor Sample'!Q785=""),"",IF('Donor Sample'!P785="",ROUND(AA768/($C$32+($AI768-0.5)*$C$31),0),'Donor Sample'!P785))</f>
        <v/>
      </c>
      <c r="AA768" s="297" t="str">
        <f>IF('Donor Sample'!Q785="","",'Donor Sample'!Q785)</f>
        <v/>
      </c>
      <c r="AB768" s="296" t="str">
        <f t="shared" si="184"/>
        <v/>
      </c>
      <c r="AC768" s="295" t="str">
        <f>IF('Donor Sample'!R785="","",'Donor Sample'!R785)</f>
        <v/>
      </c>
      <c r="AD768" s="294" t="str">
        <f>IF('Donor Sample'!S785="","",'Donor Sample'!S785/100)</f>
        <v/>
      </c>
      <c r="AE768" s="407" t="e">
        <f t="shared" si="181"/>
        <v>#VALUE!</v>
      </c>
      <c r="AF768" s="293" t="str">
        <f t="shared" si="182"/>
        <v/>
      </c>
      <c r="AG768" s="292" t="str">
        <f>IF('Donor Sample'!T785="","",'Donor Sample'!T785)</f>
        <v/>
      </c>
      <c r="AH768" s="891">
        <f t="shared" si="183"/>
        <v>2</v>
      </c>
      <c r="AI768" s="1220">
        <v>0.20556879043579102</v>
      </c>
      <c r="AJ768" s="1216"/>
    </row>
    <row r="769" spans="5:36">
      <c r="E769" s="299">
        <v>761</v>
      </c>
      <c r="F769" s="308">
        <f t="shared" ca="1" si="172"/>
        <v>3784.335681482843</v>
      </c>
      <c r="G769" s="307">
        <f t="shared" ca="1" si="173"/>
        <v>259.82800514409257</v>
      </c>
      <c r="H769" s="306">
        <f t="shared" ca="1" si="174"/>
        <v>0.35937004515097598</v>
      </c>
      <c r="I769" s="305">
        <f t="shared" ca="1" si="176"/>
        <v>130.34125741006031</v>
      </c>
      <c r="J769" s="305">
        <f t="shared" ca="1" si="177"/>
        <v>59.671097193238552</v>
      </c>
      <c r="K769" s="292">
        <f t="shared" ca="1" si="175"/>
        <v>2.5886709732804656</v>
      </c>
      <c r="L769" s="1290">
        <f t="shared" ca="1" si="178"/>
        <v>25.770717998361395</v>
      </c>
      <c r="M769" s="299">
        <v>761</v>
      </c>
      <c r="N769" s="304">
        <f t="shared" si="179"/>
        <v>2613.3913386434419</v>
      </c>
      <c r="O769" s="303">
        <v>311.12401086919203</v>
      </c>
      <c r="P769" s="302">
        <v>0.42990961178805143</v>
      </c>
      <c r="Q769" s="301">
        <v>87.371358798520973</v>
      </c>
      <c r="R769" s="301">
        <v>49.603641645800707</v>
      </c>
      <c r="S769" s="300">
        <v>2.5563030433380232</v>
      </c>
      <c r="T769" s="891">
        <f t="shared" si="180"/>
        <v>64</v>
      </c>
      <c r="U769" s="1220">
        <v>0.46772974729537964</v>
      </c>
      <c r="W769" s="299">
        <v>761</v>
      </c>
      <c r="X769" s="298">
        <f>IF('Donor Sample'!N786="",,IF('Donor Sample'!N786="F",1,0))</f>
        <v>0</v>
      </c>
      <c r="Y769" s="298" t="str">
        <f>IF('Donor Sample'!O786="","",'Donor Sample'!O786)</f>
        <v/>
      </c>
      <c r="Z769" s="298" t="str">
        <f>IF(AND('Donor Sample'!O786="",'Donor Sample'!P786="",'Donor Sample'!Q786=""),"",IF('Donor Sample'!P786="",ROUND(AA769/($C$32+($AI769-0.5)*$C$31),0),'Donor Sample'!P786))</f>
        <v/>
      </c>
      <c r="AA769" s="297" t="str">
        <f>IF('Donor Sample'!Q786="","",'Donor Sample'!Q786)</f>
        <v/>
      </c>
      <c r="AB769" s="296" t="str">
        <f t="shared" si="184"/>
        <v/>
      </c>
      <c r="AC769" s="295" t="str">
        <f>IF('Donor Sample'!R786="","",'Donor Sample'!R786)</f>
        <v/>
      </c>
      <c r="AD769" s="294" t="str">
        <f>IF('Donor Sample'!S786="","",'Donor Sample'!S786/100)</f>
        <v/>
      </c>
      <c r="AE769" s="293" t="e">
        <f t="shared" si="181"/>
        <v>#VALUE!</v>
      </c>
      <c r="AF769" s="293" t="str">
        <f t="shared" si="182"/>
        <v/>
      </c>
      <c r="AG769" s="292" t="str">
        <f>IF('Donor Sample'!T786="","",'Donor Sample'!T786)</f>
        <v/>
      </c>
      <c r="AH769" s="891">
        <f t="shared" si="183"/>
        <v>2</v>
      </c>
      <c r="AI769" s="1220">
        <v>0.22018879652023315</v>
      </c>
      <c r="AJ769" s="1216"/>
    </row>
    <row r="770" spans="5:36">
      <c r="E770" s="299">
        <v>762</v>
      </c>
      <c r="F770" s="308">
        <f t="shared" ca="1" si="172"/>
        <v>3425.4855259975097</v>
      </c>
      <c r="G770" s="307">
        <f t="shared" ca="1" si="173"/>
        <v>246.3112678963123</v>
      </c>
      <c r="H770" s="306">
        <f t="shared" ca="1" si="174"/>
        <v>0.39199932985012326</v>
      </c>
      <c r="I770" s="305">
        <f t="shared" ca="1" si="176"/>
        <v>139.97976220454211</v>
      </c>
      <c r="J770" s="305">
        <f t="shared" ca="1" si="177"/>
        <v>50.576191032778468</v>
      </c>
      <c r="K770" s="292">
        <f t="shared" ca="1" si="175"/>
        <v>1.3090945400318585</v>
      </c>
      <c r="L770" s="1290">
        <f t="shared" ca="1" si="178"/>
        <v>38.525268374256775</v>
      </c>
      <c r="M770" s="299">
        <v>762</v>
      </c>
      <c r="N770" s="304">
        <f t="shared" si="179"/>
        <v>3653.0890208670326</v>
      </c>
      <c r="O770" s="303">
        <v>260.48987161774437</v>
      </c>
      <c r="P770" s="302">
        <v>0.45952775795556783</v>
      </c>
      <c r="Q770" s="301">
        <v>126.80257272814612</v>
      </c>
      <c r="R770" s="301">
        <v>58.405219817248188</v>
      </c>
      <c r="S770" s="300">
        <v>2.5490857838022416</v>
      </c>
      <c r="T770" s="891">
        <f t="shared" si="180"/>
        <v>2</v>
      </c>
      <c r="U770" s="1220">
        <v>0.19023668766021729</v>
      </c>
      <c r="W770" s="299">
        <v>762</v>
      </c>
      <c r="X770" s="298">
        <f>IF('Donor Sample'!N787="",,IF('Donor Sample'!N787="F",1,0))</f>
        <v>0</v>
      </c>
      <c r="Y770" s="298" t="str">
        <f>IF('Donor Sample'!O787="","",'Donor Sample'!O787)</f>
        <v/>
      </c>
      <c r="Z770" s="298" t="str">
        <f>IF(AND('Donor Sample'!O787="",'Donor Sample'!P787="",'Donor Sample'!Q787=""),"",IF('Donor Sample'!P787="",ROUND(AA770/($C$32+($AI770-0.5)*$C$31),0),'Donor Sample'!P787))</f>
        <v/>
      </c>
      <c r="AA770" s="297" t="str">
        <f>IF('Donor Sample'!Q787="","",'Donor Sample'!Q787)</f>
        <v/>
      </c>
      <c r="AB770" s="296" t="str">
        <f t="shared" si="184"/>
        <v/>
      </c>
      <c r="AC770" s="295" t="str">
        <f>IF('Donor Sample'!R787="","",'Donor Sample'!R787)</f>
        <v/>
      </c>
      <c r="AD770" s="294" t="str">
        <f>IF('Donor Sample'!S787="","",'Donor Sample'!S787/100)</f>
        <v/>
      </c>
      <c r="AE770" s="293" t="e">
        <f t="shared" si="181"/>
        <v>#VALUE!</v>
      </c>
      <c r="AF770" s="293" t="str">
        <f t="shared" si="182"/>
        <v/>
      </c>
      <c r="AG770" s="292" t="str">
        <f>IF('Donor Sample'!T787="","",'Donor Sample'!T787)</f>
        <v/>
      </c>
      <c r="AH770" s="891">
        <f t="shared" si="183"/>
        <v>2</v>
      </c>
      <c r="AI770" s="1220">
        <v>0.27123844623565674</v>
      </c>
      <c r="AJ770" s="1216"/>
    </row>
    <row r="771" spans="5:36">
      <c r="E771" s="299">
        <v>763</v>
      </c>
      <c r="F771" s="308">
        <f t="shared" ca="1" si="172"/>
        <v>3835.9581024008257</v>
      </c>
      <c r="G771" s="307">
        <f t="shared" ca="1" si="173"/>
        <v>245.62956586452782</v>
      </c>
      <c r="H771" s="306">
        <f t="shared" ca="1" si="174"/>
        <v>0.36094982108109364</v>
      </c>
      <c r="I771" s="305">
        <f t="shared" ca="1" si="176"/>
        <v>136.21431657264276</v>
      </c>
      <c r="J771" s="305">
        <f t="shared" ca="1" si="177"/>
        <v>59.134926690868546</v>
      </c>
      <c r="K771" s="292">
        <f t="shared" ca="1" si="175"/>
        <v>1.4930616693785863</v>
      </c>
      <c r="L771" s="1290">
        <f t="shared" ca="1" si="178"/>
        <v>27.422515421323606</v>
      </c>
      <c r="M771" s="299">
        <v>763</v>
      </c>
      <c r="N771" s="304">
        <f t="shared" si="179"/>
        <v>2734.8975285755073</v>
      </c>
      <c r="O771" s="303">
        <v>240.70042809697009</v>
      </c>
      <c r="P771" s="302">
        <v>0.39361755619842631</v>
      </c>
      <c r="Q771" s="301">
        <v>91.642889355817644</v>
      </c>
      <c r="R771" s="301">
        <v>50.902043736224634</v>
      </c>
      <c r="S771" s="300">
        <v>2.9657718165547062</v>
      </c>
      <c r="T771" s="891">
        <f t="shared" si="180"/>
        <v>32</v>
      </c>
      <c r="U771" s="1220">
        <v>0.77900248765945435</v>
      </c>
      <c r="W771" s="299">
        <v>763</v>
      </c>
      <c r="X771" s="298">
        <f>IF('Donor Sample'!N788="",,IF('Donor Sample'!N788="F",1,0))</f>
        <v>0</v>
      </c>
      <c r="Y771" s="298" t="str">
        <f>IF('Donor Sample'!O788="","",'Donor Sample'!O788)</f>
        <v/>
      </c>
      <c r="Z771" s="298" t="str">
        <f>IF(AND('Donor Sample'!O788="",'Donor Sample'!P788="",'Donor Sample'!Q788=""),"",IF('Donor Sample'!P788="",ROUND(AA771/($C$32+($AI771-0.5)*$C$31),0),'Donor Sample'!P788))</f>
        <v/>
      </c>
      <c r="AA771" s="297" t="str">
        <f>IF('Donor Sample'!Q788="","",'Donor Sample'!Q788)</f>
        <v/>
      </c>
      <c r="AB771" s="296" t="str">
        <f t="shared" si="184"/>
        <v/>
      </c>
      <c r="AC771" s="295" t="str">
        <f>IF('Donor Sample'!R788="","",'Donor Sample'!R788)</f>
        <v/>
      </c>
      <c r="AD771" s="294" t="str">
        <f>IF('Donor Sample'!S788="","",'Donor Sample'!S788/100)</f>
        <v/>
      </c>
      <c r="AE771" s="407" t="e">
        <f t="shared" si="181"/>
        <v>#VALUE!</v>
      </c>
      <c r="AF771" s="293" t="str">
        <f t="shared" si="182"/>
        <v/>
      </c>
      <c r="AG771" s="292" t="str">
        <f>IF('Donor Sample'!T788="","",'Donor Sample'!T788)</f>
        <v/>
      </c>
      <c r="AH771" s="891">
        <f t="shared" si="183"/>
        <v>2</v>
      </c>
      <c r="AI771" s="1220">
        <v>2.0860493183135986E-2</v>
      </c>
      <c r="AJ771" s="1216"/>
    </row>
    <row r="772" spans="5:36">
      <c r="E772" s="299">
        <v>764</v>
      </c>
      <c r="F772" s="308">
        <f t="shared" ca="1" si="172"/>
        <v>2774.4977954547985</v>
      </c>
      <c r="G772" s="307">
        <f t="shared" ca="1" si="173"/>
        <v>238.58804306043655</v>
      </c>
      <c r="H772" s="306">
        <f t="shared" ca="1" si="174"/>
        <v>0.38885797765735136</v>
      </c>
      <c r="I772" s="305">
        <f t="shared" ca="1" si="176"/>
        <v>96.736462382306158</v>
      </c>
      <c r="J772" s="305">
        <f t="shared" ca="1" si="177"/>
        <v>50.146949478637005</v>
      </c>
      <c r="K772" s="292">
        <f t="shared" ca="1" si="175"/>
        <v>7.1890498930426112</v>
      </c>
      <c r="L772" s="1290">
        <f t="shared" ca="1" si="178"/>
        <v>27.081568987743282</v>
      </c>
      <c r="M772" s="299">
        <v>764</v>
      </c>
      <c r="N772" s="304">
        <f t="shared" si="179"/>
        <v>3433.1504637551652</v>
      </c>
      <c r="O772" s="303">
        <v>243.22944317814014</v>
      </c>
      <c r="P772" s="302">
        <v>0.48595429252542616</v>
      </c>
      <c r="Q772" s="301">
        <v>129.16254135408957</v>
      </c>
      <c r="R772" s="301">
        <v>53.937253197006314</v>
      </c>
      <c r="S772" s="300">
        <v>1.7300633302312769</v>
      </c>
      <c r="T772" s="891">
        <f t="shared" si="180"/>
        <v>2</v>
      </c>
      <c r="U772" s="1220">
        <v>0.18134522438049316</v>
      </c>
      <c r="W772" s="299">
        <v>764</v>
      </c>
      <c r="X772" s="298">
        <f>IF('Donor Sample'!N789="",,IF('Donor Sample'!N789="F",1,0))</f>
        <v>0</v>
      </c>
      <c r="Y772" s="298" t="str">
        <f>IF('Donor Sample'!O789="","",'Donor Sample'!O789)</f>
        <v/>
      </c>
      <c r="Z772" s="298" t="str">
        <f>IF(AND('Donor Sample'!O789="",'Donor Sample'!P789="",'Donor Sample'!Q789=""),"",IF('Donor Sample'!P789="",ROUND(AA772/($C$32+($AI772-0.5)*$C$31),0),'Donor Sample'!P789))</f>
        <v/>
      </c>
      <c r="AA772" s="297" t="str">
        <f>IF('Donor Sample'!Q789="","",'Donor Sample'!Q789)</f>
        <v/>
      </c>
      <c r="AB772" s="296" t="str">
        <f t="shared" si="184"/>
        <v/>
      </c>
      <c r="AC772" s="295" t="str">
        <f>IF('Donor Sample'!R789="","",'Donor Sample'!R789)</f>
        <v/>
      </c>
      <c r="AD772" s="294" t="str">
        <f>IF('Donor Sample'!S789="","",'Donor Sample'!S789/100)</f>
        <v/>
      </c>
      <c r="AE772" s="293" t="e">
        <f t="shared" si="181"/>
        <v>#VALUE!</v>
      </c>
      <c r="AF772" s="293" t="str">
        <f t="shared" si="182"/>
        <v/>
      </c>
      <c r="AG772" s="292" t="str">
        <f>IF('Donor Sample'!T789="","",'Donor Sample'!T789)</f>
        <v/>
      </c>
      <c r="AH772" s="891">
        <f t="shared" si="183"/>
        <v>64</v>
      </c>
      <c r="AI772" s="1220">
        <v>0.50118136405944824</v>
      </c>
      <c r="AJ772" s="1216"/>
    </row>
    <row r="773" spans="5:36">
      <c r="E773" s="299">
        <v>765</v>
      </c>
      <c r="F773" s="308">
        <f t="shared" ca="1" si="172"/>
        <v>2664.9086449592901</v>
      </c>
      <c r="G773" s="307">
        <f t="shared" ca="1" si="173"/>
        <v>187.24666121720097</v>
      </c>
      <c r="H773" s="306">
        <f t="shared" ca="1" si="174"/>
        <v>0.38662743705968067</v>
      </c>
      <c r="I773" s="305">
        <f t="shared" ca="1" si="176"/>
        <v>84.886648109730572</v>
      </c>
      <c r="J773" s="305">
        <f t="shared" ca="1" si="177"/>
        <v>51.507926746422513</v>
      </c>
      <c r="K773" s="292">
        <f t="shared" ca="1" si="175"/>
        <v>2.5478919852963755</v>
      </c>
      <c r="L773" s="1290">
        <f t="shared" ca="1" si="178"/>
        <v>22.524953622619204</v>
      </c>
      <c r="M773" s="299">
        <v>765</v>
      </c>
      <c r="N773" s="304">
        <f t="shared" si="179"/>
        <v>3055.7996532660545</v>
      </c>
      <c r="O773" s="303">
        <v>219.31881078147427</v>
      </c>
      <c r="P773" s="302">
        <v>0.52168107147644693</v>
      </c>
      <c r="Q773" s="301">
        <v>106.33626878271983</v>
      </c>
      <c r="R773" s="301">
        <v>53.08358983840364</v>
      </c>
      <c r="S773" s="300">
        <v>2.59653081406177</v>
      </c>
      <c r="T773" s="891">
        <f t="shared" si="180"/>
        <v>2</v>
      </c>
      <c r="U773" s="1220">
        <v>0.15589660406112671</v>
      </c>
      <c r="W773" s="299">
        <v>765</v>
      </c>
      <c r="X773" s="298">
        <f>IF('Donor Sample'!N790="",,IF('Donor Sample'!N790="F",1,0))</f>
        <v>0</v>
      </c>
      <c r="Y773" s="298" t="str">
        <f>IF('Donor Sample'!O790="","",'Donor Sample'!O790)</f>
        <v/>
      </c>
      <c r="Z773" s="298" t="str">
        <f>IF(AND('Donor Sample'!O790="",'Donor Sample'!P790="",'Donor Sample'!Q790=""),"",IF('Donor Sample'!P790="",ROUND(AA773/($C$32+($AI773-0.5)*$C$31),0),'Donor Sample'!P790))</f>
        <v/>
      </c>
      <c r="AA773" s="297" t="str">
        <f>IF('Donor Sample'!Q790="","",'Donor Sample'!Q790)</f>
        <v/>
      </c>
      <c r="AB773" s="296" t="str">
        <f t="shared" si="184"/>
        <v/>
      </c>
      <c r="AC773" s="295" t="str">
        <f>IF('Donor Sample'!R790="","",'Donor Sample'!R790)</f>
        <v/>
      </c>
      <c r="AD773" s="294" t="str">
        <f>IF('Donor Sample'!S790="","",'Donor Sample'!S790/100)</f>
        <v/>
      </c>
      <c r="AE773" s="293" t="e">
        <f t="shared" si="181"/>
        <v>#VALUE!</v>
      </c>
      <c r="AF773" s="293" t="str">
        <f t="shared" si="182"/>
        <v/>
      </c>
      <c r="AG773" s="292" t="str">
        <f>IF('Donor Sample'!T790="","",'Donor Sample'!T790)</f>
        <v/>
      </c>
      <c r="AH773" s="891">
        <f t="shared" si="183"/>
        <v>64</v>
      </c>
      <c r="AI773" s="1220">
        <v>0.56015771627426147</v>
      </c>
      <c r="AJ773" s="1216"/>
    </row>
    <row r="774" spans="5:36">
      <c r="E774" s="299">
        <v>766</v>
      </c>
      <c r="F774" s="308">
        <f t="shared" ca="1" si="172"/>
        <v>3460.3663775655177</v>
      </c>
      <c r="G774" s="307">
        <f t="shared" ca="1" si="173"/>
        <v>261.58275395239281</v>
      </c>
      <c r="H774" s="306">
        <f t="shared" ca="1" si="174"/>
        <v>0.41201917594044601</v>
      </c>
      <c r="I774" s="305">
        <f t="shared" ca="1" si="176"/>
        <v>123.50397695957707</v>
      </c>
      <c r="J774" s="305">
        <f t="shared" ca="1" si="177"/>
        <v>62.503599971559403</v>
      </c>
      <c r="K774" s="292">
        <f t="shared" ca="1" si="175"/>
        <v>1.2638529380430052</v>
      </c>
      <c r="L774" s="1290">
        <f t="shared" ca="1" si="178"/>
        <v>22.255816819881872</v>
      </c>
      <c r="M774" s="299">
        <v>766</v>
      </c>
      <c r="N774" s="304">
        <f t="shared" si="179"/>
        <v>3575.6824926585159</v>
      </c>
      <c r="O774" s="303">
        <v>197.56330065854061</v>
      </c>
      <c r="P774" s="302">
        <v>0.49414693895066109</v>
      </c>
      <c r="Q774" s="301">
        <v>121.84083973204469</v>
      </c>
      <c r="R774" s="301">
        <v>64.490779443052531</v>
      </c>
      <c r="S774" s="300">
        <v>5.5144039573509689</v>
      </c>
      <c r="T774" s="891">
        <f t="shared" si="180"/>
        <v>64</v>
      </c>
      <c r="U774" s="1220">
        <v>0.62500369548797607</v>
      </c>
      <c r="W774" s="299">
        <v>766</v>
      </c>
      <c r="X774" s="298">
        <f>IF('Donor Sample'!N791="",,IF('Donor Sample'!N791="F",1,0))</f>
        <v>0</v>
      </c>
      <c r="Y774" s="298" t="str">
        <f>IF('Donor Sample'!O791="","",'Donor Sample'!O791)</f>
        <v/>
      </c>
      <c r="Z774" s="298" t="str">
        <f>IF(AND('Donor Sample'!O791="",'Donor Sample'!P791="",'Donor Sample'!Q791=""),"",IF('Donor Sample'!P791="",ROUND(AA774/($C$32+($AI774-0.5)*$C$31),0),'Donor Sample'!P791))</f>
        <v/>
      </c>
      <c r="AA774" s="297" t="str">
        <f>IF('Donor Sample'!Q791="","",'Donor Sample'!Q791)</f>
        <v/>
      </c>
      <c r="AB774" s="296" t="str">
        <f t="shared" si="184"/>
        <v/>
      </c>
      <c r="AC774" s="295" t="str">
        <f>IF('Donor Sample'!R791="","",'Donor Sample'!R791)</f>
        <v/>
      </c>
      <c r="AD774" s="294" t="str">
        <f>IF('Donor Sample'!S791="","",'Donor Sample'!S791/100)</f>
        <v/>
      </c>
      <c r="AE774" s="407" t="e">
        <f t="shared" si="181"/>
        <v>#VALUE!</v>
      </c>
      <c r="AF774" s="293" t="str">
        <f t="shared" si="182"/>
        <v/>
      </c>
      <c r="AG774" s="292" t="str">
        <f>IF('Donor Sample'!T791="","",'Donor Sample'!T791)</f>
        <v/>
      </c>
      <c r="AH774" s="891">
        <f t="shared" si="183"/>
        <v>32</v>
      </c>
      <c r="AI774" s="1220">
        <v>0.82091176509857178</v>
      </c>
      <c r="AJ774" s="1216"/>
    </row>
    <row r="775" spans="5:36">
      <c r="E775" s="299">
        <v>767</v>
      </c>
      <c r="F775" s="308">
        <f t="shared" ca="1" si="172"/>
        <v>4127.9776134938948</v>
      </c>
      <c r="G775" s="307">
        <f t="shared" ca="1" si="173"/>
        <v>156.71335201001301</v>
      </c>
      <c r="H775" s="306">
        <f t="shared" ca="1" si="174"/>
        <v>0.36063472192337981</v>
      </c>
      <c r="I775" s="305">
        <f t="shared" ca="1" si="176"/>
        <v>169.78704286097823</v>
      </c>
      <c r="J775" s="305">
        <f t="shared" ca="1" si="177"/>
        <v>62.111675349115529</v>
      </c>
      <c r="K775" s="292">
        <f t="shared" ca="1" si="175"/>
        <v>1.3123212614275817</v>
      </c>
      <c r="L775" s="1290">
        <f t="shared" ca="1" si="178"/>
        <v>30.983517163084045</v>
      </c>
      <c r="M775" s="299">
        <v>767</v>
      </c>
      <c r="N775" s="304">
        <f t="shared" si="179"/>
        <v>3758.4053638481628</v>
      </c>
      <c r="O775" s="303">
        <v>174.19368485094375</v>
      </c>
      <c r="P775" s="302">
        <v>0.44846507792789242</v>
      </c>
      <c r="Q775" s="301">
        <v>151.14567629711755</v>
      </c>
      <c r="R775" s="301">
        <v>60.750053619519463</v>
      </c>
      <c r="S775" s="300">
        <v>6.9405793373488507</v>
      </c>
      <c r="T775" s="891">
        <f t="shared" si="180"/>
        <v>2</v>
      </c>
      <c r="U775" s="1220">
        <v>0.22689872980117798</v>
      </c>
      <c r="W775" s="299">
        <v>767</v>
      </c>
      <c r="X775" s="298">
        <f>IF('Donor Sample'!N792="",,IF('Donor Sample'!N792="F",1,0))</f>
        <v>0</v>
      </c>
      <c r="Y775" s="298" t="str">
        <f>IF('Donor Sample'!O792="","",'Donor Sample'!O792)</f>
        <v/>
      </c>
      <c r="Z775" s="298" t="str">
        <f>IF(AND('Donor Sample'!O792="",'Donor Sample'!P792="",'Donor Sample'!Q792=""),"",IF('Donor Sample'!P792="",ROUND(AA775/($C$32+($AI775-0.5)*$C$31),0),'Donor Sample'!P792))</f>
        <v/>
      </c>
      <c r="AA775" s="297" t="str">
        <f>IF('Donor Sample'!Q792="","",'Donor Sample'!Q792)</f>
        <v/>
      </c>
      <c r="AB775" s="296" t="str">
        <f t="shared" si="184"/>
        <v/>
      </c>
      <c r="AC775" s="295" t="str">
        <f>IF('Donor Sample'!R792="","",'Donor Sample'!R792)</f>
        <v/>
      </c>
      <c r="AD775" s="294" t="str">
        <f>IF('Donor Sample'!S792="","",'Donor Sample'!S792/100)</f>
        <v/>
      </c>
      <c r="AE775" s="293" t="e">
        <f t="shared" si="181"/>
        <v>#VALUE!</v>
      </c>
      <c r="AF775" s="293" t="str">
        <f t="shared" si="182"/>
        <v/>
      </c>
      <c r="AG775" s="292" t="str">
        <f>IF('Donor Sample'!T792="","",'Donor Sample'!T792)</f>
        <v/>
      </c>
      <c r="AH775" s="891">
        <f t="shared" si="183"/>
        <v>256</v>
      </c>
      <c r="AI775" s="1220">
        <v>0.91310030221939087</v>
      </c>
      <c r="AJ775" s="1216"/>
    </row>
    <row r="776" spans="5:36">
      <c r="E776" s="299">
        <v>768</v>
      </c>
      <c r="F776" s="308">
        <f t="shared" ca="1" si="172"/>
        <v>2676.5372152992504</v>
      </c>
      <c r="G776" s="307">
        <f t="shared" ca="1" si="173"/>
        <v>242.56266660650431</v>
      </c>
      <c r="H776" s="306">
        <f t="shared" ca="1" si="174"/>
        <v>0.42075312082531774</v>
      </c>
      <c r="I776" s="305">
        <f t="shared" ca="1" si="176"/>
        <v>106.69954819236683</v>
      </c>
      <c r="J776" s="305">
        <f t="shared" ca="1" si="177"/>
        <v>44.074266760740052</v>
      </c>
      <c r="K776" s="292">
        <f t="shared" ca="1" si="175"/>
        <v>1.4385602477944228</v>
      </c>
      <c r="L776" s="1290">
        <f t="shared" ca="1" si="178"/>
        <v>38.669187571796101</v>
      </c>
      <c r="M776" s="299">
        <v>768</v>
      </c>
      <c r="N776" s="304">
        <f t="shared" si="179"/>
        <v>2657.9161200085023</v>
      </c>
      <c r="O776" s="303">
        <v>294.60101668100219</v>
      </c>
      <c r="P776" s="302">
        <v>0.4498246643082931</v>
      </c>
      <c r="Q776" s="301">
        <v>102.59945853989092</v>
      </c>
      <c r="R776" s="301">
        <v>45.221251044406664</v>
      </c>
      <c r="S776" s="300">
        <v>4.2467783144822873</v>
      </c>
      <c r="T776" s="891">
        <f t="shared" si="180"/>
        <v>32</v>
      </c>
      <c r="U776" s="1220">
        <v>0.83106470108032227</v>
      </c>
      <c r="W776" s="299">
        <v>768</v>
      </c>
      <c r="X776" s="298">
        <f>IF('Donor Sample'!N793="",,IF('Donor Sample'!N793="F",1,0))</f>
        <v>0</v>
      </c>
      <c r="Y776" s="298" t="str">
        <f>IF('Donor Sample'!O793="","",'Donor Sample'!O793)</f>
        <v/>
      </c>
      <c r="Z776" s="298" t="str">
        <f>IF(AND('Donor Sample'!O793="",'Donor Sample'!P793="",'Donor Sample'!Q793=""),"",IF('Donor Sample'!P793="",ROUND(AA776/($C$32+($AI776-0.5)*$C$31),0),'Donor Sample'!P793))</f>
        <v/>
      </c>
      <c r="AA776" s="297" t="str">
        <f>IF('Donor Sample'!Q793="","",'Donor Sample'!Q793)</f>
        <v/>
      </c>
      <c r="AB776" s="296" t="str">
        <f t="shared" si="184"/>
        <v/>
      </c>
      <c r="AC776" s="295" t="str">
        <f>IF('Donor Sample'!R793="","",'Donor Sample'!R793)</f>
        <v/>
      </c>
      <c r="AD776" s="294" t="str">
        <f>IF('Donor Sample'!S793="","",'Donor Sample'!S793/100)</f>
        <v/>
      </c>
      <c r="AE776" s="293" t="e">
        <f t="shared" si="181"/>
        <v>#VALUE!</v>
      </c>
      <c r="AF776" s="293" t="str">
        <f t="shared" si="182"/>
        <v/>
      </c>
      <c r="AG776" s="292" t="str">
        <f>IF('Donor Sample'!T793="","",'Donor Sample'!T793)</f>
        <v/>
      </c>
      <c r="AH776" s="891">
        <f t="shared" si="183"/>
        <v>64</v>
      </c>
      <c r="AI776" s="1220">
        <v>0.45068264007568359</v>
      </c>
      <c r="AJ776" s="1216"/>
    </row>
    <row r="777" spans="5:36">
      <c r="E777" s="299">
        <v>769</v>
      </c>
      <c r="F777" s="308">
        <f t="shared" ref="F777:F840" ca="1" si="185">NORMINV(NORMDIST($C$9,$C$7,$C$8,1)+RAND()*(NORMDIST($C$10,$C$7,$C$8,1)-NORMDIST($C$9,$C$7,$C$8,1)),$C$7,$C$8)</f>
        <v>2760.3895780583857</v>
      </c>
      <c r="G777" s="307">
        <f t="shared" ref="G777:G840" ca="1" si="186">NORMINV(NORMDIST($C$13,$C$11,$C$12,1)+RAND()*(NORMDIST($C$14,$C$11,$C$12,1)-NORMDIST($C$13,$C$11,$C$12,1)),$C$11,$C$12)</f>
        <v>236.31650562464748</v>
      </c>
      <c r="H777" s="306">
        <f t="shared" ref="H777:H840" ca="1" si="187">NORMINV(NORMDIST($C$17,$C$15,$C$16,1)+RAND()*(NORMDIST($C$18,$C$15,$C$16,1)-NORMDIST($C$17,$C$15,$C$16,1)),$C$15,$C$16)/100</f>
        <v>0.37124641904077704</v>
      </c>
      <c r="I777" s="305">
        <f t="shared" ca="1" si="176"/>
        <v>93.006218185073635</v>
      </c>
      <c r="J777" s="305">
        <f t="shared" ca="1" si="177"/>
        <v>51.021328654025609</v>
      </c>
      <c r="K777" s="292">
        <f t="shared" ref="K777:K840" ca="1" si="188">$C$23/($C$24+RAND())</f>
        <v>1.4342179277661675</v>
      </c>
      <c r="L777" s="1290">
        <f t="shared" ca="1" si="178"/>
        <v>25.152497627956024</v>
      </c>
      <c r="M777" s="299">
        <v>769</v>
      </c>
      <c r="N777" s="304">
        <f t="shared" si="179"/>
        <v>2509.3879347957168</v>
      </c>
      <c r="O777" s="303">
        <v>243.29188705404766</v>
      </c>
      <c r="P777" s="302">
        <v>0.45149984506605834</v>
      </c>
      <c r="Q777" s="301">
        <v>97.164400784198094</v>
      </c>
      <c r="R777" s="301">
        <v>43.262027572328407</v>
      </c>
      <c r="S777" s="300">
        <v>2.4670288604800752</v>
      </c>
      <c r="T777" s="891">
        <f t="shared" si="180"/>
        <v>64</v>
      </c>
      <c r="U777" s="1220">
        <v>0.4765135645866394</v>
      </c>
      <c r="W777" s="299">
        <v>769</v>
      </c>
      <c r="X777" s="298">
        <f>IF('Donor Sample'!N794="",,IF('Donor Sample'!N794="F",1,0))</f>
        <v>0</v>
      </c>
      <c r="Y777" s="298" t="str">
        <f>IF('Donor Sample'!O794="","",'Donor Sample'!O794)</f>
        <v/>
      </c>
      <c r="Z777" s="298" t="str">
        <f>IF(AND('Donor Sample'!O794="",'Donor Sample'!P794="",'Donor Sample'!Q794=""),"",IF('Donor Sample'!P794="",ROUND(AA777/($C$32+($AI777-0.5)*$C$31),0),'Donor Sample'!P794))</f>
        <v/>
      </c>
      <c r="AA777" s="297" t="str">
        <f>IF('Donor Sample'!Q794="","",'Donor Sample'!Q794)</f>
        <v/>
      </c>
      <c r="AB777" s="296" t="str">
        <f t="shared" si="184"/>
        <v/>
      </c>
      <c r="AC777" s="295" t="str">
        <f>IF('Donor Sample'!R794="","",'Donor Sample'!R794)</f>
        <v/>
      </c>
      <c r="AD777" s="294" t="str">
        <f>IF('Donor Sample'!S794="","",'Donor Sample'!S794/100)</f>
        <v/>
      </c>
      <c r="AE777" s="407" t="e">
        <f t="shared" si="181"/>
        <v>#VALUE!</v>
      </c>
      <c r="AF777" s="293" t="str">
        <f t="shared" si="182"/>
        <v/>
      </c>
      <c r="AG777" s="292" t="str">
        <f>IF('Donor Sample'!T794="","",'Donor Sample'!T794)</f>
        <v/>
      </c>
      <c r="AH777" s="891">
        <f t="shared" si="183"/>
        <v>2</v>
      </c>
      <c r="AI777" s="1220">
        <v>8.299177885055542E-2</v>
      </c>
      <c r="AJ777" s="1216"/>
    </row>
    <row r="778" spans="5:36">
      <c r="E778" s="299">
        <v>770</v>
      </c>
      <c r="F778" s="308">
        <f t="shared" ca="1" si="185"/>
        <v>3773.0507996442043</v>
      </c>
      <c r="G778" s="307">
        <f t="shared" ca="1" si="186"/>
        <v>203.04126767318371</v>
      </c>
      <c r="H778" s="306">
        <f t="shared" ca="1" si="187"/>
        <v>0.39756578977257823</v>
      </c>
      <c r="I778" s="305">
        <f t="shared" ref="I778:I841" ca="1" si="189">F778/($C$32+(RAND()-0.5)*$C$31)</f>
        <v>123.50838044964812</v>
      </c>
      <c r="J778" s="305">
        <f t="shared" ref="J778:J841" ca="1" si="190">IF(AI778&lt;=$C$33,((F778-604-14.6*I778)/0.006012)^(1/3),((F778-183-15*I778)/0.005835)^(1/3))</f>
        <v>61.018153404411009</v>
      </c>
      <c r="K778" s="292">
        <f t="shared" ca="1" si="188"/>
        <v>20.448656935058647</v>
      </c>
      <c r="L778" s="1290">
        <f t="shared" ref="L778:L841" ca="1" si="191">704*I778/J778^2</f>
        <v>23.35344555400393</v>
      </c>
      <c r="M778" s="299">
        <v>770</v>
      </c>
      <c r="N778" s="304">
        <f t="shared" ref="N778:N841" si="192">IF(AI778&gt;$C$33,183+0.005835*R778^3+15*Q778,604+0.006012*R778^3+14.6*Q778)</f>
        <v>3356.2730355044182</v>
      </c>
      <c r="O778" s="303">
        <v>217.72299295394313</v>
      </c>
      <c r="P778" s="302">
        <v>0.41613850386104007</v>
      </c>
      <c r="Q778" s="301">
        <v>108.99160720008521</v>
      </c>
      <c r="R778" s="301">
        <v>57.801245534077623</v>
      </c>
      <c r="S778" s="300">
        <v>1.3441937597536022</v>
      </c>
      <c r="T778" s="891">
        <f t="shared" ref="T778:T841" si="193">HLOOKUP(U778,$AL$32:$AT$34,3)</f>
        <v>2</v>
      </c>
      <c r="U778" s="1220">
        <v>0.10382664203643799</v>
      </c>
      <c r="W778" s="299">
        <v>770</v>
      </c>
      <c r="X778" s="298">
        <f>IF('Donor Sample'!N795="",,IF('Donor Sample'!N795="F",1,0))</f>
        <v>0</v>
      </c>
      <c r="Y778" s="298" t="str">
        <f>IF('Donor Sample'!O795="","",'Donor Sample'!O795)</f>
        <v/>
      </c>
      <c r="Z778" s="298" t="str">
        <f>IF(AND('Donor Sample'!O795="",'Donor Sample'!P795="",'Donor Sample'!Q795=""),"",IF('Donor Sample'!P795="",ROUND(AA778/($C$32+($AI778-0.5)*$C$31),0),'Donor Sample'!P795))</f>
        <v/>
      </c>
      <c r="AA778" s="297" t="str">
        <f>IF('Donor Sample'!Q795="","",'Donor Sample'!Q795)</f>
        <v/>
      </c>
      <c r="AB778" s="296" t="str">
        <f t="shared" si="184"/>
        <v/>
      </c>
      <c r="AC778" s="295" t="str">
        <f>IF('Donor Sample'!R795="","",'Donor Sample'!R795)</f>
        <v/>
      </c>
      <c r="AD778" s="294" t="str">
        <f>IF('Donor Sample'!S795="","",'Donor Sample'!S795/100)</f>
        <v/>
      </c>
      <c r="AE778" s="293" t="e">
        <f t="shared" ref="AE778:AE841" si="194">IF($AB$2=1,Z778,2.2*Z778)</f>
        <v>#VALUE!</v>
      </c>
      <c r="AF778" s="293" t="str">
        <f t="shared" ref="AF778:AF841" si="195">IF(AND(Y778="",AA778=""),"",IF(AA778="",IF($AB$2=1,Y778,Y778/2.54),IF(AI778&lt;=$C$33,((AB778-604-14.6*Z778)/0.006012)^(1/3),((AB778-183-15*Z778)/0.005835)^(1/3))))</f>
        <v/>
      </c>
      <c r="AG778" s="292" t="str">
        <f>IF('Donor Sample'!T795="","",'Donor Sample'!T795)</f>
        <v/>
      </c>
      <c r="AH778" s="891">
        <f t="shared" ref="AH778:AH841" si="196">HLOOKUP(AI778,$AL$32:$AT$34,3)</f>
        <v>4</v>
      </c>
      <c r="AI778" s="1220">
        <v>0.38839590549468994</v>
      </c>
      <c r="AJ778" s="1216"/>
    </row>
    <row r="779" spans="5:36">
      <c r="E779" s="299">
        <v>771</v>
      </c>
      <c r="F779" s="308">
        <f t="shared" ca="1" si="185"/>
        <v>3916.6151831507214</v>
      </c>
      <c r="G779" s="307">
        <f t="shared" ca="1" si="186"/>
        <v>233.90166874755352</v>
      </c>
      <c r="H779" s="306">
        <f t="shared" ca="1" si="187"/>
        <v>0.37514968082473849</v>
      </c>
      <c r="I779" s="305">
        <f t="shared" ca="1" si="189"/>
        <v>133.25935740125973</v>
      </c>
      <c r="J779" s="305">
        <f t="shared" ca="1" si="190"/>
        <v>61.036019891615403</v>
      </c>
      <c r="K779" s="292">
        <f t="shared" ca="1" si="188"/>
        <v>1.9894690495918295</v>
      </c>
      <c r="L779" s="1290">
        <f t="shared" ca="1" si="191"/>
        <v>25.182448941149538</v>
      </c>
      <c r="M779" s="299">
        <v>771</v>
      </c>
      <c r="N779" s="304">
        <f t="shared" si="192"/>
        <v>3428.6539285284607</v>
      </c>
      <c r="O779" s="303">
        <v>223.31388981446398</v>
      </c>
      <c r="P779" s="302">
        <v>0.38361408546222497</v>
      </c>
      <c r="Q779" s="301">
        <v>137.95508654932451</v>
      </c>
      <c r="R779" s="301">
        <v>51.27587443328148</v>
      </c>
      <c r="S779" s="300">
        <v>4.27563969790548</v>
      </c>
      <c r="T779" s="891">
        <f t="shared" si="193"/>
        <v>64</v>
      </c>
      <c r="U779" s="1220">
        <v>0.71840840578079224</v>
      </c>
      <c r="W779" s="299">
        <v>771</v>
      </c>
      <c r="X779" s="298">
        <f>IF('Donor Sample'!N796="",,IF('Donor Sample'!N796="F",1,0))</f>
        <v>0</v>
      </c>
      <c r="Y779" s="298" t="str">
        <f>IF('Donor Sample'!O796="","",'Donor Sample'!O796)</f>
        <v/>
      </c>
      <c r="Z779" s="298" t="str">
        <f>IF(AND('Donor Sample'!O796="",'Donor Sample'!P796="",'Donor Sample'!Q796=""),"",IF('Donor Sample'!P796="",ROUND(AA779/($C$32+($AI779-0.5)*$C$31),0),'Donor Sample'!P796))</f>
        <v/>
      </c>
      <c r="AA779" s="297" t="str">
        <f>IF('Donor Sample'!Q796="","",'Donor Sample'!Q796)</f>
        <v/>
      </c>
      <c r="AB779" s="296" t="str">
        <f t="shared" si="184"/>
        <v/>
      </c>
      <c r="AC779" s="295" t="str">
        <f>IF('Donor Sample'!R796="","",'Donor Sample'!R796)</f>
        <v/>
      </c>
      <c r="AD779" s="294" t="str">
        <f>IF('Donor Sample'!S796="","",'Donor Sample'!S796/100)</f>
        <v/>
      </c>
      <c r="AE779" s="293" t="e">
        <f t="shared" si="194"/>
        <v>#VALUE!</v>
      </c>
      <c r="AF779" s="293" t="str">
        <f t="shared" si="195"/>
        <v/>
      </c>
      <c r="AG779" s="292" t="str">
        <f>IF('Donor Sample'!T796="","",'Donor Sample'!T796)</f>
        <v/>
      </c>
      <c r="AH779" s="891">
        <f t="shared" si="196"/>
        <v>2</v>
      </c>
      <c r="AI779" s="1220">
        <v>5.2688896656036377E-2</v>
      </c>
      <c r="AJ779" s="1216"/>
    </row>
    <row r="780" spans="5:36">
      <c r="E780" s="299">
        <v>772</v>
      </c>
      <c r="F780" s="308">
        <f t="shared" ca="1" si="185"/>
        <v>4344.5969683951935</v>
      </c>
      <c r="G780" s="307">
        <f t="shared" ca="1" si="186"/>
        <v>268.35336530095537</v>
      </c>
      <c r="H780" s="306">
        <f t="shared" ca="1" si="187"/>
        <v>0.48555183151353432</v>
      </c>
      <c r="I780" s="305">
        <f t="shared" ca="1" si="189"/>
        <v>149.17871022964437</v>
      </c>
      <c r="J780" s="305">
        <f t="shared" ca="1" si="190"/>
        <v>63.817798587493719</v>
      </c>
      <c r="K780" s="292">
        <f t="shared" ca="1" si="188"/>
        <v>1.3822185649380145</v>
      </c>
      <c r="L780" s="1290">
        <f t="shared" ca="1" si="191"/>
        <v>25.786706019679833</v>
      </c>
      <c r="M780" s="299">
        <v>772</v>
      </c>
      <c r="N780" s="304">
        <f t="shared" si="192"/>
        <v>4050.343447311986</v>
      </c>
      <c r="O780" s="303">
        <v>283.52729276408581</v>
      </c>
      <c r="P780" s="302">
        <v>0.44130127223990945</v>
      </c>
      <c r="Q780" s="301">
        <v>157.41935694040154</v>
      </c>
      <c r="R780" s="301">
        <v>57.585118668484249</v>
      </c>
      <c r="S780" s="300">
        <v>1.6026293455497918</v>
      </c>
      <c r="T780" s="891">
        <f t="shared" si="193"/>
        <v>32</v>
      </c>
      <c r="U780" s="1220">
        <v>0.82260012626647949</v>
      </c>
      <c r="W780" s="299">
        <v>772</v>
      </c>
      <c r="X780" s="298">
        <f>IF('Donor Sample'!N797="",,IF('Donor Sample'!N797="F",1,0))</f>
        <v>0</v>
      </c>
      <c r="Y780" s="298" t="str">
        <f>IF('Donor Sample'!O797="","",'Donor Sample'!O797)</f>
        <v/>
      </c>
      <c r="Z780" s="298" t="str">
        <f>IF(AND('Donor Sample'!O797="",'Donor Sample'!P797="",'Donor Sample'!Q797=""),"",IF('Donor Sample'!P797="",ROUND(AA780/($C$32+($AI780-0.5)*$C$31),0),'Donor Sample'!P797))</f>
        <v/>
      </c>
      <c r="AA780" s="297" t="str">
        <f>IF('Donor Sample'!Q797="","",'Donor Sample'!Q797)</f>
        <v/>
      </c>
      <c r="AB780" s="296" t="str">
        <f t="shared" si="184"/>
        <v/>
      </c>
      <c r="AC780" s="295" t="str">
        <f>IF('Donor Sample'!R797="","",'Donor Sample'!R797)</f>
        <v/>
      </c>
      <c r="AD780" s="294" t="str">
        <f>IF('Donor Sample'!S797="","",'Donor Sample'!S797/100)</f>
        <v/>
      </c>
      <c r="AE780" s="407" t="e">
        <f t="shared" si="194"/>
        <v>#VALUE!</v>
      </c>
      <c r="AF780" s="293" t="str">
        <f t="shared" si="195"/>
        <v/>
      </c>
      <c r="AG780" s="292" t="str">
        <f>IF('Donor Sample'!T797="","",'Donor Sample'!T797)</f>
        <v/>
      </c>
      <c r="AH780" s="891">
        <f t="shared" si="196"/>
        <v>64</v>
      </c>
      <c r="AI780" s="1220">
        <v>0.75579380989074707</v>
      </c>
      <c r="AJ780" s="1216"/>
    </row>
    <row r="781" spans="5:36">
      <c r="E781" s="299">
        <v>773</v>
      </c>
      <c r="F781" s="308">
        <f t="shared" ca="1" si="185"/>
        <v>4443.4611020974398</v>
      </c>
      <c r="G781" s="307">
        <f t="shared" ca="1" si="186"/>
        <v>220.15937274017352</v>
      </c>
      <c r="H781" s="306">
        <f t="shared" ca="1" si="187"/>
        <v>0.43741144821939854</v>
      </c>
      <c r="I781" s="305">
        <f t="shared" ca="1" si="189"/>
        <v>157.94423852977488</v>
      </c>
      <c r="J781" s="305">
        <f t="shared" ca="1" si="190"/>
        <v>63.418981563018946</v>
      </c>
      <c r="K781" s="292">
        <f t="shared" ca="1" si="188"/>
        <v>5.6310341212480264</v>
      </c>
      <c r="L781" s="1290">
        <f t="shared" ca="1" si="191"/>
        <v>27.64635755935058</v>
      </c>
      <c r="M781" s="299">
        <v>773</v>
      </c>
      <c r="N781" s="304">
        <f t="shared" si="192"/>
        <v>3271.6959751728136</v>
      </c>
      <c r="O781" s="303">
        <v>221.58885046580747</v>
      </c>
      <c r="P781" s="302">
        <v>0.48812977305407301</v>
      </c>
      <c r="Q781" s="301">
        <v>115.01658646181826</v>
      </c>
      <c r="R781" s="301">
        <v>54.782998969439312</v>
      </c>
      <c r="S781" s="300">
        <v>2.4989151190040926</v>
      </c>
      <c r="T781" s="891">
        <f t="shared" si="193"/>
        <v>2</v>
      </c>
      <c r="U781" s="1220">
        <v>0.35371392965316772</v>
      </c>
      <c r="W781" s="299">
        <v>773</v>
      </c>
      <c r="X781" s="298">
        <f>IF('Donor Sample'!N798="",,IF('Donor Sample'!N798="F",1,0))</f>
        <v>0</v>
      </c>
      <c r="Y781" s="298" t="str">
        <f>IF('Donor Sample'!O798="","",'Donor Sample'!O798)</f>
        <v/>
      </c>
      <c r="Z781" s="298" t="str">
        <f>IF(AND('Donor Sample'!O798="",'Donor Sample'!P798="",'Donor Sample'!Q798=""),"",IF('Donor Sample'!P798="",ROUND(AA781/($C$32+($AI781-0.5)*$C$31),0),'Donor Sample'!P798))</f>
        <v/>
      </c>
      <c r="AA781" s="297" t="str">
        <f>IF('Donor Sample'!Q798="","",'Donor Sample'!Q798)</f>
        <v/>
      </c>
      <c r="AB781" s="296" t="str">
        <f t="shared" si="184"/>
        <v/>
      </c>
      <c r="AC781" s="295" t="str">
        <f>IF('Donor Sample'!R798="","",'Donor Sample'!R798)</f>
        <v/>
      </c>
      <c r="AD781" s="294" t="str">
        <f>IF('Donor Sample'!S798="","",'Donor Sample'!S798/100)</f>
        <v/>
      </c>
      <c r="AE781" s="293" t="e">
        <f t="shared" si="194"/>
        <v>#VALUE!</v>
      </c>
      <c r="AF781" s="293" t="str">
        <f t="shared" si="195"/>
        <v/>
      </c>
      <c r="AG781" s="292" t="str">
        <f>IF('Donor Sample'!T798="","",'Donor Sample'!T798)</f>
        <v/>
      </c>
      <c r="AH781" s="891">
        <f t="shared" si="196"/>
        <v>2</v>
      </c>
      <c r="AI781" s="1220">
        <v>0.24602741003036499</v>
      </c>
      <c r="AJ781" s="1216"/>
    </row>
    <row r="782" spans="5:36">
      <c r="E782" s="299">
        <v>774</v>
      </c>
      <c r="F782" s="308">
        <f t="shared" ca="1" si="185"/>
        <v>3203.1519495914995</v>
      </c>
      <c r="G782" s="307">
        <f t="shared" ca="1" si="186"/>
        <v>168.7450432990052</v>
      </c>
      <c r="H782" s="306">
        <f t="shared" ca="1" si="187"/>
        <v>0.41019276000508076</v>
      </c>
      <c r="I782" s="305">
        <f t="shared" ca="1" si="189"/>
        <v>129.89454680320398</v>
      </c>
      <c r="J782" s="305">
        <f t="shared" ca="1" si="190"/>
        <v>56.843657667661539</v>
      </c>
      <c r="K782" s="292">
        <f t="shared" ca="1" si="188"/>
        <v>4.0305300279974512</v>
      </c>
      <c r="L782" s="1290">
        <f t="shared" ca="1" si="191"/>
        <v>28.30085443366584</v>
      </c>
      <c r="M782" s="299">
        <v>774</v>
      </c>
      <c r="N782" s="304">
        <f t="shared" si="192"/>
        <v>3054.8349520790034</v>
      </c>
      <c r="O782" s="303">
        <v>242.7044034067174</v>
      </c>
      <c r="P782" s="302">
        <v>0.36255819835503161</v>
      </c>
      <c r="Q782" s="301">
        <v>100.67622902568858</v>
      </c>
      <c r="R782" s="301">
        <v>61.566711524272712</v>
      </c>
      <c r="S782" s="300">
        <v>6.4159933923612682</v>
      </c>
      <c r="T782" s="891">
        <f t="shared" si="193"/>
        <v>2</v>
      </c>
      <c r="U782" s="1220">
        <v>0.16680562496185303</v>
      </c>
      <c r="W782" s="299">
        <v>774</v>
      </c>
      <c r="X782" s="298">
        <f>IF('Donor Sample'!N799="",,IF('Donor Sample'!N799="F",1,0))</f>
        <v>0</v>
      </c>
      <c r="Y782" s="298" t="str">
        <f>IF('Donor Sample'!O799="","",'Donor Sample'!O799)</f>
        <v/>
      </c>
      <c r="Z782" s="298" t="str">
        <f>IF(AND('Donor Sample'!O799="",'Donor Sample'!P799="",'Donor Sample'!Q799=""),"",IF('Donor Sample'!P799="",ROUND(AA782/($C$32+($AI782-0.5)*$C$31),0),'Donor Sample'!P799))</f>
        <v/>
      </c>
      <c r="AA782" s="297" t="str">
        <f>IF('Donor Sample'!Q799="","",'Donor Sample'!Q799)</f>
        <v/>
      </c>
      <c r="AB782" s="296" t="str">
        <f t="shared" si="184"/>
        <v/>
      </c>
      <c r="AC782" s="295" t="str">
        <f>IF('Donor Sample'!R799="","",'Donor Sample'!R799)</f>
        <v/>
      </c>
      <c r="AD782" s="294" t="str">
        <f>IF('Donor Sample'!S799="","",'Donor Sample'!S799/100)</f>
        <v/>
      </c>
      <c r="AE782" s="293" t="e">
        <f t="shared" si="194"/>
        <v>#VALUE!</v>
      </c>
      <c r="AF782" s="293" t="str">
        <f t="shared" si="195"/>
        <v/>
      </c>
      <c r="AG782" s="292" t="str">
        <f>IF('Donor Sample'!T799="","",'Donor Sample'!T799)</f>
        <v/>
      </c>
      <c r="AH782" s="891">
        <f t="shared" si="196"/>
        <v>256</v>
      </c>
      <c r="AI782" s="1220">
        <v>0.91418159008026123</v>
      </c>
      <c r="AJ782" s="1216"/>
    </row>
    <row r="783" spans="5:36">
      <c r="E783" s="299">
        <v>775</v>
      </c>
      <c r="F783" s="308">
        <f t="shared" ca="1" si="185"/>
        <v>3999.1657350639043</v>
      </c>
      <c r="G783" s="307">
        <f t="shared" ca="1" si="186"/>
        <v>211.87565529324345</v>
      </c>
      <c r="H783" s="306">
        <f t="shared" ca="1" si="187"/>
        <v>0.37100932274318438</v>
      </c>
      <c r="I783" s="305">
        <f t="shared" ca="1" si="189"/>
        <v>131.42284340768026</v>
      </c>
      <c r="J783" s="305">
        <f t="shared" ca="1" si="190"/>
        <v>62.62209492144153</v>
      </c>
      <c r="K783" s="292">
        <f t="shared" ca="1" si="188"/>
        <v>3.288869938637125</v>
      </c>
      <c r="L783" s="1290">
        <f t="shared" ca="1" si="191"/>
        <v>23.593280660828412</v>
      </c>
      <c r="M783" s="299">
        <v>775</v>
      </c>
      <c r="N783" s="304">
        <f t="shared" si="192"/>
        <v>2819.0941961676172</v>
      </c>
      <c r="O783" s="303">
        <v>217.7966779722131</v>
      </c>
      <c r="P783" s="302">
        <v>0.453169222591849</v>
      </c>
      <c r="Q783" s="301">
        <v>89.95401662720586</v>
      </c>
      <c r="R783" s="301">
        <v>53.132251933853532</v>
      </c>
      <c r="S783" s="300">
        <v>3.6770362316783864</v>
      </c>
      <c r="T783" s="891">
        <f t="shared" si="193"/>
        <v>64</v>
      </c>
      <c r="U783" s="1220">
        <v>0.69573122262954712</v>
      </c>
      <c r="W783" s="299">
        <v>775</v>
      </c>
      <c r="X783" s="298">
        <f>IF('Donor Sample'!N800="",,IF('Donor Sample'!N800="F",1,0))</f>
        <v>0</v>
      </c>
      <c r="Y783" s="298" t="str">
        <f>IF('Donor Sample'!O800="","",'Donor Sample'!O800)</f>
        <v/>
      </c>
      <c r="Z783" s="298" t="str">
        <f>IF(AND('Donor Sample'!O800="",'Donor Sample'!P800="",'Donor Sample'!Q800=""),"",IF('Donor Sample'!P800="",ROUND(AA783/($C$32+($AI783-0.5)*$C$31),0),'Donor Sample'!P800))</f>
        <v/>
      </c>
      <c r="AA783" s="297" t="str">
        <f>IF('Donor Sample'!Q800="","",'Donor Sample'!Q800)</f>
        <v/>
      </c>
      <c r="AB783" s="296" t="str">
        <f t="shared" si="184"/>
        <v/>
      </c>
      <c r="AC783" s="295" t="str">
        <f>IF('Donor Sample'!R800="","",'Donor Sample'!R800)</f>
        <v/>
      </c>
      <c r="AD783" s="294" t="str">
        <f>IF('Donor Sample'!S800="","",'Donor Sample'!S800/100)</f>
        <v/>
      </c>
      <c r="AE783" s="407" t="e">
        <f t="shared" si="194"/>
        <v>#VALUE!</v>
      </c>
      <c r="AF783" s="293" t="str">
        <f t="shared" si="195"/>
        <v/>
      </c>
      <c r="AG783" s="292" t="str">
        <f>IF('Donor Sample'!T800="","",'Donor Sample'!T800)</f>
        <v/>
      </c>
      <c r="AH783" s="891">
        <f t="shared" si="196"/>
        <v>64</v>
      </c>
      <c r="AI783" s="1220">
        <v>0.68065410852432251</v>
      </c>
      <c r="AJ783" s="1216"/>
    </row>
    <row r="784" spans="5:36">
      <c r="E784" s="299">
        <v>776</v>
      </c>
      <c r="F784" s="308">
        <f t="shared" ca="1" si="185"/>
        <v>3853.1797585227851</v>
      </c>
      <c r="G784" s="307">
        <f t="shared" ca="1" si="186"/>
        <v>261.47477214632084</v>
      </c>
      <c r="H784" s="306">
        <f t="shared" ca="1" si="187"/>
        <v>0.38597814735269687</v>
      </c>
      <c r="I784" s="305">
        <f t="shared" ca="1" si="189"/>
        <v>132.58765528580352</v>
      </c>
      <c r="J784" s="305">
        <f t="shared" ca="1" si="190"/>
        <v>60.227200837560339</v>
      </c>
      <c r="K784" s="292">
        <f t="shared" ca="1" si="188"/>
        <v>2.7885060756964029</v>
      </c>
      <c r="L784" s="1290">
        <f t="shared" ca="1" si="191"/>
        <v>25.732998312723787</v>
      </c>
      <c r="M784" s="299">
        <v>776</v>
      </c>
      <c r="N784" s="304">
        <f t="shared" si="192"/>
        <v>3281.4166297990041</v>
      </c>
      <c r="O784" s="303">
        <v>204.92606625111358</v>
      </c>
      <c r="P784" s="302">
        <v>0.38725675754107414</v>
      </c>
      <c r="Q784" s="301">
        <v>135.94487734101864</v>
      </c>
      <c r="R784" s="301">
        <v>48.658529749812402</v>
      </c>
      <c r="S784" s="300">
        <v>4.8424650922384034</v>
      </c>
      <c r="T784" s="891">
        <f t="shared" si="193"/>
        <v>64</v>
      </c>
      <c r="U784" s="1220">
        <v>0.64185237884521484</v>
      </c>
      <c r="W784" s="299">
        <v>776</v>
      </c>
      <c r="X784" s="298">
        <f>IF('Donor Sample'!N801="",,IF('Donor Sample'!N801="F",1,0))</f>
        <v>0</v>
      </c>
      <c r="Y784" s="298" t="str">
        <f>IF('Donor Sample'!O801="","",'Donor Sample'!O801)</f>
        <v/>
      </c>
      <c r="Z784" s="298" t="str">
        <f>IF(AND('Donor Sample'!O801="",'Donor Sample'!P801="",'Donor Sample'!Q801=""),"",IF('Donor Sample'!P801="",ROUND(AA784/($C$32+($AI784-0.5)*$C$31),0),'Donor Sample'!P801))</f>
        <v/>
      </c>
      <c r="AA784" s="297" t="str">
        <f>IF('Donor Sample'!Q801="","",'Donor Sample'!Q801)</f>
        <v/>
      </c>
      <c r="AB784" s="296" t="str">
        <f t="shared" si="184"/>
        <v/>
      </c>
      <c r="AC784" s="295" t="str">
        <f>IF('Donor Sample'!R801="","",'Donor Sample'!R801)</f>
        <v/>
      </c>
      <c r="AD784" s="294" t="str">
        <f>IF('Donor Sample'!S801="","",'Donor Sample'!S801/100)</f>
        <v/>
      </c>
      <c r="AE784" s="293" t="e">
        <f t="shared" si="194"/>
        <v>#VALUE!</v>
      </c>
      <c r="AF784" s="293" t="str">
        <f t="shared" si="195"/>
        <v/>
      </c>
      <c r="AG784" s="292" t="str">
        <f>IF('Donor Sample'!T801="","",'Donor Sample'!T801)</f>
        <v/>
      </c>
      <c r="AH784" s="891">
        <f t="shared" si="196"/>
        <v>64</v>
      </c>
      <c r="AI784" s="1220">
        <v>0.50593137741088867</v>
      </c>
      <c r="AJ784" s="1216"/>
    </row>
    <row r="785" spans="5:36">
      <c r="E785" s="299">
        <v>777</v>
      </c>
      <c r="F785" s="308">
        <f t="shared" ca="1" si="185"/>
        <v>3232.1398385248376</v>
      </c>
      <c r="G785" s="307">
        <f t="shared" ca="1" si="186"/>
        <v>225.59372575800799</v>
      </c>
      <c r="H785" s="306">
        <f t="shared" ca="1" si="187"/>
        <v>0.4143211868457955</v>
      </c>
      <c r="I785" s="305">
        <f t="shared" ca="1" si="189"/>
        <v>125.20933787016524</v>
      </c>
      <c r="J785" s="305">
        <f t="shared" ca="1" si="190"/>
        <v>51.055058922863729</v>
      </c>
      <c r="K785" s="292">
        <f t="shared" ca="1" si="188"/>
        <v>2.3519422528957064</v>
      </c>
      <c r="L785" s="1290">
        <f t="shared" ca="1" si="191"/>
        <v>33.816745927671775</v>
      </c>
      <c r="M785" s="299">
        <v>777</v>
      </c>
      <c r="N785" s="304">
        <f t="shared" si="192"/>
        <v>2558.0089054262348</v>
      </c>
      <c r="O785" s="303">
        <v>307.17876806542449</v>
      </c>
      <c r="P785" s="302">
        <v>0.4018196475731669</v>
      </c>
      <c r="Q785" s="301">
        <v>92.900010319662314</v>
      </c>
      <c r="R785" s="301">
        <v>46.324832755455098</v>
      </c>
      <c r="S785" s="300">
        <v>1.9841824210564958</v>
      </c>
      <c r="T785" s="891">
        <f t="shared" si="193"/>
        <v>256</v>
      </c>
      <c r="U785" s="1220">
        <v>0.89229506254196167</v>
      </c>
      <c r="W785" s="299">
        <v>777</v>
      </c>
      <c r="X785" s="298">
        <f>IF('Donor Sample'!N802="",,IF('Donor Sample'!N802="F",1,0))</f>
        <v>0</v>
      </c>
      <c r="Y785" s="298" t="str">
        <f>IF('Donor Sample'!O802="","",'Donor Sample'!O802)</f>
        <v/>
      </c>
      <c r="Z785" s="298" t="str">
        <f>IF(AND('Donor Sample'!O802="",'Donor Sample'!P802="",'Donor Sample'!Q802=""),"",IF('Donor Sample'!P802="",ROUND(AA785/($C$32+($AI785-0.5)*$C$31),0),'Donor Sample'!P802))</f>
        <v/>
      </c>
      <c r="AA785" s="297" t="str">
        <f>IF('Donor Sample'!Q802="","",'Donor Sample'!Q802)</f>
        <v/>
      </c>
      <c r="AB785" s="296" t="str">
        <f t="shared" si="184"/>
        <v/>
      </c>
      <c r="AC785" s="295" t="str">
        <f>IF('Donor Sample'!R802="","",'Donor Sample'!R802)</f>
        <v/>
      </c>
      <c r="AD785" s="294" t="str">
        <f>IF('Donor Sample'!S802="","",'Donor Sample'!S802/100)</f>
        <v/>
      </c>
      <c r="AE785" s="293" t="e">
        <f t="shared" si="194"/>
        <v>#VALUE!</v>
      </c>
      <c r="AF785" s="293" t="str">
        <f t="shared" si="195"/>
        <v/>
      </c>
      <c r="AG785" s="292" t="str">
        <f>IF('Donor Sample'!T802="","",'Donor Sample'!T802)</f>
        <v/>
      </c>
      <c r="AH785" s="891">
        <f t="shared" si="196"/>
        <v>2</v>
      </c>
      <c r="AI785" s="1220">
        <v>0.34351509809494019</v>
      </c>
      <c r="AJ785" s="1216"/>
    </row>
    <row r="786" spans="5:36">
      <c r="E786" s="299">
        <v>778</v>
      </c>
      <c r="F786" s="308">
        <f t="shared" ca="1" si="185"/>
        <v>3320.2968513632181</v>
      </c>
      <c r="G786" s="307">
        <f t="shared" ca="1" si="186"/>
        <v>225.90985957363853</v>
      </c>
      <c r="H786" s="306">
        <f t="shared" ca="1" si="187"/>
        <v>0.42225291392542041</v>
      </c>
      <c r="I786" s="305">
        <f t="shared" ca="1" si="189"/>
        <v>133.46224783085165</v>
      </c>
      <c r="J786" s="305">
        <f t="shared" ca="1" si="190"/>
        <v>57.947047028115534</v>
      </c>
      <c r="K786" s="292">
        <f t="shared" ca="1" si="188"/>
        <v>3.0436053320129606</v>
      </c>
      <c r="L786" s="1290">
        <f t="shared" ca="1" si="191"/>
        <v>27.981337881256671</v>
      </c>
      <c r="M786" s="299">
        <v>778</v>
      </c>
      <c r="N786" s="304">
        <f t="shared" si="192"/>
        <v>3660.4587863532461</v>
      </c>
      <c r="O786" s="303">
        <v>230.58512790592056</v>
      </c>
      <c r="P786" s="302">
        <v>0.47965052310887285</v>
      </c>
      <c r="Q786" s="301">
        <v>129.07856950931657</v>
      </c>
      <c r="R786" s="301">
        <v>64.162348292605103</v>
      </c>
      <c r="S786" s="300">
        <v>1.4581773303393832</v>
      </c>
      <c r="T786" s="891">
        <f t="shared" si="193"/>
        <v>32</v>
      </c>
      <c r="U786" s="1220">
        <v>0.81204855442047119</v>
      </c>
      <c r="W786" s="299">
        <v>778</v>
      </c>
      <c r="X786" s="298">
        <f>IF('Donor Sample'!N803="",,IF('Donor Sample'!N803="F",1,0))</f>
        <v>0</v>
      </c>
      <c r="Y786" s="298" t="str">
        <f>IF('Donor Sample'!O803="","",'Donor Sample'!O803)</f>
        <v/>
      </c>
      <c r="Z786" s="298" t="str">
        <f>IF(AND('Donor Sample'!O803="",'Donor Sample'!P803="",'Donor Sample'!Q803=""),"",IF('Donor Sample'!P803="",ROUND(AA786/($C$32+($AI786-0.5)*$C$31),0),'Donor Sample'!P803))</f>
        <v/>
      </c>
      <c r="AA786" s="297" t="str">
        <f>IF('Donor Sample'!Q803="","",'Donor Sample'!Q803)</f>
        <v/>
      </c>
      <c r="AB786" s="296" t="str">
        <f t="shared" si="184"/>
        <v/>
      </c>
      <c r="AC786" s="295" t="str">
        <f>IF('Donor Sample'!R803="","",'Donor Sample'!R803)</f>
        <v/>
      </c>
      <c r="AD786" s="294" t="str">
        <f>IF('Donor Sample'!S803="","",'Donor Sample'!S803/100)</f>
        <v/>
      </c>
      <c r="AE786" s="407" t="e">
        <f t="shared" si="194"/>
        <v>#VALUE!</v>
      </c>
      <c r="AF786" s="293" t="str">
        <f t="shared" si="195"/>
        <v/>
      </c>
      <c r="AG786" s="292" t="str">
        <f>IF('Donor Sample'!T803="","",'Donor Sample'!T803)</f>
        <v/>
      </c>
      <c r="AH786" s="891">
        <f t="shared" si="196"/>
        <v>32</v>
      </c>
      <c r="AI786" s="1220">
        <v>0.82801735401153564</v>
      </c>
      <c r="AJ786" s="1216"/>
    </row>
    <row r="787" spans="5:36">
      <c r="E787" s="299">
        <v>779</v>
      </c>
      <c r="F787" s="308">
        <f t="shared" ca="1" si="185"/>
        <v>3183.1468061125202</v>
      </c>
      <c r="G787" s="307">
        <f t="shared" ca="1" si="186"/>
        <v>259.39503696662274</v>
      </c>
      <c r="H787" s="306">
        <f t="shared" ca="1" si="187"/>
        <v>0.48696678633226365</v>
      </c>
      <c r="I787" s="305">
        <f t="shared" ca="1" si="189"/>
        <v>110.23530653817893</v>
      </c>
      <c r="J787" s="305">
        <f t="shared" ca="1" si="190"/>
        <v>54.434532750759544</v>
      </c>
      <c r="K787" s="292">
        <f t="shared" ca="1" si="188"/>
        <v>1.9509511545654592</v>
      </c>
      <c r="L787" s="1290">
        <f t="shared" ca="1" si="191"/>
        <v>26.190535268745766</v>
      </c>
      <c r="M787" s="299">
        <v>779</v>
      </c>
      <c r="N787" s="304">
        <f t="shared" si="192"/>
        <v>3305.62819310537</v>
      </c>
      <c r="O787" s="303">
        <v>215.68229075501068</v>
      </c>
      <c r="P787" s="302">
        <v>0.35891909753545859</v>
      </c>
      <c r="Q787" s="301">
        <v>115.40722227527722</v>
      </c>
      <c r="R787" s="301">
        <v>55.299621747595864</v>
      </c>
      <c r="S787" s="300">
        <v>2.6915291562954078</v>
      </c>
      <c r="T787" s="891">
        <f t="shared" si="193"/>
        <v>2</v>
      </c>
      <c r="U787" s="1220">
        <v>0.22704344987869263</v>
      </c>
      <c r="W787" s="299">
        <v>779</v>
      </c>
      <c r="X787" s="298">
        <f>IF('Donor Sample'!N804="",,IF('Donor Sample'!N804="F",1,0))</f>
        <v>0</v>
      </c>
      <c r="Y787" s="298" t="str">
        <f>IF('Donor Sample'!O804="","",'Donor Sample'!O804)</f>
        <v/>
      </c>
      <c r="Z787" s="298" t="str">
        <f>IF(AND('Donor Sample'!O804="",'Donor Sample'!P804="",'Donor Sample'!Q804=""),"",IF('Donor Sample'!P804="",ROUND(AA787/($C$32+($AI787-0.5)*$C$31),0),'Donor Sample'!P804))</f>
        <v/>
      </c>
      <c r="AA787" s="297" t="str">
        <f>IF('Donor Sample'!Q804="","",'Donor Sample'!Q804)</f>
        <v/>
      </c>
      <c r="AB787" s="296" t="str">
        <f t="shared" si="184"/>
        <v/>
      </c>
      <c r="AC787" s="295" t="str">
        <f>IF('Donor Sample'!R804="","",'Donor Sample'!R804)</f>
        <v/>
      </c>
      <c r="AD787" s="294" t="str">
        <f>IF('Donor Sample'!S804="","",'Donor Sample'!S804/100)</f>
        <v/>
      </c>
      <c r="AE787" s="293" t="e">
        <f t="shared" si="194"/>
        <v>#VALUE!</v>
      </c>
      <c r="AF787" s="293" t="str">
        <f t="shared" si="195"/>
        <v/>
      </c>
      <c r="AG787" s="292" t="str">
        <f>IF('Donor Sample'!T804="","",'Donor Sample'!T804)</f>
        <v/>
      </c>
      <c r="AH787" s="891">
        <f t="shared" si="196"/>
        <v>64</v>
      </c>
      <c r="AI787" s="1220">
        <v>0.57025033235549927</v>
      </c>
      <c r="AJ787" s="1216"/>
    </row>
    <row r="788" spans="5:36">
      <c r="E788" s="299">
        <v>780</v>
      </c>
      <c r="F788" s="308">
        <f t="shared" ca="1" si="185"/>
        <v>3546.9170279310711</v>
      </c>
      <c r="G788" s="307">
        <f t="shared" ca="1" si="186"/>
        <v>274.67806845802488</v>
      </c>
      <c r="H788" s="306">
        <f t="shared" ca="1" si="187"/>
        <v>0.3949641020664067</v>
      </c>
      <c r="I788" s="305">
        <f t="shared" ca="1" si="189"/>
        <v>117.77376307911436</v>
      </c>
      <c r="J788" s="305">
        <f t="shared" ca="1" si="190"/>
        <v>58.819168160975302</v>
      </c>
      <c r="K788" s="292">
        <f t="shared" ca="1" si="188"/>
        <v>1.4116229121708068</v>
      </c>
      <c r="L788" s="1290">
        <f t="shared" ca="1" si="191"/>
        <v>23.965332249311093</v>
      </c>
      <c r="M788" s="299">
        <v>780</v>
      </c>
      <c r="N788" s="304">
        <f t="shared" si="192"/>
        <v>3031.7903254641051</v>
      </c>
      <c r="O788" s="303">
        <v>243.27796245207293</v>
      </c>
      <c r="P788" s="302">
        <v>0.38321644564399393</v>
      </c>
      <c r="Q788" s="301">
        <v>98.336481762954563</v>
      </c>
      <c r="R788" s="301">
        <v>54.849865972670969</v>
      </c>
      <c r="S788" s="300">
        <v>1.3857252915517804</v>
      </c>
      <c r="T788" s="891">
        <f t="shared" si="193"/>
        <v>256</v>
      </c>
      <c r="U788" s="1220">
        <v>0.89679265022277832</v>
      </c>
      <c r="W788" s="299">
        <v>780</v>
      </c>
      <c r="X788" s="298">
        <f>IF('Donor Sample'!N805="",,IF('Donor Sample'!N805="F",1,0))</f>
        <v>0</v>
      </c>
      <c r="Y788" s="298" t="str">
        <f>IF('Donor Sample'!O805="","",'Donor Sample'!O805)</f>
        <v/>
      </c>
      <c r="Z788" s="298" t="str">
        <f>IF(AND('Donor Sample'!O805="",'Donor Sample'!P805="",'Donor Sample'!Q805=""),"",IF('Donor Sample'!P805="",ROUND(AA788/($C$32+($AI788-0.5)*$C$31),0),'Donor Sample'!P805))</f>
        <v/>
      </c>
      <c r="AA788" s="297" t="str">
        <f>IF('Donor Sample'!Q805="","",'Donor Sample'!Q805)</f>
        <v/>
      </c>
      <c r="AB788" s="296" t="str">
        <f t="shared" si="184"/>
        <v/>
      </c>
      <c r="AC788" s="295" t="str">
        <f>IF('Donor Sample'!R805="","",'Donor Sample'!R805)</f>
        <v/>
      </c>
      <c r="AD788" s="294" t="str">
        <f>IF('Donor Sample'!S805="","",'Donor Sample'!S805/100)</f>
        <v/>
      </c>
      <c r="AE788" s="293" t="e">
        <f t="shared" si="194"/>
        <v>#VALUE!</v>
      </c>
      <c r="AF788" s="293" t="str">
        <f t="shared" si="195"/>
        <v/>
      </c>
      <c r="AG788" s="292" t="str">
        <f>IF('Donor Sample'!T805="","",'Donor Sample'!T805)</f>
        <v/>
      </c>
      <c r="AH788" s="891">
        <f t="shared" si="196"/>
        <v>2</v>
      </c>
      <c r="AI788" s="1220">
        <v>0.1938321590423584</v>
      </c>
      <c r="AJ788" s="1216"/>
    </row>
    <row r="789" spans="5:36">
      <c r="E789" s="299">
        <v>781</v>
      </c>
      <c r="F789" s="308">
        <f t="shared" ca="1" si="185"/>
        <v>3253.9605246864753</v>
      </c>
      <c r="G789" s="307">
        <f t="shared" ca="1" si="186"/>
        <v>253.56100685610201</v>
      </c>
      <c r="H789" s="306">
        <f t="shared" ca="1" si="187"/>
        <v>0.40911440710751107</v>
      </c>
      <c r="I789" s="305">
        <f t="shared" ca="1" si="189"/>
        <v>103.8198923745729</v>
      </c>
      <c r="J789" s="305">
        <f t="shared" ca="1" si="190"/>
        <v>57.352932185019867</v>
      </c>
      <c r="K789" s="292">
        <f t="shared" ca="1" si="188"/>
        <v>1.317164674794683</v>
      </c>
      <c r="L789" s="1290">
        <f t="shared" ca="1" si="191"/>
        <v>22.219893907659301</v>
      </c>
      <c r="M789" s="299">
        <v>781</v>
      </c>
      <c r="N789" s="304">
        <f t="shared" si="192"/>
        <v>3171.5636414320343</v>
      </c>
      <c r="O789" s="303">
        <v>219.08164941407608</v>
      </c>
      <c r="P789" s="302">
        <v>0.43300390849857806</v>
      </c>
      <c r="Q789" s="301">
        <v>110.45346508113109</v>
      </c>
      <c r="R789" s="301">
        <v>54.156779882594115</v>
      </c>
      <c r="S789" s="300">
        <v>1.9677745433919862</v>
      </c>
      <c r="T789" s="891">
        <f t="shared" si="193"/>
        <v>32</v>
      </c>
      <c r="U789" s="1220">
        <v>0.83084338903427124</v>
      </c>
      <c r="W789" s="299">
        <v>781</v>
      </c>
      <c r="X789" s="298">
        <f>IF('Donor Sample'!N806="",,IF('Donor Sample'!N806="F",1,0))</f>
        <v>0</v>
      </c>
      <c r="Y789" s="298" t="str">
        <f>IF('Donor Sample'!O806="","",'Donor Sample'!O806)</f>
        <v/>
      </c>
      <c r="Z789" s="298" t="str">
        <f>IF(AND('Donor Sample'!O806="",'Donor Sample'!P806="",'Donor Sample'!Q806=""),"",IF('Donor Sample'!P806="",ROUND(AA789/($C$32+($AI789-0.5)*$C$31),0),'Donor Sample'!P806))</f>
        <v/>
      </c>
      <c r="AA789" s="297" t="str">
        <f>IF('Donor Sample'!Q806="","",'Donor Sample'!Q806)</f>
        <v/>
      </c>
      <c r="AB789" s="296" t="str">
        <f t="shared" si="184"/>
        <v/>
      </c>
      <c r="AC789" s="295" t="str">
        <f>IF('Donor Sample'!R806="","",'Donor Sample'!R806)</f>
        <v/>
      </c>
      <c r="AD789" s="294" t="str">
        <f>IF('Donor Sample'!S806="","",'Donor Sample'!S806/100)</f>
        <v/>
      </c>
      <c r="AE789" s="407" t="e">
        <f t="shared" si="194"/>
        <v>#VALUE!</v>
      </c>
      <c r="AF789" s="293" t="str">
        <f t="shared" si="195"/>
        <v/>
      </c>
      <c r="AG789" s="292" t="str">
        <f>IF('Donor Sample'!T806="","",'Donor Sample'!T806)</f>
        <v/>
      </c>
      <c r="AH789" s="891">
        <f t="shared" si="196"/>
        <v>64</v>
      </c>
      <c r="AI789" s="1220">
        <v>0.45974439382553101</v>
      </c>
      <c r="AJ789" s="1216"/>
    </row>
    <row r="790" spans="5:36">
      <c r="E790" s="299">
        <v>782</v>
      </c>
      <c r="F790" s="308">
        <f t="shared" ca="1" si="185"/>
        <v>3237.3840765469267</v>
      </c>
      <c r="G790" s="307">
        <f t="shared" ca="1" si="186"/>
        <v>259.06225467813999</v>
      </c>
      <c r="H790" s="306">
        <f t="shared" ca="1" si="187"/>
        <v>0.39437728499892793</v>
      </c>
      <c r="I790" s="305">
        <f t="shared" ca="1" si="189"/>
        <v>107.77348295017065</v>
      </c>
      <c r="J790" s="305">
        <f t="shared" ca="1" si="190"/>
        <v>56.072180063573228</v>
      </c>
      <c r="K790" s="292">
        <f t="shared" ca="1" si="188"/>
        <v>6.0844876131523291</v>
      </c>
      <c r="L790" s="1290">
        <f t="shared" ca="1" si="191"/>
        <v>24.131798717294121</v>
      </c>
      <c r="M790" s="299">
        <v>782</v>
      </c>
      <c r="N790" s="304">
        <f t="shared" si="192"/>
        <v>3344.5288847990314</v>
      </c>
      <c r="O790" s="303">
        <v>242.21121126740218</v>
      </c>
      <c r="P790" s="302">
        <v>0.37407942190248733</v>
      </c>
      <c r="Q790" s="301">
        <v>119.45927647393563</v>
      </c>
      <c r="R790" s="301">
        <v>54.929838526861595</v>
      </c>
      <c r="S790" s="300">
        <v>1.7045715770226344</v>
      </c>
      <c r="T790" s="891">
        <f t="shared" si="193"/>
        <v>2</v>
      </c>
      <c r="U790" s="1220">
        <v>0.13629615306854248</v>
      </c>
      <c r="W790" s="299">
        <v>782</v>
      </c>
      <c r="X790" s="298">
        <f>IF('Donor Sample'!N807="",,IF('Donor Sample'!N807="F",1,0))</f>
        <v>0</v>
      </c>
      <c r="Y790" s="298" t="str">
        <f>IF('Donor Sample'!O807="","",'Donor Sample'!O807)</f>
        <v/>
      </c>
      <c r="Z790" s="298" t="str">
        <f>IF(AND('Donor Sample'!O807="",'Donor Sample'!P807="",'Donor Sample'!Q807=""),"",IF('Donor Sample'!P807="",ROUND(AA790/($C$32+($AI790-0.5)*$C$31),0),'Donor Sample'!P807))</f>
        <v/>
      </c>
      <c r="AA790" s="297" t="str">
        <f>IF('Donor Sample'!Q807="","",'Donor Sample'!Q807)</f>
        <v/>
      </c>
      <c r="AB790" s="296" t="str">
        <f t="shared" si="184"/>
        <v/>
      </c>
      <c r="AC790" s="295" t="str">
        <f>IF('Donor Sample'!R807="","",'Donor Sample'!R807)</f>
        <v/>
      </c>
      <c r="AD790" s="294" t="str">
        <f>IF('Donor Sample'!S807="","",'Donor Sample'!S807/100)</f>
        <v/>
      </c>
      <c r="AE790" s="293" t="e">
        <f t="shared" si="194"/>
        <v>#VALUE!</v>
      </c>
      <c r="AF790" s="293" t="str">
        <f t="shared" si="195"/>
        <v/>
      </c>
      <c r="AG790" s="292" t="str">
        <f>IF('Donor Sample'!T807="","",'Donor Sample'!T807)</f>
        <v/>
      </c>
      <c r="AH790" s="891">
        <f t="shared" si="196"/>
        <v>2</v>
      </c>
      <c r="AI790" s="1220">
        <v>0.18953454494476318</v>
      </c>
      <c r="AJ790" s="1216"/>
    </row>
    <row r="791" spans="5:36">
      <c r="E791" s="299">
        <v>783</v>
      </c>
      <c r="F791" s="308">
        <f t="shared" ca="1" si="185"/>
        <v>3568.0094231230228</v>
      </c>
      <c r="G791" s="307">
        <f t="shared" ca="1" si="186"/>
        <v>189.05388103073568</v>
      </c>
      <c r="H791" s="306">
        <f t="shared" ca="1" si="187"/>
        <v>0.39625557865303807</v>
      </c>
      <c r="I791" s="305">
        <f t="shared" ca="1" si="189"/>
        <v>134.43272513240902</v>
      </c>
      <c r="J791" s="305">
        <f t="shared" ca="1" si="190"/>
        <v>55.019149440100875</v>
      </c>
      <c r="K791" s="292">
        <f t="shared" ca="1" si="188"/>
        <v>7.4043501866414863</v>
      </c>
      <c r="L791" s="1290">
        <f t="shared" ca="1" si="191"/>
        <v>31.264386949739482</v>
      </c>
      <c r="M791" s="299">
        <v>783</v>
      </c>
      <c r="N791" s="304">
        <f t="shared" si="192"/>
        <v>3524.0195881683203</v>
      </c>
      <c r="O791" s="303">
        <v>183.82887975873814</v>
      </c>
      <c r="P791" s="302">
        <v>0.43417837503939205</v>
      </c>
      <c r="Q791" s="301">
        <v>113.85696292966982</v>
      </c>
      <c r="R791" s="301">
        <v>59.363606234021205</v>
      </c>
      <c r="S791" s="300">
        <v>3.7691128874715876</v>
      </c>
      <c r="T791" s="891">
        <f t="shared" si="193"/>
        <v>2</v>
      </c>
      <c r="U791" s="1220">
        <v>8.462291955947876E-2</v>
      </c>
      <c r="W791" s="299">
        <v>783</v>
      </c>
      <c r="X791" s="298">
        <f>IF('Donor Sample'!N808="",,IF('Donor Sample'!N808="F",1,0))</f>
        <v>0</v>
      </c>
      <c r="Y791" s="298" t="str">
        <f>IF('Donor Sample'!O808="","",'Donor Sample'!O808)</f>
        <v/>
      </c>
      <c r="Z791" s="298" t="str">
        <f>IF(AND('Donor Sample'!O808="",'Donor Sample'!P808="",'Donor Sample'!Q808=""),"",IF('Donor Sample'!P808="",ROUND(AA791/($C$32+($AI791-0.5)*$C$31),0),'Donor Sample'!P808))</f>
        <v/>
      </c>
      <c r="AA791" s="297" t="str">
        <f>IF('Donor Sample'!Q808="","",'Donor Sample'!Q808)</f>
        <v/>
      </c>
      <c r="AB791" s="296" t="str">
        <f t="shared" si="184"/>
        <v/>
      </c>
      <c r="AC791" s="295" t="str">
        <f>IF('Donor Sample'!R808="","",'Donor Sample'!R808)</f>
        <v/>
      </c>
      <c r="AD791" s="294" t="str">
        <f>IF('Donor Sample'!S808="","",'Donor Sample'!S808/100)</f>
        <v/>
      </c>
      <c r="AE791" s="293" t="e">
        <f t="shared" si="194"/>
        <v>#VALUE!</v>
      </c>
      <c r="AF791" s="293" t="str">
        <f t="shared" si="195"/>
        <v/>
      </c>
      <c r="AG791" s="292" t="str">
        <f>IF('Donor Sample'!T808="","",'Donor Sample'!T808)</f>
        <v/>
      </c>
      <c r="AH791" s="891">
        <f t="shared" si="196"/>
        <v>64</v>
      </c>
      <c r="AI791" s="1220">
        <v>0.60508352518081665</v>
      </c>
      <c r="AJ791" s="1216"/>
    </row>
    <row r="792" spans="5:36">
      <c r="E792" s="299">
        <v>784</v>
      </c>
      <c r="F792" s="308">
        <f t="shared" ca="1" si="185"/>
        <v>3767.8887602702371</v>
      </c>
      <c r="G792" s="307">
        <f t="shared" ca="1" si="186"/>
        <v>278.85724151563539</v>
      </c>
      <c r="H792" s="306">
        <f t="shared" ca="1" si="187"/>
        <v>0.39170325702709746</v>
      </c>
      <c r="I792" s="305">
        <f t="shared" ca="1" si="189"/>
        <v>151.59212237112558</v>
      </c>
      <c r="J792" s="305">
        <f t="shared" ca="1" si="190"/>
        <v>60.79315860305087</v>
      </c>
      <c r="K792" s="292">
        <f t="shared" ca="1" si="188"/>
        <v>3.449695542582</v>
      </c>
      <c r="L792" s="1290">
        <f t="shared" ca="1" si="191"/>
        <v>28.876188998615749</v>
      </c>
      <c r="M792" s="299">
        <v>784</v>
      </c>
      <c r="N792" s="304">
        <f t="shared" si="192"/>
        <v>3853.3087361039857</v>
      </c>
      <c r="O792" s="303">
        <v>204.90965317127689</v>
      </c>
      <c r="P792" s="302">
        <v>0.3642629742575012</v>
      </c>
      <c r="Q792" s="301">
        <v>129.48073026301537</v>
      </c>
      <c r="R792" s="301">
        <v>66.656496648338162</v>
      </c>
      <c r="S792" s="300">
        <v>2.2204423758020484</v>
      </c>
      <c r="T792" s="891">
        <f t="shared" si="193"/>
        <v>2</v>
      </c>
      <c r="U792" s="1220">
        <v>8.3087444305419922E-2</v>
      </c>
      <c r="W792" s="299">
        <v>784</v>
      </c>
      <c r="X792" s="298">
        <f>IF('Donor Sample'!N809="",,IF('Donor Sample'!N809="F",1,0))</f>
        <v>0</v>
      </c>
      <c r="Y792" s="298" t="str">
        <f>IF('Donor Sample'!O809="","",'Donor Sample'!O809)</f>
        <v/>
      </c>
      <c r="Z792" s="298" t="str">
        <f>IF(AND('Donor Sample'!O809="",'Donor Sample'!P809="",'Donor Sample'!Q809=""),"",IF('Donor Sample'!P809="",ROUND(AA792/($C$32+($AI792-0.5)*$C$31),0),'Donor Sample'!P809))</f>
        <v/>
      </c>
      <c r="AA792" s="297" t="str">
        <f>IF('Donor Sample'!Q809="","",'Donor Sample'!Q809)</f>
        <v/>
      </c>
      <c r="AB792" s="296" t="str">
        <f t="shared" si="184"/>
        <v/>
      </c>
      <c r="AC792" s="295" t="str">
        <f>IF('Donor Sample'!R809="","",'Donor Sample'!R809)</f>
        <v/>
      </c>
      <c r="AD792" s="294" t="str">
        <f>IF('Donor Sample'!S809="","",'Donor Sample'!S809/100)</f>
        <v/>
      </c>
      <c r="AE792" s="407" t="e">
        <f t="shared" si="194"/>
        <v>#VALUE!</v>
      </c>
      <c r="AF792" s="293" t="str">
        <f t="shared" si="195"/>
        <v/>
      </c>
      <c r="AG792" s="292" t="str">
        <f>IF('Donor Sample'!T809="","",'Donor Sample'!T809)</f>
        <v/>
      </c>
      <c r="AH792" s="891">
        <f t="shared" si="196"/>
        <v>16</v>
      </c>
      <c r="AI792" s="1220">
        <v>0.98117828369140625</v>
      </c>
      <c r="AJ792" s="1216"/>
    </row>
    <row r="793" spans="5:36">
      <c r="E793" s="299">
        <v>785</v>
      </c>
      <c r="F793" s="308">
        <f t="shared" ca="1" si="185"/>
        <v>3471.3522657549925</v>
      </c>
      <c r="G793" s="307">
        <f t="shared" ca="1" si="186"/>
        <v>227.8387350383382</v>
      </c>
      <c r="H793" s="306">
        <f t="shared" ca="1" si="187"/>
        <v>0.36277506600777693</v>
      </c>
      <c r="I793" s="305">
        <f t="shared" ca="1" si="189"/>
        <v>134.52278829463782</v>
      </c>
      <c r="J793" s="305">
        <f t="shared" ca="1" si="190"/>
        <v>53.162755171825779</v>
      </c>
      <c r="K793" s="292">
        <f t="shared" ca="1" si="188"/>
        <v>2.0355362537810802</v>
      </c>
      <c r="L793" s="1290">
        <f t="shared" ca="1" si="191"/>
        <v>33.508389815164314</v>
      </c>
      <c r="M793" s="299">
        <v>785</v>
      </c>
      <c r="N793" s="304">
        <f t="shared" si="192"/>
        <v>3438.1204317102352</v>
      </c>
      <c r="O793" s="303">
        <v>260.12634590054682</v>
      </c>
      <c r="P793" s="302">
        <v>0.41694021942379966</v>
      </c>
      <c r="Q793" s="301">
        <v>107.29959255292823</v>
      </c>
      <c r="R793" s="301">
        <v>59.517995447254151</v>
      </c>
      <c r="S793" s="300">
        <v>2.4988467755042567</v>
      </c>
      <c r="T793" s="891">
        <f t="shared" si="193"/>
        <v>2</v>
      </c>
      <c r="U793" s="1220">
        <v>0.24485939741134644</v>
      </c>
      <c r="W793" s="299">
        <v>785</v>
      </c>
      <c r="X793" s="298">
        <f>IF('Donor Sample'!N810="",,IF('Donor Sample'!N810="F",1,0))</f>
        <v>0</v>
      </c>
      <c r="Y793" s="298" t="str">
        <f>IF('Donor Sample'!O810="","",'Donor Sample'!O810)</f>
        <v/>
      </c>
      <c r="Z793" s="298" t="str">
        <f>IF(AND('Donor Sample'!O810="",'Donor Sample'!P810="",'Donor Sample'!Q810=""),"",IF('Donor Sample'!P810="",ROUND(AA793/($C$32+($AI793-0.5)*$C$31),0),'Donor Sample'!P810))</f>
        <v/>
      </c>
      <c r="AA793" s="297" t="str">
        <f>IF('Donor Sample'!Q810="","",'Donor Sample'!Q810)</f>
        <v/>
      </c>
      <c r="AB793" s="296" t="str">
        <f t="shared" si="184"/>
        <v/>
      </c>
      <c r="AC793" s="295" t="str">
        <f>IF('Donor Sample'!R810="","",'Donor Sample'!R810)</f>
        <v/>
      </c>
      <c r="AD793" s="294" t="str">
        <f>IF('Donor Sample'!S810="","",'Donor Sample'!S810/100)</f>
        <v/>
      </c>
      <c r="AE793" s="293" t="e">
        <f t="shared" si="194"/>
        <v>#VALUE!</v>
      </c>
      <c r="AF793" s="293" t="str">
        <f t="shared" si="195"/>
        <v/>
      </c>
      <c r="AG793" s="292" t="str">
        <f>IF('Donor Sample'!T810="","",'Donor Sample'!T810)</f>
        <v/>
      </c>
      <c r="AH793" s="891">
        <f t="shared" si="196"/>
        <v>64</v>
      </c>
      <c r="AI793" s="1220">
        <v>0.67216891050338745</v>
      </c>
      <c r="AJ793" s="1216"/>
    </row>
    <row r="794" spans="5:36">
      <c r="E794" s="299">
        <v>786</v>
      </c>
      <c r="F794" s="308">
        <f t="shared" ca="1" si="185"/>
        <v>3191.6585954533971</v>
      </c>
      <c r="G794" s="307">
        <f t="shared" ca="1" si="186"/>
        <v>207.87667869070427</v>
      </c>
      <c r="H794" s="306">
        <f t="shared" ca="1" si="187"/>
        <v>0.45696175849112919</v>
      </c>
      <c r="I794" s="305">
        <f t="shared" ca="1" si="189"/>
        <v>125.47883928920832</v>
      </c>
      <c r="J794" s="305">
        <f t="shared" ca="1" si="190"/>
        <v>50.092256855072016</v>
      </c>
      <c r="K794" s="292">
        <f t="shared" ca="1" si="188"/>
        <v>3.2606476088659724</v>
      </c>
      <c r="L794" s="1290">
        <f t="shared" ca="1" si="191"/>
        <v>35.204805900957005</v>
      </c>
      <c r="M794" s="299">
        <v>786</v>
      </c>
      <c r="N794" s="304">
        <f t="shared" si="192"/>
        <v>2688.0729139417917</v>
      </c>
      <c r="O794" s="303">
        <v>207.06907066801202</v>
      </c>
      <c r="P794" s="302">
        <v>0.45963559340508497</v>
      </c>
      <c r="Q794" s="301">
        <v>87.559261854523086</v>
      </c>
      <c r="R794" s="301">
        <v>51.174410173261379</v>
      </c>
      <c r="S794" s="300">
        <v>2.2925928384020686</v>
      </c>
      <c r="T794" s="891">
        <f t="shared" si="193"/>
        <v>2</v>
      </c>
      <c r="U794" s="1220">
        <v>0.22554695606231689</v>
      </c>
      <c r="W794" s="299">
        <v>786</v>
      </c>
      <c r="X794" s="298">
        <f>IF('Donor Sample'!N811="",,IF('Donor Sample'!N811="F",1,0))</f>
        <v>0</v>
      </c>
      <c r="Y794" s="298" t="str">
        <f>IF('Donor Sample'!O811="","",'Donor Sample'!O811)</f>
        <v/>
      </c>
      <c r="Z794" s="298" t="str">
        <f>IF(AND('Donor Sample'!O811="",'Donor Sample'!P811="",'Donor Sample'!Q811=""),"",IF('Donor Sample'!P811="",ROUND(AA794/($C$32+($AI794-0.5)*$C$31),0),'Donor Sample'!P811))</f>
        <v/>
      </c>
      <c r="AA794" s="297" t="str">
        <f>IF('Donor Sample'!Q811="","",'Donor Sample'!Q811)</f>
        <v/>
      </c>
      <c r="AB794" s="296" t="str">
        <f t="shared" si="184"/>
        <v/>
      </c>
      <c r="AC794" s="295" t="str">
        <f>IF('Donor Sample'!R811="","",'Donor Sample'!R811)</f>
        <v/>
      </c>
      <c r="AD794" s="294" t="str">
        <f>IF('Donor Sample'!S811="","",'Donor Sample'!S811/100)</f>
        <v/>
      </c>
      <c r="AE794" s="293" t="e">
        <f t="shared" si="194"/>
        <v>#VALUE!</v>
      </c>
      <c r="AF794" s="293" t="str">
        <f t="shared" si="195"/>
        <v/>
      </c>
      <c r="AG794" s="292" t="str">
        <f>IF('Donor Sample'!T811="","",'Donor Sample'!T811)</f>
        <v/>
      </c>
      <c r="AH794" s="891">
        <f t="shared" si="196"/>
        <v>2</v>
      </c>
      <c r="AI794" s="1220">
        <v>7.8872323036193848E-2</v>
      </c>
      <c r="AJ794" s="1216"/>
    </row>
    <row r="795" spans="5:36">
      <c r="E795" s="299">
        <v>787</v>
      </c>
      <c r="F795" s="308">
        <f t="shared" ca="1" si="185"/>
        <v>3540.7155836970933</v>
      </c>
      <c r="G795" s="307">
        <f t="shared" ca="1" si="186"/>
        <v>245.65380800020372</v>
      </c>
      <c r="H795" s="306">
        <f t="shared" ca="1" si="187"/>
        <v>0.39750276686275071</v>
      </c>
      <c r="I795" s="305">
        <f t="shared" ca="1" si="189"/>
        <v>113.79461358570838</v>
      </c>
      <c r="J795" s="305">
        <f t="shared" ca="1" si="190"/>
        <v>59.639328375511298</v>
      </c>
      <c r="K795" s="292">
        <f t="shared" ca="1" si="188"/>
        <v>1.7001967665904558</v>
      </c>
      <c r="L795" s="1290">
        <f t="shared" ca="1" si="191"/>
        <v>22.523136896920938</v>
      </c>
      <c r="M795" s="299">
        <v>787</v>
      </c>
      <c r="N795" s="304">
        <f t="shared" si="192"/>
        <v>2974.4609865172611</v>
      </c>
      <c r="O795" s="303">
        <v>216.30342665271925</v>
      </c>
      <c r="P795" s="302">
        <v>0.43562778409760738</v>
      </c>
      <c r="Q795" s="301">
        <v>93.166188758028852</v>
      </c>
      <c r="R795" s="301">
        <v>55.182464599004618</v>
      </c>
      <c r="S795" s="300">
        <v>1.4291897288043502</v>
      </c>
      <c r="T795" s="891">
        <f t="shared" si="193"/>
        <v>2</v>
      </c>
      <c r="U795" s="1220">
        <v>7.2974026203155518E-2</v>
      </c>
      <c r="W795" s="299">
        <v>787</v>
      </c>
      <c r="X795" s="298">
        <f>IF('Donor Sample'!N812="",,IF('Donor Sample'!N812="F",1,0))</f>
        <v>0</v>
      </c>
      <c r="Y795" s="298" t="str">
        <f>IF('Donor Sample'!O812="","",'Donor Sample'!O812)</f>
        <v/>
      </c>
      <c r="Z795" s="298" t="str">
        <f>IF(AND('Donor Sample'!O812="",'Donor Sample'!P812="",'Donor Sample'!Q812=""),"",IF('Donor Sample'!P812="",ROUND(AA795/($C$32+($AI795-0.5)*$C$31),0),'Donor Sample'!P812))</f>
        <v/>
      </c>
      <c r="AA795" s="297" t="str">
        <f>IF('Donor Sample'!Q812="","",'Donor Sample'!Q812)</f>
        <v/>
      </c>
      <c r="AB795" s="296" t="str">
        <f t="shared" si="184"/>
        <v/>
      </c>
      <c r="AC795" s="295" t="str">
        <f>IF('Donor Sample'!R812="","",'Donor Sample'!R812)</f>
        <v/>
      </c>
      <c r="AD795" s="294" t="str">
        <f>IF('Donor Sample'!S812="","",'Donor Sample'!S812/100)</f>
        <v/>
      </c>
      <c r="AE795" s="407" t="e">
        <f t="shared" si="194"/>
        <v>#VALUE!</v>
      </c>
      <c r="AF795" s="293" t="str">
        <f t="shared" si="195"/>
        <v/>
      </c>
      <c r="AG795" s="292" t="str">
        <f>IF('Donor Sample'!T812="","",'Donor Sample'!T812)</f>
        <v/>
      </c>
      <c r="AH795" s="891">
        <f t="shared" si="196"/>
        <v>64</v>
      </c>
      <c r="AI795" s="1220">
        <v>0.60723620653152466</v>
      </c>
      <c r="AJ795" s="1216"/>
    </row>
    <row r="796" spans="5:36">
      <c r="E796" s="299">
        <v>788</v>
      </c>
      <c r="F796" s="308">
        <f t="shared" ca="1" si="185"/>
        <v>4158.2759601822481</v>
      </c>
      <c r="G796" s="307">
        <f t="shared" ca="1" si="186"/>
        <v>196.57932293071198</v>
      </c>
      <c r="H796" s="306">
        <f t="shared" ca="1" si="187"/>
        <v>0.41951545345795332</v>
      </c>
      <c r="I796" s="305">
        <f t="shared" ca="1" si="189"/>
        <v>144.15955869842776</v>
      </c>
      <c r="J796" s="305">
        <f t="shared" ca="1" si="190"/>
        <v>62.240210134338071</v>
      </c>
      <c r="K796" s="292">
        <f t="shared" ca="1" si="188"/>
        <v>2.1693486637496502</v>
      </c>
      <c r="L796" s="1290">
        <f t="shared" ca="1" si="191"/>
        <v>26.198353799236674</v>
      </c>
      <c r="M796" s="299">
        <v>788</v>
      </c>
      <c r="N796" s="304">
        <f t="shared" si="192"/>
        <v>3629.7234322462245</v>
      </c>
      <c r="O796" s="303">
        <v>260.5693950167003</v>
      </c>
      <c r="P796" s="302">
        <v>0.4136130092324185</v>
      </c>
      <c r="Q796" s="301">
        <v>113.05887859323049</v>
      </c>
      <c r="R796" s="301">
        <v>61.155373959433447</v>
      </c>
      <c r="S796" s="300">
        <v>1.3612885306131566</v>
      </c>
      <c r="T796" s="891">
        <f t="shared" si="193"/>
        <v>64</v>
      </c>
      <c r="U796" s="1220">
        <v>0.59972357749938965</v>
      </c>
      <c r="W796" s="299">
        <v>788</v>
      </c>
      <c r="X796" s="298">
        <f>IF('Donor Sample'!N813="",,IF('Donor Sample'!N813="F",1,0))</f>
        <v>0</v>
      </c>
      <c r="Y796" s="298" t="str">
        <f>IF('Donor Sample'!O813="","",'Donor Sample'!O813)</f>
        <v/>
      </c>
      <c r="Z796" s="298" t="str">
        <f>IF(AND('Donor Sample'!O813="",'Donor Sample'!P813="",'Donor Sample'!Q813=""),"",IF('Donor Sample'!P813="",ROUND(AA796/($C$32+($AI796-0.5)*$C$31),0),'Donor Sample'!P813))</f>
        <v/>
      </c>
      <c r="AA796" s="297" t="str">
        <f>IF('Donor Sample'!Q813="","",'Donor Sample'!Q813)</f>
        <v/>
      </c>
      <c r="AB796" s="296" t="str">
        <f t="shared" si="184"/>
        <v/>
      </c>
      <c r="AC796" s="295" t="str">
        <f>IF('Donor Sample'!R813="","",'Donor Sample'!R813)</f>
        <v/>
      </c>
      <c r="AD796" s="294" t="str">
        <f>IF('Donor Sample'!S813="","",'Donor Sample'!S813/100)</f>
        <v/>
      </c>
      <c r="AE796" s="293" t="e">
        <f t="shared" si="194"/>
        <v>#VALUE!</v>
      </c>
      <c r="AF796" s="293" t="str">
        <f t="shared" si="195"/>
        <v/>
      </c>
      <c r="AG796" s="292" t="str">
        <f>IF('Donor Sample'!T813="","",'Donor Sample'!T813)</f>
        <v/>
      </c>
      <c r="AH796" s="891">
        <f t="shared" si="196"/>
        <v>2</v>
      </c>
      <c r="AI796" s="1220">
        <v>0.21422219276428223</v>
      </c>
      <c r="AJ796" s="1216"/>
    </row>
    <row r="797" spans="5:36">
      <c r="E797" s="299">
        <v>789</v>
      </c>
      <c r="F797" s="308">
        <f t="shared" ca="1" si="185"/>
        <v>3640.0154841284257</v>
      </c>
      <c r="G797" s="307">
        <f t="shared" ca="1" si="186"/>
        <v>246.87058282069486</v>
      </c>
      <c r="H797" s="306">
        <f t="shared" ca="1" si="187"/>
        <v>0.45678310295920477</v>
      </c>
      <c r="I797" s="305">
        <f t="shared" ca="1" si="189"/>
        <v>124.75676444321699</v>
      </c>
      <c r="J797" s="305">
        <f t="shared" ca="1" si="190"/>
        <v>58.676941542558332</v>
      </c>
      <c r="K797" s="292">
        <f t="shared" ca="1" si="188"/>
        <v>1.8309514007373369</v>
      </c>
      <c r="L797" s="1290">
        <f t="shared" ca="1" si="191"/>
        <v>25.509492846598437</v>
      </c>
      <c r="M797" s="299">
        <v>789</v>
      </c>
      <c r="N797" s="304">
        <f t="shared" si="192"/>
        <v>3696.1512098676972</v>
      </c>
      <c r="O797" s="303">
        <v>242.84103010440856</v>
      </c>
      <c r="P797" s="302">
        <v>0.3791637429157248</v>
      </c>
      <c r="Q797" s="301">
        <v>149.04652203481572</v>
      </c>
      <c r="R797" s="301">
        <v>53.411758558828716</v>
      </c>
      <c r="S797" s="300">
        <v>2.2497439659392855</v>
      </c>
      <c r="T797" s="891">
        <f t="shared" si="193"/>
        <v>64</v>
      </c>
      <c r="U797" s="1220">
        <v>0.49988263845443726</v>
      </c>
      <c r="W797" s="299">
        <v>789</v>
      </c>
      <c r="X797" s="298">
        <f>IF('Donor Sample'!N814="",,IF('Donor Sample'!N814="F",1,0))</f>
        <v>0</v>
      </c>
      <c r="Y797" s="298" t="str">
        <f>IF('Donor Sample'!O814="","",'Donor Sample'!O814)</f>
        <v/>
      </c>
      <c r="Z797" s="298" t="str">
        <f>IF(AND('Donor Sample'!O814="",'Donor Sample'!P814="",'Donor Sample'!Q814=""),"",IF('Donor Sample'!P814="",ROUND(AA797/($C$32+($AI797-0.5)*$C$31),0),'Donor Sample'!P814))</f>
        <v/>
      </c>
      <c r="AA797" s="297" t="str">
        <f>IF('Donor Sample'!Q814="","",'Donor Sample'!Q814)</f>
        <v/>
      </c>
      <c r="AB797" s="296" t="str">
        <f t="shared" si="184"/>
        <v/>
      </c>
      <c r="AC797" s="295" t="str">
        <f>IF('Donor Sample'!R814="","",'Donor Sample'!R814)</f>
        <v/>
      </c>
      <c r="AD797" s="294" t="str">
        <f>IF('Donor Sample'!S814="","",'Donor Sample'!S814/100)</f>
        <v/>
      </c>
      <c r="AE797" s="293" t="e">
        <f t="shared" si="194"/>
        <v>#VALUE!</v>
      </c>
      <c r="AF797" s="293" t="str">
        <f t="shared" si="195"/>
        <v/>
      </c>
      <c r="AG797" s="292" t="str">
        <f>IF('Donor Sample'!T814="","",'Donor Sample'!T814)</f>
        <v/>
      </c>
      <c r="AH797" s="891">
        <f t="shared" si="196"/>
        <v>64</v>
      </c>
      <c r="AI797" s="1220">
        <v>0.50453132390975952</v>
      </c>
      <c r="AJ797" s="1216"/>
    </row>
    <row r="798" spans="5:36">
      <c r="E798" s="299">
        <v>790</v>
      </c>
      <c r="F798" s="308">
        <f t="shared" ca="1" si="185"/>
        <v>3056.3974616401688</v>
      </c>
      <c r="G798" s="307">
        <f t="shared" ca="1" si="186"/>
        <v>283.14828364235035</v>
      </c>
      <c r="H798" s="306">
        <f t="shared" ca="1" si="187"/>
        <v>0.51137647950228127</v>
      </c>
      <c r="I798" s="305">
        <f t="shared" ca="1" si="189"/>
        <v>102.44966885562081</v>
      </c>
      <c r="J798" s="305">
        <f t="shared" ca="1" si="190"/>
        <v>54.188694590098173</v>
      </c>
      <c r="K798" s="292">
        <f t="shared" ca="1" si="188"/>
        <v>2.3731832604517717</v>
      </c>
      <c r="L798" s="1290">
        <f t="shared" ca="1" si="191"/>
        <v>24.562119514473569</v>
      </c>
      <c r="M798" s="299">
        <v>790</v>
      </c>
      <c r="N798" s="304">
        <f t="shared" si="192"/>
        <v>3526.9225680674654</v>
      </c>
      <c r="O798" s="303">
        <v>243.24809896128116</v>
      </c>
      <c r="P798" s="302">
        <v>0.53001669360609938</v>
      </c>
      <c r="Q798" s="301">
        <v>129.06385392148982</v>
      </c>
      <c r="R798" s="301">
        <v>55.694002527347152</v>
      </c>
      <c r="S798" s="300">
        <v>2.4591343744031837</v>
      </c>
      <c r="T798" s="891">
        <f t="shared" si="193"/>
        <v>2</v>
      </c>
      <c r="U798" s="1220">
        <v>0.29568231105804443</v>
      </c>
      <c r="W798" s="299">
        <v>790</v>
      </c>
      <c r="X798" s="298">
        <f>IF('Donor Sample'!N815="",,IF('Donor Sample'!N815="F",1,0))</f>
        <v>0</v>
      </c>
      <c r="Y798" s="298" t="str">
        <f>IF('Donor Sample'!O815="","",'Donor Sample'!O815)</f>
        <v/>
      </c>
      <c r="Z798" s="298" t="str">
        <f>IF(AND('Donor Sample'!O815="",'Donor Sample'!P815="",'Donor Sample'!Q815=""),"",IF('Donor Sample'!P815="",ROUND(AA798/($C$32+($AI798-0.5)*$C$31),0),'Donor Sample'!P815))</f>
        <v/>
      </c>
      <c r="AA798" s="297" t="str">
        <f>IF('Donor Sample'!Q815="","",'Donor Sample'!Q815)</f>
        <v/>
      </c>
      <c r="AB798" s="296" t="str">
        <f t="shared" si="184"/>
        <v/>
      </c>
      <c r="AC798" s="295" t="str">
        <f>IF('Donor Sample'!R815="","",'Donor Sample'!R815)</f>
        <v/>
      </c>
      <c r="AD798" s="294" t="str">
        <f>IF('Donor Sample'!S815="","",'Donor Sample'!S815/100)</f>
        <v/>
      </c>
      <c r="AE798" s="407" t="e">
        <f t="shared" si="194"/>
        <v>#VALUE!</v>
      </c>
      <c r="AF798" s="293" t="str">
        <f t="shared" si="195"/>
        <v/>
      </c>
      <c r="AG798" s="292" t="str">
        <f>IF('Donor Sample'!T815="","",'Donor Sample'!T815)</f>
        <v/>
      </c>
      <c r="AH798" s="891">
        <f t="shared" si="196"/>
        <v>2</v>
      </c>
      <c r="AI798" s="1220">
        <v>0.23730266094207764</v>
      </c>
      <c r="AJ798" s="1216"/>
    </row>
    <row r="799" spans="5:36">
      <c r="E799" s="299">
        <v>791</v>
      </c>
      <c r="F799" s="308">
        <f t="shared" ca="1" si="185"/>
        <v>2722.9351047364776</v>
      </c>
      <c r="G799" s="307">
        <f t="shared" ca="1" si="186"/>
        <v>228.64259901168293</v>
      </c>
      <c r="H799" s="306">
        <f t="shared" ca="1" si="187"/>
        <v>0.37596348052751677</v>
      </c>
      <c r="I799" s="305">
        <f t="shared" ca="1" si="189"/>
        <v>92.187137639956759</v>
      </c>
      <c r="J799" s="305">
        <f t="shared" ca="1" si="190"/>
        <v>50.472410841478862</v>
      </c>
      <c r="K799" s="292">
        <f t="shared" ca="1" si="188"/>
        <v>13.057157417146417</v>
      </c>
      <c r="L799" s="1290">
        <f t="shared" ca="1" si="191"/>
        <v>25.476214137970544</v>
      </c>
      <c r="M799" s="299">
        <v>791</v>
      </c>
      <c r="N799" s="304">
        <f t="shared" si="192"/>
        <v>4031.3525998446094</v>
      </c>
      <c r="O799" s="303">
        <v>212.87813407842876</v>
      </c>
      <c r="P799" s="302">
        <v>0.37848962775809958</v>
      </c>
      <c r="Q799" s="301">
        <v>154.12433975295588</v>
      </c>
      <c r="R799" s="301">
        <v>58.067889589997314</v>
      </c>
      <c r="S799" s="300">
        <v>2.3610920216810198</v>
      </c>
      <c r="T799" s="891">
        <f t="shared" si="193"/>
        <v>64</v>
      </c>
      <c r="U799" s="1220">
        <v>0.6069527268409729</v>
      </c>
      <c r="W799" s="299">
        <v>791</v>
      </c>
      <c r="X799" s="298">
        <f>IF('Donor Sample'!N816="",,IF('Donor Sample'!N816="F",1,0))</f>
        <v>0</v>
      </c>
      <c r="Y799" s="298" t="str">
        <f>IF('Donor Sample'!O816="","",'Donor Sample'!O816)</f>
        <v/>
      </c>
      <c r="Z799" s="298" t="str">
        <f>IF(AND('Donor Sample'!O816="",'Donor Sample'!P816="",'Donor Sample'!Q816=""),"",IF('Donor Sample'!P816="",ROUND(AA799/($C$32+($AI799-0.5)*$C$31),0),'Donor Sample'!P816))</f>
        <v/>
      </c>
      <c r="AA799" s="297" t="str">
        <f>IF('Donor Sample'!Q816="","",'Donor Sample'!Q816)</f>
        <v/>
      </c>
      <c r="AB799" s="296" t="str">
        <f t="shared" si="184"/>
        <v/>
      </c>
      <c r="AC799" s="295" t="str">
        <f>IF('Donor Sample'!R816="","",'Donor Sample'!R816)</f>
        <v/>
      </c>
      <c r="AD799" s="294" t="str">
        <f>IF('Donor Sample'!S816="","",'Donor Sample'!S816/100)</f>
        <v/>
      </c>
      <c r="AE799" s="293" t="e">
        <f t="shared" si="194"/>
        <v>#VALUE!</v>
      </c>
      <c r="AF799" s="293" t="str">
        <f t="shared" si="195"/>
        <v/>
      </c>
      <c r="AG799" s="292" t="str">
        <f>IF('Donor Sample'!T816="","",'Donor Sample'!T816)</f>
        <v/>
      </c>
      <c r="AH799" s="891">
        <f t="shared" si="196"/>
        <v>4</v>
      </c>
      <c r="AI799" s="1220">
        <v>0.41539245843887329</v>
      </c>
      <c r="AJ799" s="1216"/>
    </row>
    <row r="800" spans="5:36">
      <c r="E800" s="299">
        <v>792</v>
      </c>
      <c r="F800" s="308">
        <f t="shared" ca="1" si="185"/>
        <v>3236.2913495371299</v>
      </c>
      <c r="G800" s="307">
        <f t="shared" ca="1" si="186"/>
        <v>250.97141784231115</v>
      </c>
      <c r="H800" s="306">
        <f t="shared" ca="1" si="187"/>
        <v>0.42153704051224944</v>
      </c>
      <c r="I800" s="305">
        <f t="shared" ca="1" si="189"/>
        <v>114.46853744270226</v>
      </c>
      <c r="J800" s="305">
        <f t="shared" ca="1" si="190"/>
        <v>54.271993753223029</v>
      </c>
      <c r="K800" s="292">
        <f t="shared" ca="1" si="188"/>
        <v>6.6112252088980794</v>
      </c>
      <c r="L800" s="1290">
        <f t="shared" ca="1" si="191"/>
        <v>27.359442308810749</v>
      </c>
      <c r="M800" s="299">
        <v>792</v>
      </c>
      <c r="N800" s="304">
        <f t="shared" si="192"/>
        <v>3010.0402945898013</v>
      </c>
      <c r="O800" s="303">
        <v>209.30087740653181</v>
      </c>
      <c r="P800" s="302">
        <v>0.37914395499038234</v>
      </c>
      <c r="Q800" s="301">
        <v>120.05706160092718</v>
      </c>
      <c r="R800" s="301">
        <v>47.717461232656049</v>
      </c>
      <c r="S800" s="300">
        <v>4.184583141339429</v>
      </c>
      <c r="T800" s="891">
        <f t="shared" si="193"/>
        <v>2</v>
      </c>
      <c r="U800" s="1220">
        <v>1.46331787109375E-2</v>
      </c>
      <c r="W800" s="299">
        <v>792</v>
      </c>
      <c r="X800" s="298">
        <f>IF('Donor Sample'!N817="",,IF('Donor Sample'!N817="F",1,0))</f>
        <v>0</v>
      </c>
      <c r="Y800" s="298" t="str">
        <f>IF('Donor Sample'!O817="","",'Donor Sample'!O817)</f>
        <v/>
      </c>
      <c r="Z800" s="298" t="str">
        <f>IF(AND('Donor Sample'!O817="",'Donor Sample'!P817="",'Donor Sample'!Q817=""),"",IF('Donor Sample'!P817="",ROUND(AA800/($C$32+($AI800-0.5)*$C$31),0),'Donor Sample'!P817))</f>
        <v/>
      </c>
      <c r="AA800" s="297" t="str">
        <f>IF('Donor Sample'!Q817="","",'Donor Sample'!Q817)</f>
        <v/>
      </c>
      <c r="AB800" s="296" t="str">
        <f t="shared" si="184"/>
        <v/>
      </c>
      <c r="AC800" s="295" t="str">
        <f>IF('Donor Sample'!R817="","",'Donor Sample'!R817)</f>
        <v/>
      </c>
      <c r="AD800" s="294" t="str">
        <f>IF('Donor Sample'!S817="","",'Donor Sample'!S817/100)</f>
        <v/>
      </c>
      <c r="AE800" s="293" t="e">
        <f t="shared" si="194"/>
        <v>#VALUE!</v>
      </c>
      <c r="AF800" s="293" t="str">
        <f t="shared" si="195"/>
        <v/>
      </c>
      <c r="AG800" s="292" t="str">
        <f>IF('Donor Sample'!T817="","",'Donor Sample'!T817)</f>
        <v/>
      </c>
      <c r="AH800" s="891">
        <f t="shared" si="196"/>
        <v>2</v>
      </c>
      <c r="AI800" s="1220">
        <v>0.18941164016723633</v>
      </c>
      <c r="AJ800" s="1216"/>
    </row>
    <row r="801" spans="5:36">
      <c r="E801" s="299">
        <v>793</v>
      </c>
      <c r="F801" s="308">
        <f t="shared" ca="1" si="185"/>
        <v>3259.1219770456437</v>
      </c>
      <c r="G801" s="307">
        <f t="shared" ca="1" si="186"/>
        <v>180.46471329343126</v>
      </c>
      <c r="H801" s="306">
        <f t="shared" ca="1" si="187"/>
        <v>0.3587785399908352</v>
      </c>
      <c r="I801" s="305">
        <f t="shared" ca="1" si="189"/>
        <v>116.99418951927947</v>
      </c>
      <c r="J801" s="305">
        <f t="shared" ca="1" si="190"/>
        <v>54.006335503240649</v>
      </c>
      <c r="K801" s="292">
        <f t="shared" ca="1" si="188"/>
        <v>1.3621753726929298</v>
      </c>
      <c r="L801" s="1290">
        <f t="shared" ca="1" si="191"/>
        <v>28.238884181598422</v>
      </c>
      <c r="M801" s="299">
        <v>793</v>
      </c>
      <c r="N801" s="304">
        <f t="shared" si="192"/>
        <v>4324.3599368316463</v>
      </c>
      <c r="O801" s="303">
        <v>257.2384362704355</v>
      </c>
      <c r="P801" s="302">
        <v>0.38963398824562007</v>
      </c>
      <c r="Q801" s="301">
        <v>154.22126081510422</v>
      </c>
      <c r="R801" s="301">
        <v>62.513567658076383</v>
      </c>
      <c r="S801" s="300">
        <v>6.0382249368075565</v>
      </c>
      <c r="T801" s="891">
        <f t="shared" si="193"/>
        <v>64</v>
      </c>
      <c r="U801" s="1220">
        <v>0.4546167254447937</v>
      </c>
      <c r="W801" s="299">
        <v>793</v>
      </c>
      <c r="X801" s="298">
        <f>IF('Donor Sample'!N818="",,IF('Donor Sample'!N818="F",1,0))</f>
        <v>0</v>
      </c>
      <c r="Y801" s="298" t="str">
        <f>IF('Donor Sample'!O818="","",'Donor Sample'!O818)</f>
        <v/>
      </c>
      <c r="Z801" s="298" t="str">
        <f>IF(AND('Donor Sample'!O818="",'Donor Sample'!P818="",'Donor Sample'!Q818=""),"",IF('Donor Sample'!P818="",ROUND(AA801/($C$32+($AI801-0.5)*$C$31),0),'Donor Sample'!P818))</f>
        <v/>
      </c>
      <c r="AA801" s="297" t="str">
        <f>IF('Donor Sample'!Q818="","",'Donor Sample'!Q818)</f>
        <v/>
      </c>
      <c r="AB801" s="296" t="str">
        <f t="shared" si="184"/>
        <v/>
      </c>
      <c r="AC801" s="295" t="str">
        <f>IF('Donor Sample'!R818="","",'Donor Sample'!R818)</f>
        <v/>
      </c>
      <c r="AD801" s="294" t="str">
        <f>IF('Donor Sample'!S818="","",'Donor Sample'!S818/100)</f>
        <v/>
      </c>
      <c r="AE801" s="407" t="e">
        <f t="shared" si="194"/>
        <v>#VALUE!</v>
      </c>
      <c r="AF801" s="293" t="str">
        <f t="shared" si="195"/>
        <v/>
      </c>
      <c r="AG801" s="292" t="str">
        <f>IF('Donor Sample'!T818="","",'Donor Sample'!T818)</f>
        <v/>
      </c>
      <c r="AH801" s="891">
        <f t="shared" si="196"/>
        <v>64</v>
      </c>
      <c r="AI801" s="1220">
        <v>0.62998837232589722</v>
      </c>
      <c r="AJ801" s="1216"/>
    </row>
    <row r="802" spans="5:36">
      <c r="E802" s="299">
        <v>794</v>
      </c>
      <c r="F802" s="308">
        <f t="shared" ca="1" si="185"/>
        <v>2648.0272263097995</v>
      </c>
      <c r="G802" s="307">
        <f t="shared" ca="1" si="186"/>
        <v>212.71215318296544</v>
      </c>
      <c r="H802" s="306">
        <f t="shared" ca="1" si="187"/>
        <v>0.36253170284921743</v>
      </c>
      <c r="I802" s="305">
        <f t="shared" ca="1" si="189"/>
        <v>87.016084070289779</v>
      </c>
      <c r="J802" s="305">
        <f t="shared" ca="1" si="190"/>
        <v>58.359603088081677</v>
      </c>
      <c r="K802" s="292">
        <f t="shared" ca="1" si="188"/>
        <v>1.979823512261893</v>
      </c>
      <c r="L802" s="1290">
        <f t="shared" ca="1" si="191"/>
        <v>17.986536162231332</v>
      </c>
      <c r="M802" s="299">
        <v>794</v>
      </c>
      <c r="N802" s="304">
        <f t="shared" si="192"/>
        <v>3793.990837129983</v>
      </c>
      <c r="O802" s="303">
        <v>220.99203997921975</v>
      </c>
      <c r="P802" s="302">
        <v>0.36845758085348274</v>
      </c>
      <c r="Q802" s="301">
        <v>132.35217004432232</v>
      </c>
      <c r="R802" s="301">
        <v>65.313143443651171</v>
      </c>
      <c r="S802" s="300">
        <v>14.703542647440683</v>
      </c>
      <c r="T802" s="891">
        <f t="shared" si="193"/>
        <v>2</v>
      </c>
      <c r="U802" s="1220">
        <v>8.3091378211975098E-2</v>
      </c>
      <c r="W802" s="299">
        <v>794</v>
      </c>
      <c r="X802" s="298">
        <f>IF('Donor Sample'!N819="",,IF('Donor Sample'!N819="F",1,0))</f>
        <v>0</v>
      </c>
      <c r="Y802" s="298" t="str">
        <f>IF('Donor Sample'!O819="","",'Donor Sample'!O819)</f>
        <v/>
      </c>
      <c r="Z802" s="298" t="str">
        <f>IF(AND('Donor Sample'!O819="",'Donor Sample'!P819="",'Donor Sample'!Q819=""),"",IF('Donor Sample'!P819="",ROUND(AA802/($C$32+($AI802-0.5)*$C$31),0),'Donor Sample'!P819))</f>
        <v/>
      </c>
      <c r="AA802" s="297" t="str">
        <f>IF('Donor Sample'!Q819="","",'Donor Sample'!Q819)</f>
        <v/>
      </c>
      <c r="AB802" s="296" t="str">
        <f t="shared" si="184"/>
        <v/>
      </c>
      <c r="AC802" s="295" t="str">
        <f>IF('Donor Sample'!R819="","",'Donor Sample'!R819)</f>
        <v/>
      </c>
      <c r="AD802" s="294" t="str">
        <f>IF('Donor Sample'!S819="","",'Donor Sample'!S819/100)</f>
        <v/>
      </c>
      <c r="AE802" s="293" t="e">
        <f t="shared" si="194"/>
        <v>#VALUE!</v>
      </c>
      <c r="AF802" s="293" t="str">
        <f t="shared" si="195"/>
        <v/>
      </c>
      <c r="AG802" s="292" t="str">
        <f>IF('Donor Sample'!T819="","",'Donor Sample'!T819)</f>
        <v/>
      </c>
      <c r="AH802" s="891">
        <f t="shared" si="196"/>
        <v>16</v>
      </c>
      <c r="AI802" s="1220">
        <v>0.95785534381866455</v>
      </c>
      <c r="AJ802" s="1216"/>
    </row>
    <row r="803" spans="5:36">
      <c r="E803" s="299">
        <v>795</v>
      </c>
      <c r="F803" s="308">
        <f t="shared" ca="1" si="185"/>
        <v>3790.2308704366678</v>
      </c>
      <c r="G803" s="307">
        <f t="shared" ca="1" si="186"/>
        <v>191.68503579438763</v>
      </c>
      <c r="H803" s="306">
        <f t="shared" ca="1" si="187"/>
        <v>0.4024255456003567</v>
      </c>
      <c r="I803" s="305">
        <f t="shared" ca="1" si="189"/>
        <v>141.7572616759073</v>
      </c>
      <c r="J803" s="305">
        <f t="shared" ca="1" si="190"/>
        <v>57.054463139567162</v>
      </c>
      <c r="K803" s="292">
        <f t="shared" ca="1" si="188"/>
        <v>7.9267080892696899</v>
      </c>
      <c r="L803" s="1290">
        <f t="shared" ca="1" si="191"/>
        <v>30.657640562464206</v>
      </c>
      <c r="M803" s="299">
        <v>795</v>
      </c>
      <c r="N803" s="304">
        <f t="shared" si="192"/>
        <v>3341.311049869726</v>
      </c>
      <c r="O803" s="303">
        <v>214.79892304302683</v>
      </c>
      <c r="P803" s="302">
        <v>0.3843589209063718</v>
      </c>
      <c r="Q803" s="301">
        <v>136.8371129062426</v>
      </c>
      <c r="R803" s="301">
        <v>49.732194275891928</v>
      </c>
      <c r="S803" s="300">
        <v>4.8805828737909396</v>
      </c>
      <c r="T803" s="891">
        <f t="shared" si="193"/>
        <v>64</v>
      </c>
      <c r="U803" s="1220">
        <v>0.53989154100418091</v>
      </c>
      <c r="W803" s="299">
        <v>795</v>
      </c>
      <c r="X803" s="298">
        <f>IF('Donor Sample'!N820="",,IF('Donor Sample'!N820="F",1,0))</f>
        <v>0</v>
      </c>
      <c r="Y803" s="298" t="str">
        <f>IF('Donor Sample'!O820="","",'Donor Sample'!O820)</f>
        <v/>
      </c>
      <c r="Z803" s="298" t="str">
        <f>IF(AND('Donor Sample'!O820="",'Donor Sample'!P820="",'Donor Sample'!Q820=""),"",IF('Donor Sample'!P820="",ROUND(AA803/($C$32+($AI803-0.5)*$C$31),0),'Donor Sample'!P820))</f>
        <v/>
      </c>
      <c r="AA803" s="297" t="str">
        <f>IF('Donor Sample'!Q820="","",'Donor Sample'!Q820)</f>
        <v/>
      </c>
      <c r="AB803" s="296" t="str">
        <f t="shared" si="184"/>
        <v/>
      </c>
      <c r="AC803" s="295" t="str">
        <f>IF('Donor Sample'!R820="","",'Donor Sample'!R820)</f>
        <v/>
      </c>
      <c r="AD803" s="294" t="str">
        <f>IF('Donor Sample'!S820="","",'Donor Sample'!S820/100)</f>
        <v/>
      </c>
      <c r="AE803" s="293" t="e">
        <f t="shared" si="194"/>
        <v>#VALUE!</v>
      </c>
      <c r="AF803" s="293" t="str">
        <f t="shared" si="195"/>
        <v/>
      </c>
      <c r="AG803" s="292" t="str">
        <f>IF('Donor Sample'!T820="","",'Donor Sample'!T820)</f>
        <v/>
      </c>
      <c r="AH803" s="891">
        <f t="shared" si="196"/>
        <v>2</v>
      </c>
      <c r="AI803" s="1220">
        <v>0.21296292543411255</v>
      </c>
      <c r="AJ803" s="1216"/>
    </row>
    <row r="804" spans="5:36">
      <c r="E804" s="299">
        <v>796</v>
      </c>
      <c r="F804" s="308">
        <f t="shared" ca="1" si="185"/>
        <v>4039.1229341667417</v>
      </c>
      <c r="G804" s="307">
        <f t="shared" ca="1" si="186"/>
        <v>281.53729105163046</v>
      </c>
      <c r="H804" s="306">
        <f t="shared" ca="1" si="187"/>
        <v>0.43881677615104209</v>
      </c>
      <c r="I804" s="305">
        <f t="shared" ca="1" si="189"/>
        <v>165.58812622228891</v>
      </c>
      <c r="J804" s="305">
        <f t="shared" ca="1" si="190"/>
        <v>55.31509279021116</v>
      </c>
      <c r="K804" s="292">
        <f t="shared" ca="1" si="188"/>
        <v>10.386144161248811</v>
      </c>
      <c r="L804" s="1290">
        <f t="shared" ca="1" si="191"/>
        <v>38.099086293101195</v>
      </c>
      <c r="M804" s="299">
        <v>796</v>
      </c>
      <c r="N804" s="304">
        <f t="shared" si="192"/>
        <v>3072.5464092764141</v>
      </c>
      <c r="O804" s="303">
        <v>234.49226437279395</v>
      </c>
      <c r="P804" s="302">
        <v>0.47553258822965794</v>
      </c>
      <c r="Q804" s="301">
        <v>96.344003601449359</v>
      </c>
      <c r="R804" s="301">
        <v>56.108003514085844</v>
      </c>
      <c r="S804" s="300">
        <v>2.5750030522103802</v>
      </c>
      <c r="T804" s="891">
        <f t="shared" si="193"/>
        <v>64</v>
      </c>
      <c r="U804" s="1220">
        <v>0.58031868934631348</v>
      </c>
      <c r="W804" s="299">
        <v>796</v>
      </c>
      <c r="X804" s="298">
        <f>IF('Donor Sample'!N821="",,IF('Donor Sample'!N821="F",1,0))</f>
        <v>0</v>
      </c>
      <c r="Y804" s="298" t="str">
        <f>IF('Donor Sample'!O821="","",'Donor Sample'!O821)</f>
        <v/>
      </c>
      <c r="Z804" s="298" t="str">
        <f>IF(AND('Donor Sample'!O821="",'Donor Sample'!P821="",'Donor Sample'!Q821=""),"",IF('Donor Sample'!P821="",ROUND(AA804/($C$32+($AI804-0.5)*$C$31),0),'Donor Sample'!P821))</f>
        <v/>
      </c>
      <c r="AA804" s="297" t="str">
        <f>IF('Donor Sample'!Q821="","",'Donor Sample'!Q821)</f>
        <v/>
      </c>
      <c r="AB804" s="296" t="str">
        <f t="shared" si="184"/>
        <v/>
      </c>
      <c r="AC804" s="295" t="str">
        <f>IF('Donor Sample'!R821="","",'Donor Sample'!R821)</f>
        <v/>
      </c>
      <c r="AD804" s="294" t="str">
        <f>IF('Donor Sample'!S821="","",'Donor Sample'!S821/100)</f>
        <v/>
      </c>
      <c r="AE804" s="407" t="e">
        <f t="shared" si="194"/>
        <v>#VALUE!</v>
      </c>
      <c r="AF804" s="293" t="str">
        <f t="shared" si="195"/>
        <v/>
      </c>
      <c r="AG804" s="292" t="str">
        <f>IF('Donor Sample'!T821="","",'Donor Sample'!T821)</f>
        <v/>
      </c>
      <c r="AH804" s="891">
        <f t="shared" si="196"/>
        <v>2</v>
      </c>
      <c r="AI804" s="1220">
        <v>0.16901469230651855</v>
      </c>
      <c r="AJ804" s="1216"/>
    </row>
    <row r="805" spans="5:36">
      <c r="E805" s="299">
        <v>797</v>
      </c>
      <c r="F805" s="308">
        <f t="shared" ca="1" si="185"/>
        <v>2947.2584224562656</v>
      </c>
      <c r="G805" s="307">
        <f t="shared" ca="1" si="186"/>
        <v>279.89196018883393</v>
      </c>
      <c r="H805" s="306">
        <f t="shared" ca="1" si="187"/>
        <v>0.41775931849449238</v>
      </c>
      <c r="I805" s="305">
        <f t="shared" ca="1" si="189"/>
        <v>119.53206260295504</v>
      </c>
      <c r="J805" s="305">
        <f t="shared" ca="1" si="190"/>
        <v>55.009051100578155</v>
      </c>
      <c r="K805" s="292">
        <f t="shared" ca="1" si="188"/>
        <v>1.6239036134604976</v>
      </c>
      <c r="L805" s="1290">
        <f t="shared" ca="1" si="191"/>
        <v>27.809217306370098</v>
      </c>
      <c r="M805" s="299">
        <v>797</v>
      </c>
      <c r="N805" s="304">
        <f t="shared" si="192"/>
        <v>3819.1296221828698</v>
      </c>
      <c r="O805" s="303">
        <v>275.44707154723454</v>
      </c>
      <c r="P805" s="302">
        <v>0.43581259824388502</v>
      </c>
      <c r="Q805" s="301">
        <v>148.94351031904858</v>
      </c>
      <c r="R805" s="301">
        <v>62.167968057930779</v>
      </c>
      <c r="S805" s="300">
        <v>1.4061340644412834</v>
      </c>
      <c r="T805" s="891">
        <f t="shared" si="193"/>
        <v>256</v>
      </c>
      <c r="U805" s="1220">
        <v>0.91405433416366577</v>
      </c>
      <c r="W805" s="299">
        <v>797</v>
      </c>
      <c r="X805" s="298">
        <f>IF('Donor Sample'!N822="",,IF('Donor Sample'!N822="F",1,0))</f>
        <v>0</v>
      </c>
      <c r="Y805" s="298" t="str">
        <f>IF('Donor Sample'!O822="","",'Donor Sample'!O822)</f>
        <v/>
      </c>
      <c r="Z805" s="298" t="str">
        <f>IF(AND('Donor Sample'!O822="",'Donor Sample'!P822="",'Donor Sample'!Q822=""),"",IF('Donor Sample'!P822="",ROUND(AA805/($C$32+($AI805-0.5)*$C$31),0),'Donor Sample'!P822))</f>
        <v/>
      </c>
      <c r="AA805" s="297" t="str">
        <f>IF('Donor Sample'!Q822="","",'Donor Sample'!Q822)</f>
        <v/>
      </c>
      <c r="AB805" s="296" t="str">
        <f t="shared" si="184"/>
        <v/>
      </c>
      <c r="AC805" s="295" t="str">
        <f>IF('Donor Sample'!R822="","",'Donor Sample'!R822)</f>
        <v/>
      </c>
      <c r="AD805" s="294" t="str">
        <f>IF('Donor Sample'!S822="","",'Donor Sample'!S822/100)</f>
        <v/>
      </c>
      <c r="AE805" s="293" t="e">
        <f t="shared" si="194"/>
        <v>#VALUE!</v>
      </c>
      <c r="AF805" s="293" t="str">
        <f t="shared" si="195"/>
        <v/>
      </c>
      <c r="AG805" s="292" t="str">
        <f>IF('Donor Sample'!T822="","",'Donor Sample'!T822)</f>
        <v/>
      </c>
      <c r="AH805" s="891">
        <f t="shared" si="196"/>
        <v>32</v>
      </c>
      <c r="AI805" s="1220">
        <v>0.82423585653305054</v>
      </c>
      <c r="AJ805" s="1216"/>
    </row>
    <row r="806" spans="5:36">
      <c r="E806" s="299">
        <v>798</v>
      </c>
      <c r="F806" s="308">
        <f t="shared" ca="1" si="185"/>
        <v>3403.9593120672466</v>
      </c>
      <c r="G806" s="307">
        <f t="shared" ca="1" si="186"/>
        <v>273.33677145786982</v>
      </c>
      <c r="H806" s="306">
        <f t="shared" ca="1" si="187"/>
        <v>0.46211009758659477</v>
      </c>
      <c r="I806" s="305">
        <f t="shared" ca="1" si="189"/>
        <v>134.78194661577584</v>
      </c>
      <c r="J806" s="305">
        <f t="shared" ca="1" si="190"/>
        <v>51.728074398376819</v>
      </c>
      <c r="K806" s="292">
        <f t="shared" ca="1" si="188"/>
        <v>4.2668248491117557</v>
      </c>
      <c r="L806" s="1290">
        <f t="shared" ca="1" si="191"/>
        <v>35.4610637929758</v>
      </c>
      <c r="M806" s="299">
        <v>798</v>
      </c>
      <c r="N806" s="304">
        <f t="shared" si="192"/>
        <v>2823.5474622264346</v>
      </c>
      <c r="O806" s="303">
        <v>231.16747267660617</v>
      </c>
      <c r="P806" s="302">
        <v>0.37633242380886278</v>
      </c>
      <c r="Q806" s="301">
        <v>104.41917175328116</v>
      </c>
      <c r="R806" s="301">
        <v>48.714810437084076</v>
      </c>
      <c r="S806" s="300">
        <v>4.6610902174274038</v>
      </c>
      <c r="T806" s="891">
        <f t="shared" si="193"/>
        <v>64</v>
      </c>
      <c r="U806" s="1220">
        <v>0.48529613018035889</v>
      </c>
      <c r="W806" s="299">
        <v>798</v>
      </c>
      <c r="X806" s="298">
        <f>IF('Donor Sample'!N823="",,IF('Donor Sample'!N823="F",1,0))</f>
        <v>0</v>
      </c>
      <c r="Y806" s="298" t="str">
        <f>IF('Donor Sample'!O823="","",'Donor Sample'!O823)</f>
        <v/>
      </c>
      <c r="Z806" s="298" t="str">
        <f>IF(AND('Donor Sample'!O823="",'Donor Sample'!P823="",'Donor Sample'!Q823=""),"",IF('Donor Sample'!P823="",ROUND(AA806/($C$32+($AI806-0.5)*$C$31),0),'Donor Sample'!P823))</f>
        <v/>
      </c>
      <c r="AA806" s="297" t="str">
        <f>IF('Donor Sample'!Q823="","",'Donor Sample'!Q823)</f>
        <v/>
      </c>
      <c r="AB806" s="296" t="str">
        <f t="shared" si="184"/>
        <v/>
      </c>
      <c r="AC806" s="295" t="str">
        <f>IF('Donor Sample'!R823="","",'Donor Sample'!R823)</f>
        <v/>
      </c>
      <c r="AD806" s="294" t="str">
        <f>IF('Donor Sample'!S823="","",'Donor Sample'!S823/100)</f>
        <v/>
      </c>
      <c r="AE806" s="293" t="e">
        <f t="shared" si="194"/>
        <v>#VALUE!</v>
      </c>
      <c r="AF806" s="293" t="str">
        <f t="shared" si="195"/>
        <v/>
      </c>
      <c r="AG806" s="292" t="str">
        <f>IF('Donor Sample'!T823="","",'Donor Sample'!T823)</f>
        <v/>
      </c>
      <c r="AH806" s="891">
        <f t="shared" si="196"/>
        <v>2</v>
      </c>
      <c r="AI806" s="1220">
        <v>0.22594296932220459</v>
      </c>
      <c r="AJ806" s="1216"/>
    </row>
    <row r="807" spans="5:36">
      <c r="E807" s="299">
        <v>799</v>
      </c>
      <c r="F807" s="308">
        <f t="shared" ca="1" si="185"/>
        <v>3470.2167985886331</v>
      </c>
      <c r="G807" s="307">
        <f t="shared" ca="1" si="186"/>
        <v>240.7446361336732</v>
      </c>
      <c r="H807" s="306">
        <f t="shared" ca="1" si="187"/>
        <v>0.41411312816620371</v>
      </c>
      <c r="I807" s="305">
        <f t="shared" ca="1" si="189"/>
        <v>138.8941630563053</v>
      </c>
      <c r="J807" s="305">
        <f t="shared" ca="1" si="190"/>
        <v>51.856620157157614</v>
      </c>
      <c r="K807" s="292">
        <f t="shared" ca="1" si="188"/>
        <v>1.4996524263826605</v>
      </c>
      <c r="L807" s="1290">
        <f t="shared" ca="1" si="191"/>
        <v>36.362039926083277</v>
      </c>
      <c r="M807" s="299">
        <v>799</v>
      </c>
      <c r="N807" s="304">
        <f t="shared" si="192"/>
        <v>3467.7893306757442</v>
      </c>
      <c r="O807" s="303">
        <v>188.33389978802674</v>
      </c>
      <c r="P807" s="302">
        <v>0.36650612533559385</v>
      </c>
      <c r="Q807" s="301">
        <v>138.56261254877103</v>
      </c>
      <c r="R807" s="301">
        <v>51.90632777551216</v>
      </c>
      <c r="S807" s="300">
        <v>4.5010237637056765</v>
      </c>
      <c r="T807" s="891">
        <f t="shared" si="193"/>
        <v>2</v>
      </c>
      <c r="U807" s="1220">
        <v>0.24172455072402954</v>
      </c>
      <c r="W807" s="299">
        <v>799</v>
      </c>
      <c r="X807" s="298">
        <f>IF('Donor Sample'!N824="",,IF('Donor Sample'!N824="F",1,0))</f>
        <v>0</v>
      </c>
      <c r="Y807" s="298" t="str">
        <f>IF('Donor Sample'!O824="","",'Donor Sample'!O824)</f>
        <v/>
      </c>
      <c r="Z807" s="298" t="str">
        <f>IF(AND('Donor Sample'!O824="",'Donor Sample'!P824="",'Donor Sample'!Q824=""),"",IF('Donor Sample'!P824="",ROUND(AA807/($C$32+($AI807-0.5)*$C$31),0),'Donor Sample'!P824))</f>
        <v/>
      </c>
      <c r="AA807" s="297" t="str">
        <f>IF('Donor Sample'!Q824="","",'Donor Sample'!Q824)</f>
        <v/>
      </c>
      <c r="AB807" s="296" t="str">
        <f t="shared" si="184"/>
        <v/>
      </c>
      <c r="AC807" s="295" t="str">
        <f>IF('Donor Sample'!R824="","",'Donor Sample'!R824)</f>
        <v/>
      </c>
      <c r="AD807" s="294" t="str">
        <f>IF('Donor Sample'!S824="","",'Donor Sample'!S824/100)</f>
        <v/>
      </c>
      <c r="AE807" s="407" t="e">
        <f t="shared" si="194"/>
        <v>#VALUE!</v>
      </c>
      <c r="AF807" s="293" t="str">
        <f t="shared" si="195"/>
        <v/>
      </c>
      <c r="AG807" s="292" t="str">
        <f>IF('Donor Sample'!T824="","",'Donor Sample'!T824)</f>
        <v/>
      </c>
      <c r="AH807" s="891">
        <f t="shared" si="196"/>
        <v>2</v>
      </c>
      <c r="AI807" s="1220">
        <v>0.10620981454849243</v>
      </c>
      <c r="AJ807" s="1216"/>
    </row>
    <row r="808" spans="5:36">
      <c r="E808" s="299">
        <v>800</v>
      </c>
      <c r="F808" s="308">
        <f t="shared" ca="1" si="185"/>
        <v>3354.8176399333411</v>
      </c>
      <c r="G808" s="307">
        <f t="shared" ca="1" si="186"/>
        <v>235.11570418323714</v>
      </c>
      <c r="H808" s="306">
        <f t="shared" ca="1" si="187"/>
        <v>0.41807322511310574</v>
      </c>
      <c r="I808" s="305">
        <f t="shared" ca="1" si="189"/>
        <v>106.43964106238434</v>
      </c>
      <c r="J808" s="305">
        <f t="shared" ca="1" si="190"/>
        <v>58.389407382441725</v>
      </c>
      <c r="K808" s="292">
        <f t="shared" ca="1" si="188"/>
        <v>3.4614351197145363</v>
      </c>
      <c r="L808" s="1290">
        <f t="shared" ca="1" si="191"/>
        <v>21.978999827033753</v>
      </c>
      <c r="M808" s="299">
        <v>800</v>
      </c>
      <c r="N808" s="304">
        <f t="shared" si="192"/>
        <v>3293.5877493387379</v>
      </c>
      <c r="O808" s="303">
        <v>227.40038660816904</v>
      </c>
      <c r="P808" s="302">
        <v>0.47925635759232632</v>
      </c>
      <c r="Q808" s="301">
        <v>135.5957123906235</v>
      </c>
      <c r="R808" s="301">
        <v>49.059610953874824</v>
      </c>
      <c r="S808" s="300">
        <v>2.8057458271917302</v>
      </c>
      <c r="T808" s="891">
        <f t="shared" si="193"/>
        <v>8</v>
      </c>
      <c r="U808" s="1220">
        <v>0.99947786331176758</v>
      </c>
      <c r="W808" s="299">
        <v>800</v>
      </c>
      <c r="X808" s="298">
        <f>IF('Donor Sample'!N825="",,IF('Donor Sample'!N825="F",1,0))</f>
        <v>0</v>
      </c>
      <c r="Y808" s="298" t="str">
        <f>IF('Donor Sample'!O825="","",'Donor Sample'!O825)</f>
        <v/>
      </c>
      <c r="Z808" s="298" t="str">
        <f>IF(AND('Donor Sample'!O825="",'Donor Sample'!P825="",'Donor Sample'!Q825=""),"",IF('Donor Sample'!P825="",ROUND(AA808/($C$32+($AI808-0.5)*$C$31),0),'Donor Sample'!P825))</f>
        <v/>
      </c>
      <c r="AA808" s="297" t="str">
        <f>IF('Donor Sample'!Q825="","",'Donor Sample'!Q825)</f>
        <v/>
      </c>
      <c r="AB808" s="296" t="str">
        <f t="shared" si="184"/>
        <v/>
      </c>
      <c r="AC808" s="295" t="str">
        <f>IF('Donor Sample'!R825="","",'Donor Sample'!R825)</f>
        <v/>
      </c>
      <c r="AD808" s="294" t="str">
        <f>IF('Donor Sample'!S825="","",'Donor Sample'!S825/100)</f>
        <v/>
      </c>
      <c r="AE808" s="293" t="e">
        <f t="shared" si="194"/>
        <v>#VALUE!</v>
      </c>
      <c r="AF808" s="293" t="str">
        <f t="shared" si="195"/>
        <v/>
      </c>
      <c r="AG808" s="292" t="str">
        <f>IF('Donor Sample'!T825="","",'Donor Sample'!T825)</f>
        <v/>
      </c>
      <c r="AH808" s="891">
        <f t="shared" si="196"/>
        <v>64</v>
      </c>
      <c r="AI808" s="1220">
        <v>0.64674472808837891</v>
      </c>
      <c r="AJ808" s="1216"/>
    </row>
    <row r="809" spans="5:36">
      <c r="E809" s="299">
        <v>801</v>
      </c>
      <c r="F809" s="308">
        <f t="shared" ca="1" si="185"/>
        <v>3656.2220139711485</v>
      </c>
      <c r="G809" s="307">
        <f t="shared" ca="1" si="186"/>
        <v>281.18277216304659</v>
      </c>
      <c r="H809" s="306">
        <f t="shared" ca="1" si="187"/>
        <v>0.37726650560979708</v>
      </c>
      <c r="I809" s="305">
        <f t="shared" ca="1" si="189"/>
        <v>135.9639122961519</v>
      </c>
      <c r="J809" s="305">
        <f t="shared" ca="1" si="190"/>
        <v>56.199874915711455</v>
      </c>
      <c r="K809" s="292">
        <f t="shared" ca="1" si="188"/>
        <v>4.1420847743656459</v>
      </c>
      <c r="L809" s="1290">
        <f t="shared" ca="1" si="191"/>
        <v>30.3057903077116</v>
      </c>
      <c r="M809" s="299">
        <v>801</v>
      </c>
      <c r="N809" s="304">
        <f t="shared" si="192"/>
        <v>2979.2094473042134</v>
      </c>
      <c r="O809" s="303">
        <v>190.7590107538069</v>
      </c>
      <c r="P809" s="302">
        <v>0.46839592254019957</v>
      </c>
      <c r="Q809" s="301">
        <v>114.20494972272945</v>
      </c>
      <c r="R809" s="301">
        <v>49.011806415244209</v>
      </c>
      <c r="S809" s="300">
        <v>1.5746164894845793</v>
      </c>
      <c r="T809" s="891">
        <f t="shared" si="193"/>
        <v>2</v>
      </c>
      <c r="U809" s="1220">
        <v>0.33260220289230347</v>
      </c>
      <c r="W809" s="299">
        <v>801</v>
      </c>
      <c r="X809" s="298">
        <f>IF('Donor Sample'!N826="",,IF('Donor Sample'!N826="F",1,0))</f>
        <v>0</v>
      </c>
      <c r="Y809" s="298" t="str">
        <f>IF('Donor Sample'!O826="","",'Donor Sample'!O826)</f>
        <v/>
      </c>
      <c r="Z809" s="298" t="str">
        <f>IF(AND('Donor Sample'!O826="",'Donor Sample'!P826="",'Donor Sample'!Q826=""),"",IF('Donor Sample'!P826="",ROUND(AA809/($C$32+($AI809-0.5)*$C$31),0),'Donor Sample'!P826))</f>
        <v/>
      </c>
      <c r="AA809" s="297" t="str">
        <f>IF('Donor Sample'!Q826="","",'Donor Sample'!Q826)</f>
        <v/>
      </c>
      <c r="AB809" s="296" t="str">
        <f t="shared" si="184"/>
        <v/>
      </c>
      <c r="AC809" s="295" t="str">
        <f>IF('Donor Sample'!R826="","",'Donor Sample'!R826)</f>
        <v/>
      </c>
      <c r="AD809" s="294" t="str">
        <f>IF('Donor Sample'!S826="","",'Donor Sample'!S826/100)</f>
        <v/>
      </c>
      <c r="AE809" s="293" t="e">
        <f t="shared" si="194"/>
        <v>#VALUE!</v>
      </c>
      <c r="AF809" s="293" t="str">
        <f t="shared" si="195"/>
        <v/>
      </c>
      <c r="AG809" s="292" t="str">
        <f>IF('Donor Sample'!T826="","",'Donor Sample'!T826)</f>
        <v/>
      </c>
      <c r="AH809" s="891">
        <f t="shared" si="196"/>
        <v>2</v>
      </c>
      <c r="AI809" s="1220">
        <v>0.16863363981246948</v>
      </c>
      <c r="AJ809" s="1216"/>
    </row>
    <row r="810" spans="5:36">
      <c r="E810" s="299">
        <v>802</v>
      </c>
      <c r="F810" s="308">
        <f t="shared" ca="1" si="185"/>
        <v>4293.5058348826824</v>
      </c>
      <c r="G810" s="307">
        <f t="shared" ca="1" si="186"/>
        <v>198.15138513639184</v>
      </c>
      <c r="H810" s="306">
        <f t="shared" ca="1" si="187"/>
        <v>0.46527186913542473</v>
      </c>
      <c r="I810" s="305">
        <f t="shared" ca="1" si="189"/>
        <v>164.5221392544556</v>
      </c>
      <c r="J810" s="305">
        <f t="shared" ca="1" si="190"/>
        <v>59.828410620049574</v>
      </c>
      <c r="K810" s="292">
        <f t="shared" ca="1" si="188"/>
        <v>11.868621360404349</v>
      </c>
      <c r="L810" s="1290">
        <f t="shared" ca="1" si="191"/>
        <v>32.358030177931212</v>
      </c>
      <c r="M810" s="299">
        <v>802</v>
      </c>
      <c r="N810" s="304">
        <f t="shared" si="192"/>
        <v>3245.792484022938</v>
      </c>
      <c r="O810" s="303">
        <v>239.14141528333553</v>
      </c>
      <c r="P810" s="302">
        <v>0.41153051512082928</v>
      </c>
      <c r="Q810" s="301">
        <v>121.51154474504665</v>
      </c>
      <c r="R810" s="301">
        <v>52.455077659253178</v>
      </c>
      <c r="S810" s="300">
        <v>1.7336006582307724</v>
      </c>
      <c r="T810" s="891">
        <f t="shared" si="193"/>
        <v>64</v>
      </c>
      <c r="U810" s="1220">
        <v>0.4515763521194458</v>
      </c>
      <c r="W810" s="299">
        <v>802</v>
      </c>
      <c r="X810" s="298">
        <f>IF('Donor Sample'!N827="",,IF('Donor Sample'!N827="F",1,0))</f>
        <v>0</v>
      </c>
      <c r="Y810" s="298" t="str">
        <f>IF('Donor Sample'!O827="","",'Donor Sample'!O827)</f>
        <v/>
      </c>
      <c r="Z810" s="298" t="str">
        <f>IF(AND('Donor Sample'!O827="",'Donor Sample'!P827="",'Donor Sample'!Q827=""),"",IF('Donor Sample'!P827="",ROUND(AA810/($C$32+($AI810-0.5)*$C$31),0),'Donor Sample'!P827))</f>
        <v/>
      </c>
      <c r="AA810" s="297" t="str">
        <f>IF('Donor Sample'!Q827="","",'Donor Sample'!Q827)</f>
        <v/>
      </c>
      <c r="AB810" s="296" t="str">
        <f t="shared" si="184"/>
        <v/>
      </c>
      <c r="AC810" s="295" t="str">
        <f>IF('Donor Sample'!R827="","",'Donor Sample'!R827)</f>
        <v/>
      </c>
      <c r="AD810" s="294" t="str">
        <f>IF('Donor Sample'!S827="","",'Donor Sample'!S827/100)</f>
        <v/>
      </c>
      <c r="AE810" s="407" t="e">
        <f t="shared" si="194"/>
        <v>#VALUE!</v>
      </c>
      <c r="AF810" s="293" t="str">
        <f t="shared" si="195"/>
        <v/>
      </c>
      <c r="AG810" s="292" t="str">
        <f>IF('Donor Sample'!T827="","",'Donor Sample'!T827)</f>
        <v/>
      </c>
      <c r="AH810" s="891">
        <f t="shared" si="196"/>
        <v>2</v>
      </c>
      <c r="AI810" s="1220">
        <v>0.10998594760894775</v>
      </c>
      <c r="AJ810" s="1216"/>
    </row>
    <row r="811" spans="5:36">
      <c r="E811" s="299">
        <v>803</v>
      </c>
      <c r="F811" s="308">
        <f t="shared" ca="1" si="185"/>
        <v>2921.7062952438828</v>
      </c>
      <c r="G811" s="307">
        <f t="shared" ca="1" si="186"/>
        <v>256.83715818155127</v>
      </c>
      <c r="H811" s="306">
        <f t="shared" ca="1" si="187"/>
        <v>0.4523150975024342</v>
      </c>
      <c r="I811" s="305">
        <f t="shared" ca="1" si="189"/>
        <v>117.18041872026492</v>
      </c>
      <c r="J811" s="305">
        <f t="shared" ca="1" si="190"/>
        <v>55.19198973055682</v>
      </c>
      <c r="K811" s="292">
        <f t="shared" ca="1" si="188"/>
        <v>1.7999311084156655</v>
      </c>
      <c r="L811" s="1290">
        <f t="shared" ca="1" si="191"/>
        <v>27.081680018949442</v>
      </c>
      <c r="M811" s="299">
        <v>803</v>
      </c>
      <c r="N811" s="304">
        <f t="shared" si="192"/>
        <v>3188.3847195267444</v>
      </c>
      <c r="O811" s="303">
        <v>258.90201115230047</v>
      </c>
      <c r="P811" s="302">
        <v>0.41919867623795609</v>
      </c>
      <c r="Q811" s="301">
        <v>116.0330563547389</v>
      </c>
      <c r="R811" s="301">
        <v>60.071780450777901</v>
      </c>
      <c r="S811" s="300">
        <v>3.1618705575103085</v>
      </c>
      <c r="T811" s="891">
        <f t="shared" si="193"/>
        <v>256</v>
      </c>
      <c r="U811" s="1220">
        <v>0.9271124005317688</v>
      </c>
      <c r="W811" s="299">
        <v>803</v>
      </c>
      <c r="X811" s="298">
        <f>IF('Donor Sample'!N828="",,IF('Donor Sample'!N828="F",1,0))</f>
        <v>0</v>
      </c>
      <c r="Y811" s="298" t="str">
        <f>IF('Donor Sample'!O828="","",'Donor Sample'!O828)</f>
        <v/>
      </c>
      <c r="Z811" s="298" t="str">
        <f>IF(AND('Donor Sample'!O828="",'Donor Sample'!P828="",'Donor Sample'!Q828=""),"",IF('Donor Sample'!P828="",ROUND(AA811/($C$32+($AI811-0.5)*$C$31),0),'Donor Sample'!P828))</f>
        <v/>
      </c>
      <c r="AA811" s="297" t="str">
        <f>IF('Donor Sample'!Q828="","",'Donor Sample'!Q828)</f>
        <v/>
      </c>
      <c r="AB811" s="296" t="str">
        <f t="shared" si="184"/>
        <v/>
      </c>
      <c r="AC811" s="295" t="str">
        <f>IF('Donor Sample'!R828="","",'Donor Sample'!R828)</f>
        <v/>
      </c>
      <c r="AD811" s="294" t="str">
        <f>IF('Donor Sample'!S828="","",'Donor Sample'!S828/100)</f>
        <v/>
      </c>
      <c r="AE811" s="293" t="e">
        <f t="shared" si="194"/>
        <v>#VALUE!</v>
      </c>
      <c r="AF811" s="293" t="str">
        <f t="shared" si="195"/>
        <v/>
      </c>
      <c r="AG811" s="292" t="str">
        <f>IF('Donor Sample'!T828="","",'Donor Sample'!T828)</f>
        <v/>
      </c>
      <c r="AH811" s="891">
        <f t="shared" si="196"/>
        <v>16</v>
      </c>
      <c r="AI811" s="1220">
        <v>0.95237189531326294</v>
      </c>
      <c r="AJ811" s="1216"/>
    </row>
    <row r="812" spans="5:36">
      <c r="E812" s="299">
        <v>804</v>
      </c>
      <c r="F812" s="308">
        <f t="shared" ca="1" si="185"/>
        <v>2966.408147311975</v>
      </c>
      <c r="G812" s="307">
        <f t="shared" ca="1" si="186"/>
        <v>239.33593541156671</v>
      </c>
      <c r="H812" s="306">
        <f t="shared" ca="1" si="187"/>
        <v>0.44021560116715075</v>
      </c>
      <c r="I812" s="305">
        <f t="shared" ca="1" si="189"/>
        <v>100.33437132877719</v>
      </c>
      <c r="J812" s="305">
        <f t="shared" ca="1" si="190"/>
        <v>60.284795681451577</v>
      </c>
      <c r="K812" s="292">
        <f t="shared" ca="1" si="188"/>
        <v>3.520259666235122</v>
      </c>
      <c r="L812" s="1290">
        <f t="shared" ca="1" si="191"/>
        <v>19.435996237285973</v>
      </c>
      <c r="M812" s="299">
        <v>804</v>
      </c>
      <c r="N812" s="304">
        <f t="shared" si="192"/>
        <v>3132.3831421616442</v>
      </c>
      <c r="O812" s="303">
        <v>219.74156849294138</v>
      </c>
      <c r="P812" s="302">
        <v>0.41121549046231309</v>
      </c>
      <c r="Q812" s="301">
        <v>129.28472913836566</v>
      </c>
      <c r="R812" s="301">
        <v>55.732636208545138</v>
      </c>
      <c r="S812" s="300">
        <v>1.3335176183406827</v>
      </c>
      <c r="T812" s="891">
        <f t="shared" si="193"/>
        <v>64</v>
      </c>
      <c r="U812" s="1220">
        <v>0.4406287670135498</v>
      </c>
      <c r="W812" s="299">
        <v>804</v>
      </c>
      <c r="X812" s="298">
        <f>IF('Donor Sample'!N829="",,IF('Donor Sample'!N829="F",1,0))</f>
        <v>0</v>
      </c>
      <c r="Y812" s="298" t="str">
        <f>IF('Donor Sample'!O829="","",'Donor Sample'!O829)</f>
        <v/>
      </c>
      <c r="Z812" s="298" t="str">
        <f>IF(AND('Donor Sample'!O829="",'Donor Sample'!P829="",'Donor Sample'!Q829=""),"",IF('Donor Sample'!P829="",ROUND(AA812/($C$32+($AI812-0.5)*$C$31),0),'Donor Sample'!P829))</f>
        <v/>
      </c>
      <c r="AA812" s="297" t="str">
        <f>IF('Donor Sample'!Q829="","",'Donor Sample'!Q829)</f>
        <v/>
      </c>
      <c r="AB812" s="296" t="str">
        <f t="shared" si="184"/>
        <v/>
      </c>
      <c r="AC812" s="295" t="str">
        <f>IF('Donor Sample'!R829="","",'Donor Sample'!R829)</f>
        <v/>
      </c>
      <c r="AD812" s="294" t="str">
        <f>IF('Donor Sample'!S829="","",'Donor Sample'!S829/100)</f>
        <v/>
      </c>
      <c r="AE812" s="293" t="e">
        <f t="shared" si="194"/>
        <v>#VALUE!</v>
      </c>
      <c r="AF812" s="293" t="str">
        <f t="shared" si="195"/>
        <v/>
      </c>
      <c r="AG812" s="292" t="str">
        <f>IF('Donor Sample'!T829="","",'Donor Sample'!T829)</f>
        <v/>
      </c>
      <c r="AH812" s="891">
        <f t="shared" si="196"/>
        <v>256</v>
      </c>
      <c r="AI812" s="1220">
        <v>0.86338543891906738</v>
      </c>
      <c r="AJ812" s="1216"/>
    </row>
    <row r="813" spans="5:36">
      <c r="E813" s="299">
        <v>805</v>
      </c>
      <c r="F813" s="308">
        <f t="shared" ca="1" si="185"/>
        <v>3302.8543610256966</v>
      </c>
      <c r="G813" s="307">
        <f t="shared" ca="1" si="186"/>
        <v>249.24602923457522</v>
      </c>
      <c r="H813" s="306">
        <f t="shared" ca="1" si="187"/>
        <v>0.37006223862998411</v>
      </c>
      <c r="I813" s="305">
        <f t="shared" ca="1" si="189"/>
        <v>120.20787009926397</v>
      </c>
      <c r="J813" s="305">
        <f t="shared" ca="1" si="190"/>
        <v>53.945677470173081</v>
      </c>
      <c r="K813" s="292">
        <f t="shared" ca="1" si="188"/>
        <v>1.757167010102469</v>
      </c>
      <c r="L813" s="1290">
        <f t="shared" ca="1" si="191"/>
        <v>29.079856448880467</v>
      </c>
      <c r="M813" s="299">
        <v>805</v>
      </c>
      <c r="N813" s="304">
        <f t="shared" si="192"/>
        <v>4074.1083658037237</v>
      </c>
      <c r="O813" s="303">
        <v>326.1406984554132</v>
      </c>
      <c r="P813" s="302">
        <v>0.4172637912617656</v>
      </c>
      <c r="Q813" s="301">
        <v>141.2849167248728</v>
      </c>
      <c r="R813" s="301">
        <v>61.630293497756099</v>
      </c>
      <c r="S813" s="300">
        <v>1.3957468926764165</v>
      </c>
      <c r="T813" s="891">
        <f t="shared" si="193"/>
        <v>64</v>
      </c>
      <c r="U813" s="1220">
        <v>0.76720613241195679</v>
      </c>
      <c r="W813" s="299">
        <v>805</v>
      </c>
      <c r="X813" s="298">
        <f>IF('Donor Sample'!N830="",,IF('Donor Sample'!N830="F",1,0))</f>
        <v>0</v>
      </c>
      <c r="Y813" s="298" t="str">
        <f>IF('Donor Sample'!O830="","",'Donor Sample'!O830)</f>
        <v/>
      </c>
      <c r="Z813" s="298" t="str">
        <f>IF(AND('Donor Sample'!O830="",'Donor Sample'!P830="",'Donor Sample'!Q830=""),"",IF('Donor Sample'!P830="",ROUND(AA813/($C$32+($AI813-0.5)*$C$31),0),'Donor Sample'!P830))</f>
        <v/>
      </c>
      <c r="AA813" s="297" t="str">
        <f>IF('Donor Sample'!Q830="","",'Donor Sample'!Q830)</f>
        <v/>
      </c>
      <c r="AB813" s="296" t="str">
        <f t="shared" si="184"/>
        <v/>
      </c>
      <c r="AC813" s="295" t="str">
        <f>IF('Donor Sample'!R830="","",'Donor Sample'!R830)</f>
        <v/>
      </c>
      <c r="AD813" s="294" t="str">
        <f>IF('Donor Sample'!S830="","",'Donor Sample'!S830/100)</f>
        <v/>
      </c>
      <c r="AE813" s="407" t="e">
        <f t="shared" si="194"/>
        <v>#VALUE!</v>
      </c>
      <c r="AF813" s="293" t="str">
        <f t="shared" si="195"/>
        <v/>
      </c>
      <c r="AG813" s="292" t="str">
        <f>IF('Donor Sample'!T830="","",'Donor Sample'!T830)</f>
        <v/>
      </c>
      <c r="AH813" s="891">
        <f t="shared" si="196"/>
        <v>64</v>
      </c>
      <c r="AI813" s="1220">
        <v>0.50333064794540405</v>
      </c>
      <c r="AJ813" s="1216"/>
    </row>
    <row r="814" spans="5:36">
      <c r="E814" s="299">
        <v>806</v>
      </c>
      <c r="F814" s="308">
        <f t="shared" ca="1" si="185"/>
        <v>3007.0693360843238</v>
      </c>
      <c r="G814" s="307">
        <f t="shared" ca="1" si="186"/>
        <v>244.11015369418982</v>
      </c>
      <c r="H814" s="306">
        <f t="shared" ca="1" si="187"/>
        <v>0.36671800304462437</v>
      </c>
      <c r="I814" s="305">
        <f t="shared" ca="1" si="189"/>
        <v>93.391099854361741</v>
      </c>
      <c r="J814" s="305">
        <f t="shared" ca="1" si="190"/>
        <v>55.711317489503415</v>
      </c>
      <c r="K814" s="292">
        <f t="shared" ca="1" si="188"/>
        <v>4.5923975069058223</v>
      </c>
      <c r="L814" s="1290">
        <f t="shared" ca="1" si="191"/>
        <v>21.183186567383977</v>
      </c>
      <c r="M814" s="299">
        <v>806</v>
      </c>
      <c r="N814" s="304">
        <f t="shared" si="192"/>
        <v>3589.5751507968698</v>
      </c>
      <c r="O814" s="303">
        <v>236.21945189834364</v>
      </c>
      <c r="P814" s="302">
        <v>0.40601225023541276</v>
      </c>
      <c r="Q814" s="301">
        <v>144.35715887585798</v>
      </c>
      <c r="R814" s="301">
        <v>52.660545882487668</v>
      </c>
      <c r="S814" s="300">
        <v>2.2059874850249108</v>
      </c>
      <c r="T814" s="891">
        <f t="shared" si="193"/>
        <v>2</v>
      </c>
      <c r="U814" s="1220">
        <v>0.12359464168548584</v>
      </c>
      <c r="W814" s="299">
        <v>806</v>
      </c>
      <c r="X814" s="298">
        <f>IF('Donor Sample'!N831="",,IF('Donor Sample'!N831="F",1,0))</f>
        <v>0</v>
      </c>
      <c r="Y814" s="298" t="str">
        <f>IF('Donor Sample'!O831="","",'Donor Sample'!O831)</f>
        <v/>
      </c>
      <c r="Z814" s="298" t="str">
        <f>IF(AND('Donor Sample'!O831="",'Donor Sample'!P831="",'Donor Sample'!Q831=""),"",IF('Donor Sample'!P831="",ROUND(AA814/($C$32+($AI814-0.5)*$C$31),0),'Donor Sample'!P831))</f>
        <v/>
      </c>
      <c r="AA814" s="297" t="str">
        <f>IF('Donor Sample'!Q831="","",'Donor Sample'!Q831)</f>
        <v/>
      </c>
      <c r="AB814" s="296" t="str">
        <f t="shared" si="184"/>
        <v/>
      </c>
      <c r="AC814" s="295" t="str">
        <f>IF('Donor Sample'!R831="","",'Donor Sample'!R831)</f>
        <v/>
      </c>
      <c r="AD814" s="294" t="str">
        <f>IF('Donor Sample'!S831="","",'Donor Sample'!S831/100)</f>
        <v/>
      </c>
      <c r="AE814" s="293" t="e">
        <f t="shared" si="194"/>
        <v>#VALUE!</v>
      </c>
      <c r="AF814" s="293" t="str">
        <f t="shared" si="195"/>
        <v/>
      </c>
      <c r="AG814" s="292" t="str">
        <f>IF('Donor Sample'!T831="","",'Donor Sample'!T831)</f>
        <v/>
      </c>
      <c r="AH814" s="891">
        <f t="shared" si="196"/>
        <v>4</v>
      </c>
      <c r="AI814" s="1220">
        <v>0.40203750133514404</v>
      </c>
      <c r="AJ814" s="1216"/>
    </row>
    <row r="815" spans="5:36">
      <c r="E815" s="299">
        <v>807</v>
      </c>
      <c r="F815" s="308">
        <f t="shared" ca="1" si="185"/>
        <v>3309.4966709072551</v>
      </c>
      <c r="G815" s="307">
        <f t="shared" ca="1" si="186"/>
        <v>270.96582470811774</v>
      </c>
      <c r="H815" s="306">
        <f t="shared" ca="1" si="187"/>
        <v>0.42454122510354536</v>
      </c>
      <c r="I815" s="305">
        <f t="shared" ca="1" si="189"/>
        <v>122.33083040712668</v>
      </c>
      <c r="J815" s="305">
        <f t="shared" ca="1" si="190"/>
        <v>53.477650710917594</v>
      </c>
      <c r="K815" s="292">
        <f t="shared" ca="1" si="188"/>
        <v>1.5137105146695755</v>
      </c>
      <c r="L815" s="1290">
        <f t="shared" ca="1" si="191"/>
        <v>30.113687711728282</v>
      </c>
      <c r="M815" s="299">
        <v>807</v>
      </c>
      <c r="N815" s="304">
        <f t="shared" si="192"/>
        <v>3390.5667081616648</v>
      </c>
      <c r="O815" s="303">
        <v>235.88249417921833</v>
      </c>
      <c r="P815" s="302">
        <v>0.35082208259874065</v>
      </c>
      <c r="Q815" s="301">
        <v>113.83868034282844</v>
      </c>
      <c r="R815" s="301">
        <v>57.189503338954687</v>
      </c>
      <c r="S815" s="300">
        <v>13.069518243387053</v>
      </c>
      <c r="T815" s="891">
        <f t="shared" si="193"/>
        <v>2</v>
      </c>
      <c r="U815" s="1220">
        <v>0.23356729745864868</v>
      </c>
      <c r="W815" s="299">
        <v>807</v>
      </c>
      <c r="X815" s="298">
        <f>IF('Donor Sample'!N832="",,IF('Donor Sample'!N832="F",1,0))</f>
        <v>0</v>
      </c>
      <c r="Y815" s="298" t="str">
        <f>IF('Donor Sample'!O832="","",'Donor Sample'!O832)</f>
        <v/>
      </c>
      <c r="Z815" s="298" t="str">
        <f>IF(AND('Donor Sample'!O832="",'Donor Sample'!P832="",'Donor Sample'!Q832=""),"",IF('Donor Sample'!P832="",ROUND(AA815/($C$32+($AI815-0.5)*$C$31),0),'Donor Sample'!P832))</f>
        <v/>
      </c>
      <c r="AA815" s="297" t="str">
        <f>IF('Donor Sample'!Q832="","",'Donor Sample'!Q832)</f>
        <v/>
      </c>
      <c r="AB815" s="296" t="str">
        <f t="shared" si="184"/>
        <v/>
      </c>
      <c r="AC815" s="295" t="str">
        <f>IF('Donor Sample'!R832="","",'Donor Sample'!R832)</f>
        <v/>
      </c>
      <c r="AD815" s="294" t="str">
        <f>IF('Donor Sample'!S832="","",'Donor Sample'!S832/100)</f>
        <v/>
      </c>
      <c r="AE815" s="293" t="e">
        <f t="shared" si="194"/>
        <v>#VALUE!</v>
      </c>
      <c r="AF815" s="293" t="str">
        <f t="shared" si="195"/>
        <v/>
      </c>
      <c r="AG815" s="292" t="str">
        <f>IF('Donor Sample'!T832="","",'Donor Sample'!T832)</f>
        <v/>
      </c>
      <c r="AH815" s="891">
        <f t="shared" si="196"/>
        <v>64</v>
      </c>
      <c r="AI815" s="1220">
        <v>0.43778949975967407</v>
      </c>
      <c r="AJ815" s="1216"/>
    </row>
    <row r="816" spans="5:36">
      <c r="E816" s="299">
        <v>808</v>
      </c>
      <c r="F816" s="308">
        <f t="shared" ca="1" si="185"/>
        <v>2975.5119615693984</v>
      </c>
      <c r="G816" s="307">
        <f t="shared" ca="1" si="186"/>
        <v>243.21771938256259</v>
      </c>
      <c r="H816" s="306">
        <f t="shared" ca="1" si="187"/>
        <v>0.42936345898611888</v>
      </c>
      <c r="I816" s="305">
        <f t="shared" ca="1" si="189"/>
        <v>112.07965624841988</v>
      </c>
      <c r="J816" s="305">
        <f t="shared" ca="1" si="190"/>
        <v>49.634706988632978</v>
      </c>
      <c r="K816" s="292">
        <f t="shared" ca="1" si="188"/>
        <v>1.421896009925772</v>
      </c>
      <c r="L816" s="1290">
        <f t="shared" ca="1" si="191"/>
        <v>32.027904478123347</v>
      </c>
      <c r="M816" s="299">
        <v>808</v>
      </c>
      <c r="N816" s="304">
        <f t="shared" si="192"/>
        <v>3287.2690674454579</v>
      </c>
      <c r="O816" s="303">
        <v>241.27003520798661</v>
      </c>
      <c r="P816" s="302">
        <v>0.40664899776641422</v>
      </c>
      <c r="Q816" s="301">
        <v>101.34896228303006</v>
      </c>
      <c r="R816" s="301">
        <v>58.499385134315382</v>
      </c>
      <c r="S816" s="300">
        <v>1.5657681672459822</v>
      </c>
      <c r="T816" s="891">
        <f t="shared" si="193"/>
        <v>32</v>
      </c>
      <c r="U816" s="1220">
        <v>0.80373477935791016</v>
      </c>
      <c r="W816" s="299">
        <v>808</v>
      </c>
      <c r="X816" s="298">
        <f>IF('Donor Sample'!N833="",,IF('Donor Sample'!N833="F",1,0))</f>
        <v>0</v>
      </c>
      <c r="Y816" s="298" t="str">
        <f>IF('Donor Sample'!O833="","",'Donor Sample'!O833)</f>
        <v/>
      </c>
      <c r="Z816" s="298" t="str">
        <f>IF(AND('Donor Sample'!O833="",'Donor Sample'!P833="",'Donor Sample'!Q833=""),"",IF('Donor Sample'!P833="",ROUND(AA816/($C$32+($AI816-0.5)*$C$31),0),'Donor Sample'!P833))</f>
        <v/>
      </c>
      <c r="AA816" s="297" t="str">
        <f>IF('Donor Sample'!Q833="","",'Donor Sample'!Q833)</f>
        <v/>
      </c>
      <c r="AB816" s="296" t="str">
        <f t="shared" si="184"/>
        <v/>
      </c>
      <c r="AC816" s="295" t="str">
        <f>IF('Donor Sample'!R833="","",'Donor Sample'!R833)</f>
        <v/>
      </c>
      <c r="AD816" s="294" t="str">
        <f>IF('Donor Sample'!S833="","",'Donor Sample'!S833/100)</f>
        <v/>
      </c>
      <c r="AE816" s="407" t="e">
        <f t="shared" si="194"/>
        <v>#VALUE!</v>
      </c>
      <c r="AF816" s="293" t="str">
        <f t="shared" si="195"/>
        <v/>
      </c>
      <c r="AG816" s="292" t="str">
        <f>IF('Donor Sample'!T833="","",'Donor Sample'!T833)</f>
        <v/>
      </c>
      <c r="AH816" s="891">
        <f t="shared" si="196"/>
        <v>64</v>
      </c>
      <c r="AI816" s="1220">
        <v>0.57241582870483398</v>
      </c>
      <c r="AJ816" s="1216"/>
    </row>
    <row r="817" spans="5:36">
      <c r="E817" s="299">
        <v>809</v>
      </c>
      <c r="F817" s="308">
        <f t="shared" ca="1" si="185"/>
        <v>3239.2601242233741</v>
      </c>
      <c r="G817" s="307">
        <f t="shared" ca="1" si="186"/>
        <v>247.30311218322836</v>
      </c>
      <c r="H817" s="306">
        <f t="shared" ca="1" si="187"/>
        <v>0.42187444944166158</v>
      </c>
      <c r="I817" s="305">
        <f t="shared" ca="1" si="189"/>
        <v>122.42427634501406</v>
      </c>
      <c r="J817" s="305">
        <f t="shared" ca="1" si="190"/>
        <v>52.051833237346415</v>
      </c>
      <c r="K817" s="292">
        <f t="shared" ca="1" si="188"/>
        <v>2.0181679621851445</v>
      </c>
      <c r="L817" s="1290">
        <f t="shared" ca="1" si="191"/>
        <v>31.810327857281937</v>
      </c>
      <c r="M817" s="299">
        <v>809</v>
      </c>
      <c r="N817" s="304">
        <f t="shared" si="192"/>
        <v>2771.5065600921266</v>
      </c>
      <c r="O817" s="303">
        <v>226.3250694516021</v>
      </c>
      <c r="P817" s="302">
        <v>0.45523005182575654</v>
      </c>
      <c r="Q817" s="301">
        <v>96.178974325690774</v>
      </c>
      <c r="R817" s="301">
        <v>50.260199023778043</v>
      </c>
      <c r="S817" s="300">
        <v>10.957430311970533</v>
      </c>
      <c r="T817" s="891">
        <f t="shared" si="193"/>
        <v>2</v>
      </c>
      <c r="U817" s="1220">
        <v>8.0475986003875732E-2</v>
      </c>
      <c r="W817" s="299">
        <v>809</v>
      </c>
      <c r="X817" s="298">
        <f>IF('Donor Sample'!N834="",,IF('Donor Sample'!N834="F",1,0))</f>
        <v>0</v>
      </c>
      <c r="Y817" s="298" t="str">
        <f>IF('Donor Sample'!O834="","",'Donor Sample'!O834)</f>
        <v/>
      </c>
      <c r="Z817" s="298" t="str">
        <f>IF(AND('Donor Sample'!O834="",'Donor Sample'!P834="",'Donor Sample'!Q834=""),"",IF('Donor Sample'!P834="",ROUND(AA817/($C$32+($AI817-0.5)*$C$31),0),'Donor Sample'!P834))</f>
        <v/>
      </c>
      <c r="AA817" s="297" t="str">
        <f>IF('Donor Sample'!Q834="","",'Donor Sample'!Q834)</f>
        <v/>
      </c>
      <c r="AB817" s="296" t="str">
        <f t="shared" si="184"/>
        <v/>
      </c>
      <c r="AC817" s="295" t="str">
        <f>IF('Donor Sample'!R834="","",'Donor Sample'!R834)</f>
        <v/>
      </c>
      <c r="AD817" s="294" t="str">
        <f>IF('Donor Sample'!S834="","",'Donor Sample'!S834/100)</f>
        <v/>
      </c>
      <c r="AE817" s="293" t="e">
        <f t="shared" si="194"/>
        <v>#VALUE!</v>
      </c>
      <c r="AF817" s="293" t="str">
        <f t="shared" si="195"/>
        <v/>
      </c>
      <c r="AG817" s="292" t="str">
        <f>IF('Donor Sample'!T834="","",'Donor Sample'!T834)</f>
        <v/>
      </c>
      <c r="AH817" s="891">
        <f t="shared" si="196"/>
        <v>2</v>
      </c>
      <c r="AI817" s="1220">
        <v>0.13038986921310425</v>
      </c>
      <c r="AJ817" s="1216"/>
    </row>
    <row r="818" spans="5:36">
      <c r="E818" s="299">
        <v>810</v>
      </c>
      <c r="F818" s="308">
        <f t="shared" ca="1" si="185"/>
        <v>3351.0747009776874</v>
      </c>
      <c r="G818" s="307">
        <f t="shared" ca="1" si="186"/>
        <v>213.89948575802538</v>
      </c>
      <c r="H818" s="306">
        <f t="shared" ca="1" si="187"/>
        <v>0.37909783419666387</v>
      </c>
      <c r="I818" s="305">
        <f t="shared" ca="1" si="189"/>
        <v>139.92907913678636</v>
      </c>
      <c r="J818" s="305">
        <f t="shared" ca="1" si="190"/>
        <v>48.926093778801743</v>
      </c>
      <c r="K818" s="292">
        <f t="shared" ca="1" si="188"/>
        <v>7.0034162478035098</v>
      </c>
      <c r="L818" s="1290">
        <f t="shared" ca="1" si="191"/>
        <v>41.152815050977033</v>
      </c>
      <c r="M818" s="299">
        <v>810</v>
      </c>
      <c r="N818" s="304">
        <f t="shared" si="192"/>
        <v>3493.520349738119</v>
      </c>
      <c r="O818" s="303">
        <v>274.4915798134121</v>
      </c>
      <c r="P818" s="302">
        <v>0.45278833675049951</v>
      </c>
      <c r="Q818" s="301">
        <v>133.09472024787436</v>
      </c>
      <c r="R818" s="301">
        <v>53.993608011986161</v>
      </c>
      <c r="S818" s="300">
        <v>1.5077446205790361</v>
      </c>
      <c r="T818" s="891">
        <f t="shared" si="193"/>
        <v>2</v>
      </c>
      <c r="U818" s="1220">
        <v>0.226021409034729</v>
      </c>
      <c r="W818" s="299">
        <v>810</v>
      </c>
      <c r="X818" s="298">
        <f>IF('Donor Sample'!N835="",,IF('Donor Sample'!N835="F",1,0))</f>
        <v>0</v>
      </c>
      <c r="Y818" s="298" t="str">
        <f>IF('Donor Sample'!O835="","",'Donor Sample'!O835)</f>
        <v/>
      </c>
      <c r="Z818" s="298" t="str">
        <f>IF(AND('Donor Sample'!O835="",'Donor Sample'!P835="",'Donor Sample'!Q835=""),"",IF('Donor Sample'!P835="",ROUND(AA818/($C$32+($AI818-0.5)*$C$31),0),'Donor Sample'!P835))</f>
        <v/>
      </c>
      <c r="AA818" s="297" t="str">
        <f>IF('Donor Sample'!Q835="","",'Donor Sample'!Q835)</f>
        <v/>
      </c>
      <c r="AB818" s="296" t="str">
        <f t="shared" si="184"/>
        <v/>
      </c>
      <c r="AC818" s="295" t="str">
        <f>IF('Donor Sample'!R835="","",'Donor Sample'!R835)</f>
        <v/>
      </c>
      <c r="AD818" s="294" t="str">
        <f>IF('Donor Sample'!S835="","",'Donor Sample'!S835/100)</f>
        <v/>
      </c>
      <c r="AE818" s="293" t="e">
        <f t="shared" si="194"/>
        <v>#VALUE!</v>
      </c>
      <c r="AF818" s="293" t="str">
        <f t="shared" si="195"/>
        <v/>
      </c>
      <c r="AG818" s="292" t="str">
        <f>IF('Donor Sample'!T835="","",'Donor Sample'!T835)</f>
        <v/>
      </c>
      <c r="AH818" s="891">
        <f t="shared" si="196"/>
        <v>64</v>
      </c>
      <c r="AI818" s="1220">
        <v>0.50840866565704346</v>
      </c>
      <c r="AJ818" s="1216"/>
    </row>
    <row r="819" spans="5:36">
      <c r="E819" s="299">
        <v>811</v>
      </c>
      <c r="F819" s="308">
        <f t="shared" ca="1" si="185"/>
        <v>3101.2024057906983</v>
      </c>
      <c r="G819" s="307">
        <f t="shared" ca="1" si="186"/>
        <v>204.29742115737531</v>
      </c>
      <c r="H819" s="306">
        <f t="shared" ca="1" si="187"/>
        <v>0.44430869875276435</v>
      </c>
      <c r="I819" s="305">
        <f t="shared" ca="1" si="189"/>
        <v>102.20901501135964</v>
      </c>
      <c r="J819" s="305">
        <f t="shared" ca="1" si="190"/>
        <v>55.086089178508274</v>
      </c>
      <c r="K819" s="292">
        <f t="shared" ca="1" si="188"/>
        <v>2.5393032953628483</v>
      </c>
      <c r="L819" s="1290">
        <f t="shared" ca="1" si="191"/>
        <v>23.712534755722452</v>
      </c>
      <c r="M819" s="299">
        <v>811</v>
      </c>
      <c r="N819" s="304">
        <f t="shared" si="192"/>
        <v>3277.4846168135414</v>
      </c>
      <c r="O819" s="303">
        <v>317.58936488975269</v>
      </c>
      <c r="P819" s="302">
        <v>0.40358837036123085</v>
      </c>
      <c r="Q819" s="301">
        <v>126.44949670165886</v>
      </c>
      <c r="R819" s="301">
        <v>51.627987268585123</v>
      </c>
      <c r="S819" s="300">
        <v>2.4195431340669704</v>
      </c>
      <c r="T819" s="891">
        <f t="shared" si="193"/>
        <v>2</v>
      </c>
      <c r="U819" s="1220">
        <v>4.9578011035919189E-2</v>
      </c>
      <c r="W819" s="299">
        <v>811</v>
      </c>
      <c r="X819" s="298">
        <f>IF('Donor Sample'!N836="",,IF('Donor Sample'!N836="F",1,0))</f>
        <v>0</v>
      </c>
      <c r="Y819" s="298" t="str">
        <f>IF('Donor Sample'!O836="","",'Donor Sample'!O836)</f>
        <v/>
      </c>
      <c r="Z819" s="298" t="str">
        <f>IF(AND('Donor Sample'!O836="",'Donor Sample'!P836="",'Donor Sample'!Q836=""),"",IF('Donor Sample'!P836="",ROUND(AA819/($C$32+($AI819-0.5)*$C$31),0),'Donor Sample'!P836))</f>
        <v/>
      </c>
      <c r="AA819" s="297" t="str">
        <f>IF('Donor Sample'!Q836="","",'Donor Sample'!Q836)</f>
        <v/>
      </c>
      <c r="AB819" s="296" t="str">
        <f t="shared" si="184"/>
        <v/>
      </c>
      <c r="AC819" s="295" t="str">
        <f>IF('Donor Sample'!R836="","",'Donor Sample'!R836)</f>
        <v/>
      </c>
      <c r="AD819" s="294" t="str">
        <f>IF('Donor Sample'!S836="","",'Donor Sample'!S836/100)</f>
        <v/>
      </c>
      <c r="AE819" s="407" t="e">
        <f t="shared" si="194"/>
        <v>#VALUE!</v>
      </c>
      <c r="AF819" s="293" t="str">
        <f t="shared" si="195"/>
        <v/>
      </c>
      <c r="AG819" s="292" t="str">
        <f>IF('Donor Sample'!T836="","",'Donor Sample'!T836)</f>
        <v/>
      </c>
      <c r="AH819" s="891">
        <f t="shared" si="196"/>
        <v>4</v>
      </c>
      <c r="AI819" s="1220">
        <v>0.40602952241897583</v>
      </c>
      <c r="AJ819" s="1216"/>
    </row>
    <row r="820" spans="5:36">
      <c r="E820" s="299">
        <v>812</v>
      </c>
      <c r="F820" s="308">
        <f t="shared" ca="1" si="185"/>
        <v>3990.5941169265197</v>
      </c>
      <c r="G820" s="307">
        <f t="shared" ca="1" si="186"/>
        <v>291.49567039064641</v>
      </c>
      <c r="H820" s="306">
        <f t="shared" ca="1" si="187"/>
        <v>0.37672537907108683</v>
      </c>
      <c r="I820" s="305">
        <f t="shared" ca="1" si="189"/>
        <v>138.72677437717607</v>
      </c>
      <c r="J820" s="305">
        <f t="shared" ca="1" si="190"/>
        <v>60.948899819860777</v>
      </c>
      <c r="K820" s="292">
        <f t="shared" ca="1" si="188"/>
        <v>5.4873948382055842</v>
      </c>
      <c r="L820" s="1290">
        <f t="shared" ca="1" si="191"/>
        <v>26.290642895562183</v>
      </c>
      <c r="M820" s="299">
        <v>812</v>
      </c>
      <c r="N820" s="304">
        <f t="shared" si="192"/>
        <v>3883.8371014810241</v>
      </c>
      <c r="O820" s="303">
        <v>273.74517869574368</v>
      </c>
      <c r="P820" s="302">
        <v>0.36097377718332396</v>
      </c>
      <c r="Q820" s="301">
        <v>122.13468330917011</v>
      </c>
      <c r="R820" s="301">
        <v>62.907500637511603</v>
      </c>
      <c r="S820" s="300">
        <v>3.3971590298769616</v>
      </c>
      <c r="T820" s="891">
        <f t="shared" si="193"/>
        <v>2</v>
      </c>
      <c r="U820" s="1220">
        <v>0.23582959175109863</v>
      </c>
      <c r="W820" s="299">
        <v>812</v>
      </c>
      <c r="X820" s="298">
        <f>IF('Donor Sample'!N837="",,IF('Donor Sample'!N837="F",1,0))</f>
        <v>0</v>
      </c>
      <c r="Y820" s="298" t="str">
        <f>IF('Donor Sample'!O837="","",'Donor Sample'!O837)</f>
        <v/>
      </c>
      <c r="Z820" s="298" t="str">
        <f>IF(AND('Donor Sample'!O837="",'Donor Sample'!P837="",'Donor Sample'!Q837=""),"",IF('Donor Sample'!P837="",ROUND(AA820/($C$32+($AI820-0.5)*$C$31),0),'Donor Sample'!P837))</f>
        <v/>
      </c>
      <c r="AA820" s="297" t="str">
        <f>IF('Donor Sample'!Q837="","",'Donor Sample'!Q837)</f>
        <v/>
      </c>
      <c r="AB820" s="296" t="str">
        <f t="shared" si="184"/>
        <v/>
      </c>
      <c r="AC820" s="295" t="str">
        <f>IF('Donor Sample'!R837="","",'Donor Sample'!R837)</f>
        <v/>
      </c>
      <c r="AD820" s="294" t="str">
        <f>IF('Donor Sample'!S837="","",'Donor Sample'!S837/100)</f>
        <v/>
      </c>
      <c r="AE820" s="293" t="e">
        <f t="shared" si="194"/>
        <v>#VALUE!</v>
      </c>
      <c r="AF820" s="293" t="str">
        <f t="shared" si="195"/>
        <v/>
      </c>
      <c r="AG820" s="292" t="str">
        <f>IF('Donor Sample'!T837="","",'Donor Sample'!T837)</f>
        <v/>
      </c>
      <c r="AH820" s="891">
        <f t="shared" si="196"/>
        <v>2</v>
      </c>
      <c r="AI820" s="1220">
        <v>5.5635213851928711E-2</v>
      </c>
      <c r="AJ820" s="1216"/>
    </row>
    <row r="821" spans="5:36">
      <c r="E821" s="299">
        <v>813</v>
      </c>
      <c r="F821" s="308">
        <f t="shared" ca="1" si="185"/>
        <v>3525.9333006810684</v>
      </c>
      <c r="G821" s="307">
        <f t="shared" ca="1" si="186"/>
        <v>301.35213859874284</v>
      </c>
      <c r="H821" s="306">
        <f t="shared" ca="1" si="187"/>
        <v>0.36452719486643942</v>
      </c>
      <c r="I821" s="305">
        <f t="shared" ca="1" si="189"/>
        <v>110.50870475015398</v>
      </c>
      <c r="J821" s="305">
        <f t="shared" ca="1" si="190"/>
        <v>60.152304765510486</v>
      </c>
      <c r="K821" s="292">
        <f t="shared" ca="1" si="188"/>
        <v>1.768524456724706</v>
      </c>
      <c r="L821" s="1290">
        <f t="shared" ca="1" si="191"/>
        <v>21.501294287219551</v>
      </c>
      <c r="M821" s="299">
        <v>813</v>
      </c>
      <c r="N821" s="304">
        <f t="shared" si="192"/>
        <v>2712.1887008076205</v>
      </c>
      <c r="O821" s="303">
        <v>248.70141465691884</v>
      </c>
      <c r="P821" s="302">
        <v>0.41774922267101955</v>
      </c>
      <c r="Q821" s="301">
        <v>113.76780552090652</v>
      </c>
      <c r="R821" s="301">
        <v>42.055299036801671</v>
      </c>
      <c r="S821" s="300">
        <v>1.9836328777023364</v>
      </c>
      <c r="T821" s="891">
        <f t="shared" si="193"/>
        <v>4</v>
      </c>
      <c r="U821" s="1220">
        <v>0.3938106894493103</v>
      </c>
      <c r="W821" s="299">
        <v>813</v>
      </c>
      <c r="X821" s="298">
        <f>IF('Donor Sample'!N838="",,IF('Donor Sample'!N838="F",1,0))</f>
        <v>0</v>
      </c>
      <c r="Y821" s="298" t="str">
        <f>IF('Donor Sample'!O838="","",'Donor Sample'!O838)</f>
        <v/>
      </c>
      <c r="Z821" s="298" t="str">
        <f>IF(AND('Donor Sample'!O838="",'Donor Sample'!P838="",'Donor Sample'!Q838=""),"",IF('Donor Sample'!P838="",ROUND(AA821/($C$32+($AI821-0.5)*$C$31),0),'Donor Sample'!P838))</f>
        <v/>
      </c>
      <c r="AA821" s="297" t="str">
        <f>IF('Donor Sample'!Q838="","",'Donor Sample'!Q838)</f>
        <v/>
      </c>
      <c r="AB821" s="296" t="str">
        <f t="shared" si="184"/>
        <v/>
      </c>
      <c r="AC821" s="295" t="str">
        <f>IF('Donor Sample'!R838="","",'Donor Sample'!R838)</f>
        <v/>
      </c>
      <c r="AD821" s="294" t="str">
        <f>IF('Donor Sample'!S838="","",'Donor Sample'!S838/100)</f>
        <v/>
      </c>
      <c r="AE821" s="293" t="e">
        <f t="shared" si="194"/>
        <v>#VALUE!</v>
      </c>
      <c r="AF821" s="293" t="str">
        <f t="shared" si="195"/>
        <v/>
      </c>
      <c r="AG821" s="292" t="str">
        <f>IF('Donor Sample'!T838="","",'Donor Sample'!T838)</f>
        <v/>
      </c>
      <c r="AH821" s="891">
        <f t="shared" si="196"/>
        <v>64</v>
      </c>
      <c r="AI821" s="1220">
        <v>0.76691335439682007</v>
      </c>
      <c r="AJ821" s="1216"/>
    </row>
    <row r="822" spans="5:36">
      <c r="E822" s="299">
        <v>814</v>
      </c>
      <c r="F822" s="308">
        <f t="shared" ca="1" si="185"/>
        <v>3006.2346437547558</v>
      </c>
      <c r="G822" s="307">
        <f t="shared" ca="1" si="186"/>
        <v>245.67020591547228</v>
      </c>
      <c r="H822" s="306">
        <f t="shared" ca="1" si="187"/>
        <v>0.36715115789524405</v>
      </c>
      <c r="I822" s="305">
        <f t="shared" ca="1" si="189"/>
        <v>107.07683331722559</v>
      </c>
      <c r="J822" s="305">
        <f t="shared" ca="1" si="190"/>
        <v>51.867975414819092</v>
      </c>
      <c r="K822" s="292">
        <f t="shared" ca="1" si="188"/>
        <v>1.7566766200659401</v>
      </c>
      <c r="L822" s="1290">
        <f t="shared" ca="1" si="191"/>
        <v>28.020093839862529</v>
      </c>
      <c r="M822" s="299">
        <v>814</v>
      </c>
      <c r="N822" s="304">
        <f t="shared" si="192"/>
        <v>4047.6113487666871</v>
      </c>
      <c r="O822" s="303">
        <v>204.79990503248519</v>
      </c>
      <c r="P822" s="302">
        <v>0.44319620739799653</v>
      </c>
      <c r="Q822" s="301">
        <v>164.7805905176771</v>
      </c>
      <c r="R822" s="301">
        <v>55.680135797047825</v>
      </c>
      <c r="S822" s="300">
        <v>2.2522236226434886</v>
      </c>
      <c r="T822" s="891">
        <f t="shared" si="193"/>
        <v>64</v>
      </c>
      <c r="U822" s="1220">
        <v>0.70715987682342529</v>
      </c>
      <c r="W822" s="299">
        <v>814</v>
      </c>
      <c r="X822" s="298">
        <f>IF('Donor Sample'!N839="",,IF('Donor Sample'!N839="F",1,0))</f>
        <v>0</v>
      </c>
      <c r="Y822" s="298" t="str">
        <f>IF('Donor Sample'!O839="","",'Donor Sample'!O839)</f>
        <v/>
      </c>
      <c r="Z822" s="298" t="str">
        <f>IF(AND('Donor Sample'!O839="",'Donor Sample'!P839="",'Donor Sample'!Q839=""),"",IF('Donor Sample'!P839="",ROUND(AA822/($C$32+($AI822-0.5)*$C$31),0),'Donor Sample'!P839))</f>
        <v/>
      </c>
      <c r="AA822" s="297" t="str">
        <f>IF('Donor Sample'!Q839="","",'Donor Sample'!Q839)</f>
        <v/>
      </c>
      <c r="AB822" s="296" t="str">
        <f t="shared" ref="AB822:AB885" si="197">IF(AND(Y822="",Z822="",AA822=""),"",IF(AA822="",IF(X822=0,604+IF($AB$2=1,0.006012,0.0003669)*Y822^3+IF($AB$2=1,14.6,32.187)*Z822,183+IF($AB$2=1,0.005835,0.0003561)*Y822^3+IF($AB$2=1,15,33.069)*Z822),AA822))</f>
        <v/>
      </c>
      <c r="AC822" s="295" t="str">
        <f>IF('Donor Sample'!R839="","",'Donor Sample'!R839)</f>
        <v/>
      </c>
      <c r="AD822" s="294" t="str">
        <f>IF('Donor Sample'!S839="","",'Donor Sample'!S839/100)</f>
        <v/>
      </c>
      <c r="AE822" s="407" t="e">
        <f t="shared" si="194"/>
        <v>#VALUE!</v>
      </c>
      <c r="AF822" s="293" t="str">
        <f t="shared" si="195"/>
        <v/>
      </c>
      <c r="AG822" s="292" t="str">
        <f>IF('Donor Sample'!T839="","",'Donor Sample'!T839)</f>
        <v/>
      </c>
      <c r="AH822" s="891">
        <f t="shared" si="196"/>
        <v>64</v>
      </c>
      <c r="AI822" s="1220">
        <v>0.590293288230896</v>
      </c>
      <c r="AJ822" s="1216"/>
    </row>
    <row r="823" spans="5:36">
      <c r="E823" s="299">
        <v>815</v>
      </c>
      <c r="F823" s="308">
        <f t="shared" ca="1" si="185"/>
        <v>3060.7832266871615</v>
      </c>
      <c r="G823" s="307">
        <f t="shared" ca="1" si="186"/>
        <v>199.96956435465933</v>
      </c>
      <c r="H823" s="306">
        <f t="shared" ca="1" si="187"/>
        <v>0.44585788868632664</v>
      </c>
      <c r="I823" s="305">
        <f t="shared" ca="1" si="189"/>
        <v>97.130946883255987</v>
      </c>
      <c r="J823" s="305">
        <f t="shared" ca="1" si="190"/>
        <v>55.695452166271842</v>
      </c>
      <c r="K823" s="292">
        <f t="shared" ca="1" si="188"/>
        <v>1.4934184688069163</v>
      </c>
      <c r="L823" s="1290">
        <f t="shared" ca="1" si="191"/>
        <v>22.044020861634426</v>
      </c>
      <c r="M823" s="299">
        <v>815</v>
      </c>
      <c r="N823" s="304">
        <f t="shared" si="192"/>
        <v>2918.6932379447608</v>
      </c>
      <c r="O823" s="303">
        <v>237.41822992485967</v>
      </c>
      <c r="P823" s="302">
        <v>0.36891030479496645</v>
      </c>
      <c r="Q823" s="301">
        <v>107.2490967756499</v>
      </c>
      <c r="R823" s="301">
        <v>49.941302265529792</v>
      </c>
      <c r="S823" s="300">
        <v>2.4581757204872292</v>
      </c>
      <c r="T823" s="891">
        <f t="shared" si="193"/>
        <v>64</v>
      </c>
      <c r="U823" s="1220">
        <v>0.59273487329483032</v>
      </c>
      <c r="W823" s="299">
        <v>815</v>
      </c>
      <c r="X823" s="298">
        <f>IF('Donor Sample'!N840="",,IF('Donor Sample'!N840="F",1,0))</f>
        <v>0</v>
      </c>
      <c r="Y823" s="298" t="str">
        <f>IF('Donor Sample'!O840="","",'Donor Sample'!O840)</f>
        <v/>
      </c>
      <c r="Z823" s="298" t="str">
        <f>IF(AND('Donor Sample'!O840="",'Donor Sample'!P840="",'Donor Sample'!Q840=""),"",IF('Donor Sample'!P840="",ROUND(AA823/($C$32+($AI823-0.5)*$C$31),0),'Donor Sample'!P840))</f>
        <v/>
      </c>
      <c r="AA823" s="297" t="str">
        <f>IF('Donor Sample'!Q840="","",'Donor Sample'!Q840)</f>
        <v/>
      </c>
      <c r="AB823" s="296" t="str">
        <f t="shared" si="197"/>
        <v/>
      </c>
      <c r="AC823" s="295" t="str">
        <f>IF('Donor Sample'!R840="","",'Donor Sample'!R840)</f>
        <v/>
      </c>
      <c r="AD823" s="294" t="str">
        <f>IF('Donor Sample'!S840="","",'Donor Sample'!S840/100)</f>
        <v/>
      </c>
      <c r="AE823" s="293" t="e">
        <f t="shared" si="194"/>
        <v>#VALUE!</v>
      </c>
      <c r="AF823" s="293" t="str">
        <f t="shared" si="195"/>
        <v/>
      </c>
      <c r="AG823" s="292" t="str">
        <f>IF('Donor Sample'!T840="","",'Donor Sample'!T840)</f>
        <v/>
      </c>
      <c r="AH823" s="891">
        <f t="shared" si="196"/>
        <v>64</v>
      </c>
      <c r="AI823" s="1220">
        <v>0.43601042032241821</v>
      </c>
      <c r="AJ823" s="1216"/>
    </row>
    <row r="824" spans="5:36">
      <c r="E824" s="299">
        <v>816</v>
      </c>
      <c r="F824" s="308">
        <f t="shared" ca="1" si="185"/>
        <v>3637.8863919445284</v>
      </c>
      <c r="G824" s="307">
        <f t="shared" ca="1" si="186"/>
        <v>209.52711773892497</v>
      </c>
      <c r="H824" s="306">
        <f t="shared" ca="1" si="187"/>
        <v>0.3682032777096812</v>
      </c>
      <c r="I824" s="305">
        <f t="shared" ca="1" si="189"/>
        <v>144.13450641277063</v>
      </c>
      <c r="J824" s="305">
        <f t="shared" ca="1" si="190"/>
        <v>53.671902952408004</v>
      </c>
      <c r="K824" s="292">
        <f t="shared" ca="1" si="188"/>
        <v>1.3650144264134647</v>
      </c>
      <c r="L824" s="1290">
        <f t="shared" ca="1" si="191"/>
        <v>35.224645993674052</v>
      </c>
      <c r="M824" s="299">
        <v>816</v>
      </c>
      <c r="N824" s="304">
        <f t="shared" si="192"/>
        <v>3028.424595629855</v>
      </c>
      <c r="O824" s="303">
        <v>300.23845373425161</v>
      </c>
      <c r="P824" s="302">
        <v>0.39889059858764492</v>
      </c>
      <c r="Q824" s="301">
        <v>102.91302520512571</v>
      </c>
      <c r="R824" s="301">
        <v>53.524679154538781</v>
      </c>
      <c r="S824" s="300">
        <v>2.7205745162535013</v>
      </c>
      <c r="T824" s="891">
        <f t="shared" si="193"/>
        <v>256</v>
      </c>
      <c r="U824" s="1220">
        <v>0.89664220809936523</v>
      </c>
      <c r="W824" s="299">
        <v>816</v>
      </c>
      <c r="X824" s="298">
        <f>IF('Donor Sample'!N841="",,IF('Donor Sample'!N841="F",1,0))</f>
        <v>0</v>
      </c>
      <c r="Y824" s="298" t="str">
        <f>IF('Donor Sample'!O841="","",'Donor Sample'!O841)</f>
        <v/>
      </c>
      <c r="Z824" s="298" t="str">
        <f>IF(AND('Donor Sample'!O841="",'Donor Sample'!P841="",'Donor Sample'!Q841=""),"",IF('Donor Sample'!P841="",ROUND(AA824/($C$32+($AI824-0.5)*$C$31),0),'Donor Sample'!P841))</f>
        <v/>
      </c>
      <c r="AA824" s="297" t="str">
        <f>IF('Donor Sample'!Q841="","",'Donor Sample'!Q841)</f>
        <v/>
      </c>
      <c r="AB824" s="296" t="str">
        <f t="shared" si="197"/>
        <v/>
      </c>
      <c r="AC824" s="295" t="str">
        <f>IF('Donor Sample'!R841="","",'Donor Sample'!R841)</f>
        <v/>
      </c>
      <c r="AD824" s="294" t="str">
        <f>IF('Donor Sample'!S841="","",'Donor Sample'!S841/100)</f>
        <v/>
      </c>
      <c r="AE824" s="293" t="e">
        <f t="shared" si="194"/>
        <v>#VALUE!</v>
      </c>
      <c r="AF824" s="293" t="str">
        <f t="shared" si="195"/>
        <v/>
      </c>
      <c r="AG824" s="292" t="str">
        <f>IF('Donor Sample'!T841="","",'Donor Sample'!T841)</f>
        <v/>
      </c>
      <c r="AH824" s="891">
        <f t="shared" si="196"/>
        <v>4</v>
      </c>
      <c r="AI824" s="1220">
        <v>0.38878822326660156</v>
      </c>
      <c r="AJ824" s="1216"/>
    </row>
    <row r="825" spans="5:36">
      <c r="E825" s="299">
        <v>817</v>
      </c>
      <c r="F825" s="308">
        <f t="shared" ca="1" si="185"/>
        <v>4284.6440228634419</v>
      </c>
      <c r="G825" s="307">
        <f t="shared" ca="1" si="186"/>
        <v>277.29165107225424</v>
      </c>
      <c r="H825" s="306">
        <f t="shared" ca="1" si="187"/>
        <v>0.39793753881937499</v>
      </c>
      <c r="I825" s="305">
        <f t="shared" ca="1" si="189"/>
        <v>132.09405031826546</v>
      </c>
      <c r="J825" s="305">
        <f t="shared" ca="1" si="190"/>
        <v>66.299598831067527</v>
      </c>
      <c r="K825" s="292">
        <f t="shared" ca="1" si="188"/>
        <v>3.7267028618502018</v>
      </c>
      <c r="L825" s="1290">
        <f t="shared" ca="1" si="191"/>
        <v>21.156027111904105</v>
      </c>
      <c r="M825" s="299">
        <v>817</v>
      </c>
      <c r="N825" s="304">
        <f t="shared" si="192"/>
        <v>3795.9393897063555</v>
      </c>
      <c r="O825" s="303">
        <v>210.23603609740729</v>
      </c>
      <c r="P825" s="302">
        <v>0.41105746636525725</v>
      </c>
      <c r="Q825" s="301">
        <v>131.37389568956115</v>
      </c>
      <c r="R825" s="301">
        <v>59.616971081605001</v>
      </c>
      <c r="S825" s="300">
        <v>1.7016465171463202</v>
      </c>
      <c r="T825" s="891">
        <f t="shared" si="193"/>
        <v>32</v>
      </c>
      <c r="U825" s="1220">
        <v>0.7905232310295105</v>
      </c>
      <c r="W825" s="299">
        <v>817</v>
      </c>
      <c r="X825" s="298">
        <f>IF('Donor Sample'!N842="",,IF('Donor Sample'!N842="F",1,0))</f>
        <v>0</v>
      </c>
      <c r="Y825" s="298" t="str">
        <f>IF('Donor Sample'!O842="","",'Donor Sample'!O842)</f>
        <v/>
      </c>
      <c r="Z825" s="298" t="str">
        <f>IF(AND('Donor Sample'!O842="",'Donor Sample'!P842="",'Donor Sample'!Q842=""),"",IF('Donor Sample'!P842="",ROUND(AA825/($C$32+($AI825-0.5)*$C$31),0),'Donor Sample'!P842))</f>
        <v/>
      </c>
      <c r="AA825" s="297" t="str">
        <f>IF('Donor Sample'!Q842="","",'Donor Sample'!Q842)</f>
        <v/>
      </c>
      <c r="AB825" s="296" t="str">
        <f t="shared" si="197"/>
        <v/>
      </c>
      <c r="AC825" s="295" t="str">
        <f>IF('Donor Sample'!R842="","",'Donor Sample'!R842)</f>
        <v/>
      </c>
      <c r="AD825" s="294" t="str">
        <f>IF('Donor Sample'!S842="","",'Donor Sample'!S842/100)</f>
        <v/>
      </c>
      <c r="AE825" s="407" t="e">
        <f t="shared" si="194"/>
        <v>#VALUE!</v>
      </c>
      <c r="AF825" s="293" t="str">
        <f t="shared" si="195"/>
        <v/>
      </c>
      <c r="AG825" s="292" t="str">
        <f>IF('Donor Sample'!T842="","",'Donor Sample'!T842)</f>
        <v/>
      </c>
      <c r="AH825" s="891">
        <f t="shared" si="196"/>
        <v>64</v>
      </c>
      <c r="AI825" s="1220">
        <v>0.74816721677780151</v>
      </c>
      <c r="AJ825" s="1216"/>
    </row>
    <row r="826" spans="5:36">
      <c r="E826" s="299">
        <v>818</v>
      </c>
      <c r="F826" s="308">
        <f t="shared" ca="1" si="185"/>
        <v>3764.2065608994553</v>
      </c>
      <c r="G826" s="307">
        <f t="shared" ca="1" si="186"/>
        <v>194.48327038805996</v>
      </c>
      <c r="H826" s="306">
        <f t="shared" ca="1" si="187"/>
        <v>0.37539819976546446</v>
      </c>
      <c r="I826" s="305">
        <f t="shared" ca="1" si="189"/>
        <v>120.80571496055819</v>
      </c>
      <c r="J826" s="305">
        <f t="shared" ca="1" si="190"/>
        <v>67.179826682856572</v>
      </c>
      <c r="K826" s="292">
        <f t="shared" ca="1" si="188"/>
        <v>1.5340613662311997</v>
      </c>
      <c r="L826" s="1290">
        <f t="shared" ca="1" si="191"/>
        <v>18.844402896571914</v>
      </c>
      <c r="M826" s="299">
        <v>818</v>
      </c>
      <c r="N826" s="304">
        <f t="shared" si="192"/>
        <v>3347.7119625207888</v>
      </c>
      <c r="O826" s="303">
        <v>238.33300926834528</v>
      </c>
      <c r="P826" s="302">
        <v>0.37324386461654618</v>
      </c>
      <c r="Q826" s="301">
        <v>113.77848475186856</v>
      </c>
      <c r="R826" s="301">
        <v>62.985753952507409</v>
      </c>
      <c r="S826" s="300">
        <v>2.28652823024643</v>
      </c>
      <c r="T826" s="891">
        <f t="shared" si="193"/>
        <v>64</v>
      </c>
      <c r="U826" s="1220">
        <v>0.62957108020782471</v>
      </c>
      <c r="W826" s="299">
        <v>818</v>
      </c>
      <c r="X826" s="298">
        <f>IF('Donor Sample'!N843="",,IF('Donor Sample'!N843="F",1,0))</f>
        <v>0</v>
      </c>
      <c r="Y826" s="298" t="str">
        <f>IF('Donor Sample'!O843="","",'Donor Sample'!O843)</f>
        <v/>
      </c>
      <c r="Z826" s="298" t="str">
        <f>IF(AND('Donor Sample'!O843="",'Donor Sample'!P843="",'Donor Sample'!Q843=""),"",IF('Donor Sample'!P843="",ROUND(AA826/($C$32+($AI826-0.5)*$C$31),0),'Donor Sample'!P843))</f>
        <v/>
      </c>
      <c r="AA826" s="297" t="str">
        <f>IF('Donor Sample'!Q843="","",'Donor Sample'!Q843)</f>
        <v/>
      </c>
      <c r="AB826" s="296" t="str">
        <f t="shared" si="197"/>
        <v/>
      </c>
      <c r="AC826" s="295" t="str">
        <f>IF('Donor Sample'!R843="","",'Donor Sample'!R843)</f>
        <v/>
      </c>
      <c r="AD826" s="294" t="str">
        <f>IF('Donor Sample'!S843="","",'Donor Sample'!S843/100)</f>
        <v/>
      </c>
      <c r="AE826" s="293" t="e">
        <f t="shared" si="194"/>
        <v>#VALUE!</v>
      </c>
      <c r="AF826" s="293" t="str">
        <f t="shared" si="195"/>
        <v/>
      </c>
      <c r="AG826" s="292" t="str">
        <f>IF('Donor Sample'!T843="","",'Donor Sample'!T843)</f>
        <v/>
      </c>
      <c r="AH826" s="891">
        <f t="shared" si="196"/>
        <v>16</v>
      </c>
      <c r="AI826" s="1220">
        <v>0.95439302921295166</v>
      </c>
      <c r="AJ826" s="1216"/>
    </row>
    <row r="827" spans="5:36">
      <c r="E827" s="299">
        <v>819</v>
      </c>
      <c r="F827" s="308">
        <f t="shared" ca="1" si="185"/>
        <v>3194.4802766221515</v>
      </c>
      <c r="G827" s="307">
        <f t="shared" ca="1" si="186"/>
        <v>210.71345621481089</v>
      </c>
      <c r="H827" s="306">
        <f t="shared" ca="1" si="187"/>
        <v>0.40081921110065871</v>
      </c>
      <c r="I827" s="305">
        <f t="shared" ca="1" si="189"/>
        <v>112.89828962384814</v>
      </c>
      <c r="J827" s="305">
        <f t="shared" ca="1" si="190"/>
        <v>53.914142612876446</v>
      </c>
      <c r="K827" s="292">
        <f t="shared" ca="1" si="188"/>
        <v>2.6731937641976904</v>
      </c>
      <c r="L827" s="1290">
        <f t="shared" ca="1" si="191"/>
        <v>27.343532204873888</v>
      </c>
      <c r="M827" s="299">
        <v>819</v>
      </c>
      <c r="N827" s="304">
        <f t="shared" si="192"/>
        <v>3099.6286873899635</v>
      </c>
      <c r="O827" s="303">
        <v>256.61977928452887</v>
      </c>
      <c r="P827" s="302">
        <v>0.43440277192268245</v>
      </c>
      <c r="Q827" s="301">
        <v>125.13950911513915</v>
      </c>
      <c r="R827" s="301">
        <v>48.089179782819457</v>
      </c>
      <c r="S827" s="300">
        <v>1.3147482406721438</v>
      </c>
      <c r="T827" s="891">
        <f t="shared" si="193"/>
        <v>64</v>
      </c>
      <c r="U827" s="1220">
        <v>0.73785477876663208</v>
      </c>
      <c r="W827" s="299">
        <v>819</v>
      </c>
      <c r="X827" s="298">
        <f>IF('Donor Sample'!N844="",,IF('Donor Sample'!N844="F",1,0))</f>
        <v>0</v>
      </c>
      <c r="Y827" s="298" t="str">
        <f>IF('Donor Sample'!O844="","",'Donor Sample'!O844)</f>
        <v/>
      </c>
      <c r="Z827" s="298" t="str">
        <f>IF(AND('Donor Sample'!O844="",'Donor Sample'!P844="",'Donor Sample'!Q844=""),"",IF('Donor Sample'!P844="",ROUND(AA827/($C$32+($AI827-0.5)*$C$31),0),'Donor Sample'!P844))</f>
        <v/>
      </c>
      <c r="AA827" s="297" t="str">
        <f>IF('Donor Sample'!Q844="","",'Donor Sample'!Q844)</f>
        <v/>
      </c>
      <c r="AB827" s="296" t="str">
        <f t="shared" si="197"/>
        <v/>
      </c>
      <c r="AC827" s="295" t="str">
        <f>IF('Donor Sample'!R844="","",'Donor Sample'!R844)</f>
        <v/>
      </c>
      <c r="AD827" s="294" t="str">
        <f>IF('Donor Sample'!S844="","",'Donor Sample'!S844/100)</f>
        <v/>
      </c>
      <c r="AE827" s="293" t="e">
        <f t="shared" si="194"/>
        <v>#VALUE!</v>
      </c>
      <c r="AF827" s="293" t="str">
        <f t="shared" si="195"/>
        <v/>
      </c>
      <c r="AG827" s="292" t="str">
        <f>IF('Donor Sample'!T844="","",'Donor Sample'!T844)</f>
        <v/>
      </c>
      <c r="AH827" s="891">
        <f t="shared" si="196"/>
        <v>64</v>
      </c>
      <c r="AI827" s="1220">
        <v>0.67012721300125122</v>
      </c>
      <c r="AJ827" s="1216"/>
    </row>
    <row r="828" spans="5:36">
      <c r="E828" s="299">
        <v>820</v>
      </c>
      <c r="F828" s="308">
        <f t="shared" ca="1" si="185"/>
        <v>3492.0594578369146</v>
      </c>
      <c r="G828" s="307">
        <f t="shared" ca="1" si="186"/>
        <v>236.96068076020191</v>
      </c>
      <c r="H828" s="306">
        <f t="shared" ca="1" si="187"/>
        <v>0.39275543753333042</v>
      </c>
      <c r="I828" s="305">
        <f t="shared" ca="1" si="189"/>
        <v>134.29117258436494</v>
      </c>
      <c r="J828" s="305">
        <f t="shared" ca="1" si="190"/>
        <v>60.539921486604847</v>
      </c>
      <c r="K828" s="292">
        <f t="shared" ca="1" si="188"/>
        <v>2.0926723364152084</v>
      </c>
      <c r="L828" s="1290">
        <f t="shared" ca="1" si="191"/>
        <v>25.79505263043654</v>
      </c>
      <c r="M828" s="299">
        <v>820</v>
      </c>
      <c r="N828" s="304">
        <f t="shared" si="192"/>
        <v>2526.1433202962025</v>
      </c>
      <c r="O828" s="303">
        <v>283.22285063977563</v>
      </c>
      <c r="P828" s="302">
        <v>0.35651129315072771</v>
      </c>
      <c r="Q828" s="301">
        <v>81.599130578757467</v>
      </c>
      <c r="R828" s="301">
        <v>57.670002350213643</v>
      </c>
      <c r="S828" s="300">
        <v>2.6434382132137242</v>
      </c>
      <c r="T828" s="891">
        <f t="shared" si="193"/>
        <v>16</v>
      </c>
      <c r="U828" s="1220">
        <v>0.97422194480895996</v>
      </c>
      <c r="W828" s="299">
        <v>820</v>
      </c>
      <c r="X828" s="298">
        <f>IF('Donor Sample'!N845="",,IF('Donor Sample'!N845="F",1,0))</f>
        <v>0</v>
      </c>
      <c r="Y828" s="298" t="str">
        <f>IF('Donor Sample'!O845="","",'Donor Sample'!O845)</f>
        <v/>
      </c>
      <c r="Z828" s="298" t="str">
        <f>IF(AND('Donor Sample'!O845="",'Donor Sample'!P845="",'Donor Sample'!Q845=""),"",IF('Donor Sample'!P845="",ROUND(AA828/($C$32+($AI828-0.5)*$C$31),0),'Donor Sample'!P845))</f>
        <v/>
      </c>
      <c r="AA828" s="297" t="str">
        <f>IF('Donor Sample'!Q845="","",'Donor Sample'!Q845)</f>
        <v/>
      </c>
      <c r="AB828" s="296" t="str">
        <f t="shared" si="197"/>
        <v/>
      </c>
      <c r="AC828" s="295" t="str">
        <f>IF('Donor Sample'!R845="","",'Donor Sample'!R845)</f>
        <v/>
      </c>
      <c r="AD828" s="294" t="str">
        <f>IF('Donor Sample'!S845="","",'Donor Sample'!S845/100)</f>
        <v/>
      </c>
      <c r="AE828" s="407" t="e">
        <f t="shared" si="194"/>
        <v>#VALUE!</v>
      </c>
      <c r="AF828" s="293" t="str">
        <f t="shared" si="195"/>
        <v/>
      </c>
      <c r="AG828" s="292" t="str">
        <f>IF('Donor Sample'!T845="","",'Donor Sample'!T845)</f>
        <v/>
      </c>
      <c r="AH828" s="891">
        <f t="shared" si="196"/>
        <v>16</v>
      </c>
      <c r="AI828" s="1220">
        <v>0.95718979835510254</v>
      </c>
      <c r="AJ828" s="1216"/>
    </row>
    <row r="829" spans="5:36">
      <c r="E829" s="299">
        <v>821</v>
      </c>
      <c r="F829" s="308">
        <f t="shared" ca="1" si="185"/>
        <v>4032.8097154572065</v>
      </c>
      <c r="G829" s="307">
        <f t="shared" ca="1" si="186"/>
        <v>257.47272186978842</v>
      </c>
      <c r="H829" s="306">
        <f t="shared" ca="1" si="187"/>
        <v>0.43668791625876302</v>
      </c>
      <c r="I829" s="305">
        <f t="shared" ca="1" si="189"/>
        <v>162.47222994953464</v>
      </c>
      <c r="J829" s="305">
        <f t="shared" ca="1" si="190"/>
        <v>56.016115442374272</v>
      </c>
      <c r="K829" s="292">
        <f t="shared" ca="1" si="188"/>
        <v>1.3867735375729311</v>
      </c>
      <c r="L829" s="1290">
        <f t="shared" ca="1" si="191"/>
        <v>36.45237450566129</v>
      </c>
      <c r="M829" s="299">
        <v>821</v>
      </c>
      <c r="N829" s="304">
        <f t="shared" si="192"/>
        <v>3322.7883312175604</v>
      </c>
      <c r="O829" s="303">
        <v>171.27549025826286</v>
      </c>
      <c r="P829" s="302">
        <v>0.37522376084177395</v>
      </c>
      <c r="Q829" s="301">
        <v>128.12898001833048</v>
      </c>
      <c r="R829" s="301">
        <v>52.056734554816586</v>
      </c>
      <c r="S829" s="300">
        <v>1.4757683313306491</v>
      </c>
      <c r="T829" s="891">
        <f t="shared" si="193"/>
        <v>2</v>
      </c>
      <c r="U829" s="1220">
        <v>0.26896566152572632</v>
      </c>
      <c r="W829" s="299">
        <v>821</v>
      </c>
      <c r="X829" s="298">
        <f>IF('Donor Sample'!N846="",,IF('Donor Sample'!N846="F",1,0))</f>
        <v>0</v>
      </c>
      <c r="Y829" s="298" t="str">
        <f>IF('Donor Sample'!O846="","",'Donor Sample'!O846)</f>
        <v/>
      </c>
      <c r="Z829" s="298" t="str">
        <f>IF(AND('Donor Sample'!O846="",'Donor Sample'!P846="",'Donor Sample'!Q846=""),"",IF('Donor Sample'!P846="",ROUND(AA829/($C$32+($AI829-0.5)*$C$31),0),'Donor Sample'!P846))</f>
        <v/>
      </c>
      <c r="AA829" s="297" t="str">
        <f>IF('Donor Sample'!Q846="","",'Donor Sample'!Q846)</f>
        <v/>
      </c>
      <c r="AB829" s="296" t="str">
        <f t="shared" si="197"/>
        <v/>
      </c>
      <c r="AC829" s="295" t="str">
        <f>IF('Donor Sample'!R846="","",'Donor Sample'!R846)</f>
        <v/>
      </c>
      <c r="AD829" s="294" t="str">
        <f>IF('Donor Sample'!S846="","",'Donor Sample'!S846/100)</f>
        <v/>
      </c>
      <c r="AE829" s="293" t="e">
        <f t="shared" si="194"/>
        <v>#VALUE!</v>
      </c>
      <c r="AF829" s="293" t="str">
        <f t="shared" si="195"/>
        <v/>
      </c>
      <c r="AG829" s="292" t="str">
        <f>IF('Donor Sample'!T846="","",'Donor Sample'!T846)</f>
        <v/>
      </c>
      <c r="AH829" s="891">
        <f t="shared" si="196"/>
        <v>64</v>
      </c>
      <c r="AI829" s="1220">
        <v>0.48070663213729858</v>
      </c>
      <c r="AJ829" s="1216"/>
    </row>
    <row r="830" spans="5:36">
      <c r="E830" s="299">
        <v>822</v>
      </c>
      <c r="F830" s="308">
        <f t="shared" ca="1" si="185"/>
        <v>4373.4965294471513</v>
      </c>
      <c r="G830" s="307">
        <f t="shared" ca="1" si="186"/>
        <v>244.37675025114018</v>
      </c>
      <c r="H830" s="306">
        <f t="shared" ca="1" si="187"/>
        <v>0.38882199725325267</v>
      </c>
      <c r="I830" s="305">
        <f t="shared" ca="1" si="189"/>
        <v>164.07338854628478</v>
      </c>
      <c r="J830" s="305">
        <f t="shared" ca="1" si="190"/>
        <v>61.13997078763817</v>
      </c>
      <c r="K830" s="292">
        <f t="shared" ca="1" si="188"/>
        <v>3.453675959032438</v>
      </c>
      <c r="L830" s="1290">
        <f t="shared" ca="1" si="191"/>
        <v>30.900133296218549</v>
      </c>
      <c r="M830" s="299">
        <v>822</v>
      </c>
      <c r="N830" s="304">
        <f t="shared" si="192"/>
        <v>3786.891739106467</v>
      </c>
      <c r="O830" s="303">
        <v>233.57005782265313</v>
      </c>
      <c r="P830" s="302">
        <v>0.50244546884196617</v>
      </c>
      <c r="Q830" s="301">
        <v>134.79603056664041</v>
      </c>
      <c r="R830" s="301">
        <v>58.681820058713754</v>
      </c>
      <c r="S830" s="300">
        <v>8.3488546362813807</v>
      </c>
      <c r="T830" s="891">
        <f t="shared" si="193"/>
        <v>2</v>
      </c>
      <c r="U830" s="1220">
        <v>0.31069886684417725</v>
      </c>
      <c r="W830" s="299">
        <v>822</v>
      </c>
      <c r="X830" s="298">
        <f>IF('Donor Sample'!N847="",,IF('Donor Sample'!N847="F",1,0))</f>
        <v>0</v>
      </c>
      <c r="Y830" s="298" t="str">
        <f>IF('Donor Sample'!O847="","",'Donor Sample'!O847)</f>
        <v/>
      </c>
      <c r="Z830" s="298" t="str">
        <f>IF(AND('Donor Sample'!O847="",'Donor Sample'!P847="",'Donor Sample'!Q847=""),"",IF('Donor Sample'!P847="",ROUND(AA830/($C$32+($AI830-0.5)*$C$31),0),'Donor Sample'!P847))</f>
        <v/>
      </c>
      <c r="AA830" s="297" t="str">
        <f>IF('Donor Sample'!Q847="","",'Donor Sample'!Q847)</f>
        <v/>
      </c>
      <c r="AB830" s="296" t="str">
        <f t="shared" si="197"/>
        <v/>
      </c>
      <c r="AC830" s="295" t="str">
        <f>IF('Donor Sample'!R847="","",'Donor Sample'!R847)</f>
        <v/>
      </c>
      <c r="AD830" s="294" t="str">
        <f>IF('Donor Sample'!S847="","",'Donor Sample'!S847/100)</f>
        <v/>
      </c>
      <c r="AE830" s="293" t="e">
        <f t="shared" si="194"/>
        <v>#VALUE!</v>
      </c>
      <c r="AF830" s="293" t="str">
        <f t="shared" si="195"/>
        <v/>
      </c>
      <c r="AG830" s="292" t="str">
        <f>IF('Donor Sample'!T847="","",'Donor Sample'!T847)</f>
        <v/>
      </c>
      <c r="AH830" s="891">
        <f t="shared" si="196"/>
        <v>64</v>
      </c>
      <c r="AI830" s="1220">
        <v>0.69354236125946045</v>
      </c>
      <c r="AJ830" s="1216"/>
    </row>
    <row r="831" spans="5:36">
      <c r="E831" s="299">
        <v>823</v>
      </c>
      <c r="F831" s="308">
        <f t="shared" ca="1" si="185"/>
        <v>4559.5952251696726</v>
      </c>
      <c r="G831" s="307">
        <f t="shared" ca="1" si="186"/>
        <v>237.65730595047435</v>
      </c>
      <c r="H831" s="306">
        <f t="shared" ca="1" si="187"/>
        <v>0.42215743107364723</v>
      </c>
      <c r="I831" s="305">
        <f t="shared" ca="1" si="189"/>
        <v>170.98624800142582</v>
      </c>
      <c r="J831" s="305">
        <f t="shared" ca="1" si="190"/>
        <v>67.715785180380493</v>
      </c>
      <c r="K831" s="292">
        <f t="shared" ca="1" si="188"/>
        <v>1.3931164757738512</v>
      </c>
      <c r="L831" s="1290">
        <f t="shared" ca="1" si="191"/>
        <v>26.251492788792333</v>
      </c>
      <c r="M831" s="299">
        <v>823</v>
      </c>
      <c r="N831" s="304">
        <f t="shared" si="192"/>
        <v>3501.4541138774457</v>
      </c>
      <c r="O831" s="303">
        <v>204.98492268572457</v>
      </c>
      <c r="P831" s="302">
        <v>0.41006035039710409</v>
      </c>
      <c r="Q831" s="301">
        <v>130.68666901855568</v>
      </c>
      <c r="R831" s="301">
        <v>61.513352083004165</v>
      </c>
      <c r="S831" s="300">
        <v>1.973375858982821</v>
      </c>
      <c r="T831" s="891">
        <f t="shared" si="193"/>
        <v>64</v>
      </c>
      <c r="U831" s="1220">
        <v>0.59510618448257446</v>
      </c>
      <c r="W831" s="299">
        <v>823</v>
      </c>
      <c r="X831" s="298">
        <f>IF('Donor Sample'!N848="",,IF('Donor Sample'!N848="F",1,0))</f>
        <v>0</v>
      </c>
      <c r="Y831" s="298" t="str">
        <f>IF('Donor Sample'!O848="","",'Donor Sample'!O848)</f>
        <v/>
      </c>
      <c r="Z831" s="298" t="str">
        <f>IF(AND('Donor Sample'!O848="",'Donor Sample'!P848="",'Donor Sample'!Q848=""),"",IF('Donor Sample'!P848="",ROUND(AA831/($C$32+($AI831-0.5)*$C$31),0),'Donor Sample'!P848))</f>
        <v/>
      </c>
      <c r="AA831" s="297" t="str">
        <f>IF('Donor Sample'!Q848="","",'Donor Sample'!Q848)</f>
        <v/>
      </c>
      <c r="AB831" s="296" t="str">
        <f t="shared" si="197"/>
        <v/>
      </c>
      <c r="AC831" s="295" t="str">
        <f>IF('Donor Sample'!R848="","",'Donor Sample'!R848)</f>
        <v/>
      </c>
      <c r="AD831" s="294" t="str">
        <f>IF('Donor Sample'!S848="","",'Donor Sample'!S848/100)</f>
        <v/>
      </c>
      <c r="AE831" s="407" t="e">
        <f t="shared" si="194"/>
        <v>#VALUE!</v>
      </c>
      <c r="AF831" s="293" t="str">
        <f t="shared" si="195"/>
        <v/>
      </c>
      <c r="AG831" s="292" t="str">
        <f>IF('Donor Sample'!T848="","",'Donor Sample'!T848)</f>
        <v/>
      </c>
      <c r="AH831" s="891">
        <f t="shared" si="196"/>
        <v>256</v>
      </c>
      <c r="AI831" s="1220">
        <v>0.89237648248672485</v>
      </c>
      <c r="AJ831" s="1216"/>
    </row>
    <row r="832" spans="5:36">
      <c r="E832" s="299">
        <v>824</v>
      </c>
      <c r="F832" s="308">
        <f t="shared" ca="1" si="185"/>
        <v>3744.7425711676178</v>
      </c>
      <c r="G832" s="307">
        <f t="shared" ca="1" si="186"/>
        <v>256.12428278395896</v>
      </c>
      <c r="H832" s="306">
        <f t="shared" ca="1" si="187"/>
        <v>0.43694291990632228</v>
      </c>
      <c r="I832" s="305">
        <f t="shared" ca="1" si="189"/>
        <v>154.08692249066726</v>
      </c>
      <c r="J832" s="305">
        <f t="shared" ca="1" si="190"/>
        <v>52.921423710896093</v>
      </c>
      <c r="K832" s="292">
        <f t="shared" ca="1" si="188"/>
        <v>5.5245878492555649</v>
      </c>
      <c r="L832" s="1290">
        <f t="shared" ca="1" si="191"/>
        <v>38.732488623615282</v>
      </c>
      <c r="M832" s="299">
        <v>824</v>
      </c>
      <c r="N832" s="304">
        <f t="shared" si="192"/>
        <v>2782.2948578750802</v>
      </c>
      <c r="O832" s="303">
        <v>302.87999851047152</v>
      </c>
      <c r="P832" s="302">
        <v>0.37689721290643108</v>
      </c>
      <c r="Q832" s="301">
        <v>92.679030266553724</v>
      </c>
      <c r="R832" s="301">
        <v>51.583414387697403</v>
      </c>
      <c r="S832" s="300">
        <v>1.2841969170990541</v>
      </c>
      <c r="T832" s="891">
        <f t="shared" si="193"/>
        <v>16</v>
      </c>
      <c r="U832" s="1220">
        <v>0.95056343078613281</v>
      </c>
      <c r="W832" s="299">
        <v>824</v>
      </c>
      <c r="X832" s="298">
        <f>IF('Donor Sample'!N849="",,IF('Donor Sample'!N849="F",1,0))</f>
        <v>0</v>
      </c>
      <c r="Y832" s="298" t="str">
        <f>IF('Donor Sample'!O849="","",'Donor Sample'!O849)</f>
        <v/>
      </c>
      <c r="Z832" s="298" t="str">
        <f>IF(AND('Donor Sample'!O849="",'Donor Sample'!P849="",'Donor Sample'!Q849=""),"",IF('Donor Sample'!P849="",ROUND(AA832/($C$32+($AI832-0.5)*$C$31),0),'Donor Sample'!P849))</f>
        <v/>
      </c>
      <c r="AA832" s="297" t="str">
        <f>IF('Donor Sample'!Q849="","",'Donor Sample'!Q849)</f>
        <v/>
      </c>
      <c r="AB832" s="296" t="str">
        <f t="shared" si="197"/>
        <v/>
      </c>
      <c r="AC832" s="295" t="str">
        <f>IF('Donor Sample'!R849="","",'Donor Sample'!R849)</f>
        <v/>
      </c>
      <c r="AD832" s="294" t="str">
        <f>IF('Donor Sample'!S849="","",'Donor Sample'!S849/100)</f>
        <v/>
      </c>
      <c r="AE832" s="293" t="e">
        <f t="shared" si="194"/>
        <v>#VALUE!</v>
      </c>
      <c r="AF832" s="293" t="str">
        <f t="shared" si="195"/>
        <v/>
      </c>
      <c r="AG832" s="292" t="str">
        <f>IF('Donor Sample'!T849="","",'Donor Sample'!T849)</f>
        <v/>
      </c>
      <c r="AH832" s="891">
        <f t="shared" si="196"/>
        <v>2</v>
      </c>
      <c r="AI832" s="1220">
        <v>0.22135019302368164</v>
      </c>
      <c r="AJ832" s="1216"/>
    </row>
    <row r="833" spans="5:36">
      <c r="E833" s="299">
        <v>825</v>
      </c>
      <c r="F833" s="308">
        <f t="shared" ca="1" si="185"/>
        <v>4059.0934001557453</v>
      </c>
      <c r="G833" s="307">
        <f t="shared" ca="1" si="186"/>
        <v>272.58640077046596</v>
      </c>
      <c r="H833" s="306">
        <f t="shared" ca="1" si="187"/>
        <v>0.44135792909967436</v>
      </c>
      <c r="I833" s="305">
        <f t="shared" ca="1" si="189"/>
        <v>128.71353632340927</v>
      </c>
      <c r="J833" s="305">
        <f t="shared" ca="1" si="190"/>
        <v>63.998186651306554</v>
      </c>
      <c r="K833" s="292">
        <f t="shared" ca="1" si="188"/>
        <v>2.5592942385803923</v>
      </c>
      <c r="L833" s="1290">
        <f t="shared" ca="1" si="191"/>
        <v>22.123892735699666</v>
      </c>
      <c r="M833" s="299">
        <v>825</v>
      </c>
      <c r="N833" s="304">
        <f t="shared" si="192"/>
        <v>3659.1046673403557</v>
      </c>
      <c r="O833" s="303">
        <v>258.51516857393148</v>
      </c>
      <c r="P833" s="302">
        <v>0.37353979010552657</v>
      </c>
      <c r="Q833" s="301">
        <v>122.57400021104286</v>
      </c>
      <c r="R833" s="301">
        <v>59.486328924839555</v>
      </c>
      <c r="S833" s="300">
        <v>3.3498015993017582</v>
      </c>
      <c r="T833" s="891">
        <f t="shared" si="193"/>
        <v>128</v>
      </c>
      <c r="U833" s="1220">
        <v>0.94565409421920776</v>
      </c>
      <c r="W833" s="299">
        <v>825</v>
      </c>
      <c r="X833" s="298">
        <f>IF('Donor Sample'!N850="",,IF('Donor Sample'!N850="F",1,0))</f>
        <v>0</v>
      </c>
      <c r="Y833" s="298" t="str">
        <f>IF('Donor Sample'!O850="","",'Donor Sample'!O850)</f>
        <v/>
      </c>
      <c r="Z833" s="298" t="str">
        <f>IF(AND('Donor Sample'!O850="",'Donor Sample'!P850="",'Donor Sample'!Q850=""),"",IF('Donor Sample'!P850="",ROUND(AA833/($C$32+($AI833-0.5)*$C$31),0),'Donor Sample'!P850))</f>
        <v/>
      </c>
      <c r="AA833" s="297" t="str">
        <f>IF('Donor Sample'!Q850="","",'Donor Sample'!Q850)</f>
        <v/>
      </c>
      <c r="AB833" s="296" t="str">
        <f t="shared" si="197"/>
        <v/>
      </c>
      <c r="AC833" s="295" t="str">
        <f>IF('Donor Sample'!R850="","",'Donor Sample'!R850)</f>
        <v/>
      </c>
      <c r="AD833" s="294" t="str">
        <f>IF('Donor Sample'!S850="","",'Donor Sample'!S850/100)</f>
        <v/>
      </c>
      <c r="AE833" s="293" t="e">
        <f t="shared" si="194"/>
        <v>#VALUE!</v>
      </c>
      <c r="AF833" s="293" t="str">
        <f t="shared" si="195"/>
        <v/>
      </c>
      <c r="AG833" s="292" t="str">
        <f>IF('Donor Sample'!T850="","",'Donor Sample'!T850)</f>
        <v/>
      </c>
      <c r="AH833" s="891">
        <f t="shared" si="196"/>
        <v>2</v>
      </c>
      <c r="AI833" s="1220">
        <v>0.14550083875656128</v>
      </c>
      <c r="AJ833" s="1216"/>
    </row>
    <row r="834" spans="5:36">
      <c r="E834" s="299">
        <v>826</v>
      </c>
      <c r="F834" s="308">
        <f t="shared" ca="1" si="185"/>
        <v>3117.2010157899144</v>
      </c>
      <c r="G834" s="307">
        <f t="shared" ca="1" si="186"/>
        <v>270.38175928260978</v>
      </c>
      <c r="H834" s="306">
        <f t="shared" ca="1" si="187"/>
        <v>0.44770699521178003</v>
      </c>
      <c r="I834" s="305">
        <f t="shared" ca="1" si="189"/>
        <v>100.68480849576072</v>
      </c>
      <c r="J834" s="305">
        <f t="shared" ca="1" si="190"/>
        <v>55.77632881092984</v>
      </c>
      <c r="K834" s="292">
        <f t="shared" ca="1" si="188"/>
        <v>8.4624047067700161</v>
      </c>
      <c r="L834" s="1290">
        <f t="shared" ca="1" si="191"/>
        <v>22.784355916060338</v>
      </c>
      <c r="M834" s="299">
        <v>826</v>
      </c>
      <c r="N834" s="304">
        <f t="shared" si="192"/>
        <v>3072.8237513145459</v>
      </c>
      <c r="O834" s="303">
        <v>246.87545779437025</v>
      </c>
      <c r="P834" s="302">
        <v>0.53746660393039236</v>
      </c>
      <c r="Q834" s="301">
        <v>120.07200770450315</v>
      </c>
      <c r="R834" s="301">
        <v>49.194739656119189</v>
      </c>
      <c r="S834" s="300">
        <v>1.8997805993145287</v>
      </c>
      <c r="T834" s="891">
        <f t="shared" si="193"/>
        <v>64</v>
      </c>
      <c r="U834" s="1220">
        <v>0.71349489688873291</v>
      </c>
      <c r="W834" s="299">
        <v>826</v>
      </c>
      <c r="X834" s="298">
        <f>IF('Donor Sample'!N851="",,IF('Donor Sample'!N851="F",1,0))</f>
        <v>0</v>
      </c>
      <c r="Y834" s="298" t="str">
        <f>IF('Donor Sample'!O851="","",'Donor Sample'!O851)</f>
        <v/>
      </c>
      <c r="Z834" s="298" t="str">
        <f>IF(AND('Donor Sample'!O851="",'Donor Sample'!P851="",'Donor Sample'!Q851=""),"",IF('Donor Sample'!P851="",ROUND(AA834/($C$32+($AI834-0.5)*$C$31),0),'Donor Sample'!P851))</f>
        <v/>
      </c>
      <c r="AA834" s="297" t="str">
        <f>IF('Donor Sample'!Q851="","",'Donor Sample'!Q851)</f>
        <v/>
      </c>
      <c r="AB834" s="296" t="str">
        <f t="shared" si="197"/>
        <v/>
      </c>
      <c r="AC834" s="295" t="str">
        <f>IF('Donor Sample'!R851="","",'Donor Sample'!R851)</f>
        <v/>
      </c>
      <c r="AD834" s="294" t="str">
        <f>IF('Donor Sample'!S851="","",'Donor Sample'!S851/100)</f>
        <v/>
      </c>
      <c r="AE834" s="407" t="e">
        <f t="shared" si="194"/>
        <v>#VALUE!</v>
      </c>
      <c r="AF834" s="293" t="str">
        <f t="shared" si="195"/>
        <v/>
      </c>
      <c r="AG834" s="292" t="str">
        <f>IF('Donor Sample'!T851="","",'Donor Sample'!T851)</f>
        <v/>
      </c>
      <c r="AH834" s="891">
        <f t="shared" si="196"/>
        <v>64</v>
      </c>
      <c r="AI834" s="1220">
        <v>0.57733356952667236</v>
      </c>
      <c r="AJ834" s="1216"/>
    </row>
    <row r="835" spans="5:36">
      <c r="E835" s="299">
        <v>827</v>
      </c>
      <c r="F835" s="308">
        <f t="shared" ca="1" si="185"/>
        <v>3761.5999662918689</v>
      </c>
      <c r="G835" s="307">
        <f t="shared" ca="1" si="186"/>
        <v>224.83106216526861</v>
      </c>
      <c r="H835" s="306">
        <f t="shared" ca="1" si="187"/>
        <v>0.38394392896999036</v>
      </c>
      <c r="I835" s="305">
        <f t="shared" ca="1" si="189"/>
        <v>130.77605993786747</v>
      </c>
      <c r="J835" s="305">
        <f t="shared" ca="1" si="190"/>
        <v>65.19576543400612</v>
      </c>
      <c r="K835" s="292">
        <f t="shared" ca="1" si="188"/>
        <v>2.5105429719590258</v>
      </c>
      <c r="L835" s="1290">
        <f t="shared" ca="1" si="191"/>
        <v>21.660183458251801</v>
      </c>
      <c r="M835" s="299">
        <v>827</v>
      </c>
      <c r="N835" s="304">
        <f t="shared" si="192"/>
        <v>4007.2907547980667</v>
      </c>
      <c r="O835" s="303">
        <v>285.92784828680664</v>
      </c>
      <c r="P835" s="302">
        <v>0.37803780071747711</v>
      </c>
      <c r="Q835" s="301">
        <v>157.29479895053629</v>
      </c>
      <c r="R835" s="301">
        <v>63.084009239355893</v>
      </c>
      <c r="S835" s="300">
        <v>6.1575453539589988</v>
      </c>
      <c r="T835" s="891">
        <f t="shared" si="193"/>
        <v>2</v>
      </c>
      <c r="U835" s="1220">
        <v>0.33813410997390747</v>
      </c>
      <c r="W835" s="299">
        <v>827</v>
      </c>
      <c r="X835" s="298">
        <f>IF('Donor Sample'!N852="",,IF('Donor Sample'!N852="F",1,0))</f>
        <v>0</v>
      </c>
      <c r="Y835" s="298" t="str">
        <f>IF('Donor Sample'!O852="","",'Donor Sample'!O852)</f>
        <v/>
      </c>
      <c r="Z835" s="298" t="str">
        <f>IF(AND('Donor Sample'!O852="",'Donor Sample'!P852="",'Donor Sample'!Q852=""),"",IF('Donor Sample'!P852="",ROUND(AA835/($C$32+($AI835-0.5)*$C$31),0),'Donor Sample'!P852))</f>
        <v/>
      </c>
      <c r="AA835" s="297" t="str">
        <f>IF('Donor Sample'!Q852="","",'Donor Sample'!Q852)</f>
        <v/>
      </c>
      <c r="AB835" s="296" t="str">
        <f t="shared" si="197"/>
        <v/>
      </c>
      <c r="AC835" s="295" t="str">
        <f>IF('Donor Sample'!R852="","",'Donor Sample'!R852)</f>
        <v/>
      </c>
      <c r="AD835" s="294" t="str">
        <f>IF('Donor Sample'!S852="","",'Donor Sample'!S852/100)</f>
        <v/>
      </c>
      <c r="AE835" s="293" t="e">
        <f t="shared" si="194"/>
        <v>#VALUE!</v>
      </c>
      <c r="AF835" s="293" t="str">
        <f t="shared" si="195"/>
        <v/>
      </c>
      <c r="AG835" s="292" t="str">
        <f>IF('Donor Sample'!T852="","",'Donor Sample'!T852)</f>
        <v/>
      </c>
      <c r="AH835" s="891">
        <f t="shared" si="196"/>
        <v>256</v>
      </c>
      <c r="AI835" s="1220">
        <v>0.85648137331008911</v>
      </c>
      <c r="AJ835" s="1216"/>
    </row>
    <row r="836" spans="5:36">
      <c r="E836" s="299">
        <v>828</v>
      </c>
      <c r="F836" s="308">
        <f t="shared" ca="1" si="185"/>
        <v>3359.0882779915091</v>
      </c>
      <c r="G836" s="307">
        <f t="shared" ca="1" si="186"/>
        <v>273.98730198169898</v>
      </c>
      <c r="H836" s="306">
        <f t="shared" ca="1" si="187"/>
        <v>0.48477951957247656</v>
      </c>
      <c r="I836" s="305">
        <f t="shared" ca="1" si="189"/>
        <v>118.63578990785722</v>
      </c>
      <c r="J836" s="305">
        <f t="shared" ca="1" si="190"/>
        <v>55.414025508259869</v>
      </c>
      <c r="K836" s="292">
        <f t="shared" ca="1" si="188"/>
        <v>1.279425814643615</v>
      </c>
      <c r="L836" s="1290">
        <f t="shared" ca="1" si="191"/>
        <v>27.198752481993328</v>
      </c>
      <c r="M836" s="299">
        <v>828</v>
      </c>
      <c r="N836" s="304">
        <f t="shared" si="192"/>
        <v>2510.8854565777629</v>
      </c>
      <c r="O836" s="303">
        <v>192.89553391884317</v>
      </c>
      <c r="P836" s="302">
        <v>0.39976252500964549</v>
      </c>
      <c r="Q836" s="301">
        <v>99.398929179135919</v>
      </c>
      <c r="R836" s="301">
        <v>42.319545135488966</v>
      </c>
      <c r="S836" s="300">
        <v>1.6083985625261961</v>
      </c>
      <c r="T836" s="891">
        <f t="shared" si="193"/>
        <v>2</v>
      </c>
      <c r="U836" s="1220">
        <v>0.11723160743713379</v>
      </c>
      <c r="W836" s="299">
        <v>828</v>
      </c>
      <c r="X836" s="298">
        <f>IF('Donor Sample'!N853="",,IF('Donor Sample'!N853="F",1,0))</f>
        <v>0</v>
      </c>
      <c r="Y836" s="298" t="str">
        <f>IF('Donor Sample'!O853="","",'Donor Sample'!O853)</f>
        <v/>
      </c>
      <c r="Z836" s="298" t="str">
        <f>IF(AND('Donor Sample'!O853="",'Donor Sample'!P853="",'Donor Sample'!Q853=""),"",IF('Donor Sample'!P853="",ROUND(AA836/($C$32+($AI836-0.5)*$C$31),0),'Donor Sample'!P853))</f>
        <v/>
      </c>
      <c r="AA836" s="297" t="str">
        <f>IF('Donor Sample'!Q853="","",'Donor Sample'!Q853)</f>
        <v/>
      </c>
      <c r="AB836" s="296" t="str">
        <f t="shared" si="197"/>
        <v/>
      </c>
      <c r="AC836" s="295" t="str">
        <f>IF('Donor Sample'!R853="","",'Donor Sample'!R853)</f>
        <v/>
      </c>
      <c r="AD836" s="294" t="str">
        <f>IF('Donor Sample'!S853="","",'Donor Sample'!S853/100)</f>
        <v/>
      </c>
      <c r="AE836" s="293" t="e">
        <f t="shared" si="194"/>
        <v>#VALUE!</v>
      </c>
      <c r="AF836" s="293" t="str">
        <f t="shared" si="195"/>
        <v/>
      </c>
      <c r="AG836" s="292" t="str">
        <f>IF('Donor Sample'!T853="","",'Donor Sample'!T853)</f>
        <v/>
      </c>
      <c r="AH836" s="891">
        <f t="shared" si="196"/>
        <v>64</v>
      </c>
      <c r="AI836" s="1220">
        <v>0.73259997367858887</v>
      </c>
      <c r="AJ836" s="1216"/>
    </row>
    <row r="837" spans="5:36">
      <c r="E837" s="299">
        <v>829</v>
      </c>
      <c r="F837" s="308">
        <f t="shared" ca="1" si="185"/>
        <v>3072.229776873698</v>
      </c>
      <c r="G837" s="307">
        <f t="shared" ca="1" si="186"/>
        <v>260.9698729087292</v>
      </c>
      <c r="H837" s="306">
        <f t="shared" ca="1" si="187"/>
        <v>0.50373993525594118</v>
      </c>
      <c r="I837" s="305">
        <f t="shared" ca="1" si="189"/>
        <v>119.35081343296014</v>
      </c>
      <c r="J837" s="305">
        <f t="shared" ca="1" si="190"/>
        <v>49.421314568279108</v>
      </c>
      <c r="K837" s="292">
        <f t="shared" ca="1" si="188"/>
        <v>2.1169420647018828</v>
      </c>
      <c r="L837" s="1290">
        <f t="shared" ca="1" si="191"/>
        <v>34.4008723882826</v>
      </c>
      <c r="M837" s="299">
        <v>829</v>
      </c>
      <c r="N837" s="304">
        <f t="shared" si="192"/>
        <v>3335.4699107435808</v>
      </c>
      <c r="O837" s="303">
        <v>287.0683510733258</v>
      </c>
      <c r="P837" s="302">
        <v>0.37446869587701415</v>
      </c>
      <c r="Q837" s="301">
        <v>103.63035407595659</v>
      </c>
      <c r="R837" s="301">
        <v>58.739679038280158</v>
      </c>
      <c r="S837" s="300">
        <v>1.6600895289246329</v>
      </c>
      <c r="T837" s="891">
        <f t="shared" si="193"/>
        <v>64</v>
      </c>
      <c r="U837" s="1220">
        <v>0.50839370489120483</v>
      </c>
      <c r="W837" s="299">
        <v>829</v>
      </c>
      <c r="X837" s="298">
        <f>IF('Donor Sample'!N854="",,IF('Donor Sample'!N854="F",1,0))</f>
        <v>0</v>
      </c>
      <c r="Y837" s="298" t="str">
        <f>IF('Donor Sample'!O854="","",'Donor Sample'!O854)</f>
        <v/>
      </c>
      <c r="Z837" s="298" t="str">
        <f>IF(AND('Donor Sample'!O854="",'Donor Sample'!P854="",'Donor Sample'!Q854=""),"",IF('Donor Sample'!P854="",ROUND(AA837/($C$32+($AI837-0.5)*$C$31),0),'Donor Sample'!P854))</f>
        <v/>
      </c>
      <c r="AA837" s="297" t="str">
        <f>IF('Donor Sample'!Q854="","",'Donor Sample'!Q854)</f>
        <v/>
      </c>
      <c r="AB837" s="296" t="str">
        <f t="shared" si="197"/>
        <v/>
      </c>
      <c r="AC837" s="295" t="str">
        <f>IF('Donor Sample'!R854="","",'Donor Sample'!R854)</f>
        <v/>
      </c>
      <c r="AD837" s="294" t="str">
        <f>IF('Donor Sample'!S854="","",'Donor Sample'!S854/100)</f>
        <v/>
      </c>
      <c r="AE837" s="407" t="e">
        <f t="shared" si="194"/>
        <v>#VALUE!</v>
      </c>
      <c r="AF837" s="293" t="str">
        <f t="shared" si="195"/>
        <v/>
      </c>
      <c r="AG837" s="292" t="str">
        <f>IF('Donor Sample'!T854="","",'Donor Sample'!T854)</f>
        <v/>
      </c>
      <c r="AH837" s="891">
        <f t="shared" si="196"/>
        <v>64</v>
      </c>
      <c r="AI837" s="1220">
        <v>0.6510581374168396</v>
      </c>
      <c r="AJ837" s="1216"/>
    </row>
    <row r="838" spans="5:36">
      <c r="E838" s="299">
        <v>830</v>
      </c>
      <c r="F838" s="308">
        <f t="shared" ca="1" si="185"/>
        <v>3904.2277200449162</v>
      </c>
      <c r="G838" s="307">
        <f t="shared" ca="1" si="186"/>
        <v>245.62138420625564</v>
      </c>
      <c r="H838" s="306">
        <f t="shared" ca="1" si="187"/>
        <v>0.36109739331849527</v>
      </c>
      <c r="I838" s="305">
        <f t="shared" ca="1" si="189"/>
        <v>121.01701368240977</v>
      </c>
      <c r="J838" s="305">
        <f t="shared" ca="1" si="190"/>
        <v>63.417659519806186</v>
      </c>
      <c r="K838" s="292">
        <f t="shared" ca="1" si="188"/>
        <v>9.7664464124642638</v>
      </c>
      <c r="L838" s="1290">
        <f t="shared" ca="1" si="191"/>
        <v>21.183546521126253</v>
      </c>
      <c r="M838" s="299">
        <v>830</v>
      </c>
      <c r="N838" s="304">
        <f t="shared" si="192"/>
        <v>3113.2181637874064</v>
      </c>
      <c r="O838" s="303">
        <v>288.85210014271399</v>
      </c>
      <c r="P838" s="302">
        <v>0.37295633402123385</v>
      </c>
      <c r="Q838" s="301">
        <v>99.572450808952837</v>
      </c>
      <c r="R838" s="301">
        <v>55.993934905561318</v>
      </c>
      <c r="S838" s="300">
        <v>2.6680126470124281</v>
      </c>
      <c r="T838" s="891">
        <f t="shared" si="193"/>
        <v>2</v>
      </c>
      <c r="U838" s="1220">
        <v>8.7043642997741699E-2</v>
      </c>
      <c r="W838" s="299">
        <v>830</v>
      </c>
      <c r="X838" s="298">
        <f>IF('Donor Sample'!N855="",,IF('Donor Sample'!N855="F",1,0))</f>
        <v>0</v>
      </c>
      <c r="Y838" s="298" t="str">
        <f>IF('Donor Sample'!O855="","",'Donor Sample'!O855)</f>
        <v/>
      </c>
      <c r="Z838" s="298" t="str">
        <f>IF(AND('Donor Sample'!O855="",'Donor Sample'!P855="",'Donor Sample'!Q855=""),"",IF('Donor Sample'!P855="",ROUND(AA838/($C$32+($AI838-0.5)*$C$31),0),'Donor Sample'!P855))</f>
        <v/>
      </c>
      <c r="AA838" s="297" t="str">
        <f>IF('Donor Sample'!Q855="","",'Donor Sample'!Q855)</f>
        <v/>
      </c>
      <c r="AB838" s="296" t="str">
        <f t="shared" si="197"/>
        <v/>
      </c>
      <c r="AC838" s="295" t="str">
        <f>IF('Donor Sample'!R855="","",'Donor Sample'!R855)</f>
        <v/>
      </c>
      <c r="AD838" s="294" t="str">
        <f>IF('Donor Sample'!S855="","",'Donor Sample'!S855/100)</f>
        <v/>
      </c>
      <c r="AE838" s="293" t="e">
        <f t="shared" si="194"/>
        <v>#VALUE!</v>
      </c>
      <c r="AF838" s="293" t="str">
        <f t="shared" si="195"/>
        <v/>
      </c>
      <c r="AG838" s="292" t="str">
        <f>IF('Donor Sample'!T855="","",'Donor Sample'!T855)</f>
        <v/>
      </c>
      <c r="AH838" s="891">
        <f t="shared" si="196"/>
        <v>2</v>
      </c>
      <c r="AI838" s="1220">
        <v>0.1927417516708374</v>
      </c>
      <c r="AJ838" s="1216"/>
    </row>
    <row r="839" spans="5:36">
      <c r="E839" s="299">
        <v>831</v>
      </c>
      <c r="F839" s="308">
        <f t="shared" ca="1" si="185"/>
        <v>2966.4857273337502</v>
      </c>
      <c r="G839" s="307">
        <f t="shared" ca="1" si="186"/>
        <v>284.1303821730038</v>
      </c>
      <c r="H839" s="306">
        <f t="shared" ca="1" si="187"/>
        <v>0.37037750850712259</v>
      </c>
      <c r="I839" s="305">
        <f t="shared" ca="1" si="189"/>
        <v>107.48533022749774</v>
      </c>
      <c r="J839" s="305">
        <f t="shared" ca="1" si="190"/>
        <v>58.550523365692229</v>
      </c>
      <c r="K839" s="292">
        <f t="shared" ca="1" si="188"/>
        <v>3.7374677764924034</v>
      </c>
      <c r="L839" s="1290">
        <f t="shared" ca="1" si="191"/>
        <v>22.072945516905683</v>
      </c>
      <c r="M839" s="299">
        <v>831</v>
      </c>
      <c r="N839" s="304">
        <f t="shared" si="192"/>
        <v>4298.5374330508348</v>
      </c>
      <c r="O839" s="303">
        <v>260.32233695277358</v>
      </c>
      <c r="P839" s="302">
        <v>0.41437009741607173</v>
      </c>
      <c r="Q839" s="301">
        <v>171.74044350793798</v>
      </c>
      <c r="R839" s="301">
        <v>64.136674094401513</v>
      </c>
      <c r="S839" s="300">
        <v>1.7543931854185346</v>
      </c>
      <c r="T839" s="891">
        <f t="shared" si="193"/>
        <v>2</v>
      </c>
      <c r="U839" s="1220">
        <v>0.2821851372718811</v>
      </c>
      <c r="W839" s="299">
        <v>831</v>
      </c>
      <c r="X839" s="298">
        <f>IF('Donor Sample'!N856="",,IF('Donor Sample'!N856="F",1,0))</f>
        <v>0</v>
      </c>
      <c r="Y839" s="298" t="str">
        <f>IF('Donor Sample'!O856="","",'Donor Sample'!O856)</f>
        <v/>
      </c>
      <c r="Z839" s="298" t="str">
        <f>IF(AND('Donor Sample'!O856="",'Donor Sample'!P856="",'Donor Sample'!Q856=""),"",IF('Donor Sample'!P856="",ROUND(AA839/($C$32+($AI839-0.5)*$C$31),0),'Donor Sample'!P856))</f>
        <v/>
      </c>
      <c r="AA839" s="297" t="str">
        <f>IF('Donor Sample'!Q856="","",'Donor Sample'!Q856)</f>
        <v/>
      </c>
      <c r="AB839" s="296" t="str">
        <f t="shared" si="197"/>
        <v/>
      </c>
      <c r="AC839" s="295" t="str">
        <f>IF('Donor Sample'!R856="","",'Donor Sample'!R856)</f>
        <v/>
      </c>
      <c r="AD839" s="294" t="str">
        <f>IF('Donor Sample'!S856="","",'Donor Sample'!S856/100)</f>
        <v/>
      </c>
      <c r="AE839" s="293" t="e">
        <f t="shared" si="194"/>
        <v>#VALUE!</v>
      </c>
      <c r="AF839" s="293" t="str">
        <f t="shared" si="195"/>
        <v/>
      </c>
      <c r="AG839" s="292" t="str">
        <f>IF('Donor Sample'!T856="","",'Donor Sample'!T856)</f>
        <v/>
      </c>
      <c r="AH839" s="891">
        <f t="shared" si="196"/>
        <v>256</v>
      </c>
      <c r="AI839" s="1220">
        <v>0.86401659250259399</v>
      </c>
      <c r="AJ839" s="1216"/>
    </row>
    <row r="840" spans="5:36">
      <c r="E840" s="299">
        <v>832</v>
      </c>
      <c r="F840" s="308">
        <f t="shared" ca="1" si="185"/>
        <v>3191.6264345802192</v>
      </c>
      <c r="G840" s="307">
        <f t="shared" ca="1" si="186"/>
        <v>281.59126427521073</v>
      </c>
      <c r="H840" s="306">
        <f t="shared" ca="1" si="187"/>
        <v>0.42322292349140228</v>
      </c>
      <c r="I840" s="305">
        <f t="shared" ca="1" si="189"/>
        <v>111.14587328726873</v>
      </c>
      <c r="J840" s="305">
        <f t="shared" ca="1" si="190"/>
        <v>54.34429353858097</v>
      </c>
      <c r="K840" s="292">
        <f t="shared" ca="1" si="188"/>
        <v>3.0105875301810663</v>
      </c>
      <c r="L840" s="1290">
        <f t="shared" ca="1" si="191"/>
        <v>26.494645122654553</v>
      </c>
      <c r="M840" s="299">
        <v>832</v>
      </c>
      <c r="N840" s="304">
        <f t="shared" si="192"/>
        <v>3292.7752193478732</v>
      </c>
      <c r="O840" s="303">
        <v>250.90133027554896</v>
      </c>
      <c r="P840" s="302">
        <v>0.45363914884476797</v>
      </c>
      <c r="Q840" s="301">
        <v>129.13865522636431</v>
      </c>
      <c r="R840" s="301">
        <v>51.124463366671378</v>
      </c>
      <c r="S840" s="300">
        <v>1.5319683877447789</v>
      </c>
      <c r="T840" s="891">
        <f t="shared" si="193"/>
        <v>2</v>
      </c>
      <c r="U840" s="1220">
        <v>0.34098672866821289</v>
      </c>
      <c r="W840" s="299">
        <v>832</v>
      </c>
      <c r="X840" s="298">
        <f>IF('Donor Sample'!N857="",,IF('Donor Sample'!N857="F",1,0))</f>
        <v>0</v>
      </c>
      <c r="Y840" s="298" t="str">
        <f>IF('Donor Sample'!O857="","",'Donor Sample'!O857)</f>
        <v/>
      </c>
      <c r="Z840" s="298" t="str">
        <f>IF(AND('Donor Sample'!O857="",'Donor Sample'!P857="",'Donor Sample'!Q857=""),"",IF('Donor Sample'!P857="",ROUND(AA840/($C$32+($AI840-0.5)*$C$31),0),'Donor Sample'!P857))</f>
        <v/>
      </c>
      <c r="AA840" s="297" t="str">
        <f>IF('Donor Sample'!Q857="","",'Donor Sample'!Q857)</f>
        <v/>
      </c>
      <c r="AB840" s="296" t="str">
        <f t="shared" si="197"/>
        <v/>
      </c>
      <c r="AC840" s="295" t="str">
        <f>IF('Donor Sample'!R857="","",'Donor Sample'!R857)</f>
        <v/>
      </c>
      <c r="AD840" s="294" t="str">
        <f>IF('Donor Sample'!S857="","",'Donor Sample'!S857/100)</f>
        <v/>
      </c>
      <c r="AE840" s="407" t="e">
        <f t="shared" si="194"/>
        <v>#VALUE!</v>
      </c>
      <c r="AF840" s="293" t="str">
        <f t="shared" si="195"/>
        <v/>
      </c>
      <c r="AG840" s="292" t="str">
        <f>IF('Donor Sample'!T857="","",'Donor Sample'!T857)</f>
        <v/>
      </c>
      <c r="AH840" s="891">
        <f t="shared" si="196"/>
        <v>4</v>
      </c>
      <c r="AI840" s="1220">
        <v>0.39871501922607422</v>
      </c>
      <c r="AJ840" s="1216"/>
    </row>
    <row r="841" spans="5:36">
      <c r="E841" s="299">
        <v>833</v>
      </c>
      <c r="F841" s="308">
        <f t="shared" ref="F841:F904" ca="1" si="198">NORMINV(NORMDIST($C$9,$C$7,$C$8,1)+RAND()*(NORMDIST($C$10,$C$7,$C$8,1)-NORMDIST($C$9,$C$7,$C$8,1)),$C$7,$C$8)</f>
        <v>3552.2172551985359</v>
      </c>
      <c r="G841" s="307">
        <f t="shared" ref="G841:G904" ca="1" si="199">NORMINV(NORMDIST($C$13,$C$11,$C$12,1)+RAND()*(NORMDIST($C$14,$C$11,$C$12,1)-NORMDIST($C$13,$C$11,$C$12,1)),$C$11,$C$12)</f>
        <v>309.76037445313392</v>
      </c>
      <c r="H841" s="306">
        <f t="shared" ref="H841:H904" ca="1" si="200">NORMINV(NORMDIST($C$17,$C$15,$C$16,1)+RAND()*(NORMDIST($C$18,$C$15,$C$16,1)-NORMDIST($C$17,$C$15,$C$16,1)),$C$15,$C$16)/100</f>
        <v>0.37556110461143072</v>
      </c>
      <c r="I841" s="305">
        <f t="shared" ca="1" si="189"/>
        <v>142.76748088456114</v>
      </c>
      <c r="J841" s="305">
        <f t="shared" ca="1" si="190"/>
        <v>59.477274578917289</v>
      </c>
      <c r="K841" s="292">
        <f t="shared" ref="K841:K904" ca="1" si="201">$C$23/($C$24+RAND())</f>
        <v>1.4743988312332907</v>
      </c>
      <c r="L841" s="1290">
        <f t="shared" ca="1" si="191"/>
        <v>28.411871140762411</v>
      </c>
      <c r="M841" s="299">
        <v>833</v>
      </c>
      <c r="N841" s="304">
        <f t="shared" si="192"/>
        <v>3192.1348184069984</v>
      </c>
      <c r="O841" s="303">
        <v>199.36328978213601</v>
      </c>
      <c r="P841" s="302">
        <v>0.3952102988770172</v>
      </c>
      <c r="Q841" s="301">
        <v>120.49076918118625</v>
      </c>
      <c r="R841" s="301">
        <v>59.0555286029158</v>
      </c>
      <c r="S841" s="300">
        <v>1.9180920474815493</v>
      </c>
      <c r="T841" s="891">
        <f t="shared" si="193"/>
        <v>256</v>
      </c>
      <c r="U841" s="1220">
        <v>0.91940373182296753</v>
      </c>
      <c r="W841" s="299">
        <v>833</v>
      </c>
      <c r="X841" s="298">
        <f>IF('Donor Sample'!N858="",,IF('Donor Sample'!N858="F",1,0))</f>
        <v>0</v>
      </c>
      <c r="Y841" s="298" t="str">
        <f>IF('Donor Sample'!O858="","",'Donor Sample'!O858)</f>
        <v/>
      </c>
      <c r="Z841" s="298" t="str">
        <f>IF(AND('Donor Sample'!O858="",'Donor Sample'!P858="",'Donor Sample'!Q858=""),"",IF('Donor Sample'!P858="",ROUND(AA841/($C$32+($AI841-0.5)*$C$31),0),'Donor Sample'!P858))</f>
        <v/>
      </c>
      <c r="AA841" s="297" t="str">
        <f>IF('Donor Sample'!Q858="","",'Donor Sample'!Q858)</f>
        <v/>
      </c>
      <c r="AB841" s="296" t="str">
        <f t="shared" si="197"/>
        <v/>
      </c>
      <c r="AC841" s="295" t="str">
        <f>IF('Donor Sample'!R858="","",'Donor Sample'!R858)</f>
        <v/>
      </c>
      <c r="AD841" s="294" t="str">
        <f>IF('Donor Sample'!S858="","",'Donor Sample'!S858/100)</f>
        <v/>
      </c>
      <c r="AE841" s="293" t="e">
        <f t="shared" si="194"/>
        <v>#VALUE!</v>
      </c>
      <c r="AF841" s="293" t="str">
        <f t="shared" si="195"/>
        <v/>
      </c>
      <c r="AG841" s="292" t="str">
        <f>IF('Donor Sample'!T858="","",'Donor Sample'!T858)</f>
        <v/>
      </c>
      <c r="AH841" s="891">
        <f t="shared" si="196"/>
        <v>32</v>
      </c>
      <c r="AI841" s="1220">
        <v>0.83655089139938354</v>
      </c>
      <c r="AJ841" s="1216"/>
    </row>
    <row r="842" spans="5:36">
      <c r="E842" s="299">
        <v>834</v>
      </c>
      <c r="F842" s="308">
        <f t="shared" ca="1" si="198"/>
        <v>3383.7968198591266</v>
      </c>
      <c r="G842" s="307">
        <f t="shared" ca="1" si="199"/>
        <v>257.92419936848336</v>
      </c>
      <c r="H842" s="306">
        <f t="shared" ca="1" si="200"/>
        <v>0.42257771500252844</v>
      </c>
      <c r="I842" s="305">
        <f t="shared" ref="I842:I905" ca="1" si="202">F842/($C$32+(RAND()-0.5)*$C$31)</f>
        <v>123.59665891006975</v>
      </c>
      <c r="J842" s="305">
        <f t="shared" ref="J842:J905" ca="1" si="203">IF(AI842&lt;=$C$33,((F842-604-14.6*I842)/0.006012)^(1/3),((F842-183-15*I842)/0.005835)^(1/3))</f>
        <v>54.53863698583222</v>
      </c>
      <c r="K842" s="292">
        <f t="shared" ca="1" si="201"/>
        <v>7.6812370450811338</v>
      </c>
      <c r="L842" s="1290">
        <f t="shared" ref="L842:L905" ca="1" si="204">704*I842/J842^2</f>
        <v>29.253028223229244</v>
      </c>
      <c r="M842" s="299">
        <v>834</v>
      </c>
      <c r="N842" s="304">
        <f t="shared" ref="N842:N905" si="205">IF(AI842&gt;$C$33,183+0.005835*R842^3+15*Q842,604+0.006012*R842^3+14.6*Q842)</f>
        <v>3002.8022234976861</v>
      </c>
      <c r="O842" s="303">
        <v>245.09285756808072</v>
      </c>
      <c r="P842" s="302">
        <v>0.35928512315552297</v>
      </c>
      <c r="Q842" s="301">
        <v>98.785084397148978</v>
      </c>
      <c r="R842" s="301">
        <v>54.186951652572198</v>
      </c>
      <c r="S842" s="300">
        <v>3.15372575199022</v>
      </c>
      <c r="T842" s="891">
        <f t="shared" ref="T842:T905" si="206">HLOOKUP(U842,$AL$32:$AT$34,3)</f>
        <v>256</v>
      </c>
      <c r="U842" s="1220">
        <v>0.85718739032745361</v>
      </c>
      <c r="W842" s="299">
        <v>834</v>
      </c>
      <c r="X842" s="298">
        <f>IF('Donor Sample'!N859="",,IF('Donor Sample'!N859="F",1,0))</f>
        <v>0</v>
      </c>
      <c r="Y842" s="298" t="str">
        <f>IF('Donor Sample'!O859="","",'Donor Sample'!O859)</f>
        <v/>
      </c>
      <c r="Z842" s="298" t="str">
        <f>IF(AND('Donor Sample'!O859="",'Donor Sample'!P859="",'Donor Sample'!Q859=""),"",IF('Donor Sample'!P859="",ROUND(AA842/($C$32+($AI842-0.5)*$C$31),0),'Donor Sample'!P859))</f>
        <v/>
      </c>
      <c r="AA842" s="297" t="str">
        <f>IF('Donor Sample'!Q859="","",'Donor Sample'!Q859)</f>
        <v/>
      </c>
      <c r="AB842" s="296" t="str">
        <f t="shared" si="197"/>
        <v/>
      </c>
      <c r="AC842" s="295" t="str">
        <f>IF('Donor Sample'!R859="","",'Donor Sample'!R859)</f>
        <v/>
      </c>
      <c r="AD842" s="294" t="str">
        <f>IF('Donor Sample'!S859="","",'Donor Sample'!S859/100)</f>
        <v/>
      </c>
      <c r="AE842" s="293" t="e">
        <f t="shared" ref="AE842:AE905" si="207">IF($AB$2=1,Z842,2.2*Z842)</f>
        <v>#VALUE!</v>
      </c>
      <c r="AF842" s="293" t="str">
        <f t="shared" ref="AF842:AF905" si="208">IF(AND(Y842="",AA842=""),"",IF(AA842="",IF($AB$2=1,Y842,Y842/2.54),IF(AI842&lt;=$C$33,((AB842-604-14.6*Z842)/0.006012)^(1/3),((AB842-183-15*Z842)/0.005835)^(1/3))))</f>
        <v/>
      </c>
      <c r="AG842" s="292" t="str">
        <f>IF('Donor Sample'!T859="","",'Donor Sample'!T859)</f>
        <v/>
      </c>
      <c r="AH842" s="891">
        <f t="shared" ref="AH842:AH905" si="209">HLOOKUP(AI842,$AL$32:$AT$34,3)</f>
        <v>2</v>
      </c>
      <c r="AI842" s="1220">
        <v>0.33474981784820557</v>
      </c>
      <c r="AJ842" s="1216"/>
    </row>
    <row r="843" spans="5:36">
      <c r="E843" s="299">
        <v>835</v>
      </c>
      <c r="F843" s="308">
        <f t="shared" ca="1" si="198"/>
        <v>3564.000216206834</v>
      </c>
      <c r="G843" s="307">
        <f t="shared" ca="1" si="199"/>
        <v>262.12039103014445</v>
      </c>
      <c r="H843" s="306">
        <f t="shared" ca="1" si="200"/>
        <v>0.35696596493224159</v>
      </c>
      <c r="I843" s="305">
        <f t="shared" ca="1" si="202"/>
        <v>112.91993394563546</v>
      </c>
      <c r="J843" s="305">
        <f t="shared" ca="1" si="203"/>
        <v>60.196143241126578</v>
      </c>
      <c r="K843" s="292">
        <f t="shared" ca="1" si="201"/>
        <v>5.1848183916416177</v>
      </c>
      <c r="L843" s="1290">
        <f t="shared" ca="1" si="204"/>
        <v>21.938450009750429</v>
      </c>
      <c r="M843" s="299">
        <v>835</v>
      </c>
      <c r="N843" s="304">
        <f t="shared" si="205"/>
        <v>3042.6933203696581</v>
      </c>
      <c r="O843" s="303">
        <v>267.03652440288613</v>
      </c>
      <c r="P843" s="302">
        <v>0.52788488826178803</v>
      </c>
      <c r="Q843" s="301">
        <v>100.92498758938348</v>
      </c>
      <c r="R843" s="301">
        <v>54.349771496080578</v>
      </c>
      <c r="S843" s="300">
        <v>1.4312664186183237</v>
      </c>
      <c r="T843" s="891">
        <f t="shared" si="206"/>
        <v>2</v>
      </c>
      <c r="U843" s="1220">
        <v>0.21223241090774536</v>
      </c>
      <c r="W843" s="299">
        <v>835</v>
      </c>
      <c r="X843" s="298">
        <f>IF('Donor Sample'!N860="",,IF('Donor Sample'!N860="F",1,0))</f>
        <v>0</v>
      </c>
      <c r="Y843" s="298" t="str">
        <f>IF('Donor Sample'!O860="","",'Donor Sample'!O860)</f>
        <v/>
      </c>
      <c r="Z843" s="298" t="str">
        <f>IF(AND('Donor Sample'!O860="",'Donor Sample'!P860="",'Donor Sample'!Q860=""),"",IF('Donor Sample'!P860="",ROUND(AA843/($C$32+($AI843-0.5)*$C$31),0),'Donor Sample'!P860))</f>
        <v/>
      </c>
      <c r="AA843" s="297" t="str">
        <f>IF('Donor Sample'!Q860="","",'Donor Sample'!Q860)</f>
        <v/>
      </c>
      <c r="AB843" s="296" t="str">
        <f t="shared" si="197"/>
        <v/>
      </c>
      <c r="AC843" s="295" t="str">
        <f>IF('Donor Sample'!R860="","",'Donor Sample'!R860)</f>
        <v/>
      </c>
      <c r="AD843" s="294" t="str">
        <f>IF('Donor Sample'!S860="","",'Donor Sample'!S860/100)</f>
        <v/>
      </c>
      <c r="AE843" s="407" t="e">
        <f t="shared" si="207"/>
        <v>#VALUE!</v>
      </c>
      <c r="AF843" s="293" t="str">
        <f t="shared" si="208"/>
        <v/>
      </c>
      <c r="AG843" s="292" t="str">
        <f>IF('Donor Sample'!T860="","",'Donor Sample'!T860)</f>
        <v/>
      </c>
      <c r="AH843" s="891">
        <f t="shared" si="209"/>
        <v>64</v>
      </c>
      <c r="AI843" s="1220">
        <v>0.5925334095954895</v>
      </c>
      <c r="AJ843" s="1216"/>
    </row>
    <row r="844" spans="5:36">
      <c r="E844" s="299">
        <v>836</v>
      </c>
      <c r="F844" s="308">
        <f t="shared" ca="1" si="198"/>
        <v>3378.780726419343</v>
      </c>
      <c r="G844" s="307">
        <f t="shared" ca="1" si="199"/>
        <v>248.96314039573326</v>
      </c>
      <c r="H844" s="306">
        <f t="shared" ca="1" si="200"/>
        <v>0.36903747994255781</v>
      </c>
      <c r="I844" s="305">
        <f t="shared" ca="1" si="202"/>
        <v>120.68775083875767</v>
      </c>
      <c r="J844" s="305">
        <f t="shared" ca="1" si="203"/>
        <v>61.922931790568001</v>
      </c>
      <c r="K844" s="292">
        <f t="shared" ca="1" si="201"/>
        <v>2.6145804344764652</v>
      </c>
      <c r="L844" s="1290">
        <f t="shared" ca="1" si="204"/>
        <v>22.158116047567951</v>
      </c>
      <c r="M844" s="299">
        <v>836</v>
      </c>
      <c r="N844" s="304">
        <f t="shared" si="205"/>
        <v>3080.172226447763</v>
      </c>
      <c r="O844" s="303">
        <v>223.72760113499828</v>
      </c>
      <c r="P844" s="302">
        <v>0.38764467146343884</v>
      </c>
      <c r="Q844" s="301">
        <v>103.74185038064238</v>
      </c>
      <c r="R844" s="301">
        <v>61.253950958037784</v>
      </c>
      <c r="S844" s="300">
        <v>1.2657610460069932</v>
      </c>
      <c r="T844" s="891">
        <f t="shared" si="206"/>
        <v>2</v>
      </c>
      <c r="U844" s="1220">
        <v>7.9409360885620117E-2</v>
      </c>
      <c r="W844" s="299">
        <v>836</v>
      </c>
      <c r="X844" s="298">
        <f>IF('Donor Sample'!N861="",,IF('Donor Sample'!N861="F",1,0))</f>
        <v>0</v>
      </c>
      <c r="Y844" s="298" t="str">
        <f>IF('Donor Sample'!O861="","",'Donor Sample'!O861)</f>
        <v/>
      </c>
      <c r="Z844" s="298" t="str">
        <f>IF(AND('Donor Sample'!O861="",'Donor Sample'!P861="",'Donor Sample'!Q861=""),"",IF('Donor Sample'!P861="",ROUND(AA844/($C$32+($AI844-0.5)*$C$31),0),'Donor Sample'!P861))</f>
        <v/>
      </c>
      <c r="AA844" s="297" t="str">
        <f>IF('Donor Sample'!Q861="","",'Donor Sample'!Q861)</f>
        <v/>
      </c>
      <c r="AB844" s="296" t="str">
        <f t="shared" si="197"/>
        <v/>
      </c>
      <c r="AC844" s="295" t="str">
        <f>IF('Donor Sample'!R861="","",'Donor Sample'!R861)</f>
        <v/>
      </c>
      <c r="AD844" s="294" t="str">
        <f>IF('Donor Sample'!S861="","",'Donor Sample'!S861/100)</f>
        <v/>
      </c>
      <c r="AE844" s="293" t="e">
        <f t="shared" si="207"/>
        <v>#VALUE!</v>
      </c>
      <c r="AF844" s="293" t="str">
        <f t="shared" si="208"/>
        <v/>
      </c>
      <c r="AG844" s="292" t="str">
        <f>IF('Donor Sample'!T861="","",'Donor Sample'!T861)</f>
        <v/>
      </c>
      <c r="AH844" s="891">
        <f t="shared" si="209"/>
        <v>8</v>
      </c>
      <c r="AI844" s="1220">
        <v>0.9995415210723877</v>
      </c>
      <c r="AJ844" s="1216"/>
    </row>
    <row r="845" spans="5:36">
      <c r="E845" s="299">
        <v>837</v>
      </c>
      <c r="F845" s="308">
        <f t="shared" ca="1" si="198"/>
        <v>3729.0120316263028</v>
      </c>
      <c r="G845" s="307">
        <f t="shared" ca="1" si="199"/>
        <v>255.35738108699584</v>
      </c>
      <c r="H845" s="306">
        <f t="shared" ca="1" si="200"/>
        <v>0.40759258208804888</v>
      </c>
      <c r="I845" s="305">
        <f t="shared" ca="1" si="202"/>
        <v>115.67111930147442</v>
      </c>
      <c r="J845" s="305">
        <f t="shared" ca="1" si="203"/>
        <v>67.705115935648735</v>
      </c>
      <c r="K845" s="292">
        <f t="shared" ca="1" si="201"/>
        <v>1.3098434825602157</v>
      </c>
      <c r="L845" s="1290">
        <f t="shared" ca="1" si="204"/>
        <v>17.764566948383528</v>
      </c>
      <c r="M845" s="299">
        <v>837</v>
      </c>
      <c r="N845" s="304">
        <f t="shared" si="205"/>
        <v>2872.3034512339937</v>
      </c>
      <c r="O845" s="303">
        <v>183.27131692618482</v>
      </c>
      <c r="P845" s="302">
        <v>0.47465195641688623</v>
      </c>
      <c r="Q845" s="301">
        <v>94.62835478262285</v>
      </c>
      <c r="R845" s="301">
        <v>60.150659644643177</v>
      </c>
      <c r="S845" s="300">
        <v>3.1601342024820163</v>
      </c>
      <c r="T845" s="891">
        <f t="shared" si="206"/>
        <v>4</v>
      </c>
      <c r="U845" s="1220">
        <v>0.36844247579574585</v>
      </c>
      <c r="W845" s="299">
        <v>837</v>
      </c>
      <c r="X845" s="298">
        <f>IF('Donor Sample'!N862="",,IF('Donor Sample'!N862="F",1,0))</f>
        <v>0</v>
      </c>
      <c r="Y845" s="298" t="str">
        <f>IF('Donor Sample'!O862="","",'Donor Sample'!O862)</f>
        <v/>
      </c>
      <c r="Z845" s="298" t="str">
        <f>IF(AND('Donor Sample'!O862="",'Donor Sample'!P862="",'Donor Sample'!Q862=""),"",IF('Donor Sample'!P862="",ROUND(AA845/($C$32+($AI845-0.5)*$C$31),0),'Donor Sample'!P862))</f>
        <v/>
      </c>
      <c r="AA845" s="297" t="str">
        <f>IF('Donor Sample'!Q862="","",'Donor Sample'!Q862)</f>
        <v/>
      </c>
      <c r="AB845" s="296" t="str">
        <f t="shared" si="197"/>
        <v/>
      </c>
      <c r="AC845" s="295" t="str">
        <f>IF('Donor Sample'!R862="","",'Donor Sample'!R862)</f>
        <v/>
      </c>
      <c r="AD845" s="294" t="str">
        <f>IF('Donor Sample'!S862="","",'Donor Sample'!S862/100)</f>
        <v/>
      </c>
      <c r="AE845" s="293" t="e">
        <f t="shared" si="207"/>
        <v>#VALUE!</v>
      </c>
      <c r="AF845" s="293" t="str">
        <f t="shared" si="208"/>
        <v/>
      </c>
      <c r="AG845" s="292" t="str">
        <f>IF('Donor Sample'!T862="","",'Donor Sample'!T862)</f>
        <v/>
      </c>
      <c r="AH845" s="891">
        <f t="shared" si="209"/>
        <v>256</v>
      </c>
      <c r="AI845" s="1220">
        <v>0.92494052648544312</v>
      </c>
      <c r="AJ845" s="1216"/>
    </row>
    <row r="846" spans="5:36">
      <c r="E846" s="299">
        <v>838</v>
      </c>
      <c r="F846" s="308">
        <f t="shared" ca="1" si="198"/>
        <v>3468.1187036715532</v>
      </c>
      <c r="G846" s="307">
        <f t="shared" ca="1" si="199"/>
        <v>176.92002014485311</v>
      </c>
      <c r="H846" s="306">
        <f t="shared" ca="1" si="200"/>
        <v>0.40079599521030551</v>
      </c>
      <c r="I846" s="305">
        <f t="shared" ca="1" si="202"/>
        <v>141.20665760725018</v>
      </c>
      <c r="J846" s="305">
        <f t="shared" ca="1" si="203"/>
        <v>51.106439735971904</v>
      </c>
      <c r="K846" s="292">
        <f t="shared" ca="1" si="201"/>
        <v>2.5778918721355866</v>
      </c>
      <c r="L846" s="1290">
        <f t="shared" ca="1" si="204"/>
        <v>38.06068300922643</v>
      </c>
      <c r="M846" s="299">
        <v>838</v>
      </c>
      <c r="N846" s="304">
        <f t="shared" si="205"/>
        <v>4599.8038764818575</v>
      </c>
      <c r="O846" s="303">
        <v>271.54724200514374</v>
      </c>
      <c r="P846" s="302">
        <v>0.42558524249056195</v>
      </c>
      <c r="Q846" s="301">
        <v>165.62330824026907</v>
      </c>
      <c r="R846" s="301">
        <v>64.022920219992073</v>
      </c>
      <c r="S846" s="300">
        <v>1.2936147493676919</v>
      </c>
      <c r="T846" s="891">
        <f t="shared" si="206"/>
        <v>64</v>
      </c>
      <c r="U846" s="1220">
        <v>0.76715123653411865</v>
      </c>
      <c r="W846" s="299">
        <v>838</v>
      </c>
      <c r="X846" s="298">
        <f>IF('Donor Sample'!N863="",,IF('Donor Sample'!N863="F",1,0))</f>
        <v>0</v>
      </c>
      <c r="Y846" s="298" t="str">
        <f>IF('Donor Sample'!O863="","",'Donor Sample'!O863)</f>
        <v/>
      </c>
      <c r="Z846" s="298" t="str">
        <f>IF(AND('Donor Sample'!O863="",'Donor Sample'!P863="",'Donor Sample'!Q863=""),"",IF('Donor Sample'!P863="",ROUND(AA846/($C$32+($AI846-0.5)*$C$31),0),'Donor Sample'!P863))</f>
        <v/>
      </c>
      <c r="AA846" s="297" t="str">
        <f>IF('Donor Sample'!Q863="","",'Donor Sample'!Q863)</f>
        <v/>
      </c>
      <c r="AB846" s="296" t="str">
        <f t="shared" si="197"/>
        <v/>
      </c>
      <c r="AC846" s="295" t="str">
        <f>IF('Donor Sample'!R863="","",'Donor Sample'!R863)</f>
        <v/>
      </c>
      <c r="AD846" s="294" t="str">
        <f>IF('Donor Sample'!S863="","",'Donor Sample'!S863/100)</f>
        <v/>
      </c>
      <c r="AE846" s="407" t="e">
        <f t="shared" si="207"/>
        <v>#VALUE!</v>
      </c>
      <c r="AF846" s="293" t="str">
        <f t="shared" si="208"/>
        <v/>
      </c>
      <c r="AG846" s="292" t="str">
        <f>IF('Donor Sample'!T863="","",'Donor Sample'!T863)</f>
        <v/>
      </c>
      <c r="AH846" s="891">
        <f t="shared" si="209"/>
        <v>64</v>
      </c>
      <c r="AI846" s="1220">
        <v>0.64697349071502686</v>
      </c>
      <c r="AJ846" s="1216"/>
    </row>
    <row r="847" spans="5:36">
      <c r="E847" s="299">
        <v>839</v>
      </c>
      <c r="F847" s="308">
        <f t="shared" ca="1" si="198"/>
        <v>3091.3315598766239</v>
      </c>
      <c r="G847" s="307">
        <f t="shared" ca="1" si="199"/>
        <v>247.46621306892558</v>
      </c>
      <c r="H847" s="306">
        <f t="shared" ca="1" si="200"/>
        <v>0.44686757104098646</v>
      </c>
      <c r="I847" s="305">
        <f t="shared" ca="1" si="202"/>
        <v>103.60115690363942</v>
      </c>
      <c r="J847" s="305">
        <f t="shared" ca="1" si="203"/>
        <v>54.528738520489341</v>
      </c>
      <c r="K847" s="292">
        <f t="shared" ca="1" si="201"/>
        <v>1.3321809455366374</v>
      </c>
      <c r="L847" s="1290">
        <f t="shared" ca="1" si="204"/>
        <v>24.529368230412519</v>
      </c>
      <c r="M847" s="299">
        <v>839</v>
      </c>
      <c r="N847" s="304">
        <f t="shared" si="205"/>
        <v>3937.2830621585963</v>
      </c>
      <c r="O847" s="303">
        <v>241.1468414307341</v>
      </c>
      <c r="P847" s="302">
        <v>0.47422077871667029</v>
      </c>
      <c r="Q847" s="301">
        <v>146.668640708569</v>
      </c>
      <c r="R847" s="301">
        <v>58.309970539999945</v>
      </c>
      <c r="S847" s="300">
        <v>6.0545210978125326</v>
      </c>
      <c r="T847" s="891">
        <f t="shared" si="206"/>
        <v>16</v>
      </c>
      <c r="U847" s="1220">
        <v>0.96110063791275024</v>
      </c>
      <c r="W847" s="299">
        <v>839</v>
      </c>
      <c r="X847" s="298">
        <f>IF('Donor Sample'!N864="",,IF('Donor Sample'!N864="F",1,0))</f>
        <v>0</v>
      </c>
      <c r="Y847" s="298" t="str">
        <f>IF('Donor Sample'!O864="","",'Donor Sample'!O864)</f>
        <v/>
      </c>
      <c r="Z847" s="298" t="str">
        <f>IF(AND('Donor Sample'!O864="",'Donor Sample'!P864="",'Donor Sample'!Q864=""),"",IF('Donor Sample'!P864="",ROUND(AA847/($C$32+($AI847-0.5)*$C$31),0),'Donor Sample'!P864))</f>
        <v/>
      </c>
      <c r="AA847" s="297" t="str">
        <f>IF('Donor Sample'!Q864="","",'Donor Sample'!Q864)</f>
        <v/>
      </c>
      <c r="AB847" s="296" t="str">
        <f t="shared" si="197"/>
        <v/>
      </c>
      <c r="AC847" s="295" t="str">
        <f>IF('Donor Sample'!R864="","",'Donor Sample'!R864)</f>
        <v/>
      </c>
      <c r="AD847" s="294" t="str">
        <f>IF('Donor Sample'!S864="","",'Donor Sample'!S864/100)</f>
        <v/>
      </c>
      <c r="AE847" s="293" t="e">
        <f t="shared" si="207"/>
        <v>#VALUE!</v>
      </c>
      <c r="AF847" s="293" t="str">
        <f t="shared" si="208"/>
        <v/>
      </c>
      <c r="AG847" s="292" t="str">
        <f>IF('Donor Sample'!T864="","",'Donor Sample'!T864)</f>
        <v/>
      </c>
      <c r="AH847" s="891">
        <f t="shared" si="209"/>
        <v>2</v>
      </c>
      <c r="AI847" s="1220">
        <v>0.17368465662002563</v>
      </c>
      <c r="AJ847" s="1216"/>
    </row>
    <row r="848" spans="5:36">
      <c r="E848" s="299">
        <v>840</v>
      </c>
      <c r="F848" s="308">
        <f t="shared" ca="1" si="198"/>
        <v>3019.8862031013477</v>
      </c>
      <c r="G848" s="307">
        <f t="shared" ca="1" si="199"/>
        <v>290.57388318993424</v>
      </c>
      <c r="H848" s="306">
        <f t="shared" ca="1" si="200"/>
        <v>0.39706970994623747</v>
      </c>
      <c r="I848" s="305">
        <f t="shared" ca="1" si="202"/>
        <v>99.097842815878792</v>
      </c>
      <c r="J848" s="305">
        <f t="shared" ca="1" si="203"/>
        <v>61.396344276014347</v>
      </c>
      <c r="K848" s="292">
        <f t="shared" ca="1" si="201"/>
        <v>1.4335387096305379</v>
      </c>
      <c r="L848" s="1290">
        <f t="shared" ca="1" si="204"/>
        <v>18.507673719003666</v>
      </c>
      <c r="M848" s="299">
        <v>840</v>
      </c>
      <c r="N848" s="304">
        <f t="shared" si="205"/>
        <v>3085.1743987674004</v>
      </c>
      <c r="O848" s="303">
        <v>260.67031372490612</v>
      </c>
      <c r="P848" s="302">
        <v>0.38142097912802486</v>
      </c>
      <c r="Q848" s="301">
        <v>102.28244641544741</v>
      </c>
      <c r="R848" s="301">
        <v>61.660705064202034</v>
      </c>
      <c r="S848" s="300">
        <v>12.341195832039045</v>
      </c>
      <c r="T848" s="891">
        <f t="shared" si="206"/>
        <v>64</v>
      </c>
      <c r="U848" s="1220">
        <v>0.64652538299560547</v>
      </c>
      <c r="W848" s="299">
        <v>840</v>
      </c>
      <c r="X848" s="298">
        <f>IF('Donor Sample'!N865="",,IF('Donor Sample'!N865="F",1,0))</f>
        <v>0</v>
      </c>
      <c r="Y848" s="298" t="str">
        <f>IF('Donor Sample'!O865="","",'Donor Sample'!O865)</f>
        <v/>
      </c>
      <c r="Z848" s="298" t="str">
        <f>IF(AND('Donor Sample'!O865="",'Donor Sample'!P865="",'Donor Sample'!Q865=""),"",IF('Donor Sample'!P865="",ROUND(AA848/($C$32+($AI848-0.5)*$C$31),0),'Donor Sample'!P865))</f>
        <v/>
      </c>
      <c r="AA848" s="297" t="str">
        <f>IF('Donor Sample'!Q865="","",'Donor Sample'!Q865)</f>
        <v/>
      </c>
      <c r="AB848" s="296" t="str">
        <f t="shared" si="197"/>
        <v/>
      </c>
      <c r="AC848" s="295" t="str">
        <f>IF('Donor Sample'!R865="","",'Donor Sample'!R865)</f>
        <v/>
      </c>
      <c r="AD848" s="294" t="str">
        <f>IF('Donor Sample'!S865="","",'Donor Sample'!S865/100)</f>
        <v/>
      </c>
      <c r="AE848" s="293" t="e">
        <f t="shared" si="207"/>
        <v>#VALUE!</v>
      </c>
      <c r="AF848" s="293" t="str">
        <f t="shared" si="208"/>
        <v/>
      </c>
      <c r="AG848" s="292" t="str">
        <f>IF('Donor Sample'!T865="","",'Donor Sample'!T865)</f>
        <v/>
      </c>
      <c r="AH848" s="891">
        <f t="shared" si="209"/>
        <v>16</v>
      </c>
      <c r="AI848" s="1220">
        <v>0.9526209831237793</v>
      </c>
      <c r="AJ848" s="1216"/>
    </row>
    <row r="849" spans="5:36">
      <c r="E849" s="299">
        <v>841</v>
      </c>
      <c r="F849" s="308">
        <f t="shared" ca="1" si="198"/>
        <v>2969.8693188212528</v>
      </c>
      <c r="G849" s="307">
        <f t="shared" ca="1" si="199"/>
        <v>208.144677134728</v>
      </c>
      <c r="H849" s="306">
        <f t="shared" ca="1" si="200"/>
        <v>0.42618014660413522</v>
      </c>
      <c r="I849" s="305">
        <f t="shared" ca="1" si="202"/>
        <v>103.04606385799222</v>
      </c>
      <c r="J849" s="305">
        <f t="shared" ca="1" si="203"/>
        <v>52.32727172431094</v>
      </c>
      <c r="K849" s="292">
        <f t="shared" ca="1" si="201"/>
        <v>2.0695300310599722</v>
      </c>
      <c r="L849" s="1290">
        <f t="shared" ca="1" si="204"/>
        <v>26.494021406589709</v>
      </c>
      <c r="M849" s="299">
        <v>841</v>
      </c>
      <c r="N849" s="304">
        <f t="shared" si="205"/>
        <v>4085.9320116875124</v>
      </c>
      <c r="O849" s="303">
        <v>250.20143980611817</v>
      </c>
      <c r="P849" s="302">
        <v>0.38761476101752801</v>
      </c>
      <c r="Q849" s="301">
        <v>126.65055647643676</v>
      </c>
      <c r="R849" s="301">
        <v>64.760124899355972</v>
      </c>
      <c r="S849" s="300">
        <v>4.8034013903230424</v>
      </c>
      <c r="T849" s="891">
        <f t="shared" si="206"/>
        <v>64</v>
      </c>
      <c r="U849" s="1220">
        <v>0.47593230009078979</v>
      </c>
      <c r="W849" s="299">
        <v>841</v>
      </c>
      <c r="X849" s="298">
        <f>IF('Donor Sample'!N866="",,IF('Donor Sample'!N866="F",1,0))</f>
        <v>0</v>
      </c>
      <c r="Y849" s="298" t="str">
        <f>IF('Donor Sample'!O866="","",'Donor Sample'!O866)</f>
        <v/>
      </c>
      <c r="Z849" s="298" t="str">
        <f>IF(AND('Donor Sample'!O866="",'Donor Sample'!P866="",'Donor Sample'!Q866=""),"",IF('Donor Sample'!P866="",ROUND(AA849/($C$32+($AI849-0.5)*$C$31),0),'Donor Sample'!P866))</f>
        <v/>
      </c>
      <c r="AA849" s="297" t="str">
        <f>IF('Donor Sample'!Q866="","",'Donor Sample'!Q866)</f>
        <v/>
      </c>
      <c r="AB849" s="296" t="str">
        <f t="shared" si="197"/>
        <v/>
      </c>
      <c r="AC849" s="295" t="str">
        <f>IF('Donor Sample'!R866="","",'Donor Sample'!R866)</f>
        <v/>
      </c>
      <c r="AD849" s="294" t="str">
        <f>IF('Donor Sample'!S866="","",'Donor Sample'!S866/100)</f>
        <v/>
      </c>
      <c r="AE849" s="407" t="e">
        <f t="shared" si="207"/>
        <v>#VALUE!</v>
      </c>
      <c r="AF849" s="293" t="str">
        <f t="shared" si="208"/>
        <v/>
      </c>
      <c r="AG849" s="292" t="str">
        <f>IF('Donor Sample'!T866="","",'Donor Sample'!T866)</f>
        <v/>
      </c>
      <c r="AH849" s="891">
        <f t="shared" si="209"/>
        <v>2</v>
      </c>
      <c r="AI849" s="1220">
        <v>0.22610253095626831</v>
      </c>
      <c r="AJ849" s="1216"/>
    </row>
    <row r="850" spans="5:36">
      <c r="E850" s="299">
        <v>842</v>
      </c>
      <c r="F850" s="308">
        <f t="shared" ca="1" si="198"/>
        <v>4381.8802502294229</v>
      </c>
      <c r="G850" s="307">
        <f t="shared" ca="1" si="199"/>
        <v>234.15815099948978</v>
      </c>
      <c r="H850" s="306">
        <f t="shared" ca="1" si="200"/>
        <v>0.37328740317337328</v>
      </c>
      <c r="I850" s="305">
        <f t="shared" ca="1" si="202"/>
        <v>174.98812387333788</v>
      </c>
      <c r="J850" s="305">
        <f t="shared" ca="1" si="203"/>
        <v>58.813294964422411</v>
      </c>
      <c r="K850" s="292">
        <f t="shared" ca="1" si="201"/>
        <v>1.6932847474337214</v>
      </c>
      <c r="L850" s="1290">
        <f t="shared" ca="1" si="204"/>
        <v>35.614775569215098</v>
      </c>
      <c r="M850" s="299">
        <v>842</v>
      </c>
      <c r="N850" s="304">
        <f t="shared" si="205"/>
        <v>4473.7671842040418</v>
      </c>
      <c r="O850" s="303">
        <v>282.19683667757369</v>
      </c>
      <c r="P850" s="302">
        <v>0.39760399530992968</v>
      </c>
      <c r="Q850" s="301">
        <v>163.61641597926547</v>
      </c>
      <c r="R850" s="301">
        <v>62.686716132914022</v>
      </c>
      <c r="S850" s="300">
        <v>6.9230313865120969</v>
      </c>
      <c r="T850" s="891">
        <f t="shared" si="206"/>
        <v>2</v>
      </c>
      <c r="U850" s="1220">
        <v>0.26816809177398682</v>
      </c>
      <c r="W850" s="299">
        <v>842</v>
      </c>
      <c r="X850" s="298">
        <f>IF('Donor Sample'!N867="",,IF('Donor Sample'!N867="F",1,0))</f>
        <v>0</v>
      </c>
      <c r="Y850" s="298" t="str">
        <f>IF('Donor Sample'!O867="","",'Donor Sample'!O867)</f>
        <v/>
      </c>
      <c r="Z850" s="298" t="str">
        <f>IF(AND('Donor Sample'!O867="",'Donor Sample'!P867="",'Donor Sample'!Q867=""),"",IF('Donor Sample'!P867="",ROUND(AA850/($C$32+($AI850-0.5)*$C$31),0),'Donor Sample'!P867))</f>
        <v/>
      </c>
      <c r="AA850" s="297" t="str">
        <f>IF('Donor Sample'!Q867="","",'Donor Sample'!Q867)</f>
        <v/>
      </c>
      <c r="AB850" s="296" t="str">
        <f t="shared" si="197"/>
        <v/>
      </c>
      <c r="AC850" s="295" t="str">
        <f>IF('Donor Sample'!R867="","",'Donor Sample'!R867)</f>
        <v/>
      </c>
      <c r="AD850" s="294" t="str">
        <f>IF('Donor Sample'!S867="","",'Donor Sample'!S867/100)</f>
        <v/>
      </c>
      <c r="AE850" s="293" t="e">
        <f t="shared" si="207"/>
        <v>#VALUE!</v>
      </c>
      <c r="AF850" s="293" t="str">
        <f t="shared" si="208"/>
        <v/>
      </c>
      <c r="AG850" s="292" t="str">
        <f>IF('Donor Sample'!T867="","",'Donor Sample'!T867)</f>
        <v/>
      </c>
      <c r="AH850" s="891">
        <f t="shared" si="209"/>
        <v>64</v>
      </c>
      <c r="AI850" s="1220">
        <v>0.51228630542755127</v>
      </c>
      <c r="AJ850" s="1216"/>
    </row>
    <row r="851" spans="5:36">
      <c r="E851" s="299">
        <v>843</v>
      </c>
      <c r="F851" s="308">
        <f t="shared" ca="1" si="198"/>
        <v>4132.8720173515367</v>
      </c>
      <c r="G851" s="307">
        <f t="shared" ca="1" si="199"/>
        <v>287.05376060763712</v>
      </c>
      <c r="H851" s="306">
        <f t="shared" ca="1" si="200"/>
        <v>0.41276698718211086</v>
      </c>
      <c r="I851" s="305">
        <f t="shared" ca="1" si="202"/>
        <v>127.36676798552307</v>
      </c>
      <c r="J851" s="305">
        <f t="shared" ca="1" si="203"/>
        <v>65.238900415479065</v>
      </c>
      <c r="K851" s="292">
        <f t="shared" ca="1" si="201"/>
        <v>2.5287754403347891</v>
      </c>
      <c r="L851" s="1290">
        <f t="shared" ca="1" si="204"/>
        <v>21.067622243519573</v>
      </c>
      <c r="M851" s="299">
        <v>843</v>
      </c>
      <c r="N851" s="304">
        <f t="shared" si="205"/>
        <v>2879.4083321755056</v>
      </c>
      <c r="O851" s="303">
        <v>214.33337737807645</v>
      </c>
      <c r="P851" s="302">
        <v>0.37065465910904621</v>
      </c>
      <c r="Q851" s="301">
        <v>118.37589302739187</v>
      </c>
      <c r="R851" s="301">
        <v>44.980189840023435</v>
      </c>
      <c r="S851" s="300">
        <v>2.5068925691189099</v>
      </c>
      <c r="T851" s="891">
        <f t="shared" si="206"/>
        <v>2</v>
      </c>
      <c r="U851" s="1220">
        <v>0.23759108781814575</v>
      </c>
      <c r="W851" s="299">
        <v>843</v>
      </c>
      <c r="X851" s="298">
        <f>IF('Donor Sample'!N868="",,IF('Donor Sample'!N868="F",1,0))</f>
        <v>0</v>
      </c>
      <c r="Y851" s="298" t="str">
        <f>IF('Donor Sample'!O868="","",'Donor Sample'!O868)</f>
        <v/>
      </c>
      <c r="Z851" s="298" t="str">
        <f>IF(AND('Donor Sample'!O868="",'Donor Sample'!P868="",'Donor Sample'!Q868=""),"",IF('Donor Sample'!P868="",ROUND(AA851/($C$32+($AI851-0.5)*$C$31),0),'Donor Sample'!P868))</f>
        <v/>
      </c>
      <c r="AA851" s="297" t="str">
        <f>IF('Donor Sample'!Q868="","",'Donor Sample'!Q868)</f>
        <v/>
      </c>
      <c r="AB851" s="296" t="str">
        <f t="shared" si="197"/>
        <v/>
      </c>
      <c r="AC851" s="295" t="str">
        <f>IF('Donor Sample'!R868="","",'Donor Sample'!R868)</f>
        <v/>
      </c>
      <c r="AD851" s="294" t="str">
        <f>IF('Donor Sample'!S868="","",'Donor Sample'!S868/100)</f>
        <v/>
      </c>
      <c r="AE851" s="293" t="e">
        <f t="shared" si="207"/>
        <v>#VALUE!</v>
      </c>
      <c r="AF851" s="293" t="str">
        <f t="shared" si="208"/>
        <v/>
      </c>
      <c r="AG851" s="292" t="str">
        <f>IF('Donor Sample'!T868="","",'Donor Sample'!T868)</f>
        <v/>
      </c>
      <c r="AH851" s="891">
        <f t="shared" si="209"/>
        <v>64</v>
      </c>
      <c r="AI851" s="1220">
        <v>0.52134972810745239</v>
      </c>
      <c r="AJ851" s="1216"/>
    </row>
    <row r="852" spans="5:36">
      <c r="E852" s="299">
        <v>844</v>
      </c>
      <c r="F852" s="308">
        <f t="shared" ca="1" si="198"/>
        <v>3522.2401502954126</v>
      </c>
      <c r="G852" s="307">
        <f t="shared" ca="1" si="199"/>
        <v>195.19686886183084</v>
      </c>
      <c r="H852" s="306">
        <f t="shared" ca="1" si="200"/>
        <v>0.47222394993592709</v>
      </c>
      <c r="I852" s="305">
        <f t="shared" ca="1" si="202"/>
        <v>132.89119030272337</v>
      </c>
      <c r="J852" s="305">
        <f t="shared" ca="1" si="203"/>
        <v>54.589722472574294</v>
      </c>
      <c r="K852" s="292">
        <f t="shared" ca="1" si="201"/>
        <v>3.2009228197384174</v>
      </c>
      <c r="L852" s="1290">
        <f t="shared" ca="1" si="204"/>
        <v>31.394030634325787</v>
      </c>
      <c r="M852" s="299">
        <v>844</v>
      </c>
      <c r="N852" s="304">
        <f t="shared" si="205"/>
        <v>3513.0584912880649</v>
      </c>
      <c r="O852" s="303">
        <v>227.53154947056399</v>
      </c>
      <c r="P852" s="302">
        <v>0.40955126626690264</v>
      </c>
      <c r="Q852" s="301">
        <v>135.38112121323513</v>
      </c>
      <c r="R852" s="301">
        <v>53.729035383690814</v>
      </c>
      <c r="S852" s="300">
        <v>2.6238693525024384</v>
      </c>
      <c r="T852" s="891">
        <f t="shared" si="206"/>
        <v>64</v>
      </c>
      <c r="U852" s="1220">
        <v>0.72843098640441895</v>
      </c>
      <c r="W852" s="299">
        <v>844</v>
      </c>
      <c r="X852" s="298">
        <f>IF('Donor Sample'!N869="",,IF('Donor Sample'!N869="F",1,0))</f>
        <v>0</v>
      </c>
      <c r="Y852" s="298" t="str">
        <f>IF('Donor Sample'!O869="","",'Donor Sample'!O869)</f>
        <v/>
      </c>
      <c r="Z852" s="298" t="str">
        <f>IF(AND('Donor Sample'!O869="",'Donor Sample'!P869="",'Donor Sample'!Q869=""),"",IF('Donor Sample'!P869="",ROUND(AA852/($C$32+($AI852-0.5)*$C$31),0),'Donor Sample'!P869))</f>
        <v/>
      </c>
      <c r="AA852" s="297" t="str">
        <f>IF('Donor Sample'!Q869="","",'Donor Sample'!Q869)</f>
        <v/>
      </c>
      <c r="AB852" s="296" t="str">
        <f t="shared" si="197"/>
        <v/>
      </c>
      <c r="AC852" s="295" t="str">
        <f>IF('Donor Sample'!R869="","",'Donor Sample'!R869)</f>
        <v/>
      </c>
      <c r="AD852" s="294" t="str">
        <f>IF('Donor Sample'!S869="","",'Donor Sample'!S869/100)</f>
        <v/>
      </c>
      <c r="AE852" s="407" t="e">
        <f t="shared" si="207"/>
        <v>#VALUE!</v>
      </c>
      <c r="AF852" s="293" t="str">
        <f t="shared" si="208"/>
        <v/>
      </c>
      <c r="AG852" s="292" t="str">
        <f>IF('Donor Sample'!T869="","",'Donor Sample'!T869)</f>
        <v/>
      </c>
      <c r="AH852" s="891">
        <f t="shared" si="209"/>
        <v>2</v>
      </c>
      <c r="AI852" s="1220">
        <v>0.32881522178649902</v>
      </c>
      <c r="AJ852" s="1216"/>
    </row>
    <row r="853" spans="5:36">
      <c r="E853" s="299">
        <v>845</v>
      </c>
      <c r="F853" s="308">
        <f t="shared" ca="1" si="198"/>
        <v>2865.2735341705957</v>
      </c>
      <c r="G853" s="307">
        <f t="shared" ca="1" si="199"/>
        <v>212.07678195359375</v>
      </c>
      <c r="H853" s="306">
        <f t="shared" ca="1" si="200"/>
        <v>0.51635764098893699</v>
      </c>
      <c r="I853" s="305">
        <f t="shared" ca="1" si="202"/>
        <v>108.84758217067342</v>
      </c>
      <c r="J853" s="305">
        <f t="shared" ca="1" si="203"/>
        <v>48.173114291022124</v>
      </c>
      <c r="K853" s="292">
        <f t="shared" ca="1" si="201"/>
        <v>1.6765870848982927</v>
      </c>
      <c r="L853" s="1290">
        <f t="shared" ca="1" si="204"/>
        <v>33.020374823164737</v>
      </c>
      <c r="M853" s="299">
        <v>845</v>
      </c>
      <c r="N853" s="304">
        <f t="shared" si="205"/>
        <v>3107.6779654564048</v>
      </c>
      <c r="O853" s="303">
        <v>305.72451222161425</v>
      </c>
      <c r="P853" s="302">
        <v>0.43440843196690382</v>
      </c>
      <c r="Q853" s="301">
        <v>108.45731983703027</v>
      </c>
      <c r="R853" s="301">
        <v>53.491887767613981</v>
      </c>
      <c r="S853" s="300">
        <v>2.0419882981315731</v>
      </c>
      <c r="T853" s="891">
        <f t="shared" si="206"/>
        <v>64</v>
      </c>
      <c r="U853" s="1220">
        <v>0.74608463048934937</v>
      </c>
      <c r="W853" s="299">
        <v>845</v>
      </c>
      <c r="X853" s="298">
        <f>IF('Donor Sample'!N870="",,IF('Donor Sample'!N870="F",1,0))</f>
        <v>0</v>
      </c>
      <c r="Y853" s="298" t="str">
        <f>IF('Donor Sample'!O870="","",'Donor Sample'!O870)</f>
        <v/>
      </c>
      <c r="Z853" s="298" t="str">
        <f>IF(AND('Donor Sample'!O870="",'Donor Sample'!P870="",'Donor Sample'!Q870=""),"",IF('Donor Sample'!P870="",ROUND(AA853/($C$32+($AI853-0.5)*$C$31),0),'Donor Sample'!P870))</f>
        <v/>
      </c>
      <c r="AA853" s="297" t="str">
        <f>IF('Donor Sample'!Q870="","",'Donor Sample'!Q870)</f>
        <v/>
      </c>
      <c r="AB853" s="296" t="str">
        <f t="shared" si="197"/>
        <v/>
      </c>
      <c r="AC853" s="295" t="str">
        <f>IF('Donor Sample'!R870="","",'Donor Sample'!R870)</f>
        <v/>
      </c>
      <c r="AD853" s="294" t="str">
        <f>IF('Donor Sample'!S870="","",'Donor Sample'!S870/100)</f>
        <v/>
      </c>
      <c r="AE853" s="293" t="e">
        <f t="shared" si="207"/>
        <v>#VALUE!</v>
      </c>
      <c r="AF853" s="293" t="str">
        <f t="shared" si="208"/>
        <v/>
      </c>
      <c r="AG853" s="292" t="str">
        <f>IF('Donor Sample'!T870="","",'Donor Sample'!T870)</f>
        <v/>
      </c>
      <c r="AH853" s="891">
        <f t="shared" si="209"/>
        <v>2</v>
      </c>
      <c r="AI853" s="1220">
        <v>8.9951455593109131E-2</v>
      </c>
      <c r="AJ853" s="1216"/>
    </row>
    <row r="854" spans="5:36">
      <c r="E854" s="299">
        <v>846</v>
      </c>
      <c r="F854" s="308">
        <f t="shared" ca="1" si="198"/>
        <v>2974.3960560692767</v>
      </c>
      <c r="G854" s="307">
        <f t="shared" ca="1" si="199"/>
        <v>193.41605532815498</v>
      </c>
      <c r="H854" s="306">
        <f t="shared" ca="1" si="200"/>
        <v>0.42344581759195921</v>
      </c>
      <c r="I854" s="305">
        <f t="shared" ca="1" si="202"/>
        <v>99.639459109644193</v>
      </c>
      <c r="J854" s="305">
        <f t="shared" ca="1" si="203"/>
        <v>53.403749428741811</v>
      </c>
      <c r="K854" s="292">
        <f t="shared" ca="1" si="201"/>
        <v>2.1362480606054302</v>
      </c>
      <c r="L854" s="1290">
        <f t="shared" ca="1" si="204"/>
        <v>24.595775561412669</v>
      </c>
      <c r="M854" s="299">
        <v>846</v>
      </c>
      <c r="N854" s="304">
        <f t="shared" si="205"/>
        <v>3313.955860290137</v>
      </c>
      <c r="O854" s="303">
        <v>258.18552309128785</v>
      </c>
      <c r="P854" s="302">
        <v>0.41560203024514125</v>
      </c>
      <c r="Q854" s="301">
        <v>107.24833719250765</v>
      </c>
      <c r="R854" s="301">
        <v>57.519992113744635</v>
      </c>
      <c r="S854" s="300">
        <v>5.5066649659181639</v>
      </c>
      <c r="T854" s="891">
        <f t="shared" si="206"/>
        <v>2</v>
      </c>
      <c r="U854" s="1220">
        <v>0.16010367870330811</v>
      </c>
      <c r="W854" s="299">
        <v>846</v>
      </c>
      <c r="X854" s="298">
        <f>IF('Donor Sample'!N871="",,IF('Donor Sample'!N871="F",1,0))</f>
        <v>0</v>
      </c>
      <c r="Y854" s="298" t="str">
        <f>IF('Donor Sample'!O871="","",'Donor Sample'!O871)</f>
        <v/>
      </c>
      <c r="Z854" s="298" t="str">
        <f>IF(AND('Donor Sample'!O871="",'Donor Sample'!P871="",'Donor Sample'!Q871=""),"",IF('Donor Sample'!P871="",ROUND(AA854/($C$32+($AI854-0.5)*$C$31),0),'Donor Sample'!P871))</f>
        <v/>
      </c>
      <c r="AA854" s="297" t="str">
        <f>IF('Donor Sample'!Q871="","",'Donor Sample'!Q871)</f>
        <v/>
      </c>
      <c r="AB854" s="296" t="str">
        <f t="shared" si="197"/>
        <v/>
      </c>
      <c r="AC854" s="295" t="str">
        <f>IF('Donor Sample'!R871="","",'Donor Sample'!R871)</f>
        <v/>
      </c>
      <c r="AD854" s="294" t="str">
        <f>IF('Donor Sample'!S871="","",'Donor Sample'!S871/100)</f>
        <v/>
      </c>
      <c r="AE854" s="293" t="e">
        <f t="shared" si="207"/>
        <v>#VALUE!</v>
      </c>
      <c r="AF854" s="293" t="str">
        <f t="shared" si="208"/>
        <v/>
      </c>
      <c r="AG854" s="292" t="str">
        <f>IF('Donor Sample'!T871="","",'Donor Sample'!T871)</f>
        <v/>
      </c>
      <c r="AH854" s="891">
        <f t="shared" si="209"/>
        <v>2</v>
      </c>
      <c r="AI854" s="1220">
        <v>0.19344460964202881</v>
      </c>
      <c r="AJ854" s="1216"/>
    </row>
    <row r="855" spans="5:36">
      <c r="E855" s="299">
        <v>847</v>
      </c>
      <c r="F855" s="308">
        <f t="shared" ca="1" si="198"/>
        <v>4166.5915260771026</v>
      </c>
      <c r="G855" s="307">
        <f t="shared" ca="1" si="199"/>
        <v>302.78425461975655</v>
      </c>
      <c r="H855" s="306">
        <f t="shared" ca="1" si="200"/>
        <v>0.36285711333445164</v>
      </c>
      <c r="I855" s="305">
        <f t="shared" ca="1" si="202"/>
        <v>153.42555229343822</v>
      </c>
      <c r="J855" s="305">
        <f t="shared" ca="1" si="203"/>
        <v>66.061175707046644</v>
      </c>
      <c r="K855" s="292">
        <f t="shared" ca="1" si="201"/>
        <v>10.623752117099089</v>
      </c>
      <c r="L855" s="1290">
        <f t="shared" ca="1" si="204"/>
        <v>24.750145541271579</v>
      </c>
      <c r="M855" s="299">
        <v>847</v>
      </c>
      <c r="N855" s="304">
        <f t="shared" si="205"/>
        <v>2565.3631204805965</v>
      </c>
      <c r="O855" s="303">
        <v>269.10379212045444</v>
      </c>
      <c r="P855" s="302">
        <v>0.39956529104315736</v>
      </c>
      <c r="Q855" s="301">
        <v>88.448751369549242</v>
      </c>
      <c r="R855" s="301">
        <v>56.557543935461709</v>
      </c>
      <c r="S855" s="300">
        <v>3.2852561632160624</v>
      </c>
      <c r="T855" s="891">
        <f t="shared" si="206"/>
        <v>64</v>
      </c>
      <c r="U855" s="1220">
        <v>0.70460659265518188</v>
      </c>
      <c r="W855" s="299">
        <v>847</v>
      </c>
      <c r="X855" s="298">
        <f>IF('Donor Sample'!N872="",,IF('Donor Sample'!N872="F",1,0))</f>
        <v>0</v>
      </c>
      <c r="Y855" s="298" t="str">
        <f>IF('Donor Sample'!O872="","",'Donor Sample'!O872)</f>
        <v/>
      </c>
      <c r="Z855" s="298" t="str">
        <f>IF(AND('Donor Sample'!O872="",'Donor Sample'!P872="",'Donor Sample'!Q872=""),"",IF('Donor Sample'!P872="",ROUND(AA855/($C$32+($AI855-0.5)*$C$31),0),'Donor Sample'!P872))</f>
        <v/>
      </c>
      <c r="AA855" s="297" t="str">
        <f>IF('Donor Sample'!Q872="","",'Donor Sample'!Q872)</f>
        <v/>
      </c>
      <c r="AB855" s="296" t="str">
        <f t="shared" si="197"/>
        <v/>
      </c>
      <c r="AC855" s="295" t="str">
        <f>IF('Donor Sample'!R872="","",'Donor Sample'!R872)</f>
        <v/>
      </c>
      <c r="AD855" s="294" t="str">
        <f>IF('Donor Sample'!S872="","",'Donor Sample'!S872/100)</f>
        <v/>
      </c>
      <c r="AE855" s="407" t="e">
        <f t="shared" si="207"/>
        <v>#VALUE!</v>
      </c>
      <c r="AF855" s="293" t="str">
        <f t="shared" si="208"/>
        <v/>
      </c>
      <c r="AG855" s="292" t="str">
        <f>IF('Donor Sample'!T872="","",'Donor Sample'!T872)</f>
        <v/>
      </c>
      <c r="AH855" s="891">
        <f t="shared" si="209"/>
        <v>256</v>
      </c>
      <c r="AI855" s="1220">
        <v>0.90975958108901978</v>
      </c>
      <c r="AJ855" s="1216"/>
    </row>
    <row r="856" spans="5:36">
      <c r="E856" s="299">
        <v>848</v>
      </c>
      <c r="F856" s="308">
        <f t="shared" ca="1" si="198"/>
        <v>3326.6850376353718</v>
      </c>
      <c r="G856" s="307">
        <f t="shared" ca="1" si="199"/>
        <v>255.42861894474552</v>
      </c>
      <c r="H856" s="306">
        <f t="shared" ca="1" si="200"/>
        <v>0.43447129394577894</v>
      </c>
      <c r="I856" s="305">
        <f t="shared" ca="1" si="202"/>
        <v>102.61505705764111</v>
      </c>
      <c r="J856" s="305">
        <f t="shared" ca="1" si="203"/>
        <v>58.836552992085466</v>
      </c>
      <c r="K856" s="292">
        <f t="shared" ca="1" si="201"/>
        <v>4.972339460191102</v>
      </c>
      <c r="L856" s="1290">
        <f t="shared" ca="1" si="204"/>
        <v>20.868407458840647</v>
      </c>
      <c r="M856" s="299">
        <v>848</v>
      </c>
      <c r="N856" s="304">
        <f t="shared" si="205"/>
        <v>3191.7860509879883</v>
      </c>
      <c r="O856" s="303">
        <v>223.36670355144435</v>
      </c>
      <c r="P856" s="302">
        <v>0.45140907785492085</v>
      </c>
      <c r="Q856" s="301">
        <v>125.07013671055269</v>
      </c>
      <c r="R856" s="301">
        <v>50.226562325648629</v>
      </c>
      <c r="S856" s="300">
        <v>7.0181847902554431</v>
      </c>
      <c r="T856" s="891">
        <f t="shared" si="206"/>
        <v>2</v>
      </c>
      <c r="U856" s="1220">
        <v>0.14891767501831055</v>
      </c>
      <c r="W856" s="299">
        <v>848</v>
      </c>
      <c r="X856" s="298">
        <f>IF('Donor Sample'!N873="",,IF('Donor Sample'!N873="F",1,0))</f>
        <v>0</v>
      </c>
      <c r="Y856" s="298" t="str">
        <f>IF('Donor Sample'!O873="","",'Donor Sample'!O873)</f>
        <v/>
      </c>
      <c r="Z856" s="298" t="str">
        <f>IF(AND('Donor Sample'!O873="",'Donor Sample'!P873="",'Donor Sample'!Q873=""),"",IF('Donor Sample'!P873="",ROUND(AA856/($C$32+($AI856-0.5)*$C$31),0),'Donor Sample'!P873))</f>
        <v/>
      </c>
      <c r="AA856" s="297" t="str">
        <f>IF('Donor Sample'!Q873="","",'Donor Sample'!Q873)</f>
        <v/>
      </c>
      <c r="AB856" s="296" t="str">
        <f t="shared" si="197"/>
        <v/>
      </c>
      <c r="AC856" s="295" t="str">
        <f>IF('Donor Sample'!R873="","",'Donor Sample'!R873)</f>
        <v/>
      </c>
      <c r="AD856" s="294" t="str">
        <f>IF('Donor Sample'!S873="","",'Donor Sample'!S873/100)</f>
        <v/>
      </c>
      <c r="AE856" s="293" t="e">
        <f t="shared" si="207"/>
        <v>#VALUE!</v>
      </c>
      <c r="AF856" s="293" t="str">
        <f t="shared" si="208"/>
        <v/>
      </c>
      <c r="AG856" s="292" t="str">
        <f>IF('Donor Sample'!T873="","",'Donor Sample'!T873)</f>
        <v/>
      </c>
      <c r="AH856" s="891">
        <f t="shared" si="209"/>
        <v>2</v>
      </c>
      <c r="AI856" s="1220">
        <v>0.11793136596679688</v>
      </c>
      <c r="AJ856" s="1216"/>
    </row>
    <row r="857" spans="5:36">
      <c r="E857" s="299">
        <v>849</v>
      </c>
      <c r="F857" s="308">
        <f t="shared" ca="1" si="198"/>
        <v>3014.3104341048861</v>
      </c>
      <c r="G857" s="307">
        <f t="shared" ca="1" si="199"/>
        <v>273.71385412510898</v>
      </c>
      <c r="H857" s="306">
        <f t="shared" ca="1" si="200"/>
        <v>0.40904366671119663</v>
      </c>
      <c r="I857" s="305">
        <f t="shared" ca="1" si="202"/>
        <v>104.49492603468534</v>
      </c>
      <c r="J857" s="305">
        <f t="shared" ca="1" si="203"/>
        <v>52.794638169152975</v>
      </c>
      <c r="K857" s="292">
        <f t="shared" ca="1" si="201"/>
        <v>2.0409045023901489</v>
      </c>
      <c r="L857" s="1290">
        <f t="shared" ca="1" si="204"/>
        <v>26.392967714934887</v>
      </c>
      <c r="M857" s="299">
        <v>849</v>
      </c>
      <c r="N857" s="304">
        <f t="shared" si="205"/>
        <v>4381.6668172337795</v>
      </c>
      <c r="O857" s="303">
        <v>270.35353760707545</v>
      </c>
      <c r="P857" s="302">
        <v>0.37704249713230326</v>
      </c>
      <c r="Q857" s="301">
        <v>180.50566468986131</v>
      </c>
      <c r="R857" s="301">
        <v>57.48903978542112</v>
      </c>
      <c r="S857" s="300">
        <v>1.7533534873169057</v>
      </c>
      <c r="T857" s="891">
        <f t="shared" si="206"/>
        <v>2</v>
      </c>
      <c r="U857" s="1220">
        <v>0.27002495527267456</v>
      </c>
      <c r="W857" s="299">
        <v>849</v>
      </c>
      <c r="X857" s="298">
        <f>IF('Donor Sample'!N874="",,IF('Donor Sample'!N874="F",1,0))</f>
        <v>0</v>
      </c>
      <c r="Y857" s="298" t="str">
        <f>IF('Donor Sample'!O874="","",'Donor Sample'!O874)</f>
        <v/>
      </c>
      <c r="Z857" s="298" t="str">
        <f>IF(AND('Donor Sample'!O874="",'Donor Sample'!P874="",'Donor Sample'!Q874=""),"",IF('Donor Sample'!P874="",ROUND(AA857/($C$32+($AI857-0.5)*$C$31),0),'Donor Sample'!P874))</f>
        <v/>
      </c>
      <c r="AA857" s="297" t="str">
        <f>IF('Donor Sample'!Q874="","",'Donor Sample'!Q874)</f>
        <v/>
      </c>
      <c r="AB857" s="296" t="str">
        <f t="shared" si="197"/>
        <v/>
      </c>
      <c r="AC857" s="295" t="str">
        <f>IF('Donor Sample'!R874="","",'Donor Sample'!R874)</f>
        <v/>
      </c>
      <c r="AD857" s="294" t="str">
        <f>IF('Donor Sample'!S874="","",'Donor Sample'!S874/100)</f>
        <v/>
      </c>
      <c r="AE857" s="293" t="e">
        <f t="shared" si="207"/>
        <v>#VALUE!</v>
      </c>
      <c r="AF857" s="293" t="str">
        <f t="shared" si="208"/>
        <v/>
      </c>
      <c r="AG857" s="292" t="str">
        <f>IF('Donor Sample'!T874="","",'Donor Sample'!T874)</f>
        <v/>
      </c>
      <c r="AH857" s="891">
        <f t="shared" si="209"/>
        <v>2</v>
      </c>
      <c r="AI857" s="1220">
        <v>0.10956591367721558</v>
      </c>
      <c r="AJ857" s="1216"/>
    </row>
    <row r="858" spans="5:36">
      <c r="E858" s="299">
        <v>850</v>
      </c>
      <c r="F858" s="308">
        <f t="shared" ca="1" si="198"/>
        <v>3111.6204330384803</v>
      </c>
      <c r="G858" s="307">
        <f t="shared" ca="1" si="199"/>
        <v>232.7651474441023</v>
      </c>
      <c r="H858" s="306">
        <f t="shared" ca="1" si="200"/>
        <v>0.38337044989714386</v>
      </c>
      <c r="I858" s="305">
        <f t="shared" ca="1" si="202"/>
        <v>118.03365816136241</v>
      </c>
      <c r="J858" s="305">
        <f t="shared" ca="1" si="203"/>
        <v>50.71772580568625</v>
      </c>
      <c r="K858" s="292">
        <f t="shared" ca="1" si="201"/>
        <v>2.2845939768194912</v>
      </c>
      <c r="L858" s="1290">
        <f t="shared" ca="1" si="204"/>
        <v>32.304199484940341</v>
      </c>
      <c r="M858" s="299">
        <v>850</v>
      </c>
      <c r="N858" s="304">
        <f t="shared" si="205"/>
        <v>3205.3712855283911</v>
      </c>
      <c r="O858" s="303">
        <v>237.62553841346704</v>
      </c>
      <c r="P858" s="302">
        <v>0.39886646853531649</v>
      </c>
      <c r="Q858" s="301">
        <v>120.54159506373539</v>
      </c>
      <c r="R858" s="301">
        <v>51.920498763503701</v>
      </c>
      <c r="S858" s="300">
        <v>13.244755125413452</v>
      </c>
      <c r="T858" s="891">
        <f t="shared" si="206"/>
        <v>64</v>
      </c>
      <c r="U858" s="1220">
        <v>0.48208153247833252</v>
      </c>
      <c r="W858" s="299">
        <v>850</v>
      </c>
      <c r="X858" s="298">
        <f>IF('Donor Sample'!N875="",,IF('Donor Sample'!N875="F",1,0))</f>
        <v>0</v>
      </c>
      <c r="Y858" s="298" t="str">
        <f>IF('Donor Sample'!O875="","",'Donor Sample'!O875)</f>
        <v/>
      </c>
      <c r="Z858" s="298" t="str">
        <f>IF(AND('Donor Sample'!O875="",'Donor Sample'!P875="",'Donor Sample'!Q875=""),"",IF('Donor Sample'!P875="",ROUND(AA858/($C$32+($AI858-0.5)*$C$31),0),'Donor Sample'!P875))</f>
        <v/>
      </c>
      <c r="AA858" s="297" t="str">
        <f>IF('Donor Sample'!Q875="","",'Donor Sample'!Q875)</f>
        <v/>
      </c>
      <c r="AB858" s="296" t="str">
        <f t="shared" si="197"/>
        <v/>
      </c>
      <c r="AC858" s="295" t="str">
        <f>IF('Donor Sample'!R875="","",'Donor Sample'!R875)</f>
        <v/>
      </c>
      <c r="AD858" s="294" t="str">
        <f>IF('Donor Sample'!S875="","",'Donor Sample'!S875/100)</f>
        <v/>
      </c>
      <c r="AE858" s="407" t="e">
        <f t="shared" si="207"/>
        <v>#VALUE!</v>
      </c>
      <c r="AF858" s="293" t="str">
        <f t="shared" si="208"/>
        <v/>
      </c>
      <c r="AG858" s="292" t="str">
        <f>IF('Donor Sample'!T875="","",'Donor Sample'!T875)</f>
        <v/>
      </c>
      <c r="AH858" s="891">
        <f t="shared" si="209"/>
        <v>2</v>
      </c>
      <c r="AI858" s="1220">
        <v>0.22371256351470947</v>
      </c>
      <c r="AJ858" s="1216"/>
    </row>
    <row r="859" spans="5:36">
      <c r="E859" s="299">
        <v>851</v>
      </c>
      <c r="F859" s="308">
        <f t="shared" ca="1" si="198"/>
        <v>3876.1552452133869</v>
      </c>
      <c r="G859" s="307">
        <f t="shared" ca="1" si="199"/>
        <v>283.5322163236317</v>
      </c>
      <c r="H859" s="306">
        <f t="shared" ca="1" si="200"/>
        <v>0.40627021143647724</v>
      </c>
      <c r="I859" s="305">
        <f t="shared" ca="1" si="202"/>
        <v>132.39219151646745</v>
      </c>
      <c r="J859" s="305">
        <f t="shared" ca="1" si="203"/>
        <v>66.387653314172312</v>
      </c>
      <c r="K859" s="292">
        <f t="shared" ca="1" si="201"/>
        <v>2.9282385708647829</v>
      </c>
      <c r="L859" s="1290">
        <f t="shared" ca="1" si="204"/>
        <v>21.147566318792073</v>
      </c>
      <c r="M859" s="299">
        <v>851</v>
      </c>
      <c r="N859" s="304">
        <f t="shared" si="205"/>
        <v>3671.012994556032</v>
      </c>
      <c r="O859" s="303">
        <v>272.17766148898602</v>
      </c>
      <c r="P859" s="302">
        <v>0.37835462009477538</v>
      </c>
      <c r="Q859" s="301">
        <v>120.82120469327167</v>
      </c>
      <c r="R859" s="301">
        <v>65.975804996440786</v>
      </c>
      <c r="S859" s="300">
        <v>1.7625652749722216</v>
      </c>
      <c r="T859" s="891">
        <f t="shared" si="206"/>
        <v>2</v>
      </c>
      <c r="U859" s="1220">
        <v>0.30727654695510864</v>
      </c>
      <c r="W859" s="299">
        <v>851</v>
      </c>
      <c r="X859" s="298">
        <f>IF('Donor Sample'!N876="",,IF('Donor Sample'!N876="F",1,0))</f>
        <v>0</v>
      </c>
      <c r="Y859" s="298" t="str">
        <f>IF('Donor Sample'!O876="","",'Donor Sample'!O876)</f>
        <v/>
      </c>
      <c r="Z859" s="298" t="str">
        <f>IF(AND('Donor Sample'!O876="",'Donor Sample'!P876="",'Donor Sample'!Q876=""),"",IF('Donor Sample'!P876="",ROUND(AA859/($C$32+($AI859-0.5)*$C$31),0),'Donor Sample'!P876))</f>
        <v/>
      </c>
      <c r="AA859" s="297" t="str">
        <f>IF('Donor Sample'!Q876="","",'Donor Sample'!Q876)</f>
        <v/>
      </c>
      <c r="AB859" s="296" t="str">
        <f t="shared" si="197"/>
        <v/>
      </c>
      <c r="AC859" s="295" t="str">
        <f>IF('Donor Sample'!R876="","",'Donor Sample'!R876)</f>
        <v/>
      </c>
      <c r="AD859" s="294" t="str">
        <f>IF('Donor Sample'!S876="","",'Donor Sample'!S876/100)</f>
        <v/>
      </c>
      <c r="AE859" s="293" t="e">
        <f t="shared" si="207"/>
        <v>#VALUE!</v>
      </c>
      <c r="AF859" s="293" t="str">
        <f t="shared" si="208"/>
        <v/>
      </c>
      <c r="AG859" s="292" t="str">
        <f>IF('Donor Sample'!T876="","",'Donor Sample'!T876)</f>
        <v/>
      </c>
      <c r="AH859" s="891">
        <f t="shared" si="209"/>
        <v>32</v>
      </c>
      <c r="AI859" s="1220">
        <v>0.80162173509597778</v>
      </c>
      <c r="AJ859" s="1216"/>
    </row>
    <row r="860" spans="5:36">
      <c r="E860" s="299">
        <v>852</v>
      </c>
      <c r="F860" s="308">
        <f t="shared" ca="1" si="198"/>
        <v>3596.0378946128549</v>
      </c>
      <c r="G860" s="307">
        <f t="shared" ca="1" si="199"/>
        <v>242.03993827802464</v>
      </c>
      <c r="H860" s="306">
        <f t="shared" ca="1" si="200"/>
        <v>0.44642282768163893</v>
      </c>
      <c r="I860" s="305">
        <f t="shared" ca="1" si="202"/>
        <v>117.57917668248436</v>
      </c>
      <c r="J860" s="305">
        <f t="shared" ca="1" si="203"/>
        <v>59.640383513378097</v>
      </c>
      <c r="K860" s="292">
        <f t="shared" ca="1" si="201"/>
        <v>2.848168282163595</v>
      </c>
      <c r="L860" s="1290">
        <f t="shared" ca="1" si="204"/>
        <v>23.271384348033781</v>
      </c>
      <c r="M860" s="299">
        <v>852</v>
      </c>
      <c r="N860" s="304">
        <f t="shared" si="205"/>
        <v>2798.2488751155474</v>
      </c>
      <c r="O860" s="303">
        <v>274.253857979533</v>
      </c>
      <c r="P860" s="302">
        <v>0.36020122480414501</v>
      </c>
      <c r="Q860" s="301">
        <v>90.047670115444888</v>
      </c>
      <c r="R860" s="301">
        <v>52.692361528520486</v>
      </c>
      <c r="S860" s="300">
        <v>2.1150777544536465</v>
      </c>
      <c r="T860" s="891">
        <f t="shared" si="206"/>
        <v>256</v>
      </c>
      <c r="U860" s="1220">
        <v>0.88509726524353027</v>
      </c>
      <c r="W860" s="299">
        <v>852</v>
      </c>
      <c r="X860" s="298">
        <f>IF('Donor Sample'!N877="",,IF('Donor Sample'!N877="F",1,0))</f>
        <v>0</v>
      </c>
      <c r="Y860" s="298" t="str">
        <f>IF('Donor Sample'!O877="","",'Donor Sample'!O877)</f>
        <v/>
      </c>
      <c r="Z860" s="298" t="str">
        <f>IF(AND('Donor Sample'!O877="",'Donor Sample'!P877="",'Donor Sample'!Q877=""),"",IF('Donor Sample'!P877="",ROUND(AA860/($C$32+($AI860-0.5)*$C$31),0),'Donor Sample'!P877))</f>
        <v/>
      </c>
      <c r="AA860" s="297" t="str">
        <f>IF('Donor Sample'!Q877="","",'Donor Sample'!Q877)</f>
        <v/>
      </c>
      <c r="AB860" s="296" t="str">
        <f t="shared" si="197"/>
        <v/>
      </c>
      <c r="AC860" s="295" t="str">
        <f>IF('Donor Sample'!R877="","",'Donor Sample'!R877)</f>
        <v/>
      </c>
      <c r="AD860" s="294" t="str">
        <f>IF('Donor Sample'!S877="","",'Donor Sample'!S877/100)</f>
        <v/>
      </c>
      <c r="AE860" s="293" t="e">
        <f t="shared" si="207"/>
        <v>#VALUE!</v>
      </c>
      <c r="AF860" s="293" t="str">
        <f t="shared" si="208"/>
        <v/>
      </c>
      <c r="AG860" s="292" t="str">
        <f>IF('Donor Sample'!T877="","",'Donor Sample'!T877)</f>
        <v/>
      </c>
      <c r="AH860" s="891">
        <f t="shared" si="209"/>
        <v>64</v>
      </c>
      <c r="AI860" s="1220">
        <v>0.74434685707092285</v>
      </c>
      <c r="AJ860" s="1216"/>
    </row>
    <row r="861" spans="5:36">
      <c r="E861" s="299">
        <v>853</v>
      </c>
      <c r="F861" s="308">
        <f t="shared" ca="1" si="198"/>
        <v>4283.8954018716558</v>
      </c>
      <c r="G861" s="307">
        <f t="shared" ca="1" si="199"/>
        <v>257.78796658026869</v>
      </c>
      <c r="H861" s="306">
        <f t="shared" ca="1" si="200"/>
        <v>0.35545309108359618</v>
      </c>
      <c r="I861" s="305">
        <f t="shared" ca="1" si="202"/>
        <v>142.32209554952075</v>
      </c>
      <c r="J861" s="305">
        <f t="shared" ca="1" si="203"/>
        <v>64.349799281428929</v>
      </c>
      <c r="K861" s="292">
        <f t="shared" ca="1" si="201"/>
        <v>2.3805594197763233</v>
      </c>
      <c r="L861" s="1290">
        <f t="shared" ca="1" si="204"/>
        <v>24.196391098524362</v>
      </c>
      <c r="M861" s="299">
        <v>853</v>
      </c>
      <c r="N861" s="304">
        <f t="shared" si="205"/>
        <v>2848.1401153246256</v>
      </c>
      <c r="O861" s="303">
        <v>250.18295699125795</v>
      </c>
      <c r="P861" s="302">
        <v>0.38866265029874852</v>
      </c>
      <c r="Q861" s="301">
        <v>94.858770341825689</v>
      </c>
      <c r="R861" s="301">
        <v>52.282793078781566</v>
      </c>
      <c r="S861" s="300">
        <v>5.2007944420149697</v>
      </c>
      <c r="T861" s="891">
        <f t="shared" si="206"/>
        <v>64</v>
      </c>
      <c r="U861" s="1220">
        <v>0.67891782522201538</v>
      </c>
      <c r="W861" s="299">
        <v>853</v>
      </c>
      <c r="X861" s="298">
        <f>IF('Donor Sample'!N878="",,IF('Donor Sample'!N878="F",1,0))</f>
        <v>0</v>
      </c>
      <c r="Y861" s="298" t="str">
        <f>IF('Donor Sample'!O878="","",'Donor Sample'!O878)</f>
        <v/>
      </c>
      <c r="Z861" s="298" t="str">
        <f>IF(AND('Donor Sample'!O878="",'Donor Sample'!P878="",'Donor Sample'!Q878=""),"",IF('Donor Sample'!P878="",ROUND(AA861/($C$32+($AI861-0.5)*$C$31),0),'Donor Sample'!P878))</f>
        <v/>
      </c>
      <c r="AA861" s="297" t="str">
        <f>IF('Donor Sample'!Q878="","",'Donor Sample'!Q878)</f>
        <v/>
      </c>
      <c r="AB861" s="296" t="str">
        <f t="shared" si="197"/>
        <v/>
      </c>
      <c r="AC861" s="295" t="str">
        <f>IF('Donor Sample'!R878="","",'Donor Sample'!R878)</f>
        <v/>
      </c>
      <c r="AD861" s="294" t="str">
        <f>IF('Donor Sample'!S878="","",'Donor Sample'!S878/100)</f>
        <v/>
      </c>
      <c r="AE861" s="407" t="e">
        <f t="shared" si="207"/>
        <v>#VALUE!</v>
      </c>
      <c r="AF861" s="293" t="str">
        <f t="shared" si="208"/>
        <v/>
      </c>
      <c r="AG861" s="292" t="str">
        <f>IF('Donor Sample'!T878="","",'Donor Sample'!T878)</f>
        <v/>
      </c>
      <c r="AH861" s="891">
        <f t="shared" si="209"/>
        <v>64</v>
      </c>
      <c r="AI861" s="1220">
        <v>0.57431358098983765</v>
      </c>
      <c r="AJ861" s="1216"/>
    </row>
    <row r="862" spans="5:36">
      <c r="E862" s="299">
        <v>854</v>
      </c>
      <c r="F862" s="308">
        <f t="shared" ca="1" si="198"/>
        <v>4041.5722708140693</v>
      </c>
      <c r="G862" s="307">
        <f t="shared" ca="1" si="199"/>
        <v>276.65619802685518</v>
      </c>
      <c r="H862" s="306">
        <f t="shared" ca="1" si="200"/>
        <v>0.42385246881124866</v>
      </c>
      <c r="I862" s="305">
        <f t="shared" ca="1" si="202"/>
        <v>145.14408224632999</v>
      </c>
      <c r="J862" s="305">
        <f t="shared" ca="1" si="203"/>
        <v>60.304577739026044</v>
      </c>
      <c r="K862" s="292">
        <f t="shared" ca="1" si="201"/>
        <v>5.991748517508924</v>
      </c>
      <c r="L862" s="1290">
        <f t="shared" ca="1" si="204"/>
        <v>28.097742696724847</v>
      </c>
      <c r="M862" s="299">
        <v>854</v>
      </c>
      <c r="N862" s="304">
        <f t="shared" si="205"/>
        <v>3310.7468784165503</v>
      </c>
      <c r="O862" s="303">
        <v>255.77230083464758</v>
      </c>
      <c r="P862" s="302">
        <v>0.36256518781294417</v>
      </c>
      <c r="Q862" s="301">
        <v>110.67001395347076</v>
      </c>
      <c r="R862" s="301">
        <v>56.614877528143658</v>
      </c>
      <c r="S862" s="300">
        <v>4.2308205200323385</v>
      </c>
      <c r="T862" s="891">
        <f t="shared" si="206"/>
        <v>64</v>
      </c>
      <c r="U862" s="1220">
        <v>0.65310800075531006</v>
      </c>
      <c r="W862" s="299">
        <v>854</v>
      </c>
      <c r="X862" s="298">
        <f>IF('Donor Sample'!N879="",,IF('Donor Sample'!N879="F",1,0))</f>
        <v>0</v>
      </c>
      <c r="Y862" s="298" t="str">
        <f>IF('Donor Sample'!O879="","",'Donor Sample'!O879)</f>
        <v/>
      </c>
      <c r="Z862" s="298" t="str">
        <f>IF(AND('Donor Sample'!O879="",'Donor Sample'!P879="",'Donor Sample'!Q879=""),"",IF('Donor Sample'!P879="",ROUND(AA862/($C$32+($AI862-0.5)*$C$31),0),'Donor Sample'!P879))</f>
        <v/>
      </c>
      <c r="AA862" s="297" t="str">
        <f>IF('Donor Sample'!Q879="","",'Donor Sample'!Q879)</f>
        <v/>
      </c>
      <c r="AB862" s="296" t="str">
        <f t="shared" si="197"/>
        <v/>
      </c>
      <c r="AC862" s="295" t="str">
        <f>IF('Donor Sample'!R879="","",'Donor Sample'!R879)</f>
        <v/>
      </c>
      <c r="AD862" s="294" t="str">
        <f>IF('Donor Sample'!S879="","",'Donor Sample'!S879/100)</f>
        <v/>
      </c>
      <c r="AE862" s="293" t="e">
        <f t="shared" si="207"/>
        <v>#VALUE!</v>
      </c>
      <c r="AF862" s="293" t="str">
        <f t="shared" si="208"/>
        <v/>
      </c>
      <c r="AG862" s="292" t="str">
        <f>IF('Donor Sample'!T879="","",'Donor Sample'!T879)</f>
        <v/>
      </c>
      <c r="AH862" s="891">
        <f t="shared" si="209"/>
        <v>2</v>
      </c>
      <c r="AI862" s="1220">
        <v>4.7487139701843262E-2</v>
      </c>
      <c r="AJ862" s="1216"/>
    </row>
    <row r="863" spans="5:36">
      <c r="E863" s="299">
        <v>855</v>
      </c>
      <c r="F863" s="308">
        <f t="shared" ca="1" si="198"/>
        <v>4786.0869448438125</v>
      </c>
      <c r="G863" s="307">
        <f t="shared" ca="1" si="199"/>
        <v>229.69398242003339</v>
      </c>
      <c r="H863" s="306">
        <f t="shared" ca="1" si="200"/>
        <v>0.39620702796084295</v>
      </c>
      <c r="I863" s="305">
        <f t="shared" ca="1" si="202"/>
        <v>148.68525496712729</v>
      </c>
      <c r="J863" s="305">
        <f t="shared" ca="1" si="203"/>
        <v>74.086757289843248</v>
      </c>
      <c r="K863" s="292">
        <f t="shared" ca="1" si="201"/>
        <v>13.446215243564239</v>
      </c>
      <c r="L863" s="1290">
        <f t="shared" ca="1" si="204"/>
        <v>19.070381802492758</v>
      </c>
      <c r="M863" s="299">
        <v>855</v>
      </c>
      <c r="N863" s="304">
        <f t="shared" si="205"/>
        <v>3096.836292175878</v>
      </c>
      <c r="O863" s="303">
        <v>244.47825095758495</v>
      </c>
      <c r="P863" s="302">
        <v>0.39538912355935452</v>
      </c>
      <c r="Q863" s="301">
        <v>96.471608507250579</v>
      </c>
      <c r="R863" s="301">
        <v>63.111176965743098</v>
      </c>
      <c r="S863" s="300">
        <v>1.3299757115234379</v>
      </c>
      <c r="T863" s="891">
        <f t="shared" si="206"/>
        <v>256</v>
      </c>
      <c r="U863" s="1220">
        <v>0.85108190774917603</v>
      </c>
      <c r="W863" s="299">
        <v>855</v>
      </c>
      <c r="X863" s="298">
        <f>IF('Donor Sample'!N880="",,IF('Donor Sample'!N880="F",1,0))</f>
        <v>0</v>
      </c>
      <c r="Y863" s="298" t="str">
        <f>IF('Donor Sample'!O880="","",'Donor Sample'!O880)</f>
        <v/>
      </c>
      <c r="Z863" s="298" t="str">
        <f>IF(AND('Donor Sample'!O880="",'Donor Sample'!P880="",'Donor Sample'!Q880=""),"",IF('Donor Sample'!P880="",ROUND(AA863/($C$32+($AI863-0.5)*$C$31),0),'Donor Sample'!P880))</f>
        <v/>
      </c>
      <c r="AA863" s="297" t="str">
        <f>IF('Donor Sample'!Q880="","",'Donor Sample'!Q880)</f>
        <v/>
      </c>
      <c r="AB863" s="296" t="str">
        <f t="shared" si="197"/>
        <v/>
      </c>
      <c r="AC863" s="295" t="str">
        <f>IF('Donor Sample'!R880="","",'Donor Sample'!R880)</f>
        <v/>
      </c>
      <c r="AD863" s="294" t="str">
        <f>IF('Donor Sample'!S880="","",'Donor Sample'!S880/100)</f>
        <v/>
      </c>
      <c r="AE863" s="293" t="e">
        <f t="shared" si="207"/>
        <v>#VALUE!</v>
      </c>
      <c r="AF863" s="293" t="str">
        <f t="shared" si="208"/>
        <v/>
      </c>
      <c r="AG863" s="292" t="str">
        <f>IF('Donor Sample'!T880="","",'Donor Sample'!T880)</f>
        <v/>
      </c>
      <c r="AH863" s="891">
        <f t="shared" si="209"/>
        <v>256</v>
      </c>
      <c r="AI863" s="1220">
        <v>0.92624527215957642</v>
      </c>
      <c r="AJ863" s="1216"/>
    </row>
    <row r="864" spans="5:36">
      <c r="E864" s="299">
        <v>856</v>
      </c>
      <c r="F864" s="308">
        <f t="shared" ca="1" si="198"/>
        <v>3333.8110986007218</v>
      </c>
      <c r="G864" s="307">
        <f t="shared" ca="1" si="199"/>
        <v>219.86180645920041</v>
      </c>
      <c r="H864" s="306">
        <f t="shared" ca="1" si="200"/>
        <v>0.38445525427206173</v>
      </c>
      <c r="I864" s="305">
        <f t="shared" ca="1" si="202"/>
        <v>128.95957734457733</v>
      </c>
      <c r="J864" s="305">
        <f t="shared" ca="1" si="203"/>
        <v>59.294433711613749</v>
      </c>
      <c r="K864" s="292">
        <f t="shared" ca="1" si="201"/>
        <v>12.199530578998703</v>
      </c>
      <c r="L864" s="1290">
        <f t="shared" ca="1" si="204"/>
        <v>25.822507296615061</v>
      </c>
      <c r="M864" s="299">
        <v>856</v>
      </c>
      <c r="N864" s="304">
        <f t="shared" si="205"/>
        <v>3948.4612488421649</v>
      </c>
      <c r="O864" s="303">
        <v>245.9103382626397</v>
      </c>
      <c r="P864" s="302">
        <v>0.40424939803729815</v>
      </c>
      <c r="Q864" s="301">
        <v>132.56005168622335</v>
      </c>
      <c r="R864" s="301">
        <v>67.280175490802378</v>
      </c>
      <c r="S864" s="300">
        <v>4.3652077778130192</v>
      </c>
      <c r="T864" s="891">
        <f t="shared" si="206"/>
        <v>2</v>
      </c>
      <c r="U864" s="1220">
        <v>0.33302688598632813</v>
      </c>
      <c r="W864" s="299">
        <v>856</v>
      </c>
      <c r="X864" s="298">
        <f>IF('Donor Sample'!N881="",,IF('Donor Sample'!N881="F",1,0))</f>
        <v>0</v>
      </c>
      <c r="Y864" s="298" t="str">
        <f>IF('Donor Sample'!O881="","",'Donor Sample'!O881)</f>
        <v/>
      </c>
      <c r="Z864" s="298" t="str">
        <f>IF(AND('Donor Sample'!O881="",'Donor Sample'!P881="",'Donor Sample'!Q881=""),"",IF('Donor Sample'!P881="",ROUND(AA864/($C$32+($AI864-0.5)*$C$31),0),'Donor Sample'!P881))</f>
        <v/>
      </c>
      <c r="AA864" s="297" t="str">
        <f>IF('Donor Sample'!Q881="","",'Donor Sample'!Q881)</f>
        <v/>
      </c>
      <c r="AB864" s="296" t="str">
        <f t="shared" si="197"/>
        <v/>
      </c>
      <c r="AC864" s="295" t="str">
        <f>IF('Donor Sample'!R881="","",'Donor Sample'!R881)</f>
        <v/>
      </c>
      <c r="AD864" s="294" t="str">
        <f>IF('Donor Sample'!S881="","",'Donor Sample'!S881/100)</f>
        <v/>
      </c>
      <c r="AE864" s="407" t="e">
        <f t="shared" si="207"/>
        <v>#VALUE!</v>
      </c>
      <c r="AF864" s="293" t="str">
        <f t="shared" si="208"/>
        <v/>
      </c>
      <c r="AG864" s="292" t="str">
        <f>IF('Donor Sample'!T881="","",'Donor Sample'!T881)</f>
        <v/>
      </c>
      <c r="AH864" s="891">
        <f t="shared" si="209"/>
        <v>32</v>
      </c>
      <c r="AI864" s="1220">
        <v>0.83263444900512695</v>
      </c>
      <c r="AJ864" s="1216"/>
    </row>
    <row r="865" spans="5:36">
      <c r="E865" s="299">
        <v>857</v>
      </c>
      <c r="F865" s="308">
        <f t="shared" ca="1" si="198"/>
        <v>3543.3990476092663</v>
      </c>
      <c r="G865" s="307">
        <f t="shared" ca="1" si="199"/>
        <v>242.30104855948554</v>
      </c>
      <c r="H865" s="306">
        <f t="shared" ca="1" si="200"/>
        <v>0.41440775770337718</v>
      </c>
      <c r="I865" s="305">
        <f t="shared" ca="1" si="202"/>
        <v>137.7260504261551</v>
      </c>
      <c r="J865" s="305">
        <f t="shared" ca="1" si="203"/>
        <v>53.654114893764238</v>
      </c>
      <c r="K865" s="292">
        <f t="shared" ca="1" si="201"/>
        <v>1.2482843588928938</v>
      </c>
      <c r="L865" s="1290">
        <f t="shared" ca="1" si="204"/>
        <v>33.680822041423404</v>
      </c>
      <c r="M865" s="299">
        <v>857</v>
      </c>
      <c r="N865" s="304">
        <f t="shared" si="205"/>
        <v>2769.4055082381838</v>
      </c>
      <c r="O865" s="303">
        <v>196.1777282061002</v>
      </c>
      <c r="P865" s="302">
        <v>0.36462822787877786</v>
      </c>
      <c r="Q865" s="301">
        <v>111.23700188553583</v>
      </c>
      <c r="R865" s="301">
        <v>44.821370079580866</v>
      </c>
      <c r="S865" s="300">
        <v>2.2499272051978414</v>
      </c>
      <c r="T865" s="891">
        <f t="shared" si="206"/>
        <v>2</v>
      </c>
      <c r="U865" s="1220">
        <v>0.34709185361862183</v>
      </c>
      <c r="W865" s="299">
        <v>857</v>
      </c>
      <c r="X865" s="298">
        <f>IF('Donor Sample'!N882="",,IF('Donor Sample'!N882="F",1,0))</f>
        <v>0</v>
      </c>
      <c r="Y865" s="298" t="str">
        <f>IF('Donor Sample'!O882="","",'Donor Sample'!O882)</f>
        <v/>
      </c>
      <c r="Z865" s="298" t="str">
        <f>IF(AND('Donor Sample'!O882="",'Donor Sample'!P882="",'Donor Sample'!Q882=""),"",IF('Donor Sample'!P882="",ROUND(AA865/($C$32+($AI865-0.5)*$C$31),0),'Donor Sample'!P882))</f>
        <v/>
      </c>
      <c r="AA865" s="297" t="str">
        <f>IF('Donor Sample'!Q882="","",'Donor Sample'!Q882)</f>
        <v/>
      </c>
      <c r="AB865" s="296" t="str">
        <f t="shared" si="197"/>
        <v/>
      </c>
      <c r="AC865" s="295" t="str">
        <f>IF('Donor Sample'!R882="","",'Donor Sample'!R882)</f>
        <v/>
      </c>
      <c r="AD865" s="294" t="str">
        <f>IF('Donor Sample'!S882="","",'Donor Sample'!S882/100)</f>
        <v/>
      </c>
      <c r="AE865" s="293" t="e">
        <f t="shared" si="207"/>
        <v>#VALUE!</v>
      </c>
      <c r="AF865" s="293" t="str">
        <f t="shared" si="208"/>
        <v/>
      </c>
      <c r="AG865" s="292" t="str">
        <f>IF('Donor Sample'!T882="","",'Donor Sample'!T882)</f>
        <v/>
      </c>
      <c r="AH865" s="891">
        <f t="shared" si="209"/>
        <v>2</v>
      </c>
      <c r="AI865" s="1220">
        <v>0.17297619581222534</v>
      </c>
      <c r="AJ865" s="1216"/>
    </row>
    <row r="866" spans="5:36">
      <c r="E866" s="299">
        <v>858</v>
      </c>
      <c r="F866" s="308">
        <f t="shared" ca="1" si="198"/>
        <v>3550.332573081203</v>
      </c>
      <c r="G866" s="307">
        <f t="shared" ca="1" si="199"/>
        <v>243.45997630763506</v>
      </c>
      <c r="H866" s="306">
        <f t="shared" ca="1" si="200"/>
        <v>0.48537310503683168</v>
      </c>
      <c r="I866" s="305">
        <f t="shared" ca="1" si="202"/>
        <v>129.32865169955249</v>
      </c>
      <c r="J866" s="305">
        <f t="shared" ca="1" si="203"/>
        <v>62.541538578145406</v>
      </c>
      <c r="K866" s="292">
        <f t="shared" ca="1" si="201"/>
        <v>10.516326335296132</v>
      </c>
      <c r="L866" s="1290">
        <f t="shared" ca="1" si="204"/>
        <v>23.277175816823586</v>
      </c>
      <c r="M866" s="299">
        <v>858</v>
      </c>
      <c r="N866" s="304">
        <f t="shared" si="205"/>
        <v>3537.8728196702759</v>
      </c>
      <c r="O866" s="303">
        <v>215.92665937797148</v>
      </c>
      <c r="P866" s="302">
        <v>0.47824281292779119</v>
      </c>
      <c r="Q866" s="301">
        <v>129.3954564558222</v>
      </c>
      <c r="R866" s="301">
        <v>62.344307655742739</v>
      </c>
      <c r="S866" s="300">
        <v>1.8919502414823095</v>
      </c>
      <c r="T866" s="891">
        <f t="shared" si="206"/>
        <v>256</v>
      </c>
      <c r="U866" s="1220">
        <v>0.86269724369049072</v>
      </c>
      <c r="W866" s="299">
        <v>858</v>
      </c>
      <c r="X866" s="298">
        <f>IF('Donor Sample'!N883="",,IF('Donor Sample'!N883="F",1,0))</f>
        <v>0</v>
      </c>
      <c r="Y866" s="298" t="str">
        <f>IF('Donor Sample'!O883="","",'Donor Sample'!O883)</f>
        <v/>
      </c>
      <c r="Z866" s="298" t="str">
        <f>IF(AND('Donor Sample'!O883="",'Donor Sample'!P883="",'Donor Sample'!Q883=""),"",IF('Donor Sample'!P883="",ROUND(AA866/($C$32+($AI866-0.5)*$C$31),0),'Donor Sample'!P883))</f>
        <v/>
      </c>
      <c r="AA866" s="297" t="str">
        <f>IF('Donor Sample'!Q883="","",'Donor Sample'!Q883)</f>
        <v/>
      </c>
      <c r="AB866" s="296" t="str">
        <f t="shared" si="197"/>
        <v/>
      </c>
      <c r="AC866" s="295" t="str">
        <f>IF('Donor Sample'!R883="","",'Donor Sample'!R883)</f>
        <v/>
      </c>
      <c r="AD866" s="294" t="str">
        <f>IF('Donor Sample'!S883="","",'Donor Sample'!S883/100)</f>
        <v/>
      </c>
      <c r="AE866" s="293" t="e">
        <f t="shared" si="207"/>
        <v>#VALUE!</v>
      </c>
      <c r="AF866" s="293" t="str">
        <f t="shared" si="208"/>
        <v/>
      </c>
      <c r="AG866" s="292" t="str">
        <f>IF('Donor Sample'!T883="","",'Donor Sample'!T883)</f>
        <v/>
      </c>
      <c r="AH866" s="891">
        <f t="shared" si="209"/>
        <v>256</v>
      </c>
      <c r="AI866" s="1220">
        <v>0.91092312335968018</v>
      </c>
      <c r="AJ866" s="1216"/>
    </row>
    <row r="867" spans="5:36">
      <c r="E867" s="299">
        <v>859</v>
      </c>
      <c r="F867" s="308">
        <f t="shared" ca="1" si="198"/>
        <v>3166.4605863392035</v>
      </c>
      <c r="G867" s="307">
        <f t="shared" ca="1" si="199"/>
        <v>235.60804337811817</v>
      </c>
      <c r="H867" s="306">
        <f t="shared" ca="1" si="200"/>
        <v>0.46138277134040173</v>
      </c>
      <c r="I867" s="305">
        <f t="shared" ca="1" si="202"/>
        <v>99.536312051094015</v>
      </c>
      <c r="J867" s="305">
        <f t="shared" ca="1" si="203"/>
        <v>56.929093418014737</v>
      </c>
      <c r="K867" s="292">
        <f t="shared" ca="1" si="201"/>
        <v>1.5766957905054755</v>
      </c>
      <c r="L867" s="1290">
        <f t="shared" ca="1" si="204"/>
        <v>21.621492482425516</v>
      </c>
      <c r="M867" s="299">
        <v>859</v>
      </c>
      <c r="N867" s="304">
        <f t="shared" si="205"/>
        <v>2609.0678825321993</v>
      </c>
      <c r="O867" s="303">
        <v>251.9128726323402</v>
      </c>
      <c r="P867" s="302">
        <v>0.46033658911590364</v>
      </c>
      <c r="Q867" s="301">
        <v>80.43865921144814</v>
      </c>
      <c r="R867" s="301">
        <v>51.697401124821745</v>
      </c>
      <c r="S867" s="300">
        <v>1.4925549398449949</v>
      </c>
      <c r="T867" s="891">
        <f t="shared" si="206"/>
        <v>32</v>
      </c>
      <c r="U867" s="1220">
        <v>0.82998019456863403</v>
      </c>
      <c r="W867" s="299">
        <v>859</v>
      </c>
      <c r="X867" s="298">
        <f>IF('Donor Sample'!N884="",,IF('Donor Sample'!N884="F",1,0))</f>
        <v>0</v>
      </c>
      <c r="Y867" s="298" t="str">
        <f>IF('Donor Sample'!O884="","",'Donor Sample'!O884)</f>
        <v/>
      </c>
      <c r="Z867" s="298" t="str">
        <f>IF(AND('Donor Sample'!O884="",'Donor Sample'!P884="",'Donor Sample'!Q884=""),"",IF('Donor Sample'!P884="",ROUND(AA867/($C$32+($AI867-0.5)*$C$31),0),'Donor Sample'!P884))</f>
        <v/>
      </c>
      <c r="AA867" s="297" t="str">
        <f>IF('Donor Sample'!Q884="","",'Donor Sample'!Q884)</f>
        <v/>
      </c>
      <c r="AB867" s="296" t="str">
        <f t="shared" si="197"/>
        <v/>
      </c>
      <c r="AC867" s="295" t="str">
        <f>IF('Donor Sample'!R884="","",'Donor Sample'!R884)</f>
        <v/>
      </c>
      <c r="AD867" s="294" t="str">
        <f>IF('Donor Sample'!S884="","",'Donor Sample'!S884/100)</f>
        <v/>
      </c>
      <c r="AE867" s="407" t="e">
        <f t="shared" si="207"/>
        <v>#VALUE!</v>
      </c>
      <c r="AF867" s="293" t="str">
        <f t="shared" si="208"/>
        <v/>
      </c>
      <c r="AG867" s="292" t="str">
        <f>IF('Donor Sample'!T884="","",'Donor Sample'!T884)</f>
        <v/>
      </c>
      <c r="AH867" s="891">
        <f t="shared" si="209"/>
        <v>64</v>
      </c>
      <c r="AI867" s="1220">
        <v>0.60766583681106567</v>
      </c>
      <c r="AJ867" s="1216"/>
    </row>
    <row r="868" spans="5:36">
      <c r="E868" s="299">
        <v>860</v>
      </c>
      <c r="F868" s="308">
        <f t="shared" ca="1" si="198"/>
        <v>2851.0706888749573</v>
      </c>
      <c r="G868" s="307">
        <f t="shared" ca="1" si="199"/>
        <v>199.47389330199002</v>
      </c>
      <c r="H868" s="306">
        <f t="shared" ca="1" si="200"/>
        <v>0.44294660786116929</v>
      </c>
      <c r="I868" s="305">
        <f t="shared" ca="1" si="202"/>
        <v>106.04294764877044</v>
      </c>
      <c r="J868" s="305">
        <f t="shared" ca="1" si="203"/>
        <v>48.803805143403885</v>
      </c>
      <c r="K868" s="292">
        <f t="shared" ca="1" si="201"/>
        <v>2.652067629746663</v>
      </c>
      <c r="L868" s="1290">
        <f t="shared" ca="1" si="204"/>
        <v>31.343470459168007</v>
      </c>
      <c r="M868" s="299">
        <v>860</v>
      </c>
      <c r="N868" s="304">
        <f t="shared" si="205"/>
        <v>3014.1737333949472</v>
      </c>
      <c r="O868" s="303">
        <v>218.45644281546672</v>
      </c>
      <c r="P868" s="302">
        <v>0.43696693998076258</v>
      </c>
      <c r="Q868" s="301">
        <v>103.06067982229214</v>
      </c>
      <c r="R868" s="301">
        <v>53.205256967419871</v>
      </c>
      <c r="S868" s="300">
        <v>1.9619257666022409</v>
      </c>
      <c r="T868" s="891">
        <f t="shared" si="206"/>
        <v>32</v>
      </c>
      <c r="U868" s="1220">
        <v>0.8233339786529541</v>
      </c>
      <c r="W868" s="299">
        <v>860</v>
      </c>
      <c r="X868" s="298">
        <f>IF('Donor Sample'!N885="",,IF('Donor Sample'!N885="F",1,0))</f>
        <v>0</v>
      </c>
      <c r="Y868" s="298" t="str">
        <f>IF('Donor Sample'!O885="","",'Donor Sample'!O885)</f>
        <v/>
      </c>
      <c r="Z868" s="298" t="str">
        <f>IF(AND('Donor Sample'!O885="",'Donor Sample'!P885="",'Donor Sample'!Q885=""),"",IF('Donor Sample'!P885="",ROUND(AA868/($C$32+($AI868-0.5)*$C$31),0),'Donor Sample'!P885))</f>
        <v/>
      </c>
      <c r="AA868" s="297" t="str">
        <f>IF('Donor Sample'!Q885="","",'Donor Sample'!Q885)</f>
        <v/>
      </c>
      <c r="AB868" s="296" t="str">
        <f t="shared" si="197"/>
        <v/>
      </c>
      <c r="AC868" s="295" t="str">
        <f>IF('Donor Sample'!R885="","",'Donor Sample'!R885)</f>
        <v/>
      </c>
      <c r="AD868" s="294" t="str">
        <f>IF('Donor Sample'!S885="","",'Donor Sample'!S885/100)</f>
        <v/>
      </c>
      <c r="AE868" s="293" t="e">
        <f t="shared" si="207"/>
        <v>#VALUE!</v>
      </c>
      <c r="AF868" s="293" t="str">
        <f t="shared" si="208"/>
        <v/>
      </c>
      <c r="AG868" s="292" t="str">
        <f>IF('Donor Sample'!T885="","",'Donor Sample'!T885)</f>
        <v/>
      </c>
      <c r="AH868" s="891">
        <f t="shared" si="209"/>
        <v>2</v>
      </c>
      <c r="AI868" s="1220">
        <v>0.22318720817565918</v>
      </c>
      <c r="AJ868" s="1216"/>
    </row>
    <row r="869" spans="5:36">
      <c r="E869" s="299">
        <v>861</v>
      </c>
      <c r="F869" s="308">
        <f t="shared" ca="1" si="198"/>
        <v>3035.457501484068</v>
      </c>
      <c r="G869" s="307">
        <f t="shared" ca="1" si="199"/>
        <v>233.37927886117339</v>
      </c>
      <c r="H869" s="306">
        <f t="shared" ca="1" si="200"/>
        <v>0.43561473777597082</v>
      </c>
      <c r="I869" s="305">
        <f t="shared" ca="1" si="202"/>
        <v>125.0041655514549</v>
      </c>
      <c r="J869" s="305">
        <f t="shared" ca="1" si="203"/>
        <v>55.124299913016266</v>
      </c>
      <c r="K869" s="292">
        <f t="shared" ca="1" si="201"/>
        <v>2.5962576366374508</v>
      </c>
      <c r="L869" s="1290">
        <f t="shared" ca="1" si="204"/>
        <v>28.960827758358384</v>
      </c>
      <c r="M869" s="299">
        <v>861</v>
      </c>
      <c r="N869" s="304">
        <f t="shared" si="205"/>
        <v>2718.2073159794681</v>
      </c>
      <c r="O869" s="303">
        <v>236.31503275465269</v>
      </c>
      <c r="P869" s="302">
        <v>0.45328620179044421</v>
      </c>
      <c r="Q869" s="301">
        <v>102.57585601946053</v>
      </c>
      <c r="R869" s="301">
        <v>55.482442724121626</v>
      </c>
      <c r="S869" s="300">
        <v>1.6812041671756295</v>
      </c>
      <c r="T869" s="891">
        <f t="shared" si="206"/>
        <v>256</v>
      </c>
      <c r="U869" s="1220">
        <v>0.8451647162437439</v>
      </c>
      <c r="W869" s="299">
        <v>861</v>
      </c>
      <c r="X869" s="298">
        <f>IF('Donor Sample'!N886="",,IF('Donor Sample'!N886="F",1,0))</f>
        <v>0</v>
      </c>
      <c r="Y869" s="298" t="str">
        <f>IF('Donor Sample'!O886="","",'Donor Sample'!O886)</f>
        <v/>
      </c>
      <c r="Z869" s="298" t="str">
        <f>IF(AND('Donor Sample'!O886="",'Donor Sample'!P886="",'Donor Sample'!Q886=""),"",IF('Donor Sample'!P886="",ROUND(AA869/($C$32+($AI869-0.5)*$C$31),0),'Donor Sample'!P886))</f>
        <v/>
      </c>
      <c r="AA869" s="297" t="str">
        <f>IF('Donor Sample'!Q886="","",'Donor Sample'!Q886)</f>
        <v/>
      </c>
      <c r="AB869" s="296" t="str">
        <f t="shared" si="197"/>
        <v/>
      </c>
      <c r="AC869" s="295" t="str">
        <f>IF('Donor Sample'!R886="","",'Donor Sample'!R886)</f>
        <v/>
      </c>
      <c r="AD869" s="294" t="str">
        <f>IF('Donor Sample'!S886="","",'Donor Sample'!S886/100)</f>
        <v/>
      </c>
      <c r="AE869" s="293" t="e">
        <f t="shared" si="207"/>
        <v>#VALUE!</v>
      </c>
      <c r="AF869" s="293" t="str">
        <f t="shared" si="208"/>
        <v/>
      </c>
      <c r="AG869" s="292" t="str">
        <f>IF('Donor Sample'!T886="","",'Donor Sample'!T886)</f>
        <v/>
      </c>
      <c r="AH869" s="891">
        <f t="shared" si="209"/>
        <v>128</v>
      </c>
      <c r="AI869" s="1220">
        <v>0.94687455892562866</v>
      </c>
      <c r="AJ869" s="1216"/>
    </row>
    <row r="870" spans="5:36">
      <c r="E870" s="299">
        <v>862</v>
      </c>
      <c r="F870" s="308">
        <f t="shared" ca="1" si="198"/>
        <v>3081.5498870848446</v>
      </c>
      <c r="G870" s="307">
        <f t="shared" ca="1" si="199"/>
        <v>308.58396644367377</v>
      </c>
      <c r="H870" s="306">
        <f t="shared" ca="1" si="200"/>
        <v>0.35934504751113339</v>
      </c>
      <c r="I870" s="305">
        <f t="shared" ca="1" si="202"/>
        <v>116.22502736677703</v>
      </c>
      <c r="J870" s="305">
        <f t="shared" ca="1" si="203"/>
        <v>50.638614807152869</v>
      </c>
      <c r="K870" s="292">
        <f t="shared" ca="1" si="201"/>
        <v>2.0877097452636573</v>
      </c>
      <c r="L870" s="1290">
        <f t="shared" ca="1" si="204"/>
        <v>31.908668469530944</v>
      </c>
      <c r="M870" s="299">
        <v>862</v>
      </c>
      <c r="N870" s="304">
        <f t="shared" si="205"/>
        <v>3107.7966708148133</v>
      </c>
      <c r="O870" s="303">
        <v>255.81726911100967</v>
      </c>
      <c r="P870" s="302">
        <v>0.39832273208751573</v>
      </c>
      <c r="Q870" s="301">
        <v>105.67292342283085</v>
      </c>
      <c r="R870" s="301">
        <v>54.270512012427361</v>
      </c>
      <c r="S870" s="300">
        <v>6.0398891543587654</v>
      </c>
      <c r="T870" s="891">
        <f t="shared" si="206"/>
        <v>64</v>
      </c>
      <c r="U870" s="1220">
        <v>0.71149623394012451</v>
      </c>
      <c r="W870" s="299">
        <v>862</v>
      </c>
      <c r="X870" s="298">
        <f>IF('Donor Sample'!N887="",,IF('Donor Sample'!N887="F",1,0))</f>
        <v>0</v>
      </c>
      <c r="Y870" s="298" t="str">
        <f>IF('Donor Sample'!O887="","",'Donor Sample'!O887)</f>
        <v/>
      </c>
      <c r="Z870" s="298" t="str">
        <f>IF(AND('Donor Sample'!O887="",'Donor Sample'!P887="",'Donor Sample'!Q887=""),"",IF('Donor Sample'!P887="",ROUND(AA870/($C$32+($AI870-0.5)*$C$31),0),'Donor Sample'!P887))</f>
        <v/>
      </c>
      <c r="AA870" s="297" t="str">
        <f>IF('Donor Sample'!Q887="","",'Donor Sample'!Q887)</f>
        <v/>
      </c>
      <c r="AB870" s="296" t="str">
        <f t="shared" si="197"/>
        <v/>
      </c>
      <c r="AC870" s="295" t="str">
        <f>IF('Donor Sample'!R887="","",'Donor Sample'!R887)</f>
        <v/>
      </c>
      <c r="AD870" s="294" t="str">
        <f>IF('Donor Sample'!S887="","",'Donor Sample'!S887/100)</f>
        <v/>
      </c>
      <c r="AE870" s="407" t="e">
        <f t="shared" si="207"/>
        <v>#VALUE!</v>
      </c>
      <c r="AF870" s="293" t="str">
        <f t="shared" si="208"/>
        <v/>
      </c>
      <c r="AG870" s="292" t="str">
        <f>IF('Donor Sample'!T887="","",'Donor Sample'!T887)</f>
        <v/>
      </c>
      <c r="AH870" s="891">
        <f t="shared" si="209"/>
        <v>2</v>
      </c>
      <c r="AI870" s="1220">
        <v>2.5581121444702148E-3</v>
      </c>
      <c r="AJ870" s="1216"/>
    </row>
    <row r="871" spans="5:36">
      <c r="E871" s="299">
        <v>863</v>
      </c>
      <c r="F871" s="308">
        <f t="shared" ca="1" si="198"/>
        <v>3074.6193389355917</v>
      </c>
      <c r="G871" s="307">
        <f t="shared" ca="1" si="199"/>
        <v>237.25172395956335</v>
      </c>
      <c r="H871" s="306">
        <f t="shared" ca="1" si="200"/>
        <v>0.4223006126375165</v>
      </c>
      <c r="I871" s="305">
        <f t="shared" ca="1" si="202"/>
        <v>109.21756047438531</v>
      </c>
      <c r="J871" s="305">
        <f t="shared" ca="1" si="203"/>
        <v>52.622176873558153</v>
      </c>
      <c r="K871" s="292">
        <f t="shared" ca="1" si="201"/>
        <v>2.6009931524656533</v>
      </c>
      <c r="L871" s="1290">
        <f t="shared" ca="1" si="204"/>
        <v>27.766907330567413</v>
      </c>
      <c r="M871" s="299">
        <v>863</v>
      </c>
      <c r="N871" s="304">
        <f t="shared" si="205"/>
        <v>3046.4142416518121</v>
      </c>
      <c r="O871" s="303">
        <v>248.25299514610438</v>
      </c>
      <c r="P871" s="302">
        <v>0.37503241864489267</v>
      </c>
      <c r="Q871" s="301">
        <v>120.37241390519394</v>
      </c>
      <c r="R871" s="301">
        <v>48.478853314070292</v>
      </c>
      <c r="S871" s="300">
        <v>2.9382957416520767</v>
      </c>
      <c r="T871" s="891">
        <f t="shared" si="206"/>
        <v>64</v>
      </c>
      <c r="U871" s="1220">
        <v>0.50453048944473267</v>
      </c>
      <c r="W871" s="299">
        <v>863</v>
      </c>
      <c r="X871" s="298">
        <f>IF('Donor Sample'!N888="",,IF('Donor Sample'!N888="F",1,0))</f>
        <v>0</v>
      </c>
      <c r="Y871" s="298" t="str">
        <f>IF('Donor Sample'!O888="","",'Donor Sample'!O888)</f>
        <v/>
      </c>
      <c r="Z871" s="298" t="str">
        <f>IF(AND('Donor Sample'!O888="",'Donor Sample'!P888="",'Donor Sample'!Q888=""),"",IF('Donor Sample'!P888="",ROUND(AA871/($C$32+($AI871-0.5)*$C$31),0),'Donor Sample'!P888))</f>
        <v/>
      </c>
      <c r="AA871" s="297" t="str">
        <f>IF('Donor Sample'!Q888="","",'Donor Sample'!Q888)</f>
        <v/>
      </c>
      <c r="AB871" s="296" t="str">
        <f t="shared" si="197"/>
        <v/>
      </c>
      <c r="AC871" s="295" t="str">
        <f>IF('Donor Sample'!R888="","",'Donor Sample'!R888)</f>
        <v/>
      </c>
      <c r="AD871" s="294" t="str">
        <f>IF('Donor Sample'!S888="","",'Donor Sample'!S888/100)</f>
        <v/>
      </c>
      <c r="AE871" s="293" t="e">
        <f t="shared" si="207"/>
        <v>#VALUE!</v>
      </c>
      <c r="AF871" s="293" t="str">
        <f t="shared" si="208"/>
        <v/>
      </c>
      <c r="AG871" s="292" t="str">
        <f>IF('Donor Sample'!T888="","",'Donor Sample'!T888)</f>
        <v/>
      </c>
      <c r="AH871" s="891">
        <f t="shared" si="209"/>
        <v>2</v>
      </c>
      <c r="AI871" s="1220">
        <v>0.34277063608169556</v>
      </c>
      <c r="AJ871" s="1216"/>
    </row>
    <row r="872" spans="5:36">
      <c r="E872" s="299">
        <v>864</v>
      </c>
      <c r="F872" s="308">
        <f t="shared" ca="1" si="198"/>
        <v>3805.3790415607968</v>
      </c>
      <c r="G872" s="307">
        <f t="shared" ca="1" si="199"/>
        <v>196.03655354639869</v>
      </c>
      <c r="H872" s="306">
        <f t="shared" ca="1" si="200"/>
        <v>0.39309996181029688</v>
      </c>
      <c r="I872" s="305">
        <f t="shared" ca="1" si="202"/>
        <v>140.57203797865941</v>
      </c>
      <c r="J872" s="305">
        <f t="shared" ca="1" si="203"/>
        <v>57.601941730504798</v>
      </c>
      <c r="K872" s="292">
        <f t="shared" ca="1" si="201"/>
        <v>1.4074558761661951</v>
      </c>
      <c r="L872" s="1290">
        <f t="shared" ca="1" si="204"/>
        <v>29.826160689607729</v>
      </c>
      <c r="M872" s="299">
        <v>864</v>
      </c>
      <c r="N872" s="304">
        <f t="shared" si="205"/>
        <v>2777.0195018555414</v>
      </c>
      <c r="O872" s="303">
        <v>198.79391412080673</v>
      </c>
      <c r="P872" s="302">
        <v>0.35086296690308916</v>
      </c>
      <c r="Q872" s="301">
        <v>96.319913905940439</v>
      </c>
      <c r="R872" s="301">
        <v>50.335922997956622</v>
      </c>
      <c r="S872" s="300">
        <v>1.4333283289084138</v>
      </c>
      <c r="T872" s="891">
        <f t="shared" si="206"/>
        <v>4</v>
      </c>
      <c r="U872" s="1220">
        <v>0.3868412971496582</v>
      </c>
      <c r="W872" s="299">
        <v>864</v>
      </c>
      <c r="X872" s="298">
        <f>IF('Donor Sample'!N889="",,IF('Donor Sample'!N889="F",1,0))</f>
        <v>0</v>
      </c>
      <c r="Y872" s="298" t="str">
        <f>IF('Donor Sample'!O889="","",'Donor Sample'!O889)</f>
        <v/>
      </c>
      <c r="Z872" s="298" t="str">
        <f>IF(AND('Donor Sample'!O889="",'Donor Sample'!P889="",'Donor Sample'!Q889=""),"",IF('Donor Sample'!P889="",ROUND(AA872/($C$32+($AI872-0.5)*$C$31),0),'Donor Sample'!P889))</f>
        <v/>
      </c>
      <c r="AA872" s="297" t="str">
        <f>IF('Donor Sample'!Q889="","",'Donor Sample'!Q889)</f>
        <v/>
      </c>
      <c r="AB872" s="296" t="str">
        <f t="shared" si="197"/>
        <v/>
      </c>
      <c r="AC872" s="295" t="str">
        <f>IF('Donor Sample'!R889="","",'Donor Sample'!R889)</f>
        <v/>
      </c>
      <c r="AD872" s="294" t="str">
        <f>IF('Donor Sample'!S889="","",'Donor Sample'!S889/100)</f>
        <v/>
      </c>
      <c r="AE872" s="293" t="e">
        <f t="shared" si="207"/>
        <v>#VALUE!</v>
      </c>
      <c r="AF872" s="293" t="str">
        <f t="shared" si="208"/>
        <v/>
      </c>
      <c r="AG872" s="292" t="str">
        <f>IF('Donor Sample'!T889="","",'Donor Sample'!T889)</f>
        <v/>
      </c>
      <c r="AH872" s="891">
        <f t="shared" si="209"/>
        <v>2</v>
      </c>
      <c r="AI872" s="1220">
        <v>0.23784351348876953</v>
      </c>
      <c r="AJ872" s="1216"/>
    </row>
    <row r="873" spans="5:36">
      <c r="E873" s="299">
        <v>865</v>
      </c>
      <c r="F873" s="308">
        <f t="shared" ca="1" si="198"/>
        <v>3106.0014885206974</v>
      </c>
      <c r="G873" s="307">
        <f t="shared" ca="1" si="199"/>
        <v>153.71636398472015</v>
      </c>
      <c r="H873" s="306">
        <f t="shared" ca="1" si="200"/>
        <v>0.35515233319096134</v>
      </c>
      <c r="I873" s="305">
        <f t="shared" ca="1" si="202"/>
        <v>116.46155940082193</v>
      </c>
      <c r="J873" s="305">
        <f t="shared" ca="1" si="203"/>
        <v>51.088627901593945</v>
      </c>
      <c r="K873" s="292">
        <f t="shared" ca="1" si="201"/>
        <v>2.4143811567928632</v>
      </c>
      <c r="L873" s="1290">
        <f t="shared" ca="1" si="204"/>
        <v>31.412809623504337</v>
      </c>
      <c r="M873" s="299">
        <v>865</v>
      </c>
      <c r="N873" s="304">
        <f t="shared" si="205"/>
        <v>3483.7410813403239</v>
      </c>
      <c r="O873" s="303">
        <v>242.79659977430595</v>
      </c>
      <c r="P873" s="302">
        <v>0.42057259888917814</v>
      </c>
      <c r="Q873" s="301">
        <v>121.11374777424224</v>
      </c>
      <c r="R873" s="301">
        <v>56.967558574454401</v>
      </c>
      <c r="S873" s="300">
        <v>1.3209611466869695</v>
      </c>
      <c r="T873" s="891">
        <f t="shared" si="206"/>
        <v>64</v>
      </c>
      <c r="U873" s="1220">
        <v>0.64316815137863159</v>
      </c>
      <c r="W873" s="299">
        <v>865</v>
      </c>
      <c r="X873" s="298">
        <f>IF('Donor Sample'!N890="",,IF('Donor Sample'!N890="F",1,0))</f>
        <v>0</v>
      </c>
      <c r="Y873" s="298" t="str">
        <f>IF('Donor Sample'!O890="","",'Donor Sample'!O890)</f>
        <v/>
      </c>
      <c r="Z873" s="298" t="str">
        <f>IF(AND('Donor Sample'!O890="",'Donor Sample'!P890="",'Donor Sample'!Q890=""),"",IF('Donor Sample'!P890="",ROUND(AA873/($C$32+($AI873-0.5)*$C$31),0),'Donor Sample'!P890))</f>
        <v/>
      </c>
      <c r="AA873" s="297" t="str">
        <f>IF('Donor Sample'!Q890="","",'Donor Sample'!Q890)</f>
        <v/>
      </c>
      <c r="AB873" s="296" t="str">
        <f t="shared" si="197"/>
        <v/>
      </c>
      <c r="AC873" s="295" t="str">
        <f>IF('Donor Sample'!R890="","",'Donor Sample'!R890)</f>
        <v/>
      </c>
      <c r="AD873" s="294" t="str">
        <f>IF('Donor Sample'!S890="","",'Donor Sample'!S890/100)</f>
        <v/>
      </c>
      <c r="AE873" s="407" t="e">
        <f t="shared" si="207"/>
        <v>#VALUE!</v>
      </c>
      <c r="AF873" s="293" t="str">
        <f t="shared" si="208"/>
        <v/>
      </c>
      <c r="AG873" s="292" t="str">
        <f>IF('Donor Sample'!T890="","",'Donor Sample'!T890)</f>
        <v/>
      </c>
      <c r="AH873" s="891">
        <f t="shared" si="209"/>
        <v>64</v>
      </c>
      <c r="AI873" s="1220">
        <v>0.49299353361129761</v>
      </c>
      <c r="AJ873" s="1216"/>
    </row>
    <row r="874" spans="5:36">
      <c r="E874" s="299">
        <v>866</v>
      </c>
      <c r="F874" s="308">
        <f t="shared" ca="1" si="198"/>
        <v>3834.8060214206953</v>
      </c>
      <c r="G874" s="307">
        <f t="shared" ca="1" si="199"/>
        <v>272.32880490069755</v>
      </c>
      <c r="H874" s="306">
        <f t="shared" ca="1" si="200"/>
        <v>0.37592686971448175</v>
      </c>
      <c r="I874" s="305">
        <f t="shared" ca="1" si="202"/>
        <v>160.29240658405524</v>
      </c>
      <c r="J874" s="305">
        <f t="shared" ca="1" si="203"/>
        <v>59.793953841693337</v>
      </c>
      <c r="K874" s="292">
        <f t="shared" ca="1" si="201"/>
        <v>2.2883902013590407</v>
      </c>
      <c r="L874" s="1290">
        <f t="shared" ca="1" si="204"/>
        <v>31.562475966665623</v>
      </c>
      <c r="M874" s="299">
        <v>866</v>
      </c>
      <c r="N874" s="304">
        <f t="shared" si="205"/>
        <v>3636.2925550221971</v>
      </c>
      <c r="O874" s="303">
        <v>172.62374068303276</v>
      </c>
      <c r="P874" s="302">
        <v>0.46006127126931062</v>
      </c>
      <c r="Q874" s="301">
        <v>152.41155142942276</v>
      </c>
      <c r="R874" s="301">
        <v>58.482347197409801</v>
      </c>
      <c r="S874" s="300">
        <v>3.5052232817468267</v>
      </c>
      <c r="T874" s="891">
        <f t="shared" si="206"/>
        <v>2</v>
      </c>
      <c r="U874" s="1220">
        <v>0.10190975666046143</v>
      </c>
      <c r="W874" s="299">
        <v>866</v>
      </c>
      <c r="X874" s="298">
        <f>IF('Donor Sample'!N891="",,IF('Donor Sample'!N891="F",1,0))</f>
        <v>0</v>
      </c>
      <c r="Y874" s="298" t="str">
        <f>IF('Donor Sample'!O891="","",'Donor Sample'!O891)</f>
        <v/>
      </c>
      <c r="Z874" s="298" t="str">
        <f>IF(AND('Donor Sample'!O891="",'Donor Sample'!P891="",'Donor Sample'!Q891=""),"",IF('Donor Sample'!P891="",ROUND(AA874/($C$32+($AI874-0.5)*$C$31),0),'Donor Sample'!P891))</f>
        <v/>
      </c>
      <c r="AA874" s="297" t="str">
        <f>IF('Donor Sample'!Q891="","",'Donor Sample'!Q891)</f>
        <v/>
      </c>
      <c r="AB874" s="296" t="str">
        <f t="shared" si="197"/>
        <v/>
      </c>
      <c r="AC874" s="295" t="str">
        <f>IF('Donor Sample'!R891="","",'Donor Sample'!R891)</f>
        <v/>
      </c>
      <c r="AD874" s="294" t="str">
        <f>IF('Donor Sample'!S891="","",'Donor Sample'!S891/100)</f>
        <v/>
      </c>
      <c r="AE874" s="293" t="e">
        <f t="shared" si="207"/>
        <v>#VALUE!</v>
      </c>
      <c r="AF874" s="293" t="str">
        <f t="shared" si="208"/>
        <v/>
      </c>
      <c r="AG874" s="292" t="str">
        <f>IF('Donor Sample'!T891="","",'Donor Sample'!T891)</f>
        <v/>
      </c>
      <c r="AH874" s="891">
        <f t="shared" si="209"/>
        <v>256</v>
      </c>
      <c r="AI874" s="1220">
        <v>0.84393751621246338</v>
      </c>
      <c r="AJ874" s="1216"/>
    </row>
    <row r="875" spans="5:36">
      <c r="E875" s="299">
        <v>867</v>
      </c>
      <c r="F875" s="308">
        <f t="shared" ca="1" si="198"/>
        <v>3113.0242400479619</v>
      </c>
      <c r="G875" s="307">
        <f t="shared" ca="1" si="199"/>
        <v>179.64115364049491</v>
      </c>
      <c r="H875" s="306">
        <f t="shared" ca="1" si="200"/>
        <v>0.46617727138433301</v>
      </c>
      <c r="I875" s="305">
        <f t="shared" ca="1" si="202"/>
        <v>100.79789124166524</v>
      </c>
      <c r="J875" s="305">
        <f t="shared" ca="1" si="203"/>
        <v>55.672271203025147</v>
      </c>
      <c r="K875" s="292">
        <f t="shared" ca="1" si="201"/>
        <v>2.3119238662970809</v>
      </c>
      <c r="L875" s="1290">
        <f t="shared" ca="1" si="204"/>
        <v>22.895294140746635</v>
      </c>
      <c r="M875" s="299">
        <v>867</v>
      </c>
      <c r="N875" s="304">
        <f t="shared" si="205"/>
        <v>3867.4608393187004</v>
      </c>
      <c r="O875" s="303">
        <v>219.42796550521157</v>
      </c>
      <c r="P875" s="302">
        <v>0.38165751881892568</v>
      </c>
      <c r="Q875" s="301">
        <v>157.42935978906326</v>
      </c>
      <c r="R875" s="301">
        <v>54.346086410081888</v>
      </c>
      <c r="S875" s="300">
        <v>1.2795961178439594</v>
      </c>
      <c r="T875" s="891">
        <f t="shared" si="206"/>
        <v>2</v>
      </c>
      <c r="U875" s="1220">
        <v>0.23001843690872192</v>
      </c>
      <c r="W875" s="299">
        <v>867</v>
      </c>
      <c r="X875" s="298">
        <f>IF('Donor Sample'!N892="",,IF('Donor Sample'!N892="F",1,0))</f>
        <v>0</v>
      </c>
      <c r="Y875" s="298" t="str">
        <f>IF('Donor Sample'!O892="","",'Donor Sample'!O892)</f>
        <v/>
      </c>
      <c r="Z875" s="298" t="str">
        <f>IF(AND('Donor Sample'!O892="",'Donor Sample'!P892="",'Donor Sample'!Q892=""),"",IF('Donor Sample'!P892="",ROUND(AA875/($C$32+($AI875-0.5)*$C$31),0),'Donor Sample'!P892))</f>
        <v/>
      </c>
      <c r="AA875" s="297" t="str">
        <f>IF('Donor Sample'!Q892="","",'Donor Sample'!Q892)</f>
        <v/>
      </c>
      <c r="AB875" s="296" t="str">
        <f t="shared" si="197"/>
        <v/>
      </c>
      <c r="AC875" s="295" t="str">
        <f>IF('Donor Sample'!R892="","",'Donor Sample'!R892)</f>
        <v/>
      </c>
      <c r="AD875" s="294" t="str">
        <f>IF('Donor Sample'!S892="","",'Donor Sample'!S892/100)</f>
        <v/>
      </c>
      <c r="AE875" s="293" t="e">
        <f t="shared" si="207"/>
        <v>#VALUE!</v>
      </c>
      <c r="AF875" s="293" t="str">
        <f t="shared" si="208"/>
        <v/>
      </c>
      <c r="AG875" s="292" t="str">
        <f>IF('Donor Sample'!T892="","",'Donor Sample'!T892)</f>
        <v/>
      </c>
      <c r="AH875" s="891">
        <f t="shared" si="209"/>
        <v>64</v>
      </c>
      <c r="AI875" s="1220">
        <v>0.62942343950271606</v>
      </c>
      <c r="AJ875" s="1216"/>
    </row>
    <row r="876" spans="5:36">
      <c r="E876" s="299">
        <v>868</v>
      </c>
      <c r="F876" s="308">
        <f t="shared" ca="1" si="198"/>
        <v>3197.9714063844649</v>
      </c>
      <c r="G876" s="307">
        <f t="shared" ca="1" si="199"/>
        <v>270.02743198862265</v>
      </c>
      <c r="H876" s="306">
        <f t="shared" ca="1" si="200"/>
        <v>0.41585238195534502</v>
      </c>
      <c r="I876" s="305">
        <f t="shared" ca="1" si="202"/>
        <v>117.00727991059379</v>
      </c>
      <c r="J876" s="305">
        <f t="shared" ca="1" si="203"/>
        <v>52.814137250704128</v>
      </c>
      <c r="K876" s="292">
        <f t="shared" ca="1" si="201"/>
        <v>7.5661735979540561</v>
      </c>
      <c r="L876" s="1290">
        <f t="shared" ca="1" si="204"/>
        <v>29.531476627134708</v>
      </c>
      <c r="M876" s="299">
        <v>868</v>
      </c>
      <c r="N876" s="304">
        <f t="shared" si="205"/>
        <v>4049.6436549263594</v>
      </c>
      <c r="O876" s="303">
        <v>151.53368687221229</v>
      </c>
      <c r="P876" s="302">
        <v>0.41972204727803658</v>
      </c>
      <c r="Q876" s="301">
        <v>125.26131873561252</v>
      </c>
      <c r="R876" s="301">
        <v>64.547830888943849</v>
      </c>
      <c r="S876" s="300">
        <v>1.4964906159543994</v>
      </c>
      <c r="T876" s="891">
        <f t="shared" si="206"/>
        <v>32</v>
      </c>
      <c r="U876" s="1220">
        <v>0.77019190788269043</v>
      </c>
      <c r="W876" s="299">
        <v>868</v>
      </c>
      <c r="X876" s="298">
        <f>IF('Donor Sample'!N893="",,IF('Donor Sample'!N893="F",1,0))</f>
        <v>0</v>
      </c>
      <c r="Y876" s="298" t="str">
        <f>IF('Donor Sample'!O893="","",'Donor Sample'!O893)</f>
        <v/>
      </c>
      <c r="Z876" s="298" t="str">
        <f>IF(AND('Donor Sample'!O893="",'Donor Sample'!P893="",'Donor Sample'!Q893=""),"",IF('Donor Sample'!P893="",ROUND(AA876/($C$32+($AI876-0.5)*$C$31),0),'Donor Sample'!P893))</f>
        <v/>
      </c>
      <c r="AA876" s="297" t="str">
        <f>IF('Donor Sample'!Q893="","",'Donor Sample'!Q893)</f>
        <v/>
      </c>
      <c r="AB876" s="296" t="str">
        <f t="shared" si="197"/>
        <v/>
      </c>
      <c r="AC876" s="295" t="str">
        <f>IF('Donor Sample'!R893="","",'Donor Sample'!R893)</f>
        <v/>
      </c>
      <c r="AD876" s="294" t="str">
        <f>IF('Donor Sample'!S893="","",'Donor Sample'!S893/100)</f>
        <v/>
      </c>
      <c r="AE876" s="407" t="e">
        <f t="shared" si="207"/>
        <v>#VALUE!</v>
      </c>
      <c r="AF876" s="293" t="str">
        <f t="shared" si="208"/>
        <v/>
      </c>
      <c r="AG876" s="292" t="str">
        <f>IF('Donor Sample'!T893="","",'Donor Sample'!T893)</f>
        <v/>
      </c>
      <c r="AH876" s="891">
        <f t="shared" si="209"/>
        <v>2</v>
      </c>
      <c r="AI876" s="1220">
        <v>0.19551205635070801</v>
      </c>
      <c r="AJ876" s="1216"/>
    </row>
    <row r="877" spans="5:36">
      <c r="E877" s="299">
        <v>869</v>
      </c>
      <c r="F877" s="308">
        <f t="shared" ca="1" si="198"/>
        <v>4290.0425011040679</v>
      </c>
      <c r="G877" s="307">
        <f t="shared" ca="1" si="199"/>
        <v>213.80050552513842</v>
      </c>
      <c r="H877" s="306">
        <f t="shared" ca="1" si="200"/>
        <v>0.47669021725650806</v>
      </c>
      <c r="I877" s="305">
        <f t="shared" ca="1" si="202"/>
        <v>163.95176578688424</v>
      </c>
      <c r="J877" s="305">
        <f t="shared" ca="1" si="203"/>
        <v>59.903659995368486</v>
      </c>
      <c r="K877" s="292">
        <f t="shared" ca="1" si="201"/>
        <v>1.5733220574287519</v>
      </c>
      <c r="L877" s="1290">
        <f t="shared" ca="1" si="204"/>
        <v>32.164887897993495</v>
      </c>
      <c r="M877" s="299">
        <v>869</v>
      </c>
      <c r="N877" s="304">
        <f t="shared" si="205"/>
        <v>2899.0048698214609</v>
      </c>
      <c r="O877" s="303">
        <v>265.9929157103108</v>
      </c>
      <c r="P877" s="302">
        <v>0.38197407368386604</v>
      </c>
      <c r="Q877" s="301">
        <v>99.234069193809091</v>
      </c>
      <c r="R877" s="301">
        <v>52.017467477173646</v>
      </c>
      <c r="S877" s="300">
        <v>2.6787134805539941</v>
      </c>
      <c r="T877" s="891">
        <f t="shared" si="206"/>
        <v>2</v>
      </c>
      <c r="U877" s="1220">
        <v>6.3672959804534912E-2</v>
      </c>
      <c r="W877" s="299">
        <v>869</v>
      </c>
      <c r="X877" s="298">
        <f>IF('Donor Sample'!N894="",,IF('Donor Sample'!N894="F",1,0))</f>
        <v>0</v>
      </c>
      <c r="Y877" s="298" t="str">
        <f>IF('Donor Sample'!O894="","",'Donor Sample'!O894)</f>
        <v/>
      </c>
      <c r="Z877" s="298" t="str">
        <f>IF(AND('Donor Sample'!O894="",'Donor Sample'!P894="",'Donor Sample'!Q894=""),"",IF('Donor Sample'!P894="",ROUND(AA877/($C$32+($AI877-0.5)*$C$31),0),'Donor Sample'!P894))</f>
        <v/>
      </c>
      <c r="AA877" s="297" t="str">
        <f>IF('Donor Sample'!Q894="","",'Donor Sample'!Q894)</f>
        <v/>
      </c>
      <c r="AB877" s="296" t="str">
        <f t="shared" si="197"/>
        <v/>
      </c>
      <c r="AC877" s="295" t="str">
        <f>IF('Donor Sample'!R894="","",'Donor Sample'!R894)</f>
        <v/>
      </c>
      <c r="AD877" s="294" t="str">
        <f>IF('Donor Sample'!S894="","",'Donor Sample'!S894/100)</f>
        <v/>
      </c>
      <c r="AE877" s="293" t="e">
        <f t="shared" si="207"/>
        <v>#VALUE!</v>
      </c>
      <c r="AF877" s="293" t="str">
        <f t="shared" si="208"/>
        <v/>
      </c>
      <c r="AG877" s="292" t="str">
        <f>IF('Donor Sample'!T894="","",'Donor Sample'!T894)</f>
        <v/>
      </c>
      <c r="AH877" s="891">
        <f t="shared" si="209"/>
        <v>4</v>
      </c>
      <c r="AI877" s="1220">
        <v>0.41710704565048218</v>
      </c>
      <c r="AJ877" s="1216"/>
    </row>
    <row r="878" spans="5:36">
      <c r="E878" s="299">
        <v>870</v>
      </c>
      <c r="F878" s="308">
        <f t="shared" ca="1" si="198"/>
        <v>3686.2997703325218</v>
      </c>
      <c r="G878" s="307">
        <f t="shared" ca="1" si="199"/>
        <v>238.48218799740911</v>
      </c>
      <c r="H878" s="306">
        <f t="shared" ca="1" si="200"/>
        <v>0.42496995275526417</v>
      </c>
      <c r="I878" s="305">
        <f t="shared" ca="1" si="202"/>
        <v>113.7317910612706</v>
      </c>
      <c r="J878" s="305">
        <f t="shared" ca="1" si="203"/>
        <v>67.534924105831664</v>
      </c>
      <c r="K878" s="292">
        <f t="shared" ca="1" si="201"/>
        <v>1.7458702809775823</v>
      </c>
      <c r="L878" s="1290">
        <f t="shared" ca="1" si="204"/>
        <v>17.554873542996052</v>
      </c>
      <c r="M878" s="299">
        <v>870</v>
      </c>
      <c r="N878" s="304">
        <f t="shared" si="205"/>
        <v>2776.5464786670636</v>
      </c>
      <c r="O878" s="303">
        <v>254.25405472055098</v>
      </c>
      <c r="P878" s="302">
        <v>0.40685051592579791</v>
      </c>
      <c r="Q878" s="301">
        <v>93.310983770661963</v>
      </c>
      <c r="R878" s="301">
        <v>58.92598004110959</v>
      </c>
      <c r="S878" s="300">
        <v>1.6494577201109806</v>
      </c>
      <c r="T878" s="891">
        <f t="shared" si="206"/>
        <v>4</v>
      </c>
      <c r="U878" s="1220">
        <v>0.37872540950775146</v>
      </c>
      <c r="W878" s="299">
        <v>870</v>
      </c>
      <c r="X878" s="298">
        <f>IF('Donor Sample'!N895="",,IF('Donor Sample'!N895="F",1,0))</f>
        <v>0</v>
      </c>
      <c r="Y878" s="298" t="str">
        <f>IF('Donor Sample'!O895="","",'Donor Sample'!O895)</f>
        <v/>
      </c>
      <c r="Z878" s="298" t="str">
        <f>IF(AND('Donor Sample'!O895="",'Donor Sample'!P895="",'Donor Sample'!Q895=""),"",IF('Donor Sample'!P895="",ROUND(AA878/($C$32+($AI878-0.5)*$C$31),0),'Donor Sample'!P895))</f>
        <v/>
      </c>
      <c r="AA878" s="297" t="str">
        <f>IF('Donor Sample'!Q895="","",'Donor Sample'!Q895)</f>
        <v/>
      </c>
      <c r="AB878" s="296" t="str">
        <f t="shared" si="197"/>
        <v/>
      </c>
      <c r="AC878" s="295" t="str">
        <f>IF('Donor Sample'!R895="","",'Donor Sample'!R895)</f>
        <v/>
      </c>
      <c r="AD878" s="294" t="str">
        <f>IF('Donor Sample'!S895="","",'Donor Sample'!S895/100)</f>
        <v/>
      </c>
      <c r="AE878" s="293" t="e">
        <f t="shared" si="207"/>
        <v>#VALUE!</v>
      </c>
      <c r="AF878" s="293" t="str">
        <f t="shared" si="208"/>
        <v/>
      </c>
      <c r="AG878" s="292" t="str">
        <f>IF('Donor Sample'!T895="","",'Donor Sample'!T895)</f>
        <v/>
      </c>
      <c r="AH878" s="891">
        <f t="shared" si="209"/>
        <v>128</v>
      </c>
      <c r="AI878" s="1220">
        <v>0.93023955821990967</v>
      </c>
      <c r="AJ878" s="1216"/>
    </row>
    <row r="879" spans="5:36">
      <c r="E879" s="299">
        <v>871</v>
      </c>
      <c r="F879" s="308">
        <f t="shared" ca="1" si="198"/>
        <v>3396.1689156637776</v>
      </c>
      <c r="G879" s="307">
        <f t="shared" ca="1" si="199"/>
        <v>302.69809463931909</v>
      </c>
      <c r="H879" s="306">
        <f t="shared" ca="1" si="200"/>
        <v>0.40831585978934887</v>
      </c>
      <c r="I879" s="305">
        <f t="shared" ca="1" si="202"/>
        <v>114.60380514029336</v>
      </c>
      <c r="J879" s="305">
        <f t="shared" ca="1" si="203"/>
        <v>57.094946588650366</v>
      </c>
      <c r="K879" s="292">
        <f t="shared" ca="1" si="201"/>
        <v>2.3895437732748919</v>
      </c>
      <c r="L879" s="1290">
        <f t="shared" ca="1" si="204"/>
        <v>24.750065617238874</v>
      </c>
      <c r="M879" s="299">
        <v>871</v>
      </c>
      <c r="N879" s="304">
        <f t="shared" si="205"/>
        <v>3746.8006722702557</v>
      </c>
      <c r="O879" s="303">
        <v>192.25482138190614</v>
      </c>
      <c r="P879" s="302">
        <v>0.39113330370677063</v>
      </c>
      <c r="Q879" s="301">
        <v>132.51363066020733</v>
      </c>
      <c r="R879" s="301">
        <v>58.572645104409695</v>
      </c>
      <c r="S879" s="300">
        <v>10.256365212986205</v>
      </c>
      <c r="T879" s="891">
        <f t="shared" si="206"/>
        <v>2</v>
      </c>
      <c r="U879" s="1220">
        <v>3.4581243991851807E-2</v>
      </c>
      <c r="W879" s="299">
        <v>871</v>
      </c>
      <c r="X879" s="298">
        <f>IF('Donor Sample'!N896="",,IF('Donor Sample'!N896="F",1,0))</f>
        <v>0</v>
      </c>
      <c r="Y879" s="298" t="str">
        <f>IF('Donor Sample'!O896="","",'Donor Sample'!O896)</f>
        <v/>
      </c>
      <c r="Z879" s="298" t="str">
        <f>IF(AND('Donor Sample'!O896="",'Donor Sample'!P896="",'Donor Sample'!Q896=""),"",IF('Donor Sample'!P896="",ROUND(AA879/($C$32+($AI879-0.5)*$C$31),0),'Donor Sample'!P896))</f>
        <v/>
      </c>
      <c r="AA879" s="297" t="str">
        <f>IF('Donor Sample'!Q896="","",'Donor Sample'!Q896)</f>
        <v/>
      </c>
      <c r="AB879" s="296" t="str">
        <f t="shared" si="197"/>
        <v/>
      </c>
      <c r="AC879" s="295" t="str">
        <f>IF('Donor Sample'!R896="","",'Donor Sample'!R896)</f>
        <v/>
      </c>
      <c r="AD879" s="294" t="str">
        <f>IF('Donor Sample'!S896="","",'Donor Sample'!S896/100)</f>
        <v/>
      </c>
      <c r="AE879" s="407" t="e">
        <f t="shared" si="207"/>
        <v>#VALUE!</v>
      </c>
      <c r="AF879" s="293" t="str">
        <f t="shared" si="208"/>
        <v/>
      </c>
      <c r="AG879" s="292" t="str">
        <f>IF('Donor Sample'!T896="","",'Donor Sample'!T896)</f>
        <v/>
      </c>
      <c r="AH879" s="891">
        <f t="shared" si="209"/>
        <v>2</v>
      </c>
      <c r="AI879" s="1220">
        <v>4.4589579105377197E-2</v>
      </c>
      <c r="AJ879" s="1216"/>
    </row>
    <row r="880" spans="5:36">
      <c r="E880" s="299">
        <v>872</v>
      </c>
      <c r="F880" s="308">
        <f t="shared" ca="1" si="198"/>
        <v>3052.6232401206275</v>
      </c>
      <c r="G880" s="307">
        <f t="shared" ca="1" si="199"/>
        <v>269.0022303577133</v>
      </c>
      <c r="H880" s="306">
        <f t="shared" ca="1" si="200"/>
        <v>0.35743933513452836</v>
      </c>
      <c r="I880" s="305">
        <f t="shared" ca="1" si="202"/>
        <v>94.490327171028085</v>
      </c>
      <c r="J880" s="305">
        <f t="shared" ca="1" si="203"/>
        <v>56.233481718200984</v>
      </c>
      <c r="K880" s="292">
        <f t="shared" ca="1" si="201"/>
        <v>2.181458446465093</v>
      </c>
      <c r="L880" s="1290">
        <f t="shared" ca="1" si="204"/>
        <v>21.036334316916417</v>
      </c>
      <c r="M880" s="299">
        <v>872</v>
      </c>
      <c r="N880" s="304">
        <f t="shared" si="205"/>
        <v>2733.8881889454424</v>
      </c>
      <c r="O880" s="303">
        <v>228.8357192963704</v>
      </c>
      <c r="P880" s="302">
        <v>0.38221581058293019</v>
      </c>
      <c r="Q880" s="301">
        <v>93.106591146284131</v>
      </c>
      <c r="R880" s="301">
        <v>50.418574360155944</v>
      </c>
      <c r="S880" s="300">
        <v>1.4664684303100575</v>
      </c>
      <c r="T880" s="891">
        <f t="shared" si="206"/>
        <v>64</v>
      </c>
      <c r="U880" s="1220">
        <v>0.70147418975830078</v>
      </c>
      <c r="W880" s="299">
        <v>872</v>
      </c>
      <c r="X880" s="298">
        <f>IF('Donor Sample'!N897="",,IF('Donor Sample'!N897="F",1,0))</f>
        <v>0</v>
      </c>
      <c r="Y880" s="298" t="str">
        <f>IF('Donor Sample'!O897="","",'Donor Sample'!O897)</f>
        <v/>
      </c>
      <c r="Z880" s="298" t="str">
        <f>IF(AND('Donor Sample'!O897="",'Donor Sample'!P897="",'Donor Sample'!Q897=""),"",IF('Donor Sample'!P897="",ROUND(AA880/($C$32+($AI880-0.5)*$C$31),0),'Donor Sample'!P897))</f>
        <v/>
      </c>
      <c r="AA880" s="297" t="str">
        <f>IF('Donor Sample'!Q897="","",'Donor Sample'!Q897)</f>
        <v/>
      </c>
      <c r="AB880" s="296" t="str">
        <f t="shared" si="197"/>
        <v/>
      </c>
      <c r="AC880" s="295" t="str">
        <f>IF('Donor Sample'!R897="","",'Donor Sample'!R897)</f>
        <v/>
      </c>
      <c r="AD880" s="294" t="str">
        <f>IF('Donor Sample'!S897="","",'Donor Sample'!S897/100)</f>
        <v/>
      </c>
      <c r="AE880" s="293" t="e">
        <f t="shared" si="207"/>
        <v>#VALUE!</v>
      </c>
      <c r="AF880" s="293" t="str">
        <f t="shared" si="208"/>
        <v/>
      </c>
      <c r="AG880" s="292" t="str">
        <f>IF('Donor Sample'!T897="","",'Donor Sample'!T897)</f>
        <v/>
      </c>
      <c r="AH880" s="891">
        <f t="shared" si="209"/>
        <v>2</v>
      </c>
      <c r="AI880" s="1220">
        <v>0.17779684066772461</v>
      </c>
      <c r="AJ880" s="1216"/>
    </row>
    <row r="881" spans="5:36">
      <c r="E881" s="299">
        <v>873</v>
      </c>
      <c r="F881" s="308">
        <f t="shared" ca="1" si="198"/>
        <v>2944.75298095056</v>
      </c>
      <c r="G881" s="307">
        <f t="shared" ca="1" si="199"/>
        <v>275.58933860919359</v>
      </c>
      <c r="H881" s="306">
        <f t="shared" ca="1" si="200"/>
        <v>0.43942023856249846</v>
      </c>
      <c r="I881" s="305">
        <f t="shared" ca="1" si="202"/>
        <v>118.67207797568369</v>
      </c>
      <c r="J881" s="305">
        <f t="shared" ca="1" si="203"/>
        <v>46.593823716382836</v>
      </c>
      <c r="K881" s="292">
        <f t="shared" ca="1" si="201"/>
        <v>1.8332686253483674</v>
      </c>
      <c r="L881" s="1290">
        <f t="shared" ca="1" si="204"/>
        <v>38.482608427432751</v>
      </c>
      <c r="M881" s="299">
        <v>873</v>
      </c>
      <c r="N881" s="304">
        <f t="shared" si="205"/>
        <v>4017.4012807577728</v>
      </c>
      <c r="O881" s="303">
        <v>275.73028559850974</v>
      </c>
      <c r="P881" s="302">
        <v>0.46245727281470522</v>
      </c>
      <c r="Q881" s="301">
        <v>156.32430172823973</v>
      </c>
      <c r="R881" s="301">
        <v>57.300232756946301</v>
      </c>
      <c r="S881" s="300">
        <v>2.7279437977499144</v>
      </c>
      <c r="T881" s="891">
        <f t="shared" si="206"/>
        <v>64</v>
      </c>
      <c r="U881" s="1220">
        <v>0.48491400480270386</v>
      </c>
      <c r="W881" s="299">
        <v>873</v>
      </c>
      <c r="X881" s="298">
        <f>IF('Donor Sample'!N898="",,IF('Donor Sample'!N898="F",1,0))</f>
        <v>0</v>
      </c>
      <c r="Y881" s="298" t="str">
        <f>IF('Donor Sample'!O898="","",'Donor Sample'!O898)</f>
        <v/>
      </c>
      <c r="Z881" s="298" t="str">
        <f>IF(AND('Donor Sample'!O898="",'Donor Sample'!P898="",'Donor Sample'!Q898=""),"",IF('Donor Sample'!P898="",ROUND(AA881/($C$32+($AI881-0.5)*$C$31),0),'Donor Sample'!P898))</f>
        <v/>
      </c>
      <c r="AA881" s="297" t="str">
        <f>IF('Donor Sample'!Q898="","",'Donor Sample'!Q898)</f>
        <v/>
      </c>
      <c r="AB881" s="296" t="str">
        <f t="shared" si="197"/>
        <v/>
      </c>
      <c r="AC881" s="295" t="str">
        <f>IF('Donor Sample'!R898="","",'Donor Sample'!R898)</f>
        <v/>
      </c>
      <c r="AD881" s="294" t="str">
        <f>IF('Donor Sample'!S898="","",'Donor Sample'!S898/100)</f>
        <v/>
      </c>
      <c r="AE881" s="293" t="e">
        <f t="shared" si="207"/>
        <v>#VALUE!</v>
      </c>
      <c r="AF881" s="293" t="str">
        <f t="shared" si="208"/>
        <v/>
      </c>
      <c r="AG881" s="292" t="str">
        <f>IF('Donor Sample'!T898="","",'Donor Sample'!T898)</f>
        <v/>
      </c>
      <c r="AH881" s="891">
        <f t="shared" si="209"/>
        <v>2</v>
      </c>
      <c r="AI881" s="1220">
        <v>3.6903083324432373E-2</v>
      </c>
      <c r="AJ881" s="1216"/>
    </row>
    <row r="882" spans="5:36">
      <c r="E882" s="299">
        <v>874</v>
      </c>
      <c r="F882" s="308">
        <f t="shared" ca="1" si="198"/>
        <v>3767.5399711673213</v>
      </c>
      <c r="G882" s="307">
        <f t="shared" ca="1" si="199"/>
        <v>238.09315705383395</v>
      </c>
      <c r="H882" s="306">
        <f t="shared" ca="1" si="200"/>
        <v>0.41719014934795212</v>
      </c>
      <c r="I882" s="305">
        <f t="shared" ca="1" si="202"/>
        <v>116.91638898959619</v>
      </c>
      <c r="J882" s="305">
        <f t="shared" ca="1" si="203"/>
        <v>62.340441146538851</v>
      </c>
      <c r="K882" s="292">
        <f t="shared" ca="1" si="201"/>
        <v>1.2626748623136126</v>
      </c>
      <c r="L882" s="1290">
        <f t="shared" ca="1" si="204"/>
        <v>21.179139468734096</v>
      </c>
      <c r="M882" s="299">
        <v>874</v>
      </c>
      <c r="N882" s="304">
        <f t="shared" si="205"/>
        <v>3258.8153135850507</v>
      </c>
      <c r="O882" s="303">
        <v>291.11201810264305</v>
      </c>
      <c r="P882" s="302">
        <v>0.4172962956201991</v>
      </c>
      <c r="Q882" s="301">
        <v>103.8650084865215</v>
      </c>
      <c r="R882" s="301">
        <v>57.423573518073958</v>
      </c>
      <c r="S882" s="300">
        <v>3.8647403854731004</v>
      </c>
      <c r="T882" s="891">
        <f t="shared" si="206"/>
        <v>64</v>
      </c>
      <c r="U882" s="1220">
        <v>0.71973860263824463</v>
      </c>
      <c r="W882" s="299">
        <v>874</v>
      </c>
      <c r="X882" s="298">
        <f>IF('Donor Sample'!N899="",,IF('Donor Sample'!N899="F",1,0))</f>
        <v>0</v>
      </c>
      <c r="Y882" s="298" t="str">
        <f>IF('Donor Sample'!O899="","",'Donor Sample'!O899)</f>
        <v/>
      </c>
      <c r="Z882" s="298" t="str">
        <f>IF(AND('Donor Sample'!O899="",'Donor Sample'!P899="",'Donor Sample'!Q899=""),"",IF('Donor Sample'!P899="",ROUND(AA882/($C$32+($AI882-0.5)*$C$31),0),'Donor Sample'!P899))</f>
        <v/>
      </c>
      <c r="AA882" s="297" t="str">
        <f>IF('Donor Sample'!Q899="","",'Donor Sample'!Q899)</f>
        <v/>
      </c>
      <c r="AB882" s="296" t="str">
        <f t="shared" si="197"/>
        <v/>
      </c>
      <c r="AC882" s="295" t="str">
        <f>IF('Donor Sample'!R899="","",'Donor Sample'!R899)</f>
        <v/>
      </c>
      <c r="AD882" s="294" t="str">
        <f>IF('Donor Sample'!S899="","",'Donor Sample'!S899/100)</f>
        <v/>
      </c>
      <c r="AE882" s="407" t="e">
        <f t="shared" si="207"/>
        <v>#VALUE!</v>
      </c>
      <c r="AF882" s="293" t="str">
        <f t="shared" si="208"/>
        <v/>
      </c>
      <c r="AG882" s="292" t="str">
        <f>IF('Donor Sample'!T899="","",'Donor Sample'!T899)</f>
        <v/>
      </c>
      <c r="AH882" s="891">
        <f t="shared" si="209"/>
        <v>64</v>
      </c>
      <c r="AI882" s="1220">
        <v>0.62090027332305908</v>
      </c>
      <c r="AJ882" s="1216"/>
    </row>
    <row r="883" spans="5:36">
      <c r="E883" s="299">
        <v>875</v>
      </c>
      <c r="F883" s="308">
        <f t="shared" ca="1" si="198"/>
        <v>3448.298912832287</v>
      </c>
      <c r="G883" s="307">
        <f t="shared" ca="1" si="199"/>
        <v>289.22039778609025</v>
      </c>
      <c r="H883" s="306">
        <f t="shared" ca="1" si="200"/>
        <v>0.39154520862440334</v>
      </c>
      <c r="I883" s="305">
        <f t="shared" ca="1" si="202"/>
        <v>124.50660100286933</v>
      </c>
      <c r="J883" s="305">
        <f t="shared" ca="1" si="203"/>
        <v>55.477091627337686</v>
      </c>
      <c r="K883" s="292">
        <f t="shared" ca="1" si="201"/>
        <v>2.652674155376519</v>
      </c>
      <c r="L883" s="1290">
        <f t="shared" ca="1" si="204"/>
        <v>28.479847919355461</v>
      </c>
      <c r="M883" s="299">
        <v>875</v>
      </c>
      <c r="N883" s="304">
        <f t="shared" si="205"/>
        <v>2959.3832731268367</v>
      </c>
      <c r="O883" s="303">
        <v>271.78711499621301</v>
      </c>
      <c r="P883" s="302">
        <v>0.36573512131796326</v>
      </c>
      <c r="Q883" s="301">
        <v>102.37474824593639</v>
      </c>
      <c r="R883" s="301">
        <v>52.313400767640424</v>
      </c>
      <c r="S883" s="300">
        <v>19.952912385369917</v>
      </c>
      <c r="T883" s="891">
        <f t="shared" si="206"/>
        <v>64</v>
      </c>
      <c r="U883" s="1220">
        <v>0.44733268022537231</v>
      </c>
      <c r="W883" s="299">
        <v>875</v>
      </c>
      <c r="X883" s="298">
        <f>IF('Donor Sample'!N900="",,IF('Donor Sample'!N900="F",1,0))</f>
        <v>0</v>
      </c>
      <c r="Y883" s="298" t="str">
        <f>IF('Donor Sample'!O900="","",'Donor Sample'!O900)</f>
        <v/>
      </c>
      <c r="Z883" s="298" t="str">
        <f>IF(AND('Donor Sample'!O900="",'Donor Sample'!P900="",'Donor Sample'!Q900=""),"",IF('Donor Sample'!P900="",ROUND(AA883/($C$32+($AI883-0.5)*$C$31),0),'Donor Sample'!P900))</f>
        <v/>
      </c>
      <c r="AA883" s="297" t="str">
        <f>IF('Donor Sample'!Q900="","",'Donor Sample'!Q900)</f>
        <v/>
      </c>
      <c r="AB883" s="296" t="str">
        <f t="shared" si="197"/>
        <v/>
      </c>
      <c r="AC883" s="295" t="str">
        <f>IF('Donor Sample'!R900="","",'Donor Sample'!R900)</f>
        <v/>
      </c>
      <c r="AD883" s="294" t="str">
        <f>IF('Donor Sample'!S900="","",'Donor Sample'!S900/100)</f>
        <v/>
      </c>
      <c r="AE883" s="293" t="e">
        <f t="shared" si="207"/>
        <v>#VALUE!</v>
      </c>
      <c r="AF883" s="293" t="str">
        <f t="shared" si="208"/>
        <v/>
      </c>
      <c r="AG883" s="292" t="str">
        <f>IF('Donor Sample'!T900="","",'Donor Sample'!T900)</f>
        <v/>
      </c>
      <c r="AH883" s="891">
        <f t="shared" si="209"/>
        <v>64</v>
      </c>
      <c r="AI883" s="1220">
        <v>0.57246094942092896</v>
      </c>
      <c r="AJ883" s="1216"/>
    </row>
    <row r="884" spans="5:36">
      <c r="E884" s="299">
        <v>876</v>
      </c>
      <c r="F884" s="308">
        <f t="shared" ca="1" si="198"/>
        <v>3521.1622018334328</v>
      </c>
      <c r="G884" s="307">
        <f t="shared" ca="1" si="199"/>
        <v>277.98698854586848</v>
      </c>
      <c r="H884" s="306">
        <f t="shared" ca="1" si="200"/>
        <v>0.41016126460004204</v>
      </c>
      <c r="I884" s="305">
        <f t="shared" ca="1" si="202"/>
        <v>132.33763140100669</v>
      </c>
      <c r="J884" s="305">
        <f t="shared" ca="1" si="203"/>
        <v>54.719724766110289</v>
      </c>
      <c r="K884" s="292">
        <f t="shared" ca="1" si="201"/>
        <v>1.2521118624704941</v>
      </c>
      <c r="L884" s="1290">
        <f t="shared" ca="1" si="204"/>
        <v>31.114885554393204</v>
      </c>
      <c r="M884" s="299">
        <v>876</v>
      </c>
      <c r="N884" s="304">
        <f t="shared" si="205"/>
        <v>3460.7184637843002</v>
      </c>
      <c r="O884" s="303">
        <v>207.8191942306066</v>
      </c>
      <c r="P884" s="302">
        <v>0.42259519120459155</v>
      </c>
      <c r="Q884" s="301">
        <v>123.13255172340365</v>
      </c>
      <c r="R884" s="301">
        <v>56.056163001405331</v>
      </c>
      <c r="S884" s="300">
        <v>17.943731628900274</v>
      </c>
      <c r="T884" s="891">
        <f t="shared" si="206"/>
        <v>4</v>
      </c>
      <c r="U884" s="1220">
        <v>0.40584683418273926</v>
      </c>
      <c r="W884" s="299">
        <v>876</v>
      </c>
      <c r="X884" s="298">
        <f>IF('Donor Sample'!N901="",,IF('Donor Sample'!N901="F",1,0))</f>
        <v>0</v>
      </c>
      <c r="Y884" s="298" t="str">
        <f>IF('Donor Sample'!O901="","",'Donor Sample'!O901)</f>
        <v/>
      </c>
      <c r="Z884" s="298" t="str">
        <f>IF(AND('Donor Sample'!O901="",'Donor Sample'!P901="",'Donor Sample'!Q901=""),"",IF('Donor Sample'!P901="",ROUND(AA884/($C$32+($AI884-0.5)*$C$31),0),'Donor Sample'!P901))</f>
        <v/>
      </c>
      <c r="AA884" s="297" t="str">
        <f>IF('Donor Sample'!Q901="","",'Donor Sample'!Q901)</f>
        <v/>
      </c>
      <c r="AB884" s="296" t="str">
        <f t="shared" si="197"/>
        <v/>
      </c>
      <c r="AC884" s="295" t="str">
        <f>IF('Donor Sample'!R901="","",'Donor Sample'!R901)</f>
        <v/>
      </c>
      <c r="AD884" s="294" t="str">
        <f>IF('Donor Sample'!S901="","",'Donor Sample'!S901/100)</f>
        <v/>
      </c>
      <c r="AE884" s="293" t="e">
        <f t="shared" si="207"/>
        <v>#VALUE!</v>
      </c>
      <c r="AF884" s="293" t="str">
        <f t="shared" si="208"/>
        <v/>
      </c>
      <c r="AG884" s="292" t="str">
        <f>IF('Donor Sample'!T901="","",'Donor Sample'!T901)</f>
        <v/>
      </c>
      <c r="AH884" s="891">
        <f t="shared" si="209"/>
        <v>2</v>
      </c>
      <c r="AI884" s="1220">
        <v>4.4622182846069336E-2</v>
      </c>
      <c r="AJ884" s="1216"/>
    </row>
    <row r="885" spans="5:36">
      <c r="E885" s="299">
        <v>877</v>
      </c>
      <c r="F885" s="308">
        <f t="shared" ca="1" si="198"/>
        <v>3588.8273663192617</v>
      </c>
      <c r="G885" s="307">
        <f t="shared" ca="1" si="199"/>
        <v>190.71475189964207</v>
      </c>
      <c r="H885" s="306">
        <f t="shared" ca="1" si="200"/>
        <v>0.49987689472357777</v>
      </c>
      <c r="I885" s="305">
        <f t="shared" ca="1" si="202"/>
        <v>142.06033544417275</v>
      </c>
      <c r="J885" s="305">
        <f t="shared" ca="1" si="203"/>
        <v>53.308055522333042</v>
      </c>
      <c r="K885" s="292">
        <f t="shared" ca="1" si="201"/>
        <v>1.7057425184045578</v>
      </c>
      <c r="L885" s="1290">
        <f t="shared" ca="1" si="204"/>
        <v>35.19328546240537</v>
      </c>
      <c r="M885" s="299">
        <v>877</v>
      </c>
      <c r="N885" s="304">
        <f t="shared" si="205"/>
        <v>3445.3635235101024</v>
      </c>
      <c r="O885" s="303">
        <v>258.68483309000345</v>
      </c>
      <c r="P885" s="302">
        <v>0.37974895452918744</v>
      </c>
      <c r="Q885" s="301">
        <v>142.07476552777251</v>
      </c>
      <c r="R885" s="301">
        <v>50.342994275537968</v>
      </c>
      <c r="S885" s="300">
        <v>5.0892958682156069</v>
      </c>
      <c r="T885" s="891">
        <f t="shared" si="206"/>
        <v>32</v>
      </c>
      <c r="U885" s="1220">
        <v>0.79391521215438843</v>
      </c>
      <c r="W885" s="299">
        <v>877</v>
      </c>
      <c r="X885" s="298">
        <f>IF('Donor Sample'!N902="",,IF('Donor Sample'!N902="F",1,0))</f>
        <v>0</v>
      </c>
      <c r="Y885" s="298" t="str">
        <f>IF('Donor Sample'!O902="","",'Donor Sample'!O902)</f>
        <v/>
      </c>
      <c r="Z885" s="298" t="str">
        <f>IF(AND('Donor Sample'!O902="",'Donor Sample'!P902="",'Donor Sample'!Q902=""),"",IF('Donor Sample'!P902="",ROUND(AA885/($C$32+($AI885-0.5)*$C$31),0),'Donor Sample'!P902))</f>
        <v/>
      </c>
      <c r="AA885" s="297" t="str">
        <f>IF('Donor Sample'!Q902="","",'Donor Sample'!Q902)</f>
        <v/>
      </c>
      <c r="AB885" s="296" t="str">
        <f t="shared" si="197"/>
        <v/>
      </c>
      <c r="AC885" s="295" t="str">
        <f>IF('Donor Sample'!R902="","",'Donor Sample'!R902)</f>
        <v/>
      </c>
      <c r="AD885" s="294" t="str">
        <f>IF('Donor Sample'!S902="","",'Donor Sample'!S902/100)</f>
        <v/>
      </c>
      <c r="AE885" s="407" t="e">
        <f t="shared" si="207"/>
        <v>#VALUE!</v>
      </c>
      <c r="AF885" s="293" t="str">
        <f t="shared" si="208"/>
        <v/>
      </c>
      <c r="AG885" s="292" t="str">
        <f>IF('Donor Sample'!T902="","",'Donor Sample'!T902)</f>
        <v/>
      </c>
      <c r="AH885" s="891">
        <f t="shared" si="209"/>
        <v>2</v>
      </c>
      <c r="AI885" s="1220">
        <v>0.33510869741439819</v>
      </c>
      <c r="AJ885" s="1216"/>
    </row>
    <row r="886" spans="5:36">
      <c r="E886" s="299">
        <v>878</v>
      </c>
      <c r="F886" s="308">
        <f t="shared" ca="1" si="198"/>
        <v>3550.4627929406429</v>
      </c>
      <c r="G886" s="307">
        <f t="shared" ca="1" si="199"/>
        <v>278.76500531133274</v>
      </c>
      <c r="H886" s="306">
        <f t="shared" ca="1" si="200"/>
        <v>0.42122462712650388</v>
      </c>
      <c r="I886" s="305">
        <f t="shared" ca="1" si="202"/>
        <v>127.13299847159576</v>
      </c>
      <c r="J886" s="305">
        <f t="shared" ca="1" si="203"/>
        <v>56.603741246601963</v>
      </c>
      <c r="K886" s="292">
        <f t="shared" ca="1" si="201"/>
        <v>5.191332606153872</v>
      </c>
      <c r="L886" s="1290">
        <f t="shared" ca="1" si="204"/>
        <v>27.934485392441658</v>
      </c>
      <c r="M886" s="299">
        <v>878</v>
      </c>
      <c r="N886" s="304">
        <f t="shared" si="205"/>
        <v>3232.5931180966645</v>
      </c>
      <c r="O886" s="303">
        <v>227.31704119406433</v>
      </c>
      <c r="P886" s="302">
        <v>0.35289893178509929</v>
      </c>
      <c r="Q886" s="301">
        <v>103.63961210015668</v>
      </c>
      <c r="R886" s="301">
        <v>57.035379096046285</v>
      </c>
      <c r="S886" s="300">
        <v>4.666951663979364</v>
      </c>
      <c r="T886" s="891">
        <f t="shared" si="206"/>
        <v>32</v>
      </c>
      <c r="U886" s="1220">
        <v>0.77637755870819092</v>
      </c>
      <c r="W886" s="299">
        <v>878</v>
      </c>
      <c r="X886" s="298">
        <f>IF('Donor Sample'!N903="",,IF('Donor Sample'!N903="F",1,0))</f>
        <v>0</v>
      </c>
      <c r="Y886" s="298" t="str">
        <f>IF('Donor Sample'!O903="","",'Donor Sample'!O903)</f>
        <v/>
      </c>
      <c r="Z886" s="298" t="str">
        <f>IF(AND('Donor Sample'!O903="",'Donor Sample'!P903="",'Donor Sample'!Q903=""),"",IF('Donor Sample'!P903="",ROUND(AA886/($C$32+($AI886-0.5)*$C$31),0),'Donor Sample'!P903))</f>
        <v/>
      </c>
      <c r="AA886" s="297" t="str">
        <f>IF('Donor Sample'!Q903="","",'Donor Sample'!Q903)</f>
        <v/>
      </c>
      <c r="AB886" s="296" t="str">
        <f t="shared" ref="AB886:AB949" si="210">IF(AND(Y886="",Z886="",AA886=""),"",IF(AA886="",IF(X886=0,604+IF($AB$2=1,0.006012,0.0003669)*Y886^3+IF($AB$2=1,14.6,32.187)*Z886,183+IF($AB$2=1,0.005835,0.0003561)*Y886^3+IF($AB$2=1,15,33.069)*Z886),AA886))</f>
        <v/>
      </c>
      <c r="AC886" s="295" t="str">
        <f>IF('Donor Sample'!R903="","",'Donor Sample'!R903)</f>
        <v/>
      </c>
      <c r="AD886" s="294" t="str">
        <f>IF('Donor Sample'!S903="","",'Donor Sample'!S903/100)</f>
        <v/>
      </c>
      <c r="AE886" s="293" t="e">
        <f t="shared" si="207"/>
        <v>#VALUE!</v>
      </c>
      <c r="AF886" s="293" t="str">
        <f t="shared" si="208"/>
        <v/>
      </c>
      <c r="AG886" s="292" t="str">
        <f>IF('Donor Sample'!T903="","",'Donor Sample'!T903)</f>
        <v/>
      </c>
      <c r="AH886" s="891">
        <f t="shared" si="209"/>
        <v>2</v>
      </c>
      <c r="AI886" s="1220">
        <v>0.28023850917816162</v>
      </c>
      <c r="AJ886" s="1216"/>
    </row>
    <row r="887" spans="5:36">
      <c r="E887" s="299">
        <v>879</v>
      </c>
      <c r="F887" s="308">
        <f t="shared" ca="1" si="198"/>
        <v>4513.9389586418965</v>
      </c>
      <c r="G887" s="307">
        <f t="shared" ca="1" si="199"/>
        <v>240.21328870785734</v>
      </c>
      <c r="H887" s="306">
        <f t="shared" ca="1" si="200"/>
        <v>0.43268841268893721</v>
      </c>
      <c r="I887" s="305">
        <f t="shared" ca="1" si="202"/>
        <v>142.50989023580698</v>
      </c>
      <c r="J887" s="305">
        <f t="shared" ca="1" si="203"/>
        <v>67.259694505510438</v>
      </c>
      <c r="K887" s="292">
        <f t="shared" ca="1" si="201"/>
        <v>1.456123957171219</v>
      </c>
      <c r="L887" s="1290">
        <f t="shared" ca="1" si="204"/>
        <v>22.177259787769007</v>
      </c>
      <c r="M887" s="299">
        <v>879</v>
      </c>
      <c r="N887" s="304">
        <f t="shared" si="205"/>
        <v>3592.7783065333115</v>
      </c>
      <c r="O887" s="303">
        <v>252.91737381492658</v>
      </c>
      <c r="P887" s="302">
        <v>0.52179904854600567</v>
      </c>
      <c r="Q887" s="301">
        <v>131.51897930843032</v>
      </c>
      <c r="R887" s="301">
        <v>56.225358044172722</v>
      </c>
      <c r="S887" s="300">
        <v>4.2365580192333798</v>
      </c>
      <c r="T887" s="891">
        <f t="shared" si="206"/>
        <v>64</v>
      </c>
      <c r="U887" s="1220">
        <v>0.57648807764053345</v>
      </c>
      <c r="W887" s="299">
        <v>879</v>
      </c>
      <c r="X887" s="298">
        <f>IF('Donor Sample'!N904="",,IF('Donor Sample'!N904="F",1,0))</f>
        <v>0</v>
      </c>
      <c r="Y887" s="298" t="str">
        <f>IF('Donor Sample'!O904="","",'Donor Sample'!O904)</f>
        <v/>
      </c>
      <c r="Z887" s="298" t="str">
        <f>IF(AND('Donor Sample'!O904="",'Donor Sample'!P904="",'Donor Sample'!Q904=""),"",IF('Donor Sample'!P904="",ROUND(AA887/($C$32+($AI887-0.5)*$C$31),0),'Donor Sample'!P904))</f>
        <v/>
      </c>
      <c r="AA887" s="297" t="str">
        <f>IF('Donor Sample'!Q904="","",'Donor Sample'!Q904)</f>
        <v/>
      </c>
      <c r="AB887" s="296" t="str">
        <f t="shared" si="210"/>
        <v/>
      </c>
      <c r="AC887" s="295" t="str">
        <f>IF('Donor Sample'!R904="","",'Donor Sample'!R904)</f>
        <v/>
      </c>
      <c r="AD887" s="294" t="str">
        <f>IF('Donor Sample'!S904="","",'Donor Sample'!S904/100)</f>
        <v/>
      </c>
      <c r="AE887" s="293" t="e">
        <f t="shared" si="207"/>
        <v>#VALUE!</v>
      </c>
      <c r="AF887" s="293" t="str">
        <f t="shared" si="208"/>
        <v/>
      </c>
      <c r="AG887" s="292" t="str">
        <f>IF('Donor Sample'!T904="","",'Donor Sample'!T904)</f>
        <v/>
      </c>
      <c r="AH887" s="891">
        <f t="shared" si="209"/>
        <v>2</v>
      </c>
      <c r="AI887" s="1220">
        <v>0.18258100748062134</v>
      </c>
      <c r="AJ887" s="1216"/>
    </row>
    <row r="888" spans="5:36">
      <c r="E888" s="299">
        <v>880</v>
      </c>
      <c r="F888" s="308">
        <f t="shared" ca="1" si="198"/>
        <v>3921.2095914367651</v>
      </c>
      <c r="G888" s="307">
        <f t="shared" ca="1" si="199"/>
        <v>245.65172170291851</v>
      </c>
      <c r="H888" s="306">
        <f t="shared" ca="1" si="200"/>
        <v>0.36049623505421197</v>
      </c>
      <c r="I888" s="305">
        <f t="shared" ca="1" si="202"/>
        <v>147.74356621951031</v>
      </c>
      <c r="J888" s="305">
        <f t="shared" ca="1" si="203"/>
        <v>57.787268143763917</v>
      </c>
      <c r="K888" s="292">
        <f t="shared" ca="1" si="201"/>
        <v>1.2664767481477843</v>
      </c>
      <c r="L888" s="1290">
        <f t="shared" ca="1" si="204"/>
        <v>31.14704920828456</v>
      </c>
      <c r="M888" s="299">
        <v>880</v>
      </c>
      <c r="N888" s="304">
        <f t="shared" si="205"/>
        <v>3681.4511123762713</v>
      </c>
      <c r="O888" s="303">
        <v>194.98686064032864</v>
      </c>
      <c r="P888" s="302">
        <v>0.43790190097428677</v>
      </c>
      <c r="Q888" s="301">
        <v>124.746946497523</v>
      </c>
      <c r="R888" s="301">
        <v>59.33901695843614</v>
      </c>
      <c r="S888" s="300">
        <v>1.4450817725617415</v>
      </c>
      <c r="T888" s="891">
        <f t="shared" si="206"/>
        <v>4</v>
      </c>
      <c r="U888" s="1220">
        <v>0.37116384506225586</v>
      </c>
      <c r="W888" s="299">
        <v>880</v>
      </c>
      <c r="X888" s="298">
        <f>IF('Donor Sample'!N905="",,IF('Donor Sample'!N905="F",1,0))</f>
        <v>0</v>
      </c>
      <c r="Y888" s="298" t="str">
        <f>IF('Donor Sample'!O905="","",'Donor Sample'!O905)</f>
        <v/>
      </c>
      <c r="Z888" s="298" t="str">
        <f>IF(AND('Donor Sample'!O905="",'Donor Sample'!P905="",'Donor Sample'!Q905=""),"",IF('Donor Sample'!P905="",ROUND(AA888/($C$32+($AI888-0.5)*$C$31),0),'Donor Sample'!P905))</f>
        <v/>
      </c>
      <c r="AA888" s="297" t="str">
        <f>IF('Donor Sample'!Q905="","",'Donor Sample'!Q905)</f>
        <v/>
      </c>
      <c r="AB888" s="296" t="str">
        <f t="shared" si="210"/>
        <v/>
      </c>
      <c r="AC888" s="295" t="str">
        <f>IF('Donor Sample'!R905="","",'Donor Sample'!R905)</f>
        <v/>
      </c>
      <c r="AD888" s="294" t="str">
        <f>IF('Donor Sample'!S905="","",'Donor Sample'!S905/100)</f>
        <v/>
      </c>
      <c r="AE888" s="407" t="e">
        <f t="shared" si="207"/>
        <v>#VALUE!</v>
      </c>
      <c r="AF888" s="293" t="str">
        <f t="shared" si="208"/>
        <v/>
      </c>
      <c r="AG888" s="292" t="str">
        <f>IF('Donor Sample'!T905="","",'Donor Sample'!T905)</f>
        <v/>
      </c>
      <c r="AH888" s="891">
        <f t="shared" si="209"/>
        <v>64</v>
      </c>
      <c r="AI888" s="1220">
        <v>0.69985771179199219</v>
      </c>
      <c r="AJ888" s="1216"/>
    </row>
    <row r="889" spans="5:36">
      <c r="E889" s="299">
        <v>881</v>
      </c>
      <c r="F889" s="308">
        <f t="shared" ca="1" si="198"/>
        <v>2835.6528661325997</v>
      </c>
      <c r="G889" s="307">
        <f t="shared" ca="1" si="199"/>
        <v>254.84700275886144</v>
      </c>
      <c r="H889" s="306">
        <f t="shared" ca="1" si="200"/>
        <v>0.42596679977638324</v>
      </c>
      <c r="I889" s="305">
        <f t="shared" ca="1" si="202"/>
        <v>103.89285988599909</v>
      </c>
      <c r="J889" s="305">
        <f t="shared" ca="1" si="203"/>
        <v>49.172843502975191</v>
      </c>
      <c r="K889" s="292">
        <f t="shared" ca="1" si="201"/>
        <v>2.3134348473701905</v>
      </c>
      <c r="L889" s="1290">
        <f t="shared" ca="1" si="204"/>
        <v>30.248769661476409</v>
      </c>
      <c r="M889" s="299">
        <v>881</v>
      </c>
      <c r="N889" s="304">
        <f t="shared" si="205"/>
        <v>2889.0874930679679</v>
      </c>
      <c r="O889" s="303">
        <v>189.78059938429976</v>
      </c>
      <c r="P889" s="302">
        <v>0.43335604281031459</v>
      </c>
      <c r="Q889" s="301">
        <v>102.98174125884123</v>
      </c>
      <c r="R889" s="301">
        <v>50.657842084987891</v>
      </c>
      <c r="S889" s="300">
        <v>1.3032695807726069</v>
      </c>
      <c r="T889" s="891">
        <f t="shared" si="206"/>
        <v>2</v>
      </c>
      <c r="U889" s="1220">
        <v>8.9614570140838623E-2</v>
      </c>
      <c r="W889" s="299">
        <v>881</v>
      </c>
      <c r="X889" s="298">
        <f>IF('Donor Sample'!N906="",,IF('Donor Sample'!N906="F",1,0))</f>
        <v>0</v>
      </c>
      <c r="Y889" s="298" t="str">
        <f>IF('Donor Sample'!O906="","",'Donor Sample'!O906)</f>
        <v/>
      </c>
      <c r="Z889" s="298" t="str">
        <f>IF(AND('Donor Sample'!O906="",'Donor Sample'!P906="",'Donor Sample'!Q906=""),"",IF('Donor Sample'!P906="",ROUND(AA889/($C$32+($AI889-0.5)*$C$31),0),'Donor Sample'!P906))</f>
        <v/>
      </c>
      <c r="AA889" s="297" t="str">
        <f>IF('Donor Sample'!Q906="","",'Donor Sample'!Q906)</f>
        <v/>
      </c>
      <c r="AB889" s="296" t="str">
        <f t="shared" si="210"/>
        <v/>
      </c>
      <c r="AC889" s="295" t="str">
        <f>IF('Donor Sample'!R906="","",'Donor Sample'!R906)</f>
        <v/>
      </c>
      <c r="AD889" s="294" t="str">
        <f>IF('Donor Sample'!S906="","",'Donor Sample'!S906/100)</f>
        <v/>
      </c>
      <c r="AE889" s="293" t="e">
        <f t="shared" si="207"/>
        <v>#VALUE!</v>
      </c>
      <c r="AF889" s="293" t="str">
        <f t="shared" si="208"/>
        <v/>
      </c>
      <c r="AG889" s="292" t="str">
        <f>IF('Donor Sample'!T906="","",'Donor Sample'!T906)</f>
        <v/>
      </c>
      <c r="AH889" s="891">
        <f t="shared" si="209"/>
        <v>2</v>
      </c>
      <c r="AI889" s="1220">
        <v>0.16261500120162964</v>
      </c>
      <c r="AJ889" s="1216"/>
    </row>
    <row r="890" spans="5:36">
      <c r="E890" s="299">
        <v>882</v>
      </c>
      <c r="F890" s="308">
        <f t="shared" ca="1" si="198"/>
        <v>4063.0206823195563</v>
      </c>
      <c r="G890" s="307">
        <f t="shared" ca="1" si="199"/>
        <v>244.54224409391065</v>
      </c>
      <c r="H890" s="306">
        <f t="shared" ca="1" si="200"/>
        <v>0.434458751750955</v>
      </c>
      <c r="I890" s="305">
        <f t="shared" ca="1" si="202"/>
        <v>151.1545644634501</v>
      </c>
      <c r="J890" s="305">
        <f t="shared" ca="1" si="203"/>
        <v>59.276254224839946</v>
      </c>
      <c r="K890" s="292">
        <f t="shared" ca="1" si="201"/>
        <v>3.9379884721966194</v>
      </c>
      <c r="L890" s="1290">
        <f t="shared" ca="1" si="204"/>
        <v>30.28533775318154</v>
      </c>
      <c r="M890" s="299">
        <v>882</v>
      </c>
      <c r="N890" s="304">
        <f t="shared" si="205"/>
        <v>3884.3496871181515</v>
      </c>
      <c r="O890" s="303">
        <v>304.65038550149518</v>
      </c>
      <c r="P890" s="302">
        <v>0.48486220542253228</v>
      </c>
      <c r="Q890" s="301">
        <v>134.51985864856505</v>
      </c>
      <c r="R890" s="301">
        <v>60.272407755046657</v>
      </c>
      <c r="S890" s="300">
        <v>1.3827367629549887</v>
      </c>
      <c r="T890" s="891">
        <f t="shared" si="206"/>
        <v>64</v>
      </c>
      <c r="U890" s="1220">
        <v>0.56432831287384033</v>
      </c>
      <c r="W890" s="299">
        <v>882</v>
      </c>
      <c r="X890" s="298">
        <f>IF('Donor Sample'!N907="",,IF('Donor Sample'!N907="F",1,0))</f>
        <v>0</v>
      </c>
      <c r="Y890" s="298" t="str">
        <f>IF('Donor Sample'!O907="","",'Donor Sample'!O907)</f>
        <v/>
      </c>
      <c r="Z890" s="298" t="str">
        <f>IF(AND('Donor Sample'!O907="",'Donor Sample'!P907="",'Donor Sample'!Q907=""),"",IF('Donor Sample'!P907="",ROUND(AA890/($C$32+($AI890-0.5)*$C$31),0),'Donor Sample'!P907))</f>
        <v/>
      </c>
      <c r="AA890" s="297" t="str">
        <f>IF('Donor Sample'!Q907="","",'Donor Sample'!Q907)</f>
        <v/>
      </c>
      <c r="AB890" s="296" t="str">
        <f t="shared" si="210"/>
        <v/>
      </c>
      <c r="AC890" s="295" t="str">
        <f>IF('Donor Sample'!R907="","",'Donor Sample'!R907)</f>
        <v/>
      </c>
      <c r="AD890" s="294" t="str">
        <f>IF('Donor Sample'!S907="","",'Donor Sample'!S907/100)</f>
        <v/>
      </c>
      <c r="AE890" s="293" t="e">
        <f t="shared" si="207"/>
        <v>#VALUE!</v>
      </c>
      <c r="AF890" s="293" t="str">
        <f t="shared" si="208"/>
        <v/>
      </c>
      <c r="AG890" s="292" t="str">
        <f>IF('Donor Sample'!T907="","",'Donor Sample'!T907)</f>
        <v/>
      </c>
      <c r="AH890" s="891">
        <f t="shared" si="209"/>
        <v>64</v>
      </c>
      <c r="AI890" s="1220">
        <v>0.66808092594146729</v>
      </c>
      <c r="AJ890" s="1216"/>
    </row>
    <row r="891" spans="5:36">
      <c r="E891" s="299">
        <v>883</v>
      </c>
      <c r="F891" s="308">
        <f t="shared" ca="1" si="198"/>
        <v>3274.1855332483674</v>
      </c>
      <c r="G891" s="307">
        <f t="shared" ca="1" si="199"/>
        <v>213.08765867625826</v>
      </c>
      <c r="H891" s="306">
        <f t="shared" ca="1" si="200"/>
        <v>0.35227871823562096</v>
      </c>
      <c r="I891" s="305">
        <f t="shared" ca="1" si="202"/>
        <v>125.00827810530025</v>
      </c>
      <c r="J891" s="305">
        <f t="shared" ca="1" si="203"/>
        <v>51.994450366751444</v>
      </c>
      <c r="K891" s="292">
        <f t="shared" ca="1" si="201"/>
        <v>2.7309665009394872</v>
      </c>
      <c r="L891" s="1290">
        <f t="shared" ca="1" si="204"/>
        <v>32.553482030955514</v>
      </c>
      <c r="M891" s="299">
        <v>883</v>
      </c>
      <c r="N891" s="304">
        <f t="shared" si="205"/>
        <v>2692.4405592099429</v>
      </c>
      <c r="O891" s="303">
        <v>330.54219351734366</v>
      </c>
      <c r="P891" s="302">
        <v>0.43850612789567989</v>
      </c>
      <c r="Q891" s="301">
        <v>83.425902211746646</v>
      </c>
      <c r="R891" s="301">
        <v>52.509396491646513</v>
      </c>
      <c r="S891" s="300">
        <v>3.2937582729784984</v>
      </c>
      <c r="T891" s="891">
        <f t="shared" si="206"/>
        <v>64</v>
      </c>
      <c r="U891" s="1220">
        <v>0.43748933076858521</v>
      </c>
      <c r="W891" s="299">
        <v>883</v>
      </c>
      <c r="X891" s="298">
        <f>IF('Donor Sample'!N908="",,IF('Donor Sample'!N908="F",1,0))</f>
        <v>0</v>
      </c>
      <c r="Y891" s="298" t="str">
        <f>IF('Donor Sample'!O908="","",'Donor Sample'!O908)</f>
        <v/>
      </c>
      <c r="Z891" s="298" t="str">
        <f>IF(AND('Donor Sample'!O908="",'Donor Sample'!P908="",'Donor Sample'!Q908=""),"",IF('Donor Sample'!P908="",ROUND(AA891/($C$32+($AI891-0.5)*$C$31),0),'Donor Sample'!P908))</f>
        <v/>
      </c>
      <c r="AA891" s="297" t="str">
        <f>IF('Donor Sample'!Q908="","",'Donor Sample'!Q908)</f>
        <v/>
      </c>
      <c r="AB891" s="296" t="str">
        <f t="shared" si="210"/>
        <v/>
      </c>
      <c r="AC891" s="295" t="str">
        <f>IF('Donor Sample'!R908="","",'Donor Sample'!R908)</f>
        <v/>
      </c>
      <c r="AD891" s="294" t="str">
        <f>IF('Donor Sample'!S908="","",'Donor Sample'!S908/100)</f>
        <v/>
      </c>
      <c r="AE891" s="407" t="e">
        <f t="shared" si="207"/>
        <v>#VALUE!</v>
      </c>
      <c r="AF891" s="293" t="str">
        <f t="shared" si="208"/>
        <v/>
      </c>
      <c r="AG891" s="292" t="str">
        <f>IF('Donor Sample'!T908="","",'Donor Sample'!T908)</f>
        <v/>
      </c>
      <c r="AH891" s="891">
        <f t="shared" si="209"/>
        <v>64</v>
      </c>
      <c r="AI891" s="1220">
        <v>0.65796977281570435</v>
      </c>
      <c r="AJ891" s="1216"/>
    </row>
    <row r="892" spans="5:36">
      <c r="E892" s="299">
        <v>884</v>
      </c>
      <c r="F892" s="308">
        <f t="shared" ca="1" si="198"/>
        <v>2599.8407414833136</v>
      </c>
      <c r="G892" s="307">
        <f t="shared" ca="1" si="199"/>
        <v>245.58088691322382</v>
      </c>
      <c r="H892" s="306">
        <f t="shared" ca="1" si="200"/>
        <v>0.3783979847103226</v>
      </c>
      <c r="I892" s="305">
        <f t="shared" ca="1" si="202"/>
        <v>80.326427143561418</v>
      </c>
      <c r="J892" s="305">
        <f t="shared" ca="1" si="203"/>
        <v>51.539491521970241</v>
      </c>
      <c r="K892" s="292">
        <f t="shared" ca="1" si="201"/>
        <v>2.18990805182972</v>
      </c>
      <c r="L892" s="1290">
        <f t="shared" ca="1" si="204"/>
        <v>21.288783742482078</v>
      </c>
      <c r="M892" s="299">
        <v>884</v>
      </c>
      <c r="N892" s="304">
        <f t="shared" si="205"/>
        <v>3375.5932141287303</v>
      </c>
      <c r="O892" s="303">
        <v>202.7708236293023</v>
      </c>
      <c r="P892" s="302">
        <v>0.41099269647325187</v>
      </c>
      <c r="Q892" s="301">
        <v>104.36717132338769</v>
      </c>
      <c r="R892" s="301">
        <v>59.207825116556585</v>
      </c>
      <c r="S892" s="300">
        <v>1.7852569154098414</v>
      </c>
      <c r="T892" s="891">
        <f t="shared" si="206"/>
        <v>4</v>
      </c>
      <c r="U892" s="1220">
        <v>0.36359953880310059</v>
      </c>
      <c r="W892" s="299">
        <v>884</v>
      </c>
      <c r="X892" s="298">
        <f>IF('Donor Sample'!N909="",,IF('Donor Sample'!N909="F",1,0))</f>
        <v>0</v>
      </c>
      <c r="Y892" s="298" t="str">
        <f>IF('Donor Sample'!O909="","",'Donor Sample'!O909)</f>
        <v/>
      </c>
      <c r="Z892" s="298" t="str">
        <f>IF(AND('Donor Sample'!O909="",'Donor Sample'!P909="",'Donor Sample'!Q909=""),"",IF('Donor Sample'!P909="",ROUND(AA892/($C$32+($AI892-0.5)*$C$31),0),'Donor Sample'!P909))</f>
        <v/>
      </c>
      <c r="AA892" s="297" t="str">
        <f>IF('Donor Sample'!Q909="","",'Donor Sample'!Q909)</f>
        <v/>
      </c>
      <c r="AB892" s="296" t="str">
        <f t="shared" si="210"/>
        <v/>
      </c>
      <c r="AC892" s="295" t="str">
        <f>IF('Donor Sample'!R909="","",'Donor Sample'!R909)</f>
        <v/>
      </c>
      <c r="AD892" s="294" t="str">
        <f>IF('Donor Sample'!S909="","",'Donor Sample'!S909/100)</f>
        <v/>
      </c>
      <c r="AE892" s="293" t="e">
        <f t="shared" si="207"/>
        <v>#VALUE!</v>
      </c>
      <c r="AF892" s="293" t="str">
        <f t="shared" si="208"/>
        <v/>
      </c>
      <c r="AG892" s="292" t="str">
        <f>IF('Donor Sample'!T909="","",'Donor Sample'!T909)</f>
        <v/>
      </c>
      <c r="AH892" s="891">
        <f t="shared" si="209"/>
        <v>64</v>
      </c>
      <c r="AI892" s="1220">
        <v>0.60694336891174316</v>
      </c>
      <c r="AJ892" s="1216"/>
    </row>
    <row r="893" spans="5:36">
      <c r="E893" s="299">
        <v>885</v>
      </c>
      <c r="F893" s="308">
        <f t="shared" ca="1" si="198"/>
        <v>3157.5981129241768</v>
      </c>
      <c r="G893" s="307">
        <f t="shared" ca="1" si="199"/>
        <v>185.84477085116436</v>
      </c>
      <c r="H893" s="306">
        <f t="shared" ca="1" si="200"/>
        <v>0.47408206841489958</v>
      </c>
      <c r="I893" s="305">
        <f t="shared" ca="1" si="202"/>
        <v>108.64531813305561</v>
      </c>
      <c r="J893" s="305">
        <f t="shared" ca="1" si="203"/>
        <v>54.39080864158889</v>
      </c>
      <c r="K893" s="292">
        <f t="shared" ca="1" si="201"/>
        <v>2.7245154238270999</v>
      </c>
      <c r="L893" s="1290">
        <f t="shared" ca="1" si="204"/>
        <v>25.854291666079167</v>
      </c>
      <c r="M893" s="299">
        <v>885</v>
      </c>
      <c r="N893" s="304">
        <f t="shared" si="205"/>
        <v>2707.4675191523584</v>
      </c>
      <c r="O893" s="303">
        <v>218.38423418939428</v>
      </c>
      <c r="P893" s="302">
        <v>0.36794831339461836</v>
      </c>
      <c r="Q893" s="301">
        <v>86.38077897134464</v>
      </c>
      <c r="R893" s="301">
        <v>51.937855008917992</v>
      </c>
      <c r="S893" s="300">
        <v>2.2225460560956858</v>
      </c>
      <c r="T893" s="891">
        <f t="shared" si="206"/>
        <v>64</v>
      </c>
      <c r="U893" s="1220">
        <v>0.63598912954330444</v>
      </c>
      <c r="W893" s="299">
        <v>885</v>
      </c>
      <c r="X893" s="298">
        <f>IF('Donor Sample'!N910="",,IF('Donor Sample'!N910="F",1,0))</f>
        <v>0</v>
      </c>
      <c r="Y893" s="298" t="str">
        <f>IF('Donor Sample'!O910="","",'Donor Sample'!O910)</f>
        <v/>
      </c>
      <c r="Z893" s="298" t="str">
        <f>IF(AND('Donor Sample'!O910="",'Donor Sample'!P910="",'Donor Sample'!Q910=""),"",IF('Donor Sample'!P910="",ROUND(AA893/($C$32+($AI893-0.5)*$C$31),0),'Donor Sample'!P910))</f>
        <v/>
      </c>
      <c r="AA893" s="297" t="str">
        <f>IF('Donor Sample'!Q910="","",'Donor Sample'!Q910)</f>
        <v/>
      </c>
      <c r="AB893" s="296" t="str">
        <f t="shared" si="210"/>
        <v/>
      </c>
      <c r="AC893" s="295" t="str">
        <f>IF('Donor Sample'!R910="","",'Donor Sample'!R910)</f>
        <v/>
      </c>
      <c r="AD893" s="294" t="str">
        <f>IF('Donor Sample'!S910="","",'Donor Sample'!S910/100)</f>
        <v/>
      </c>
      <c r="AE893" s="293" t="e">
        <f t="shared" si="207"/>
        <v>#VALUE!</v>
      </c>
      <c r="AF893" s="293" t="str">
        <f t="shared" si="208"/>
        <v/>
      </c>
      <c r="AG893" s="292" t="str">
        <f>IF('Donor Sample'!T910="","",'Donor Sample'!T910)</f>
        <v/>
      </c>
      <c r="AH893" s="891">
        <f t="shared" si="209"/>
        <v>64</v>
      </c>
      <c r="AI893" s="1220">
        <v>0.69160217046737671</v>
      </c>
      <c r="AJ893" s="1216"/>
    </row>
    <row r="894" spans="5:36">
      <c r="E894" s="299">
        <v>886</v>
      </c>
      <c r="F894" s="308">
        <f t="shared" ca="1" si="198"/>
        <v>3496.4371100221333</v>
      </c>
      <c r="G894" s="307">
        <f t="shared" ca="1" si="199"/>
        <v>267.71570361393134</v>
      </c>
      <c r="H894" s="306">
        <f t="shared" ca="1" si="200"/>
        <v>0.44196292229514933</v>
      </c>
      <c r="I894" s="305">
        <f t="shared" ca="1" si="202"/>
        <v>117.14303574752023</v>
      </c>
      <c r="J894" s="305">
        <f t="shared" ca="1" si="203"/>
        <v>58.15017907331066</v>
      </c>
      <c r="K894" s="292">
        <f t="shared" ca="1" si="201"/>
        <v>2.4658486391607952</v>
      </c>
      <c r="L894" s="1290">
        <f t="shared" ca="1" si="204"/>
        <v>24.388608416369365</v>
      </c>
      <c r="M894" s="299">
        <v>886</v>
      </c>
      <c r="N894" s="304">
        <f t="shared" si="205"/>
        <v>3430.8035508584903</v>
      </c>
      <c r="O894" s="303">
        <v>260.44070871998076</v>
      </c>
      <c r="P894" s="302">
        <v>0.45632021806999146</v>
      </c>
      <c r="Q894" s="301">
        <v>143.628250134555</v>
      </c>
      <c r="R894" s="301">
        <v>49.514735609841814</v>
      </c>
      <c r="S894" s="300">
        <v>2.0292608969282204</v>
      </c>
      <c r="T894" s="891">
        <f t="shared" si="206"/>
        <v>64</v>
      </c>
      <c r="U894" s="1220">
        <v>0.60415971279144287</v>
      </c>
      <c r="W894" s="299">
        <v>886</v>
      </c>
      <c r="X894" s="298">
        <f>IF('Donor Sample'!N911="",,IF('Donor Sample'!N911="F",1,0))</f>
        <v>0</v>
      </c>
      <c r="Y894" s="298" t="str">
        <f>IF('Donor Sample'!O911="","",'Donor Sample'!O911)</f>
        <v/>
      </c>
      <c r="Z894" s="298" t="str">
        <f>IF(AND('Donor Sample'!O911="",'Donor Sample'!P911="",'Donor Sample'!Q911=""),"",IF('Donor Sample'!P911="",ROUND(AA894/($C$32+($AI894-0.5)*$C$31),0),'Donor Sample'!P911))</f>
        <v/>
      </c>
      <c r="AA894" s="297" t="str">
        <f>IF('Donor Sample'!Q911="","",'Donor Sample'!Q911)</f>
        <v/>
      </c>
      <c r="AB894" s="296" t="str">
        <f t="shared" si="210"/>
        <v/>
      </c>
      <c r="AC894" s="295" t="str">
        <f>IF('Donor Sample'!R911="","",'Donor Sample'!R911)</f>
        <v/>
      </c>
      <c r="AD894" s="294" t="str">
        <f>IF('Donor Sample'!S911="","",'Donor Sample'!S911/100)</f>
        <v/>
      </c>
      <c r="AE894" s="407" t="e">
        <f t="shared" si="207"/>
        <v>#VALUE!</v>
      </c>
      <c r="AF894" s="293" t="str">
        <f t="shared" si="208"/>
        <v/>
      </c>
      <c r="AG894" s="292" t="str">
        <f>IF('Donor Sample'!T911="","",'Donor Sample'!T911)</f>
        <v/>
      </c>
      <c r="AH894" s="891">
        <f t="shared" si="209"/>
        <v>64</v>
      </c>
      <c r="AI894" s="1220">
        <v>0.58038699626922607</v>
      </c>
      <c r="AJ894" s="1216"/>
    </row>
    <row r="895" spans="5:36">
      <c r="E895" s="299">
        <v>887</v>
      </c>
      <c r="F895" s="308">
        <f t="shared" ca="1" si="198"/>
        <v>2708.8164825725339</v>
      </c>
      <c r="G895" s="307">
        <f t="shared" ca="1" si="199"/>
        <v>251.88619068749674</v>
      </c>
      <c r="H895" s="306">
        <f t="shared" ca="1" si="200"/>
        <v>0.45291567502673585</v>
      </c>
      <c r="I895" s="305">
        <f t="shared" ca="1" si="202"/>
        <v>87.305415247354887</v>
      </c>
      <c r="J895" s="305">
        <f t="shared" ca="1" si="203"/>
        <v>51.686901016854357</v>
      </c>
      <c r="K895" s="292">
        <f t="shared" ca="1" si="201"/>
        <v>1.4602246386636799</v>
      </c>
      <c r="L895" s="1290">
        <f t="shared" ca="1" si="204"/>
        <v>23.006621805276399</v>
      </c>
      <c r="M895" s="299">
        <v>887</v>
      </c>
      <c r="N895" s="304">
        <f t="shared" si="205"/>
        <v>2777.6272461330518</v>
      </c>
      <c r="O895" s="303">
        <v>180.78479937301933</v>
      </c>
      <c r="P895" s="302">
        <v>0.45767138688932163</v>
      </c>
      <c r="Q895" s="301">
        <v>89.34501842300287</v>
      </c>
      <c r="R895" s="301">
        <v>52.484602529654595</v>
      </c>
      <c r="S895" s="300">
        <v>1.7590734025654264</v>
      </c>
      <c r="T895" s="891">
        <f t="shared" si="206"/>
        <v>64</v>
      </c>
      <c r="U895" s="1220">
        <v>0.53112989664077759</v>
      </c>
      <c r="W895" s="299">
        <v>887</v>
      </c>
      <c r="X895" s="298">
        <f>IF('Donor Sample'!N912="",,IF('Donor Sample'!N912="F",1,0))</f>
        <v>0</v>
      </c>
      <c r="Y895" s="298" t="str">
        <f>IF('Donor Sample'!O912="","",'Donor Sample'!O912)</f>
        <v/>
      </c>
      <c r="Z895" s="298" t="str">
        <f>IF(AND('Donor Sample'!O912="",'Donor Sample'!P912="",'Donor Sample'!Q912=""),"",IF('Donor Sample'!P912="",ROUND(AA895/($C$32+($AI895-0.5)*$C$31),0),'Donor Sample'!P912))</f>
        <v/>
      </c>
      <c r="AA895" s="297" t="str">
        <f>IF('Donor Sample'!Q912="","",'Donor Sample'!Q912)</f>
        <v/>
      </c>
      <c r="AB895" s="296" t="str">
        <f t="shared" si="210"/>
        <v/>
      </c>
      <c r="AC895" s="295" t="str">
        <f>IF('Donor Sample'!R912="","",'Donor Sample'!R912)</f>
        <v/>
      </c>
      <c r="AD895" s="294" t="str">
        <f>IF('Donor Sample'!S912="","",'Donor Sample'!S912/100)</f>
        <v/>
      </c>
      <c r="AE895" s="293" t="e">
        <f t="shared" si="207"/>
        <v>#VALUE!</v>
      </c>
      <c r="AF895" s="293" t="str">
        <f t="shared" si="208"/>
        <v/>
      </c>
      <c r="AG895" s="292" t="str">
        <f>IF('Donor Sample'!T912="","",'Donor Sample'!T912)</f>
        <v/>
      </c>
      <c r="AH895" s="891">
        <f t="shared" si="209"/>
        <v>64</v>
      </c>
      <c r="AI895" s="1220">
        <v>0.67324882745742798</v>
      </c>
      <c r="AJ895" s="1216"/>
    </row>
    <row r="896" spans="5:36">
      <c r="E896" s="299">
        <v>888</v>
      </c>
      <c r="F896" s="308">
        <f t="shared" ca="1" si="198"/>
        <v>2868.9550580141431</v>
      </c>
      <c r="G896" s="307">
        <f t="shared" ca="1" si="199"/>
        <v>229.58216834523421</v>
      </c>
      <c r="H896" s="306">
        <f t="shared" ca="1" si="200"/>
        <v>0.35083393744936331</v>
      </c>
      <c r="I896" s="305">
        <f t="shared" ca="1" si="202"/>
        <v>100.64205807801052</v>
      </c>
      <c r="J896" s="305">
        <f t="shared" ca="1" si="203"/>
        <v>50.959107380751611</v>
      </c>
      <c r="K896" s="292">
        <f t="shared" ca="1" si="201"/>
        <v>1.6768529403496943</v>
      </c>
      <c r="L896" s="1290">
        <f t="shared" ca="1" si="204"/>
        <v>27.284031620563209</v>
      </c>
      <c r="M896" s="299">
        <v>888</v>
      </c>
      <c r="N896" s="304">
        <f t="shared" si="205"/>
        <v>3650.3441664409361</v>
      </c>
      <c r="O896" s="303">
        <v>191.90465881594997</v>
      </c>
      <c r="P896" s="302">
        <v>0.45129047037780934</v>
      </c>
      <c r="Q896" s="301">
        <v>148.74826234487088</v>
      </c>
      <c r="R896" s="301">
        <v>52.593660747626856</v>
      </c>
      <c r="S896" s="300">
        <v>4.0422298574622886</v>
      </c>
      <c r="T896" s="891">
        <f t="shared" si="206"/>
        <v>64</v>
      </c>
      <c r="U896" s="1220">
        <v>0.69327354431152344</v>
      </c>
      <c r="W896" s="299">
        <v>888</v>
      </c>
      <c r="X896" s="298">
        <f>IF('Donor Sample'!N913="",,IF('Donor Sample'!N913="F",1,0))</f>
        <v>0</v>
      </c>
      <c r="Y896" s="298" t="str">
        <f>IF('Donor Sample'!O913="","",'Donor Sample'!O913)</f>
        <v/>
      </c>
      <c r="Z896" s="298" t="str">
        <f>IF(AND('Donor Sample'!O913="",'Donor Sample'!P913="",'Donor Sample'!Q913=""),"",IF('Donor Sample'!P913="",ROUND(AA896/($C$32+($AI896-0.5)*$C$31),0),'Donor Sample'!P913))</f>
        <v/>
      </c>
      <c r="AA896" s="297" t="str">
        <f>IF('Donor Sample'!Q913="","",'Donor Sample'!Q913)</f>
        <v/>
      </c>
      <c r="AB896" s="296" t="str">
        <f t="shared" si="210"/>
        <v/>
      </c>
      <c r="AC896" s="295" t="str">
        <f>IF('Donor Sample'!R913="","",'Donor Sample'!R913)</f>
        <v/>
      </c>
      <c r="AD896" s="294" t="str">
        <f>IF('Donor Sample'!S913="","",'Donor Sample'!S913/100)</f>
        <v/>
      </c>
      <c r="AE896" s="293" t="e">
        <f t="shared" si="207"/>
        <v>#VALUE!</v>
      </c>
      <c r="AF896" s="293" t="str">
        <f t="shared" si="208"/>
        <v/>
      </c>
      <c r="AG896" s="292" t="str">
        <f>IF('Donor Sample'!T913="","",'Donor Sample'!T913)</f>
        <v/>
      </c>
      <c r="AH896" s="891">
        <f t="shared" si="209"/>
        <v>64</v>
      </c>
      <c r="AI896" s="1220">
        <v>0.55451440811157227</v>
      </c>
      <c r="AJ896" s="1216"/>
    </row>
    <row r="897" spans="5:36">
      <c r="E897" s="299">
        <v>889</v>
      </c>
      <c r="F897" s="308">
        <f t="shared" ca="1" si="198"/>
        <v>3675.6914822016338</v>
      </c>
      <c r="G897" s="307">
        <f t="shared" ca="1" si="199"/>
        <v>268.05781376947965</v>
      </c>
      <c r="H897" s="306">
        <f t="shared" ca="1" si="200"/>
        <v>0.4315068130718826</v>
      </c>
      <c r="I897" s="305">
        <f t="shared" ca="1" si="202"/>
        <v>114.76389018366642</v>
      </c>
      <c r="J897" s="305">
        <f t="shared" ca="1" si="203"/>
        <v>61.466223351090981</v>
      </c>
      <c r="K897" s="292">
        <f t="shared" ca="1" si="201"/>
        <v>1.3150691446946381</v>
      </c>
      <c r="L897" s="1290">
        <f t="shared" ca="1" si="204"/>
        <v>21.38478365278192</v>
      </c>
      <c r="M897" s="299">
        <v>889</v>
      </c>
      <c r="N897" s="304">
        <f t="shared" si="205"/>
        <v>3615.0870928102595</v>
      </c>
      <c r="O897" s="303">
        <v>236.6701712836564</v>
      </c>
      <c r="P897" s="302">
        <v>0.50939356167752348</v>
      </c>
      <c r="Q897" s="301">
        <v>136.38759767671618</v>
      </c>
      <c r="R897" s="301">
        <v>55.356591797497678</v>
      </c>
      <c r="S897" s="300">
        <v>4.8915984249349673</v>
      </c>
      <c r="T897" s="891">
        <f t="shared" si="206"/>
        <v>2</v>
      </c>
      <c r="U897" s="1220">
        <v>6.5180003643035889E-2</v>
      </c>
      <c r="W897" s="299">
        <v>889</v>
      </c>
      <c r="X897" s="298">
        <f>IF('Donor Sample'!N914="",,IF('Donor Sample'!N914="F",1,0))</f>
        <v>0</v>
      </c>
      <c r="Y897" s="298" t="str">
        <f>IF('Donor Sample'!O914="","",'Donor Sample'!O914)</f>
        <v/>
      </c>
      <c r="Z897" s="298" t="str">
        <f>IF(AND('Donor Sample'!O914="",'Donor Sample'!P914="",'Donor Sample'!Q914=""),"",IF('Donor Sample'!P914="",ROUND(AA897/($C$32+($AI897-0.5)*$C$31),0),'Donor Sample'!P914))</f>
        <v/>
      </c>
      <c r="AA897" s="297" t="str">
        <f>IF('Donor Sample'!Q914="","",'Donor Sample'!Q914)</f>
        <v/>
      </c>
      <c r="AB897" s="296" t="str">
        <f t="shared" si="210"/>
        <v/>
      </c>
      <c r="AC897" s="295" t="str">
        <f>IF('Donor Sample'!R914="","",'Donor Sample'!R914)</f>
        <v/>
      </c>
      <c r="AD897" s="294" t="str">
        <f>IF('Donor Sample'!S914="","",'Donor Sample'!S914/100)</f>
        <v/>
      </c>
      <c r="AE897" s="407" t="e">
        <f t="shared" si="207"/>
        <v>#VALUE!</v>
      </c>
      <c r="AF897" s="293" t="str">
        <f t="shared" si="208"/>
        <v/>
      </c>
      <c r="AG897" s="292" t="str">
        <f>IF('Donor Sample'!T914="","",'Donor Sample'!T914)</f>
        <v/>
      </c>
      <c r="AH897" s="891">
        <f t="shared" si="209"/>
        <v>2</v>
      </c>
      <c r="AI897" s="1220">
        <v>0.1186644434928894</v>
      </c>
      <c r="AJ897" s="1216"/>
    </row>
    <row r="898" spans="5:36">
      <c r="E898" s="299">
        <v>890</v>
      </c>
      <c r="F898" s="308">
        <f t="shared" ca="1" si="198"/>
        <v>2818.657744908819</v>
      </c>
      <c r="G898" s="307">
        <f t="shared" ca="1" si="199"/>
        <v>274.0329000856479</v>
      </c>
      <c r="H898" s="306">
        <f t="shared" ca="1" si="200"/>
        <v>0.35964133539726162</v>
      </c>
      <c r="I898" s="305">
        <f t="shared" ca="1" si="202"/>
        <v>109.90271866204436</v>
      </c>
      <c r="J898" s="305">
        <f t="shared" ca="1" si="203"/>
        <v>46.643250684517817</v>
      </c>
      <c r="K898" s="292">
        <f t="shared" ca="1" si="201"/>
        <v>1.6261115213610984</v>
      </c>
      <c r="L898" s="1290">
        <f t="shared" ca="1" si="204"/>
        <v>35.563416423344535</v>
      </c>
      <c r="M898" s="299">
        <v>890</v>
      </c>
      <c r="N898" s="304">
        <f t="shared" si="205"/>
        <v>2757.5041766441686</v>
      </c>
      <c r="O898" s="303">
        <v>210.77305389419854</v>
      </c>
      <c r="P898" s="302">
        <v>0.37321745052206695</v>
      </c>
      <c r="Q898" s="301">
        <v>86.726267757252003</v>
      </c>
      <c r="R898" s="301">
        <v>52.846627681096521</v>
      </c>
      <c r="S898" s="300">
        <v>3.6687980858447218</v>
      </c>
      <c r="T898" s="891">
        <f t="shared" si="206"/>
        <v>2</v>
      </c>
      <c r="U898" s="1220">
        <v>0.31194841861724854</v>
      </c>
      <c r="W898" s="299">
        <v>890</v>
      </c>
      <c r="X898" s="298">
        <f>IF('Donor Sample'!N915="",,IF('Donor Sample'!N915="F",1,0))</f>
        <v>0</v>
      </c>
      <c r="Y898" s="298" t="str">
        <f>IF('Donor Sample'!O915="","",'Donor Sample'!O915)</f>
        <v/>
      </c>
      <c r="Z898" s="298" t="str">
        <f>IF(AND('Donor Sample'!O915="",'Donor Sample'!P915="",'Donor Sample'!Q915=""),"",IF('Donor Sample'!P915="",ROUND(AA898/($C$32+($AI898-0.5)*$C$31),0),'Donor Sample'!P915))</f>
        <v/>
      </c>
      <c r="AA898" s="297" t="str">
        <f>IF('Donor Sample'!Q915="","",'Donor Sample'!Q915)</f>
        <v/>
      </c>
      <c r="AB898" s="296" t="str">
        <f t="shared" si="210"/>
        <v/>
      </c>
      <c r="AC898" s="295" t="str">
        <f>IF('Donor Sample'!R915="","",'Donor Sample'!R915)</f>
        <v/>
      </c>
      <c r="AD898" s="294" t="str">
        <f>IF('Donor Sample'!S915="","",'Donor Sample'!S915/100)</f>
        <v/>
      </c>
      <c r="AE898" s="293" t="e">
        <f t="shared" si="207"/>
        <v>#VALUE!</v>
      </c>
      <c r="AF898" s="293" t="str">
        <f t="shared" si="208"/>
        <v/>
      </c>
      <c r="AG898" s="292" t="str">
        <f>IF('Donor Sample'!T915="","",'Donor Sample'!T915)</f>
        <v/>
      </c>
      <c r="AH898" s="891">
        <f t="shared" si="209"/>
        <v>64</v>
      </c>
      <c r="AI898" s="1220">
        <v>0.73987400531768799</v>
      </c>
      <c r="AJ898" s="1216"/>
    </row>
    <row r="899" spans="5:36">
      <c r="E899" s="299">
        <v>891</v>
      </c>
      <c r="F899" s="308">
        <f t="shared" ca="1" si="198"/>
        <v>3721.9279663268635</v>
      </c>
      <c r="G899" s="307">
        <f t="shared" ca="1" si="199"/>
        <v>206.50592780582957</v>
      </c>
      <c r="H899" s="306">
        <f t="shared" ca="1" si="200"/>
        <v>0.41745952131057673</v>
      </c>
      <c r="I899" s="305">
        <f t="shared" ca="1" si="202"/>
        <v>117.9736751287266</v>
      </c>
      <c r="J899" s="305">
        <f t="shared" ca="1" si="203"/>
        <v>61.457029725074626</v>
      </c>
      <c r="K899" s="292">
        <f t="shared" ca="1" si="201"/>
        <v>1.4646940003402387</v>
      </c>
      <c r="L899" s="1290">
        <f t="shared" ca="1" si="204"/>
        <v>21.989463563634914</v>
      </c>
      <c r="M899" s="299">
        <v>891</v>
      </c>
      <c r="N899" s="304">
        <f t="shared" si="205"/>
        <v>4065.8478886773191</v>
      </c>
      <c r="O899" s="303">
        <v>213.07459771938909</v>
      </c>
      <c r="P899" s="302">
        <v>0.42929296019665669</v>
      </c>
      <c r="Q899" s="301">
        <v>163.82779583787766</v>
      </c>
      <c r="R899" s="301">
        <v>56.24921553449451</v>
      </c>
      <c r="S899" s="300">
        <v>8.6420460674551265</v>
      </c>
      <c r="T899" s="891">
        <f t="shared" si="206"/>
        <v>64</v>
      </c>
      <c r="U899" s="1220">
        <v>0.6716797947883606</v>
      </c>
      <c r="W899" s="299">
        <v>891</v>
      </c>
      <c r="X899" s="298">
        <f>IF('Donor Sample'!N916="",,IF('Donor Sample'!N916="F",1,0))</f>
        <v>0</v>
      </c>
      <c r="Y899" s="298" t="str">
        <f>IF('Donor Sample'!O916="","",'Donor Sample'!O916)</f>
        <v/>
      </c>
      <c r="Z899" s="298" t="str">
        <f>IF(AND('Donor Sample'!O916="",'Donor Sample'!P916="",'Donor Sample'!Q916=""),"",IF('Donor Sample'!P916="",ROUND(AA899/($C$32+($AI899-0.5)*$C$31),0),'Donor Sample'!P916))</f>
        <v/>
      </c>
      <c r="AA899" s="297" t="str">
        <f>IF('Donor Sample'!Q916="","",'Donor Sample'!Q916)</f>
        <v/>
      </c>
      <c r="AB899" s="296" t="str">
        <f t="shared" si="210"/>
        <v/>
      </c>
      <c r="AC899" s="295" t="str">
        <f>IF('Donor Sample'!R916="","",'Donor Sample'!R916)</f>
        <v/>
      </c>
      <c r="AD899" s="294" t="str">
        <f>IF('Donor Sample'!S916="","",'Donor Sample'!S916/100)</f>
        <v/>
      </c>
      <c r="AE899" s="293" t="e">
        <f t="shared" si="207"/>
        <v>#VALUE!</v>
      </c>
      <c r="AF899" s="293" t="str">
        <f t="shared" si="208"/>
        <v/>
      </c>
      <c r="AG899" s="292" t="str">
        <f>IF('Donor Sample'!T916="","",'Donor Sample'!T916)</f>
        <v/>
      </c>
      <c r="AH899" s="891">
        <f t="shared" si="209"/>
        <v>2</v>
      </c>
      <c r="AI899" s="1220">
        <v>0.12276631593704224</v>
      </c>
      <c r="AJ899" s="1216"/>
    </row>
    <row r="900" spans="5:36">
      <c r="E900" s="299">
        <v>892</v>
      </c>
      <c r="F900" s="308">
        <f t="shared" ca="1" si="198"/>
        <v>3325.3566750733526</v>
      </c>
      <c r="G900" s="307">
        <f t="shared" ca="1" si="199"/>
        <v>165.46930426594258</v>
      </c>
      <c r="H900" s="306">
        <f t="shared" ca="1" si="200"/>
        <v>0.46880833194265015</v>
      </c>
      <c r="I900" s="305">
        <f t="shared" ca="1" si="202"/>
        <v>117.6445915114502</v>
      </c>
      <c r="J900" s="305">
        <f t="shared" ca="1" si="203"/>
        <v>55.06406043008532</v>
      </c>
      <c r="K900" s="292">
        <f t="shared" ca="1" si="201"/>
        <v>1.6792669624244312</v>
      </c>
      <c r="L900" s="1290">
        <f t="shared" ca="1" si="204"/>
        <v>27.315437380272069</v>
      </c>
      <c r="M900" s="299">
        <v>892</v>
      </c>
      <c r="N900" s="304">
        <f t="shared" si="205"/>
        <v>3044.3035167412754</v>
      </c>
      <c r="O900" s="303">
        <v>219.43240984386094</v>
      </c>
      <c r="P900" s="302">
        <v>0.35109477039703252</v>
      </c>
      <c r="Q900" s="301">
        <v>110.99489986706831</v>
      </c>
      <c r="R900" s="301">
        <v>51.470583535673526</v>
      </c>
      <c r="S900" s="300">
        <v>2.4577814357792742</v>
      </c>
      <c r="T900" s="891">
        <f t="shared" si="206"/>
        <v>64</v>
      </c>
      <c r="U900" s="1220">
        <v>0.72987580299377441</v>
      </c>
      <c r="W900" s="299">
        <v>892</v>
      </c>
      <c r="X900" s="298">
        <f>IF('Donor Sample'!N917="",,IF('Donor Sample'!N917="F",1,0))</f>
        <v>0</v>
      </c>
      <c r="Y900" s="298" t="str">
        <f>IF('Donor Sample'!O917="","",'Donor Sample'!O917)</f>
        <v/>
      </c>
      <c r="Z900" s="298" t="str">
        <f>IF(AND('Donor Sample'!O917="",'Donor Sample'!P917="",'Donor Sample'!Q917=""),"",IF('Donor Sample'!P917="",ROUND(AA900/($C$32+($AI900-0.5)*$C$31),0),'Donor Sample'!P917))</f>
        <v/>
      </c>
      <c r="AA900" s="297" t="str">
        <f>IF('Donor Sample'!Q917="","",'Donor Sample'!Q917)</f>
        <v/>
      </c>
      <c r="AB900" s="296" t="str">
        <f t="shared" si="210"/>
        <v/>
      </c>
      <c r="AC900" s="295" t="str">
        <f>IF('Donor Sample'!R917="","",'Donor Sample'!R917)</f>
        <v/>
      </c>
      <c r="AD900" s="294" t="str">
        <f>IF('Donor Sample'!S917="","",'Donor Sample'!S917/100)</f>
        <v/>
      </c>
      <c r="AE900" s="407" t="e">
        <f t="shared" si="207"/>
        <v>#VALUE!</v>
      </c>
      <c r="AF900" s="293" t="str">
        <f t="shared" si="208"/>
        <v/>
      </c>
      <c r="AG900" s="292" t="str">
        <f>IF('Donor Sample'!T917="","",'Donor Sample'!T917)</f>
        <v/>
      </c>
      <c r="AH900" s="891">
        <f t="shared" si="209"/>
        <v>64</v>
      </c>
      <c r="AI900" s="1220">
        <v>0.67202639579772949</v>
      </c>
      <c r="AJ900" s="1216"/>
    </row>
    <row r="901" spans="5:36">
      <c r="E901" s="299">
        <v>893</v>
      </c>
      <c r="F901" s="308">
        <f t="shared" ca="1" si="198"/>
        <v>3516.5607606039739</v>
      </c>
      <c r="G901" s="307">
        <f t="shared" ca="1" si="199"/>
        <v>203.05074924666678</v>
      </c>
      <c r="H901" s="306">
        <f t="shared" ca="1" si="200"/>
        <v>0.35704772778708355</v>
      </c>
      <c r="I901" s="305">
        <f t="shared" ca="1" si="202"/>
        <v>138.97799574978754</v>
      </c>
      <c r="J901" s="305">
        <f t="shared" ca="1" si="203"/>
        <v>52.770707272635704</v>
      </c>
      <c r="K901" s="292">
        <f t="shared" ca="1" si="201"/>
        <v>1.8197083626349015</v>
      </c>
      <c r="L901" s="1290">
        <f t="shared" ca="1" si="204"/>
        <v>35.134426869855261</v>
      </c>
      <c r="M901" s="299">
        <v>893</v>
      </c>
      <c r="N901" s="304">
        <f t="shared" si="205"/>
        <v>4055.0342392486473</v>
      </c>
      <c r="O901" s="303">
        <v>275.80381929635769</v>
      </c>
      <c r="P901" s="302">
        <v>0.39606233166077209</v>
      </c>
      <c r="Q901" s="301">
        <v>140.56089674870199</v>
      </c>
      <c r="R901" s="301">
        <v>61.505915818677934</v>
      </c>
      <c r="S901" s="300">
        <v>1.7477378610838408</v>
      </c>
      <c r="T901" s="891">
        <f t="shared" si="206"/>
        <v>32</v>
      </c>
      <c r="U901" s="1220">
        <v>0.83061736822128296</v>
      </c>
      <c r="W901" s="299">
        <v>893</v>
      </c>
      <c r="X901" s="298">
        <f>IF('Donor Sample'!N918="",,IF('Donor Sample'!N918="F",1,0))</f>
        <v>0</v>
      </c>
      <c r="Y901" s="298" t="str">
        <f>IF('Donor Sample'!O918="","",'Donor Sample'!O918)</f>
        <v/>
      </c>
      <c r="Z901" s="298" t="str">
        <f>IF(AND('Donor Sample'!O918="",'Donor Sample'!P918="",'Donor Sample'!Q918=""),"",IF('Donor Sample'!P918="",ROUND(AA901/($C$32+($AI901-0.5)*$C$31),0),'Donor Sample'!P918))</f>
        <v/>
      </c>
      <c r="AA901" s="297" t="str">
        <f>IF('Donor Sample'!Q918="","",'Donor Sample'!Q918)</f>
        <v/>
      </c>
      <c r="AB901" s="296" t="str">
        <f t="shared" si="210"/>
        <v/>
      </c>
      <c r="AC901" s="295" t="str">
        <f>IF('Donor Sample'!R918="","",'Donor Sample'!R918)</f>
        <v/>
      </c>
      <c r="AD901" s="294" t="str">
        <f>IF('Donor Sample'!S918="","",'Donor Sample'!S918/100)</f>
        <v/>
      </c>
      <c r="AE901" s="293" t="e">
        <f t="shared" si="207"/>
        <v>#VALUE!</v>
      </c>
      <c r="AF901" s="293" t="str">
        <f t="shared" si="208"/>
        <v/>
      </c>
      <c r="AG901" s="292" t="str">
        <f>IF('Donor Sample'!T918="","",'Donor Sample'!T918)</f>
        <v/>
      </c>
      <c r="AH901" s="891">
        <f t="shared" si="209"/>
        <v>64</v>
      </c>
      <c r="AI901" s="1220">
        <v>0.61793512105941772</v>
      </c>
      <c r="AJ901" s="1216"/>
    </row>
    <row r="902" spans="5:36">
      <c r="E902" s="299">
        <v>894</v>
      </c>
      <c r="F902" s="308">
        <f t="shared" ca="1" si="198"/>
        <v>3682.6626121170857</v>
      </c>
      <c r="G902" s="307">
        <f t="shared" ca="1" si="199"/>
        <v>205.99820090843431</v>
      </c>
      <c r="H902" s="306">
        <f t="shared" ca="1" si="200"/>
        <v>0.49535814184584354</v>
      </c>
      <c r="I902" s="305">
        <f t="shared" ca="1" si="202"/>
        <v>118.37954037811755</v>
      </c>
      <c r="J902" s="305">
        <f t="shared" ca="1" si="203"/>
        <v>66.603375462226268</v>
      </c>
      <c r="K902" s="292">
        <f t="shared" ca="1" si="201"/>
        <v>3.677865956529673</v>
      </c>
      <c r="L902" s="1290">
        <f t="shared" ca="1" si="204"/>
        <v>18.786973769128661</v>
      </c>
      <c r="M902" s="299">
        <v>894</v>
      </c>
      <c r="N902" s="304">
        <f t="shared" si="205"/>
        <v>4186.2320065942413</v>
      </c>
      <c r="O902" s="303">
        <v>174.7908002966779</v>
      </c>
      <c r="P902" s="302">
        <v>0.45824705154822321</v>
      </c>
      <c r="Q902" s="301">
        <v>171.06709402112173</v>
      </c>
      <c r="R902" s="301">
        <v>62.684672460098142</v>
      </c>
      <c r="S902" s="300">
        <v>6.7549039445020291</v>
      </c>
      <c r="T902" s="891">
        <f t="shared" si="206"/>
        <v>64</v>
      </c>
      <c r="U902" s="1220">
        <v>0.63990390300750732</v>
      </c>
      <c r="W902" s="299">
        <v>894</v>
      </c>
      <c r="X902" s="298">
        <f>IF('Donor Sample'!N919="",,IF('Donor Sample'!N919="F",1,0))</f>
        <v>0</v>
      </c>
      <c r="Y902" s="298" t="str">
        <f>IF('Donor Sample'!O919="","",'Donor Sample'!O919)</f>
        <v/>
      </c>
      <c r="Z902" s="298" t="str">
        <f>IF(AND('Donor Sample'!O919="",'Donor Sample'!P919="",'Donor Sample'!Q919=""),"",IF('Donor Sample'!P919="",ROUND(AA902/($C$32+($AI902-0.5)*$C$31),0),'Donor Sample'!P919))</f>
        <v/>
      </c>
      <c r="AA902" s="297" t="str">
        <f>IF('Donor Sample'!Q919="","",'Donor Sample'!Q919)</f>
        <v/>
      </c>
      <c r="AB902" s="296" t="str">
        <f t="shared" si="210"/>
        <v/>
      </c>
      <c r="AC902" s="295" t="str">
        <f>IF('Donor Sample'!R919="","",'Donor Sample'!R919)</f>
        <v/>
      </c>
      <c r="AD902" s="294" t="str">
        <f>IF('Donor Sample'!S919="","",'Donor Sample'!S919/100)</f>
        <v/>
      </c>
      <c r="AE902" s="293" t="e">
        <f t="shared" si="207"/>
        <v>#VALUE!</v>
      </c>
      <c r="AF902" s="293" t="str">
        <f t="shared" si="208"/>
        <v/>
      </c>
      <c r="AG902" s="292" t="str">
        <f>IF('Donor Sample'!T919="","",'Donor Sample'!T919)</f>
        <v/>
      </c>
      <c r="AH902" s="891">
        <f t="shared" si="209"/>
        <v>128</v>
      </c>
      <c r="AI902" s="1220">
        <v>0.93664205074310303</v>
      </c>
      <c r="AJ902" s="1216"/>
    </row>
    <row r="903" spans="5:36">
      <c r="E903" s="299">
        <v>895</v>
      </c>
      <c r="F903" s="308">
        <f t="shared" ca="1" si="198"/>
        <v>3273.5147160838901</v>
      </c>
      <c r="G903" s="307">
        <f t="shared" ca="1" si="199"/>
        <v>230.11073690191128</v>
      </c>
      <c r="H903" s="306">
        <f t="shared" ca="1" si="200"/>
        <v>0.37409532780371813</v>
      </c>
      <c r="I903" s="305">
        <f t="shared" ca="1" si="202"/>
        <v>124.58596091246012</v>
      </c>
      <c r="J903" s="305">
        <f t="shared" ca="1" si="203"/>
        <v>52.106904551935315</v>
      </c>
      <c r="K903" s="292">
        <f t="shared" ca="1" si="201"/>
        <v>2.1577671866441293</v>
      </c>
      <c r="L903" s="1290">
        <f t="shared" ca="1" si="204"/>
        <v>32.303621767678287</v>
      </c>
      <c r="M903" s="299">
        <v>895</v>
      </c>
      <c r="N903" s="304">
        <f t="shared" si="205"/>
        <v>3186.080716106374</v>
      </c>
      <c r="O903" s="303">
        <v>228.42485348730827</v>
      </c>
      <c r="P903" s="302">
        <v>0.396955616373456</v>
      </c>
      <c r="Q903" s="301">
        <v>129.01782410742942</v>
      </c>
      <c r="R903" s="301">
        <v>48.79395247206439</v>
      </c>
      <c r="S903" s="300">
        <v>1.6221000966185841</v>
      </c>
      <c r="T903" s="891">
        <f t="shared" si="206"/>
        <v>2</v>
      </c>
      <c r="U903" s="1220">
        <v>6.5010607242584229E-2</v>
      </c>
      <c r="W903" s="299">
        <v>895</v>
      </c>
      <c r="X903" s="298">
        <f>IF('Donor Sample'!N920="",,IF('Donor Sample'!N920="F",1,0))</f>
        <v>0</v>
      </c>
      <c r="Y903" s="298" t="str">
        <f>IF('Donor Sample'!O920="","",'Donor Sample'!O920)</f>
        <v/>
      </c>
      <c r="Z903" s="298" t="str">
        <f>IF(AND('Donor Sample'!O920="",'Donor Sample'!P920="",'Donor Sample'!Q920=""),"",IF('Donor Sample'!P920="",ROUND(AA903/($C$32+($AI903-0.5)*$C$31),0),'Donor Sample'!P920))</f>
        <v/>
      </c>
      <c r="AA903" s="297" t="str">
        <f>IF('Donor Sample'!Q920="","",'Donor Sample'!Q920)</f>
        <v/>
      </c>
      <c r="AB903" s="296" t="str">
        <f t="shared" si="210"/>
        <v/>
      </c>
      <c r="AC903" s="295" t="str">
        <f>IF('Donor Sample'!R920="","",'Donor Sample'!R920)</f>
        <v/>
      </c>
      <c r="AD903" s="294" t="str">
        <f>IF('Donor Sample'!S920="","",'Donor Sample'!S920/100)</f>
        <v/>
      </c>
      <c r="AE903" s="407" t="e">
        <f t="shared" si="207"/>
        <v>#VALUE!</v>
      </c>
      <c r="AF903" s="293" t="str">
        <f t="shared" si="208"/>
        <v/>
      </c>
      <c r="AG903" s="292" t="str">
        <f>IF('Donor Sample'!T920="","",'Donor Sample'!T920)</f>
        <v/>
      </c>
      <c r="AH903" s="891">
        <f t="shared" si="209"/>
        <v>64</v>
      </c>
      <c r="AI903" s="1220">
        <v>0.69872194528579712</v>
      </c>
      <c r="AJ903" s="1216"/>
    </row>
    <row r="904" spans="5:36">
      <c r="E904" s="299">
        <v>896</v>
      </c>
      <c r="F904" s="308">
        <f t="shared" ca="1" si="198"/>
        <v>2699.0422337590903</v>
      </c>
      <c r="G904" s="307">
        <f t="shared" ca="1" si="199"/>
        <v>212.12590468164365</v>
      </c>
      <c r="H904" s="306">
        <f t="shared" ca="1" si="200"/>
        <v>0.4439126096303847</v>
      </c>
      <c r="I904" s="305">
        <f t="shared" ca="1" si="202"/>
        <v>83.997088445468208</v>
      </c>
      <c r="J904" s="305">
        <f t="shared" ca="1" si="203"/>
        <v>52.474431304056232</v>
      </c>
      <c r="K904" s="292">
        <f t="shared" ca="1" si="201"/>
        <v>1.2692105251308889</v>
      </c>
      <c r="L904" s="1290">
        <f t="shared" ca="1" si="204"/>
        <v>21.475407358836641</v>
      </c>
      <c r="M904" s="299">
        <v>896</v>
      </c>
      <c r="N904" s="304">
        <f t="shared" si="205"/>
        <v>3724.4855645435828</v>
      </c>
      <c r="O904" s="303">
        <v>268.30169622318073</v>
      </c>
      <c r="P904" s="302">
        <v>0.42168737379242699</v>
      </c>
      <c r="Q904" s="301">
        <v>148.25410978972712</v>
      </c>
      <c r="R904" s="301">
        <v>54.17629144596043</v>
      </c>
      <c r="S904" s="300">
        <v>12.784880376124901</v>
      </c>
      <c r="T904" s="891">
        <f t="shared" si="206"/>
        <v>64</v>
      </c>
      <c r="U904" s="1220">
        <v>0.66829156875610352</v>
      </c>
      <c r="W904" s="299">
        <v>896</v>
      </c>
      <c r="X904" s="298">
        <f>IF('Donor Sample'!N921="",,IF('Donor Sample'!N921="F",1,0))</f>
        <v>0</v>
      </c>
      <c r="Y904" s="298" t="str">
        <f>IF('Donor Sample'!O921="","",'Donor Sample'!O921)</f>
        <v/>
      </c>
      <c r="Z904" s="298" t="str">
        <f>IF(AND('Donor Sample'!O921="",'Donor Sample'!P921="",'Donor Sample'!Q921=""),"",IF('Donor Sample'!P921="",ROUND(AA904/($C$32+($AI904-0.5)*$C$31),0),'Donor Sample'!P921))</f>
        <v/>
      </c>
      <c r="AA904" s="297" t="str">
        <f>IF('Donor Sample'!Q921="","",'Donor Sample'!Q921)</f>
        <v/>
      </c>
      <c r="AB904" s="296" t="str">
        <f t="shared" si="210"/>
        <v/>
      </c>
      <c r="AC904" s="295" t="str">
        <f>IF('Donor Sample'!R921="","",'Donor Sample'!R921)</f>
        <v/>
      </c>
      <c r="AD904" s="294" t="str">
        <f>IF('Donor Sample'!S921="","",'Donor Sample'!S921/100)</f>
        <v/>
      </c>
      <c r="AE904" s="293" t="e">
        <f t="shared" si="207"/>
        <v>#VALUE!</v>
      </c>
      <c r="AF904" s="293" t="str">
        <f t="shared" si="208"/>
        <v/>
      </c>
      <c r="AG904" s="292" t="str">
        <f>IF('Donor Sample'!T921="","",'Donor Sample'!T921)</f>
        <v/>
      </c>
      <c r="AH904" s="891">
        <f t="shared" si="209"/>
        <v>64</v>
      </c>
      <c r="AI904" s="1220">
        <v>0.69538021087646484</v>
      </c>
      <c r="AJ904" s="1216"/>
    </row>
    <row r="905" spans="5:36">
      <c r="E905" s="299">
        <v>897</v>
      </c>
      <c r="F905" s="308">
        <f t="shared" ref="F905:F968" ca="1" si="211">NORMINV(NORMDIST($C$9,$C$7,$C$8,1)+RAND()*(NORMDIST($C$10,$C$7,$C$8,1)-NORMDIST($C$9,$C$7,$C$8,1)),$C$7,$C$8)</f>
        <v>2904.126304137857</v>
      </c>
      <c r="G905" s="307">
        <f t="shared" ref="G905:G968" ca="1" si="212">NORMINV(NORMDIST($C$13,$C$11,$C$12,1)+RAND()*(NORMDIST($C$14,$C$11,$C$12,1)-NORMDIST($C$13,$C$11,$C$12,1)),$C$11,$C$12)</f>
        <v>285.96353238794131</v>
      </c>
      <c r="H905" s="306">
        <f t="shared" ref="H905:H968" ca="1" si="213">NORMINV(NORMDIST($C$17,$C$15,$C$16,1)+RAND()*(NORMDIST($C$18,$C$15,$C$16,1)-NORMDIST($C$17,$C$15,$C$16,1)),$C$15,$C$16)/100</f>
        <v>0.4448028813340158</v>
      </c>
      <c r="I905" s="305">
        <f t="shared" ca="1" si="202"/>
        <v>92.375204701673795</v>
      </c>
      <c r="J905" s="305">
        <f t="shared" ca="1" si="203"/>
        <v>54.090634582649827</v>
      </c>
      <c r="K905" s="292">
        <f t="shared" ref="K905:K968" ca="1" si="214">$C$23/($C$24+RAND())</f>
        <v>4.6395061424745503</v>
      </c>
      <c r="L905" s="1290">
        <f t="shared" ca="1" si="204"/>
        <v>22.227157139297919</v>
      </c>
      <c r="M905" s="299">
        <v>897</v>
      </c>
      <c r="N905" s="304">
        <f t="shared" si="205"/>
        <v>3679.6592925653549</v>
      </c>
      <c r="O905" s="303">
        <v>191.96359028540044</v>
      </c>
      <c r="P905" s="302">
        <v>0.35285806412412285</v>
      </c>
      <c r="Q905" s="301">
        <v>119.00704916198811</v>
      </c>
      <c r="R905" s="301">
        <v>60.603257009734094</v>
      </c>
      <c r="S905" s="300">
        <v>3.3598864924708574</v>
      </c>
      <c r="T905" s="891">
        <f t="shared" si="206"/>
        <v>256</v>
      </c>
      <c r="U905" s="1220">
        <v>0.91014546155929565</v>
      </c>
      <c r="W905" s="299">
        <v>897</v>
      </c>
      <c r="X905" s="298">
        <f>IF('Donor Sample'!N922="",,IF('Donor Sample'!N922="F",1,0))</f>
        <v>0</v>
      </c>
      <c r="Y905" s="298" t="str">
        <f>IF('Donor Sample'!O922="","",'Donor Sample'!O922)</f>
        <v/>
      </c>
      <c r="Z905" s="298" t="str">
        <f>IF(AND('Donor Sample'!O922="",'Donor Sample'!P922="",'Donor Sample'!Q922=""),"",IF('Donor Sample'!P922="",ROUND(AA905/($C$32+($AI905-0.5)*$C$31),0),'Donor Sample'!P922))</f>
        <v/>
      </c>
      <c r="AA905" s="297" t="str">
        <f>IF('Donor Sample'!Q922="","",'Donor Sample'!Q922)</f>
        <v/>
      </c>
      <c r="AB905" s="296" t="str">
        <f t="shared" si="210"/>
        <v/>
      </c>
      <c r="AC905" s="295" t="str">
        <f>IF('Donor Sample'!R922="","",'Donor Sample'!R922)</f>
        <v/>
      </c>
      <c r="AD905" s="294" t="str">
        <f>IF('Donor Sample'!S922="","",'Donor Sample'!S922/100)</f>
        <v/>
      </c>
      <c r="AE905" s="293" t="e">
        <f t="shared" si="207"/>
        <v>#VALUE!</v>
      </c>
      <c r="AF905" s="293" t="str">
        <f t="shared" si="208"/>
        <v/>
      </c>
      <c r="AG905" s="292" t="str">
        <f>IF('Donor Sample'!T922="","",'Donor Sample'!T922)</f>
        <v/>
      </c>
      <c r="AH905" s="891">
        <f t="shared" si="209"/>
        <v>64</v>
      </c>
      <c r="AI905" s="1220">
        <v>0.54421156644821167</v>
      </c>
      <c r="AJ905" s="1216"/>
    </row>
    <row r="906" spans="5:36">
      <c r="E906" s="299">
        <v>898</v>
      </c>
      <c r="F906" s="308">
        <f t="shared" ca="1" si="211"/>
        <v>3702.2224014852318</v>
      </c>
      <c r="G906" s="307">
        <f t="shared" ca="1" si="212"/>
        <v>233.43929879931068</v>
      </c>
      <c r="H906" s="306">
        <f t="shared" ca="1" si="213"/>
        <v>0.38889783749079582</v>
      </c>
      <c r="I906" s="305">
        <f t="shared" ref="I906:I969" ca="1" si="215">F906/($C$32+(RAND()-0.5)*$C$31)</f>
        <v>126.08030188960426</v>
      </c>
      <c r="J906" s="305">
        <f t="shared" ref="J906:J969" ca="1" si="216">IF(AI906&lt;=$C$33,((F906-604-14.6*I906)/0.006012)^(1/3),((F906-183-15*I906)/0.005835)^(1/3))</f>
        <v>59.359547785618695</v>
      </c>
      <c r="K906" s="292">
        <f t="shared" ca="1" si="214"/>
        <v>2.3807175390072657</v>
      </c>
      <c r="L906" s="1290">
        <f t="shared" ref="L906:L969" ca="1" si="217">704*I906/J906^2</f>
        <v>25.190612754267647</v>
      </c>
      <c r="M906" s="299">
        <v>898</v>
      </c>
      <c r="N906" s="304">
        <f t="shared" ref="N906:N969" si="218">IF(AI906&gt;$C$33,183+0.005835*R906^3+15*Q906,604+0.006012*R906^3+14.6*Q906)</f>
        <v>2732.7090952509084</v>
      </c>
      <c r="O906" s="303">
        <v>249.38348327933761</v>
      </c>
      <c r="P906" s="302">
        <v>0.50367022153070962</v>
      </c>
      <c r="Q906" s="301">
        <v>93.424588651053966</v>
      </c>
      <c r="R906" s="301">
        <v>50.291271775300373</v>
      </c>
      <c r="S906" s="300">
        <v>1.4822036001171159</v>
      </c>
      <c r="T906" s="891">
        <f t="shared" ref="T906:T969" si="219">HLOOKUP(U906,$AL$32:$AT$34,3)</f>
        <v>16</v>
      </c>
      <c r="U906" s="1220">
        <v>0.96699345111846924</v>
      </c>
      <c r="W906" s="299">
        <v>898</v>
      </c>
      <c r="X906" s="298">
        <f>IF('Donor Sample'!N923="",,IF('Donor Sample'!N923="F",1,0))</f>
        <v>0</v>
      </c>
      <c r="Y906" s="298" t="str">
        <f>IF('Donor Sample'!O923="","",'Donor Sample'!O923)</f>
        <v/>
      </c>
      <c r="Z906" s="298" t="str">
        <f>IF(AND('Donor Sample'!O923="",'Donor Sample'!P923="",'Donor Sample'!Q923=""),"",IF('Donor Sample'!P923="",ROUND(AA906/($C$32+($AI906-0.5)*$C$31),0),'Donor Sample'!P923))</f>
        <v/>
      </c>
      <c r="AA906" s="297" t="str">
        <f>IF('Donor Sample'!Q923="","",'Donor Sample'!Q923)</f>
        <v/>
      </c>
      <c r="AB906" s="296" t="str">
        <f t="shared" si="210"/>
        <v/>
      </c>
      <c r="AC906" s="295" t="str">
        <f>IF('Donor Sample'!R923="","",'Donor Sample'!R923)</f>
        <v/>
      </c>
      <c r="AD906" s="294" t="str">
        <f>IF('Donor Sample'!S923="","",'Donor Sample'!S923/100)</f>
        <v/>
      </c>
      <c r="AE906" s="407" t="e">
        <f t="shared" ref="AE906:AE969" si="220">IF($AB$2=1,Z906,2.2*Z906)</f>
        <v>#VALUE!</v>
      </c>
      <c r="AF906" s="293" t="str">
        <f t="shared" ref="AF906:AF969" si="221">IF(AND(Y906="",AA906=""),"",IF(AA906="",IF($AB$2=1,Y906,Y906/2.54),IF(AI906&lt;=$C$33,((AB906-604-14.6*Z906)/0.006012)^(1/3),((AB906-183-15*Z906)/0.005835)^(1/3))))</f>
        <v/>
      </c>
      <c r="AG906" s="292" t="str">
        <f>IF('Donor Sample'!T923="","",'Donor Sample'!T923)</f>
        <v/>
      </c>
      <c r="AH906" s="891">
        <f t="shared" ref="AH906:AH969" si="222">HLOOKUP(AI906,$AL$32:$AT$34,3)</f>
        <v>4</v>
      </c>
      <c r="AI906" s="1220">
        <v>0.41879904270172119</v>
      </c>
      <c r="AJ906" s="1216"/>
    </row>
    <row r="907" spans="5:36">
      <c r="E907" s="299">
        <v>899</v>
      </c>
      <c r="F907" s="308">
        <f t="shared" ca="1" si="211"/>
        <v>3387.4144159212847</v>
      </c>
      <c r="G907" s="307">
        <f t="shared" ca="1" si="212"/>
        <v>241.09885118708789</v>
      </c>
      <c r="H907" s="306">
        <f t="shared" ca="1" si="213"/>
        <v>0.48759071402103338</v>
      </c>
      <c r="I907" s="305">
        <f t="shared" ca="1" si="215"/>
        <v>111.82543696132038</v>
      </c>
      <c r="J907" s="305">
        <f t="shared" ca="1" si="216"/>
        <v>57.630932113075261</v>
      </c>
      <c r="K907" s="292">
        <f t="shared" ca="1" si="214"/>
        <v>1.6549883306092039</v>
      </c>
      <c r="L907" s="1290">
        <f t="shared" ca="1" si="217"/>
        <v>23.702926800073318</v>
      </c>
      <c r="M907" s="299">
        <v>899</v>
      </c>
      <c r="N907" s="304">
        <f t="shared" si="218"/>
        <v>2941.5580309875049</v>
      </c>
      <c r="O907" s="303">
        <v>237.43881977476454</v>
      </c>
      <c r="P907" s="302">
        <v>0.37126851925674309</v>
      </c>
      <c r="Q907" s="301">
        <v>117.05061935476104</v>
      </c>
      <c r="R907" s="301">
        <v>47.111056223075146</v>
      </c>
      <c r="S907" s="300">
        <v>4.8881152216608941</v>
      </c>
      <c r="T907" s="891">
        <f t="shared" si="219"/>
        <v>64</v>
      </c>
      <c r="U907" s="1220">
        <v>0.63672047853469849</v>
      </c>
      <c r="W907" s="299">
        <v>899</v>
      </c>
      <c r="X907" s="298">
        <f>IF('Donor Sample'!N924="",,IF('Donor Sample'!N924="F",1,0))</f>
        <v>0</v>
      </c>
      <c r="Y907" s="298" t="str">
        <f>IF('Donor Sample'!O924="","",'Donor Sample'!O924)</f>
        <v/>
      </c>
      <c r="Z907" s="298" t="str">
        <f>IF(AND('Donor Sample'!O924="",'Donor Sample'!P924="",'Donor Sample'!Q924=""),"",IF('Donor Sample'!P924="",ROUND(AA907/($C$32+($AI907-0.5)*$C$31),0),'Donor Sample'!P924))</f>
        <v/>
      </c>
      <c r="AA907" s="297" t="str">
        <f>IF('Donor Sample'!Q924="","",'Donor Sample'!Q924)</f>
        <v/>
      </c>
      <c r="AB907" s="296" t="str">
        <f t="shared" si="210"/>
        <v/>
      </c>
      <c r="AC907" s="295" t="str">
        <f>IF('Donor Sample'!R924="","",'Donor Sample'!R924)</f>
        <v/>
      </c>
      <c r="AD907" s="294" t="str">
        <f>IF('Donor Sample'!S924="","",'Donor Sample'!S924/100)</f>
        <v/>
      </c>
      <c r="AE907" s="293" t="e">
        <f t="shared" si="220"/>
        <v>#VALUE!</v>
      </c>
      <c r="AF907" s="293" t="str">
        <f t="shared" si="221"/>
        <v/>
      </c>
      <c r="AG907" s="292" t="str">
        <f>IF('Donor Sample'!T924="","",'Donor Sample'!T924)</f>
        <v/>
      </c>
      <c r="AH907" s="891">
        <f t="shared" si="222"/>
        <v>64</v>
      </c>
      <c r="AI907" s="1220">
        <v>0.71929198503494263</v>
      </c>
      <c r="AJ907" s="1216"/>
    </row>
    <row r="908" spans="5:36">
      <c r="E908" s="299">
        <v>900</v>
      </c>
      <c r="F908" s="308">
        <f t="shared" ca="1" si="211"/>
        <v>3193.681665734242</v>
      </c>
      <c r="G908" s="307">
        <f t="shared" ca="1" si="212"/>
        <v>301.74941556502051</v>
      </c>
      <c r="H908" s="306">
        <f t="shared" ca="1" si="213"/>
        <v>0.45599797695342914</v>
      </c>
      <c r="I908" s="305">
        <f t="shared" ca="1" si="215"/>
        <v>105.05356990395516</v>
      </c>
      <c r="J908" s="305">
        <f t="shared" ca="1" si="216"/>
        <v>56.001699941558925</v>
      </c>
      <c r="K908" s="292">
        <f t="shared" ca="1" si="214"/>
        <v>1.6136669649543811</v>
      </c>
      <c r="L908" s="1290">
        <f t="shared" ca="1" si="217"/>
        <v>23.58202273005837</v>
      </c>
      <c r="M908" s="299">
        <v>900</v>
      </c>
      <c r="N908" s="304">
        <f t="shared" si="218"/>
        <v>4262.3477988072873</v>
      </c>
      <c r="O908" s="303">
        <v>208.78171832084462</v>
      </c>
      <c r="P908" s="302">
        <v>0.45011811855708894</v>
      </c>
      <c r="Q908" s="301">
        <v>148.83471727015421</v>
      </c>
      <c r="R908" s="301">
        <v>62.748643422811867</v>
      </c>
      <c r="S908" s="300">
        <v>2.5765572336462195</v>
      </c>
      <c r="T908" s="891">
        <f t="shared" si="219"/>
        <v>64</v>
      </c>
      <c r="U908" s="1220">
        <v>0.54422640800476074</v>
      </c>
      <c r="W908" s="299">
        <v>900</v>
      </c>
      <c r="X908" s="298">
        <f>IF('Donor Sample'!N925="",,IF('Donor Sample'!N925="F",1,0))</f>
        <v>0</v>
      </c>
      <c r="Y908" s="298" t="str">
        <f>IF('Donor Sample'!O925="","",'Donor Sample'!O925)</f>
        <v/>
      </c>
      <c r="Z908" s="298" t="str">
        <f>IF(AND('Donor Sample'!O925="",'Donor Sample'!P925="",'Donor Sample'!Q925=""),"",IF('Donor Sample'!P925="",ROUND(AA908/($C$32+($AI908-0.5)*$C$31),0),'Donor Sample'!P925))</f>
        <v/>
      </c>
      <c r="AA908" s="297" t="str">
        <f>IF('Donor Sample'!Q925="","",'Donor Sample'!Q925)</f>
        <v/>
      </c>
      <c r="AB908" s="296" t="str">
        <f t="shared" si="210"/>
        <v/>
      </c>
      <c r="AC908" s="295" t="str">
        <f>IF('Donor Sample'!R925="","",'Donor Sample'!R925)</f>
        <v/>
      </c>
      <c r="AD908" s="294" t="str">
        <f>IF('Donor Sample'!S925="","",'Donor Sample'!S925/100)</f>
        <v/>
      </c>
      <c r="AE908" s="293" t="e">
        <f t="shared" si="220"/>
        <v>#VALUE!</v>
      </c>
      <c r="AF908" s="293" t="str">
        <f t="shared" si="221"/>
        <v/>
      </c>
      <c r="AG908" s="292" t="str">
        <f>IF('Donor Sample'!T925="","",'Donor Sample'!T925)</f>
        <v/>
      </c>
      <c r="AH908" s="891">
        <f t="shared" si="222"/>
        <v>64</v>
      </c>
      <c r="AI908" s="1220">
        <v>0.48254704475402832</v>
      </c>
      <c r="AJ908" s="1216"/>
    </row>
    <row r="909" spans="5:36">
      <c r="E909" s="299">
        <v>901</v>
      </c>
      <c r="F909" s="308">
        <f t="shared" ca="1" si="211"/>
        <v>3044.209705943314</v>
      </c>
      <c r="G909" s="307">
        <f t="shared" ca="1" si="212"/>
        <v>313.16395606461776</v>
      </c>
      <c r="H909" s="306">
        <f t="shared" ca="1" si="213"/>
        <v>0.3679736830861719</v>
      </c>
      <c r="I909" s="305">
        <f t="shared" ca="1" si="215"/>
        <v>100.51252591942284</v>
      </c>
      <c r="J909" s="305">
        <f t="shared" ca="1" si="216"/>
        <v>61.443337812783774</v>
      </c>
      <c r="K909" s="292">
        <f t="shared" ca="1" si="214"/>
        <v>2.9771725557391071</v>
      </c>
      <c r="L909" s="1290">
        <f t="shared" ca="1" si="217"/>
        <v>18.743178716117743</v>
      </c>
      <c r="M909" s="299">
        <v>901</v>
      </c>
      <c r="N909" s="304">
        <f t="shared" si="218"/>
        <v>2585.7390775298559</v>
      </c>
      <c r="O909" s="303">
        <v>203.99251310149472</v>
      </c>
      <c r="P909" s="302">
        <v>0.37908130712073551</v>
      </c>
      <c r="Q909" s="301">
        <v>93.816633334646539</v>
      </c>
      <c r="R909" s="301">
        <v>55.462394935173393</v>
      </c>
      <c r="S909" s="300">
        <v>2.8605253964331689</v>
      </c>
      <c r="T909" s="891">
        <f t="shared" si="219"/>
        <v>64</v>
      </c>
      <c r="U909" s="1220">
        <v>0.75914758443832397</v>
      </c>
      <c r="W909" s="299">
        <v>901</v>
      </c>
      <c r="X909" s="298">
        <f>IF('Donor Sample'!N926="",,IF('Donor Sample'!N926="F",1,0))</f>
        <v>0</v>
      </c>
      <c r="Y909" s="298" t="str">
        <f>IF('Donor Sample'!O926="","",'Donor Sample'!O926)</f>
        <v/>
      </c>
      <c r="Z909" s="298" t="str">
        <f>IF(AND('Donor Sample'!O926="",'Donor Sample'!P926="",'Donor Sample'!Q926=""),"",IF('Donor Sample'!P926="",ROUND(AA909/($C$32+($AI909-0.5)*$C$31),0),'Donor Sample'!P926))</f>
        <v/>
      </c>
      <c r="AA909" s="297" t="str">
        <f>IF('Donor Sample'!Q926="","",'Donor Sample'!Q926)</f>
        <v/>
      </c>
      <c r="AB909" s="296" t="str">
        <f t="shared" si="210"/>
        <v/>
      </c>
      <c r="AC909" s="295" t="str">
        <f>IF('Donor Sample'!R926="","",'Donor Sample'!R926)</f>
        <v/>
      </c>
      <c r="AD909" s="294" t="str">
        <f>IF('Donor Sample'!S926="","",'Donor Sample'!S926/100)</f>
        <v/>
      </c>
      <c r="AE909" s="407" t="e">
        <f t="shared" si="220"/>
        <v>#VALUE!</v>
      </c>
      <c r="AF909" s="293" t="str">
        <f t="shared" si="221"/>
        <v/>
      </c>
      <c r="AG909" s="292" t="str">
        <f>IF('Donor Sample'!T926="","",'Donor Sample'!T926)</f>
        <v/>
      </c>
      <c r="AH909" s="891">
        <f t="shared" si="222"/>
        <v>256</v>
      </c>
      <c r="AI909" s="1220">
        <v>0.88608020544052124</v>
      </c>
      <c r="AJ909" s="1216"/>
    </row>
    <row r="910" spans="5:36">
      <c r="E910" s="299">
        <v>902</v>
      </c>
      <c r="F910" s="308">
        <f t="shared" ca="1" si="211"/>
        <v>2658.0302427278675</v>
      </c>
      <c r="G910" s="307">
        <f t="shared" ca="1" si="212"/>
        <v>225.01170880331401</v>
      </c>
      <c r="H910" s="306">
        <f t="shared" ca="1" si="213"/>
        <v>0.46495151298220277</v>
      </c>
      <c r="I910" s="305">
        <f t="shared" ca="1" si="215"/>
        <v>83.450883865809189</v>
      </c>
      <c r="J910" s="305">
        <f t="shared" ca="1" si="216"/>
        <v>51.800587747273624</v>
      </c>
      <c r="K910" s="292">
        <f t="shared" ca="1" si="214"/>
        <v>1.7744290907828457</v>
      </c>
      <c r="L910" s="1290">
        <f t="shared" ca="1" si="217"/>
        <v>21.894459335287376</v>
      </c>
      <c r="M910" s="299">
        <v>902</v>
      </c>
      <c r="N910" s="304">
        <f t="shared" si="218"/>
        <v>3323.6759302363707</v>
      </c>
      <c r="O910" s="303">
        <v>216.72570734070163</v>
      </c>
      <c r="P910" s="302">
        <v>0.38341734163902141</v>
      </c>
      <c r="Q910" s="301">
        <v>115.70291091917299</v>
      </c>
      <c r="R910" s="301">
        <v>55.547456769338588</v>
      </c>
      <c r="S910" s="300">
        <v>10.656319291562744</v>
      </c>
      <c r="T910" s="891">
        <f t="shared" si="219"/>
        <v>2</v>
      </c>
      <c r="U910" s="1220">
        <v>0.23956716060638428</v>
      </c>
      <c r="W910" s="299">
        <v>902</v>
      </c>
      <c r="X910" s="298">
        <f>IF('Donor Sample'!N927="",,IF('Donor Sample'!N927="F",1,0))</f>
        <v>0</v>
      </c>
      <c r="Y910" s="298" t="str">
        <f>IF('Donor Sample'!O927="","",'Donor Sample'!O927)</f>
        <v/>
      </c>
      <c r="Z910" s="298" t="str">
        <f>IF(AND('Donor Sample'!O927="",'Donor Sample'!P927="",'Donor Sample'!Q927=""),"",IF('Donor Sample'!P927="",ROUND(AA910/($C$32+($AI910-0.5)*$C$31),0),'Donor Sample'!P927))</f>
        <v/>
      </c>
      <c r="AA910" s="297" t="str">
        <f>IF('Donor Sample'!Q927="","",'Donor Sample'!Q927)</f>
        <v/>
      </c>
      <c r="AB910" s="296" t="str">
        <f t="shared" si="210"/>
        <v/>
      </c>
      <c r="AC910" s="295" t="str">
        <f>IF('Donor Sample'!R927="","",'Donor Sample'!R927)</f>
        <v/>
      </c>
      <c r="AD910" s="294" t="str">
        <f>IF('Donor Sample'!S927="","",'Donor Sample'!S927/100)</f>
        <v/>
      </c>
      <c r="AE910" s="293" t="e">
        <f t="shared" si="220"/>
        <v>#VALUE!</v>
      </c>
      <c r="AF910" s="293" t="str">
        <f t="shared" si="221"/>
        <v/>
      </c>
      <c r="AG910" s="292" t="str">
        <f>IF('Donor Sample'!T927="","",'Donor Sample'!T927)</f>
        <v/>
      </c>
      <c r="AH910" s="891">
        <f t="shared" si="222"/>
        <v>64</v>
      </c>
      <c r="AI910" s="1220">
        <v>0.53308570384979248</v>
      </c>
      <c r="AJ910" s="1216"/>
    </row>
    <row r="911" spans="5:36">
      <c r="E911" s="299">
        <v>903</v>
      </c>
      <c r="F911" s="308">
        <f t="shared" ca="1" si="211"/>
        <v>2711.43415386984</v>
      </c>
      <c r="G911" s="307">
        <f t="shared" ca="1" si="212"/>
        <v>204.03750122279598</v>
      </c>
      <c r="H911" s="306">
        <f t="shared" ca="1" si="213"/>
        <v>0.42081431691229804</v>
      </c>
      <c r="I911" s="305">
        <f t="shared" ca="1" si="215"/>
        <v>111.27475077447892</v>
      </c>
      <c r="J911" s="305">
        <f t="shared" ca="1" si="216"/>
        <v>43.144250670449644</v>
      </c>
      <c r="K911" s="292">
        <f t="shared" ca="1" si="214"/>
        <v>8.2418909079526301</v>
      </c>
      <c r="L911" s="1290">
        <f t="shared" ca="1" si="217"/>
        <v>42.084621760873567</v>
      </c>
      <c r="M911" s="299">
        <v>903</v>
      </c>
      <c r="N911" s="304">
        <f t="shared" si="218"/>
        <v>2516.717879642415</v>
      </c>
      <c r="O911" s="303">
        <v>247.26051854470296</v>
      </c>
      <c r="P911" s="302">
        <v>0.43795241263233597</v>
      </c>
      <c r="Q911" s="301">
        <v>83.540654059321298</v>
      </c>
      <c r="R911" s="301">
        <v>48.667963087891891</v>
      </c>
      <c r="S911" s="300">
        <v>2.7948231747858578</v>
      </c>
      <c r="T911" s="891">
        <f t="shared" si="219"/>
        <v>64</v>
      </c>
      <c r="U911" s="1220">
        <v>0.61025911569595337</v>
      </c>
      <c r="W911" s="299">
        <v>903</v>
      </c>
      <c r="X911" s="298">
        <f>IF('Donor Sample'!N928="",,IF('Donor Sample'!N928="F",1,0))</f>
        <v>0</v>
      </c>
      <c r="Y911" s="298" t="str">
        <f>IF('Donor Sample'!O928="","",'Donor Sample'!O928)</f>
        <v/>
      </c>
      <c r="Z911" s="298" t="str">
        <f>IF(AND('Donor Sample'!O928="",'Donor Sample'!P928="",'Donor Sample'!Q928=""),"",IF('Donor Sample'!P928="",ROUND(AA911/($C$32+($AI911-0.5)*$C$31),0),'Donor Sample'!P928))</f>
        <v/>
      </c>
      <c r="AA911" s="297" t="str">
        <f>IF('Donor Sample'!Q928="","",'Donor Sample'!Q928)</f>
        <v/>
      </c>
      <c r="AB911" s="296" t="str">
        <f t="shared" si="210"/>
        <v/>
      </c>
      <c r="AC911" s="295" t="str">
        <f>IF('Donor Sample'!R928="","",'Donor Sample'!R928)</f>
        <v/>
      </c>
      <c r="AD911" s="294" t="str">
        <f>IF('Donor Sample'!S928="","",'Donor Sample'!S928/100)</f>
        <v/>
      </c>
      <c r="AE911" s="293" t="e">
        <f t="shared" si="220"/>
        <v>#VALUE!</v>
      </c>
      <c r="AF911" s="293" t="str">
        <f t="shared" si="221"/>
        <v/>
      </c>
      <c r="AG911" s="292" t="str">
        <f>IF('Donor Sample'!T928="","",'Donor Sample'!T928)</f>
        <v/>
      </c>
      <c r="AH911" s="891">
        <f t="shared" si="222"/>
        <v>2</v>
      </c>
      <c r="AI911" s="1220">
        <v>0.20675426721572876</v>
      </c>
      <c r="AJ911" s="1216"/>
    </row>
    <row r="912" spans="5:36">
      <c r="E912" s="299">
        <v>904</v>
      </c>
      <c r="F912" s="308">
        <f t="shared" ca="1" si="211"/>
        <v>3070.222010473663</v>
      </c>
      <c r="G912" s="307">
        <f t="shared" ca="1" si="212"/>
        <v>239.906107411623</v>
      </c>
      <c r="H912" s="306">
        <f t="shared" ca="1" si="213"/>
        <v>0.38142798969758007</v>
      </c>
      <c r="I912" s="305">
        <f t="shared" ca="1" si="215"/>
        <v>97.303131210787626</v>
      </c>
      <c r="J912" s="305">
        <f t="shared" ca="1" si="216"/>
        <v>62.545514452268762</v>
      </c>
      <c r="K912" s="292">
        <f t="shared" ca="1" si="214"/>
        <v>9.6250132437754754</v>
      </c>
      <c r="L912" s="1290">
        <f t="shared" ca="1" si="217"/>
        <v>17.510846342406925</v>
      </c>
      <c r="M912" s="299">
        <v>904</v>
      </c>
      <c r="N912" s="304">
        <f t="shared" si="218"/>
        <v>3737.4274986933588</v>
      </c>
      <c r="O912" s="303">
        <v>199.75725294907966</v>
      </c>
      <c r="P912" s="302">
        <v>0.42791548163431015</v>
      </c>
      <c r="Q912" s="301">
        <v>143.76134206710458</v>
      </c>
      <c r="R912" s="301">
        <v>62.109237841936512</v>
      </c>
      <c r="S912" s="300">
        <v>5.7707427536224705</v>
      </c>
      <c r="T912" s="891">
        <f t="shared" si="219"/>
        <v>64</v>
      </c>
      <c r="U912" s="1220">
        <v>0.49983119964599609</v>
      </c>
      <c r="W912" s="299">
        <v>904</v>
      </c>
      <c r="X912" s="298">
        <f>IF('Donor Sample'!N929="",,IF('Donor Sample'!N929="F",1,0))</f>
        <v>0</v>
      </c>
      <c r="Y912" s="298" t="str">
        <f>IF('Donor Sample'!O929="","",'Donor Sample'!O929)</f>
        <v/>
      </c>
      <c r="Z912" s="298" t="str">
        <f>IF(AND('Donor Sample'!O929="",'Donor Sample'!P929="",'Donor Sample'!Q929=""),"",IF('Donor Sample'!P929="",ROUND(AA912/($C$32+($AI912-0.5)*$C$31),0),'Donor Sample'!P929))</f>
        <v/>
      </c>
      <c r="AA912" s="297" t="str">
        <f>IF('Donor Sample'!Q929="","",'Donor Sample'!Q929)</f>
        <v/>
      </c>
      <c r="AB912" s="296" t="str">
        <f t="shared" si="210"/>
        <v/>
      </c>
      <c r="AC912" s="295" t="str">
        <f>IF('Donor Sample'!R929="","",'Donor Sample'!R929)</f>
        <v/>
      </c>
      <c r="AD912" s="294" t="str">
        <f>IF('Donor Sample'!S929="","",'Donor Sample'!S929/100)</f>
        <v/>
      </c>
      <c r="AE912" s="407" t="e">
        <f t="shared" si="220"/>
        <v>#VALUE!</v>
      </c>
      <c r="AF912" s="293" t="str">
        <f t="shared" si="221"/>
        <v/>
      </c>
      <c r="AG912" s="292" t="str">
        <f>IF('Donor Sample'!T929="","",'Donor Sample'!T929)</f>
        <v/>
      </c>
      <c r="AH912" s="891">
        <f t="shared" si="222"/>
        <v>32</v>
      </c>
      <c r="AI912" s="1220">
        <v>0.77919340133666992</v>
      </c>
      <c r="AJ912" s="1216"/>
    </row>
    <row r="913" spans="5:36">
      <c r="E913" s="299">
        <v>905</v>
      </c>
      <c r="F913" s="308">
        <f t="shared" ca="1" si="211"/>
        <v>4121.6891545779235</v>
      </c>
      <c r="G913" s="307">
        <f t="shared" ca="1" si="212"/>
        <v>236.29090653940295</v>
      </c>
      <c r="H913" s="306">
        <f t="shared" ca="1" si="213"/>
        <v>0.40083036724720217</v>
      </c>
      <c r="I913" s="305">
        <f t="shared" ca="1" si="215"/>
        <v>147.14494484066933</v>
      </c>
      <c r="J913" s="305">
        <f t="shared" ca="1" si="216"/>
        <v>66.700404000427042</v>
      </c>
      <c r="K913" s="292">
        <f t="shared" ca="1" si="214"/>
        <v>3.2317690609124132</v>
      </c>
      <c r="L913" s="1290">
        <f t="shared" ca="1" si="217"/>
        <v>23.28418690820606</v>
      </c>
      <c r="M913" s="299">
        <v>905</v>
      </c>
      <c r="N913" s="304">
        <f t="shared" si="218"/>
        <v>3049.2986688183119</v>
      </c>
      <c r="O913" s="303">
        <v>260.82984022367714</v>
      </c>
      <c r="P913" s="302">
        <v>0.46733984149322505</v>
      </c>
      <c r="Q913" s="301">
        <v>124.14204071224671</v>
      </c>
      <c r="R913" s="301">
        <v>55.623098892519963</v>
      </c>
      <c r="S913" s="300">
        <v>3.1137982515637121</v>
      </c>
      <c r="T913" s="891">
        <f t="shared" si="219"/>
        <v>64</v>
      </c>
      <c r="U913" s="1220">
        <v>0.51367110013961792</v>
      </c>
      <c r="W913" s="299">
        <v>905</v>
      </c>
      <c r="X913" s="298">
        <f>IF('Donor Sample'!N930="",,IF('Donor Sample'!N930="F",1,0))</f>
        <v>0</v>
      </c>
      <c r="Y913" s="298" t="str">
        <f>IF('Donor Sample'!O930="","",'Donor Sample'!O930)</f>
        <v/>
      </c>
      <c r="Z913" s="298" t="str">
        <f>IF(AND('Donor Sample'!O930="",'Donor Sample'!P930="",'Donor Sample'!Q930=""),"",IF('Donor Sample'!P930="",ROUND(AA913/($C$32+($AI913-0.5)*$C$31),0),'Donor Sample'!P930))</f>
        <v/>
      </c>
      <c r="AA913" s="297" t="str">
        <f>IF('Donor Sample'!Q930="","",'Donor Sample'!Q930)</f>
        <v/>
      </c>
      <c r="AB913" s="296" t="str">
        <f t="shared" si="210"/>
        <v/>
      </c>
      <c r="AC913" s="295" t="str">
        <f>IF('Donor Sample'!R930="","",'Donor Sample'!R930)</f>
        <v/>
      </c>
      <c r="AD913" s="294" t="str">
        <f>IF('Donor Sample'!S930="","",'Donor Sample'!S930/100)</f>
        <v/>
      </c>
      <c r="AE913" s="293" t="e">
        <f t="shared" si="220"/>
        <v>#VALUE!</v>
      </c>
      <c r="AF913" s="293" t="str">
        <f t="shared" si="221"/>
        <v/>
      </c>
      <c r="AG913" s="292" t="str">
        <f>IF('Donor Sample'!T930="","",'Donor Sample'!T930)</f>
        <v/>
      </c>
      <c r="AH913" s="891">
        <f t="shared" si="222"/>
        <v>16</v>
      </c>
      <c r="AI913" s="1220">
        <v>0.96904152631759644</v>
      </c>
      <c r="AJ913" s="1216"/>
    </row>
    <row r="914" spans="5:36">
      <c r="E914" s="299">
        <v>906</v>
      </c>
      <c r="F914" s="308">
        <f t="shared" ca="1" si="211"/>
        <v>3632.6454026556771</v>
      </c>
      <c r="G914" s="307">
        <f t="shared" ca="1" si="212"/>
        <v>213.90805564942596</v>
      </c>
      <c r="H914" s="306">
        <f t="shared" ca="1" si="213"/>
        <v>0.39212370430517945</v>
      </c>
      <c r="I914" s="305">
        <f t="shared" ca="1" si="215"/>
        <v>148.90666012835089</v>
      </c>
      <c r="J914" s="305">
        <f t="shared" ca="1" si="216"/>
        <v>52.189446218531721</v>
      </c>
      <c r="K914" s="292">
        <f t="shared" ca="1" si="214"/>
        <v>9.6846412683938752</v>
      </c>
      <c r="L914" s="1290">
        <f t="shared" ca="1" si="217"/>
        <v>38.487650910269878</v>
      </c>
      <c r="M914" s="299">
        <v>906</v>
      </c>
      <c r="N914" s="304">
        <f t="shared" si="218"/>
        <v>3259.0028681329973</v>
      </c>
      <c r="O914" s="303">
        <v>225.39361498012192</v>
      </c>
      <c r="P914" s="302">
        <v>0.48400893940559131</v>
      </c>
      <c r="Q914" s="301">
        <v>129.58874806548567</v>
      </c>
      <c r="R914" s="301">
        <v>50.253912343772264</v>
      </c>
      <c r="S914" s="300">
        <v>2.6210889286868944</v>
      </c>
      <c r="T914" s="891">
        <f t="shared" si="219"/>
        <v>4</v>
      </c>
      <c r="U914" s="1220">
        <v>0.36198294162750244</v>
      </c>
      <c r="W914" s="299">
        <v>906</v>
      </c>
      <c r="X914" s="298">
        <f>IF('Donor Sample'!N931="",,IF('Donor Sample'!N931="F",1,0))</f>
        <v>0</v>
      </c>
      <c r="Y914" s="298" t="str">
        <f>IF('Donor Sample'!O931="","",'Donor Sample'!O931)</f>
        <v/>
      </c>
      <c r="Z914" s="298" t="str">
        <f>IF(AND('Donor Sample'!O931="",'Donor Sample'!P931="",'Donor Sample'!Q931=""),"",IF('Donor Sample'!P931="",ROUND(AA914/($C$32+($AI914-0.5)*$C$31),0),'Donor Sample'!P931))</f>
        <v/>
      </c>
      <c r="AA914" s="297" t="str">
        <f>IF('Donor Sample'!Q931="","",'Donor Sample'!Q931)</f>
        <v/>
      </c>
      <c r="AB914" s="296" t="str">
        <f t="shared" si="210"/>
        <v/>
      </c>
      <c r="AC914" s="295" t="str">
        <f>IF('Donor Sample'!R931="","",'Donor Sample'!R931)</f>
        <v/>
      </c>
      <c r="AD914" s="294" t="str">
        <f>IF('Donor Sample'!S931="","",'Donor Sample'!S931/100)</f>
        <v/>
      </c>
      <c r="AE914" s="293" t="e">
        <f t="shared" si="220"/>
        <v>#VALUE!</v>
      </c>
      <c r="AF914" s="293" t="str">
        <f t="shared" si="221"/>
        <v/>
      </c>
      <c r="AG914" s="292" t="str">
        <f>IF('Donor Sample'!T931="","",'Donor Sample'!T931)</f>
        <v/>
      </c>
      <c r="AH914" s="891">
        <f t="shared" si="222"/>
        <v>64</v>
      </c>
      <c r="AI914" s="1220">
        <v>0.61550056934356689</v>
      </c>
      <c r="AJ914" s="1216"/>
    </row>
    <row r="915" spans="5:36">
      <c r="E915" s="299">
        <v>907</v>
      </c>
      <c r="F915" s="308">
        <f t="shared" ca="1" si="211"/>
        <v>2523.2644026061007</v>
      </c>
      <c r="G915" s="307">
        <f t="shared" ca="1" si="212"/>
        <v>164.33724287575592</v>
      </c>
      <c r="H915" s="306">
        <f t="shared" ca="1" si="213"/>
        <v>0.39136641881785927</v>
      </c>
      <c r="I915" s="305">
        <f t="shared" ca="1" si="215"/>
        <v>92.88882504331518</v>
      </c>
      <c r="J915" s="305">
        <f t="shared" ca="1" si="216"/>
        <v>45.413570977140949</v>
      </c>
      <c r="K915" s="292">
        <f t="shared" ca="1" si="214"/>
        <v>19.663814433059173</v>
      </c>
      <c r="L915" s="1290">
        <f t="shared" ca="1" si="217"/>
        <v>31.707706018638238</v>
      </c>
      <c r="M915" s="299">
        <v>907</v>
      </c>
      <c r="N915" s="304">
        <f t="shared" si="218"/>
        <v>3970.546970819446</v>
      </c>
      <c r="O915" s="303">
        <v>215.30365687862863</v>
      </c>
      <c r="P915" s="302">
        <v>0.39335917252129832</v>
      </c>
      <c r="Q915" s="301">
        <v>159.36906441374637</v>
      </c>
      <c r="R915" s="301">
        <v>55.714878441504631</v>
      </c>
      <c r="S915" s="300">
        <v>1.2341929071976596</v>
      </c>
      <c r="T915" s="891">
        <f t="shared" si="219"/>
        <v>2</v>
      </c>
      <c r="U915" s="1220">
        <v>0.33505278825759888</v>
      </c>
      <c r="W915" s="299">
        <v>907</v>
      </c>
      <c r="X915" s="298">
        <f>IF('Donor Sample'!N932="",,IF('Donor Sample'!N932="F",1,0))</f>
        <v>0</v>
      </c>
      <c r="Y915" s="298" t="str">
        <f>IF('Donor Sample'!O932="","",'Donor Sample'!O932)</f>
        <v/>
      </c>
      <c r="Z915" s="298" t="str">
        <f>IF(AND('Donor Sample'!O932="",'Donor Sample'!P932="",'Donor Sample'!Q932=""),"",IF('Donor Sample'!P932="",ROUND(AA915/($C$32+($AI915-0.5)*$C$31),0),'Donor Sample'!P932))</f>
        <v/>
      </c>
      <c r="AA915" s="297" t="str">
        <f>IF('Donor Sample'!Q932="","",'Donor Sample'!Q932)</f>
        <v/>
      </c>
      <c r="AB915" s="296" t="str">
        <f t="shared" si="210"/>
        <v/>
      </c>
      <c r="AC915" s="295" t="str">
        <f>IF('Donor Sample'!R932="","",'Donor Sample'!R932)</f>
        <v/>
      </c>
      <c r="AD915" s="294" t="str">
        <f>IF('Donor Sample'!S932="","",'Donor Sample'!S932/100)</f>
        <v/>
      </c>
      <c r="AE915" s="407" t="e">
        <f t="shared" si="220"/>
        <v>#VALUE!</v>
      </c>
      <c r="AF915" s="293" t="str">
        <f t="shared" si="221"/>
        <v/>
      </c>
      <c r="AG915" s="292" t="str">
        <f>IF('Donor Sample'!T932="","",'Donor Sample'!T932)</f>
        <v/>
      </c>
      <c r="AH915" s="891">
        <f t="shared" si="222"/>
        <v>2</v>
      </c>
      <c r="AI915" s="1220">
        <v>0.21561318635940552</v>
      </c>
      <c r="AJ915" s="1216"/>
    </row>
    <row r="916" spans="5:36">
      <c r="E916" s="299">
        <v>908</v>
      </c>
      <c r="F916" s="308">
        <f t="shared" ca="1" si="211"/>
        <v>2555.8303597200588</v>
      </c>
      <c r="G916" s="307">
        <f t="shared" ca="1" si="212"/>
        <v>223.61104737210962</v>
      </c>
      <c r="H916" s="306">
        <f t="shared" ca="1" si="213"/>
        <v>0.47147623901096147</v>
      </c>
      <c r="I916" s="305">
        <f t="shared" ca="1" si="215"/>
        <v>94.169645751811416</v>
      </c>
      <c r="J916" s="305">
        <f t="shared" ca="1" si="216"/>
        <v>45.78332058263242</v>
      </c>
      <c r="K916" s="292">
        <f t="shared" ca="1" si="214"/>
        <v>5.183519011894564</v>
      </c>
      <c r="L916" s="1290">
        <f t="shared" ca="1" si="217"/>
        <v>31.627802607906744</v>
      </c>
      <c r="M916" s="299">
        <v>908</v>
      </c>
      <c r="N916" s="304">
        <f t="shared" si="218"/>
        <v>3178.0723855345877</v>
      </c>
      <c r="O916" s="303">
        <v>298.95996009586088</v>
      </c>
      <c r="P916" s="302">
        <v>0.47981651503607564</v>
      </c>
      <c r="Q916" s="301">
        <v>126.67051956535478</v>
      </c>
      <c r="R916" s="301">
        <v>49.398033527554517</v>
      </c>
      <c r="S916" s="300">
        <v>1.7335344486290845</v>
      </c>
      <c r="T916" s="891">
        <f t="shared" si="219"/>
        <v>2</v>
      </c>
      <c r="U916" s="1220">
        <v>0.29932713508605957</v>
      </c>
      <c r="W916" s="299">
        <v>908</v>
      </c>
      <c r="X916" s="298">
        <f>IF('Donor Sample'!N933="",,IF('Donor Sample'!N933="F",1,0))</f>
        <v>0</v>
      </c>
      <c r="Y916" s="298" t="str">
        <f>IF('Donor Sample'!O933="","",'Donor Sample'!O933)</f>
        <v/>
      </c>
      <c r="Z916" s="298" t="str">
        <f>IF(AND('Donor Sample'!O933="",'Donor Sample'!P933="",'Donor Sample'!Q933=""),"",IF('Donor Sample'!P933="",ROUND(AA916/($C$32+($AI916-0.5)*$C$31),0),'Donor Sample'!P933))</f>
        <v/>
      </c>
      <c r="AA916" s="297" t="str">
        <f>IF('Donor Sample'!Q933="","",'Donor Sample'!Q933)</f>
        <v/>
      </c>
      <c r="AB916" s="296" t="str">
        <f t="shared" si="210"/>
        <v/>
      </c>
      <c r="AC916" s="295" t="str">
        <f>IF('Donor Sample'!R933="","",'Donor Sample'!R933)</f>
        <v/>
      </c>
      <c r="AD916" s="294" t="str">
        <f>IF('Donor Sample'!S933="","",'Donor Sample'!S933/100)</f>
        <v/>
      </c>
      <c r="AE916" s="293" t="e">
        <f t="shared" si="220"/>
        <v>#VALUE!</v>
      </c>
      <c r="AF916" s="293" t="str">
        <f t="shared" si="221"/>
        <v/>
      </c>
      <c r="AG916" s="292" t="str">
        <f>IF('Donor Sample'!T933="","",'Donor Sample'!T933)</f>
        <v/>
      </c>
      <c r="AH916" s="891">
        <f t="shared" si="222"/>
        <v>2</v>
      </c>
      <c r="AI916" s="1220">
        <v>0.23430609703063965</v>
      </c>
      <c r="AJ916" s="1216"/>
    </row>
    <row r="917" spans="5:36">
      <c r="E917" s="299">
        <v>909</v>
      </c>
      <c r="F917" s="308">
        <f t="shared" ca="1" si="211"/>
        <v>3697.8312913199579</v>
      </c>
      <c r="G917" s="307">
        <f t="shared" ca="1" si="212"/>
        <v>259.6828158629238</v>
      </c>
      <c r="H917" s="306">
        <f t="shared" ca="1" si="213"/>
        <v>0.43699433639727991</v>
      </c>
      <c r="I917" s="305">
        <f t="shared" ca="1" si="215"/>
        <v>126.08431293793772</v>
      </c>
      <c r="J917" s="305">
        <f t="shared" ca="1" si="216"/>
        <v>59.289447541375537</v>
      </c>
      <c r="K917" s="292">
        <f t="shared" ca="1" si="214"/>
        <v>8.9564528283058884</v>
      </c>
      <c r="L917" s="1290">
        <f t="shared" ca="1" si="217"/>
        <v>25.251018968339778</v>
      </c>
      <c r="M917" s="299">
        <v>909</v>
      </c>
      <c r="N917" s="304">
        <f t="shared" si="218"/>
        <v>3222.5638947198195</v>
      </c>
      <c r="O917" s="303">
        <v>206.58545168159384</v>
      </c>
      <c r="P917" s="302">
        <v>0.4000076320112172</v>
      </c>
      <c r="Q917" s="301">
        <v>130.30429079489076</v>
      </c>
      <c r="R917" s="301">
        <v>49.202729553281522</v>
      </c>
      <c r="S917" s="300">
        <v>5.5733818390856564</v>
      </c>
      <c r="T917" s="891">
        <f t="shared" si="219"/>
        <v>64</v>
      </c>
      <c r="U917" s="1220">
        <v>0.44355243444442749</v>
      </c>
      <c r="W917" s="299">
        <v>909</v>
      </c>
      <c r="X917" s="298">
        <f>IF('Donor Sample'!N934="",,IF('Donor Sample'!N934="F",1,0))</f>
        <v>0</v>
      </c>
      <c r="Y917" s="298" t="str">
        <f>IF('Donor Sample'!O934="","",'Donor Sample'!O934)</f>
        <v/>
      </c>
      <c r="Z917" s="298" t="str">
        <f>IF(AND('Donor Sample'!O934="",'Donor Sample'!P934="",'Donor Sample'!Q934=""),"",IF('Donor Sample'!P934="",ROUND(AA917/($C$32+($AI917-0.5)*$C$31),0),'Donor Sample'!P934))</f>
        <v/>
      </c>
      <c r="AA917" s="297" t="str">
        <f>IF('Donor Sample'!Q934="","",'Donor Sample'!Q934)</f>
        <v/>
      </c>
      <c r="AB917" s="296" t="str">
        <f t="shared" si="210"/>
        <v/>
      </c>
      <c r="AC917" s="295" t="str">
        <f>IF('Donor Sample'!R934="","",'Donor Sample'!R934)</f>
        <v/>
      </c>
      <c r="AD917" s="294" t="str">
        <f>IF('Donor Sample'!S934="","",'Donor Sample'!S934/100)</f>
        <v/>
      </c>
      <c r="AE917" s="293" t="e">
        <f t="shared" si="220"/>
        <v>#VALUE!</v>
      </c>
      <c r="AF917" s="293" t="str">
        <f t="shared" si="221"/>
        <v/>
      </c>
      <c r="AG917" s="292" t="str">
        <f>IF('Donor Sample'!T934="","",'Donor Sample'!T934)</f>
        <v/>
      </c>
      <c r="AH917" s="891">
        <f t="shared" si="222"/>
        <v>4</v>
      </c>
      <c r="AI917" s="1220">
        <v>0.40863507986068726</v>
      </c>
      <c r="AJ917" s="1216"/>
    </row>
    <row r="918" spans="5:36">
      <c r="E918" s="299">
        <v>910</v>
      </c>
      <c r="F918" s="308">
        <f t="shared" ca="1" si="211"/>
        <v>3281.6376606143867</v>
      </c>
      <c r="G918" s="307">
        <f t="shared" ca="1" si="212"/>
        <v>231.04495476347</v>
      </c>
      <c r="H918" s="306">
        <f t="shared" ca="1" si="213"/>
        <v>0.35390472202281104</v>
      </c>
      <c r="I918" s="305">
        <f t="shared" ca="1" si="215"/>
        <v>128.92896250636565</v>
      </c>
      <c r="J918" s="305">
        <f t="shared" ca="1" si="216"/>
        <v>50.952568852966635</v>
      </c>
      <c r="K918" s="292">
        <f t="shared" ca="1" si="214"/>
        <v>4.5728244825664328</v>
      </c>
      <c r="L918" s="1290">
        <f t="shared" ca="1" si="217"/>
        <v>34.961574103134502</v>
      </c>
      <c r="M918" s="299">
        <v>910</v>
      </c>
      <c r="N918" s="304">
        <f t="shared" si="218"/>
        <v>3254.9524216916561</v>
      </c>
      <c r="O918" s="303">
        <v>197.673979354192</v>
      </c>
      <c r="P918" s="302">
        <v>0.3534635664960904</v>
      </c>
      <c r="Q918" s="301">
        <v>108.30199392959361</v>
      </c>
      <c r="R918" s="301">
        <v>56.245381794897149</v>
      </c>
      <c r="S918" s="300">
        <v>5.5004744471404408</v>
      </c>
      <c r="T918" s="891">
        <f t="shared" si="219"/>
        <v>32</v>
      </c>
      <c r="U918" s="1220">
        <v>0.83723151683807373</v>
      </c>
      <c r="W918" s="299">
        <v>910</v>
      </c>
      <c r="X918" s="298">
        <f>IF('Donor Sample'!N935="",,IF('Donor Sample'!N935="F",1,0))</f>
        <v>0</v>
      </c>
      <c r="Y918" s="298" t="str">
        <f>IF('Donor Sample'!O935="","",'Donor Sample'!O935)</f>
        <v/>
      </c>
      <c r="Z918" s="298" t="str">
        <f>IF(AND('Donor Sample'!O935="",'Donor Sample'!P935="",'Donor Sample'!Q935=""),"",IF('Donor Sample'!P935="",ROUND(AA918/($C$32+($AI918-0.5)*$C$31),0),'Donor Sample'!P935))</f>
        <v/>
      </c>
      <c r="AA918" s="297" t="str">
        <f>IF('Donor Sample'!Q935="","",'Donor Sample'!Q935)</f>
        <v/>
      </c>
      <c r="AB918" s="296" t="str">
        <f t="shared" si="210"/>
        <v/>
      </c>
      <c r="AC918" s="295" t="str">
        <f>IF('Donor Sample'!R935="","",'Donor Sample'!R935)</f>
        <v/>
      </c>
      <c r="AD918" s="294" t="str">
        <f>IF('Donor Sample'!S935="","",'Donor Sample'!S935/100)</f>
        <v/>
      </c>
      <c r="AE918" s="407" t="e">
        <f t="shared" si="220"/>
        <v>#VALUE!</v>
      </c>
      <c r="AF918" s="293" t="str">
        <f t="shared" si="221"/>
        <v/>
      </c>
      <c r="AG918" s="292" t="str">
        <f>IF('Donor Sample'!T935="","",'Donor Sample'!T935)</f>
        <v/>
      </c>
      <c r="AH918" s="891">
        <f t="shared" si="222"/>
        <v>2</v>
      </c>
      <c r="AI918" s="1220">
        <v>0.13192498683929443</v>
      </c>
      <c r="AJ918" s="1216"/>
    </row>
    <row r="919" spans="5:36">
      <c r="E919" s="299">
        <v>911</v>
      </c>
      <c r="F919" s="308">
        <f t="shared" ca="1" si="211"/>
        <v>4162.0422727109035</v>
      </c>
      <c r="G919" s="307">
        <f t="shared" ca="1" si="212"/>
        <v>203.08677050236685</v>
      </c>
      <c r="H919" s="306">
        <f t="shared" ca="1" si="213"/>
        <v>0.42882697989185931</v>
      </c>
      <c r="I919" s="305">
        <f t="shared" ca="1" si="215"/>
        <v>140.30397251462315</v>
      </c>
      <c r="J919" s="305">
        <f t="shared" ca="1" si="216"/>
        <v>63.088187181275408</v>
      </c>
      <c r="K919" s="292">
        <f t="shared" ca="1" si="214"/>
        <v>2.0673343984799097</v>
      </c>
      <c r="L919" s="1290">
        <f t="shared" ca="1" si="217"/>
        <v>24.816842830848401</v>
      </c>
      <c r="M919" s="299">
        <v>911</v>
      </c>
      <c r="N919" s="304">
        <f t="shared" si="218"/>
        <v>3783.5219690337067</v>
      </c>
      <c r="O919" s="303">
        <v>285.63014903700508</v>
      </c>
      <c r="P919" s="302">
        <v>0.41650968528061588</v>
      </c>
      <c r="Q919" s="301">
        <v>151.28436837770886</v>
      </c>
      <c r="R919" s="301">
        <v>54.454338502766959</v>
      </c>
      <c r="S919" s="300">
        <v>1.2949292443112845</v>
      </c>
      <c r="T919" s="891">
        <f t="shared" si="219"/>
        <v>4</v>
      </c>
      <c r="U919" s="1220">
        <v>0.36462932825088501</v>
      </c>
      <c r="W919" s="299">
        <v>911</v>
      </c>
      <c r="X919" s="298">
        <f>IF('Donor Sample'!N936="",,IF('Donor Sample'!N936="F",1,0))</f>
        <v>0</v>
      </c>
      <c r="Y919" s="298" t="str">
        <f>IF('Donor Sample'!O936="","",'Donor Sample'!O936)</f>
        <v/>
      </c>
      <c r="Z919" s="298" t="str">
        <f>IF(AND('Donor Sample'!O936="",'Donor Sample'!P936="",'Donor Sample'!Q936=""),"",IF('Donor Sample'!P936="",ROUND(AA919/($C$32+($AI919-0.5)*$C$31),0),'Donor Sample'!P936))</f>
        <v/>
      </c>
      <c r="AA919" s="297" t="str">
        <f>IF('Donor Sample'!Q936="","",'Donor Sample'!Q936)</f>
        <v/>
      </c>
      <c r="AB919" s="296" t="str">
        <f t="shared" si="210"/>
        <v/>
      </c>
      <c r="AC919" s="295" t="str">
        <f>IF('Donor Sample'!R936="","",'Donor Sample'!R936)</f>
        <v/>
      </c>
      <c r="AD919" s="294" t="str">
        <f>IF('Donor Sample'!S936="","",'Donor Sample'!S936/100)</f>
        <v/>
      </c>
      <c r="AE919" s="293" t="e">
        <f t="shared" si="220"/>
        <v>#VALUE!</v>
      </c>
      <c r="AF919" s="293" t="str">
        <f t="shared" si="221"/>
        <v/>
      </c>
      <c r="AG919" s="292" t="str">
        <f>IF('Donor Sample'!T936="","",'Donor Sample'!T936)</f>
        <v/>
      </c>
      <c r="AH919" s="891">
        <f t="shared" si="222"/>
        <v>4</v>
      </c>
      <c r="AI919" s="1220">
        <v>0.4107246994972229</v>
      </c>
      <c r="AJ919" s="1216"/>
    </row>
    <row r="920" spans="5:36">
      <c r="E920" s="299">
        <v>912</v>
      </c>
      <c r="F920" s="308">
        <f t="shared" ca="1" si="211"/>
        <v>2523.5762728244863</v>
      </c>
      <c r="G920" s="307">
        <f t="shared" ca="1" si="212"/>
        <v>192.00798062123516</v>
      </c>
      <c r="H920" s="306">
        <f t="shared" ca="1" si="213"/>
        <v>0.38787581640354324</v>
      </c>
      <c r="I920" s="305">
        <f t="shared" ca="1" si="215"/>
        <v>80.157642793627915</v>
      </c>
      <c r="J920" s="305">
        <f t="shared" ca="1" si="216"/>
        <v>49.950598534378322</v>
      </c>
      <c r="K920" s="292">
        <f t="shared" ca="1" si="214"/>
        <v>3.6786949241050495</v>
      </c>
      <c r="L920" s="1290">
        <f t="shared" ca="1" si="217"/>
        <v>22.617062773828849</v>
      </c>
      <c r="M920" s="299">
        <v>912</v>
      </c>
      <c r="N920" s="304">
        <f t="shared" si="218"/>
        <v>3614.4052189111621</v>
      </c>
      <c r="O920" s="303">
        <v>272.05421563255817</v>
      </c>
      <c r="P920" s="302">
        <v>0.39703021016177209</v>
      </c>
      <c r="Q920" s="301">
        <v>117.44381464274001</v>
      </c>
      <c r="R920" s="301">
        <v>59.955820048359783</v>
      </c>
      <c r="S920" s="300">
        <v>3.2784136255713556</v>
      </c>
      <c r="T920" s="891">
        <f t="shared" si="219"/>
        <v>2</v>
      </c>
      <c r="U920" s="1220">
        <v>9.4630718231201172E-2</v>
      </c>
      <c r="W920" s="299">
        <v>912</v>
      </c>
      <c r="X920" s="298">
        <f>IF('Donor Sample'!N937="",,IF('Donor Sample'!N937="F",1,0))</f>
        <v>0</v>
      </c>
      <c r="Y920" s="298" t="str">
        <f>IF('Donor Sample'!O937="","",'Donor Sample'!O937)</f>
        <v/>
      </c>
      <c r="Z920" s="298" t="str">
        <f>IF(AND('Donor Sample'!O937="",'Donor Sample'!P937="",'Donor Sample'!Q937=""),"",IF('Donor Sample'!P937="",ROUND(AA920/($C$32+($AI920-0.5)*$C$31),0),'Donor Sample'!P937))</f>
        <v/>
      </c>
      <c r="AA920" s="297" t="str">
        <f>IF('Donor Sample'!Q937="","",'Donor Sample'!Q937)</f>
        <v/>
      </c>
      <c r="AB920" s="296" t="str">
        <f t="shared" si="210"/>
        <v/>
      </c>
      <c r="AC920" s="295" t="str">
        <f>IF('Donor Sample'!R937="","",'Donor Sample'!R937)</f>
        <v/>
      </c>
      <c r="AD920" s="294" t="str">
        <f>IF('Donor Sample'!S937="","",'Donor Sample'!S937/100)</f>
        <v/>
      </c>
      <c r="AE920" s="293" t="e">
        <f t="shared" si="220"/>
        <v>#VALUE!</v>
      </c>
      <c r="AF920" s="293" t="str">
        <f t="shared" si="221"/>
        <v/>
      </c>
      <c r="AG920" s="292" t="str">
        <f>IF('Donor Sample'!T937="","",'Donor Sample'!T937)</f>
        <v/>
      </c>
      <c r="AH920" s="891">
        <f t="shared" si="222"/>
        <v>64</v>
      </c>
      <c r="AI920" s="1220">
        <v>0.6658172607421875</v>
      </c>
      <c r="AJ920" s="1216"/>
    </row>
    <row r="921" spans="5:36">
      <c r="E921" s="299">
        <v>913</v>
      </c>
      <c r="F921" s="308">
        <f t="shared" ca="1" si="211"/>
        <v>3124.6225291195315</v>
      </c>
      <c r="G921" s="307">
        <f t="shared" ca="1" si="212"/>
        <v>209.66480763708483</v>
      </c>
      <c r="H921" s="306">
        <f t="shared" ca="1" si="213"/>
        <v>0.39273236320614174</v>
      </c>
      <c r="I921" s="305">
        <f t="shared" ca="1" si="215"/>
        <v>112.2963395585646</v>
      </c>
      <c r="J921" s="305">
        <f t="shared" ca="1" si="216"/>
        <v>52.723157870006737</v>
      </c>
      <c r="K921" s="292">
        <f t="shared" ca="1" si="214"/>
        <v>6.7027626338228439</v>
      </c>
      <c r="L921" s="1290">
        <f t="shared" ca="1" si="217"/>
        <v>28.440382311001255</v>
      </c>
      <c r="M921" s="299">
        <v>913</v>
      </c>
      <c r="N921" s="304">
        <f t="shared" si="218"/>
        <v>3166.6087295378306</v>
      </c>
      <c r="O921" s="303">
        <v>213.29018535632886</v>
      </c>
      <c r="P921" s="302">
        <v>0.42834709905623575</v>
      </c>
      <c r="Q921" s="301">
        <v>121.76470101121258</v>
      </c>
      <c r="R921" s="301">
        <v>50.728825530054216</v>
      </c>
      <c r="S921" s="300">
        <v>1.5464343714014799</v>
      </c>
      <c r="T921" s="891">
        <f t="shared" si="219"/>
        <v>64</v>
      </c>
      <c r="U921" s="1220">
        <v>0.65554207563400269</v>
      </c>
      <c r="W921" s="299">
        <v>913</v>
      </c>
      <c r="X921" s="298">
        <f>IF('Donor Sample'!N938="",,IF('Donor Sample'!N938="F",1,0))</f>
        <v>0</v>
      </c>
      <c r="Y921" s="298" t="str">
        <f>IF('Donor Sample'!O938="","",'Donor Sample'!O938)</f>
        <v/>
      </c>
      <c r="Z921" s="298" t="str">
        <f>IF(AND('Donor Sample'!O938="",'Donor Sample'!P938="",'Donor Sample'!Q938=""),"",IF('Donor Sample'!P938="",ROUND(AA921/($C$32+($AI921-0.5)*$C$31),0),'Donor Sample'!P938))</f>
        <v/>
      </c>
      <c r="AA921" s="297" t="str">
        <f>IF('Donor Sample'!Q938="","",'Donor Sample'!Q938)</f>
        <v/>
      </c>
      <c r="AB921" s="296" t="str">
        <f t="shared" si="210"/>
        <v/>
      </c>
      <c r="AC921" s="295" t="str">
        <f>IF('Donor Sample'!R938="","",'Donor Sample'!R938)</f>
        <v/>
      </c>
      <c r="AD921" s="294" t="str">
        <f>IF('Donor Sample'!S938="","",'Donor Sample'!S938/100)</f>
        <v/>
      </c>
      <c r="AE921" s="407" t="e">
        <f t="shared" si="220"/>
        <v>#VALUE!</v>
      </c>
      <c r="AF921" s="293" t="str">
        <f t="shared" si="221"/>
        <v/>
      </c>
      <c r="AG921" s="292" t="str">
        <f>IF('Donor Sample'!T938="","",'Donor Sample'!T938)</f>
        <v/>
      </c>
      <c r="AH921" s="891">
        <f t="shared" si="222"/>
        <v>2</v>
      </c>
      <c r="AI921" s="1220">
        <v>0.3135644793510437</v>
      </c>
      <c r="AJ921" s="1216"/>
    </row>
    <row r="922" spans="5:36">
      <c r="E922" s="299">
        <v>914</v>
      </c>
      <c r="F922" s="308">
        <f t="shared" ca="1" si="211"/>
        <v>3365.6320116139427</v>
      </c>
      <c r="G922" s="307">
        <f t="shared" ca="1" si="212"/>
        <v>174.70731267790211</v>
      </c>
      <c r="H922" s="306">
        <f t="shared" ca="1" si="213"/>
        <v>0.43970213357330457</v>
      </c>
      <c r="I922" s="305">
        <f t="shared" ca="1" si="215"/>
        <v>109.50240897862531</v>
      </c>
      <c r="J922" s="305">
        <f t="shared" ca="1" si="216"/>
        <v>57.832780494381687</v>
      </c>
      <c r="K922" s="292">
        <f t="shared" ca="1" si="214"/>
        <v>15.323459102659172</v>
      </c>
      <c r="L922" s="1290">
        <f t="shared" ca="1" si="217"/>
        <v>23.04879296161582</v>
      </c>
      <c r="M922" s="299">
        <v>914</v>
      </c>
      <c r="N922" s="304">
        <f t="shared" si="218"/>
        <v>3498.1787809735497</v>
      </c>
      <c r="O922" s="303">
        <v>290.43950901058071</v>
      </c>
      <c r="P922" s="302">
        <v>0.47948331818235429</v>
      </c>
      <c r="Q922" s="301">
        <v>139.29888480796853</v>
      </c>
      <c r="R922" s="301">
        <v>52.307385243616977</v>
      </c>
      <c r="S922" s="300">
        <v>2.4514813203882788</v>
      </c>
      <c r="T922" s="891">
        <f t="shared" si="219"/>
        <v>64</v>
      </c>
      <c r="U922" s="1220">
        <v>0.65756142139434814</v>
      </c>
      <c r="W922" s="299">
        <v>914</v>
      </c>
      <c r="X922" s="298">
        <f>IF('Donor Sample'!N939="",,IF('Donor Sample'!N939="F",1,0))</f>
        <v>0</v>
      </c>
      <c r="Y922" s="298" t="str">
        <f>IF('Donor Sample'!O939="","",'Donor Sample'!O939)</f>
        <v/>
      </c>
      <c r="Z922" s="298" t="str">
        <f>IF(AND('Donor Sample'!O939="",'Donor Sample'!P939="",'Donor Sample'!Q939=""),"",IF('Donor Sample'!P939="",ROUND(AA922/($C$32+($AI922-0.5)*$C$31),0),'Donor Sample'!P939))</f>
        <v/>
      </c>
      <c r="AA922" s="297" t="str">
        <f>IF('Donor Sample'!Q939="","",'Donor Sample'!Q939)</f>
        <v/>
      </c>
      <c r="AB922" s="296" t="str">
        <f t="shared" si="210"/>
        <v/>
      </c>
      <c r="AC922" s="295" t="str">
        <f>IF('Donor Sample'!R939="","",'Donor Sample'!R939)</f>
        <v/>
      </c>
      <c r="AD922" s="294" t="str">
        <f>IF('Donor Sample'!S939="","",'Donor Sample'!S939/100)</f>
        <v/>
      </c>
      <c r="AE922" s="293" t="e">
        <f t="shared" si="220"/>
        <v>#VALUE!</v>
      </c>
      <c r="AF922" s="293" t="str">
        <f t="shared" si="221"/>
        <v/>
      </c>
      <c r="AG922" s="292" t="str">
        <f>IF('Donor Sample'!T939="","",'Donor Sample'!T939)</f>
        <v/>
      </c>
      <c r="AH922" s="891">
        <f t="shared" si="222"/>
        <v>2</v>
      </c>
      <c r="AI922" s="1220">
        <v>6.8748116493225098E-2</v>
      </c>
      <c r="AJ922" s="1216"/>
    </row>
    <row r="923" spans="5:36">
      <c r="E923" s="299">
        <v>915</v>
      </c>
      <c r="F923" s="308">
        <f t="shared" ca="1" si="211"/>
        <v>3777.8873354990346</v>
      </c>
      <c r="G923" s="307">
        <f t="shared" ca="1" si="212"/>
        <v>258.66108146652169</v>
      </c>
      <c r="H923" s="306">
        <f t="shared" ca="1" si="213"/>
        <v>0.38136313283154399</v>
      </c>
      <c r="I923" s="305">
        <f t="shared" ca="1" si="215"/>
        <v>117.71282540662911</v>
      </c>
      <c r="J923" s="305">
        <f t="shared" ca="1" si="216"/>
        <v>67.931787874319426</v>
      </c>
      <c r="K923" s="292">
        <f t="shared" ca="1" si="214"/>
        <v>4.9194614914742791</v>
      </c>
      <c r="L923" s="1290">
        <f t="shared" ca="1" si="217"/>
        <v>17.957685178744494</v>
      </c>
      <c r="M923" s="299">
        <v>915</v>
      </c>
      <c r="N923" s="304">
        <f t="shared" si="218"/>
        <v>3160.9091585963488</v>
      </c>
      <c r="O923" s="303">
        <v>217.39073855296328</v>
      </c>
      <c r="P923" s="302">
        <v>0.43235869605521032</v>
      </c>
      <c r="Q923" s="301">
        <v>106.92167841083952</v>
      </c>
      <c r="R923" s="301">
        <v>61.752916320062198</v>
      </c>
      <c r="S923" s="300">
        <v>4.3996122682422776</v>
      </c>
      <c r="T923" s="891">
        <f t="shared" si="219"/>
        <v>32</v>
      </c>
      <c r="U923" s="1220">
        <v>0.78474313020706177</v>
      </c>
      <c r="W923" s="299">
        <v>915</v>
      </c>
      <c r="X923" s="298">
        <f>IF('Donor Sample'!N940="",,IF('Donor Sample'!N940="F",1,0))</f>
        <v>0</v>
      </c>
      <c r="Y923" s="298" t="str">
        <f>IF('Donor Sample'!O940="","",'Donor Sample'!O940)</f>
        <v/>
      </c>
      <c r="Z923" s="298" t="str">
        <f>IF(AND('Donor Sample'!O940="",'Donor Sample'!P940="",'Donor Sample'!Q940=""),"",IF('Donor Sample'!P940="",ROUND(AA923/($C$32+($AI923-0.5)*$C$31),0),'Donor Sample'!P940))</f>
        <v/>
      </c>
      <c r="AA923" s="297" t="str">
        <f>IF('Donor Sample'!Q940="","",'Donor Sample'!Q940)</f>
        <v/>
      </c>
      <c r="AB923" s="296" t="str">
        <f t="shared" si="210"/>
        <v/>
      </c>
      <c r="AC923" s="295" t="str">
        <f>IF('Donor Sample'!R940="","",'Donor Sample'!R940)</f>
        <v/>
      </c>
      <c r="AD923" s="294" t="str">
        <f>IF('Donor Sample'!S940="","",'Donor Sample'!S940/100)</f>
        <v/>
      </c>
      <c r="AE923" s="293" t="e">
        <f t="shared" si="220"/>
        <v>#VALUE!</v>
      </c>
      <c r="AF923" s="293" t="str">
        <f t="shared" si="221"/>
        <v/>
      </c>
      <c r="AG923" s="292" t="str">
        <f>IF('Donor Sample'!T940="","",'Donor Sample'!T940)</f>
        <v/>
      </c>
      <c r="AH923" s="891">
        <f t="shared" si="222"/>
        <v>256</v>
      </c>
      <c r="AI923" s="1220">
        <v>0.89542132616043091</v>
      </c>
      <c r="AJ923" s="1216"/>
    </row>
    <row r="924" spans="5:36">
      <c r="E924" s="299">
        <v>916</v>
      </c>
      <c r="F924" s="308">
        <f t="shared" ca="1" si="211"/>
        <v>2939.5106852144418</v>
      </c>
      <c r="G924" s="307">
        <f t="shared" ca="1" si="212"/>
        <v>205.48187688422911</v>
      </c>
      <c r="H924" s="306">
        <f t="shared" ca="1" si="213"/>
        <v>0.40248783453467402</v>
      </c>
      <c r="I924" s="305">
        <f t="shared" ca="1" si="215"/>
        <v>102.17728357621021</v>
      </c>
      <c r="J924" s="305">
        <f t="shared" ca="1" si="216"/>
        <v>51.966905891608825</v>
      </c>
      <c r="K924" s="292">
        <f t="shared" ca="1" si="214"/>
        <v>3.6574246870414808</v>
      </c>
      <c r="L924" s="1290">
        <f t="shared" ca="1" si="217"/>
        <v>26.636262875606871</v>
      </c>
      <c r="M924" s="299">
        <v>916</v>
      </c>
      <c r="N924" s="304">
        <f t="shared" si="218"/>
        <v>3180.2167756069152</v>
      </c>
      <c r="O924" s="303">
        <v>256.51272646702222</v>
      </c>
      <c r="P924" s="302">
        <v>0.3717693310002016</v>
      </c>
      <c r="Q924" s="301">
        <v>107.73798031871546</v>
      </c>
      <c r="R924" s="301">
        <v>55.05485405910833</v>
      </c>
      <c r="S924" s="300">
        <v>2.5344577672702187</v>
      </c>
      <c r="T924" s="891">
        <f t="shared" si="219"/>
        <v>64</v>
      </c>
      <c r="U924" s="1220">
        <v>0.4409787654876709</v>
      </c>
      <c r="W924" s="299">
        <v>916</v>
      </c>
      <c r="X924" s="298">
        <f>IF('Donor Sample'!N941="",,IF('Donor Sample'!N941="F",1,0))</f>
        <v>0</v>
      </c>
      <c r="Y924" s="298" t="str">
        <f>IF('Donor Sample'!O941="","",'Donor Sample'!O941)</f>
        <v/>
      </c>
      <c r="Z924" s="298" t="str">
        <f>IF(AND('Donor Sample'!O941="",'Donor Sample'!P941="",'Donor Sample'!Q941=""),"",IF('Donor Sample'!P941="",ROUND(AA924/($C$32+($AI924-0.5)*$C$31),0),'Donor Sample'!P941))</f>
        <v/>
      </c>
      <c r="AA924" s="297" t="str">
        <f>IF('Donor Sample'!Q941="","",'Donor Sample'!Q941)</f>
        <v/>
      </c>
      <c r="AB924" s="296" t="str">
        <f t="shared" si="210"/>
        <v/>
      </c>
      <c r="AC924" s="295" t="str">
        <f>IF('Donor Sample'!R941="","",'Donor Sample'!R941)</f>
        <v/>
      </c>
      <c r="AD924" s="294" t="str">
        <f>IF('Donor Sample'!S941="","",'Donor Sample'!S941/100)</f>
        <v/>
      </c>
      <c r="AE924" s="407" t="e">
        <f t="shared" si="220"/>
        <v>#VALUE!</v>
      </c>
      <c r="AF924" s="293" t="str">
        <f t="shared" si="221"/>
        <v/>
      </c>
      <c r="AG924" s="292" t="str">
        <f>IF('Donor Sample'!T941="","",'Donor Sample'!T941)</f>
        <v/>
      </c>
      <c r="AH924" s="891">
        <f t="shared" si="222"/>
        <v>64</v>
      </c>
      <c r="AI924" s="1220">
        <v>0.57622933387756348</v>
      </c>
      <c r="AJ924" s="1216"/>
    </row>
    <row r="925" spans="5:36">
      <c r="E925" s="299">
        <v>917</v>
      </c>
      <c r="F925" s="308">
        <f t="shared" ca="1" si="211"/>
        <v>3562.4015140512083</v>
      </c>
      <c r="G925" s="307">
        <f t="shared" ca="1" si="212"/>
        <v>246.51309331474712</v>
      </c>
      <c r="H925" s="306">
        <f t="shared" ca="1" si="213"/>
        <v>0.39417892123173615</v>
      </c>
      <c r="I925" s="305">
        <f t="shared" ca="1" si="215"/>
        <v>118.60712712824572</v>
      </c>
      <c r="J925" s="305">
        <f t="shared" ca="1" si="216"/>
        <v>58.872283986595257</v>
      </c>
      <c r="K925" s="292">
        <f t="shared" ca="1" si="214"/>
        <v>6.1695503647857652</v>
      </c>
      <c r="L925" s="1290">
        <f t="shared" ca="1" si="217"/>
        <v>24.091379897843002</v>
      </c>
      <c r="M925" s="299">
        <v>917</v>
      </c>
      <c r="N925" s="304">
        <f t="shared" si="218"/>
        <v>2978.2598299398514</v>
      </c>
      <c r="O925" s="303">
        <v>243.63723829374666</v>
      </c>
      <c r="P925" s="302">
        <v>0.38483807827878941</v>
      </c>
      <c r="Q925" s="301">
        <v>115.53877220516462</v>
      </c>
      <c r="R925" s="301">
        <v>48.535801256343966</v>
      </c>
      <c r="S925" s="300">
        <v>1.5527218161183582</v>
      </c>
      <c r="T925" s="891">
        <f t="shared" si="219"/>
        <v>2</v>
      </c>
      <c r="U925" s="1220">
        <v>4.6429574489593506E-2</v>
      </c>
      <c r="W925" s="299">
        <v>917</v>
      </c>
      <c r="X925" s="298">
        <f>IF('Donor Sample'!N942="",,IF('Donor Sample'!N942="F",1,0))</f>
        <v>0</v>
      </c>
      <c r="Y925" s="298" t="str">
        <f>IF('Donor Sample'!O942="","",'Donor Sample'!O942)</f>
        <v/>
      </c>
      <c r="Z925" s="298" t="str">
        <f>IF(AND('Donor Sample'!O942="",'Donor Sample'!P942="",'Donor Sample'!Q942=""),"",IF('Donor Sample'!P942="",ROUND(AA925/($C$32+($AI925-0.5)*$C$31),0),'Donor Sample'!P942))</f>
        <v/>
      </c>
      <c r="AA925" s="297" t="str">
        <f>IF('Donor Sample'!Q942="","",'Donor Sample'!Q942)</f>
        <v/>
      </c>
      <c r="AB925" s="296" t="str">
        <f t="shared" si="210"/>
        <v/>
      </c>
      <c r="AC925" s="295" t="str">
        <f>IF('Donor Sample'!R942="","",'Donor Sample'!R942)</f>
        <v/>
      </c>
      <c r="AD925" s="294" t="str">
        <f>IF('Donor Sample'!S942="","",'Donor Sample'!S942/100)</f>
        <v/>
      </c>
      <c r="AE925" s="293" t="e">
        <f t="shared" si="220"/>
        <v>#VALUE!</v>
      </c>
      <c r="AF925" s="293" t="str">
        <f t="shared" si="221"/>
        <v/>
      </c>
      <c r="AG925" s="292" t="str">
        <f>IF('Donor Sample'!T942="","",'Donor Sample'!T942)</f>
        <v/>
      </c>
      <c r="AH925" s="891">
        <f t="shared" si="222"/>
        <v>64</v>
      </c>
      <c r="AI925" s="1220">
        <v>0.73882240056991577</v>
      </c>
      <c r="AJ925" s="1216"/>
    </row>
    <row r="926" spans="5:36">
      <c r="E926" s="299">
        <v>918</v>
      </c>
      <c r="F926" s="308">
        <f t="shared" ca="1" si="211"/>
        <v>3470.1814534694026</v>
      </c>
      <c r="G926" s="307">
        <f t="shared" ca="1" si="212"/>
        <v>266.5440037567252</v>
      </c>
      <c r="H926" s="306">
        <f t="shared" ca="1" si="213"/>
        <v>0.43061029850984034</v>
      </c>
      <c r="I926" s="305">
        <f t="shared" ca="1" si="215"/>
        <v>122.95540049839364</v>
      </c>
      <c r="J926" s="305">
        <f t="shared" ca="1" si="216"/>
        <v>56.267969090381079</v>
      </c>
      <c r="K926" s="292">
        <f t="shared" ca="1" si="214"/>
        <v>1.8994598278964205</v>
      </c>
      <c r="L926" s="1290">
        <f t="shared" ca="1" si="217"/>
        <v>27.339954500064305</v>
      </c>
      <c r="M926" s="299">
        <v>918</v>
      </c>
      <c r="N926" s="304">
        <f t="shared" si="218"/>
        <v>2779.7242119533821</v>
      </c>
      <c r="O926" s="303">
        <v>223.79527364565647</v>
      </c>
      <c r="P926" s="302">
        <v>0.35990055086003431</v>
      </c>
      <c r="Q926" s="301">
        <v>113.64915005875287</v>
      </c>
      <c r="R926" s="301">
        <v>44.123385013425185</v>
      </c>
      <c r="S926" s="300">
        <v>1.4395940533007761</v>
      </c>
      <c r="T926" s="891">
        <f t="shared" si="219"/>
        <v>64</v>
      </c>
      <c r="U926" s="1220">
        <v>0.44510400295257568</v>
      </c>
      <c r="W926" s="299">
        <v>918</v>
      </c>
      <c r="X926" s="298">
        <f>IF('Donor Sample'!N943="",,IF('Donor Sample'!N943="F",1,0))</f>
        <v>0</v>
      </c>
      <c r="Y926" s="298" t="str">
        <f>IF('Donor Sample'!O943="","",'Donor Sample'!O943)</f>
        <v/>
      </c>
      <c r="Z926" s="298" t="str">
        <f>IF(AND('Donor Sample'!O943="",'Donor Sample'!P943="",'Donor Sample'!Q943=""),"",IF('Donor Sample'!P943="",ROUND(AA926/($C$32+($AI926-0.5)*$C$31),0),'Donor Sample'!P943))</f>
        <v/>
      </c>
      <c r="AA926" s="297" t="str">
        <f>IF('Donor Sample'!Q943="","",'Donor Sample'!Q943)</f>
        <v/>
      </c>
      <c r="AB926" s="296" t="str">
        <f t="shared" si="210"/>
        <v/>
      </c>
      <c r="AC926" s="295" t="str">
        <f>IF('Donor Sample'!R943="","",'Donor Sample'!R943)</f>
        <v/>
      </c>
      <c r="AD926" s="294" t="str">
        <f>IF('Donor Sample'!S943="","",'Donor Sample'!S943/100)</f>
        <v/>
      </c>
      <c r="AE926" s="293" t="e">
        <f t="shared" si="220"/>
        <v>#VALUE!</v>
      </c>
      <c r="AF926" s="293" t="str">
        <f t="shared" si="221"/>
        <v/>
      </c>
      <c r="AG926" s="292" t="str">
        <f>IF('Donor Sample'!T943="","",'Donor Sample'!T943)</f>
        <v/>
      </c>
      <c r="AH926" s="891">
        <f t="shared" si="222"/>
        <v>64</v>
      </c>
      <c r="AI926" s="1220">
        <v>0.57349193096160889</v>
      </c>
      <c r="AJ926" s="1216"/>
    </row>
    <row r="927" spans="5:36">
      <c r="E927" s="299">
        <v>919</v>
      </c>
      <c r="F927" s="308">
        <f t="shared" ca="1" si="211"/>
        <v>3701.0877610830617</v>
      </c>
      <c r="G927" s="307">
        <f t="shared" ca="1" si="212"/>
        <v>260.28836640670005</v>
      </c>
      <c r="H927" s="306">
        <f t="shared" ca="1" si="213"/>
        <v>0.39902875757273798</v>
      </c>
      <c r="I927" s="305">
        <f t="shared" ca="1" si="215"/>
        <v>134.2093519633471</v>
      </c>
      <c r="J927" s="305">
        <f t="shared" ca="1" si="216"/>
        <v>57.410876448647798</v>
      </c>
      <c r="K927" s="292">
        <f t="shared" ca="1" si="214"/>
        <v>1.3620307154438696</v>
      </c>
      <c r="L927" s="1290">
        <f t="shared" ca="1" si="217"/>
        <v>28.665999209983351</v>
      </c>
      <c r="M927" s="299">
        <v>919</v>
      </c>
      <c r="N927" s="304">
        <f t="shared" si="218"/>
        <v>3154.6227489681514</v>
      </c>
      <c r="O927" s="303">
        <v>202.78489854243813</v>
      </c>
      <c r="P927" s="302">
        <v>0.44817483135193997</v>
      </c>
      <c r="Q927" s="301">
        <v>112.67798841484012</v>
      </c>
      <c r="R927" s="301">
        <v>53.205968136041648</v>
      </c>
      <c r="S927" s="300">
        <v>2.8464901305166683</v>
      </c>
      <c r="T927" s="891">
        <f t="shared" si="219"/>
        <v>32</v>
      </c>
      <c r="U927" s="1220">
        <v>0.79150015115737915</v>
      </c>
      <c r="W927" s="299">
        <v>919</v>
      </c>
      <c r="X927" s="298">
        <f>IF('Donor Sample'!N944="",,IF('Donor Sample'!N944="F",1,0))</f>
        <v>0</v>
      </c>
      <c r="Y927" s="298" t="str">
        <f>IF('Donor Sample'!O944="","",'Donor Sample'!O944)</f>
        <v/>
      </c>
      <c r="Z927" s="298" t="str">
        <f>IF(AND('Donor Sample'!O944="",'Donor Sample'!P944="",'Donor Sample'!Q944=""),"",IF('Donor Sample'!P944="",ROUND(AA927/($C$32+($AI927-0.5)*$C$31),0),'Donor Sample'!P944))</f>
        <v/>
      </c>
      <c r="AA927" s="297" t="str">
        <f>IF('Donor Sample'!Q944="","",'Donor Sample'!Q944)</f>
        <v/>
      </c>
      <c r="AB927" s="296" t="str">
        <f t="shared" si="210"/>
        <v/>
      </c>
      <c r="AC927" s="295" t="str">
        <f>IF('Donor Sample'!R944="","",'Donor Sample'!R944)</f>
        <v/>
      </c>
      <c r="AD927" s="294" t="str">
        <f>IF('Donor Sample'!S944="","",'Donor Sample'!S944/100)</f>
        <v/>
      </c>
      <c r="AE927" s="407" t="e">
        <f t="shared" si="220"/>
        <v>#VALUE!</v>
      </c>
      <c r="AF927" s="293" t="str">
        <f t="shared" si="221"/>
        <v/>
      </c>
      <c r="AG927" s="292" t="str">
        <f>IF('Donor Sample'!T944="","",'Donor Sample'!T944)</f>
        <v/>
      </c>
      <c r="AH927" s="891">
        <f t="shared" si="222"/>
        <v>2</v>
      </c>
      <c r="AI927" s="1220">
        <v>0.28963714838027954</v>
      </c>
      <c r="AJ927" s="1216"/>
    </row>
    <row r="928" spans="5:36">
      <c r="E928" s="299">
        <v>920</v>
      </c>
      <c r="F928" s="308">
        <f t="shared" ca="1" si="211"/>
        <v>3610.9510070047468</v>
      </c>
      <c r="G928" s="307">
        <f t="shared" ca="1" si="212"/>
        <v>252.34614634127112</v>
      </c>
      <c r="H928" s="306">
        <f t="shared" ca="1" si="213"/>
        <v>0.41694192110800593</v>
      </c>
      <c r="I928" s="305">
        <f t="shared" ca="1" si="215"/>
        <v>118.40454303678935</v>
      </c>
      <c r="J928" s="305">
        <f t="shared" ca="1" si="216"/>
        <v>65.661801767498432</v>
      </c>
      <c r="K928" s="292">
        <f t="shared" ca="1" si="214"/>
        <v>3.688751197811325</v>
      </c>
      <c r="L928" s="1290">
        <f t="shared" ca="1" si="217"/>
        <v>19.333720411876854</v>
      </c>
      <c r="M928" s="299">
        <v>920</v>
      </c>
      <c r="N928" s="304">
        <f t="shared" si="218"/>
        <v>2933.3339167424656</v>
      </c>
      <c r="O928" s="303">
        <v>216.75248255390619</v>
      </c>
      <c r="P928" s="302">
        <v>0.42329063601609951</v>
      </c>
      <c r="Q928" s="301">
        <v>106.27593774830063</v>
      </c>
      <c r="R928" s="301">
        <v>58.299306700795334</v>
      </c>
      <c r="S928" s="300">
        <v>7.6064945882470791</v>
      </c>
      <c r="T928" s="891">
        <f t="shared" si="219"/>
        <v>64</v>
      </c>
      <c r="U928" s="1220">
        <v>0.56255340576171875</v>
      </c>
      <c r="W928" s="299">
        <v>920</v>
      </c>
      <c r="X928" s="298">
        <f>IF('Donor Sample'!N945="",,IF('Donor Sample'!N945="F",1,0))</f>
        <v>0</v>
      </c>
      <c r="Y928" s="298" t="str">
        <f>IF('Donor Sample'!O945="","",'Donor Sample'!O945)</f>
        <v/>
      </c>
      <c r="Z928" s="298" t="str">
        <f>IF(AND('Donor Sample'!O945="",'Donor Sample'!P945="",'Donor Sample'!Q945=""),"",IF('Donor Sample'!P945="",ROUND(AA928/($C$32+($AI928-0.5)*$C$31),0),'Donor Sample'!P945))</f>
        <v/>
      </c>
      <c r="AA928" s="297" t="str">
        <f>IF('Donor Sample'!Q945="","",'Donor Sample'!Q945)</f>
        <v/>
      </c>
      <c r="AB928" s="296" t="str">
        <f t="shared" si="210"/>
        <v/>
      </c>
      <c r="AC928" s="295" t="str">
        <f>IF('Donor Sample'!R945="","",'Donor Sample'!R945)</f>
        <v/>
      </c>
      <c r="AD928" s="294" t="str">
        <f>IF('Donor Sample'!S945="","",'Donor Sample'!S945/100)</f>
        <v/>
      </c>
      <c r="AE928" s="293" t="e">
        <f t="shared" si="220"/>
        <v>#VALUE!</v>
      </c>
      <c r="AF928" s="293" t="str">
        <f t="shared" si="221"/>
        <v/>
      </c>
      <c r="AG928" s="292" t="str">
        <f>IF('Donor Sample'!T945="","",'Donor Sample'!T945)</f>
        <v/>
      </c>
      <c r="AH928" s="891">
        <f t="shared" si="222"/>
        <v>256</v>
      </c>
      <c r="AI928" s="1220">
        <v>0.91824007034301758</v>
      </c>
      <c r="AJ928" s="1216"/>
    </row>
    <row r="929" spans="5:36">
      <c r="E929" s="299">
        <v>921</v>
      </c>
      <c r="F929" s="308">
        <f t="shared" ca="1" si="211"/>
        <v>2748.8431762883497</v>
      </c>
      <c r="G929" s="307">
        <f t="shared" ca="1" si="212"/>
        <v>241.54875935638367</v>
      </c>
      <c r="H929" s="306">
        <f t="shared" ca="1" si="213"/>
        <v>0.47630070146419162</v>
      </c>
      <c r="I929" s="305">
        <f t="shared" ca="1" si="215"/>
        <v>115.40023679388406</v>
      </c>
      <c r="J929" s="305">
        <f t="shared" ca="1" si="216"/>
        <v>42.453437848377668</v>
      </c>
      <c r="K929" s="292">
        <f t="shared" ca="1" si="214"/>
        <v>1.3309438325192269</v>
      </c>
      <c r="L929" s="1290">
        <f t="shared" ca="1" si="217"/>
        <v>45.076857239562564</v>
      </c>
      <c r="M929" s="299">
        <v>921</v>
      </c>
      <c r="N929" s="304">
        <f t="shared" si="218"/>
        <v>3792.3608952035715</v>
      </c>
      <c r="O929" s="303">
        <v>270.91368730638141</v>
      </c>
      <c r="P929" s="302">
        <v>0.43818078891976198</v>
      </c>
      <c r="Q929" s="301">
        <v>151.3020354145149</v>
      </c>
      <c r="R929" s="301">
        <v>54.61431523229102</v>
      </c>
      <c r="S929" s="300">
        <v>1.531440475656241</v>
      </c>
      <c r="T929" s="891">
        <f t="shared" si="219"/>
        <v>64</v>
      </c>
      <c r="U929" s="1220">
        <v>0.50616854429244995</v>
      </c>
      <c r="W929" s="299">
        <v>921</v>
      </c>
      <c r="X929" s="298">
        <f>IF('Donor Sample'!N946="",,IF('Donor Sample'!N946="F",1,0))</f>
        <v>0</v>
      </c>
      <c r="Y929" s="298" t="str">
        <f>IF('Donor Sample'!O946="","",'Donor Sample'!O946)</f>
        <v/>
      </c>
      <c r="Z929" s="298" t="str">
        <f>IF(AND('Donor Sample'!O946="",'Donor Sample'!P946="",'Donor Sample'!Q946=""),"",IF('Donor Sample'!P946="",ROUND(AA929/($C$32+($AI929-0.5)*$C$31),0),'Donor Sample'!P946))</f>
        <v/>
      </c>
      <c r="AA929" s="297" t="str">
        <f>IF('Donor Sample'!Q946="","",'Donor Sample'!Q946)</f>
        <v/>
      </c>
      <c r="AB929" s="296" t="str">
        <f t="shared" si="210"/>
        <v/>
      </c>
      <c r="AC929" s="295" t="str">
        <f>IF('Donor Sample'!R946="","",'Donor Sample'!R946)</f>
        <v/>
      </c>
      <c r="AD929" s="294" t="str">
        <f>IF('Donor Sample'!S946="","",'Donor Sample'!S946/100)</f>
        <v/>
      </c>
      <c r="AE929" s="293" t="e">
        <f t="shared" si="220"/>
        <v>#VALUE!</v>
      </c>
      <c r="AF929" s="293" t="str">
        <f t="shared" si="221"/>
        <v/>
      </c>
      <c r="AG929" s="292" t="str">
        <f>IF('Donor Sample'!T946="","",'Donor Sample'!T946)</f>
        <v/>
      </c>
      <c r="AH929" s="891">
        <f t="shared" si="222"/>
        <v>4</v>
      </c>
      <c r="AI929" s="1220">
        <v>0.38881558179855347</v>
      </c>
      <c r="AJ929" s="1216"/>
    </row>
    <row r="930" spans="5:36">
      <c r="E930" s="299">
        <v>922</v>
      </c>
      <c r="F930" s="308">
        <f t="shared" ca="1" si="211"/>
        <v>3398.3158338762296</v>
      </c>
      <c r="G930" s="307">
        <f t="shared" ca="1" si="212"/>
        <v>233.40217053015601</v>
      </c>
      <c r="H930" s="306">
        <f t="shared" ca="1" si="213"/>
        <v>0.40772919768878491</v>
      </c>
      <c r="I930" s="305">
        <f t="shared" ca="1" si="215"/>
        <v>119.62069011638899</v>
      </c>
      <c r="J930" s="305">
        <f t="shared" ca="1" si="216"/>
        <v>62.447966027398977</v>
      </c>
      <c r="K930" s="292">
        <f t="shared" ca="1" si="214"/>
        <v>1.4246585882473299</v>
      </c>
      <c r="L930" s="1290">
        <f t="shared" ca="1" si="217"/>
        <v>21.594460946649093</v>
      </c>
      <c r="M930" s="299">
        <v>922</v>
      </c>
      <c r="N930" s="304">
        <f t="shared" si="218"/>
        <v>2897.9213658095509</v>
      </c>
      <c r="O930" s="303">
        <v>280.18383685203793</v>
      </c>
      <c r="P930" s="302">
        <v>0.39890053140173332</v>
      </c>
      <c r="Q930" s="301">
        <v>110.81997586578214</v>
      </c>
      <c r="R930" s="301">
        <v>56.503735028528538</v>
      </c>
      <c r="S930" s="300">
        <v>1.7165638190678996</v>
      </c>
      <c r="T930" s="891">
        <f t="shared" si="219"/>
        <v>256</v>
      </c>
      <c r="U930" s="1220">
        <v>0.84249842166900635</v>
      </c>
      <c r="W930" s="299">
        <v>922</v>
      </c>
      <c r="X930" s="298">
        <f>IF('Donor Sample'!N947="",,IF('Donor Sample'!N947="F",1,0))</f>
        <v>0</v>
      </c>
      <c r="Y930" s="298" t="str">
        <f>IF('Donor Sample'!O947="","",'Donor Sample'!O947)</f>
        <v/>
      </c>
      <c r="Z930" s="298" t="str">
        <f>IF(AND('Donor Sample'!O947="",'Donor Sample'!P947="",'Donor Sample'!Q947=""),"",IF('Donor Sample'!P947="",ROUND(AA930/($C$32+($AI930-0.5)*$C$31),0),'Donor Sample'!P947))</f>
        <v/>
      </c>
      <c r="AA930" s="297" t="str">
        <f>IF('Donor Sample'!Q947="","",'Donor Sample'!Q947)</f>
        <v/>
      </c>
      <c r="AB930" s="296" t="str">
        <f t="shared" si="210"/>
        <v/>
      </c>
      <c r="AC930" s="295" t="str">
        <f>IF('Donor Sample'!R947="","",'Donor Sample'!R947)</f>
        <v/>
      </c>
      <c r="AD930" s="294" t="str">
        <f>IF('Donor Sample'!S947="","",'Donor Sample'!S947/100)</f>
        <v/>
      </c>
      <c r="AE930" s="407" t="e">
        <f t="shared" si="220"/>
        <v>#VALUE!</v>
      </c>
      <c r="AF930" s="293" t="str">
        <f t="shared" si="221"/>
        <v/>
      </c>
      <c r="AG930" s="292" t="str">
        <f>IF('Donor Sample'!T947="","",'Donor Sample'!T947)</f>
        <v/>
      </c>
      <c r="AH930" s="891">
        <f t="shared" si="222"/>
        <v>256</v>
      </c>
      <c r="AI930" s="1220">
        <v>0.8454362154006958</v>
      </c>
      <c r="AJ930" s="1216"/>
    </row>
    <row r="931" spans="5:36">
      <c r="E931" s="299">
        <v>923</v>
      </c>
      <c r="F931" s="308">
        <f t="shared" ca="1" si="211"/>
        <v>3236.4669254408841</v>
      </c>
      <c r="G931" s="307">
        <f t="shared" ca="1" si="212"/>
        <v>231.45316169323974</v>
      </c>
      <c r="H931" s="306">
        <f t="shared" ca="1" si="213"/>
        <v>0.39063596282913615</v>
      </c>
      <c r="I931" s="305">
        <f t="shared" ca="1" si="215"/>
        <v>121.06931040696794</v>
      </c>
      <c r="J931" s="305">
        <f t="shared" ca="1" si="216"/>
        <v>52.397203458965407</v>
      </c>
      <c r="K931" s="292">
        <f t="shared" ca="1" si="214"/>
        <v>1.6841675975477939</v>
      </c>
      <c r="L931" s="1290">
        <f t="shared" ca="1" si="217"/>
        <v>31.044917564009538</v>
      </c>
      <c r="M931" s="299">
        <v>923</v>
      </c>
      <c r="N931" s="304">
        <f t="shared" si="218"/>
        <v>2893.765047085305</v>
      </c>
      <c r="O931" s="303">
        <v>266.54816212304991</v>
      </c>
      <c r="P931" s="302">
        <v>0.40937270152778665</v>
      </c>
      <c r="Q931" s="301">
        <v>111.33877733474361</v>
      </c>
      <c r="R931" s="301">
        <v>47.984107194453337</v>
      </c>
      <c r="S931" s="300">
        <v>1.8746645843241649</v>
      </c>
      <c r="T931" s="891">
        <f t="shared" si="219"/>
        <v>64</v>
      </c>
      <c r="U931" s="1220">
        <v>0.51948291063308716</v>
      </c>
      <c r="W931" s="299">
        <v>923</v>
      </c>
      <c r="X931" s="298">
        <f>IF('Donor Sample'!N948="",,IF('Donor Sample'!N948="F",1,0))</f>
        <v>0</v>
      </c>
      <c r="Y931" s="298" t="str">
        <f>IF('Donor Sample'!O948="","",'Donor Sample'!O948)</f>
        <v/>
      </c>
      <c r="Z931" s="298" t="str">
        <f>IF(AND('Donor Sample'!O948="",'Donor Sample'!P948="",'Donor Sample'!Q948=""),"",IF('Donor Sample'!P948="",ROUND(AA931/($C$32+($AI931-0.5)*$C$31),0),'Donor Sample'!P948))</f>
        <v/>
      </c>
      <c r="AA931" s="297" t="str">
        <f>IF('Donor Sample'!Q948="","",'Donor Sample'!Q948)</f>
        <v/>
      </c>
      <c r="AB931" s="296" t="str">
        <f t="shared" si="210"/>
        <v/>
      </c>
      <c r="AC931" s="295" t="str">
        <f>IF('Donor Sample'!R948="","",'Donor Sample'!R948)</f>
        <v/>
      </c>
      <c r="AD931" s="294" t="str">
        <f>IF('Donor Sample'!S948="","",'Donor Sample'!S948/100)</f>
        <v/>
      </c>
      <c r="AE931" s="293" t="e">
        <f t="shared" si="220"/>
        <v>#VALUE!</v>
      </c>
      <c r="AF931" s="293" t="str">
        <f t="shared" si="221"/>
        <v/>
      </c>
      <c r="AG931" s="292" t="str">
        <f>IF('Donor Sample'!T948="","",'Donor Sample'!T948)</f>
        <v/>
      </c>
      <c r="AH931" s="891">
        <f t="shared" si="222"/>
        <v>2</v>
      </c>
      <c r="AI931" s="1220">
        <v>5.8032810688018799E-2</v>
      </c>
      <c r="AJ931" s="1216"/>
    </row>
    <row r="932" spans="5:36">
      <c r="E932" s="299">
        <v>924</v>
      </c>
      <c r="F932" s="308">
        <f t="shared" ca="1" si="211"/>
        <v>3364.8830911427158</v>
      </c>
      <c r="G932" s="307">
        <f t="shared" ca="1" si="212"/>
        <v>188.619014092822</v>
      </c>
      <c r="H932" s="306">
        <f t="shared" ca="1" si="213"/>
        <v>0.42482002048736339</v>
      </c>
      <c r="I932" s="305">
        <f t="shared" ca="1" si="215"/>
        <v>122.13846093960629</v>
      </c>
      <c r="J932" s="305">
        <f t="shared" ca="1" si="216"/>
        <v>54.582889535912656</v>
      </c>
      <c r="K932" s="292">
        <f t="shared" ca="1" si="214"/>
        <v>2.4285714259157185</v>
      </c>
      <c r="L932" s="1290">
        <f t="shared" ca="1" si="217"/>
        <v>28.861045310521199</v>
      </c>
      <c r="M932" s="299">
        <v>924</v>
      </c>
      <c r="N932" s="304">
        <f t="shared" si="218"/>
        <v>2748.7427812932656</v>
      </c>
      <c r="O932" s="303">
        <v>273.295466663811</v>
      </c>
      <c r="P932" s="302">
        <v>0.38025473571492518</v>
      </c>
      <c r="Q932" s="301">
        <v>103.28860590705634</v>
      </c>
      <c r="R932" s="301">
        <v>47.312792690818512</v>
      </c>
      <c r="S932" s="300">
        <v>1.5603949799617636</v>
      </c>
      <c r="T932" s="891">
        <f t="shared" si="219"/>
        <v>256</v>
      </c>
      <c r="U932" s="1220">
        <v>0.86810708045959473</v>
      </c>
      <c r="W932" s="299">
        <v>924</v>
      </c>
      <c r="X932" s="298">
        <f>IF('Donor Sample'!N949="",,IF('Donor Sample'!N949="F",1,0))</f>
        <v>0</v>
      </c>
      <c r="Y932" s="298" t="str">
        <f>IF('Donor Sample'!O949="","",'Donor Sample'!O949)</f>
        <v/>
      </c>
      <c r="Z932" s="298" t="str">
        <f>IF(AND('Donor Sample'!O949="",'Donor Sample'!P949="",'Donor Sample'!Q949=""),"",IF('Donor Sample'!P949="",ROUND(AA932/($C$32+($AI932-0.5)*$C$31),0),'Donor Sample'!P949))</f>
        <v/>
      </c>
      <c r="AA932" s="297" t="str">
        <f>IF('Donor Sample'!Q949="","",'Donor Sample'!Q949)</f>
        <v/>
      </c>
      <c r="AB932" s="296" t="str">
        <f t="shared" si="210"/>
        <v/>
      </c>
      <c r="AC932" s="295" t="str">
        <f>IF('Donor Sample'!R949="","",'Donor Sample'!R949)</f>
        <v/>
      </c>
      <c r="AD932" s="294" t="str">
        <f>IF('Donor Sample'!S949="","",'Donor Sample'!S949/100)</f>
        <v/>
      </c>
      <c r="AE932" s="293" t="e">
        <f t="shared" si="220"/>
        <v>#VALUE!</v>
      </c>
      <c r="AF932" s="293" t="str">
        <f t="shared" si="221"/>
        <v/>
      </c>
      <c r="AG932" s="292" t="str">
        <f>IF('Donor Sample'!T949="","",'Donor Sample'!T949)</f>
        <v/>
      </c>
      <c r="AH932" s="891">
        <f t="shared" si="222"/>
        <v>2</v>
      </c>
      <c r="AI932" s="1220">
        <v>0.1103675365447998</v>
      </c>
      <c r="AJ932" s="1216"/>
    </row>
    <row r="933" spans="5:36">
      <c r="E933" s="299">
        <v>925</v>
      </c>
      <c r="F933" s="308">
        <f t="shared" ca="1" si="211"/>
        <v>2784.0700063615295</v>
      </c>
      <c r="G933" s="307">
        <f t="shared" ca="1" si="212"/>
        <v>232.61237343185539</v>
      </c>
      <c r="H933" s="306">
        <f t="shared" ca="1" si="213"/>
        <v>0.4186193469859717</v>
      </c>
      <c r="I933" s="305">
        <f t="shared" ca="1" si="215"/>
        <v>89.773335587585748</v>
      </c>
      <c r="J933" s="305">
        <f t="shared" ca="1" si="216"/>
        <v>52.488413038672121</v>
      </c>
      <c r="K933" s="292">
        <f t="shared" ca="1" si="214"/>
        <v>6.8666357249657022</v>
      </c>
      <c r="L933" s="1290">
        <f t="shared" ca="1" si="217"/>
        <v>22.939985367706004</v>
      </c>
      <c r="M933" s="299">
        <v>925</v>
      </c>
      <c r="N933" s="304">
        <f t="shared" si="218"/>
        <v>2502.5075830563137</v>
      </c>
      <c r="O933" s="303">
        <v>224.86231505050026</v>
      </c>
      <c r="P933" s="302">
        <v>0.41110745129173859</v>
      </c>
      <c r="Q933" s="301">
        <v>82.970356389769123</v>
      </c>
      <c r="R933" s="301">
        <v>48.529837029212473</v>
      </c>
      <c r="S933" s="300">
        <v>1.4055554210766195</v>
      </c>
      <c r="T933" s="891">
        <f t="shared" si="219"/>
        <v>4</v>
      </c>
      <c r="U933" s="1220">
        <v>0.37100166082382202</v>
      </c>
      <c r="W933" s="299">
        <v>925</v>
      </c>
      <c r="X933" s="298">
        <f>IF('Donor Sample'!N950="",,IF('Donor Sample'!N950="F",1,0))</f>
        <v>0</v>
      </c>
      <c r="Y933" s="298" t="str">
        <f>IF('Donor Sample'!O950="","",'Donor Sample'!O950)</f>
        <v/>
      </c>
      <c r="Z933" s="298" t="str">
        <f>IF(AND('Donor Sample'!O950="",'Donor Sample'!P950="",'Donor Sample'!Q950=""),"",IF('Donor Sample'!P950="",ROUND(AA933/($C$32+($AI933-0.5)*$C$31),0),'Donor Sample'!P950))</f>
        <v/>
      </c>
      <c r="AA933" s="297" t="str">
        <f>IF('Donor Sample'!Q950="","",'Donor Sample'!Q950)</f>
        <v/>
      </c>
      <c r="AB933" s="296" t="str">
        <f t="shared" si="210"/>
        <v/>
      </c>
      <c r="AC933" s="295" t="str">
        <f>IF('Donor Sample'!R950="","",'Donor Sample'!R950)</f>
        <v/>
      </c>
      <c r="AD933" s="294" t="str">
        <f>IF('Donor Sample'!S950="","",'Donor Sample'!S950/100)</f>
        <v/>
      </c>
      <c r="AE933" s="407" t="e">
        <f t="shared" si="220"/>
        <v>#VALUE!</v>
      </c>
      <c r="AF933" s="293" t="str">
        <f t="shared" si="221"/>
        <v/>
      </c>
      <c r="AG933" s="292" t="str">
        <f>IF('Donor Sample'!T950="","",'Donor Sample'!T950)</f>
        <v/>
      </c>
      <c r="AH933" s="891">
        <f t="shared" si="222"/>
        <v>64</v>
      </c>
      <c r="AI933" s="1220">
        <v>0.57048982381820679</v>
      </c>
      <c r="AJ933" s="1216"/>
    </row>
    <row r="934" spans="5:36">
      <c r="E934" s="299">
        <v>926</v>
      </c>
      <c r="F934" s="308">
        <f t="shared" ca="1" si="211"/>
        <v>3549.0520316893881</v>
      </c>
      <c r="G934" s="307">
        <f t="shared" ca="1" si="212"/>
        <v>239.89125455886003</v>
      </c>
      <c r="H934" s="306">
        <f t="shared" ca="1" si="213"/>
        <v>0.35618286881218453</v>
      </c>
      <c r="I934" s="305">
        <f t="shared" ca="1" si="215"/>
        <v>136.13419864881007</v>
      </c>
      <c r="J934" s="305">
        <f t="shared" ca="1" si="216"/>
        <v>54.204936247151643</v>
      </c>
      <c r="K934" s="292">
        <f t="shared" ca="1" si="214"/>
        <v>1.674852945178515</v>
      </c>
      <c r="L934" s="1290">
        <f t="shared" ca="1" si="217"/>
        <v>32.618367573304198</v>
      </c>
      <c r="M934" s="299">
        <v>926</v>
      </c>
      <c r="N934" s="304">
        <f t="shared" si="218"/>
        <v>2815.1901893835911</v>
      </c>
      <c r="O934" s="303">
        <v>204.60550472442463</v>
      </c>
      <c r="P934" s="302">
        <v>0.40737131803088067</v>
      </c>
      <c r="Q934" s="301">
        <v>95.486178711154778</v>
      </c>
      <c r="R934" s="301">
        <v>51.414307657743933</v>
      </c>
      <c r="S934" s="300">
        <v>1.73614707379693</v>
      </c>
      <c r="T934" s="891">
        <f t="shared" si="219"/>
        <v>2</v>
      </c>
      <c r="U934" s="1220">
        <v>0.15351665019989014</v>
      </c>
      <c r="W934" s="299">
        <v>926</v>
      </c>
      <c r="X934" s="298">
        <f>IF('Donor Sample'!N951="",,IF('Donor Sample'!N951="F",1,0))</f>
        <v>0</v>
      </c>
      <c r="Y934" s="298" t="str">
        <f>IF('Donor Sample'!O951="","",'Donor Sample'!O951)</f>
        <v/>
      </c>
      <c r="Z934" s="298" t="str">
        <f>IF(AND('Donor Sample'!O951="",'Donor Sample'!P951="",'Donor Sample'!Q951=""),"",IF('Donor Sample'!P951="",ROUND(AA934/($C$32+($AI934-0.5)*$C$31),0),'Donor Sample'!P951))</f>
        <v/>
      </c>
      <c r="AA934" s="297" t="str">
        <f>IF('Donor Sample'!Q951="","",'Donor Sample'!Q951)</f>
        <v/>
      </c>
      <c r="AB934" s="296" t="str">
        <f t="shared" si="210"/>
        <v/>
      </c>
      <c r="AC934" s="295" t="str">
        <f>IF('Donor Sample'!R951="","",'Donor Sample'!R951)</f>
        <v/>
      </c>
      <c r="AD934" s="294" t="str">
        <f>IF('Donor Sample'!S951="","",'Donor Sample'!S951/100)</f>
        <v/>
      </c>
      <c r="AE934" s="293" t="e">
        <f t="shared" si="220"/>
        <v>#VALUE!</v>
      </c>
      <c r="AF934" s="293" t="str">
        <f t="shared" si="221"/>
        <v/>
      </c>
      <c r="AG934" s="292" t="str">
        <f>IF('Donor Sample'!T951="","",'Donor Sample'!T951)</f>
        <v/>
      </c>
      <c r="AH934" s="891">
        <f t="shared" si="222"/>
        <v>2</v>
      </c>
      <c r="AI934" s="1220">
        <v>0.27624356746673584</v>
      </c>
      <c r="AJ934" s="1216"/>
    </row>
    <row r="935" spans="5:36">
      <c r="E935" s="299">
        <v>927</v>
      </c>
      <c r="F935" s="308">
        <f t="shared" ca="1" si="211"/>
        <v>2707.7754883595226</v>
      </c>
      <c r="G935" s="307">
        <f t="shared" ca="1" si="212"/>
        <v>278.69623564881101</v>
      </c>
      <c r="H935" s="306">
        <f t="shared" ca="1" si="213"/>
        <v>0.46236267451431451</v>
      </c>
      <c r="I935" s="305">
        <f t="shared" ca="1" si="215"/>
        <v>95.937651982919135</v>
      </c>
      <c r="J935" s="305">
        <f t="shared" ca="1" si="216"/>
        <v>48.902355518658013</v>
      </c>
      <c r="K935" s="292">
        <f t="shared" ca="1" si="214"/>
        <v>11.360484436692946</v>
      </c>
      <c r="L935" s="1290">
        <f t="shared" ca="1" si="217"/>
        <v>28.24243819512273</v>
      </c>
      <c r="M935" s="299">
        <v>927</v>
      </c>
      <c r="N935" s="304">
        <f t="shared" si="218"/>
        <v>3146.1508209638851</v>
      </c>
      <c r="O935" s="303">
        <v>190.29623229869861</v>
      </c>
      <c r="P935" s="302">
        <v>0.42789325266024819</v>
      </c>
      <c r="Q935" s="301">
        <v>107.51446909228468</v>
      </c>
      <c r="R935" s="301">
        <v>54.485534697139677</v>
      </c>
      <c r="S935" s="300">
        <v>3.3690515380095403</v>
      </c>
      <c r="T935" s="891">
        <f t="shared" si="219"/>
        <v>2</v>
      </c>
      <c r="U935" s="1220">
        <v>0.11987549066543579</v>
      </c>
      <c r="W935" s="299">
        <v>927</v>
      </c>
      <c r="X935" s="298">
        <f>IF('Donor Sample'!N952="",,IF('Donor Sample'!N952="F",1,0))</f>
        <v>0</v>
      </c>
      <c r="Y935" s="298" t="str">
        <f>IF('Donor Sample'!O952="","",'Donor Sample'!O952)</f>
        <v/>
      </c>
      <c r="Z935" s="298" t="str">
        <f>IF(AND('Donor Sample'!O952="",'Donor Sample'!P952="",'Donor Sample'!Q952=""),"",IF('Donor Sample'!P952="",ROUND(AA935/($C$32+($AI935-0.5)*$C$31),0),'Donor Sample'!P952))</f>
        <v/>
      </c>
      <c r="AA935" s="297" t="str">
        <f>IF('Donor Sample'!Q952="","",'Donor Sample'!Q952)</f>
        <v/>
      </c>
      <c r="AB935" s="296" t="str">
        <f t="shared" si="210"/>
        <v/>
      </c>
      <c r="AC935" s="295" t="str">
        <f>IF('Donor Sample'!R952="","",'Donor Sample'!R952)</f>
        <v/>
      </c>
      <c r="AD935" s="294" t="str">
        <f>IF('Donor Sample'!S952="","",'Donor Sample'!S952/100)</f>
        <v/>
      </c>
      <c r="AE935" s="293" t="e">
        <f t="shared" si="220"/>
        <v>#VALUE!</v>
      </c>
      <c r="AF935" s="293" t="str">
        <f t="shared" si="221"/>
        <v/>
      </c>
      <c r="AG935" s="292" t="str">
        <f>IF('Donor Sample'!T952="","",'Donor Sample'!T952)</f>
        <v/>
      </c>
      <c r="AH935" s="891">
        <f t="shared" si="222"/>
        <v>2</v>
      </c>
      <c r="AI935" s="1220">
        <v>8.8120520114898682E-2</v>
      </c>
      <c r="AJ935" s="1216"/>
    </row>
    <row r="936" spans="5:36">
      <c r="E936" s="299">
        <v>928</v>
      </c>
      <c r="F936" s="308">
        <f t="shared" ca="1" si="211"/>
        <v>4191.7649427562246</v>
      </c>
      <c r="G936" s="307">
        <f t="shared" ca="1" si="212"/>
        <v>256.00764922550889</v>
      </c>
      <c r="H936" s="306">
        <f t="shared" ca="1" si="213"/>
        <v>0.39004282961468179</v>
      </c>
      <c r="I936" s="305">
        <f t="shared" ca="1" si="215"/>
        <v>147.00704519999002</v>
      </c>
      <c r="J936" s="305">
        <f t="shared" ca="1" si="216"/>
        <v>62.124286945971406</v>
      </c>
      <c r="K936" s="292">
        <f t="shared" ca="1" si="214"/>
        <v>10.01480112579473</v>
      </c>
      <c r="L936" s="1290">
        <f t="shared" ca="1" si="217"/>
        <v>26.815628085550088</v>
      </c>
      <c r="M936" s="299">
        <v>928</v>
      </c>
      <c r="N936" s="304">
        <f t="shared" si="218"/>
        <v>3721.3630514179904</v>
      </c>
      <c r="O936" s="303">
        <v>260.11800395583111</v>
      </c>
      <c r="P936" s="302">
        <v>0.40185852329741217</v>
      </c>
      <c r="Q936" s="301">
        <v>132.97117568927047</v>
      </c>
      <c r="R936" s="301">
        <v>58.048918518160342</v>
      </c>
      <c r="S936" s="300">
        <v>5.1510602381732848</v>
      </c>
      <c r="T936" s="891">
        <f t="shared" si="219"/>
        <v>64</v>
      </c>
      <c r="U936" s="1220">
        <v>0.71658754348754883</v>
      </c>
      <c r="W936" s="299">
        <v>928</v>
      </c>
      <c r="X936" s="298">
        <f>IF('Donor Sample'!N953="",,IF('Donor Sample'!N953="F",1,0))</f>
        <v>0</v>
      </c>
      <c r="Y936" s="298" t="str">
        <f>IF('Donor Sample'!O953="","",'Donor Sample'!O953)</f>
        <v/>
      </c>
      <c r="Z936" s="298" t="str">
        <f>IF(AND('Donor Sample'!O953="",'Donor Sample'!P953="",'Donor Sample'!Q953=""),"",IF('Donor Sample'!P953="",ROUND(AA936/($C$32+($AI936-0.5)*$C$31),0),'Donor Sample'!P953))</f>
        <v/>
      </c>
      <c r="AA936" s="297" t="str">
        <f>IF('Donor Sample'!Q953="","",'Donor Sample'!Q953)</f>
        <v/>
      </c>
      <c r="AB936" s="296" t="str">
        <f t="shared" si="210"/>
        <v/>
      </c>
      <c r="AC936" s="295" t="str">
        <f>IF('Donor Sample'!R953="","",'Donor Sample'!R953)</f>
        <v/>
      </c>
      <c r="AD936" s="294" t="str">
        <f>IF('Donor Sample'!S953="","",'Donor Sample'!S953/100)</f>
        <v/>
      </c>
      <c r="AE936" s="407" t="e">
        <f t="shared" si="220"/>
        <v>#VALUE!</v>
      </c>
      <c r="AF936" s="293" t="str">
        <f t="shared" si="221"/>
        <v/>
      </c>
      <c r="AG936" s="292" t="str">
        <f>IF('Donor Sample'!T953="","",'Donor Sample'!T953)</f>
        <v/>
      </c>
      <c r="AH936" s="891">
        <f t="shared" si="222"/>
        <v>2</v>
      </c>
      <c r="AI936" s="1220">
        <v>0.30257511138916016</v>
      </c>
      <c r="AJ936" s="1216"/>
    </row>
    <row r="937" spans="5:36">
      <c r="E937" s="299">
        <v>929</v>
      </c>
      <c r="F937" s="308">
        <f t="shared" ca="1" si="211"/>
        <v>3125.8810143637111</v>
      </c>
      <c r="G937" s="307">
        <f t="shared" ca="1" si="212"/>
        <v>273.8464140263012</v>
      </c>
      <c r="H937" s="306">
        <f t="shared" ca="1" si="213"/>
        <v>0.41264278752019917</v>
      </c>
      <c r="I937" s="305">
        <f t="shared" ca="1" si="215"/>
        <v>118.88940074718124</v>
      </c>
      <c r="J937" s="305">
        <f t="shared" ca="1" si="216"/>
        <v>50.755778635831291</v>
      </c>
      <c r="K937" s="292">
        <f t="shared" ca="1" si="214"/>
        <v>4.8864185849456456</v>
      </c>
      <c r="L937" s="1290">
        <f t="shared" ca="1" si="217"/>
        <v>32.489633175907016</v>
      </c>
      <c r="M937" s="299">
        <v>929</v>
      </c>
      <c r="N937" s="304">
        <f t="shared" si="218"/>
        <v>3550.79691936172</v>
      </c>
      <c r="O937" s="303">
        <v>257.98784842456928</v>
      </c>
      <c r="P937" s="302">
        <v>0.35195542592409468</v>
      </c>
      <c r="Q937" s="301">
        <v>116.60239915538651</v>
      </c>
      <c r="R937" s="301">
        <v>59.153516000317197</v>
      </c>
      <c r="S937" s="300">
        <v>2.0326027656664323</v>
      </c>
      <c r="T937" s="891">
        <f t="shared" si="219"/>
        <v>2</v>
      </c>
      <c r="U937" s="1220">
        <v>0.12658566236495972</v>
      </c>
      <c r="W937" s="299">
        <v>929</v>
      </c>
      <c r="X937" s="298">
        <f>IF('Donor Sample'!N954="",,IF('Donor Sample'!N954="F",1,0))</f>
        <v>0</v>
      </c>
      <c r="Y937" s="298" t="str">
        <f>IF('Donor Sample'!O954="","",'Donor Sample'!O954)</f>
        <v/>
      </c>
      <c r="Z937" s="298" t="str">
        <f>IF(AND('Donor Sample'!O954="",'Donor Sample'!P954="",'Donor Sample'!Q954=""),"",IF('Donor Sample'!P954="",ROUND(AA937/($C$32+($AI937-0.5)*$C$31),0),'Donor Sample'!P954))</f>
        <v/>
      </c>
      <c r="AA937" s="297" t="str">
        <f>IF('Donor Sample'!Q954="","",'Donor Sample'!Q954)</f>
        <v/>
      </c>
      <c r="AB937" s="296" t="str">
        <f t="shared" si="210"/>
        <v/>
      </c>
      <c r="AC937" s="295" t="str">
        <f>IF('Donor Sample'!R954="","",'Donor Sample'!R954)</f>
        <v/>
      </c>
      <c r="AD937" s="294" t="str">
        <f>IF('Donor Sample'!S954="","",'Donor Sample'!S954/100)</f>
        <v/>
      </c>
      <c r="AE937" s="293" t="e">
        <f t="shared" si="220"/>
        <v>#VALUE!</v>
      </c>
      <c r="AF937" s="293" t="str">
        <f t="shared" si="221"/>
        <v/>
      </c>
      <c r="AG937" s="292" t="str">
        <f>IF('Donor Sample'!T954="","",'Donor Sample'!T954)</f>
        <v/>
      </c>
      <c r="AH937" s="891">
        <f t="shared" si="222"/>
        <v>4</v>
      </c>
      <c r="AI937" s="1220">
        <v>0.39645498991012573</v>
      </c>
      <c r="AJ937" s="1216"/>
    </row>
    <row r="938" spans="5:36">
      <c r="E938" s="299">
        <v>930</v>
      </c>
      <c r="F938" s="308">
        <f t="shared" ca="1" si="211"/>
        <v>3427.7447819817476</v>
      </c>
      <c r="G938" s="307">
        <f t="shared" ca="1" si="212"/>
        <v>174.85507447294137</v>
      </c>
      <c r="H938" s="306">
        <f t="shared" ca="1" si="213"/>
        <v>0.39803843802432548</v>
      </c>
      <c r="I938" s="305">
        <f t="shared" ca="1" si="215"/>
        <v>119.56424580236619</v>
      </c>
      <c r="J938" s="305">
        <f t="shared" ca="1" si="216"/>
        <v>62.888353701372857</v>
      </c>
      <c r="K938" s="292">
        <f t="shared" ca="1" si="214"/>
        <v>1.5926891428524514</v>
      </c>
      <c r="L938" s="1290">
        <f t="shared" ca="1" si="217"/>
        <v>21.283033867567589</v>
      </c>
      <c r="M938" s="299">
        <v>930</v>
      </c>
      <c r="N938" s="304">
        <f t="shared" si="218"/>
        <v>3014.2386686698774</v>
      </c>
      <c r="O938" s="303">
        <v>270.12080536970524</v>
      </c>
      <c r="P938" s="302">
        <v>0.35446218029797605</v>
      </c>
      <c r="Q938" s="301">
        <v>108.33230827107485</v>
      </c>
      <c r="R938" s="301">
        <v>59.128832971228562</v>
      </c>
      <c r="S938" s="300">
        <v>1.8648070812098252</v>
      </c>
      <c r="T938" s="891">
        <f t="shared" si="219"/>
        <v>2</v>
      </c>
      <c r="U938" s="1220">
        <v>0.23368847370147705</v>
      </c>
      <c r="W938" s="299">
        <v>930</v>
      </c>
      <c r="X938" s="298">
        <f>IF('Donor Sample'!N955="",,IF('Donor Sample'!N955="F",1,0))</f>
        <v>0</v>
      </c>
      <c r="Y938" s="298" t="str">
        <f>IF('Donor Sample'!O955="","",'Donor Sample'!O955)</f>
        <v/>
      </c>
      <c r="Z938" s="298" t="str">
        <f>IF(AND('Donor Sample'!O955="",'Donor Sample'!P955="",'Donor Sample'!Q955=""),"",IF('Donor Sample'!P955="",ROUND(AA938/($C$32+($AI938-0.5)*$C$31),0),'Donor Sample'!P955))</f>
        <v/>
      </c>
      <c r="AA938" s="297" t="str">
        <f>IF('Donor Sample'!Q955="","",'Donor Sample'!Q955)</f>
        <v/>
      </c>
      <c r="AB938" s="296" t="str">
        <f t="shared" si="210"/>
        <v/>
      </c>
      <c r="AC938" s="295" t="str">
        <f>IF('Donor Sample'!R955="","",'Donor Sample'!R955)</f>
        <v/>
      </c>
      <c r="AD938" s="294" t="str">
        <f>IF('Donor Sample'!S955="","",'Donor Sample'!S955/100)</f>
        <v/>
      </c>
      <c r="AE938" s="293" t="e">
        <f t="shared" si="220"/>
        <v>#VALUE!</v>
      </c>
      <c r="AF938" s="293" t="str">
        <f t="shared" si="221"/>
        <v/>
      </c>
      <c r="AG938" s="292" t="str">
        <f>IF('Donor Sample'!T955="","",'Donor Sample'!T955)</f>
        <v/>
      </c>
      <c r="AH938" s="891">
        <f t="shared" si="222"/>
        <v>256</v>
      </c>
      <c r="AI938" s="1220">
        <v>0.840584397315979</v>
      </c>
      <c r="AJ938" s="1216"/>
    </row>
    <row r="939" spans="5:36">
      <c r="E939" s="299">
        <v>931</v>
      </c>
      <c r="F939" s="308">
        <f t="shared" ca="1" si="211"/>
        <v>3098.4034129354886</v>
      </c>
      <c r="G939" s="307">
        <f t="shared" ca="1" si="212"/>
        <v>219.66480809825515</v>
      </c>
      <c r="H939" s="306">
        <f t="shared" ca="1" si="213"/>
        <v>0.40957398351453977</v>
      </c>
      <c r="I939" s="305">
        <f t="shared" ca="1" si="215"/>
        <v>108.83945382236827</v>
      </c>
      <c r="J939" s="305">
        <f t="shared" ca="1" si="216"/>
        <v>53.202506511021639</v>
      </c>
      <c r="K939" s="292">
        <f t="shared" ca="1" si="214"/>
        <v>2.7192423034078441</v>
      </c>
      <c r="L939" s="1290">
        <f t="shared" ca="1" si="217"/>
        <v>27.070409519440702</v>
      </c>
      <c r="M939" s="299">
        <v>931</v>
      </c>
      <c r="N939" s="304">
        <f t="shared" si="218"/>
        <v>3122.722893296107</v>
      </c>
      <c r="O939" s="303">
        <v>220.48532564957802</v>
      </c>
      <c r="P939" s="302">
        <v>0.39565526735712525</v>
      </c>
      <c r="Q939" s="301">
        <v>114.57061798514279</v>
      </c>
      <c r="R939" s="301">
        <v>52.013459373134467</v>
      </c>
      <c r="S939" s="300">
        <v>3.5440163433696537</v>
      </c>
      <c r="T939" s="891">
        <f t="shared" si="219"/>
        <v>2</v>
      </c>
      <c r="U939" s="1220">
        <v>8.8588535785675049E-2</v>
      </c>
      <c r="W939" s="299">
        <v>931</v>
      </c>
      <c r="X939" s="298">
        <f>IF('Donor Sample'!N956="",,IF('Donor Sample'!N956="F",1,0))</f>
        <v>0</v>
      </c>
      <c r="Y939" s="298" t="str">
        <f>IF('Donor Sample'!O956="","",'Donor Sample'!O956)</f>
        <v/>
      </c>
      <c r="Z939" s="298" t="str">
        <f>IF(AND('Donor Sample'!O956="",'Donor Sample'!P956="",'Donor Sample'!Q956=""),"",IF('Donor Sample'!P956="",ROUND(AA939/($C$32+($AI939-0.5)*$C$31),0),'Donor Sample'!P956))</f>
        <v/>
      </c>
      <c r="AA939" s="297" t="str">
        <f>IF('Donor Sample'!Q956="","",'Donor Sample'!Q956)</f>
        <v/>
      </c>
      <c r="AB939" s="296" t="str">
        <f t="shared" si="210"/>
        <v/>
      </c>
      <c r="AC939" s="295" t="str">
        <f>IF('Donor Sample'!R956="","",'Donor Sample'!R956)</f>
        <v/>
      </c>
      <c r="AD939" s="294" t="str">
        <f>IF('Donor Sample'!S956="","",'Donor Sample'!S956/100)</f>
        <v/>
      </c>
      <c r="AE939" s="407" t="e">
        <f t="shared" si="220"/>
        <v>#VALUE!</v>
      </c>
      <c r="AF939" s="293" t="str">
        <f t="shared" si="221"/>
        <v/>
      </c>
      <c r="AG939" s="292" t="str">
        <f>IF('Donor Sample'!T956="","",'Donor Sample'!T956)</f>
        <v/>
      </c>
      <c r="AH939" s="891">
        <f t="shared" si="222"/>
        <v>64</v>
      </c>
      <c r="AI939" s="1220">
        <v>0.51838904619216919</v>
      </c>
      <c r="AJ939" s="1216"/>
    </row>
    <row r="940" spans="5:36">
      <c r="E940" s="299">
        <v>932</v>
      </c>
      <c r="F940" s="308">
        <f t="shared" ca="1" si="211"/>
        <v>4011.2908928343763</v>
      </c>
      <c r="G940" s="307">
        <f t="shared" ca="1" si="212"/>
        <v>268.12965250201182</v>
      </c>
      <c r="H940" s="306">
        <f t="shared" ca="1" si="213"/>
        <v>0.40759527676062779</v>
      </c>
      <c r="I940" s="305">
        <f t="shared" ca="1" si="215"/>
        <v>156.43331011659444</v>
      </c>
      <c r="J940" s="305">
        <f t="shared" ca="1" si="216"/>
        <v>63.325999667929693</v>
      </c>
      <c r="K940" s="292">
        <f t="shared" ca="1" si="214"/>
        <v>2.1998566024190485</v>
      </c>
      <c r="L940" s="1290">
        <f t="shared" ca="1" si="217"/>
        <v>27.462355548318445</v>
      </c>
      <c r="M940" s="299">
        <v>932</v>
      </c>
      <c r="N940" s="304">
        <f t="shared" si="218"/>
        <v>3638.4573161765011</v>
      </c>
      <c r="O940" s="303">
        <v>229.96510812570128</v>
      </c>
      <c r="P940" s="302">
        <v>0.43546854954488828</v>
      </c>
      <c r="Q940" s="301">
        <v>132.16355759468283</v>
      </c>
      <c r="R940" s="301">
        <v>63.200573213498721</v>
      </c>
      <c r="S940" s="300">
        <v>1.3009304777213437</v>
      </c>
      <c r="T940" s="891">
        <f t="shared" si="219"/>
        <v>64</v>
      </c>
      <c r="U940" s="1220">
        <v>0.43276286125183105</v>
      </c>
      <c r="W940" s="299">
        <v>932</v>
      </c>
      <c r="X940" s="298">
        <f>IF('Donor Sample'!N957="",,IF('Donor Sample'!N957="F",1,0))</f>
        <v>0</v>
      </c>
      <c r="Y940" s="298" t="str">
        <f>IF('Donor Sample'!O957="","",'Donor Sample'!O957)</f>
        <v/>
      </c>
      <c r="Z940" s="298" t="str">
        <f>IF(AND('Donor Sample'!O957="",'Donor Sample'!P957="",'Donor Sample'!Q957=""),"",IF('Donor Sample'!P957="",ROUND(AA940/($C$32+($AI940-0.5)*$C$31),0),'Donor Sample'!P957))</f>
        <v/>
      </c>
      <c r="AA940" s="297" t="str">
        <f>IF('Donor Sample'!Q957="","",'Donor Sample'!Q957)</f>
        <v/>
      </c>
      <c r="AB940" s="296" t="str">
        <f t="shared" si="210"/>
        <v/>
      </c>
      <c r="AC940" s="295" t="str">
        <f>IF('Donor Sample'!R957="","",'Donor Sample'!R957)</f>
        <v/>
      </c>
      <c r="AD940" s="294" t="str">
        <f>IF('Donor Sample'!S957="","",'Donor Sample'!S957/100)</f>
        <v/>
      </c>
      <c r="AE940" s="293" t="e">
        <f t="shared" si="220"/>
        <v>#VALUE!</v>
      </c>
      <c r="AF940" s="293" t="str">
        <f t="shared" si="221"/>
        <v/>
      </c>
      <c r="AG940" s="292" t="str">
        <f>IF('Donor Sample'!T957="","",'Donor Sample'!T957)</f>
        <v/>
      </c>
      <c r="AH940" s="891">
        <f t="shared" si="222"/>
        <v>256</v>
      </c>
      <c r="AI940" s="1220">
        <v>0.89189648628234863</v>
      </c>
      <c r="AJ940" s="1216"/>
    </row>
    <row r="941" spans="5:36">
      <c r="E941" s="299">
        <v>933</v>
      </c>
      <c r="F941" s="308">
        <f t="shared" ca="1" si="211"/>
        <v>3395.9680130628572</v>
      </c>
      <c r="G941" s="307">
        <f t="shared" ca="1" si="212"/>
        <v>293.99945615095487</v>
      </c>
      <c r="H941" s="306">
        <f t="shared" ca="1" si="213"/>
        <v>0.45731064836414936</v>
      </c>
      <c r="I941" s="305">
        <f t="shared" ca="1" si="215"/>
        <v>117.9635968161619</v>
      </c>
      <c r="J941" s="305">
        <f t="shared" ca="1" si="216"/>
        <v>56.244613951105926</v>
      </c>
      <c r="K941" s="292">
        <f t="shared" ca="1" si="214"/>
        <v>1.368822382836006</v>
      </c>
      <c r="L941" s="1290">
        <f t="shared" ca="1" si="217"/>
        <v>26.251781737015445</v>
      </c>
      <c r="M941" s="299">
        <v>933</v>
      </c>
      <c r="N941" s="304">
        <f t="shared" si="218"/>
        <v>3436.3222248044735</v>
      </c>
      <c r="O941" s="303">
        <v>207.51087878035619</v>
      </c>
      <c r="P941" s="302">
        <v>0.4328985818923563</v>
      </c>
      <c r="Q941" s="301">
        <v>139.98407284287256</v>
      </c>
      <c r="R941" s="301">
        <v>50.808646850035984</v>
      </c>
      <c r="S941" s="300">
        <v>10.115600274011364</v>
      </c>
      <c r="T941" s="891">
        <f t="shared" si="219"/>
        <v>4</v>
      </c>
      <c r="U941" s="1220">
        <v>0.36111634969711304</v>
      </c>
      <c r="W941" s="299">
        <v>933</v>
      </c>
      <c r="X941" s="298">
        <f>IF('Donor Sample'!N958="",,IF('Donor Sample'!N958="F",1,0))</f>
        <v>0</v>
      </c>
      <c r="Y941" s="298" t="str">
        <f>IF('Donor Sample'!O958="","",'Donor Sample'!O958)</f>
        <v/>
      </c>
      <c r="Z941" s="298" t="str">
        <f>IF(AND('Donor Sample'!O958="",'Donor Sample'!P958="",'Donor Sample'!Q958=""),"",IF('Donor Sample'!P958="",ROUND(AA941/($C$32+($AI941-0.5)*$C$31),0),'Donor Sample'!P958))</f>
        <v/>
      </c>
      <c r="AA941" s="297" t="str">
        <f>IF('Donor Sample'!Q958="","",'Donor Sample'!Q958)</f>
        <v/>
      </c>
      <c r="AB941" s="296" t="str">
        <f t="shared" si="210"/>
        <v/>
      </c>
      <c r="AC941" s="295" t="str">
        <f>IF('Donor Sample'!R958="","",'Donor Sample'!R958)</f>
        <v/>
      </c>
      <c r="AD941" s="294" t="str">
        <f>IF('Donor Sample'!S958="","",'Donor Sample'!S958/100)</f>
        <v/>
      </c>
      <c r="AE941" s="293" t="e">
        <f t="shared" si="220"/>
        <v>#VALUE!</v>
      </c>
      <c r="AF941" s="293" t="str">
        <f t="shared" si="221"/>
        <v/>
      </c>
      <c r="AG941" s="292" t="str">
        <f>IF('Donor Sample'!T958="","",'Donor Sample'!T958)</f>
        <v/>
      </c>
      <c r="AH941" s="891">
        <f t="shared" si="222"/>
        <v>2</v>
      </c>
      <c r="AI941" s="1220">
        <v>0.2381100058555603</v>
      </c>
      <c r="AJ941" s="1216"/>
    </row>
    <row r="942" spans="5:36">
      <c r="E942" s="299">
        <v>934</v>
      </c>
      <c r="F942" s="308">
        <f t="shared" ca="1" si="211"/>
        <v>3837.015053768725</v>
      </c>
      <c r="G942" s="307">
        <f t="shared" ca="1" si="212"/>
        <v>250.15520016965692</v>
      </c>
      <c r="H942" s="306">
        <f t="shared" ca="1" si="213"/>
        <v>0.48560018268983873</v>
      </c>
      <c r="I942" s="305">
        <f t="shared" ca="1" si="215"/>
        <v>148.30532084561756</v>
      </c>
      <c r="J942" s="305">
        <f t="shared" ca="1" si="216"/>
        <v>56.210554375195464</v>
      </c>
      <c r="K942" s="292">
        <f t="shared" ca="1" si="214"/>
        <v>1.9245564559446795</v>
      </c>
      <c r="L942" s="1290">
        <f t="shared" ca="1" si="217"/>
        <v>33.044079233478044</v>
      </c>
      <c r="M942" s="299">
        <v>934</v>
      </c>
      <c r="N942" s="304">
        <f t="shared" si="218"/>
        <v>3090.9797671408323</v>
      </c>
      <c r="O942" s="303">
        <v>200.95125163939292</v>
      </c>
      <c r="P942" s="302">
        <v>0.42184287270009713</v>
      </c>
      <c r="Q942" s="301">
        <v>107.95350684866303</v>
      </c>
      <c r="R942" s="301">
        <v>53.31024255546189</v>
      </c>
      <c r="S942" s="300">
        <v>1.2693207240969682</v>
      </c>
      <c r="T942" s="891">
        <f t="shared" si="219"/>
        <v>64</v>
      </c>
      <c r="U942" s="1220">
        <v>0.63092648983001709</v>
      </c>
      <c r="W942" s="299">
        <v>934</v>
      </c>
      <c r="X942" s="298">
        <f>IF('Donor Sample'!N959="",,IF('Donor Sample'!N959="F",1,0))</f>
        <v>0</v>
      </c>
      <c r="Y942" s="298" t="str">
        <f>IF('Donor Sample'!O959="","",'Donor Sample'!O959)</f>
        <v/>
      </c>
      <c r="Z942" s="298" t="str">
        <f>IF(AND('Donor Sample'!O959="",'Donor Sample'!P959="",'Donor Sample'!Q959=""),"",IF('Donor Sample'!P959="",ROUND(AA942/($C$32+($AI942-0.5)*$C$31),0),'Donor Sample'!P959))</f>
        <v/>
      </c>
      <c r="AA942" s="297" t="str">
        <f>IF('Donor Sample'!Q959="","",'Donor Sample'!Q959)</f>
        <v/>
      </c>
      <c r="AB942" s="296" t="str">
        <f t="shared" si="210"/>
        <v/>
      </c>
      <c r="AC942" s="295" t="str">
        <f>IF('Donor Sample'!R959="","",'Donor Sample'!R959)</f>
        <v/>
      </c>
      <c r="AD942" s="294" t="str">
        <f>IF('Donor Sample'!S959="","",'Donor Sample'!S959/100)</f>
        <v/>
      </c>
      <c r="AE942" s="407" t="e">
        <f t="shared" si="220"/>
        <v>#VALUE!</v>
      </c>
      <c r="AF942" s="293" t="str">
        <f t="shared" si="221"/>
        <v/>
      </c>
      <c r="AG942" s="292" t="str">
        <f>IF('Donor Sample'!T959="","",'Donor Sample'!T959)</f>
        <v/>
      </c>
      <c r="AH942" s="891">
        <f t="shared" si="222"/>
        <v>64</v>
      </c>
      <c r="AI942" s="1220">
        <v>0.73676192760467529</v>
      </c>
      <c r="AJ942" s="1216"/>
    </row>
    <row r="943" spans="5:36">
      <c r="E943" s="299">
        <v>935</v>
      </c>
      <c r="F943" s="308">
        <f t="shared" ca="1" si="211"/>
        <v>3535.8189538126562</v>
      </c>
      <c r="G943" s="307">
        <f t="shared" ca="1" si="212"/>
        <v>248.4263768532457</v>
      </c>
      <c r="H943" s="306">
        <f t="shared" ca="1" si="213"/>
        <v>0.36445974037818168</v>
      </c>
      <c r="I943" s="305">
        <f t="shared" ca="1" si="215"/>
        <v>141.33960343832743</v>
      </c>
      <c r="J943" s="305">
        <f t="shared" ca="1" si="216"/>
        <v>59.558228226080558</v>
      </c>
      <c r="K943" s="292">
        <f t="shared" ca="1" si="214"/>
        <v>1.3050629741085118</v>
      </c>
      <c r="L943" s="1290">
        <f t="shared" ca="1" si="217"/>
        <v>28.051299710124756</v>
      </c>
      <c r="M943" s="299">
        <v>935</v>
      </c>
      <c r="N943" s="304">
        <f t="shared" si="218"/>
        <v>2910.3097228311008</v>
      </c>
      <c r="O943" s="303">
        <v>276.74991712566151</v>
      </c>
      <c r="P943" s="302">
        <v>0.40392564390245284</v>
      </c>
      <c r="Q943" s="301">
        <v>109.23445669790999</v>
      </c>
      <c r="R943" s="301">
        <v>57.143670940603563</v>
      </c>
      <c r="S943" s="300">
        <v>1.5626123723999021</v>
      </c>
      <c r="T943" s="891">
        <f t="shared" si="219"/>
        <v>256</v>
      </c>
      <c r="U943" s="1220">
        <v>0.84438425302505493</v>
      </c>
      <c r="W943" s="299">
        <v>935</v>
      </c>
      <c r="X943" s="298">
        <f>IF('Donor Sample'!N960="",,IF('Donor Sample'!N960="F",1,0))</f>
        <v>0</v>
      </c>
      <c r="Y943" s="298" t="str">
        <f>IF('Donor Sample'!O960="","",'Donor Sample'!O960)</f>
        <v/>
      </c>
      <c r="Z943" s="298" t="str">
        <f>IF(AND('Donor Sample'!O960="",'Donor Sample'!P960="",'Donor Sample'!Q960=""),"",IF('Donor Sample'!P960="",ROUND(AA943/($C$32+($AI943-0.5)*$C$31),0),'Donor Sample'!P960))</f>
        <v/>
      </c>
      <c r="AA943" s="297" t="str">
        <f>IF('Donor Sample'!Q960="","",'Donor Sample'!Q960)</f>
        <v/>
      </c>
      <c r="AB943" s="296" t="str">
        <f t="shared" si="210"/>
        <v/>
      </c>
      <c r="AC943" s="295" t="str">
        <f>IF('Donor Sample'!R960="","",'Donor Sample'!R960)</f>
        <v/>
      </c>
      <c r="AD943" s="294" t="str">
        <f>IF('Donor Sample'!S960="","",'Donor Sample'!S960/100)</f>
        <v/>
      </c>
      <c r="AE943" s="293" t="e">
        <f t="shared" si="220"/>
        <v>#VALUE!</v>
      </c>
      <c r="AF943" s="293" t="str">
        <f t="shared" si="221"/>
        <v/>
      </c>
      <c r="AG943" s="292" t="str">
        <f>IF('Donor Sample'!T960="","",'Donor Sample'!T960)</f>
        <v/>
      </c>
      <c r="AH943" s="891">
        <f t="shared" si="222"/>
        <v>32</v>
      </c>
      <c r="AI943" s="1220">
        <v>0.81642872095108032</v>
      </c>
      <c r="AJ943" s="1216"/>
    </row>
    <row r="944" spans="5:36">
      <c r="E944" s="299">
        <v>936</v>
      </c>
      <c r="F944" s="308">
        <f t="shared" ca="1" si="211"/>
        <v>2857.6199560366931</v>
      </c>
      <c r="G944" s="307">
        <f t="shared" ca="1" si="212"/>
        <v>280.33407662196032</v>
      </c>
      <c r="H944" s="306">
        <f t="shared" ca="1" si="213"/>
        <v>0.37271694594769578</v>
      </c>
      <c r="I944" s="305">
        <f t="shared" ca="1" si="215"/>
        <v>88.975514120099518</v>
      </c>
      <c r="J944" s="305">
        <f t="shared" ca="1" si="216"/>
        <v>54.149867665886482</v>
      </c>
      <c r="K944" s="292">
        <f t="shared" ca="1" si="214"/>
        <v>3.9373711876411699</v>
      </c>
      <c r="L944" s="1290">
        <f t="shared" ca="1" si="217"/>
        <v>21.36231752546303</v>
      </c>
      <c r="M944" s="299">
        <v>936</v>
      </c>
      <c r="N944" s="304">
        <f t="shared" si="218"/>
        <v>3931.1474548696428</v>
      </c>
      <c r="O944" s="303">
        <v>256.66234677152909</v>
      </c>
      <c r="P944" s="302">
        <v>0.42492304307064471</v>
      </c>
      <c r="Q944" s="301">
        <v>127.5894679608662</v>
      </c>
      <c r="R944" s="301">
        <v>62.451245688303139</v>
      </c>
      <c r="S944" s="300">
        <v>3.7117077586461775</v>
      </c>
      <c r="T944" s="891">
        <f t="shared" si="219"/>
        <v>64</v>
      </c>
      <c r="U944" s="1220">
        <v>0.57284641265869141</v>
      </c>
      <c r="W944" s="299">
        <v>936</v>
      </c>
      <c r="X944" s="298">
        <f>IF('Donor Sample'!N961="",,IF('Donor Sample'!N961="F",1,0))</f>
        <v>0</v>
      </c>
      <c r="Y944" s="298" t="str">
        <f>IF('Donor Sample'!O961="","",'Donor Sample'!O961)</f>
        <v/>
      </c>
      <c r="Z944" s="298" t="str">
        <f>IF(AND('Donor Sample'!O961="",'Donor Sample'!P961="",'Donor Sample'!Q961=""),"",IF('Donor Sample'!P961="",ROUND(AA944/($C$32+($AI944-0.5)*$C$31),0),'Donor Sample'!P961))</f>
        <v/>
      </c>
      <c r="AA944" s="297" t="str">
        <f>IF('Donor Sample'!Q961="","",'Donor Sample'!Q961)</f>
        <v/>
      </c>
      <c r="AB944" s="296" t="str">
        <f t="shared" si="210"/>
        <v/>
      </c>
      <c r="AC944" s="295" t="str">
        <f>IF('Donor Sample'!R961="","",'Donor Sample'!R961)</f>
        <v/>
      </c>
      <c r="AD944" s="294" t="str">
        <f>IF('Donor Sample'!S961="","",'Donor Sample'!S961/100)</f>
        <v/>
      </c>
      <c r="AE944" s="293" t="e">
        <f t="shared" si="220"/>
        <v>#VALUE!</v>
      </c>
      <c r="AF944" s="293" t="str">
        <f t="shared" si="221"/>
        <v/>
      </c>
      <c r="AG944" s="292" t="str">
        <f>IF('Donor Sample'!T961="","",'Donor Sample'!T961)</f>
        <v/>
      </c>
      <c r="AH944" s="891">
        <f t="shared" si="222"/>
        <v>2</v>
      </c>
      <c r="AI944" s="1220">
        <v>0.28806066513061523</v>
      </c>
      <c r="AJ944" s="1216"/>
    </row>
    <row r="945" spans="5:36">
      <c r="E945" s="299">
        <v>937</v>
      </c>
      <c r="F945" s="308">
        <f t="shared" ca="1" si="211"/>
        <v>3122.3995398953753</v>
      </c>
      <c r="G945" s="307">
        <f t="shared" ca="1" si="212"/>
        <v>235.03972434801264</v>
      </c>
      <c r="H945" s="306">
        <f t="shared" ca="1" si="213"/>
        <v>0.36289283463143074</v>
      </c>
      <c r="I945" s="305">
        <f t="shared" ca="1" si="215"/>
        <v>103.40577063351607</v>
      </c>
      <c r="J945" s="305">
        <f t="shared" ca="1" si="216"/>
        <v>55.154057783575269</v>
      </c>
      <c r="K945" s="292">
        <f t="shared" ca="1" si="214"/>
        <v>2.2663070195133446</v>
      </c>
      <c r="L945" s="1290">
        <f t="shared" ca="1" si="217"/>
        <v>23.931090830067912</v>
      </c>
      <c r="M945" s="299">
        <v>937</v>
      </c>
      <c r="N945" s="304">
        <f t="shared" si="218"/>
        <v>3536.1130475917362</v>
      </c>
      <c r="O945" s="303">
        <v>233.16699143501845</v>
      </c>
      <c r="P945" s="302">
        <v>0.3721389681104923</v>
      </c>
      <c r="Q945" s="301">
        <v>134.84681589964077</v>
      </c>
      <c r="R945" s="301">
        <v>54.31523215266747</v>
      </c>
      <c r="S945" s="300">
        <v>10.129700186740321</v>
      </c>
      <c r="T945" s="891">
        <f t="shared" si="219"/>
        <v>16</v>
      </c>
      <c r="U945" s="1220">
        <v>0.96845358610153198</v>
      </c>
      <c r="W945" s="299">
        <v>937</v>
      </c>
      <c r="X945" s="298">
        <f>IF('Donor Sample'!N962="",,IF('Donor Sample'!N962="F",1,0))</f>
        <v>0</v>
      </c>
      <c r="Y945" s="298" t="str">
        <f>IF('Donor Sample'!O962="","",'Donor Sample'!O962)</f>
        <v/>
      </c>
      <c r="Z945" s="298" t="str">
        <f>IF(AND('Donor Sample'!O962="",'Donor Sample'!P962="",'Donor Sample'!Q962=""),"",IF('Donor Sample'!P962="",ROUND(AA945/($C$32+($AI945-0.5)*$C$31),0),'Donor Sample'!P962))</f>
        <v/>
      </c>
      <c r="AA945" s="297" t="str">
        <f>IF('Donor Sample'!Q962="","",'Donor Sample'!Q962)</f>
        <v/>
      </c>
      <c r="AB945" s="296" t="str">
        <f t="shared" si="210"/>
        <v/>
      </c>
      <c r="AC945" s="295" t="str">
        <f>IF('Donor Sample'!R962="","",'Donor Sample'!R962)</f>
        <v/>
      </c>
      <c r="AD945" s="294" t="str">
        <f>IF('Donor Sample'!S962="","",'Donor Sample'!S962/100)</f>
        <v/>
      </c>
      <c r="AE945" s="407" t="e">
        <f t="shared" si="220"/>
        <v>#VALUE!</v>
      </c>
      <c r="AF945" s="293" t="str">
        <f t="shared" si="221"/>
        <v/>
      </c>
      <c r="AG945" s="292" t="str">
        <f>IF('Donor Sample'!T962="","",'Donor Sample'!T962)</f>
        <v/>
      </c>
      <c r="AH945" s="891">
        <f t="shared" si="222"/>
        <v>4</v>
      </c>
      <c r="AI945" s="1220">
        <v>0.4287678599357605</v>
      </c>
      <c r="AJ945" s="1216"/>
    </row>
    <row r="946" spans="5:36">
      <c r="E946" s="299">
        <v>938</v>
      </c>
      <c r="F946" s="308">
        <f t="shared" ca="1" si="211"/>
        <v>3822.4527195647738</v>
      </c>
      <c r="G946" s="307">
        <f t="shared" ca="1" si="212"/>
        <v>209.77704958492757</v>
      </c>
      <c r="H946" s="306">
        <f t="shared" ca="1" si="213"/>
        <v>0.44002683971614043</v>
      </c>
      <c r="I946" s="305">
        <f t="shared" ca="1" si="215"/>
        <v>119.51879410068791</v>
      </c>
      <c r="J946" s="305">
        <f t="shared" ca="1" si="216"/>
        <v>62.580869555888015</v>
      </c>
      <c r="K946" s="292">
        <f t="shared" ca="1" si="214"/>
        <v>2.5616940965410695</v>
      </c>
      <c r="L946" s="1290">
        <f t="shared" ca="1" si="217"/>
        <v>21.484520980943831</v>
      </c>
      <c r="M946" s="299">
        <v>938</v>
      </c>
      <c r="N946" s="304">
        <f t="shared" si="218"/>
        <v>3585.8350667729992</v>
      </c>
      <c r="O946" s="303">
        <v>264.7397592108228</v>
      </c>
      <c r="P946" s="302">
        <v>0.40457257494417243</v>
      </c>
      <c r="Q946" s="301">
        <v>140.9343694600984</v>
      </c>
      <c r="R946" s="301">
        <v>53.569132114500505</v>
      </c>
      <c r="S946" s="300">
        <v>1.6525954737957562</v>
      </c>
      <c r="T946" s="891">
        <f t="shared" si="219"/>
        <v>16</v>
      </c>
      <c r="U946" s="1220">
        <v>0.97615110874176025</v>
      </c>
      <c r="W946" s="299">
        <v>938</v>
      </c>
      <c r="X946" s="298">
        <f>IF('Donor Sample'!N963="",,IF('Donor Sample'!N963="F",1,0))</f>
        <v>0</v>
      </c>
      <c r="Y946" s="298" t="str">
        <f>IF('Donor Sample'!O963="","",'Donor Sample'!O963)</f>
        <v/>
      </c>
      <c r="Z946" s="298" t="str">
        <f>IF(AND('Donor Sample'!O963="",'Donor Sample'!P963="",'Donor Sample'!Q963=""),"",IF('Donor Sample'!P963="",ROUND(AA946/($C$32+($AI946-0.5)*$C$31),0),'Donor Sample'!P963))</f>
        <v/>
      </c>
      <c r="AA946" s="297" t="str">
        <f>IF('Donor Sample'!Q963="","",'Donor Sample'!Q963)</f>
        <v/>
      </c>
      <c r="AB946" s="296" t="str">
        <f t="shared" si="210"/>
        <v/>
      </c>
      <c r="AC946" s="295" t="str">
        <f>IF('Donor Sample'!R963="","",'Donor Sample'!R963)</f>
        <v/>
      </c>
      <c r="AD946" s="294" t="str">
        <f>IF('Donor Sample'!S963="","",'Donor Sample'!S963/100)</f>
        <v/>
      </c>
      <c r="AE946" s="293" t="e">
        <f t="shared" si="220"/>
        <v>#VALUE!</v>
      </c>
      <c r="AF946" s="293" t="str">
        <f t="shared" si="221"/>
        <v/>
      </c>
      <c r="AG946" s="292" t="str">
        <f>IF('Donor Sample'!T963="","",'Donor Sample'!T963)</f>
        <v/>
      </c>
      <c r="AH946" s="891">
        <f t="shared" si="222"/>
        <v>2</v>
      </c>
      <c r="AI946" s="1220">
        <v>0.27733719348907471</v>
      </c>
      <c r="AJ946" s="1216"/>
    </row>
    <row r="947" spans="5:36">
      <c r="E947" s="299">
        <v>939</v>
      </c>
      <c r="F947" s="308">
        <f t="shared" ca="1" si="211"/>
        <v>2741.9544023184571</v>
      </c>
      <c r="G947" s="307">
        <f t="shared" ca="1" si="212"/>
        <v>207.30278947257864</v>
      </c>
      <c r="H947" s="306">
        <f t="shared" ca="1" si="213"/>
        <v>0.37955629377687733</v>
      </c>
      <c r="I947" s="305">
        <f t="shared" ca="1" si="215"/>
        <v>84.605596082708743</v>
      </c>
      <c r="J947" s="305">
        <f t="shared" ca="1" si="216"/>
        <v>53.150847453304067</v>
      </c>
      <c r="K947" s="292">
        <f t="shared" ca="1" si="214"/>
        <v>10.141512517842111</v>
      </c>
      <c r="L947" s="1290">
        <f t="shared" ca="1" si="217"/>
        <v>21.08392010654855</v>
      </c>
      <c r="M947" s="299">
        <v>939</v>
      </c>
      <c r="N947" s="304">
        <f t="shared" si="218"/>
        <v>2884.1250657055934</v>
      </c>
      <c r="O947" s="303">
        <v>269.44793851318576</v>
      </c>
      <c r="P947" s="302">
        <v>0.47928417358269454</v>
      </c>
      <c r="Q947" s="301">
        <v>100.94662515165643</v>
      </c>
      <c r="R947" s="301">
        <v>51.187039052989775</v>
      </c>
      <c r="S947" s="300">
        <v>1.2794255019741207</v>
      </c>
      <c r="T947" s="891">
        <f t="shared" si="219"/>
        <v>64</v>
      </c>
      <c r="U947" s="1220">
        <v>0.55700141191482544</v>
      </c>
      <c r="W947" s="299">
        <v>939</v>
      </c>
      <c r="X947" s="298">
        <f>IF('Donor Sample'!N964="",,IF('Donor Sample'!N964="F",1,0))</f>
        <v>0</v>
      </c>
      <c r="Y947" s="298" t="str">
        <f>IF('Donor Sample'!O964="","",'Donor Sample'!O964)</f>
        <v/>
      </c>
      <c r="Z947" s="298" t="str">
        <f>IF(AND('Donor Sample'!O964="",'Donor Sample'!P964="",'Donor Sample'!Q964=""),"",IF('Donor Sample'!P964="",ROUND(AA947/($C$32+($AI947-0.5)*$C$31),0),'Donor Sample'!P964))</f>
        <v/>
      </c>
      <c r="AA947" s="297" t="str">
        <f>IF('Donor Sample'!Q964="","",'Donor Sample'!Q964)</f>
        <v/>
      </c>
      <c r="AB947" s="296" t="str">
        <f t="shared" si="210"/>
        <v/>
      </c>
      <c r="AC947" s="295" t="str">
        <f>IF('Donor Sample'!R964="","",'Donor Sample'!R964)</f>
        <v/>
      </c>
      <c r="AD947" s="294" t="str">
        <f>IF('Donor Sample'!S964="","",'Donor Sample'!S964/100)</f>
        <v/>
      </c>
      <c r="AE947" s="293" t="e">
        <f t="shared" si="220"/>
        <v>#VALUE!</v>
      </c>
      <c r="AF947" s="293" t="str">
        <f t="shared" si="221"/>
        <v/>
      </c>
      <c r="AG947" s="292" t="str">
        <f>IF('Donor Sample'!T964="","",'Donor Sample'!T964)</f>
        <v/>
      </c>
      <c r="AH947" s="891">
        <f t="shared" si="222"/>
        <v>2</v>
      </c>
      <c r="AI947" s="1220">
        <v>0.10705643892288208</v>
      </c>
      <c r="AJ947" s="1216"/>
    </row>
    <row r="948" spans="5:36">
      <c r="E948" s="299">
        <v>940</v>
      </c>
      <c r="F948" s="308">
        <f t="shared" ca="1" si="211"/>
        <v>2775.0490986889727</v>
      </c>
      <c r="G948" s="307">
        <f t="shared" ca="1" si="212"/>
        <v>187.03824018414122</v>
      </c>
      <c r="H948" s="306">
        <f t="shared" ca="1" si="213"/>
        <v>0.39294056458482168</v>
      </c>
      <c r="I948" s="305">
        <f t="shared" ca="1" si="215"/>
        <v>102.13593364213634</v>
      </c>
      <c r="J948" s="305">
        <f t="shared" ca="1" si="216"/>
        <v>56.635627085854821</v>
      </c>
      <c r="K948" s="292">
        <f t="shared" ca="1" si="214"/>
        <v>1.563987460039435</v>
      </c>
      <c r="L948" s="1290">
        <f t="shared" ca="1" si="217"/>
        <v>22.416705966733215</v>
      </c>
      <c r="M948" s="299">
        <v>940</v>
      </c>
      <c r="N948" s="304">
        <f t="shared" si="218"/>
        <v>3749.2937221783172</v>
      </c>
      <c r="O948" s="303">
        <v>229.78555085198713</v>
      </c>
      <c r="P948" s="302">
        <v>0.48627701841196241</v>
      </c>
      <c r="Q948" s="301">
        <v>117.5511519323362</v>
      </c>
      <c r="R948" s="301">
        <v>67.606286042461619</v>
      </c>
      <c r="S948" s="300">
        <v>12.114986139781692</v>
      </c>
      <c r="T948" s="891">
        <f t="shared" si="219"/>
        <v>64</v>
      </c>
      <c r="U948" s="1220">
        <v>0.44012188911437988</v>
      </c>
      <c r="W948" s="299">
        <v>940</v>
      </c>
      <c r="X948" s="298">
        <f>IF('Donor Sample'!N965="",,IF('Donor Sample'!N965="F",1,0))</f>
        <v>0</v>
      </c>
      <c r="Y948" s="298" t="str">
        <f>IF('Donor Sample'!O965="","",'Donor Sample'!O965)</f>
        <v/>
      </c>
      <c r="Z948" s="298" t="str">
        <f>IF(AND('Donor Sample'!O965="",'Donor Sample'!P965="",'Donor Sample'!Q965=""),"",IF('Donor Sample'!P965="",ROUND(AA948/($C$32+($AI948-0.5)*$C$31),0),'Donor Sample'!P965))</f>
        <v/>
      </c>
      <c r="AA948" s="297" t="str">
        <f>IF('Donor Sample'!Q965="","",'Donor Sample'!Q965)</f>
        <v/>
      </c>
      <c r="AB948" s="296" t="str">
        <f t="shared" si="210"/>
        <v/>
      </c>
      <c r="AC948" s="295" t="str">
        <f>IF('Donor Sample'!R965="","",'Donor Sample'!R965)</f>
        <v/>
      </c>
      <c r="AD948" s="294" t="str">
        <f>IF('Donor Sample'!S965="","",'Donor Sample'!S965/100)</f>
        <v/>
      </c>
      <c r="AE948" s="407" t="e">
        <f t="shared" si="220"/>
        <v>#VALUE!</v>
      </c>
      <c r="AF948" s="293" t="str">
        <f t="shared" si="221"/>
        <v/>
      </c>
      <c r="AG948" s="292" t="str">
        <f>IF('Donor Sample'!T965="","",'Donor Sample'!T965)</f>
        <v/>
      </c>
      <c r="AH948" s="891">
        <f t="shared" si="222"/>
        <v>256</v>
      </c>
      <c r="AI948" s="1220">
        <v>0.92911696434020996</v>
      </c>
      <c r="AJ948" s="1216"/>
    </row>
    <row r="949" spans="5:36">
      <c r="E949" s="299">
        <v>941</v>
      </c>
      <c r="F949" s="308">
        <f t="shared" ca="1" si="211"/>
        <v>3335.278692514752</v>
      </c>
      <c r="G949" s="307">
        <f t="shared" ca="1" si="212"/>
        <v>201.36629109187714</v>
      </c>
      <c r="H949" s="306">
        <f t="shared" ca="1" si="213"/>
        <v>0.4348401797536699</v>
      </c>
      <c r="I949" s="305">
        <f t="shared" ca="1" si="215"/>
        <v>112.91470753902699</v>
      </c>
      <c r="J949" s="305">
        <f t="shared" ca="1" si="216"/>
        <v>56.471968356913344</v>
      </c>
      <c r="K949" s="292">
        <f t="shared" ca="1" si="214"/>
        <v>2.5460869918926097</v>
      </c>
      <c r="L949" s="1290">
        <f t="shared" ca="1" si="217"/>
        <v>24.926271555290381</v>
      </c>
      <c r="M949" s="299">
        <v>941</v>
      </c>
      <c r="N949" s="304">
        <f t="shared" si="218"/>
        <v>4023.8924252437973</v>
      </c>
      <c r="O949" s="303">
        <v>218.7779081021535</v>
      </c>
      <c r="P949" s="302">
        <v>0.35640343330015428</v>
      </c>
      <c r="Q949" s="301">
        <v>155.25227145894044</v>
      </c>
      <c r="R949" s="301">
        <v>57.671739381430612</v>
      </c>
      <c r="S949" s="300">
        <v>3.0808946647596769</v>
      </c>
      <c r="T949" s="891">
        <f t="shared" si="219"/>
        <v>64</v>
      </c>
      <c r="U949" s="1220">
        <v>0.60124629735946655</v>
      </c>
      <c r="W949" s="299">
        <v>941</v>
      </c>
      <c r="X949" s="298">
        <f>IF('Donor Sample'!N966="",,IF('Donor Sample'!N966="F",1,0))</f>
        <v>0</v>
      </c>
      <c r="Y949" s="298" t="str">
        <f>IF('Donor Sample'!O966="","",'Donor Sample'!O966)</f>
        <v/>
      </c>
      <c r="Z949" s="298" t="str">
        <f>IF(AND('Donor Sample'!O966="",'Donor Sample'!P966="",'Donor Sample'!Q966=""),"",IF('Donor Sample'!P966="",ROUND(AA949/($C$32+($AI949-0.5)*$C$31),0),'Donor Sample'!P966))</f>
        <v/>
      </c>
      <c r="AA949" s="297" t="str">
        <f>IF('Donor Sample'!Q966="","",'Donor Sample'!Q966)</f>
        <v/>
      </c>
      <c r="AB949" s="296" t="str">
        <f t="shared" si="210"/>
        <v/>
      </c>
      <c r="AC949" s="295" t="str">
        <f>IF('Donor Sample'!R966="","",'Donor Sample'!R966)</f>
        <v/>
      </c>
      <c r="AD949" s="294" t="str">
        <f>IF('Donor Sample'!S966="","",'Donor Sample'!S966/100)</f>
        <v/>
      </c>
      <c r="AE949" s="293" t="e">
        <f t="shared" si="220"/>
        <v>#VALUE!</v>
      </c>
      <c r="AF949" s="293" t="str">
        <f t="shared" si="221"/>
        <v/>
      </c>
      <c r="AG949" s="292" t="str">
        <f>IF('Donor Sample'!T966="","",'Donor Sample'!T966)</f>
        <v/>
      </c>
      <c r="AH949" s="891">
        <f t="shared" si="222"/>
        <v>2</v>
      </c>
      <c r="AI949" s="1220">
        <v>0.21678060293197632</v>
      </c>
      <c r="AJ949" s="1216"/>
    </row>
    <row r="950" spans="5:36">
      <c r="E950" s="299">
        <v>942</v>
      </c>
      <c r="F950" s="308">
        <f t="shared" ca="1" si="211"/>
        <v>3190.3595445586179</v>
      </c>
      <c r="G950" s="307">
        <f t="shared" ca="1" si="212"/>
        <v>235.40360181576216</v>
      </c>
      <c r="H950" s="306">
        <f t="shared" ca="1" si="213"/>
        <v>0.39494202826209879</v>
      </c>
      <c r="I950" s="305">
        <f t="shared" ca="1" si="215"/>
        <v>113.89393513229946</v>
      </c>
      <c r="J950" s="305">
        <f t="shared" ca="1" si="216"/>
        <v>53.555890429897758</v>
      </c>
      <c r="K950" s="292">
        <f t="shared" ca="1" si="214"/>
        <v>1.6687573073718422</v>
      </c>
      <c r="L950" s="1290">
        <f t="shared" ca="1" si="217"/>
        <v>27.954953157030062</v>
      </c>
      <c r="M950" s="299">
        <v>942</v>
      </c>
      <c r="N950" s="304">
        <f t="shared" si="218"/>
        <v>2900.5799369158285</v>
      </c>
      <c r="O950" s="303">
        <v>249.28980789919498</v>
      </c>
      <c r="P950" s="302">
        <v>0.35219068268790488</v>
      </c>
      <c r="Q950" s="301">
        <v>108.62220149426614</v>
      </c>
      <c r="R950" s="301">
        <v>49.078158402714962</v>
      </c>
      <c r="S950" s="300">
        <v>3.9125027764709608</v>
      </c>
      <c r="T950" s="891">
        <f t="shared" si="219"/>
        <v>64</v>
      </c>
      <c r="U950" s="1220">
        <v>0.62391555309295654</v>
      </c>
      <c r="W950" s="299">
        <v>942</v>
      </c>
      <c r="X950" s="298">
        <f>IF('Donor Sample'!N967="",,IF('Donor Sample'!N967="F",1,0))</f>
        <v>0</v>
      </c>
      <c r="Y950" s="298" t="str">
        <f>IF('Donor Sample'!O967="","",'Donor Sample'!O967)</f>
        <v/>
      </c>
      <c r="Z950" s="298" t="str">
        <f>IF(AND('Donor Sample'!O967="",'Donor Sample'!P967="",'Donor Sample'!Q967=""),"",IF('Donor Sample'!P967="",ROUND(AA950/($C$32+($AI950-0.5)*$C$31),0),'Donor Sample'!P967))</f>
        <v/>
      </c>
      <c r="AA950" s="297" t="str">
        <f>IF('Donor Sample'!Q967="","",'Donor Sample'!Q967)</f>
        <v/>
      </c>
      <c r="AB950" s="296" t="str">
        <f t="shared" ref="AB950:AB1008" si="223">IF(AND(Y950="",Z950="",AA950=""),"",IF(AA950="",IF(X950=0,604+IF($AB$2=1,0.006012,0.0003669)*Y950^3+IF($AB$2=1,14.6,32.187)*Z950,183+IF($AB$2=1,0.005835,0.0003561)*Y950^3+IF($AB$2=1,15,33.069)*Z950),AA950))</f>
        <v/>
      </c>
      <c r="AC950" s="295" t="str">
        <f>IF('Donor Sample'!R967="","",'Donor Sample'!R967)</f>
        <v/>
      </c>
      <c r="AD950" s="294" t="str">
        <f>IF('Donor Sample'!S967="","",'Donor Sample'!S967/100)</f>
        <v/>
      </c>
      <c r="AE950" s="293" t="e">
        <f t="shared" si="220"/>
        <v>#VALUE!</v>
      </c>
      <c r="AF950" s="293" t="str">
        <f t="shared" si="221"/>
        <v/>
      </c>
      <c r="AG950" s="292" t="str">
        <f>IF('Donor Sample'!T967="","",'Donor Sample'!T967)</f>
        <v/>
      </c>
      <c r="AH950" s="891">
        <f t="shared" si="222"/>
        <v>2</v>
      </c>
      <c r="AI950" s="1220">
        <v>2.9754042625427246E-2</v>
      </c>
      <c r="AJ950" s="1216"/>
    </row>
    <row r="951" spans="5:36">
      <c r="E951" s="299">
        <v>943</v>
      </c>
      <c r="F951" s="308">
        <f t="shared" ca="1" si="211"/>
        <v>3423.2714997295629</v>
      </c>
      <c r="G951" s="307">
        <f t="shared" ca="1" si="212"/>
        <v>180.49995640615796</v>
      </c>
      <c r="H951" s="306">
        <f t="shared" ca="1" si="213"/>
        <v>0.45396187981465902</v>
      </c>
      <c r="I951" s="305">
        <f t="shared" ca="1" si="215"/>
        <v>141.85030873155353</v>
      </c>
      <c r="J951" s="305">
        <f t="shared" ca="1" si="216"/>
        <v>49.927973299983563</v>
      </c>
      <c r="K951" s="292">
        <f t="shared" ca="1" si="214"/>
        <v>1.4106296129739555</v>
      </c>
      <c r="L951" s="1290">
        <f t="shared" ca="1" si="217"/>
        <v>40.060380488298371</v>
      </c>
      <c r="M951" s="299">
        <v>943</v>
      </c>
      <c r="N951" s="304">
        <f t="shared" si="218"/>
        <v>3785.4941301412641</v>
      </c>
      <c r="O951" s="303">
        <v>193.51102736333712</v>
      </c>
      <c r="P951" s="302">
        <v>0.4351397915522397</v>
      </c>
      <c r="Q951" s="301">
        <v>152.72352079289988</v>
      </c>
      <c r="R951" s="301">
        <v>54.09598582197367</v>
      </c>
      <c r="S951" s="300">
        <v>3.0708450014913353</v>
      </c>
      <c r="T951" s="891">
        <f t="shared" si="219"/>
        <v>2</v>
      </c>
      <c r="U951" s="1220">
        <v>0.22528034448623657</v>
      </c>
      <c r="W951" s="299">
        <v>943</v>
      </c>
      <c r="X951" s="298">
        <f>IF('Donor Sample'!N968="",,IF('Donor Sample'!N968="F",1,0))</f>
        <v>0</v>
      </c>
      <c r="Y951" s="298" t="str">
        <f>IF('Donor Sample'!O968="","",'Donor Sample'!O968)</f>
        <v/>
      </c>
      <c r="Z951" s="298" t="str">
        <f>IF(AND('Donor Sample'!O968="",'Donor Sample'!P968="",'Donor Sample'!Q968=""),"",IF('Donor Sample'!P968="",ROUND(AA951/($C$32+($AI951-0.5)*$C$31),0),'Donor Sample'!P968))</f>
        <v/>
      </c>
      <c r="AA951" s="297" t="str">
        <f>IF('Donor Sample'!Q968="","",'Donor Sample'!Q968)</f>
        <v/>
      </c>
      <c r="AB951" s="296" t="str">
        <f t="shared" si="223"/>
        <v/>
      </c>
      <c r="AC951" s="295" t="str">
        <f>IF('Donor Sample'!R968="","",'Donor Sample'!R968)</f>
        <v/>
      </c>
      <c r="AD951" s="294" t="str">
        <f>IF('Donor Sample'!S968="","",'Donor Sample'!S968/100)</f>
        <v/>
      </c>
      <c r="AE951" s="407" t="e">
        <f t="shared" si="220"/>
        <v>#VALUE!</v>
      </c>
      <c r="AF951" s="293" t="str">
        <f t="shared" si="221"/>
        <v/>
      </c>
      <c r="AG951" s="292" t="str">
        <f>IF('Donor Sample'!T968="","",'Donor Sample'!T968)</f>
        <v/>
      </c>
      <c r="AH951" s="891">
        <f t="shared" si="222"/>
        <v>64</v>
      </c>
      <c r="AI951" s="1220">
        <v>0.75044065713882446</v>
      </c>
      <c r="AJ951" s="1216"/>
    </row>
    <row r="952" spans="5:36">
      <c r="E952" s="299">
        <v>944</v>
      </c>
      <c r="F952" s="308">
        <f t="shared" ca="1" si="211"/>
        <v>2917.3534966649813</v>
      </c>
      <c r="G952" s="307">
        <f t="shared" ca="1" si="212"/>
        <v>218.74428354558654</v>
      </c>
      <c r="H952" s="306">
        <f t="shared" ca="1" si="213"/>
        <v>0.37797898763806242</v>
      </c>
      <c r="I952" s="305">
        <f t="shared" ca="1" si="215"/>
        <v>104.10410538634758</v>
      </c>
      <c r="J952" s="305">
        <f t="shared" ca="1" si="216"/>
        <v>50.913216035548189</v>
      </c>
      <c r="K952" s="292">
        <f t="shared" ca="1" si="214"/>
        <v>8.7363359790517396</v>
      </c>
      <c r="L952" s="1290">
        <f t="shared" ca="1" si="217"/>
        <v>28.273492194173901</v>
      </c>
      <c r="M952" s="299">
        <v>944</v>
      </c>
      <c r="N952" s="304">
        <f t="shared" si="218"/>
        <v>2681.4029819138113</v>
      </c>
      <c r="O952" s="303">
        <v>270.48486661427546</v>
      </c>
      <c r="P952" s="302">
        <v>0.42184702021713355</v>
      </c>
      <c r="Q952" s="301">
        <v>102.79151240040085</v>
      </c>
      <c r="R952" s="301">
        <v>45.77520839412886</v>
      </c>
      <c r="S952" s="300">
        <v>1.3074601792194969</v>
      </c>
      <c r="T952" s="891">
        <f t="shared" si="219"/>
        <v>256</v>
      </c>
      <c r="U952" s="1220">
        <v>0.85056829452514648</v>
      </c>
      <c r="W952" s="299">
        <v>944</v>
      </c>
      <c r="X952" s="298">
        <f>IF('Donor Sample'!N969="",,IF('Donor Sample'!N969="F",1,0))</f>
        <v>0</v>
      </c>
      <c r="Y952" s="298" t="str">
        <f>IF('Donor Sample'!O969="","",'Donor Sample'!O969)</f>
        <v/>
      </c>
      <c r="Z952" s="298" t="str">
        <f>IF(AND('Donor Sample'!O969="",'Donor Sample'!P969="",'Donor Sample'!Q969=""),"",IF('Donor Sample'!P969="",ROUND(AA952/($C$32+($AI952-0.5)*$C$31),0),'Donor Sample'!P969))</f>
        <v/>
      </c>
      <c r="AA952" s="297" t="str">
        <f>IF('Donor Sample'!Q969="","",'Donor Sample'!Q969)</f>
        <v/>
      </c>
      <c r="AB952" s="296" t="str">
        <f t="shared" si="223"/>
        <v/>
      </c>
      <c r="AC952" s="295" t="str">
        <f>IF('Donor Sample'!R969="","",'Donor Sample'!R969)</f>
        <v/>
      </c>
      <c r="AD952" s="294" t="str">
        <f>IF('Donor Sample'!S969="","",'Donor Sample'!S969/100)</f>
        <v/>
      </c>
      <c r="AE952" s="293" t="e">
        <f t="shared" si="220"/>
        <v>#VALUE!</v>
      </c>
      <c r="AF952" s="293" t="str">
        <f t="shared" si="221"/>
        <v/>
      </c>
      <c r="AG952" s="292" t="str">
        <f>IF('Donor Sample'!T969="","",'Donor Sample'!T969)</f>
        <v/>
      </c>
      <c r="AH952" s="891">
        <f t="shared" si="222"/>
        <v>64</v>
      </c>
      <c r="AI952" s="1220">
        <v>0.54706001281738281</v>
      </c>
      <c r="AJ952" s="1216"/>
    </row>
    <row r="953" spans="5:36">
      <c r="E953" s="299">
        <v>945</v>
      </c>
      <c r="F953" s="308">
        <f t="shared" ca="1" si="211"/>
        <v>4116.6695715988644</v>
      </c>
      <c r="G953" s="307">
        <f t="shared" ca="1" si="212"/>
        <v>209.64294744533879</v>
      </c>
      <c r="H953" s="306">
        <f t="shared" ca="1" si="213"/>
        <v>0.38642722754751518</v>
      </c>
      <c r="I953" s="305">
        <f t="shared" ca="1" si="215"/>
        <v>143.76411855818398</v>
      </c>
      <c r="J953" s="305">
        <f t="shared" ca="1" si="216"/>
        <v>67.282034632158869</v>
      </c>
      <c r="K953" s="292">
        <f t="shared" ca="1" si="214"/>
        <v>2.1590840640419176</v>
      </c>
      <c r="L953" s="1290">
        <f t="shared" ca="1" si="217"/>
        <v>22.35758716962442</v>
      </c>
      <c r="M953" s="299">
        <v>945</v>
      </c>
      <c r="N953" s="304">
        <f t="shared" si="218"/>
        <v>3842.6984221237562</v>
      </c>
      <c r="O953" s="303">
        <v>224.15354261114538</v>
      </c>
      <c r="P953" s="302">
        <v>0.44979241252084906</v>
      </c>
      <c r="Q953" s="301">
        <v>131.33238561811882</v>
      </c>
      <c r="R953" s="301">
        <v>66.159263814927272</v>
      </c>
      <c r="S953" s="300">
        <v>1.658846496591226</v>
      </c>
      <c r="T953" s="891">
        <f t="shared" si="219"/>
        <v>4</v>
      </c>
      <c r="U953" s="1220">
        <v>0.37405747175216675</v>
      </c>
      <c r="W953" s="299">
        <v>945</v>
      </c>
      <c r="X953" s="298">
        <f>IF('Donor Sample'!N970="",,IF('Donor Sample'!N970="F",1,0))</f>
        <v>0</v>
      </c>
      <c r="Y953" s="298" t="str">
        <f>IF('Donor Sample'!O970="","",'Donor Sample'!O970)</f>
        <v/>
      </c>
      <c r="Z953" s="298" t="str">
        <f>IF(AND('Donor Sample'!O970="",'Donor Sample'!P970="",'Donor Sample'!Q970=""),"",IF('Donor Sample'!P970="",ROUND(AA953/($C$32+($AI953-0.5)*$C$31),0),'Donor Sample'!P970))</f>
        <v/>
      </c>
      <c r="AA953" s="297" t="str">
        <f>IF('Donor Sample'!Q970="","",'Donor Sample'!Q970)</f>
        <v/>
      </c>
      <c r="AB953" s="296" t="str">
        <f t="shared" si="223"/>
        <v/>
      </c>
      <c r="AC953" s="295" t="str">
        <f>IF('Donor Sample'!R970="","",'Donor Sample'!R970)</f>
        <v/>
      </c>
      <c r="AD953" s="294" t="str">
        <f>IF('Donor Sample'!S970="","",'Donor Sample'!S970/100)</f>
        <v/>
      </c>
      <c r="AE953" s="293" t="e">
        <f t="shared" si="220"/>
        <v>#VALUE!</v>
      </c>
      <c r="AF953" s="293" t="str">
        <f t="shared" si="221"/>
        <v/>
      </c>
      <c r="AG953" s="292" t="str">
        <f>IF('Donor Sample'!T970="","",'Donor Sample'!T970)</f>
        <v/>
      </c>
      <c r="AH953" s="891">
        <f t="shared" si="222"/>
        <v>16</v>
      </c>
      <c r="AI953" s="1220">
        <v>0.96866434812545776</v>
      </c>
      <c r="AJ953" s="1216"/>
    </row>
    <row r="954" spans="5:36">
      <c r="E954" s="299">
        <v>946</v>
      </c>
      <c r="F954" s="308">
        <f t="shared" ca="1" si="211"/>
        <v>3933.5300660292405</v>
      </c>
      <c r="G954" s="307">
        <f t="shared" ca="1" si="212"/>
        <v>215.92979294341794</v>
      </c>
      <c r="H954" s="306">
        <f t="shared" ca="1" si="213"/>
        <v>0.4236298379080497</v>
      </c>
      <c r="I954" s="305">
        <f t="shared" ca="1" si="215"/>
        <v>147.44442335639673</v>
      </c>
      <c r="J954" s="305">
        <f t="shared" ca="1" si="216"/>
        <v>58.06302601837077</v>
      </c>
      <c r="K954" s="292">
        <f t="shared" ca="1" si="214"/>
        <v>1.4402418431136357</v>
      </c>
      <c r="L954" s="1290">
        <f t="shared" ca="1" si="217"/>
        <v>30.78943211719282</v>
      </c>
      <c r="M954" s="299">
        <v>946</v>
      </c>
      <c r="N954" s="304">
        <f t="shared" si="218"/>
        <v>3716.4358999373017</v>
      </c>
      <c r="O954" s="303">
        <v>221.83016904176367</v>
      </c>
      <c r="P954" s="302">
        <v>0.4325401112844966</v>
      </c>
      <c r="Q954" s="301">
        <v>122.49830385463312</v>
      </c>
      <c r="R954" s="301">
        <v>60.388193318475217</v>
      </c>
      <c r="S954" s="300">
        <v>2.5119569190339286</v>
      </c>
      <c r="T954" s="891">
        <f t="shared" si="219"/>
        <v>64</v>
      </c>
      <c r="U954" s="1220">
        <v>0.54303085803985596</v>
      </c>
      <c r="W954" s="299">
        <v>946</v>
      </c>
      <c r="X954" s="298">
        <f>IF('Donor Sample'!N971="",,IF('Donor Sample'!N971="F",1,0))</f>
        <v>0</v>
      </c>
      <c r="Y954" s="298" t="str">
        <f>IF('Donor Sample'!O971="","",'Donor Sample'!O971)</f>
        <v/>
      </c>
      <c r="Z954" s="298" t="str">
        <f>IF(AND('Donor Sample'!O971="",'Donor Sample'!P971="",'Donor Sample'!Q971=""),"",IF('Donor Sample'!P971="",ROUND(AA954/($C$32+($AI954-0.5)*$C$31),0),'Donor Sample'!P971))</f>
        <v/>
      </c>
      <c r="AA954" s="297" t="str">
        <f>IF('Donor Sample'!Q971="","",'Donor Sample'!Q971)</f>
        <v/>
      </c>
      <c r="AB954" s="296" t="str">
        <f t="shared" si="223"/>
        <v/>
      </c>
      <c r="AC954" s="295" t="str">
        <f>IF('Donor Sample'!R971="","",'Donor Sample'!R971)</f>
        <v/>
      </c>
      <c r="AD954" s="294" t="str">
        <f>IF('Donor Sample'!S971="","",'Donor Sample'!S971/100)</f>
        <v/>
      </c>
      <c r="AE954" s="407" t="e">
        <f t="shared" si="220"/>
        <v>#VALUE!</v>
      </c>
      <c r="AF954" s="293" t="str">
        <f t="shared" si="221"/>
        <v/>
      </c>
      <c r="AG954" s="292" t="str">
        <f>IF('Donor Sample'!T971="","",'Donor Sample'!T971)</f>
        <v/>
      </c>
      <c r="AH954" s="891">
        <f t="shared" si="222"/>
        <v>2</v>
      </c>
      <c r="AI954" s="1220">
        <v>0.20696413516998291</v>
      </c>
      <c r="AJ954" s="1216"/>
    </row>
    <row r="955" spans="5:36">
      <c r="E955" s="299">
        <v>947</v>
      </c>
      <c r="F955" s="308">
        <f t="shared" ca="1" si="211"/>
        <v>3354.7263351225006</v>
      </c>
      <c r="G955" s="307">
        <f t="shared" ca="1" si="212"/>
        <v>251.84370305529188</v>
      </c>
      <c r="H955" s="306">
        <f t="shared" ca="1" si="213"/>
        <v>0.42319976727980924</v>
      </c>
      <c r="I955" s="305">
        <f t="shared" ca="1" si="215"/>
        <v>134.71981561676645</v>
      </c>
      <c r="J955" s="305">
        <f t="shared" ca="1" si="216"/>
        <v>50.70668751132478</v>
      </c>
      <c r="K955" s="292">
        <f t="shared" ca="1" si="214"/>
        <v>5.2328280417960027</v>
      </c>
      <c r="L955" s="1290">
        <f t="shared" ca="1" si="217"/>
        <v>36.887027355802104</v>
      </c>
      <c r="M955" s="299">
        <v>947</v>
      </c>
      <c r="N955" s="304">
        <f t="shared" si="218"/>
        <v>3624.6825272638689</v>
      </c>
      <c r="O955" s="303">
        <v>252.98705942726539</v>
      </c>
      <c r="P955" s="302">
        <v>0.37869350463487644</v>
      </c>
      <c r="Q955" s="301">
        <v>128.28505199472542</v>
      </c>
      <c r="R955" s="301">
        <v>57.580101062701416</v>
      </c>
      <c r="S955" s="300">
        <v>1.7105343044662173</v>
      </c>
      <c r="T955" s="891">
        <f t="shared" si="219"/>
        <v>2</v>
      </c>
      <c r="U955" s="1220">
        <v>5.2879452705383301E-3</v>
      </c>
      <c r="W955" s="299">
        <v>947</v>
      </c>
      <c r="X955" s="298">
        <f>IF('Donor Sample'!N972="",,IF('Donor Sample'!N972="F",1,0))</f>
        <v>0</v>
      </c>
      <c r="Y955" s="298" t="str">
        <f>IF('Donor Sample'!O972="","",'Donor Sample'!O972)</f>
        <v/>
      </c>
      <c r="Z955" s="298" t="str">
        <f>IF(AND('Donor Sample'!O972="",'Donor Sample'!P972="",'Donor Sample'!Q972=""),"",IF('Donor Sample'!P972="",ROUND(AA955/($C$32+($AI955-0.5)*$C$31),0),'Donor Sample'!P972))</f>
        <v/>
      </c>
      <c r="AA955" s="297" t="str">
        <f>IF('Donor Sample'!Q972="","",'Donor Sample'!Q972)</f>
        <v/>
      </c>
      <c r="AB955" s="296" t="str">
        <f t="shared" si="223"/>
        <v/>
      </c>
      <c r="AC955" s="295" t="str">
        <f>IF('Donor Sample'!R972="","",'Donor Sample'!R972)</f>
        <v/>
      </c>
      <c r="AD955" s="294" t="str">
        <f>IF('Donor Sample'!S972="","",'Donor Sample'!S972/100)</f>
        <v/>
      </c>
      <c r="AE955" s="293" t="e">
        <f t="shared" si="220"/>
        <v>#VALUE!</v>
      </c>
      <c r="AF955" s="293" t="str">
        <f t="shared" si="221"/>
        <v/>
      </c>
      <c r="AG955" s="292" t="str">
        <f>IF('Donor Sample'!T972="","",'Donor Sample'!T972)</f>
        <v/>
      </c>
      <c r="AH955" s="891">
        <f t="shared" si="222"/>
        <v>2</v>
      </c>
      <c r="AI955" s="1220">
        <v>0.17022639513015747</v>
      </c>
      <c r="AJ955" s="1216"/>
    </row>
    <row r="956" spans="5:36">
      <c r="E956" s="299">
        <v>948</v>
      </c>
      <c r="F956" s="308">
        <f t="shared" ca="1" si="211"/>
        <v>2729.3366129718002</v>
      </c>
      <c r="G956" s="307">
        <f t="shared" ca="1" si="212"/>
        <v>220.94171234853019</v>
      </c>
      <c r="H956" s="306">
        <f t="shared" ca="1" si="213"/>
        <v>0.45120621512022629</v>
      </c>
      <c r="I956" s="305">
        <f t="shared" ca="1" si="215"/>
        <v>90.592262399980015</v>
      </c>
      <c r="J956" s="305">
        <f t="shared" ca="1" si="216"/>
        <v>51.11043196689468</v>
      </c>
      <c r="K956" s="292">
        <f t="shared" ca="1" si="214"/>
        <v>2.5027842872156634</v>
      </c>
      <c r="L956" s="1290">
        <f t="shared" ca="1" si="217"/>
        <v>24.414321642645394</v>
      </c>
      <c r="M956" s="299">
        <v>948</v>
      </c>
      <c r="N956" s="304">
        <f t="shared" si="218"/>
        <v>3163.4543217003279</v>
      </c>
      <c r="O956" s="303">
        <v>200.18083158637674</v>
      </c>
      <c r="P956" s="302">
        <v>0.43950568787311234</v>
      </c>
      <c r="Q956" s="301">
        <v>109.07435412616788</v>
      </c>
      <c r="R956" s="301">
        <v>54.383166267524807</v>
      </c>
      <c r="S956" s="300">
        <v>1.749881206574633</v>
      </c>
      <c r="T956" s="891">
        <f t="shared" si="219"/>
        <v>2</v>
      </c>
      <c r="U956" s="1220">
        <v>0.14848494529724121</v>
      </c>
      <c r="W956" s="299">
        <v>948</v>
      </c>
      <c r="X956" s="298">
        <f>IF('Donor Sample'!N973="",,IF('Donor Sample'!N973="F",1,0))</f>
        <v>0</v>
      </c>
      <c r="Y956" s="298" t="str">
        <f>IF('Donor Sample'!O973="","",'Donor Sample'!O973)</f>
        <v/>
      </c>
      <c r="Z956" s="298" t="str">
        <f>IF(AND('Donor Sample'!O973="",'Donor Sample'!P973="",'Donor Sample'!Q973=""),"",IF('Donor Sample'!P973="",ROUND(AA956/($C$32+($AI956-0.5)*$C$31),0),'Donor Sample'!P973))</f>
        <v/>
      </c>
      <c r="AA956" s="297" t="str">
        <f>IF('Donor Sample'!Q973="","",'Donor Sample'!Q973)</f>
        <v/>
      </c>
      <c r="AB956" s="296" t="str">
        <f t="shared" si="223"/>
        <v/>
      </c>
      <c r="AC956" s="295" t="str">
        <f>IF('Donor Sample'!R973="","",'Donor Sample'!R973)</f>
        <v/>
      </c>
      <c r="AD956" s="294" t="str">
        <f>IF('Donor Sample'!S973="","",'Donor Sample'!S973/100)</f>
        <v/>
      </c>
      <c r="AE956" s="293" t="e">
        <f t="shared" si="220"/>
        <v>#VALUE!</v>
      </c>
      <c r="AF956" s="293" t="str">
        <f t="shared" si="221"/>
        <v/>
      </c>
      <c r="AG956" s="292" t="str">
        <f>IF('Donor Sample'!T973="","",'Donor Sample'!T973)</f>
        <v/>
      </c>
      <c r="AH956" s="891">
        <f t="shared" si="222"/>
        <v>64</v>
      </c>
      <c r="AI956" s="1220">
        <v>0.68345475196838379</v>
      </c>
      <c r="AJ956" s="1216"/>
    </row>
    <row r="957" spans="5:36">
      <c r="E957" s="299">
        <v>949</v>
      </c>
      <c r="F957" s="308">
        <f t="shared" ca="1" si="211"/>
        <v>3177.1880692575819</v>
      </c>
      <c r="G957" s="307">
        <f t="shared" ca="1" si="212"/>
        <v>193.77218499359634</v>
      </c>
      <c r="H957" s="306">
        <f t="shared" ca="1" si="213"/>
        <v>0.43519159039344479</v>
      </c>
      <c r="I957" s="305">
        <f t="shared" ca="1" si="215"/>
        <v>115.42340342159387</v>
      </c>
      <c r="J957" s="305">
        <f t="shared" ca="1" si="216"/>
        <v>52.860634437074737</v>
      </c>
      <c r="K957" s="292">
        <f t="shared" ca="1" si="214"/>
        <v>1.3611406970193949</v>
      </c>
      <c r="L957" s="1290">
        <f t="shared" ca="1" si="217"/>
        <v>29.080494858008318</v>
      </c>
      <c r="M957" s="299">
        <v>949</v>
      </c>
      <c r="N957" s="304">
        <f t="shared" si="218"/>
        <v>3633.0818455205854</v>
      </c>
      <c r="O957" s="303">
        <v>230.88827090223106</v>
      </c>
      <c r="P957" s="302">
        <v>0.39050045861687388</v>
      </c>
      <c r="Q957" s="301">
        <v>130.97083615599178</v>
      </c>
      <c r="R957" s="301">
        <v>57.060130810394931</v>
      </c>
      <c r="S957" s="300">
        <v>1.4261316349947997</v>
      </c>
      <c r="T957" s="891">
        <f t="shared" si="219"/>
        <v>32</v>
      </c>
      <c r="U957" s="1220">
        <v>0.81648916006088257</v>
      </c>
      <c r="W957" s="299">
        <v>949</v>
      </c>
      <c r="X957" s="298">
        <f>IF('Donor Sample'!N974="",,IF('Donor Sample'!N974="F",1,0))</f>
        <v>0</v>
      </c>
      <c r="Y957" s="298" t="str">
        <f>IF('Donor Sample'!O974="","",'Donor Sample'!O974)</f>
        <v/>
      </c>
      <c r="Z957" s="298" t="str">
        <f>IF(AND('Donor Sample'!O974="",'Donor Sample'!P974="",'Donor Sample'!Q974=""),"",IF('Donor Sample'!P974="",ROUND(AA957/($C$32+($AI957-0.5)*$C$31),0),'Donor Sample'!P974))</f>
        <v/>
      </c>
      <c r="AA957" s="297" t="str">
        <f>IF('Donor Sample'!Q974="","",'Donor Sample'!Q974)</f>
        <v/>
      </c>
      <c r="AB957" s="296" t="str">
        <f t="shared" si="223"/>
        <v/>
      </c>
      <c r="AC957" s="295" t="str">
        <f>IF('Donor Sample'!R974="","",'Donor Sample'!R974)</f>
        <v/>
      </c>
      <c r="AD957" s="294" t="str">
        <f>IF('Donor Sample'!S974="","",'Donor Sample'!S974/100)</f>
        <v/>
      </c>
      <c r="AE957" s="407" t="e">
        <f t="shared" si="220"/>
        <v>#VALUE!</v>
      </c>
      <c r="AF957" s="293" t="str">
        <f t="shared" si="221"/>
        <v/>
      </c>
      <c r="AG957" s="292" t="str">
        <f>IF('Donor Sample'!T974="","",'Donor Sample'!T974)</f>
        <v/>
      </c>
      <c r="AH957" s="891">
        <f t="shared" si="222"/>
        <v>64</v>
      </c>
      <c r="AI957" s="1220">
        <v>0.62222427129745483</v>
      </c>
      <c r="AJ957" s="1216"/>
    </row>
    <row r="958" spans="5:36">
      <c r="E958" s="299">
        <v>950</v>
      </c>
      <c r="F958" s="308">
        <f t="shared" ca="1" si="211"/>
        <v>3892.475654623398</v>
      </c>
      <c r="G958" s="307">
        <f t="shared" ca="1" si="212"/>
        <v>193.17746235695296</v>
      </c>
      <c r="H958" s="306">
        <f t="shared" ca="1" si="213"/>
        <v>0.38334932696571156</v>
      </c>
      <c r="I958" s="305">
        <f t="shared" ca="1" si="215"/>
        <v>132.13440045016932</v>
      </c>
      <c r="J958" s="305">
        <f t="shared" ca="1" si="216"/>
        <v>60.92097934238069</v>
      </c>
      <c r="K958" s="292">
        <f t="shared" ca="1" si="214"/>
        <v>1.9273633260764111</v>
      </c>
      <c r="L958" s="1290">
        <f t="shared" ca="1" si="217"/>
        <v>25.064255272528243</v>
      </c>
      <c r="M958" s="299">
        <v>950</v>
      </c>
      <c r="N958" s="304">
        <f t="shared" si="218"/>
        <v>3488.9924403204468</v>
      </c>
      <c r="O958" s="303">
        <v>196.98054175202279</v>
      </c>
      <c r="P958" s="302">
        <v>0.47342117258399979</v>
      </c>
      <c r="Q958" s="301">
        <v>143.10949299701835</v>
      </c>
      <c r="R958" s="301">
        <v>50.959381364439842</v>
      </c>
      <c r="S958" s="300">
        <v>6.0336109107604328</v>
      </c>
      <c r="T958" s="891">
        <f t="shared" si="219"/>
        <v>64</v>
      </c>
      <c r="U958" s="1220">
        <v>0.4571908712387085</v>
      </c>
      <c r="W958" s="299">
        <v>950</v>
      </c>
      <c r="X958" s="298">
        <f>IF('Donor Sample'!N975="",,IF('Donor Sample'!N975="F",1,0))</f>
        <v>0</v>
      </c>
      <c r="Y958" s="298" t="str">
        <f>IF('Donor Sample'!O975="","",'Donor Sample'!O975)</f>
        <v/>
      </c>
      <c r="Z958" s="298" t="str">
        <f>IF(AND('Donor Sample'!O975="",'Donor Sample'!P975="",'Donor Sample'!Q975=""),"",IF('Donor Sample'!P975="",ROUND(AA958/($C$32+($AI958-0.5)*$C$31),0),'Donor Sample'!P975))</f>
        <v/>
      </c>
      <c r="AA958" s="297" t="str">
        <f>IF('Donor Sample'!Q975="","",'Donor Sample'!Q975)</f>
        <v/>
      </c>
      <c r="AB958" s="296" t="str">
        <f t="shared" si="223"/>
        <v/>
      </c>
      <c r="AC958" s="295" t="str">
        <f>IF('Donor Sample'!R975="","",'Donor Sample'!R975)</f>
        <v/>
      </c>
      <c r="AD958" s="294" t="str">
        <f>IF('Donor Sample'!S975="","",'Donor Sample'!S975/100)</f>
        <v/>
      </c>
      <c r="AE958" s="293" t="e">
        <f t="shared" si="220"/>
        <v>#VALUE!</v>
      </c>
      <c r="AF958" s="293" t="str">
        <f t="shared" si="221"/>
        <v/>
      </c>
      <c r="AG958" s="292" t="str">
        <f>IF('Donor Sample'!T975="","",'Donor Sample'!T975)</f>
        <v/>
      </c>
      <c r="AH958" s="891">
        <f t="shared" si="222"/>
        <v>2</v>
      </c>
      <c r="AI958" s="1220">
        <v>0.3080519437789917</v>
      </c>
      <c r="AJ958" s="1216"/>
    </row>
    <row r="959" spans="5:36">
      <c r="E959" s="299">
        <v>951</v>
      </c>
      <c r="F959" s="308">
        <f t="shared" ca="1" si="211"/>
        <v>3515.7553167819469</v>
      </c>
      <c r="G959" s="307">
        <f t="shared" ca="1" si="212"/>
        <v>198.15706344781449</v>
      </c>
      <c r="H959" s="306">
        <f t="shared" ca="1" si="213"/>
        <v>0.3829604723650839</v>
      </c>
      <c r="I959" s="305">
        <f t="shared" ca="1" si="215"/>
        <v>126.35496216766624</v>
      </c>
      <c r="J959" s="305">
        <f t="shared" ca="1" si="216"/>
        <v>62.687656866947457</v>
      </c>
      <c r="K959" s="292">
        <f t="shared" ca="1" si="214"/>
        <v>3.446013803682491</v>
      </c>
      <c r="L959" s="1290">
        <f t="shared" ca="1" si="217"/>
        <v>22.636062633117355</v>
      </c>
      <c r="M959" s="299">
        <v>951</v>
      </c>
      <c r="N959" s="304">
        <f t="shared" si="218"/>
        <v>3684.2504752020445</v>
      </c>
      <c r="O959" s="303">
        <v>282.7863647072021</v>
      </c>
      <c r="P959" s="302">
        <v>0.44573505896632265</v>
      </c>
      <c r="Q959" s="301">
        <v>114.57263735605547</v>
      </c>
      <c r="R959" s="301">
        <v>67.35077964149815</v>
      </c>
      <c r="S959" s="300">
        <v>14.24743989484694</v>
      </c>
      <c r="T959" s="891">
        <f t="shared" si="219"/>
        <v>32</v>
      </c>
      <c r="U959" s="1220">
        <v>0.78844267129898071</v>
      </c>
      <c r="W959" s="299">
        <v>951</v>
      </c>
      <c r="X959" s="298">
        <f>IF('Donor Sample'!N976="",,IF('Donor Sample'!N976="F",1,0))</f>
        <v>0</v>
      </c>
      <c r="Y959" s="298" t="str">
        <f>IF('Donor Sample'!O976="","",'Donor Sample'!O976)</f>
        <v/>
      </c>
      <c r="Z959" s="298" t="str">
        <f>IF(AND('Donor Sample'!O976="",'Donor Sample'!P976="",'Donor Sample'!Q976=""),"",IF('Donor Sample'!P976="",ROUND(AA959/($C$32+($AI959-0.5)*$C$31),0),'Donor Sample'!P976))</f>
        <v/>
      </c>
      <c r="AA959" s="297" t="str">
        <f>IF('Donor Sample'!Q976="","",'Donor Sample'!Q976)</f>
        <v/>
      </c>
      <c r="AB959" s="296" t="str">
        <f t="shared" si="223"/>
        <v/>
      </c>
      <c r="AC959" s="295" t="str">
        <f>IF('Donor Sample'!R976="","",'Donor Sample'!R976)</f>
        <v/>
      </c>
      <c r="AD959" s="294" t="str">
        <f>IF('Donor Sample'!S976="","",'Donor Sample'!S976/100)</f>
        <v/>
      </c>
      <c r="AE959" s="293" t="e">
        <f t="shared" si="220"/>
        <v>#VALUE!</v>
      </c>
      <c r="AF959" s="293" t="str">
        <f t="shared" si="221"/>
        <v/>
      </c>
      <c r="AG959" s="292" t="str">
        <f>IF('Donor Sample'!T976="","",'Donor Sample'!T976)</f>
        <v/>
      </c>
      <c r="AH959" s="891">
        <f t="shared" si="222"/>
        <v>128</v>
      </c>
      <c r="AI959" s="1220">
        <v>0.9316602349281311</v>
      </c>
      <c r="AJ959" s="1216"/>
    </row>
    <row r="960" spans="5:36">
      <c r="E960" s="299">
        <v>952</v>
      </c>
      <c r="F960" s="308">
        <f t="shared" ca="1" si="211"/>
        <v>3711.1188982258973</v>
      </c>
      <c r="G960" s="307">
        <f t="shared" ca="1" si="212"/>
        <v>214.19575066731636</v>
      </c>
      <c r="H960" s="306">
        <f t="shared" ca="1" si="213"/>
        <v>0.46184234728527535</v>
      </c>
      <c r="I960" s="305">
        <f t="shared" ca="1" si="215"/>
        <v>140.99438343541439</v>
      </c>
      <c r="J960" s="305">
        <f t="shared" ca="1" si="216"/>
        <v>55.872368848251661</v>
      </c>
      <c r="K960" s="292">
        <f t="shared" ca="1" si="214"/>
        <v>3.6614766255534374</v>
      </c>
      <c r="L960" s="1290">
        <f t="shared" ca="1" si="217"/>
        <v>31.796572095280553</v>
      </c>
      <c r="M960" s="299">
        <v>952</v>
      </c>
      <c r="N960" s="304">
        <f t="shared" si="218"/>
        <v>3012.686007289607</v>
      </c>
      <c r="O960" s="303">
        <v>244.32402158911214</v>
      </c>
      <c r="P960" s="302">
        <v>0.37885142045410236</v>
      </c>
      <c r="Q960" s="301">
        <v>119.07673671838695</v>
      </c>
      <c r="R960" s="301">
        <v>48.126882553552129</v>
      </c>
      <c r="S960" s="300">
        <v>5.6655130444276631</v>
      </c>
      <c r="T960" s="891">
        <f t="shared" si="219"/>
        <v>64</v>
      </c>
      <c r="U960" s="1220">
        <v>0.47211647033691406</v>
      </c>
      <c r="W960" s="299">
        <v>952</v>
      </c>
      <c r="X960" s="298">
        <f>IF('Donor Sample'!N977="",,IF('Donor Sample'!N977="F",1,0))</f>
        <v>0</v>
      </c>
      <c r="Y960" s="298" t="str">
        <f>IF('Donor Sample'!O977="","",'Donor Sample'!O977)</f>
        <v/>
      </c>
      <c r="Z960" s="298" t="str">
        <f>IF(AND('Donor Sample'!O977="",'Donor Sample'!P977="",'Donor Sample'!Q977=""),"",IF('Donor Sample'!P977="",ROUND(AA960/($C$32+($AI960-0.5)*$C$31),0),'Donor Sample'!P977))</f>
        <v/>
      </c>
      <c r="AA960" s="297" t="str">
        <f>IF('Donor Sample'!Q977="","",'Donor Sample'!Q977)</f>
        <v/>
      </c>
      <c r="AB960" s="296" t="str">
        <f t="shared" si="223"/>
        <v/>
      </c>
      <c r="AC960" s="295" t="str">
        <f>IF('Donor Sample'!R977="","",'Donor Sample'!R977)</f>
        <v/>
      </c>
      <c r="AD960" s="294" t="str">
        <f>IF('Donor Sample'!S977="","",'Donor Sample'!S977/100)</f>
        <v/>
      </c>
      <c r="AE960" s="407" t="e">
        <f t="shared" si="220"/>
        <v>#VALUE!</v>
      </c>
      <c r="AF960" s="293" t="str">
        <f t="shared" si="221"/>
        <v/>
      </c>
      <c r="AG960" s="292" t="str">
        <f>IF('Donor Sample'!T977="","",'Donor Sample'!T977)</f>
        <v/>
      </c>
      <c r="AH960" s="891">
        <f t="shared" si="222"/>
        <v>64</v>
      </c>
      <c r="AI960" s="1220">
        <v>0.45506143569946289</v>
      </c>
      <c r="AJ960" s="1216"/>
    </row>
    <row r="961" spans="5:36">
      <c r="E961" s="299">
        <v>953</v>
      </c>
      <c r="F961" s="308">
        <f t="shared" ca="1" si="211"/>
        <v>3119.5960505245253</v>
      </c>
      <c r="G961" s="307">
        <f t="shared" ca="1" si="212"/>
        <v>237.04695674463127</v>
      </c>
      <c r="H961" s="306">
        <f t="shared" ca="1" si="213"/>
        <v>0.46326855340605105</v>
      </c>
      <c r="I961" s="305">
        <f t="shared" ca="1" si="215"/>
        <v>107.65610649472194</v>
      </c>
      <c r="J961" s="305">
        <f t="shared" ca="1" si="216"/>
        <v>53.94562866062634</v>
      </c>
      <c r="K961" s="292">
        <f t="shared" ca="1" si="214"/>
        <v>1.2527460116633888</v>
      </c>
      <c r="L961" s="1290">
        <f t="shared" ca="1" si="217"/>
        <v>26.043467746775093</v>
      </c>
      <c r="M961" s="299">
        <v>953</v>
      </c>
      <c r="N961" s="304">
        <f t="shared" si="218"/>
        <v>2926.4451720133093</v>
      </c>
      <c r="O961" s="303">
        <v>231.37929491258416</v>
      </c>
      <c r="P961" s="302">
        <v>0.38523670851398195</v>
      </c>
      <c r="Q961" s="301">
        <v>100.55201117986846</v>
      </c>
      <c r="R961" s="301">
        <v>52.184919526927672</v>
      </c>
      <c r="S961" s="300">
        <v>1.4125648738154055</v>
      </c>
      <c r="T961" s="891">
        <f t="shared" si="219"/>
        <v>2</v>
      </c>
      <c r="U961" s="1220">
        <v>7.6307475566864014E-2</v>
      </c>
      <c r="W961" s="299">
        <v>953</v>
      </c>
      <c r="X961" s="298">
        <f>IF('Donor Sample'!N978="",,IF('Donor Sample'!N978="F",1,0))</f>
        <v>0</v>
      </c>
      <c r="Y961" s="298" t="str">
        <f>IF('Donor Sample'!O978="","",'Donor Sample'!O978)</f>
        <v/>
      </c>
      <c r="Z961" s="298" t="str">
        <f>IF(AND('Donor Sample'!O978="",'Donor Sample'!P978="",'Donor Sample'!Q978=""),"",IF('Donor Sample'!P978="",ROUND(AA961/($C$32+($AI961-0.5)*$C$31),0),'Donor Sample'!P978))</f>
        <v/>
      </c>
      <c r="AA961" s="297" t="str">
        <f>IF('Donor Sample'!Q978="","",'Donor Sample'!Q978)</f>
        <v/>
      </c>
      <c r="AB961" s="296" t="str">
        <f t="shared" si="223"/>
        <v/>
      </c>
      <c r="AC961" s="295" t="str">
        <f>IF('Donor Sample'!R978="","",'Donor Sample'!R978)</f>
        <v/>
      </c>
      <c r="AD961" s="294" t="str">
        <f>IF('Donor Sample'!S978="","",'Donor Sample'!S978/100)</f>
        <v/>
      </c>
      <c r="AE961" s="293" t="e">
        <f t="shared" si="220"/>
        <v>#VALUE!</v>
      </c>
      <c r="AF961" s="293" t="str">
        <f t="shared" si="221"/>
        <v/>
      </c>
      <c r="AG961" s="292" t="str">
        <f>IF('Donor Sample'!T978="","",'Donor Sample'!T978)</f>
        <v/>
      </c>
      <c r="AH961" s="891">
        <f t="shared" si="222"/>
        <v>4</v>
      </c>
      <c r="AI961" s="1220">
        <v>0.38967961072921753</v>
      </c>
      <c r="AJ961" s="1216"/>
    </row>
    <row r="962" spans="5:36">
      <c r="E962" s="299">
        <v>954</v>
      </c>
      <c r="F962" s="308">
        <f t="shared" ca="1" si="211"/>
        <v>2817.6127654501397</v>
      </c>
      <c r="G962" s="307">
        <f t="shared" ca="1" si="212"/>
        <v>246.39052978107765</v>
      </c>
      <c r="H962" s="306">
        <f t="shared" ca="1" si="213"/>
        <v>0.46690725047728421</v>
      </c>
      <c r="I962" s="305">
        <f t="shared" ca="1" si="215"/>
        <v>90.547165577906966</v>
      </c>
      <c r="J962" s="305">
        <f t="shared" ca="1" si="216"/>
        <v>52.932322522933497</v>
      </c>
      <c r="K962" s="292">
        <f t="shared" ca="1" si="214"/>
        <v>1.383023668301234</v>
      </c>
      <c r="L962" s="1290">
        <f t="shared" ca="1" si="217"/>
        <v>22.751268671310513</v>
      </c>
      <c r="M962" s="299">
        <v>954</v>
      </c>
      <c r="N962" s="304">
        <f t="shared" si="218"/>
        <v>3432.191865559962</v>
      </c>
      <c r="O962" s="303">
        <v>227.54696283910442</v>
      </c>
      <c r="P962" s="302">
        <v>0.49007863293974802</v>
      </c>
      <c r="Q962" s="301">
        <v>116.37774418724702</v>
      </c>
      <c r="R962" s="301">
        <v>57.266613818329049</v>
      </c>
      <c r="S962" s="300">
        <v>3.2553179988902721</v>
      </c>
      <c r="T962" s="891">
        <f t="shared" si="219"/>
        <v>2</v>
      </c>
      <c r="U962" s="1220">
        <v>0.23559725284576416</v>
      </c>
      <c r="W962" s="299">
        <v>954</v>
      </c>
      <c r="X962" s="298">
        <f>IF('Donor Sample'!N979="",,IF('Donor Sample'!N979="F",1,0))</f>
        <v>0</v>
      </c>
      <c r="Y962" s="298" t="str">
        <f>IF('Donor Sample'!O979="","",'Donor Sample'!O979)</f>
        <v/>
      </c>
      <c r="Z962" s="298" t="str">
        <f>IF(AND('Donor Sample'!O979="",'Donor Sample'!P979="",'Donor Sample'!Q979=""),"",IF('Donor Sample'!P979="",ROUND(AA962/($C$32+($AI962-0.5)*$C$31),0),'Donor Sample'!P979))</f>
        <v/>
      </c>
      <c r="AA962" s="297" t="str">
        <f>IF('Donor Sample'!Q979="","",'Donor Sample'!Q979)</f>
        <v/>
      </c>
      <c r="AB962" s="296" t="str">
        <f t="shared" si="223"/>
        <v/>
      </c>
      <c r="AC962" s="295" t="str">
        <f>IF('Donor Sample'!R979="","",'Donor Sample'!R979)</f>
        <v/>
      </c>
      <c r="AD962" s="294" t="str">
        <f>IF('Donor Sample'!S979="","",'Donor Sample'!S979/100)</f>
        <v/>
      </c>
      <c r="AE962" s="293" t="e">
        <f t="shared" si="220"/>
        <v>#VALUE!</v>
      </c>
      <c r="AF962" s="293" t="str">
        <f t="shared" si="221"/>
        <v/>
      </c>
      <c r="AG962" s="292" t="str">
        <f>IF('Donor Sample'!T979="","",'Donor Sample'!T979)</f>
        <v/>
      </c>
      <c r="AH962" s="891">
        <f t="shared" si="222"/>
        <v>2</v>
      </c>
      <c r="AI962" s="1220">
        <v>8.8597536087036133E-3</v>
      </c>
      <c r="AJ962" s="1216"/>
    </row>
    <row r="963" spans="5:36">
      <c r="E963" s="299">
        <v>955</v>
      </c>
      <c r="F963" s="308">
        <f t="shared" ca="1" si="211"/>
        <v>3054.0821740257952</v>
      </c>
      <c r="G963" s="307">
        <f t="shared" ca="1" si="212"/>
        <v>225.19098361426413</v>
      </c>
      <c r="H963" s="306">
        <f t="shared" ca="1" si="213"/>
        <v>0.47002101367652749</v>
      </c>
      <c r="I963" s="305">
        <f t="shared" ca="1" si="215"/>
        <v>94.23978919327196</v>
      </c>
      <c r="J963" s="305">
        <f t="shared" ca="1" si="216"/>
        <v>56.32305442325039</v>
      </c>
      <c r="K963" s="292">
        <f t="shared" ca="1" si="214"/>
        <v>1.3949386212254353</v>
      </c>
      <c r="L963" s="1290">
        <f t="shared" ca="1" si="217"/>
        <v>20.913877872546546</v>
      </c>
      <c r="M963" s="299">
        <v>955</v>
      </c>
      <c r="N963" s="304">
        <f t="shared" si="218"/>
        <v>2775.0113931552837</v>
      </c>
      <c r="O963" s="303">
        <v>288.78295587434445</v>
      </c>
      <c r="P963" s="302">
        <v>0.41415089210748973</v>
      </c>
      <c r="Q963" s="301">
        <v>88.150909678164496</v>
      </c>
      <c r="R963" s="301">
        <v>52.781179694863262</v>
      </c>
      <c r="S963" s="300">
        <v>9.4739130585030207</v>
      </c>
      <c r="T963" s="891">
        <f t="shared" si="219"/>
        <v>2</v>
      </c>
      <c r="U963" s="1220">
        <v>2.9639542102813721E-2</v>
      </c>
      <c r="W963" s="299">
        <v>955</v>
      </c>
      <c r="X963" s="298">
        <f>IF('Donor Sample'!N980="",,IF('Donor Sample'!N980="F",1,0))</f>
        <v>0</v>
      </c>
      <c r="Y963" s="298" t="str">
        <f>IF('Donor Sample'!O980="","",'Donor Sample'!O980)</f>
        <v/>
      </c>
      <c r="Z963" s="298" t="str">
        <f>IF(AND('Donor Sample'!O980="",'Donor Sample'!P980="",'Donor Sample'!Q980=""),"",IF('Donor Sample'!P980="",ROUND(AA963/($C$32+($AI963-0.5)*$C$31),0),'Donor Sample'!P980))</f>
        <v/>
      </c>
      <c r="AA963" s="297" t="str">
        <f>IF('Donor Sample'!Q980="","",'Donor Sample'!Q980)</f>
        <v/>
      </c>
      <c r="AB963" s="296" t="str">
        <f t="shared" si="223"/>
        <v/>
      </c>
      <c r="AC963" s="295" t="str">
        <f>IF('Donor Sample'!R980="","",'Donor Sample'!R980)</f>
        <v/>
      </c>
      <c r="AD963" s="294" t="str">
        <f>IF('Donor Sample'!S980="","",'Donor Sample'!S980/100)</f>
        <v/>
      </c>
      <c r="AE963" s="407" t="e">
        <f t="shared" si="220"/>
        <v>#VALUE!</v>
      </c>
      <c r="AF963" s="293" t="str">
        <f t="shared" si="221"/>
        <v/>
      </c>
      <c r="AG963" s="292" t="str">
        <f>IF('Donor Sample'!T980="","",'Donor Sample'!T980)</f>
        <v/>
      </c>
      <c r="AH963" s="891">
        <f t="shared" si="222"/>
        <v>2</v>
      </c>
      <c r="AI963" s="1220">
        <v>6.9715321063995361E-2</v>
      </c>
      <c r="AJ963" s="1216"/>
    </row>
    <row r="964" spans="5:36">
      <c r="E964" s="299">
        <v>956</v>
      </c>
      <c r="F964" s="308">
        <f t="shared" ca="1" si="211"/>
        <v>4344.8484674733681</v>
      </c>
      <c r="G964" s="307">
        <f t="shared" ca="1" si="212"/>
        <v>238.85141707021501</v>
      </c>
      <c r="H964" s="306">
        <f t="shared" ca="1" si="213"/>
        <v>0.42365568191159914</v>
      </c>
      <c r="I964" s="305">
        <f t="shared" ca="1" si="215"/>
        <v>170.59083564709491</v>
      </c>
      <c r="J964" s="305">
        <f t="shared" ca="1" si="216"/>
        <v>59.245597792872452</v>
      </c>
      <c r="K964" s="292">
        <f t="shared" ca="1" si="214"/>
        <v>4.571388090603099</v>
      </c>
      <c r="L964" s="1290">
        <f t="shared" ca="1" si="217"/>
        <v>34.214971608517573</v>
      </c>
      <c r="M964" s="299">
        <v>956</v>
      </c>
      <c r="N964" s="304">
        <f t="shared" si="218"/>
        <v>3209.716505135149</v>
      </c>
      <c r="O964" s="303">
        <v>234.17382968022699</v>
      </c>
      <c r="P964" s="302">
        <v>0.44406447281099642</v>
      </c>
      <c r="Q964" s="301">
        <v>124.38078963273442</v>
      </c>
      <c r="R964" s="301">
        <v>50.834454363047392</v>
      </c>
      <c r="S964" s="300">
        <v>1.3211913203456735</v>
      </c>
      <c r="T964" s="891">
        <f t="shared" si="219"/>
        <v>2</v>
      </c>
      <c r="U964" s="1220">
        <v>0.26927781105041504</v>
      </c>
      <c r="W964" s="299">
        <v>956</v>
      </c>
      <c r="X964" s="298">
        <f>IF('Donor Sample'!N981="",,IF('Donor Sample'!N981="F",1,0))</f>
        <v>0</v>
      </c>
      <c r="Y964" s="298" t="str">
        <f>IF('Donor Sample'!O981="","",'Donor Sample'!O981)</f>
        <v/>
      </c>
      <c r="Z964" s="298" t="str">
        <f>IF(AND('Donor Sample'!O981="",'Donor Sample'!P981="",'Donor Sample'!Q981=""),"",IF('Donor Sample'!P981="",ROUND(AA964/($C$32+($AI964-0.5)*$C$31),0),'Donor Sample'!P981))</f>
        <v/>
      </c>
      <c r="AA964" s="297" t="str">
        <f>IF('Donor Sample'!Q981="","",'Donor Sample'!Q981)</f>
        <v/>
      </c>
      <c r="AB964" s="296" t="str">
        <f t="shared" si="223"/>
        <v/>
      </c>
      <c r="AC964" s="295" t="str">
        <f>IF('Donor Sample'!R981="","",'Donor Sample'!R981)</f>
        <v/>
      </c>
      <c r="AD964" s="294" t="str">
        <f>IF('Donor Sample'!S981="","",'Donor Sample'!S981/100)</f>
        <v/>
      </c>
      <c r="AE964" s="293" t="e">
        <f t="shared" si="220"/>
        <v>#VALUE!</v>
      </c>
      <c r="AF964" s="293" t="str">
        <f t="shared" si="221"/>
        <v/>
      </c>
      <c r="AG964" s="292" t="str">
        <f>IF('Donor Sample'!T981="","",'Donor Sample'!T981)</f>
        <v/>
      </c>
      <c r="AH964" s="891">
        <f t="shared" si="222"/>
        <v>64</v>
      </c>
      <c r="AI964" s="1220">
        <v>0.56946063041687012</v>
      </c>
      <c r="AJ964" s="1216"/>
    </row>
    <row r="965" spans="5:36">
      <c r="E965" s="299">
        <v>957</v>
      </c>
      <c r="F965" s="308">
        <f t="shared" ca="1" si="211"/>
        <v>3023.4195015301766</v>
      </c>
      <c r="G965" s="307">
        <f t="shared" ca="1" si="212"/>
        <v>236.39912629599706</v>
      </c>
      <c r="H965" s="306">
        <f t="shared" ca="1" si="213"/>
        <v>0.40333208634709355</v>
      </c>
      <c r="I965" s="305">
        <f t="shared" ca="1" si="215"/>
        <v>101.12520659208812</v>
      </c>
      <c r="J965" s="305">
        <f t="shared" ca="1" si="216"/>
        <v>53.92989811279309</v>
      </c>
      <c r="K965" s="292">
        <f t="shared" ca="1" si="214"/>
        <v>5.8056775990391811</v>
      </c>
      <c r="L965" s="1290">
        <f t="shared" ca="1" si="217"/>
        <v>24.47782814829792</v>
      </c>
      <c r="M965" s="299">
        <v>957</v>
      </c>
      <c r="N965" s="304">
        <f t="shared" si="218"/>
        <v>3631.5620272948513</v>
      </c>
      <c r="O965" s="303">
        <v>177.85883799241307</v>
      </c>
      <c r="P965" s="302">
        <v>0.35897563095162349</v>
      </c>
      <c r="Q965" s="301">
        <v>116.99617272160469</v>
      </c>
      <c r="R965" s="301">
        <v>60.319046422236852</v>
      </c>
      <c r="S965" s="300">
        <v>1.2369654412500384</v>
      </c>
      <c r="T965" s="891">
        <f t="shared" si="219"/>
        <v>4</v>
      </c>
      <c r="U965" s="1220">
        <v>0.37256759405136108</v>
      </c>
      <c r="W965" s="299">
        <v>957</v>
      </c>
      <c r="X965" s="298">
        <f>IF('Donor Sample'!N982="",,IF('Donor Sample'!N982="F",1,0))</f>
        <v>0</v>
      </c>
      <c r="Y965" s="298" t="str">
        <f>IF('Donor Sample'!O982="","",'Donor Sample'!O982)</f>
        <v/>
      </c>
      <c r="Z965" s="298" t="str">
        <f>IF(AND('Donor Sample'!O982="",'Donor Sample'!P982="",'Donor Sample'!Q982=""),"",IF('Donor Sample'!P982="",ROUND(AA965/($C$32+($AI965-0.5)*$C$31),0),'Donor Sample'!P982))</f>
        <v/>
      </c>
      <c r="AA965" s="297" t="str">
        <f>IF('Donor Sample'!Q982="","",'Donor Sample'!Q982)</f>
        <v/>
      </c>
      <c r="AB965" s="296" t="str">
        <f t="shared" si="223"/>
        <v/>
      </c>
      <c r="AC965" s="295" t="str">
        <f>IF('Donor Sample'!R982="","",'Donor Sample'!R982)</f>
        <v/>
      </c>
      <c r="AD965" s="294" t="str">
        <f>IF('Donor Sample'!S982="","",'Donor Sample'!S982/100)</f>
        <v/>
      </c>
      <c r="AE965" s="293" t="e">
        <f t="shared" si="220"/>
        <v>#VALUE!</v>
      </c>
      <c r="AF965" s="293" t="str">
        <f t="shared" si="221"/>
        <v/>
      </c>
      <c r="AG965" s="292" t="str">
        <f>IF('Donor Sample'!T982="","",'Donor Sample'!T982)</f>
        <v/>
      </c>
      <c r="AH965" s="891">
        <f t="shared" si="222"/>
        <v>64</v>
      </c>
      <c r="AI965" s="1220">
        <v>0.71078866720199585</v>
      </c>
      <c r="AJ965" s="1216"/>
    </row>
    <row r="966" spans="5:36">
      <c r="E966" s="299">
        <v>958</v>
      </c>
      <c r="F966" s="308">
        <f t="shared" ca="1" si="211"/>
        <v>2555.6351847138822</v>
      </c>
      <c r="G966" s="307">
        <f t="shared" ca="1" si="212"/>
        <v>200.98887055007708</v>
      </c>
      <c r="H966" s="306">
        <f t="shared" ca="1" si="213"/>
        <v>0.3625834639987412</v>
      </c>
      <c r="I966" s="305">
        <f t="shared" ca="1" si="215"/>
        <v>103.78599058116511</v>
      </c>
      <c r="J966" s="305">
        <f t="shared" ca="1" si="216"/>
        <v>41.713365251697134</v>
      </c>
      <c r="K966" s="292">
        <f t="shared" ca="1" si="214"/>
        <v>1.6428166314612269</v>
      </c>
      <c r="L966" s="1290">
        <f t="shared" ca="1" si="217"/>
        <v>41.991456381835583</v>
      </c>
      <c r="M966" s="299">
        <v>958</v>
      </c>
      <c r="N966" s="304">
        <f t="shared" si="218"/>
        <v>2835.5729256661944</v>
      </c>
      <c r="O966" s="303">
        <v>199.9129784085905</v>
      </c>
      <c r="P966" s="302">
        <v>0.39474625954623682</v>
      </c>
      <c r="Q966" s="301">
        <v>91.243936435152293</v>
      </c>
      <c r="R966" s="301">
        <v>53.085976928492045</v>
      </c>
      <c r="S966" s="300">
        <v>3.1196641610541564</v>
      </c>
      <c r="T966" s="891">
        <f t="shared" si="219"/>
        <v>64</v>
      </c>
      <c r="U966" s="1220">
        <v>0.53358447551727295</v>
      </c>
      <c r="W966" s="299">
        <v>958</v>
      </c>
      <c r="X966" s="298">
        <f>IF('Donor Sample'!N983="",,IF('Donor Sample'!N983="F",1,0))</f>
        <v>0</v>
      </c>
      <c r="Y966" s="298" t="str">
        <f>IF('Donor Sample'!O983="","",'Donor Sample'!O983)</f>
        <v/>
      </c>
      <c r="Z966" s="298" t="str">
        <f>IF(AND('Donor Sample'!O983="",'Donor Sample'!P983="",'Donor Sample'!Q983=""),"",IF('Donor Sample'!P983="",ROUND(AA966/($C$32+($AI966-0.5)*$C$31),0),'Donor Sample'!P983))</f>
        <v/>
      </c>
      <c r="AA966" s="297" t="str">
        <f>IF('Donor Sample'!Q983="","",'Donor Sample'!Q983)</f>
        <v/>
      </c>
      <c r="AB966" s="296" t="str">
        <f t="shared" si="223"/>
        <v/>
      </c>
      <c r="AC966" s="295" t="str">
        <f>IF('Donor Sample'!R983="","",'Donor Sample'!R983)</f>
        <v/>
      </c>
      <c r="AD966" s="294" t="str">
        <f>IF('Donor Sample'!S983="","",'Donor Sample'!S983/100)</f>
        <v/>
      </c>
      <c r="AE966" s="407" t="e">
        <f t="shared" si="220"/>
        <v>#VALUE!</v>
      </c>
      <c r="AF966" s="293" t="str">
        <f t="shared" si="221"/>
        <v/>
      </c>
      <c r="AG966" s="292" t="str">
        <f>IF('Donor Sample'!T983="","",'Donor Sample'!T983)</f>
        <v/>
      </c>
      <c r="AH966" s="891">
        <f t="shared" si="222"/>
        <v>2</v>
      </c>
      <c r="AI966" s="1220">
        <v>0.30261266231536865</v>
      </c>
      <c r="AJ966" s="1216"/>
    </row>
    <row r="967" spans="5:36">
      <c r="E967" s="299">
        <v>959</v>
      </c>
      <c r="F967" s="308">
        <f t="shared" ca="1" si="211"/>
        <v>3160.9561276684922</v>
      </c>
      <c r="G967" s="307">
        <f t="shared" ca="1" si="212"/>
        <v>231.47664591058825</v>
      </c>
      <c r="H967" s="306">
        <f t="shared" ca="1" si="213"/>
        <v>0.41115342421928092</v>
      </c>
      <c r="I967" s="305">
        <f t="shared" ca="1" si="215"/>
        <v>117.71938349764669</v>
      </c>
      <c r="J967" s="305">
        <f t="shared" ca="1" si="216"/>
        <v>51.854374954115407</v>
      </c>
      <c r="K967" s="292">
        <f t="shared" ca="1" si="214"/>
        <v>3.6393994822646749</v>
      </c>
      <c r="L967" s="1290">
        <f t="shared" ca="1" si="217"/>
        <v>30.821220376132604</v>
      </c>
      <c r="M967" s="299">
        <v>959</v>
      </c>
      <c r="N967" s="304">
        <f t="shared" si="218"/>
        <v>3445.4657139428055</v>
      </c>
      <c r="O967" s="303">
        <v>248.83575789719126</v>
      </c>
      <c r="P967" s="302">
        <v>0.49118946026994259</v>
      </c>
      <c r="Q967" s="301">
        <v>135.42229954102942</v>
      </c>
      <c r="R967" s="301">
        <v>52.385995816200271</v>
      </c>
      <c r="S967" s="300">
        <v>1.277227803934555</v>
      </c>
      <c r="T967" s="891">
        <f t="shared" si="219"/>
        <v>32</v>
      </c>
      <c r="U967" s="1220">
        <v>0.82537513971328735</v>
      </c>
      <c r="W967" s="299">
        <v>959</v>
      </c>
      <c r="X967" s="298">
        <f>IF('Donor Sample'!N984="",,IF('Donor Sample'!N984="F",1,0))</f>
        <v>0</v>
      </c>
      <c r="Y967" s="298" t="str">
        <f>IF('Donor Sample'!O984="","",'Donor Sample'!O984)</f>
        <v/>
      </c>
      <c r="Z967" s="298" t="str">
        <f>IF(AND('Donor Sample'!O984="",'Donor Sample'!P984="",'Donor Sample'!Q984=""),"",IF('Donor Sample'!P984="",ROUND(AA967/($C$32+($AI967-0.5)*$C$31),0),'Donor Sample'!P984))</f>
        <v/>
      </c>
      <c r="AA967" s="297" t="str">
        <f>IF('Donor Sample'!Q984="","",'Donor Sample'!Q984)</f>
        <v/>
      </c>
      <c r="AB967" s="296" t="str">
        <f t="shared" si="223"/>
        <v/>
      </c>
      <c r="AC967" s="295" t="str">
        <f>IF('Donor Sample'!R984="","",'Donor Sample'!R984)</f>
        <v/>
      </c>
      <c r="AD967" s="294" t="str">
        <f>IF('Donor Sample'!S984="","",'Donor Sample'!S984/100)</f>
        <v/>
      </c>
      <c r="AE967" s="293" t="e">
        <f t="shared" si="220"/>
        <v>#VALUE!</v>
      </c>
      <c r="AF967" s="293" t="str">
        <f t="shared" si="221"/>
        <v/>
      </c>
      <c r="AG967" s="292" t="str">
        <f>IF('Donor Sample'!T984="","",'Donor Sample'!T984)</f>
        <v/>
      </c>
      <c r="AH967" s="891">
        <f t="shared" si="222"/>
        <v>64</v>
      </c>
      <c r="AI967" s="1220">
        <v>0.66721636056900024</v>
      </c>
      <c r="AJ967" s="1216"/>
    </row>
    <row r="968" spans="5:36">
      <c r="E968" s="299">
        <v>960</v>
      </c>
      <c r="F968" s="308">
        <f t="shared" ca="1" si="211"/>
        <v>2987.3777991064767</v>
      </c>
      <c r="G968" s="307">
        <f t="shared" ca="1" si="212"/>
        <v>236.29293265520664</v>
      </c>
      <c r="H968" s="306">
        <f t="shared" ca="1" si="213"/>
        <v>0.40817110989626315</v>
      </c>
      <c r="I968" s="305">
        <f t="shared" ca="1" si="215"/>
        <v>119.91968948699007</v>
      </c>
      <c r="J968" s="305">
        <f t="shared" ca="1" si="216"/>
        <v>47.209062073768443</v>
      </c>
      <c r="K968" s="292">
        <f t="shared" ca="1" si="214"/>
        <v>2.0303798265290882</v>
      </c>
      <c r="L968" s="1290">
        <f t="shared" ca="1" si="217"/>
        <v>37.880212802615368</v>
      </c>
      <c r="M968" s="299">
        <v>960</v>
      </c>
      <c r="N968" s="304">
        <f t="shared" si="218"/>
        <v>4017.1557019536031</v>
      </c>
      <c r="O968" s="303">
        <v>278.31212036782415</v>
      </c>
      <c r="P968" s="302">
        <v>0.46908585960641347</v>
      </c>
      <c r="Q968" s="301">
        <v>152.79388205568333</v>
      </c>
      <c r="R968" s="301">
        <v>58.153724421097735</v>
      </c>
      <c r="S968" s="300">
        <v>2.4300374046830195</v>
      </c>
      <c r="T968" s="891">
        <f t="shared" si="219"/>
        <v>2</v>
      </c>
      <c r="U968" s="1220">
        <v>6.2979221343994141E-2</v>
      </c>
      <c r="W968" s="299">
        <v>960</v>
      </c>
      <c r="X968" s="298">
        <f>IF('Donor Sample'!N985="",,IF('Donor Sample'!N985="F",1,0))</f>
        <v>0</v>
      </c>
      <c r="Y968" s="298" t="str">
        <f>IF('Donor Sample'!O985="","",'Donor Sample'!O985)</f>
        <v/>
      </c>
      <c r="Z968" s="298" t="str">
        <f>IF(AND('Donor Sample'!O985="",'Donor Sample'!P985="",'Donor Sample'!Q985=""),"",IF('Donor Sample'!P985="",ROUND(AA968/($C$32+($AI968-0.5)*$C$31),0),'Donor Sample'!P985))</f>
        <v/>
      </c>
      <c r="AA968" s="297" t="str">
        <f>IF('Donor Sample'!Q985="","",'Donor Sample'!Q985)</f>
        <v/>
      </c>
      <c r="AB968" s="296" t="str">
        <f t="shared" si="223"/>
        <v/>
      </c>
      <c r="AC968" s="295" t="str">
        <f>IF('Donor Sample'!R985="","",'Donor Sample'!R985)</f>
        <v/>
      </c>
      <c r="AD968" s="294" t="str">
        <f>IF('Donor Sample'!S985="","",'Donor Sample'!S985/100)</f>
        <v/>
      </c>
      <c r="AE968" s="293" t="e">
        <f t="shared" si="220"/>
        <v>#VALUE!</v>
      </c>
      <c r="AF968" s="293" t="str">
        <f t="shared" si="221"/>
        <v/>
      </c>
      <c r="AG968" s="292" t="str">
        <f>IF('Donor Sample'!T985="","",'Donor Sample'!T985)</f>
        <v/>
      </c>
      <c r="AH968" s="891">
        <f t="shared" si="222"/>
        <v>64</v>
      </c>
      <c r="AI968" s="1220">
        <v>0.59067821502685547</v>
      </c>
      <c r="AJ968" s="1216"/>
    </row>
    <row r="969" spans="5:36">
      <c r="E969" s="299">
        <v>961</v>
      </c>
      <c r="F969" s="308">
        <f t="shared" ref="F969:F1008" ca="1" si="224">NORMINV(NORMDIST($C$9,$C$7,$C$8,1)+RAND()*(NORMDIST($C$10,$C$7,$C$8,1)-NORMDIST($C$9,$C$7,$C$8,1)),$C$7,$C$8)</f>
        <v>3280.9077238100681</v>
      </c>
      <c r="G969" s="307">
        <f t="shared" ref="G969:G1008" ca="1" si="225">NORMINV(NORMDIST($C$13,$C$11,$C$12,1)+RAND()*(NORMDIST($C$14,$C$11,$C$12,1)-NORMDIST($C$13,$C$11,$C$12,1)),$C$11,$C$12)</f>
        <v>226.67592505412776</v>
      </c>
      <c r="H969" s="306">
        <f t="shared" ref="H969:H1008" ca="1" si="226">NORMINV(NORMDIST($C$17,$C$15,$C$16,1)+RAND()*(NORMDIST($C$18,$C$15,$C$16,1)-NORMDIST($C$17,$C$15,$C$16,1)),$C$15,$C$16)/100</f>
        <v>0.42575528827925824</v>
      </c>
      <c r="I969" s="305">
        <f t="shared" ca="1" si="215"/>
        <v>107.54063225171807</v>
      </c>
      <c r="J969" s="305">
        <f t="shared" ca="1" si="216"/>
        <v>56.887732278548121</v>
      </c>
      <c r="K969" s="292">
        <f t="shared" ref="K969:K1008" ca="1" si="227">$C$23/($C$24+RAND())</f>
        <v>2.9358082034741675</v>
      </c>
      <c r="L969" s="1290">
        <f t="shared" ca="1" si="217"/>
        <v>23.394189365992329</v>
      </c>
      <c r="M969" s="299">
        <v>961</v>
      </c>
      <c r="N969" s="304">
        <f t="shared" si="218"/>
        <v>3848.0911987132495</v>
      </c>
      <c r="O969" s="303">
        <v>288.36139356998916</v>
      </c>
      <c r="P969" s="302">
        <v>0.41691178287317504</v>
      </c>
      <c r="Q969" s="301">
        <v>119.05998402075626</v>
      </c>
      <c r="R969" s="301">
        <v>63.035362868009329</v>
      </c>
      <c r="S969" s="300">
        <v>3.4589542362905541</v>
      </c>
      <c r="T969" s="891">
        <f t="shared" si="219"/>
        <v>64</v>
      </c>
      <c r="U969" s="1220">
        <v>0.69873875379562378</v>
      </c>
      <c r="W969" s="299">
        <v>961</v>
      </c>
      <c r="X969" s="298">
        <f>IF('Donor Sample'!N986="",,IF('Donor Sample'!N986="F",1,0))</f>
        <v>0</v>
      </c>
      <c r="Y969" s="298" t="str">
        <f>IF('Donor Sample'!O986="","",'Donor Sample'!O986)</f>
        <v/>
      </c>
      <c r="Z969" s="298" t="str">
        <f>IF(AND('Donor Sample'!O986="",'Donor Sample'!P986="",'Donor Sample'!Q986=""),"",IF('Donor Sample'!P986="",ROUND(AA969/($C$32+($AI969-0.5)*$C$31),0),'Donor Sample'!P986))</f>
        <v/>
      </c>
      <c r="AA969" s="297" t="str">
        <f>IF('Donor Sample'!Q986="","",'Donor Sample'!Q986)</f>
        <v/>
      </c>
      <c r="AB969" s="296" t="str">
        <f t="shared" si="223"/>
        <v/>
      </c>
      <c r="AC969" s="295" t="str">
        <f>IF('Donor Sample'!R986="","",'Donor Sample'!R986)</f>
        <v/>
      </c>
      <c r="AD969" s="294" t="str">
        <f>IF('Donor Sample'!S986="","",'Donor Sample'!S986/100)</f>
        <v/>
      </c>
      <c r="AE969" s="407" t="e">
        <f t="shared" si="220"/>
        <v>#VALUE!</v>
      </c>
      <c r="AF969" s="293" t="str">
        <f t="shared" si="221"/>
        <v/>
      </c>
      <c r="AG969" s="292" t="str">
        <f>IF('Donor Sample'!T986="","",'Donor Sample'!T986)</f>
        <v/>
      </c>
      <c r="AH969" s="891">
        <f t="shared" si="222"/>
        <v>64</v>
      </c>
      <c r="AI969" s="1220">
        <v>0.45597380399703979</v>
      </c>
      <c r="AJ969" s="1216"/>
    </row>
    <row r="970" spans="5:36">
      <c r="E970" s="299">
        <v>962</v>
      </c>
      <c r="F970" s="308">
        <f t="shared" ca="1" si="224"/>
        <v>2575.3498638677893</v>
      </c>
      <c r="G970" s="307">
        <f t="shared" ca="1" si="225"/>
        <v>238.05927185126689</v>
      </c>
      <c r="H970" s="306">
        <f t="shared" ca="1" si="226"/>
        <v>0.45404177601797485</v>
      </c>
      <c r="I970" s="305">
        <f t="shared" ref="I970:I1008" ca="1" si="228">F970/($C$32+(RAND()-0.5)*$C$31)</f>
        <v>94.843961898485446</v>
      </c>
      <c r="J970" s="305">
        <f t="shared" ref="J970:J1008" ca="1" si="229">IF(AI970&lt;=$C$33,((F970-604-14.6*I970)/0.006012)^(1/3),((F970-183-15*I970)/0.005835)^(1/3))</f>
        <v>54.979073536553898</v>
      </c>
      <c r="K970" s="292">
        <f t="shared" ca="1" si="227"/>
        <v>9.969579005261048</v>
      </c>
      <c r="L970" s="1290">
        <f t="shared" ref="L970:L1008" ca="1" si="230">704*I970/J970^2</f>
        <v>22.089582729302631</v>
      </c>
      <c r="M970" s="299">
        <v>962</v>
      </c>
      <c r="N970" s="304">
        <f t="shared" ref="N970:N1008" si="231">IF(AI970&gt;$C$33,183+0.005835*R970^3+15*Q970,604+0.006012*R970^3+14.6*Q970)</f>
        <v>2837.5163072265977</v>
      </c>
      <c r="O970" s="303">
        <v>262.1572670549254</v>
      </c>
      <c r="P970" s="302">
        <v>0.38739050740287512</v>
      </c>
      <c r="Q970" s="301">
        <v>96.163614544680257</v>
      </c>
      <c r="R970" s="301">
        <v>59.223581716830196</v>
      </c>
      <c r="S970" s="300">
        <v>1.5049548067423737</v>
      </c>
      <c r="T970" s="891">
        <f t="shared" ref="T970:T1008" si="232">HLOOKUP(U970,$AL$32:$AT$34,3)</f>
        <v>64</v>
      </c>
      <c r="U970" s="1220">
        <v>0.68324482440948486</v>
      </c>
      <c r="W970" s="299">
        <v>962</v>
      </c>
      <c r="X970" s="298">
        <f>IF('Donor Sample'!N987="",,IF('Donor Sample'!N987="F",1,0))</f>
        <v>0</v>
      </c>
      <c r="Y970" s="298" t="str">
        <f>IF('Donor Sample'!O987="","",'Donor Sample'!O987)</f>
        <v/>
      </c>
      <c r="Z970" s="298" t="str">
        <f>IF(AND('Donor Sample'!O987="",'Donor Sample'!P987="",'Donor Sample'!Q987=""),"",IF('Donor Sample'!P987="",ROUND(AA970/($C$32+($AI970-0.5)*$C$31),0),'Donor Sample'!P987))</f>
        <v/>
      </c>
      <c r="AA970" s="297" t="str">
        <f>IF('Donor Sample'!Q987="","",'Donor Sample'!Q987)</f>
        <v/>
      </c>
      <c r="AB970" s="296" t="str">
        <f t="shared" si="223"/>
        <v/>
      </c>
      <c r="AC970" s="295" t="str">
        <f>IF('Donor Sample'!R987="","",'Donor Sample'!R987)</f>
        <v/>
      </c>
      <c r="AD970" s="294" t="str">
        <f>IF('Donor Sample'!S987="","",'Donor Sample'!S987/100)</f>
        <v/>
      </c>
      <c r="AE970" s="293" t="e">
        <f t="shared" ref="AE970:AE1006" si="233">IF($AB$2=1,Z970,2.2*Z970)</f>
        <v>#VALUE!</v>
      </c>
      <c r="AF970" s="293" t="str">
        <f t="shared" ref="AF970:AF1008" si="234">IF(AND(Y970="",AA970=""),"",IF(AA970="",IF($AB$2=1,Y970,Y970/2.54),IF(AI970&lt;=$C$33,((AB970-604-14.6*Z970)/0.006012)^(1/3),((AB970-183-15*Z970)/0.005835)^(1/3))))</f>
        <v/>
      </c>
      <c r="AG970" s="292" t="str">
        <f>IF('Donor Sample'!T987="","",'Donor Sample'!T987)</f>
        <v/>
      </c>
      <c r="AH970" s="891">
        <f t="shared" ref="AH970:AH1008" si="235">HLOOKUP(AI970,$AL$32:$AT$34,3)</f>
        <v>256</v>
      </c>
      <c r="AI970" s="1220">
        <v>0.89054358005523682</v>
      </c>
      <c r="AJ970" s="1216"/>
    </row>
    <row r="971" spans="5:36">
      <c r="E971" s="299">
        <v>963</v>
      </c>
      <c r="F971" s="308">
        <f t="shared" ca="1" si="224"/>
        <v>3464.5028288157282</v>
      </c>
      <c r="G971" s="307">
        <f t="shared" ca="1" si="225"/>
        <v>235.85319378277384</v>
      </c>
      <c r="H971" s="306">
        <f t="shared" ca="1" si="226"/>
        <v>0.36314616047722148</v>
      </c>
      <c r="I971" s="305">
        <f t="shared" ca="1" si="228"/>
        <v>142.6473423174227</v>
      </c>
      <c r="J971" s="305">
        <f t="shared" ca="1" si="229"/>
        <v>50.577721990114433</v>
      </c>
      <c r="K971" s="292">
        <f t="shared" ca="1" si="227"/>
        <v>1.951565573360269</v>
      </c>
      <c r="L971" s="1290">
        <f t="shared" ca="1" si="230"/>
        <v>39.257063817779965</v>
      </c>
      <c r="M971" s="299">
        <v>963</v>
      </c>
      <c r="N971" s="304">
        <f t="shared" si="231"/>
        <v>3784.0606968128964</v>
      </c>
      <c r="O971" s="303">
        <v>235.64725833495504</v>
      </c>
      <c r="P971" s="302">
        <v>0.38079573715712234</v>
      </c>
      <c r="Q971" s="301">
        <v>125.77414825938408</v>
      </c>
      <c r="R971" s="301">
        <v>60.687704571504192</v>
      </c>
      <c r="S971" s="300">
        <v>1.5140190984871986</v>
      </c>
      <c r="T971" s="891">
        <f t="shared" si="232"/>
        <v>2</v>
      </c>
      <c r="U971" s="1220">
        <v>0.24187260866165161</v>
      </c>
      <c r="W971" s="299">
        <v>963</v>
      </c>
      <c r="X971" s="298">
        <f>IF('Donor Sample'!N988="",,IF('Donor Sample'!N988="F",1,0))</f>
        <v>0</v>
      </c>
      <c r="Y971" s="298" t="str">
        <f>IF('Donor Sample'!O988="","",'Donor Sample'!O988)</f>
        <v/>
      </c>
      <c r="Z971" s="298" t="str">
        <f>IF(AND('Donor Sample'!O988="",'Donor Sample'!P988="",'Donor Sample'!Q988=""),"",IF('Donor Sample'!P988="",ROUND(AA971/($C$32+($AI971-0.5)*$C$31),0),'Donor Sample'!P988))</f>
        <v/>
      </c>
      <c r="AA971" s="297" t="str">
        <f>IF('Donor Sample'!Q988="","",'Donor Sample'!Q988)</f>
        <v/>
      </c>
      <c r="AB971" s="296" t="str">
        <f t="shared" si="223"/>
        <v/>
      </c>
      <c r="AC971" s="295" t="str">
        <f>IF('Donor Sample'!R988="","",'Donor Sample'!R988)</f>
        <v/>
      </c>
      <c r="AD971" s="294" t="str">
        <f>IF('Donor Sample'!S988="","",'Donor Sample'!S988/100)</f>
        <v/>
      </c>
      <c r="AE971" s="293" t="e">
        <f t="shared" si="233"/>
        <v>#VALUE!</v>
      </c>
      <c r="AF971" s="293" t="str">
        <f t="shared" si="234"/>
        <v/>
      </c>
      <c r="AG971" s="292" t="str">
        <f>IF('Donor Sample'!T988="","",'Donor Sample'!T988)</f>
        <v/>
      </c>
      <c r="AH971" s="891">
        <f t="shared" si="235"/>
        <v>64</v>
      </c>
      <c r="AI971" s="1220">
        <v>0.68296462297439575</v>
      </c>
      <c r="AJ971" s="1216"/>
    </row>
    <row r="972" spans="5:36">
      <c r="E972" s="299">
        <v>964</v>
      </c>
      <c r="F972" s="308">
        <f t="shared" ca="1" si="224"/>
        <v>4505.082426990356</v>
      </c>
      <c r="G972" s="307">
        <f t="shared" ca="1" si="225"/>
        <v>285.81247257027223</v>
      </c>
      <c r="H972" s="306">
        <f t="shared" ca="1" si="226"/>
        <v>0.35657205569785561</v>
      </c>
      <c r="I972" s="305">
        <f t="shared" ca="1" si="228"/>
        <v>183.75801502757247</v>
      </c>
      <c r="J972" s="305">
        <f t="shared" ca="1" si="229"/>
        <v>58.735640007795709</v>
      </c>
      <c r="K972" s="292">
        <f t="shared" ca="1" si="227"/>
        <v>2.5830147355960285</v>
      </c>
      <c r="L972" s="1290">
        <f t="shared" ca="1" si="230"/>
        <v>37.49864192550816</v>
      </c>
      <c r="M972" s="299">
        <v>964</v>
      </c>
      <c r="N972" s="304">
        <f t="shared" si="231"/>
        <v>3109.7078745375593</v>
      </c>
      <c r="O972" s="303">
        <v>263.59302702975822</v>
      </c>
      <c r="P972" s="302">
        <v>0.4350591831350149</v>
      </c>
      <c r="Q972" s="301">
        <v>108.04373447703661</v>
      </c>
      <c r="R972" s="301">
        <v>53.647770703582431</v>
      </c>
      <c r="S972" s="300">
        <v>5.4462143409601556</v>
      </c>
      <c r="T972" s="891">
        <f t="shared" si="232"/>
        <v>64</v>
      </c>
      <c r="U972" s="1220">
        <v>0.46705126762390137</v>
      </c>
      <c r="W972" s="299">
        <v>964</v>
      </c>
      <c r="X972" s="298">
        <f>IF('Donor Sample'!N989="",,IF('Donor Sample'!N989="F",1,0))</f>
        <v>0</v>
      </c>
      <c r="Y972" s="298" t="str">
        <f>IF('Donor Sample'!O989="","",'Donor Sample'!O989)</f>
        <v/>
      </c>
      <c r="Z972" s="298" t="str">
        <f>IF(AND('Donor Sample'!O989="",'Donor Sample'!P989="",'Donor Sample'!Q989=""),"",IF('Donor Sample'!P989="",ROUND(AA972/($C$32+($AI972-0.5)*$C$31),0),'Donor Sample'!P989))</f>
        <v/>
      </c>
      <c r="AA972" s="297" t="str">
        <f>IF('Donor Sample'!Q989="","",'Donor Sample'!Q989)</f>
        <v/>
      </c>
      <c r="AB972" s="296" t="str">
        <f t="shared" si="223"/>
        <v/>
      </c>
      <c r="AC972" s="295" t="str">
        <f>IF('Donor Sample'!R989="","",'Donor Sample'!R989)</f>
        <v/>
      </c>
      <c r="AD972" s="294" t="str">
        <f>IF('Donor Sample'!S989="","",'Donor Sample'!S989/100)</f>
        <v/>
      </c>
      <c r="AE972" s="407" t="e">
        <f t="shared" si="233"/>
        <v>#VALUE!</v>
      </c>
      <c r="AF972" s="293" t="str">
        <f t="shared" si="234"/>
        <v/>
      </c>
      <c r="AG972" s="292" t="str">
        <f>IF('Donor Sample'!T989="","",'Donor Sample'!T989)</f>
        <v/>
      </c>
      <c r="AH972" s="891">
        <f t="shared" si="235"/>
        <v>64</v>
      </c>
      <c r="AI972" s="1220">
        <v>0.45481038093566895</v>
      </c>
      <c r="AJ972" s="1216"/>
    </row>
    <row r="973" spans="5:36">
      <c r="E973" s="299">
        <v>965</v>
      </c>
      <c r="F973" s="308">
        <f t="shared" ca="1" si="224"/>
        <v>3362.236446103213</v>
      </c>
      <c r="G973" s="307">
        <f t="shared" ca="1" si="225"/>
        <v>267.49425658500485</v>
      </c>
      <c r="H973" s="306">
        <f t="shared" ca="1" si="226"/>
        <v>0.45976973895610124</v>
      </c>
      <c r="I973" s="305">
        <f t="shared" ca="1" si="228"/>
        <v>122.0258486215092</v>
      </c>
      <c r="J973" s="305">
        <f t="shared" ca="1" si="229"/>
        <v>54.564226518453154</v>
      </c>
      <c r="K973" s="292">
        <f t="shared" ca="1" si="227"/>
        <v>2.5943187041479128</v>
      </c>
      <c r="L973" s="1290">
        <f t="shared" ca="1" si="230"/>
        <v>28.854163567275577</v>
      </c>
      <c r="M973" s="299">
        <v>965</v>
      </c>
      <c r="N973" s="304">
        <f t="shared" si="231"/>
        <v>3784.7845740119965</v>
      </c>
      <c r="O973" s="303">
        <v>224.81903448804337</v>
      </c>
      <c r="P973" s="302">
        <v>0.39742502667694524</v>
      </c>
      <c r="Q973" s="301">
        <v>116.80363698875276</v>
      </c>
      <c r="R973" s="301">
        <v>62.608791300806374</v>
      </c>
      <c r="S973" s="300">
        <v>7.6926715977521578</v>
      </c>
      <c r="T973" s="891">
        <f t="shared" si="232"/>
        <v>32</v>
      </c>
      <c r="U973" s="1220">
        <v>0.7758292555809021</v>
      </c>
      <c r="W973" s="299">
        <v>965</v>
      </c>
      <c r="X973" s="298">
        <f>IF('Donor Sample'!N990="",,IF('Donor Sample'!N990="F",1,0))</f>
        <v>0</v>
      </c>
      <c r="Y973" s="298" t="str">
        <f>IF('Donor Sample'!O990="","",'Donor Sample'!O990)</f>
        <v/>
      </c>
      <c r="Z973" s="298" t="str">
        <f>IF(AND('Donor Sample'!O990="",'Donor Sample'!P990="",'Donor Sample'!Q990=""),"",IF('Donor Sample'!P990="",ROUND(AA973/($C$32+($AI973-0.5)*$C$31),0),'Donor Sample'!P990))</f>
        <v/>
      </c>
      <c r="AA973" s="297" t="str">
        <f>IF('Donor Sample'!Q990="","",'Donor Sample'!Q990)</f>
        <v/>
      </c>
      <c r="AB973" s="296" t="str">
        <f t="shared" si="223"/>
        <v/>
      </c>
      <c r="AC973" s="295" t="str">
        <f>IF('Donor Sample'!R990="","",'Donor Sample'!R990)</f>
        <v/>
      </c>
      <c r="AD973" s="294" t="str">
        <f>IF('Donor Sample'!S990="","",'Donor Sample'!S990/100)</f>
        <v/>
      </c>
      <c r="AE973" s="293" t="e">
        <f t="shared" si="233"/>
        <v>#VALUE!</v>
      </c>
      <c r="AF973" s="293" t="str">
        <f t="shared" si="234"/>
        <v/>
      </c>
      <c r="AG973" s="292" t="str">
        <f>IF('Donor Sample'!T990="","",'Donor Sample'!T990)</f>
        <v/>
      </c>
      <c r="AH973" s="891">
        <f t="shared" si="235"/>
        <v>4</v>
      </c>
      <c r="AI973" s="1220">
        <v>0.37944644689559937</v>
      </c>
      <c r="AJ973" s="1216"/>
    </row>
    <row r="974" spans="5:36">
      <c r="E974" s="299">
        <v>966</v>
      </c>
      <c r="F974" s="308">
        <f t="shared" ca="1" si="224"/>
        <v>2938.7997576959187</v>
      </c>
      <c r="G974" s="307">
        <f t="shared" ca="1" si="225"/>
        <v>217.25799117146036</v>
      </c>
      <c r="H974" s="306">
        <f t="shared" ca="1" si="226"/>
        <v>0.3716966633317122</v>
      </c>
      <c r="I974" s="305">
        <f t="shared" ca="1" si="228"/>
        <v>91.873412110382091</v>
      </c>
      <c r="J974" s="305">
        <f t="shared" ca="1" si="229"/>
        <v>61.807016909225347</v>
      </c>
      <c r="K974" s="292">
        <f t="shared" ca="1" si="227"/>
        <v>2.9889362393130798</v>
      </c>
      <c r="L974" s="1290">
        <f t="shared" ca="1" si="230"/>
        <v>16.931168782016886</v>
      </c>
      <c r="M974" s="299">
        <v>966</v>
      </c>
      <c r="N974" s="304">
        <f t="shared" si="231"/>
        <v>3108.5106731685128</v>
      </c>
      <c r="O974" s="303">
        <v>173.11417391825972</v>
      </c>
      <c r="P974" s="302">
        <v>0.39192938100487784</v>
      </c>
      <c r="Q974" s="301">
        <v>113.34481489091453</v>
      </c>
      <c r="R974" s="301">
        <v>59.439032768271254</v>
      </c>
      <c r="S974" s="300">
        <v>1.2979421064582819</v>
      </c>
      <c r="T974" s="891">
        <f t="shared" si="232"/>
        <v>32</v>
      </c>
      <c r="U974" s="1220">
        <v>0.8340533971786499</v>
      </c>
      <c r="W974" s="299">
        <v>966</v>
      </c>
      <c r="X974" s="298">
        <f>IF('Donor Sample'!N991="",,IF('Donor Sample'!N991="F",1,0))</f>
        <v>0</v>
      </c>
      <c r="Y974" s="298" t="str">
        <f>IF('Donor Sample'!O991="","",'Donor Sample'!O991)</f>
        <v/>
      </c>
      <c r="Z974" s="298" t="str">
        <f>IF(AND('Donor Sample'!O991="",'Donor Sample'!P991="",'Donor Sample'!Q991=""),"",IF('Donor Sample'!P991="",ROUND(AA974/($C$32+($AI974-0.5)*$C$31),0),'Donor Sample'!P991))</f>
        <v/>
      </c>
      <c r="AA974" s="297" t="str">
        <f>IF('Donor Sample'!Q991="","",'Donor Sample'!Q991)</f>
        <v/>
      </c>
      <c r="AB974" s="296" t="str">
        <f t="shared" si="223"/>
        <v/>
      </c>
      <c r="AC974" s="295" t="str">
        <f>IF('Donor Sample'!R991="","",'Donor Sample'!R991)</f>
        <v/>
      </c>
      <c r="AD974" s="294" t="str">
        <f>IF('Donor Sample'!S991="","",'Donor Sample'!S991/100)</f>
        <v/>
      </c>
      <c r="AE974" s="293" t="e">
        <f t="shared" si="233"/>
        <v>#VALUE!</v>
      </c>
      <c r="AF974" s="293" t="str">
        <f t="shared" si="234"/>
        <v/>
      </c>
      <c r="AG974" s="292" t="str">
        <f>IF('Donor Sample'!T991="","",'Donor Sample'!T991)</f>
        <v/>
      </c>
      <c r="AH974" s="891">
        <f t="shared" si="235"/>
        <v>32</v>
      </c>
      <c r="AI974" s="1220">
        <v>0.82251822948455811</v>
      </c>
      <c r="AJ974" s="1216"/>
    </row>
    <row r="975" spans="5:36">
      <c r="E975" s="299">
        <v>967</v>
      </c>
      <c r="F975" s="308">
        <f t="shared" ca="1" si="224"/>
        <v>3457.0573332222011</v>
      </c>
      <c r="G975" s="307">
        <f t="shared" ca="1" si="225"/>
        <v>162.44253908395171</v>
      </c>
      <c r="H975" s="306">
        <f t="shared" ca="1" si="226"/>
        <v>0.39008780566484874</v>
      </c>
      <c r="I975" s="305">
        <f t="shared" ca="1" si="228"/>
        <v>115.94402136732268</v>
      </c>
      <c r="J975" s="305">
        <f t="shared" ca="1" si="229"/>
        <v>57.789278682215652</v>
      </c>
      <c r="K975" s="292">
        <f t="shared" ca="1" si="227"/>
        <v>2.5731859018840044</v>
      </c>
      <c r="L975" s="1290">
        <f t="shared" ca="1" si="230"/>
        <v>24.441422082114205</v>
      </c>
      <c r="M975" s="299">
        <v>967</v>
      </c>
      <c r="N975" s="304">
        <f t="shared" si="231"/>
        <v>3425.4894844086457</v>
      </c>
      <c r="O975" s="303">
        <v>267.98020867317337</v>
      </c>
      <c r="P975" s="302">
        <v>0.38938622970159598</v>
      </c>
      <c r="Q975" s="301">
        <v>112.24671745991947</v>
      </c>
      <c r="R975" s="301">
        <v>58.159009370204046</v>
      </c>
      <c r="S975" s="300">
        <v>1.279673909574067</v>
      </c>
      <c r="T975" s="891">
        <f t="shared" si="232"/>
        <v>256</v>
      </c>
      <c r="U975" s="1220">
        <v>0.89320665597915649</v>
      </c>
      <c r="W975" s="299">
        <v>967</v>
      </c>
      <c r="X975" s="298">
        <f>IF('Donor Sample'!N992="",,IF('Donor Sample'!N992="F",1,0))</f>
        <v>0</v>
      </c>
      <c r="Y975" s="298" t="str">
        <f>IF('Donor Sample'!O992="","",'Donor Sample'!O992)</f>
        <v/>
      </c>
      <c r="Z975" s="298" t="str">
        <f>IF(AND('Donor Sample'!O992="",'Donor Sample'!P992="",'Donor Sample'!Q992=""),"",IF('Donor Sample'!P992="",ROUND(AA975/($C$32+($AI975-0.5)*$C$31),0),'Donor Sample'!P992))</f>
        <v/>
      </c>
      <c r="AA975" s="297" t="str">
        <f>IF('Donor Sample'!Q992="","",'Donor Sample'!Q992)</f>
        <v/>
      </c>
      <c r="AB975" s="296" t="str">
        <f t="shared" si="223"/>
        <v/>
      </c>
      <c r="AC975" s="295" t="str">
        <f>IF('Donor Sample'!R992="","",'Donor Sample'!R992)</f>
        <v/>
      </c>
      <c r="AD975" s="294" t="str">
        <f>IF('Donor Sample'!S992="","",'Donor Sample'!S992/100)</f>
        <v/>
      </c>
      <c r="AE975" s="407" t="e">
        <f t="shared" si="233"/>
        <v>#VALUE!</v>
      </c>
      <c r="AF975" s="293" t="str">
        <f t="shared" si="234"/>
        <v/>
      </c>
      <c r="AG975" s="292" t="str">
        <f>IF('Donor Sample'!T992="","",'Donor Sample'!T992)</f>
        <v/>
      </c>
      <c r="AH975" s="891">
        <f t="shared" si="235"/>
        <v>2</v>
      </c>
      <c r="AI975" s="1220">
        <v>2.9862940311431885E-2</v>
      </c>
      <c r="AJ975" s="1216"/>
    </row>
    <row r="976" spans="5:36">
      <c r="E976" s="299">
        <v>968</v>
      </c>
      <c r="F976" s="308">
        <f t="shared" ca="1" si="224"/>
        <v>4578.474630759948</v>
      </c>
      <c r="G976" s="307">
        <f t="shared" ca="1" si="225"/>
        <v>205.84912460996509</v>
      </c>
      <c r="H976" s="306">
        <f t="shared" ca="1" si="226"/>
        <v>0.43586863587259972</v>
      </c>
      <c r="I976" s="305">
        <f t="shared" ca="1" si="228"/>
        <v>159.96570209302149</v>
      </c>
      <c r="J976" s="305">
        <f t="shared" ca="1" si="229"/>
        <v>64.841216277720818</v>
      </c>
      <c r="K976" s="292">
        <f t="shared" ca="1" si="227"/>
        <v>9.0960229948719658</v>
      </c>
      <c r="L976" s="1290">
        <f t="shared" ca="1" si="230"/>
        <v>26.785344122519778</v>
      </c>
      <c r="M976" s="299">
        <v>968</v>
      </c>
      <c r="N976" s="304">
        <f t="shared" si="231"/>
        <v>4199.2031606067376</v>
      </c>
      <c r="O976" s="303">
        <v>176.83535865069567</v>
      </c>
      <c r="P976" s="302">
        <v>0.44402302036434671</v>
      </c>
      <c r="Q976" s="301">
        <v>135.48006623014604</v>
      </c>
      <c r="R976" s="301">
        <v>64.55269830232308</v>
      </c>
      <c r="S976" s="300">
        <v>2.855807611271441</v>
      </c>
      <c r="T976" s="891">
        <f t="shared" si="232"/>
        <v>64</v>
      </c>
      <c r="U976" s="1220">
        <v>0.45176982879638672</v>
      </c>
      <c r="W976" s="299">
        <v>968</v>
      </c>
      <c r="X976" s="298">
        <f>IF('Donor Sample'!N993="",,IF('Donor Sample'!N993="F",1,0))</f>
        <v>0</v>
      </c>
      <c r="Y976" s="298" t="str">
        <f>IF('Donor Sample'!O993="","",'Donor Sample'!O993)</f>
        <v/>
      </c>
      <c r="Z976" s="298" t="str">
        <f>IF(AND('Donor Sample'!O993="",'Donor Sample'!P993="",'Donor Sample'!Q993=""),"",IF('Donor Sample'!P993="",ROUND(AA976/($C$32+($AI976-0.5)*$C$31),0),'Donor Sample'!P993))</f>
        <v/>
      </c>
      <c r="AA976" s="297" t="str">
        <f>IF('Donor Sample'!Q993="","",'Donor Sample'!Q993)</f>
        <v/>
      </c>
      <c r="AB976" s="296" t="str">
        <f t="shared" si="223"/>
        <v/>
      </c>
      <c r="AC976" s="295" t="str">
        <f>IF('Donor Sample'!R993="","",'Donor Sample'!R993)</f>
        <v/>
      </c>
      <c r="AD976" s="294" t="str">
        <f>IF('Donor Sample'!S993="","",'Donor Sample'!S993/100)</f>
        <v/>
      </c>
      <c r="AE976" s="293" t="e">
        <f t="shared" si="233"/>
        <v>#VALUE!</v>
      </c>
      <c r="AF976" s="293" t="str">
        <f t="shared" si="234"/>
        <v/>
      </c>
      <c r="AG976" s="292" t="str">
        <f>IF('Donor Sample'!T993="","",'Donor Sample'!T993)</f>
        <v/>
      </c>
      <c r="AH976" s="891">
        <f t="shared" si="235"/>
        <v>2</v>
      </c>
      <c r="AI976" s="1220">
        <v>0.23564863204956055</v>
      </c>
      <c r="AJ976" s="1216"/>
    </row>
    <row r="977" spans="5:36">
      <c r="E977" s="299">
        <v>969</v>
      </c>
      <c r="F977" s="308">
        <f t="shared" ca="1" si="224"/>
        <v>3372.0784950902353</v>
      </c>
      <c r="G977" s="307">
        <f t="shared" ca="1" si="225"/>
        <v>257.2793330798288</v>
      </c>
      <c r="H977" s="306">
        <f t="shared" ca="1" si="226"/>
        <v>0.38596580621033705</v>
      </c>
      <c r="I977" s="305">
        <f t="shared" ca="1" si="228"/>
        <v>117.1755112923023</v>
      </c>
      <c r="J977" s="305">
        <f t="shared" ca="1" si="229"/>
        <v>62.600531232585034</v>
      </c>
      <c r="K977" s="292">
        <f t="shared" ca="1" si="227"/>
        <v>1.6631718088634562</v>
      </c>
      <c r="L977" s="1290">
        <f t="shared" ca="1" si="230"/>
        <v>21.050066831642347</v>
      </c>
      <c r="M977" s="299">
        <v>969</v>
      </c>
      <c r="N977" s="304">
        <f t="shared" si="231"/>
        <v>3964.5456104291407</v>
      </c>
      <c r="O977" s="303">
        <v>260.86720942956657</v>
      </c>
      <c r="P977" s="302">
        <v>0.39523832276936749</v>
      </c>
      <c r="Q977" s="301">
        <v>141.32868048219589</v>
      </c>
      <c r="R977" s="301">
        <v>65.790504448242615</v>
      </c>
      <c r="S977" s="300">
        <v>1.4195724616330896</v>
      </c>
      <c r="T977" s="891">
        <f t="shared" si="232"/>
        <v>2</v>
      </c>
      <c r="U977" s="1220">
        <v>0.25551146268844604</v>
      </c>
      <c r="W977" s="299">
        <v>969</v>
      </c>
      <c r="X977" s="298">
        <f>IF('Donor Sample'!N994="",,IF('Donor Sample'!N994="F",1,0))</f>
        <v>0</v>
      </c>
      <c r="Y977" s="298" t="str">
        <f>IF('Donor Sample'!O994="","",'Donor Sample'!O994)</f>
        <v/>
      </c>
      <c r="Z977" s="298" t="str">
        <f>IF(AND('Donor Sample'!O994="",'Donor Sample'!P994="",'Donor Sample'!Q994=""),"",IF('Donor Sample'!P994="",ROUND(AA977/($C$32+($AI977-0.5)*$C$31),0),'Donor Sample'!P994))</f>
        <v/>
      </c>
      <c r="AA977" s="297" t="str">
        <f>IF('Donor Sample'!Q994="","",'Donor Sample'!Q994)</f>
        <v/>
      </c>
      <c r="AB977" s="296" t="str">
        <f t="shared" si="223"/>
        <v/>
      </c>
      <c r="AC977" s="295" t="str">
        <f>IF('Donor Sample'!R994="","",'Donor Sample'!R994)</f>
        <v/>
      </c>
      <c r="AD977" s="294" t="str">
        <f>IF('Donor Sample'!S994="","",'Donor Sample'!S994/100)</f>
        <v/>
      </c>
      <c r="AE977" s="293" t="e">
        <f t="shared" si="233"/>
        <v>#VALUE!</v>
      </c>
      <c r="AF977" s="293" t="str">
        <f t="shared" si="234"/>
        <v/>
      </c>
      <c r="AG977" s="292" t="str">
        <f>IF('Donor Sample'!T994="","",'Donor Sample'!T994)</f>
        <v/>
      </c>
      <c r="AH977" s="891">
        <f t="shared" si="235"/>
        <v>32</v>
      </c>
      <c r="AI977" s="1220">
        <v>0.82233208417892456</v>
      </c>
      <c r="AJ977" s="1216"/>
    </row>
    <row r="978" spans="5:36">
      <c r="E978" s="299">
        <v>970</v>
      </c>
      <c r="F978" s="308">
        <f t="shared" ca="1" si="224"/>
        <v>3417.3341415442123</v>
      </c>
      <c r="G978" s="307">
        <f t="shared" ca="1" si="225"/>
        <v>255.61788217616746</v>
      </c>
      <c r="H978" s="306">
        <f t="shared" ca="1" si="226"/>
        <v>0.41345946342273043</v>
      </c>
      <c r="I978" s="305">
        <f t="shared" ca="1" si="228"/>
        <v>131.58641880340954</v>
      </c>
      <c r="J978" s="305">
        <f t="shared" ca="1" si="229"/>
        <v>52.943170043667315</v>
      </c>
      <c r="K978" s="292">
        <f t="shared" ca="1" si="227"/>
        <v>16.42807593284407</v>
      </c>
      <c r="L978" s="1290">
        <f t="shared" ca="1" si="230"/>
        <v>33.049420075582425</v>
      </c>
      <c r="M978" s="299">
        <v>970</v>
      </c>
      <c r="N978" s="304">
        <f t="shared" si="231"/>
        <v>3210.8552463702376</v>
      </c>
      <c r="O978" s="303">
        <v>155.47450241331615</v>
      </c>
      <c r="P978" s="302">
        <v>0.39179354559878476</v>
      </c>
      <c r="Q978" s="301">
        <v>110.13165121515144</v>
      </c>
      <c r="R978" s="301">
        <v>54.975917098371461</v>
      </c>
      <c r="S978" s="300">
        <v>2.7487579270804168</v>
      </c>
      <c r="T978" s="891">
        <f t="shared" si="232"/>
        <v>2</v>
      </c>
      <c r="U978" s="1220">
        <v>0.34349310398101807</v>
      </c>
      <c r="W978" s="299">
        <v>970</v>
      </c>
      <c r="X978" s="298">
        <f>IF('Donor Sample'!N995="",,IF('Donor Sample'!N995="F",1,0))</f>
        <v>0</v>
      </c>
      <c r="Y978" s="298" t="str">
        <f>IF('Donor Sample'!O995="","",'Donor Sample'!O995)</f>
        <v/>
      </c>
      <c r="Z978" s="298" t="str">
        <f>IF(AND('Donor Sample'!O995="",'Donor Sample'!P995="",'Donor Sample'!Q995=""),"",IF('Donor Sample'!P995="",ROUND(AA978/($C$32+($AI978-0.5)*$C$31),0),'Donor Sample'!P995))</f>
        <v/>
      </c>
      <c r="AA978" s="297" t="str">
        <f>IF('Donor Sample'!Q995="","",'Donor Sample'!Q995)</f>
        <v/>
      </c>
      <c r="AB978" s="296" t="str">
        <f t="shared" si="223"/>
        <v/>
      </c>
      <c r="AC978" s="295" t="str">
        <f>IF('Donor Sample'!R995="","",'Donor Sample'!R995)</f>
        <v/>
      </c>
      <c r="AD978" s="294" t="str">
        <f>IF('Donor Sample'!S995="","",'Donor Sample'!S995/100)</f>
        <v/>
      </c>
      <c r="AE978" s="407" t="e">
        <f t="shared" si="233"/>
        <v>#VALUE!</v>
      </c>
      <c r="AF978" s="293" t="str">
        <f t="shared" si="234"/>
        <v/>
      </c>
      <c r="AG978" s="292" t="str">
        <f>IF('Donor Sample'!T995="","",'Donor Sample'!T995)</f>
        <v/>
      </c>
      <c r="AH978" s="891">
        <f t="shared" si="235"/>
        <v>4</v>
      </c>
      <c r="AI978" s="1220">
        <v>0.38766014575958252</v>
      </c>
      <c r="AJ978" s="1216"/>
    </row>
    <row r="979" spans="5:36">
      <c r="E979" s="299">
        <v>971</v>
      </c>
      <c r="F979" s="308">
        <f t="shared" ca="1" si="224"/>
        <v>3637.8834589684075</v>
      </c>
      <c r="G979" s="307">
        <f t="shared" ca="1" si="225"/>
        <v>273.18769640532616</v>
      </c>
      <c r="H979" s="306">
        <f t="shared" ca="1" si="226"/>
        <v>0.39332302148218795</v>
      </c>
      <c r="I979" s="305">
        <f t="shared" ca="1" si="228"/>
        <v>127.02550277605521</v>
      </c>
      <c r="J979" s="305">
        <f t="shared" ca="1" si="229"/>
        <v>64.276219587501032</v>
      </c>
      <c r="K979" s="292">
        <f t="shared" ca="1" si="227"/>
        <v>2.1318061120133414</v>
      </c>
      <c r="L979" s="1290">
        <f t="shared" ca="1" si="230"/>
        <v>21.645266144930968</v>
      </c>
      <c r="M979" s="299">
        <v>971</v>
      </c>
      <c r="N979" s="304">
        <f t="shared" si="231"/>
        <v>3469.9959756414305</v>
      </c>
      <c r="O979" s="303">
        <v>261.18032865069398</v>
      </c>
      <c r="P979" s="302">
        <v>0.40004445273491124</v>
      </c>
      <c r="Q979" s="301">
        <v>106.98342177727118</v>
      </c>
      <c r="R979" s="301">
        <v>66.061652281445191</v>
      </c>
      <c r="S979" s="300">
        <v>1.2382703570280376</v>
      </c>
      <c r="T979" s="891">
        <f t="shared" si="232"/>
        <v>64</v>
      </c>
      <c r="U979" s="1220">
        <v>0.769428551197052</v>
      </c>
      <c r="W979" s="299">
        <v>971</v>
      </c>
      <c r="X979" s="298">
        <f>IF('Donor Sample'!N996="",,IF('Donor Sample'!N996="F",1,0))</f>
        <v>0</v>
      </c>
      <c r="Y979" s="298" t="str">
        <f>IF('Donor Sample'!O996="","",'Donor Sample'!O996)</f>
        <v/>
      </c>
      <c r="Z979" s="298" t="str">
        <f>IF(AND('Donor Sample'!O996="",'Donor Sample'!P996="",'Donor Sample'!Q996=""),"",IF('Donor Sample'!P996="",ROUND(AA979/($C$32+($AI979-0.5)*$C$31),0),'Donor Sample'!P996))</f>
        <v/>
      </c>
      <c r="AA979" s="297" t="str">
        <f>IF('Donor Sample'!Q996="","",'Donor Sample'!Q996)</f>
        <v/>
      </c>
      <c r="AB979" s="296" t="str">
        <f t="shared" si="223"/>
        <v/>
      </c>
      <c r="AC979" s="295" t="str">
        <f>IF('Donor Sample'!R996="","",'Donor Sample'!R996)</f>
        <v/>
      </c>
      <c r="AD979" s="294" t="str">
        <f>IF('Donor Sample'!S996="","",'Donor Sample'!S996/100)</f>
        <v/>
      </c>
      <c r="AE979" s="293" t="e">
        <f t="shared" si="233"/>
        <v>#VALUE!</v>
      </c>
      <c r="AF979" s="293" t="str">
        <f t="shared" si="234"/>
        <v/>
      </c>
      <c r="AG979" s="292" t="str">
        <f>IF('Donor Sample'!T996="","",'Donor Sample'!T996)</f>
        <v/>
      </c>
      <c r="AH979" s="891">
        <f t="shared" si="235"/>
        <v>256</v>
      </c>
      <c r="AI979" s="1220">
        <v>0.90304070711135864</v>
      </c>
      <c r="AJ979" s="1216"/>
    </row>
    <row r="980" spans="5:36">
      <c r="E980" s="299">
        <v>972</v>
      </c>
      <c r="F980" s="308">
        <f t="shared" ca="1" si="224"/>
        <v>3005.2742195391347</v>
      </c>
      <c r="G980" s="307">
        <f t="shared" ca="1" si="225"/>
        <v>270.7204942231819</v>
      </c>
      <c r="H980" s="306">
        <f t="shared" ca="1" si="226"/>
        <v>0.43426047990587269</v>
      </c>
      <c r="I980" s="305">
        <f t="shared" ca="1" si="228"/>
        <v>98.75372803460904</v>
      </c>
      <c r="J980" s="305">
        <f t="shared" ca="1" si="229"/>
        <v>54.242218574232297</v>
      </c>
      <c r="K980" s="292">
        <f t="shared" ca="1" si="227"/>
        <v>5.187750028874957</v>
      </c>
      <c r="L980" s="1290">
        <f t="shared" ca="1" si="230"/>
        <v>23.629322510467592</v>
      </c>
      <c r="M980" s="299">
        <v>972</v>
      </c>
      <c r="N980" s="304">
        <f t="shared" si="231"/>
        <v>2723.4927433828229</v>
      </c>
      <c r="O980" s="303">
        <v>221.3389461985274</v>
      </c>
      <c r="P980" s="302">
        <v>0.47764911629240281</v>
      </c>
      <c r="Q980" s="301">
        <v>102.12601850687976</v>
      </c>
      <c r="R980" s="301">
        <v>47.106906092223113</v>
      </c>
      <c r="S980" s="300">
        <v>2.8721485839215211</v>
      </c>
      <c r="T980" s="891">
        <f t="shared" si="232"/>
        <v>256</v>
      </c>
      <c r="U980" s="1220">
        <v>0.8594810962677002</v>
      </c>
      <c r="W980" s="299">
        <v>972</v>
      </c>
      <c r="X980" s="298">
        <f>IF('Donor Sample'!N997="",,IF('Donor Sample'!N997="F",1,0))</f>
        <v>0</v>
      </c>
      <c r="Y980" s="298" t="str">
        <f>IF('Donor Sample'!O997="","",'Donor Sample'!O997)</f>
        <v/>
      </c>
      <c r="Z980" s="298" t="str">
        <f>IF(AND('Donor Sample'!O997="",'Donor Sample'!P997="",'Donor Sample'!Q997=""),"",IF('Donor Sample'!P997="",ROUND(AA980/($C$32+($AI980-0.5)*$C$31),0),'Donor Sample'!P997))</f>
        <v/>
      </c>
      <c r="AA980" s="297" t="str">
        <f>IF('Donor Sample'!Q997="","",'Donor Sample'!Q997)</f>
        <v/>
      </c>
      <c r="AB980" s="296" t="str">
        <f t="shared" si="223"/>
        <v/>
      </c>
      <c r="AC980" s="295" t="str">
        <f>IF('Donor Sample'!R997="","",'Donor Sample'!R997)</f>
        <v/>
      </c>
      <c r="AD980" s="294" t="str">
        <f>IF('Donor Sample'!S997="","",'Donor Sample'!S997/100)</f>
        <v/>
      </c>
      <c r="AE980" s="293" t="e">
        <f t="shared" si="233"/>
        <v>#VALUE!</v>
      </c>
      <c r="AF980" s="293" t="str">
        <f t="shared" si="234"/>
        <v/>
      </c>
      <c r="AG980" s="292" t="str">
        <f>IF('Donor Sample'!T997="","",'Donor Sample'!T997)</f>
        <v/>
      </c>
      <c r="AH980" s="891">
        <f t="shared" si="235"/>
        <v>2</v>
      </c>
      <c r="AI980" s="1220">
        <v>0.16030478477478027</v>
      </c>
      <c r="AJ980" s="1216"/>
    </row>
    <row r="981" spans="5:36">
      <c r="E981" s="299">
        <v>973</v>
      </c>
      <c r="F981" s="308">
        <f t="shared" ca="1" si="224"/>
        <v>3148.102009752406</v>
      </c>
      <c r="G981" s="307">
        <f t="shared" ca="1" si="225"/>
        <v>197.74904008728788</v>
      </c>
      <c r="H981" s="306">
        <f t="shared" ca="1" si="226"/>
        <v>0.3750365027025937</v>
      </c>
      <c r="I981" s="305">
        <f t="shared" ca="1" si="228"/>
        <v>109.9563826131335</v>
      </c>
      <c r="J981" s="305">
        <f t="shared" ca="1" si="229"/>
        <v>53.848705706988675</v>
      </c>
      <c r="K981" s="292">
        <f t="shared" ca="1" si="227"/>
        <v>2.5795858978264228</v>
      </c>
      <c r="L981" s="1290">
        <f t="shared" ca="1" si="230"/>
        <v>26.695776925066536</v>
      </c>
      <c r="M981" s="299">
        <v>973</v>
      </c>
      <c r="N981" s="304">
        <f t="shared" si="231"/>
        <v>4304.6527159096586</v>
      </c>
      <c r="O981" s="303">
        <v>263.46874662698895</v>
      </c>
      <c r="P981" s="302">
        <v>0.37608919591481488</v>
      </c>
      <c r="Q981" s="301">
        <v>143.80079507934664</v>
      </c>
      <c r="R981" s="301">
        <v>64.338661292486023</v>
      </c>
      <c r="S981" s="300">
        <v>13.178670012672416</v>
      </c>
      <c r="T981" s="891">
        <f t="shared" si="232"/>
        <v>2</v>
      </c>
      <c r="U981" s="1220">
        <v>0.17324680089950562</v>
      </c>
      <c r="W981" s="299">
        <v>973</v>
      </c>
      <c r="X981" s="298">
        <f>IF('Donor Sample'!N998="",,IF('Donor Sample'!N998="F",1,0))</f>
        <v>0</v>
      </c>
      <c r="Y981" s="298" t="str">
        <f>IF('Donor Sample'!O998="","",'Donor Sample'!O998)</f>
        <v/>
      </c>
      <c r="Z981" s="298" t="str">
        <f>IF(AND('Donor Sample'!O998="",'Donor Sample'!P998="",'Donor Sample'!Q998=""),"",IF('Donor Sample'!P998="",ROUND(AA981/($C$32+($AI981-0.5)*$C$31),0),'Donor Sample'!P998))</f>
        <v/>
      </c>
      <c r="AA981" s="297" t="str">
        <f>IF('Donor Sample'!Q998="","",'Donor Sample'!Q998)</f>
        <v/>
      </c>
      <c r="AB981" s="296" t="str">
        <f t="shared" si="223"/>
        <v/>
      </c>
      <c r="AC981" s="295" t="str">
        <f>IF('Donor Sample'!R998="","",'Donor Sample'!R998)</f>
        <v/>
      </c>
      <c r="AD981" s="294" t="str">
        <f>IF('Donor Sample'!S998="","",'Donor Sample'!S998/100)</f>
        <v/>
      </c>
      <c r="AE981" s="407" t="e">
        <f t="shared" si="233"/>
        <v>#VALUE!</v>
      </c>
      <c r="AF981" s="293" t="str">
        <f t="shared" si="234"/>
        <v/>
      </c>
      <c r="AG981" s="292" t="str">
        <f>IF('Donor Sample'!T998="","",'Donor Sample'!T998)</f>
        <v/>
      </c>
      <c r="AH981" s="891">
        <f t="shared" si="235"/>
        <v>64</v>
      </c>
      <c r="AI981" s="1220">
        <v>0.66579526662826538</v>
      </c>
      <c r="AJ981" s="1216"/>
    </row>
    <row r="982" spans="5:36">
      <c r="E982" s="299">
        <v>974</v>
      </c>
      <c r="F982" s="308">
        <f t="shared" ca="1" si="224"/>
        <v>2709.4447626044885</v>
      </c>
      <c r="G982" s="307">
        <f t="shared" ca="1" si="225"/>
        <v>291.51491176594618</v>
      </c>
      <c r="H982" s="306">
        <f t="shared" ca="1" si="226"/>
        <v>0.38492667621161353</v>
      </c>
      <c r="I982" s="305">
        <f t="shared" ca="1" si="228"/>
        <v>98.767792549090075</v>
      </c>
      <c r="J982" s="305">
        <f t="shared" ca="1" si="229"/>
        <v>47.965222924864989</v>
      </c>
      <c r="K982" s="292">
        <f t="shared" ca="1" si="227"/>
        <v>1.9783651175804855</v>
      </c>
      <c r="L982" s="1290">
        <f t="shared" ca="1" si="230"/>
        <v>30.222826087284442</v>
      </c>
      <c r="M982" s="299">
        <v>974</v>
      </c>
      <c r="N982" s="304">
        <f t="shared" si="231"/>
        <v>3259.6718606024433</v>
      </c>
      <c r="O982" s="303">
        <v>278.82283661222681</v>
      </c>
      <c r="P982" s="302">
        <v>0.3891896430199237</v>
      </c>
      <c r="Q982" s="301">
        <v>118.25538701671464</v>
      </c>
      <c r="R982" s="301">
        <v>53.664599828742247</v>
      </c>
      <c r="S982" s="300">
        <v>3.1170032947899791</v>
      </c>
      <c r="T982" s="891">
        <f t="shared" si="232"/>
        <v>4</v>
      </c>
      <c r="U982" s="1220">
        <v>0.41767966747283936</v>
      </c>
      <c r="W982" s="299">
        <v>974</v>
      </c>
      <c r="X982" s="298">
        <f>IF('Donor Sample'!N999="",,IF('Donor Sample'!N999="F",1,0))</f>
        <v>0</v>
      </c>
      <c r="Y982" s="298" t="str">
        <f>IF('Donor Sample'!O999="","",'Donor Sample'!O999)</f>
        <v/>
      </c>
      <c r="Z982" s="298" t="str">
        <f>IF(AND('Donor Sample'!O999="",'Donor Sample'!P999="",'Donor Sample'!Q999=""),"",IF('Donor Sample'!P999="",ROUND(AA982/($C$32+($AI982-0.5)*$C$31),0),'Donor Sample'!P999))</f>
        <v/>
      </c>
      <c r="AA982" s="297" t="str">
        <f>IF('Donor Sample'!Q999="","",'Donor Sample'!Q999)</f>
        <v/>
      </c>
      <c r="AB982" s="296" t="str">
        <f t="shared" si="223"/>
        <v/>
      </c>
      <c r="AC982" s="295" t="str">
        <f>IF('Donor Sample'!R999="","",'Donor Sample'!R999)</f>
        <v/>
      </c>
      <c r="AD982" s="294" t="str">
        <f>IF('Donor Sample'!S999="","",'Donor Sample'!S999/100)</f>
        <v/>
      </c>
      <c r="AE982" s="293" t="e">
        <f t="shared" si="233"/>
        <v>#VALUE!</v>
      </c>
      <c r="AF982" s="293" t="str">
        <f t="shared" si="234"/>
        <v/>
      </c>
      <c r="AG982" s="292" t="str">
        <f>IF('Donor Sample'!T999="","",'Donor Sample'!T999)</f>
        <v/>
      </c>
      <c r="AH982" s="891">
        <f t="shared" si="235"/>
        <v>2</v>
      </c>
      <c r="AI982" s="1220">
        <v>0.25497567653656006</v>
      </c>
      <c r="AJ982" s="1216"/>
    </row>
    <row r="983" spans="5:36">
      <c r="E983" s="299">
        <v>975</v>
      </c>
      <c r="F983" s="308">
        <f t="shared" ca="1" si="224"/>
        <v>3268.2180970362615</v>
      </c>
      <c r="G983" s="307">
        <f t="shared" ca="1" si="225"/>
        <v>257.54132744013361</v>
      </c>
      <c r="H983" s="306">
        <f t="shared" ca="1" si="226"/>
        <v>0.43231707439338352</v>
      </c>
      <c r="I983" s="305">
        <f t="shared" ca="1" si="228"/>
        <v>111.70898607237471</v>
      </c>
      <c r="J983" s="305">
        <f t="shared" ca="1" si="229"/>
        <v>55.598684391777979</v>
      </c>
      <c r="K983" s="292">
        <f t="shared" ca="1" si="227"/>
        <v>1.5817304930129115</v>
      </c>
      <c r="L983" s="1290">
        <f t="shared" ca="1" si="230"/>
        <v>25.440857110542272</v>
      </c>
      <c r="M983" s="299">
        <v>975</v>
      </c>
      <c r="N983" s="304">
        <f t="shared" si="231"/>
        <v>3307.07608197851</v>
      </c>
      <c r="O983" s="303">
        <v>284.76245459583828</v>
      </c>
      <c r="P983" s="302">
        <v>0.42450580076847066</v>
      </c>
      <c r="Q983" s="301">
        <v>116.29992555664651</v>
      </c>
      <c r="R983" s="301">
        <v>55.08876368191352</v>
      </c>
      <c r="S983" s="300">
        <v>1.6904741467794555</v>
      </c>
      <c r="T983" s="891">
        <f t="shared" si="232"/>
        <v>2</v>
      </c>
      <c r="U983" s="1220">
        <v>0.31469112634658813</v>
      </c>
      <c r="W983" s="299">
        <v>975</v>
      </c>
      <c r="X983" s="298">
        <f>IF('Donor Sample'!N1000="",,IF('Donor Sample'!N1000="F",1,0))</f>
        <v>0</v>
      </c>
      <c r="Y983" s="298" t="str">
        <f>IF('Donor Sample'!O1000="","",'Donor Sample'!O1000)</f>
        <v/>
      </c>
      <c r="Z983" s="298" t="str">
        <f>IF(AND('Donor Sample'!O1000="",'Donor Sample'!P1000="",'Donor Sample'!Q1000=""),"",IF('Donor Sample'!P1000="",ROUND(AA983/($C$32+($AI983-0.5)*$C$31),0),'Donor Sample'!P1000))</f>
        <v/>
      </c>
      <c r="AA983" s="297" t="str">
        <f>IF('Donor Sample'!Q1000="","",'Donor Sample'!Q1000)</f>
        <v/>
      </c>
      <c r="AB983" s="296" t="str">
        <f t="shared" si="223"/>
        <v/>
      </c>
      <c r="AC983" s="295" t="str">
        <f>IF('Donor Sample'!R1000="","",'Donor Sample'!R1000)</f>
        <v/>
      </c>
      <c r="AD983" s="294" t="str">
        <f>IF('Donor Sample'!S1000="","",'Donor Sample'!S1000/100)</f>
        <v/>
      </c>
      <c r="AE983" s="293" t="e">
        <f t="shared" si="233"/>
        <v>#VALUE!</v>
      </c>
      <c r="AF983" s="293" t="str">
        <f t="shared" si="234"/>
        <v/>
      </c>
      <c r="AG983" s="292" t="str">
        <f>IF('Donor Sample'!T1000="","",'Donor Sample'!T1000)</f>
        <v/>
      </c>
      <c r="AH983" s="891">
        <f t="shared" si="235"/>
        <v>2</v>
      </c>
      <c r="AI983" s="1220">
        <v>0.35797888040542603</v>
      </c>
      <c r="AJ983" s="1216"/>
    </row>
    <row r="984" spans="5:36">
      <c r="E984" s="299">
        <v>976</v>
      </c>
      <c r="F984" s="308">
        <f t="shared" ca="1" si="224"/>
        <v>3139.5879596467644</v>
      </c>
      <c r="G984" s="307">
        <f t="shared" ca="1" si="225"/>
        <v>287.3788442113912</v>
      </c>
      <c r="H984" s="306">
        <f t="shared" ca="1" si="226"/>
        <v>0.37545132349064358</v>
      </c>
      <c r="I984" s="305">
        <f t="shared" ca="1" si="228"/>
        <v>96.766800221890762</v>
      </c>
      <c r="J984" s="305">
        <f t="shared" ca="1" si="229"/>
        <v>63.656117644943272</v>
      </c>
      <c r="K984" s="292">
        <f t="shared" ca="1" si="227"/>
        <v>1.6966356397760578</v>
      </c>
      <c r="L984" s="1290">
        <f t="shared" ca="1" si="230"/>
        <v>16.811975339095468</v>
      </c>
      <c r="M984" s="299">
        <v>976</v>
      </c>
      <c r="N984" s="304">
        <f t="shared" si="231"/>
        <v>3254.6211668415108</v>
      </c>
      <c r="O984" s="303">
        <v>212.26663849464899</v>
      </c>
      <c r="P984" s="302">
        <v>0.42856919732674453</v>
      </c>
      <c r="Q984" s="301">
        <v>104.70834654740212</v>
      </c>
      <c r="R984" s="301">
        <v>63.59840467858568</v>
      </c>
      <c r="S984" s="300">
        <v>17.793140187388193</v>
      </c>
      <c r="T984" s="891">
        <f t="shared" si="232"/>
        <v>2</v>
      </c>
      <c r="U984" s="1220">
        <v>0.1702265739440918</v>
      </c>
      <c r="W984" s="299">
        <v>976</v>
      </c>
      <c r="X984" s="298">
        <f>IF('Donor Sample'!N1001="",,IF('Donor Sample'!N1001="F",1,0))</f>
        <v>0</v>
      </c>
      <c r="Y984" s="298" t="str">
        <f>IF('Donor Sample'!O1001="","",'Donor Sample'!O1001)</f>
        <v/>
      </c>
      <c r="Z984" s="298" t="str">
        <f>IF(AND('Donor Sample'!O1001="",'Donor Sample'!P1001="",'Donor Sample'!Q1001=""),"",IF('Donor Sample'!P1001="",ROUND(AA984/($C$32+($AI984-0.5)*$C$31),0),'Donor Sample'!P1001))</f>
        <v/>
      </c>
      <c r="AA984" s="297" t="str">
        <f>IF('Donor Sample'!Q1001="","",'Donor Sample'!Q1001)</f>
        <v/>
      </c>
      <c r="AB984" s="296" t="str">
        <f t="shared" si="223"/>
        <v/>
      </c>
      <c r="AC984" s="295" t="str">
        <f>IF('Donor Sample'!R1001="","",'Donor Sample'!R1001)</f>
        <v/>
      </c>
      <c r="AD984" s="294" t="str">
        <f>IF('Donor Sample'!S1001="","",'Donor Sample'!S1001/100)</f>
        <v/>
      </c>
      <c r="AE984" s="407" t="e">
        <f t="shared" si="233"/>
        <v>#VALUE!</v>
      </c>
      <c r="AF984" s="293" t="str">
        <f t="shared" si="234"/>
        <v/>
      </c>
      <c r="AG984" s="292" t="str">
        <f>IF('Donor Sample'!T1001="","",'Donor Sample'!T1001)</f>
        <v/>
      </c>
      <c r="AH984" s="891">
        <f t="shared" si="235"/>
        <v>256</v>
      </c>
      <c r="AI984" s="1220">
        <v>0.87483596801757813</v>
      </c>
      <c r="AJ984" s="1216"/>
    </row>
    <row r="985" spans="5:36">
      <c r="E985" s="299">
        <v>977</v>
      </c>
      <c r="F985" s="308">
        <f t="shared" ca="1" si="224"/>
        <v>2641.77016895314</v>
      </c>
      <c r="G985" s="307">
        <f t="shared" ca="1" si="225"/>
        <v>210.03031057943403</v>
      </c>
      <c r="H985" s="306">
        <f t="shared" ca="1" si="226"/>
        <v>0.35900383318698387</v>
      </c>
      <c r="I985" s="305">
        <f t="shared" ca="1" si="228"/>
        <v>95.627179729674992</v>
      </c>
      <c r="J985" s="305">
        <f t="shared" ca="1" si="229"/>
        <v>47.433460036661536</v>
      </c>
      <c r="K985" s="292">
        <f t="shared" ca="1" si="227"/>
        <v>8.2234855683679076</v>
      </c>
      <c r="L985" s="1290">
        <f t="shared" ca="1" si="230"/>
        <v>29.921571268336539</v>
      </c>
      <c r="M985" s="299">
        <v>977</v>
      </c>
      <c r="N985" s="304">
        <f t="shared" si="231"/>
        <v>2724.4024761708361</v>
      </c>
      <c r="O985" s="303">
        <v>274.51911138980677</v>
      </c>
      <c r="P985" s="302">
        <v>0.45404015028687722</v>
      </c>
      <c r="Q985" s="301">
        <v>95.926612299601473</v>
      </c>
      <c r="R985" s="301">
        <v>49.288525488042083</v>
      </c>
      <c r="S985" s="300">
        <v>9.0895978556728316</v>
      </c>
      <c r="T985" s="891">
        <f t="shared" si="232"/>
        <v>64</v>
      </c>
      <c r="U985" s="1220">
        <v>0.65141075849533081</v>
      </c>
      <c r="W985" s="299">
        <v>977</v>
      </c>
      <c r="X985" s="298">
        <f>IF('Donor Sample'!N1002="",,IF('Donor Sample'!N1002="F",1,0))</f>
        <v>0</v>
      </c>
      <c r="Y985" s="298" t="str">
        <f>IF('Donor Sample'!O1002="","",'Donor Sample'!O1002)</f>
        <v/>
      </c>
      <c r="Z985" s="298" t="str">
        <f>IF(AND('Donor Sample'!O1002="",'Donor Sample'!P1002="",'Donor Sample'!Q1002=""),"",IF('Donor Sample'!P1002="",ROUND(AA985/($C$32+($AI985-0.5)*$C$31),0),'Donor Sample'!P1002))</f>
        <v/>
      </c>
      <c r="AA985" s="297" t="str">
        <f>IF('Donor Sample'!Q1002="","",'Donor Sample'!Q1002)</f>
        <v/>
      </c>
      <c r="AB985" s="296" t="str">
        <f t="shared" si="223"/>
        <v/>
      </c>
      <c r="AC985" s="295" t="str">
        <f>IF('Donor Sample'!R1002="","",'Donor Sample'!R1002)</f>
        <v/>
      </c>
      <c r="AD985" s="294" t="str">
        <f>IF('Donor Sample'!S1002="","",'Donor Sample'!S1002/100)</f>
        <v/>
      </c>
      <c r="AE985" s="293" t="e">
        <f t="shared" si="233"/>
        <v>#VALUE!</v>
      </c>
      <c r="AF985" s="293" t="str">
        <f t="shared" si="234"/>
        <v/>
      </c>
      <c r="AG985" s="292" t="str">
        <f>IF('Donor Sample'!T1002="","",'Donor Sample'!T1002)</f>
        <v/>
      </c>
      <c r="AH985" s="891">
        <f t="shared" si="235"/>
        <v>64</v>
      </c>
      <c r="AI985" s="1220">
        <v>0.53416460752487183</v>
      </c>
      <c r="AJ985" s="1216"/>
    </row>
    <row r="986" spans="5:36">
      <c r="E986" s="299">
        <v>978</v>
      </c>
      <c r="F986" s="308">
        <f t="shared" ca="1" si="224"/>
        <v>3482.0574869614861</v>
      </c>
      <c r="G986" s="307">
        <f t="shared" ca="1" si="225"/>
        <v>212.74381852630498</v>
      </c>
      <c r="H986" s="306">
        <f t="shared" ca="1" si="226"/>
        <v>0.37421185256292749</v>
      </c>
      <c r="I986" s="305">
        <f t="shared" ca="1" si="228"/>
        <v>113.75280429563374</v>
      </c>
      <c r="J986" s="305">
        <f t="shared" ca="1" si="229"/>
        <v>64.868967612408014</v>
      </c>
      <c r="K986" s="292">
        <f t="shared" ca="1" si="227"/>
        <v>2.4901991250742803</v>
      </c>
      <c r="L986" s="1290">
        <f t="shared" ca="1" si="230"/>
        <v>19.030964479300287</v>
      </c>
      <c r="M986" s="299">
        <v>978</v>
      </c>
      <c r="N986" s="304">
        <f t="shared" si="231"/>
        <v>3100.1843965179364</v>
      </c>
      <c r="O986" s="303">
        <v>234.69191973720834</v>
      </c>
      <c r="P986" s="302">
        <v>0.45658038649282601</v>
      </c>
      <c r="Q986" s="301">
        <v>128.58874078808685</v>
      </c>
      <c r="R986" s="301">
        <v>55.329547253990704</v>
      </c>
      <c r="S986" s="300">
        <v>3.5493752907840315</v>
      </c>
      <c r="T986" s="891">
        <f t="shared" si="232"/>
        <v>2</v>
      </c>
      <c r="U986" s="1220">
        <v>1.9866228103637695E-3</v>
      </c>
      <c r="W986" s="299">
        <v>978</v>
      </c>
      <c r="X986" s="298">
        <f>IF('Donor Sample'!N1003="",,IF('Donor Sample'!N1003="F",1,0))</f>
        <v>0</v>
      </c>
      <c r="Y986" s="298" t="str">
        <f>IF('Donor Sample'!O1003="","",'Donor Sample'!O1003)</f>
        <v/>
      </c>
      <c r="Z986" s="298" t="str">
        <f>IF(AND('Donor Sample'!O1003="",'Donor Sample'!P1003="",'Donor Sample'!Q1003=""),"",IF('Donor Sample'!P1003="",ROUND(AA986/($C$32+($AI986-0.5)*$C$31),0),'Donor Sample'!P1003))</f>
        <v/>
      </c>
      <c r="AA986" s="297" t="str">
        <f>IF('Donor Sample'!Q1003="","",'Donor Sample'!Q1003)</f>
        <v/>
      </c>
      <c r="AB986" s="296" t="str">
        <f t="shared" si="223"/>
        <v/>
      </c>
      <c r="AC986" s="295" t="str">
        <f>IF('Donor Sample'!R1003="","",'Donor Sample'!R1003)</f>
        <v/>
      </c>
      <c r="AD986" s="294" t="str">
        <f>IF('Donor Sample'!S1003="","",'Donor Sample'!S1003/100)</f>
        <v/>
      </c>
      <c r="AE986" s="293" t="e">
        <f t="shared" si="233"/>
        <v>#VALUE!</v>
      </c>
      <c r="AF986" s="293" t="str">
        <f t="shared" si="234"/>
        <v/>
      </c>
      <c r="AG986" s="292" t="str">
        <f>IF('Donor Sample'!T1003="","",'Donor Sample'!T1003)</f>
        <v/>
      </c>
      <c r="AH986" s="891">
        <f t="shared" si="235"/>
        <v>256</v>
      </c>
      <c r="AI986" s="1220">
        <v>0.86397898197174072</v>
      </c>
      <c r="AJ986" s="1216"/>
    </row>
    <row r="987" spans="5:36">
      <c r="E987" s="299">
        <v>979</v>
      </c>
      <c r="F987" s="308">
        <f t="shared" ca="1" si="224"/>
        <v>3690.6576800169523</v>
      </c>
      <c r="G987" s="307">
        <f t="shared" ca="1" si="225"/>
        <v>243.1933321839486</v>
      </c>
      <c r="H987" s="306">
        <f t="shared" ca="1" si="226"/>
        <v>0.46578545763990042</v>
      </c>
      <c r="I987" s="305">
        <f t="shared" ca="1" si="228"/>
        <v>125.41900250017765</v>
      </c>
      <c r="J987" s="305">
        <f t="shared" ca="1" si="229"/>
        <v>59.329481816783108</v>
      </c>
      <c r="K987" s="292">
        <f t="shared" ca="1" si="227"/>
        <v>1.3138531486721252</v>
      </c>
      <c r="L987" s="1290">
        <f t="shared" ca="1" si="230"/>
        <v>25.083890198829714</v>
      </c>
      <c r="M987" s="299">
        <v>979</v>
      </c>
      <c r="N987" s="304">
        <f t="shared" si="231"/>
        <v>2989.5725757093273</v>
      </c>
      <c r="O987" s="303">
        <v>187.30908680779118</v>
      </c>
      <c r="P987" s="302">
        <v>0.44619119898878246</v>
      </c>
      <c r="Q987" s="301">
        <v>105.208587035485</v>
      </c>
      <c r="R987" s="301">
        <v>52.085812082515957</v>
      </c>
      <c r="S987" s="300">
        <v>2.3285566846135244</v>
      </c>
      <c r="T987" s="891">
        <f t="shared" si="232"/>
        <v>64</v>
      </c>
      <c r="U987" s="1220">
        <v>0.75537377595901489</v>
      </c>
      <c r="W987" s="299">
        <v>979</v>
      </c>
      <c r="X987" s="298">
        <f>IF('Donor Sample'!N1004="",,IF('Donor Sample'!N1004="F",1,0))</f>
        <v>0</v>
      </c>
      <c r="Y987" s="298" t="str">
        <f>IF('Donor Sample'!O1004="","",'Donor Sample'!O1004)</f>
        <v/>
      </c>
      <c r="Z987" s="298" t="str">
        <f>IF(AND('Donor Sample'!O1004="",'Donor Sample'!P1004="",'Donor Sample'!Q1004=""),"",IF('Donor Sample'!P1004="",ROUND(AA987/($C$32+($AI987-0.5)*$C$31),0),'Donor Sample'!P1004))</f>
        <v/>
      </c>
      <c r="AA987" s="297" t="str">
        <f>IF('Donor Sample'!Q1004="","",'Donor Sample'!Q1004)</f>
        <v/>
      </c>
      <c r="AB987" s="296" t="str">
        <f t="shared" si="223"/>
        <v/>
      </c>
      <c r="AC987" s="295" t="str">
        <f>IF('Donor Sample'!R1004="","",'Donor Sample'!R1004)</f>
        <v/>
      </c>
      <c r="AD987" s="294" t="str">
        <f>IF('Donor Sample'!S1004="","",'Donor Sample'!S1004/100)</f>
        <v/>
      </c>
      <c r="AE987" s="407" t="e">
        <f t="shared" si="233"/>
        <v>#VALUE!</v>
      </c>
      <c r="AF987" s="293" t="str">
        <f t="shared" si="234"/>
        <v/>
      </c>
      <c r="AG987" s="292" t="str">
        <f>IF('Donor Sample'!T1004="","",'Donor Sample'!T1004)</f>
        <v/>
      </c>
      <c r="AH987" s="891">
        <f t="shared" si="235"/>
        <v>2</v>
      </c>
      <c r="AI987" s="1220">
        <v>0.13863497972488403</v>
      </c>
      <c r="AJ987" s="1216"/>
    </row>
    <row r="988" spans="5:36">
      <c r="E988" s="299">
        <v>980</v>
      </c>
      <c r="F988" s="308">
        <f t="shared" ca="1" si="224"/>
        <v>3334.2539881590997</v>
      </c>
      <c r="G988" s="307">
        <f t="shared" ca="1" si="225"/>
        <v>213.04835318126567</v>
      </c>
      <c r="H988" s="306">
        <f t="shared" ca="1" si="226"/>
        <v>0.37400651733186463</v>
      </c>
      <c r="I988" s="305">
        <f t="shared" ca="1" si="228"/>
        <v>118.11302860589868</v>
      </c>
      <c r="J988" s="305">
        <f t="shared" ca="1" si="229"/>
        <v>61.834818904251939</v>
      </c>
      <c r="K988" s="292">
        <f t="shared" ca="1" si="227"/>
        <v>3.9328832682986392</v>
      </c>
      <c r="L988" s="1290">
        <f t="shared" ca="1" si="230"/>
        <v>21.747246562819608</v>
      </c>
      <c r="M988" s="299">
        <v>980</v>
      </c>
      <c r="N988" s="304">
        <f t="shared" si="231"/>
        <v>3846.9384635998604</v>
      </c>
      <c r="O988" s="303">
        <v>247.94807810207837</v>
      </c>
      <c r="P988" s="302">
        <v>0.40125368278580942</v>
      </c>
      <c r="Q988" s="301">
        <v>123.36043738920266</v>
      </c>
      <c r="R988" s="301">
        <v>67.737336096967937</v>
      </c>
      <c r="S988" s="300">
        <v>4.0363866115485205</v>
      </c>
      <c r="T988" s="891">
        <f t="shared" si="232"/>
        <v>64</v>
      </c>
      <c r="U988" s="1220">
        <v>0.51736807823181152</v>
      </c>
      <c r="W988" s="299">
        <v>980</v>
      </c>
      <c r="X988" s="298">
        <f>IF('Donor Sample'!N1005="",,IF('Donor Sample'!N1005="F",1,0))</f>
        <v>0</v>
      </c>
      <c r="Y988" s="298" t="str">
        <f>IF('Donor Sample'!O1005="","",'Donor Sample'!O1005)</f>
        <v/>
      </c>
      <c r="Z988" s="298" t="str">
        <f>IF(AND('Donor Sample'!O1005="",'Donor Sample'!P1005="",'Donor Sample'!Q1005=""),"",IF('Donor Sample'!P1005="",ROUND(AA988/($C$32+($AI988-0.5)*$C$31),0),'Donor Sample'!P1005))</f>
        <v/>
      </c>
      <c r="AA988" s="297" t="str">
        <f>IF('Donor Sample'!Q1005="","",'Donor Sample'!Q1005)</f>
        <v/>
      </c>
      <c r="AB988" s="296" t="str">
        <f t="shared" si="223"/>
        <v/>
      </c>
      <c r="AC988" s="295" t="str">
        <f>IF('Donor Sample'!R1005="","",'Donor Sample'!R1005)</f>
        <v/>
      </c>
      <c r="AD988" s="294" t="str">
        <f>IF('Donor Sample'!S1005="","",'Donor Sample'!S1005/100)</f>
        <v/>
      </c>
      <c r="AE988" s="293" t="e">
        <f t="shared" si="233"/>
        <v>#VALUE!</v>
      </c>
      <c r="AF988" s="293" t="str">
        <f t="shared" si="234"/>
        <v/>
      </c>
      <c r="AG988" s="292" t="str">
        <f>IF('Donor Sample'!T1005="","",'Donor Sample'!T1005)</f>
        <v/>
      </c>
      <c r="AH988" s="891">
        <f t="shared" si="235"/>
        <v>16</v>
      </c>
      <c r="AI988" s="1220">
        <v>0.9598696231842041</v>
      </c>
      <c r="AJ988" s="1216"/>
    </row>
    <row r="989" spans="5:36">
      <c r="E989" s="299">
        <v>981</v>
      </c>
      <c r="F989" s="308">
        <f t="shared" ca="1" si="224"/>
        <v>3147.672389440168</v>
      </c>
      <c r="G989" s="307">
        <f t="shared" ca="1" si="225"/>
        <v>212.7254018594071</v>
      </c>
      <c r="H989" s="306">
        <f t="shared" ca="1" si="226"/>
        <v>0.41045056487731257</v>
      </c>
      <c r="I989" s="305">
        <f t="shared" ca="1" si="228"/>
        <v>120.53050271513779</v>
      </c>
      <c r="J989" s="305">
        <f t="shared" ca="1" si="229"/>
        <v>50.709059929258473</v>
      </c>
      <c r="K989" s="292">
        <f t="shared" ca="1" si="227"/>
        <v>2.0374107061096369</v>
      </c>
      <c r="L989" s="1290">
        <f t="shared" ca="1" si="230"/>
        <v>32.998827439420609</v>
      </c>
      <c r="M989" s="299">
        <v>981</v>
      </c>
      <c r="N989" s="304">
        <f t="shared" si="231"/>
        <v>3805.9179233089262</v>
      </c>
      <c r="O989" s="303">
        <v>294.24480440916062</v>
      </c>
      <c r="P989" s="302">
        <v>0.44833206203651516</v>
      </c>
      <c r="Q989" s="301">
        <v>158.23067596428857</v>
      </c>
      <c r="R989" s="301">
        <v>52.934813929527316</v>
      </c>
      <c r="S989" s="300">
        <v>1.5774087070109915</v>
      </c>
      <c r="T989" s="891">
        <f t="shared" si="232"/>
        <v>256</v>
      </c>
      <c r="U989" s="1220">
        <v>0.85241788625717163</v>
      </c>
      <c r="W989" s="299">
        <v>981</v>
      </c>
      <c r="X989" s="298">
        <f>IF('Donor Sample'!N1006="",,IF('Donor Sample'!N1006="F",1,0))</f>
        <v>0</v>
      </c>
      <c r="Y989" s="298" t="str">
        <f>IF('Donor Sample'!O1006="","",'Donor Sample'!O1006)</f>
        <v/>
      </c>
      <c r="Z989" s="298" t="str">
        <f>IF(AND('Donor Sample'!O1006="",'Donor Sample'!P1006="",'Donor Sample'!Q1006=""),"",IF('Donor Sample'!P1006="",ROUND(AA989/($C$32+($AI989-0.5)*$C$31),0),'Donor Sample'!P1006))</f>
        <v/>
      </c>
      <c r="AA989" s="297" t="str">
        <f>IF('Donor Sample'!Q1006="","",'Donor Sample'!Q1006)</f>
        <v/>
      </c>
      <c r="AB989" s="296" t="str">
        <f t="shared" si="223"/>
        <v/>
      </c>
      <c r="AC989" s="295" t="str">
        <f>IF('Donor Sample'!R1006="","",'Donor Sample'!R1006)</f>
        <v/>
      </c>
      <c r="AD989" s="294" t="str">
        <f>IF('Donor Sample'!S1006="","",'Donor Sample'!S1006/100)</f>
        <v/>
      </c>
      <c r="AE989" s="293" t="e">
        <f t="shared" si="233"/>
        <v>#VALUE!</v>
      </c>
      <c r="AF989" s="293" t="str">
        <f t="shared" si="234"/>
        <v/>
      </c>
      <c r="AG989" s="292" t="str">
        <f>IF('Donor Sample'!T1006="","",'Donor Sample'!T1006)</f>
        <v/>
      </c>
      <c r="AH989" s="891">
        <f t="shared" si="235"/>
        <v>2</v>
      </c>
      <c r="AI989" s="1220">
        <v>0.2480577826499939</v>
      </c>
      <c r="AJ989" s="1216"/>
    </row>
    <row r="990" spans="5:36">
      <c r="E990" s="299">
        <v>982</v>
      </c>
      <c r="F990" s="308">
        <f t="shared" ca="1" si="224"/>
        <v>2565.8503667235477</v>
      </c>
      <c r="G990" s="307">
        <f t="shared" ca="1" si="225"/>
        <v>272.40846533912941</v>
      </c>
      <c r="H990" s="306">
        <f t="shared" ca="1" si="226"/>
        <v>0.37798245724435636</v>
      </c>
      <c r="I990" s="305">
        <f t="shared" ca="1" si="228"/>
        <v>85.417380663630013</v>
      </c>
      <c r="J990" s="305">
        <f t="shared" ca="1" si="229"/>
        <v>49.171456119282631</v>
      </c>
      <c r="K990" s="292">
        <f t="shared" ca="1" si="227"/>
        <v>1.4050435207058201</v>
      </c>
      <c r="L990" s="1290">
        <f t="shared" ca="1" si="230"/>
        <v>24.870972663706009</v>
      </c>
      <c r="M990" s="299">
        <v>982</v>
      </c>
      <c r="N990" s="304">
        <f t="shared" si="231"/>
        <v>3389.9633959007842</v>
      </c>
      <c r="O990" s="303">
        <v>279.52764074012293</v>
      </c>
      <c r="P990" s="302">
        <v>0.4636643164485274</v>
      </c>
      <c r="Q990" s="301">
        <v>112.77003451474606</v>
      </c>
      <c r="R990" s="301">
        <v>57.442646431542165</v>
      </c>
      <c r="S990" s="300">
        <v>2.930138533667769</v>
      </c>
      <c r="T990" s="891">
        <f t="shared" si="232"/>
        <v>256</v>
      </c>
      <c r="U990" s="1220">
        <v>0.92167031764984131</v>
      </c>
      <c r="W990" s="299">
        <v>982</v>
      </c>
      <c r="X990" s="298">
        <f>IF('Donor Sample'!N1007="",,IF('Donor Sample'!N1007="F",1,0))</f>
        <v>0</v>
      </c>
      <c r="Y990" s="298" t="str">
        <f>IF('Donor Sample'!O1007="","",'Donor Sample'!O1007)</f>
        <v/>
      </c>
      <c r="Z990" s="298" t="str">
        <f>IF(AND('Donor Sample'!O1007="",'Donor Sample'!P1007="",'Donor Sample'!Q1007=""),"",IF('Donor Sample'!P1007="",ROUND(AA990/($C$32+($AI990-0.5)*$C$31),0),'Donor Sample'!P1007))</f>
        <v/>
      </c>
      <c r="AA990" s="297" t="str">
        <f>IF('Donor Sample'!Q1007="","",'Donor Sample'!Q1007)</f>
        <v/>
      </c>
      <c r="AB990" s="296" t="str">
        <f t="shared" si="223"/>
        <v/>
      </c>
      <c r="AC990" s="295" t="str">
        <f>IF('Donor Sample'!R1007="","",'Donor Sample'!R1007)</f>
        <v/>
      </c>
      <c r="AD990" s="294" t="str">
        <f>IF('Donor Sample'!S1007="","",'Donor Sample'!S1007/100)</f>
        <v/>
      </c>
      <c r="AE990" s="407" t="e">
        <f t="shared" si="233"/>
        <v>#VALUE!</v>
      </c>
      <c r="AF990" s="293" t="str">
        <f t="shared" si="234"/>
        <v/>
      </c>
      <c r="AG990" s="292" t="str">
        <f>IF('Donor Sample'!T1007="","",'Donor Sample'!T1007)</f>
        <v/>
      </c>
      <c r="AH990" s="891">
        <f t="shared" si="235"/>
        <v>2</v>
      </c>
      <c r="AI990" s="1220">
        <v>6.5317034721374512E-2</v>
      </c>
      <c r="AJ990" s="1216"/>
    </row>
    <row r="991" spans="5:36">
      <c r="E991" s="299">
        <v>983</v>
      </c>
      <c r="F991" s="308">
        <f t="shared" ca="1" si="224"/>
        <v>3763.7324139317425</v>
      </c>
      <c r="G991" s="307">
        <f t="shared" ca="1" si="225"/>
        <v>267.74278985491617</v>
      </c>
      <c r="H991" s="306">
        <f t="shared" ca="1" si="226"/>
        <v>0.43262414793454612</v>
      </c>
      <c r="I991" s="305">
        <f t="shared" ca="1" si="228"/>
        <v>149.0516095230897</v>
      </c>
      <c r="J991" s="305">
        <f t="shared" ca="1" si="229"/>
        <v>54.692790144613383</v>
      </c>
      <c r="K991" s="292">
        <f t="shared" ca="1" si="227"/>
        <v>4.3278434791406806</v>
      </c>
      <c r="L991" s="1290">
        <f t="shared" ca="1" si="230"/>
        <v>35.079158800101666</v>
      </c>
      <c r="M991" s="299">
        <v>983</v>
      </c>
      <c r="N991" s="304">
        <f t="shared" si="231"/>
        <v>3276.8326486361111</v>
      </c>
      <c r="O991" s="303">
        <v>232.57961632913046</v>
      </c>
      <c r="P991" s="302">
        <v>0.36326832445951424</v>
      </c>
      <c r="Q991" s="301">
        <v>110.56716392572254</v>
      </c>
      <c r="R991" s="301">
        <v>56.048554419782512</v>
      </c>
      <c r="S991" s="300">
        <v>3.6088027980584343</v>
      </c>
      <c r="T991" s="891">
        <f t="shared" si="232"/>
        <v>64</v>
      </c>
      <c r="U991" s="1220">
        <v>0.67820745706558228</v>
      </c>
      <c r="W991" s="299">
        <v>983</v>
      </c>
      <c r="X991" s="298">
        <f>IF('Donor Sample'!N1008="",,IF('Donor Sample'!N1008="F",1,0))</f>
        <v>0</v>
      </c>
      <c r="Y991" s="298" t="str">
        <f>IF('Donor Sample'!O1008="","",'Donor Sample'!O1008)</f>
        <v/>
      </c>
      <c r="Z991" s="298" t="str">
        <f>IF(AND('Donor Sample'!O1008="",'Donor Sample'!P1008="",'Donor Sample'!Q1008=""),"",IF('Donor Sample'!P1008="",ROUND(AA991/($C$32+($AI991-0.5)*$C$31),0),'Donor Sample'!P1008))</f>
        <v/>
      </c>
      <c r="AA991" s="297" t="str">
        <f>IF('Donor Sample'!Q1008="","",'Donor Sample'!Q1008)</f>
        <v/>
      </c>
      <c r="AB991" s="296" t="str">
        <f t="shared" si="223"/>
        <v/>
      </c>
      <c r="AC991" s="295" t="str">
        <f>IF('Donor Sample'!R1008="","",'Donor Sample'!R1008)</f>
        <v/>
      </c>
      <c r="AD991" s="294" t="str">
        <f>IF('Donor Sample'!S1008="","",'Donor Sample'!S1008/100)</f>
        <v/>
      </c>
      <c r="AE991" s="293" t="e">
        <f t="shared" si="233"/>
        <v>#VALUE!</v>
      </c>
      <c r="AF991" s="293" t="str">
        <f t="shared" si="234"/>
        <v/>
      </c>
      <c r="AG991" s="292" t="str">
        <f>IF('Donor Sample'!T1008="","",'Donor Sample'!T1008)</f>
        <v/>
      </c>
      <c r="AH991" s="891">
        <f t="shared" si="235"/>
        <v>64</v>
      </c>
      <c r="AI991" s="1220">
        <v>0.75556808710098267</v>
      </c>
      <c r="AJ991" s="1216"/>
    </row>
    <row r="992" spans="5:36">
      <c r="E992" s="299">
        <v>984</v>
      </c>
      <c r="F992" s="308">
        <f t="shared" ca="1" si="224"/>
        <v>3464.4468529819396</v>
      </c>
      <c r="G992" s="307">
        <f t="shared" ca="1" si="225"/>
        <v>193.15442920923721</v>
      </c>
      <c r="H992" s="306">
        <f t="shared" ca="1" si="226"/>
        <v>0.37856364165965856</v>
      </c>
      <c r="I992" s="305">
        <f t="shared" ca="1" si="228"/>
        <v>117.30272585351022</v>
      </c>
      <c r="J992" s="305">
        <f t="shared" ca="1" si="229"/>
        <v>57.581878454709027</v>
      </c>
      <c r="K992" s="292">
        <f t="shared" ca="1" si="227"/>
        <v>5.5040000661441679</v>
      </c>
      <c r="L992" s="1290">
        <f t="shared" ca="1" si="230"/>
        <v>24.906293779847577</v>
      </c>
      <c r="M992" s="299">
        <v>984</v>
      </c>
      <c r="N992" s="304">
        <f t="shared" si="231"/>
        <v>3734.0309066377558</v>
      </c>
      <c r="O992" s="303">
        <v>206.76515633414994</v>
      </c>
      <c r="P992" s="302">
        <v>0.43367080882974995</v>
      </c>
      <c r="Q992" s="301">
        <v>119.04294409426205</v>
      </c>
      <c r="R992" s="301">
        <v>61.405484506651042</v>
      </c>
      <c r="S992" s="300">
        <v>5.5085427811331513</v>
      </c>
      <c r="T992" s="891">
        <f t="shared" si="232"/>
        <v>16</v>
      </c>
      <c r="U992" s="1220">
        <v>0.95321273803710938</v>
      </c>
      <c r="W992" s="299">
        <v>984</v>
      </c>
      <c r="X992" s="298">
        <f>IF('Donor Sample'!N1009="",,IF('Donor Sample'!N1009="F",1,0))</f>
        <v>0</v>
      </c>
      <c r="Y992" s="298" t="str">
        <f>IF('Donor Sample'!O1009="","",'Donor Sample'!O1009)</f>
        <v/>
      </c>
      <c r="Z992" s="298" t="str">
        <f>IF(AND('Donor Sample'!O1009="",'Donor Sample'!P1009="",'Donor Sample'!Q1009=""),"",IF('Donor Sample'!P1009="",ROUND(AA992/($C$32+($AI992-0.5)*$C$31),0),'Donor Sample'!P1009))</f>
        <v/>
      </c>
      <c r="AA992" s="297" t="str">
        <f>IF('Donor Sample'!Q1009="","",'Donor Sample'!Q1009)</f>
        <v/>
      </c>
      <c r="AB992" s="296" t="str">
        <f t="shared" si="223"/>
        <v/>
      </c>
      <c r="AC992" s="295" t="str">
        <f>IF('Donor Sample'!R1009="","",'Donor Sample'!R1009)</f>
        <v/>
      </c>
      <c r="AD992" s="294" t="str">
        <f>IF('Donor Sample'!S1009="","",'Donor Sample'!S1009/100)</f>
        <v/>
      </c>
      <c r="AE992" s="293" t="e">
        <f t="shared" si="233"/>
        <v>#VALUE!</v>
      </c>
      <c r="AF992" s="293" t="str">
        <f t="shared" si="234"/>
        <v/>
      </c>
      <c r="AG992" s="292" t="str">
        <f>IF('Donor Sample'!T1009="","",'Donor Sample'!T1009)</f>
        <v/>
      </c>
      <c r="AH992" s="891">
        <f t="shared" si="235"/>
        <v>64</v>
      </c>
      <c r="AI992" s="1220">
        <v>0.6962285041809082</v>
      </c>
      <c r="AJ992" s="1216"/>
    </row>
    <row r="993" spans="5:36">
      <c r="E993" s="299">
        <v>985</v>
      </c>
      <c r="F993" s="308">
        <f t="shared" ca="1" si="224"/>
        <v>3640.8795606000544</v>
      </c>
      <c r="G993" s="307">
        <f t="shared" ca="1" si="225"/>
        <v>248.78839054001128</v>
      </c>
      <c r="H993" s="306">
        <f t="shared" ca="1" si="226"/>
        <v>0.479281849673521</v>
      </c>
      <c r="I993" s="305">
        <f t="shared" ca="1" si="228"/>
        <v>127.01144746472082</v>
      </c>
      <c r="J993" s="305">
        <f t="shared" ca="1" si="229"/>
        <v>58.156140966550907</v>
      </c>
      <c r="K993" s="292">
        <f t="shared" ca="1" si="227"/>
        <v>2.1119578887155948</v>
      </c>
      <c r="L993" s="1290">
        <f t="shared" ca="1" si="230"/>
        <v>26.437742201829906</v>
      </c>
      <c r="M993" s="299">
        <v>985</v>
      </c>
      <c r="N993" s="304">
        <f t="shared" si="231"/>
        <v>4750.4896604079713</v>
      </c>
      <c r="O993" s="303">
        <v>192.90356249895473</v>
      </c>
      <c r="P993" s="302">
        <v>0.37951435516020388</v>
      </c>
      <c r="Q993" s="301">
        <v>161.96322472450581</v>
      </c>
      <c r="R993" s="301">
        <v>66.672819368484426</v>
      </c>
      <c r="S993" s="300">
        <v>1.503290693400636</v>
      </c>
      <c r="T993" s="891">
        <f t="shared" si="232"/>
        <v>2</v>
      </c>
      <c r="U993" s="1220">
        <v>0.18184679746627808</v>
      </c>
      <c r="W993" s="299">
        <v>985</v>
      </c>
      <c r="X993" s="298">
        <f>IF('Donor Sample'!N1010="",,IF('Donor Sample'!N1010="F",1,0))</f>
        <v>0</v>
      </c>
      <c r="Y993" s="298" t="str">
        <f>IF('Donor Sample'!O1010="","",'Donor Sample'!O1010)</f>
        <v/>
      </c>
      <c r="Z993" s="298" t="str">
        <f>IF(AND('Donor Sample'!O1010="",'Donor Sample'!P1010="",'Donor Sample'!Q1010=""),"",IF('Donor Sample'!P1010="",ROUND(AA993/($C$32+($AI993-0.5)*$C$31),0),'Donor Sample'!P1010))</f>
        <v/>
      </c>
      <c r="AA993" s="297" t="str">
        <f>IF('Donor Sample'!Q1010="","",'Donor Sample'!Q1010)</f>
        <v/>
      </c>
      <c r="AB993" s="296" t="str">
        <f t="shared" si="223"/>
        <v/>
      </c>
      <c r="AC993" s="295" t="str">
        <f>IF('Donor Sample'!R1010="","",'Donor Sample'!R1010)</f>
        <v/>
      </c>
      <c r="AD993" s="294" t="str">
        <f>IF('Donor Sample'!S1010="","",'Donor Sample'!S1010/100)</f>
        <v/>
      </c>
      <c r="AE993" s="407" t="e">
        <f t="shared" si="233"/>
        <v>#VALUE!</v>
      </c>
      <c r="AF993" s="293" t="str">
        <f t="shared" si="234"/>
        <v/>
      </c>
      <c r="AG993" s="292" t="str">
        <f>IF('Donor Sample'!T1010="","",'Donor Sample'!T1010)</f>
        <v/>
      </c>
      <c r="AH993" s="891">
        <f t="shared" si="235"/>
        <v>64</v>
      </c>
      <c r="AI993" s="1220">
        <v>0.52750653028488159</v>
      </c>
      <c r="AJ993" s="1216"/>
    </row>
    <row r="994" spans="5:36">
      <c r="E994" s="299">
        <v>986</v>
      </c>
      <c r="F994" s="308">
        <f t="shared" ca="1" si="224"/>
        <v>3450.1719583012259</v>
      </c>
      <c r="G994" s="307">
        <f t="shared" ca="1" si="225"/>
        <v>239.95747053530724</v>
      </c>
      <c r="H994" s="306">
        <f t="shared" ca="1" si="226"/>
        <v>0.46508241136320211</v>
      </c>
      <c r="I994" s="305">
        <f t="shared" ca="1" si="228"/>
        <v>123.70007309458646</v>
      </c>
      <c r="J994" s="305">
        <f t="shared" ca="1" si="229"/>
        <v>55.72188391731077</v>
      </c>
      <c r="K994" s="292">
        <f t="shared" ca="1" si="227"/>
        <v>17.480979287359911</v>
      </c>
      <c r="L994" s="1290">
        <f t="shared" ca="1" si="230"/>
        <v>28.047298268405342</v>
      </c>
      <c r="M994" s="299">
        <v>986</v>
      </c>
      <c r="N994" s="304">
        <f t="shared" si="231"/>
        <v>3806.4557073168216</v>
      </c>
      <c r="O994" s="303">
        <v>248.0583515458982</v>
      </c>
      <c r="P994" s="302">
        <v>0.40235976164989523</v>
      </c>
      <c r="Q994" s="301">
        <v>122.04750358547854</v>
      </c>
      <c r="R994" s="301">
        <v>61.822574918739633</v>
      </c>
      <c r="S994" s="300">
        <v>1.484965579626039</v>
      </c>
      <c r="T994" s="891">
        <f t="shared" si="232"/>
        <v>2</v>
      </c>
      <c r="U994" s="1220">
        <v>0.27249491214752197</v>
      </c>
      <c r="W994" s="299">
        <v>986</v>
      </c>
      <c r="X994" s="298">
        <f>IF('Donor Sample'!N1011="",,IF('Donor Sample'!N1011="F",1,0))</f>
        <v>0</v>
      </c>
      <c r="Y994" s="298" t="str">
        <f>IF('Donor Sample'!O1011="","",'Donor Sample'!O1011)</f>
        <v/>
      </c>
      <c r="Z994" s="298" t="str">
        <f>IF(AND('Donor Sample'!O1011="",'Donor Sample'!P1011="",'Donor Sample'!Q1011=""),"",IF('Donor Sample'!P1011="",ROUND(AA994/($C$32+($AI994-0.5)*$C$31),0),'Donor Sample'!P1011))</f>
        <v/>
      </c>
      <c r="AA994" s="297" t="str">
        <f>IF('Donor Sample'!Q1011="","",'Donor Sample'!Q1011)</f>
        <v/>
      </c>
      <c r="AB994" s="296" t="str">
        <f t="shared" si="223"/>
        <v/>
      </c>
      <c r="AC994" s="295" t="str">
        <f>IF('Donor Sample'!R1011="","",'Donor Sample'!R1011)</f>
        <v/>
      </c>
      <c r="AD994" s="294" t="str">
        <f>IF('Donor Sample'!S1011="","",'Donor Sample'!S1011/100)</f>
        <v/>
      </c>
      <c r="AE994" s="293" t="e">
        <f t="shared" si="233"/>
        <v>#VALUE!</v>
      </c>
      <c r="AF994" s="293" t="str">
        <f t="shared" si="234"/>
        <v/>
      </c>
      <c r="AG994" s="292" t="str">
        <f>IF('Donor Sample'!T1011="","",'Donor Sample'!T1011)</f>
        <v/>
      </c>
      <c r="AH994" s="891">
        <f t="shared" si="235"/>
        <v>2</v>
      </c>
      <c r="AI994" s="1220">
        <v>1.1394619941711426E-2</v>
      </c>
      <c r="AJ994" s="1216"/>
    </row>
    <row r="995" spans="5:36">
      <c r="E995" s="299">
        <v>987</v>
      </c>
      <c r="F995" s="308">
        <f t="shared" ca="1" si="224"/>
        <v>5175.6729479971</v>
      </c>
      <c r="G995" s="307">
        <f t="shared" ca="1" si="225"/>
        <v>219.80420197042912</v>
      </c>
      <c r="H995" s="306">
        <f t="shared" ca="1" si="226"/>
        <v>0.43004045052075363</v>
      </c>
      <c r="I995" s="305">
        <f t="shared" ca="1" si="228"/>
        <v>160.86316101193952</v>
      </c>
      <c r="J995" s="305">
        <f t="shared" ca="1" si="229"/>
        <v>76.180569313555424</v>
      </c>
      <c r="K995" s="292">
        <f t="shared" ca="1" si="227"/>
        <v>8.490441064181967</v>
      </c>
      <c r="L995" s="1290">
        <f t="shared" ca="1" si="230"/>
        <v>19.513754181274237</v>
      </c>
      <c r="M995" s="299">
        <v>987</v>
      </c>
      <c r="N995" s="304">
        <f t="shared" si="231"/>
        <v>3307.2924410837982</v>
      </c>
      <c r="O995" s="303">
        <v>263.97599885491877</v>
      </c>
      <c r="P995" s="302">
        <v>0.4123486735344376</v>
      </c>
      <c r="Q995" s="301">
        <v>138.04303913290784</v>
      </c>
      <c r="R995" s="301">
        <v>56.522071678860897</v>
      </c>
      <c r="S995" s="300">
        <v>2.6774841014907502</v>
      </c>
      <c r="T995" s="891">
        <f t="shared" si="232"/>
        <v>256</v>
      </c>
      <c r="U995" s="1220">
        <v>0.85839968919754028</v>
      </c>
      <c r="W995" s="299">
        <v>987</v>
      </c>
      <c r="X995" s="298">
        <f>IF('Donor Sample'!N1012="",,IF('Donor Sample'!N1012="F",1,0))</f>
        <v>0</v>
      </c>
      <c r="Y995" s="298" t="str">
        <f>IF('Donor Sample'!O1012="","",'Donor Sample'!O1012)</f>
        <v/>
      </c>
      <c r="Z995" s="298" t="str">
        <f>IF(AND('Donor Sample'!O1012="",'Donor Sample'!P1012="",'Donor Sample'!Q1012=""),"",IF('Donor Sample'!P1012="",ROUND(AA995/($C$32+($AI995-0.5)*$C$31),0),'Donor Sample'!P1012))</f>
        <v/>
      </c>
      <c r="AA995" s="297" t="str">
        <f>IF('Donor Sample'!Q1012="","",'Donor Sample'!Q1012)</f>
        <v/>
      </c>
      <c r="AB995" s="296" t="str">
        <f t="shared" si="223"/>
        <v/>
      </c>
      <c r="AC995" s="295" t="str">
        <f>IF('Donor Sample'!R1012="","",'Donor Sample'!R1012)</f>
        <v/>
      </c>
      <c r="AD995" s="294" t="str">
        <f>IF('Donor Sample'!S1012="","",'Donor Sample'!S1012/100)</f>
        <v/>
      </c>
      <c r="AE995" s="293" t="e">
        <f t="shared" si="233"/>
        <v>#VALUE!</v>
      </c>
      <c r="AF995" s="293" t="str">
        <f t="shared" si="234"/>
        <v/>
      </c>
      <c r="AG995" s="292" t="str">
        <f>IF('Donor Sample'!T1012="","",'Donor Sample'!T1012)</f>
        <v/>
      </c>
      <c r="AH995" s="891">
        <f t="shared" si="235"/>
        <v>32</v>
      </c>
      <c r="AI995" s="1220">
        <v>0.81406384706497192</v>
      </c>
      <c r="AJ995" s="1216"/>
    </row>
    <row r="996" spans="5:36">
      <c r="E996" s="299">
        <v>988</v>
      </c>
      <c r="F996" s="308">
        <f t="shared" ca="1" si="224"/>
        <v>3601.1981991070584</v>
      </c>
      <c r="G996" s="307">
        <f t="shared" ca="1" si="225"/>
        <v>266.13250976694604</v>
      </c>
      <c r="H996" s="306">
        <f t="shared" ca="1" si="226"/>
        <v>0.40612247829810266</v>
      </c>
      <c r="I996" s="305">
        <f t="shared" ca="1" si="228"/>
        <v>128.74139085777284</v>
      </c>
      <c r="J996" s="305">
        <f t="shared" ca="1" si="229"/>
        <v>57.071474343823446</v>
      </c>
      <c r="K996" s="292">
        <f t="shared" ca="1" si="227"/>
        <v>2.1405027066268487</v>
      </c>
      <c r="L996" s="1290">
        <f t="shared" ca="1" si="230"/>
        <v>27.826121170866582</v>
      </c>
      <c r="M996" s="299">
        <v>988</v>
      </c>
      <c r="N996" s="304">
        <f t="shared" si="231"/>
        <v>2826.0072756065565</v>
      </c>
      <c r="O996" s="303">
        <v>236.08017575375891</v>
      </c>
      <c r="P996" s="302">
        <v>0.45946565946231466</v>
      </c>
      <c r="Q996" s="301">
        <v>102.60792429052839</v>
      </c>
      <c r="R996" s="301">
        <v>49.380958669839195</v>
      </c>
      <c r="S996" s="300">
        <v>1.5823862941820097</v>
      </c>
      <c r="T996" s="891">
        <f t="shared" si="232"/>
        <v>16</v>
      </c>
      <c r="U996" s="1220">
        <v>0.96463799476623535</v>
      </c>
      <c r="W996" s="299">
        <v>988</v>
      </c>
      <c r="X996" s="298">
        <f>IF('Donor Sample'!N1013="",,IF('Donor Sample'!N1013="F",1,0))</f>
        <v>0</v>
      </c>
      <c r="Y996" s="298" t="str">
        <f>IF('Donor Sample'!O1013="","",'Donor Sample'!O1013)</f>
        <v/>
      </c>
      <c r="Z996" s="298" t="str">
        <f>IF(AND('Donor Sample'!O1013="",'Donor Sample'!P1013="",'Donor Sample'!Q1013=""),"",IF('Donor Sample'!P1013="",ROUND(AA996/($C$32+($AI996-0.5)*$C$31),0),'Donor Sample'!P1013))</f>
        <v/>
      </c>
      <c r="AA996" s="297" t="str">
        <f>IF('Donor Sample'!Q1013="","",'Donor Sample'!Q1013)</f>
        <v/>
      </c>
      <c r="AB996" s="296" t="str">
        <f t="shared" si="223"/>
        <v/>
      </c>
      <c r="AC996" s="295" t="str">
        <f>IF('Donor Sample'!R1013="","",'Donor Sample'!R1013)</f>
        <v/>
      </c>
      <c r="AD996" s="294" t="str">
        <f>IF('Donor Sample'!S1013="","",'Donor Sample'!S1013/100)</f>
        <v/>
      </c>
      <c r="AE996" s="407" t="e">
        <f t="shared" si="233"/>
        <v>#VALUE!</v>
      </c>
      <c r="AF996" s="293" t="str">
        <f t="shared" si="234"/>
        <v/>
      </c>
      <c r="AG996" s="292" t="str">
        <f>IF('Donor Sample'!T1013="","",'Donor Sample'!T1013)</f>
        <v/>
      </c>
      <c r="AH996" s="891">
        <f t="shared" si="235"/>
        <v>2</v>
      </c>
      <c r="AI996" s="1220">
        <v>8.055567741394043E-2</v>
      </c>
      <c r="AJ996" s="1216"/>
    </row>
    <row r="997" spans="5:36">
      <c r="E997" s="299">
        <v>989</v>
      </c>
      <c r="F997" s="308">
        <f t="shared" ca="1" si="224"/>
        <v>4235.7707150943243</v>
      </c>
      <c r="G997" s="307">
        <f t="shared" ca="1" si="225"/>
        <v>267.30611555581049</v>
      </c>
      <c r="H997" s="306">
        <f t="shared" ca="1" si="226"/>
        <v>0.41788152364686548</v>
      </c>
      <c r="I997" s="305">
        <f t="shared" ca="1" si="228"/>
        <v>133.44450395786885</v>
      </c>
      <c r="J997" s="305">
        <f t="shared" ca="1" si="229"/>
        <v>70.574674013998518</v>
      </c>
      <c r="K997" s="292">
        <f t="shared" ca="1" si="227"/>
        <v>1.4526041612590577</v>
      </c>
      <c r="L997" s="1290">
        <f t="shared" ca="1" si="230"/>
        <v>18.86147225811898</v>
      </c>
      <c r="M997" s="299">
        <v>989</v>
      </c>
      <c r="N997" s="304">
        <f t="shared" si="231"/>
        <v>3442.5834764870187</v>
      </c>
      <c r="O997" s="303">
        <v>259.74914803733321</v>
      </c>
      <c r="P997" s="302">
        <v>0.38391223412031855</v>
      </c>
      <c r="Q997" s="301">
        <v>136.15127829940062</v>
      </c>
      <c r="R997" s="301">
        <v>59.309002710488926</v>
      </c>
      <c r="S997" s="300">
        <v>13.108619670779976</v>
      </c>
      <c r="T997" s="891">
        <f t="shared" si="232"/>
        <v>64</v>
      </c>
      <c r="U997" s="1220">
        <v>0.74156516790390015</v>
      </c>
      <c r="W997" s="299">
        <v>989</v>
      </c>
      <c r="X997" s="298">
        <f>IF('Donor Sample'!N1014="",,IF('Donor Sample'!N1014="F",1,0))</f>
        <v>0</v>
      </c>
      <c r="Y997" s="298" t="str">
        <f>IF('Donor Sample'!O1014="","",'Donor Sample'!O1014)</f>
        <v/>
      </c>
      <c r="Z997" s="298" t="str">
        <f>IF(AND('Donor Sample'!O1014="",'Donor Sample'!P1014="",'Donor Sample'!Q1014=""),"",IF('Donor Sample'!P1014="",ROUND(AA997/($C$32+($AI997-0.5)*$C$31),0),'Donor Sample'!P1014))</f>
        <v/>
      </c>
      <c r="AA997" s="297" t="str">
        <f>IF('Donor Sample'!Q1014="","",'Donor Sample'!Q1014)</f>
        <v/>
      </c>
      <c r="AB997" s="296" t="str">
        <f t="shared" si="223"/>
        <v/>
      </c>
      <c r="AC997" s="295" t="str">
        <f>IF('Donor Sample'!R1014="","",'Donor Sample'!R1014)</f>
        <v/>
      </c>
      <c r="AD997" s="294" t="str">
        <f>IF('Donor Sample'!S1014="","",'Donor Sample'!S1014/100)</f>
        <v/>
      </c>
      <c r="AE997" s="293" t="e">
        <f t="shared" si="233"/>
        <v>#VALUE!</v>
      </c>
      <c r="AF997" s="293" t="str">
        <f t="shared" si="234"/>
        <v/>
      </c>
      <c r="AG997" s="292" t="str">
        <f>IF('Donor Sample'!T1014="","",'Donor Sample'!T1014)</f>
        <v/>
      </c>
      <c r="AH997" s="891">
        <f t="shared" si="235"/>
        <v>128</v>
      </c>
      <c r="AI997" s="1220">
        <v>0.94508165121078491</v>
      </c>
      <c r="AJ997" s="1216"/>
    </row>
    <row r="998" spans="5:36">
      <c r="E998" s="299">
        <v>990</v>
      </c>
      <c r="F998" s="308">
        <f t="shared" ca="1" si="224"/>
        <v>3496.7013262566697</v>
      </c>
      <c r="G998" s="307">
        <f t="shared" ca="1" si="225"/>
        <v>220.26917490058133</v>
      </c>
      <c r="H998" s="306">
        <f t="shared" ca="1" si="226"/>
        <v>0.36518484048559707</v>
      </c>
      <c r="I998" s="305">
        <f t="shared" ca="1" si="228"/>
        <v>119.7936145627899</v>
      </c>
      <c r="J998" s="305">
        <f t="shared" ca="1" si="229"/>
        <v>57.513026920495214</v>
      </c>
      <c r="K998" s="292">
        <f t="shared" ca="1" si="227"/>
        <v>1.3963065328690814</v>
      </c>
      <c r="L998" s="1290">
        <f t="shared" ca="1" si="230"/>
        <v>25.496107285536517</v>
      </c>
      <c r="M998" s="299">
        <v>990</v>
      </c>
      <c r="N998" s="304">
        <f t="shared" si="231"/>
        <v>2725.0643564999136</v>
      </c>
      <c r="O998" s="303">
        <v>214.55396114643105</v>
      </c>
      <c r="P998" s="302">
        <v>0.36893963914110828</v>
      </c>
      <c r="Q998" s="301">
        <v>102.9450010635196</v>
      </c>
      <c r="R998" s="301">
        <v>46.845974173425496</v>
      </c>
      <c r="S998" s="300">
        <v>2.0486516552675496</v>
      </c>
      <c r="T998" s="891">
        <f t="shared" si="232"/>
        <v>2</v>
      </c>
      <c r="U998" s="1220">
        <v>6.1357378959655762E-2</v>
      </c>
      <c r="W998" s="299">
        <v>990</v>
      </c>
      <c r="X998" s="298">
        <f>IF('Donor Sample'!N1015="",,IF('Donor Sample'!N1015="F",1,0))</f>
        <v>0</v>
      </c>
      <c r="Y998" s="298" t="str">
        <f>IF('Donor Sample'!O1015="","",'Donor Sample'!O1015)</f>
        <v/>
      </c>
      <c r="Z998" s="298" t="str">
        <f>IF(AND('Donor Sample'!O1015="",'Donor Sample'!P1015="",'Donor Sample'!Q1015=""),"",IF('Donor Sample'!P1015="",ROUND(AA998/($C$32+($AI998-0.5)*$C$31),0),'Donor Sample'!P1015))</f>
        <v/>
      </c>
      <c r="AA998" s="297" t="str">
        <f>IF('Donor Sample'!Q1015="","",'Donor Sample'!Q1015)</f>
        <v/>
      </c>
      <c r="AB998" s="296" t="str">
        <f t="shared" si="223"/>
        <v/>
      </c>
      <c r="AC998" s="295" t="str">
        <f>IF('Donor Sample'!R1015="","",'Donor Sample'!R1015)</f>
        <v/>
      </c>
      <c r="AD998" s="294" t="str">
        <f>IF('Donor Sample'!S1015="","",'Donor Sample'!S1015/100)</f>
        <v/>
      </c>
      <c r="AE998" s="293" t="e">
        <f t="shared" si="233"/>
        <v>#VALUE!</v>
      </c>
      <c r="AF998" s="293" t="str">
        <f t="shared" si="234"/>
        <v/>
      </c>
      <c r="AG998" s="292" t="str">
        <f>IF('Donor Sample'!T1015="","",'Donor Sample'!T1015)</f>
        <v/>
      </c>
      <c r="AH998" s="891">
        <f t="shared" si="235"/>
        <v>2</v>
      </c>
      <c r="AI998" s="1220">
        <v>0.29699933528900146</v>
      </c>
      <c r="AJ998" s="1216"/>
    </row>
    <row r="999" spans="5:36">
      <c r="E999" s="299">
        <v>991</v>
      </c>
      <c r="F999" s="308">
        <f t="shared" ca="1" si="224"/>
        <v>2947.9973698590748</v>
      </c>
      <c r="G999" s="307">
        <f t="shared" ca="1" si="225"/>
        <v>280.22886939826265</v>
      </c>
      <c r="H999" s="306">
        <f t="shared" ca="1" si="226"/>
        <v>0.40893973174265974</v>
      </c>
      <c r="I999" s="305">
        <f t="shared" ca="1" si="228"/>
        <v>101.42702319706538</v>
      </c>
      <c r="J999" s="305">
        <f t="shared" ca="1" si="229"/>
        <v>52.363007952813376</v>
      </c>
      <c r="K999" s="292">
        <f t="shared" ca="1" si="227"/>
        <v>1.7266103639109665</v>
      </c>
      <c r="L999" s="1290">
        <f t="shared" ca="1" si="230"/>
        <v>26.042169784289612</v>
      </c>
      <c r="M999" s="299">
        <v>991</v>
      </c>
      <c r="N999" s="304">
        <f t="shared" si="231"/>
        <v>3309.9284566717079</v>
      </c>
      <c r="O999" s="303">
        <v>221.89084956616253</v>
      </c>
      <c r="P999" s="302">
        <v>0.48151207584865952</v>
      </c>
      <c r="Q999" s="301">
        <v>126.63088138304907</v>
      </c>
      <c r="R999" s="301">
        <v>52.240478360380585</v>
      </c>
      <c r="S999" s="300">
        <v>11.691720922619741</v>
      </c>
      <c r="T999" s="891">
        <f t="shared" si="232"/>
        <v>2</v>
      </c>
      <c r="U999" s="1220">
        <v>0.33775955438613892</v>
      </c>
      <c r="W999" s="299">
        <v>991</v>
      </c>
      <c r="X999" s="298">
        <f>IF('Donor Sample'!N1016="",,IF('Donor Sample'!N1016="F",1,0))</f>
        <v>0</v>
      </c>
      <c r="Y999" s="298" t="str">
        <f>IF('Donor Sample'!O1016="","",'Donor Sample'!O1016)</f>
        <v/>
      </c>
      <c r="Z999" s="298" t="str">
        <f>IF(AND('Donor Sample'!O1016="",'Donor Sample'!P1016="",'Donor Sample'!Q1016=""),"",IF('Donor Sample'!P1016="",ROUND(AA999/($C$32+($AI999-0.5)*$C$31),0),'Donor Sample'!P1016))</f>
        <v/>
      </c>
      <c r="AA999" s="297" t="str">
        <f>IF('Donor Sample'!Q1016="","",'Donor Sample'!Q1016)</f>
        <v/>
      </c>
      <c r="AB999" s="296" t="str">
        <f t="shared" si="223"/>
        <v/>
      </c>
      <c r="AC999" s="295" t="str">
        <f>IF('Donor Sample'!R1016="","",'Donor Sample'!R1016)</f>
        <v/>
      </c>
      <c r="AD999" s="294" t="str">
        <f>IF('Donor Sample'!S1016="","",'Donor Sample'!S1016/100)</f>
        <v/>
      </c>
      <c r="AE999" s="407" t="e">
        <f t="shared" si="233"/>
        <v>#VALUE!</v>
      </c>
      <c r="AF999" s="293" t="str">
        <f t="shared" si="234"/>
        <v/>
      </c>
      <c r="AG999" s="292" t="str">
        <f>IF('Donor Sample'!T1016="","",'Donor Sample'!T1016)</f>
        <v/>
      </c>
      <c r="AH999" s="891">
        <f t="shared" si="235"/>
        <v>64</v>
      </c>
      <c r="AI999" s="1220">
        <v>0.59225946664810181</v>
      </c>
      <c r="AJ999" s="1216"/>
    </row>
    <row r="1000" spans="5:36">
      <c r="E1000" s="299">
        <v>992</v>
      </c>
      <c r="F1000" s="308">
        <f t="shared" ca="1" si="224"/>
        <v>3547.2193028211095</v>
      </c>
      <c r="G1000" s="307">
        <f t="shared" ca="1" si="225"/>
        <v>202.90793917463856</v>
      </c>
      <c r="H1000" s="306">
        <f t="shared" ca="1" si="226"/>
        <v>0.37959676287474586</v>
      </c>
      <c r="I1000" s="305">
        <f t="shared" ca="1" si="228"/>
        <v>113.34625138614123</v>
      </c>
      <c r="J1000" s="305">
        <f t="shared" ca="1" si="229"/>
        <v>59.842060662121746</v>
      </c>
      <c r="K1000" s="292">
        <f t="shared" ca="1" si="227"/>
        <v>1.9614634314600905</v>
      </c>
      <c r="L1000" s="1290">
        <f t="shared" ca="1" si="230"/>
        <v>22.282644967230471</v>
      </c>
      <c r="M1000" s="299">
        <v>992</v>
      </c>
      <c r="N1000" s="304">
        <f t="shared" si="231"/>
        <v>3409.8938005844748</v>
      </c>
      <c r="O1000" s="303">
        <v>189.96599745793557</v>
      </c>
      <c r="P1000" s="302">
        <v>0.38581516765531804</v>
      </c>
      <c r="Q1000" s="301">
        <v>108.66075411395919</v>
      </c>
      <c r="R1000" s="301">
        <v>58.755423512039293</v>
      </c>
      <c r="S1000" s="300">
        <v>1.3717159614611978</v>
      </c>
      <c r="T1000" s="891">
        <f t="shared" si="232"/>
        <v>2</v>
      </c>
      <c r="U1000" s="1220">
        <v>0.23871660232543945</v>
      </c>
      <c r="W1000" s="299">
        <v>992</v>
      </c>
      <c r="X1000" s="298">
        <f>IF('Donor Sample'!N1017="",,IF('Donor Sample'!N1017="F",1,0))</f>
        <v>0</v>
      </c>
      <c r="Y1000" s="298" t="str">
        <f>IF('Donor Sample'!O1017="","",'Donor Sample'!O1017)</f>
        <v/>
      </c>
      <c r="Z1000" s="298" t="str">
        <f>IF(AND('Donor Sample'!O1017="",'Donor Sample'!P1017="",'Donor Sample'!Q1017=""),"",IF('Donor Sample'!P1017="",ROUND(AA1000/($C$32+($AI1000-0.5)*$C$31),0),'Donor Sample'!P1017))</f>
        <v/>
      </c>
      <c r="AA1000" s="297" t="str">
        <f>IF('Donor Sample'!Q1017="","",'Donor Sample'!Q1017)</f>
        <v/>
      </c>
      <c r="AB1000" s="296" t="str">
        <f t="shared" si="223"/>
        <v/>
      </c>
      <c r="AC1000" s="295" t="str">
        <f>IF('Donor Sample'!R1017="","",'Donor Sample'!R1017)</f>
        <v/>
      </c>
      <c r="AD1000" s="294" t="str">
        <f>IF('Donor Sample'!S1017="","",'Donor Sample'!S1017/100)</f>
        <v/>
      </c>
      <c r="AE1000" s="293" t="e">
        <f t="shared" si="233"/>
        <v>#VALUE!</v>
      </c>
      <c r="AF1000" s="293" t="str">
        <f t="shared" si="234"/>
        <v/>
      </c>
      <c r="AG1000" s="292" t="str">
        <f>IF('Donor Sample'!T1017="","",'Donor Sample'!T1017)</f>
        <v/>
      </c>
      <c r="AH1000" s="891">
        <f t="shared" si="235"/>
        <v>2</v>
      </c>
      <c r="AI1000" s="1220">
        <v>9.0939521789550781E-2</v>
      </c>
      <c r="AJ1000" s="1216"/>
    </row>
    <row r="1001" spans="5:36">
      <c r="E1001" s="299">
        <v>993</v>
      </c>
      <c r="F1001" s="308">
        <f t="shared" ca="1" si="224"/>
        <v>3298.2360154667826</v>
      </c>
      <c r="G1001" s="307">
        <f t="shared" ca="1" si="225"/>
        <v>194.41305933303369</v>
      </c>
      <c r="H1001" s="306">
        <f t="shared" ca="1" si="226"/>
        <v>0.50454290381209876</v>
      </c>
      <c r="I1001" s="305">
        <f t="shared" ca="1" si="228"/>
        <v>124.58196516050698</v>
      </c>
      <c r="J1001" s="305">
        <f t="shared" ca="1" si="229"/>
        <v>52.608084505550892</v>
      </c>
      <c r="K1001" s="292">
        <f t="shared" ca="1" si="227"/>
        <v>17.107797750169407</v>
      </c>
      <c r="L1001" s="1290">
        <f t="shared" ca="1" si="230"/>
        <v>31.690045155981636</v>
      </c>
      <c r="M1001" s="299">
        <v>993</v>
      </c>
      <c r="N1001" s="304">
        <f t="shared" si="231"/>
        <v>3114.0143474171491</v>
      </c>
      <c r="O1001" s="303">
        <v>196.95880860259342</v>
      </c>
      <c r="P1001" s="302">
        <v>0.35725731063693844</v>
      </c>
      <c r="Q1001" s="301">
        <v>107.89269484719384</v>
      </c>
      <c r="R1001" s="301">
        <v>53.772921846447993</v>
      </c>
      <c r="S1001" s="300">
        <v>2.6481560368376011</v>
      </c>
      <c r="T1001" s="891">
        <f t="shared" si="232"/>
        <v>2</v>
      </c>
      <c r="U1001" s="1220">
        <v>3.2854735851287842E-2</v>
      </c>
      <c r="W1001" s="299">
        <v>993</v>
      </c>
      <c r="X1001" s="298">
        <f>IF('Donor Sample'!N1018="",,IF('Donor Sample'!N1018="F",1,0))</f>
        <v>0</v>
      </c>
      <c r="Y1001" s="298" t="str">
        <f>IF('Donor Sample'!O1018="","",'Donor Sample'!O1018)</f>
        <v/>
      </c>
      <c r="Z1001" s="298" t="str">
        <f>IF(AND('Donor Sample'!O1018="",'Donor Sample'!P1018="",'Donor Sample'!Q1018=""),"",IF('Donor Sample'!P1018="",ROUND(AA1001/($C$32+($AI1001-0.5)*$C$31),0),'Donor Sample'!P1018))</f>
        <v/>
      </c>
      <c r="AA1001" s="297" t="str">
        <f>IF('Donor Sample'!Q1018="","",'Donor Sample'!Q1018)</f>
        <v/>
      </c>
      <c r="AB1001" s="296" t="str">
        <f t="shared" si="223"/>
        <v/>
      </c>
      <c r="AC1001" s="295" t="str">
        <f>IF('Donor Sample'!R1018="","",'Donor Sample'!R1018)</f>
        <v/>
      </c>
      <c r="AD1001" s="294" t="str">
        <f>IF('Donor Sample'!S1018="","",'Donor Sample'!S1018/100)</f>
        <v/>
      </c>
      <c r="AE1001" s="293" t="e">
        <f t="shared" si="233"/>
        <v>#VALUE!</v>
      </c>
      <c r="AF1001" s="293" t="str">
        <f t="shared" si="234"/>
        <v/>
      </c>
      <c r="AG1001" s="292" t="str">
        <f>IF('Donor Sample'!T1018="","",'Donor Sample'!T1018)</f>
        <v/>
      </c>
      <c r="AH1001" s="891">
        <f t="shared" si="235"/>
        <v>2</v>
      </c>
      <c r="AI1001" s="1220">
        <v>0.12901800870895386</v>
      </c>
      <c r="AJ1001" s="1216"/>
    </row>
    <row r="1002" spans="5:36">
      <c r="E1002" s="299">
        <v>994</v>
      </c>
      <c r="F1002" s="308">
        <f t="shared" ca="1" si="224"/>
        <v>3401.7432668748961</v>
      </c>
      <c r="G1002" s="307">
        <f t="shared" ca="1" si="225"/>
        <v>233.26628585457138</v>
      </c>
      <c r="H1002" s="306">
        <f t="shared" ca="1" si="226"/>
        <v>0.44835254163374061</v>
      </c>
      <c r="I1002" s="305">
        <f t="shared" ca="1" si="228"/>
        <v>116.54901903264046</v>
      </c>
      <c r="J1002" s="305">
        <f t="shared" ca="1" si="229"/>
        <v>56.70404566933825</v>
      </c>
      <c r="K1002" s="292">
        <f t="shared" ca="1" si="227"/>
        <v>2.0425529766657311</v>
      </c>
      <c r="L1002" s="1290">
        <f t="shared" ca="1" si="230"/>
        <v>25.518385289854304</v>
      </c>
      <c r="M1002" s="299">
        <v>994</v>
      </c>
      <c r="N1002" s="304">
        <f t="shared" si="231"/>
        <v>3106.6698085813523</v>
      </c>
      <c r="O1002" s="303">
        <v>268.65336118896084</v>
      </c>
      <c r="P1002" s="302">
        <v>0.40596595155977316</v>
      </c>
      <c r="Q1002" s="301">
        <v>98.663370104699041</v>
      </c>
      <c r="R1002" s="301">
        <v>56.112593692917585</v>
      </c>
      <c r="S1002" s="300">
        <v>1.2766840680239626</v>
      </c>
      <c r="T1002" s="891">
        <f t="shared" si="232"/>
        <v>2</v>
      </c>
      <c r="U1002" s="1220">
        <v>9.6912503242492676E-2</v>
      </c>
      <c r="W1002" s="299">
        <v>994</v>
      </c>
      <c r="X1002" s="298">
        <f>IF('Donor Sample'!N1019="",,IF('Donor Sample'!N1019="F",1,0))</f>
        <v>0</v>
      </c>
      <c r="Y1002" s="298" t="str">
        <f>IF('Donor Sample'!O1019="","",'Donor Sample'!O1019)</f>
        <v/>
      </c>
      <c r="Z1002" s="298" t="str">
        <f>IF(AND('Donor Sample'!O1019="",'Donor Sample'!P1019="",'Donor Sample'!Q1019=""),"",IF('Donor Sample'!P1019="",ROUND(AA1002/($C$32+($AI1002-0.5)*$C$31),0),'Donor Sample'!P1019))</f>
        <v/>
      </c>
      <c r="AA1002" s="297" t="str">
        <f>IF('Donor Sample'!Q1019="","",'Donor Sample'!Q1019)</f>
        <v/>
      </c>
      <c r="AB1002" s="296" t="str">
        <f t="shared" si="223"/>
        <v/>
      </c>
      <c r="AC1002" s="295" t="str">
        <f>IF('Donor Sample'!R1019="","",'Donor Sample'!R1019)</f>
        <v/>
      </c>
      <c r="AD1002" s="294" t="str">
        <f>IF('Donor Sample'!S1019="","",'Donor Sample'!S1019/100)</f>
        <v/>
      </c>
      <c r="AE1002" s="407" t="e">
        <f t="shared" si="233"/>
        <v>#VALUE!</v>
      </c>
      <c r="AF1002" s="293" t="str">
        <f t="shared" si="234"/>
        <v/>
      </c>
      <c r="AG1002" s="292" t="str">
        <f>IF('Donor Sample'!T1019="","",'Donor Sample'!T1019)</f>
        <v/>
      </c>
      <c r="AH1002" s="891">
        <f t="shared" si="235"/>
        <v>2</v>
      </c>
      <c r="AI1002" s="1220">
        <v>0.34992659091949463</v>
      </c>
      <c r="AJ1002" s="1216"/>
    </row>
    <row r="1003" spans="5:36">
      <c r="E1003" s="299">
        <v>995</v>
      </c>
      <c r="F1003" s="308">
        <f t="shared" ca="1" si="224"/>
        <v>3167.0499580728947</v>
      </c>
      <c r="G1003" s="307">
        <f t="shared" ca="1" si="225"/>
        <v>215.62193631961742</v>
      </c>
      <c r="H1003" s="306">
        <f t="shared" ca="1" si="226"/>
        <v>0.37467644022625296</v>
      </c>
      <c r="I1003" s="305">
        <f t="shared" ca="1" si="228"/>
        <v>117.88913880865087</v>
      </c>
      <c r="J1003" s="305">
        <f t="shared" ca="1" si="229"/>
        <v>59.282983502471723</v>
      </c>
      <c r="K1003" s="292">
        <f t="shared" ca="1" si="227"/>
        <v>6.1482720762192891</v>
      </c>
      <c r="L1003" s="1290">
        <f t="shared" ca="1" si="230"/>
        <v>23.614913017256978</v>
      </c>
      <c r="M1003" s="299">
        <v>995</v>
      </c>
      <c r="N1003" s="304">
        <f t="shared" si="231"/>
        <v>3534.8306917530672</v>
      </c>
      <c r="O1003" s="303">
        <v>185.38568014529653</v>
      </c>
      <c r="P1003" s="302">
        <v>0.46524677976386974</v>
      </c>
      <c r="Q1003" s="301">
        <v>108.99042456160431</v>
      </c>
      <c r="R1003" s="301">
        <v>66.513170003330643</v>
      </c>
      <c r="S1003" s="300">
        <v>1.429281132540251</v>
      </c>
      <c r="T1003" s="891">
        <f t="shared" si="232"/>
        <v>64</v>
      </c>
      <c r="U1003" s="1220">
        <v>0.75282269716262817</v>
      </c>
      <c r="W1003" s="299">
        <v>995</v>
      </c>
      <c r="X1003" s="298">
        <f>IF('Donor Sample'!N1020="",,IF('Donor Sample'!N1020="F",1,0))</f>
        <v>0</v>
      </c>
      <c r="Y1003" s="298" t="str">
        <f>IF('Donor Sample'!O1020="","",'Donor Sample'!O1020)</f>
        <v/>
      </c>
      <c r="Z1003" s="298" t="str">
        <f>IF(AND('Donor Sample'!O1020="",'Donor Sample'!P1020="",'Donor Sample'!Q1020=""),"",IF('Donor Sample'!P1020="",ROUND(AA1003/($C$32+($AI1003-0.5)*$C$31),0),'Donor Sample'!P1020))</f>
        <v/>
      </c>
      <c r="AA1003" s="297" t="str">
        <f>IF('Donor Sample'!Q1020="","",'Donor Sample'!Q1020)</f>
        <v/>
      </c>
      <c r="AB1003" s="296" t="str">
        <f t="shared" si="223"/>
        <v/>
      </c>
      <c r="AC1003" s="295" t="str">
        <f>IF('Donor Sample'!R1020="","",'Donor Sample'!R1020)</f>
        <v/>
      </c>
      <c r="AD1003" s="294" t="str">
        <f>IF('Donor Sample'!S1020="","",'Donor Sample'!S1020/100)</f>
        <v/>
      </c>
      <c r="AE1003" s="293" t="e">
        <f t="shared" si="233"/>
        <v>#VALUE!</v>
      </c>
      <c r="AF1003" s="293" t="str">
        <f t="shared" si="234"/>
        <v/>
      </c>
      <c r="AG1003" s="292" t="str">
        <f>IF('Donor Sample'!T1020="","",'Donor Sample'!T1020)</f>
        <v/>
      </c>
      <c r="AH1003" s="891">
        <f t="shared" si="235"/>
        <v>256</v>
      </c>
      <c r="AI1003" s="1220">
        <v>0.86926871538162231</v>
      </c>
      <c r="AJ1003" s="1216"/>
    </row>
    <row r="1004" spans="5:36">
      <c r="E1004" s="299">
        <v>996</v>
      </c>
      <c r="F1004" s="308">
        <f t="shared" ca="1" si="224"/>
        <v>4106.0555670004842</v>
      </c>
      <c r="G1004" s="307">
        <f t="shared" ca="1" si="225"/>
        <v>176.51988306088225</v>
      </c>
      <c r="H1004" s="306">
        <f t="shared" ca="1" si="226"/>
        <v>0.41414724096650901</v>
      </c>
      <c r="I1004" s="305">
        <f t="shared" ca="1" si="228"/>
        <v>150.79661168320277</v>
      </c>
      <c r="J1004" s="305">
        <f t="shared" ca="1" si="229"/>
        <v>60.028217864010678</v>
      </c>
      <c r="K1004" s="292">
        <f t="shared" ca="1" si="227"/>
        <v>1.7793061742344773</v>
      </c>
      <c r="L1004" s="1290">
        <f t="shared" ca="1" si="230"/>
        <v>29.461397400486405</v>
      </c>
      <c r="M1004" s="299">
        <v>996</v>
      </c>
      <c r="N1004" s="304">
        <f t="shared" si="231"/>
        <v>3270.2711981737207</v>
      </c>
      <c r="O1004" s="303">
        <v>229.17344869930093</v>
      </c>
      <c r="P1004" s="302">
        <v>0.3973615403615014</v>
      </c>
      <c r="Q1004" s="301">
        <v>118.13248841359787</v>
      </c>
      <c r="R1004" s="301">
        <v>53.902153864757587</v>
      </c>
      <c r="S1004" s="300">
        <v>7.8519642921517532</v>
      </c>
      <c r="T1004" s="891">
        <f t="shared" si="232"/>
        <v>64</v>
      </c>
      <c r="U1004" s="1220">
        <v>0.67834162712097168</v>
      </c>
      <c r="W1004" s="299">
        <v>996</v>
      </c>
      <c r="X1004" s="298">
        <f>IF('Donor Sample'!N1021="",,IF('Donor Sample'!N1021="F",1,0))</f>
        <v>0</v>
      </c>
      <c r="Y1004" s="298" t="str">
        <f>IF('Donor Sample'!O1021="","",'Donor Sample'!O1021)</f>
        <v/>
      </c>
      <c r="Z1004" s="298" t="str">
        <f>IF(AND('Donor Sample'!O1021="",'Donor Sample'!P1021="",'Donor Sample'!Q1021=""),"",IF('Donor Sample'!P1021="",ROUND(AA1004/($C$32+($AI1004-0.5)*$C$31),0),'Donor Sample'!P1021))</f>
        <v/>
      </c>
      <c r="AA1004" s="297" t="str">
        <f>IF('Donor Sample'!Q1021="","",'Donor Sample'!Q1021)</f>
        <v/>
      </c>
      <c r="AB1004" s="296" t="str">
        <f t="shared" si="223"/>
        <v/>
      </c>
      <c r="AC1004" s="295" t="str">
        <f>IF('Donor Sample'!R1021="","",'Donor Sample'!R1021)</f>
        <v/>
      </c>
      <c r="AD1004" s="294" t="str">
        <f>IF('Donor Sample'!S1021="","",'Donor Sample'!S1021/100)</f>
        <v/>
      </c>
      <c r="AE1004" s="293" t="e">
        <f t="shared" si="233"/>
        <v>#VALUE!</v>
      </c>
      <c r="AF1004" s="293" t="str">
        <f t="shared" si="234"/>
        <v/>
      </c>
      <c r="AG1004" s="292" t="str">
        <f>IF('Donor Sample'!T1021="","",'Donor Sample'!T1021)</f>
        <v/>
      </c>
      <c r="AH1004" s="891">
        <f t="shared" si="235"/>
        <v>2</v>
      </c>
      <c r="AI1004" s="1220">
        <v>0.20253872871398926</v>
      </c>
      <c r="AJ1004" s="1216"/>
    </row>
    <row r="1005" spans="5:36">
      <c r="E1005" s="299">
        <v>997</v>
      </c>
      <c r="F1005" s="308">
        <f t="shared" ca="1" si="224"/>
        <v>3090.7336646847584</v>
      </c>
      <c r="G1005" s="307">
        <f t="shared" ca="1" si="225"/>
        <v>262.69360806463493</v>
      </c>
      <c r="H1005" s="306">
        <f t="shared" ca="1" si="226"/>
        <v>0.3819129620575194</v>
      </c>
      <c r="I1005" s="305">
        <f t="shared" ca="1" si="228"/>
        <v>97.82980891156727</v>
      </c>
      <c r="J1005" s="305">
        <f t="shared" ca="1" si="229"/>
        <v>56.046196342186107</v>
      </c>
      <c r="K1005" s="292">
        <f t="shared" ca="1" si="227"/>
        <v>5.3294705103021425</v>
      </c>
      <c r="L1005" s="1290">
        <f t="shared" ca="1" si="230"/>
        <v>21.925604533336845</v>
      </c>
      <c r="M1005" s="299">
        <v>997</v>
      </c>
      <c r="N1005" s="304">
        <f t="shared" si="231"/>
        <v>3356.271878663908</v>
      </c>
      <c r="O1005" s="303">
        <v>245.04082586314334</v>
      </c>
      <c r="P1005" s="302">
        <v>0.43486043537994989</v>
      </c>
      <c r="Q1005" s="301">
        <v>138.4133501041494</v>
      </c>
      <c r="R1005" s="301">
        <v>49.55102523631173</v>
      </c>
      <c r="S1005" s="300">
        <v>1.4690193048156392</v>
      </c>
      <c r="T1005" s="891">
        <f t="shared" si="232"/>
        <v>256</v>
      </c>
      <c r="U1005" s="1220">
        <v>0.90953630208969116</v>
      </c>
      <c r="W1005" s="299">
        <v>997</v>
      </c>
      <c r="X1005" s="298">
        <f>IF('Donor Sample'!N1022="",,IF('Donor Sample'!N1022="F",1,0))</f>
        <v>0</v>
      </c>
      <c r="Y1005" s="298" t="str">
        <f>IF('Donor Sample'!O1022="","",'Donor Sample'!O1022)</f>
        <v/>
      </c>
      <c r="Z1005" s="298" t="str">
        <f>IF(AND('Donor Sample'!O1022="",'Donor Sample'!P1022="",'Donor Sample'!Q1022=""),"",IF('Donor Sample'!P1022="",ROUND(AA1005/($C$32+($AI1005-0.5)*$C$31),0),'Donor Sample'!P1022))</f>
        <v/>
      </c>
      <c r="AA1005" s="297" t="str">
        <f>IF('Donor Sample'!Q1022="","",'Donor Sample'!Q1022)</f>
        <v/>
      </c>
      <c r="AB1005" s="296" t="str">
        <f t="shared" si="223"/>
        <v/>
      </c>
      <c r="AC1005" s="295" t="str">
        <f>IF('Donor Sample'!R1022="","",'Donor Sample'!R1022)</f>
        <v/>
      </c>
      <c r="AD1005" s="294" t="str">
        <f>IF('Donor Sample'!S1022="","",'Donor Sample'!S1022/100)</f>
        <v/>
      </c>
      <c r="AE1005" s="407" t="e">
        <f t="shared" si="233"/>
        <v>#VALUE!</v>
      </c>
      <c r="AF1005" s="293" t="str">
        <f t="shared" si="234"/>
        <v/>
      </c>
      <c r="AG1005" s="292" t="str">
        <f>IF('Donor Sample'!T1022="","",'Donor Sample'!T1022)</f>
        <v/>
      </c>
      <c r="AH1005" s="891">
        <f t="shared" si="235"/>
        <v>2</v>
      </c>
      <c r="AI1005" s="1220">
        <v>0.21633952856063843</v>
      </c>
      <c r="AJ1005" s="1216"/>
    </row>
    <row r="1006" spans="5:36">
      <c r="E1006" s="299">
        <v>998</v>
      </c>
      <c r="F1006" s="308">
        <f t="shared" ca="1" si="224"/>
        <v>2987.5082641496792</v>
      </c>
      <c r="G1006" s="307">
        <f t="shared" ca="1" si="225"/>
        <v>162.60115909268103</v>
      </c>
      <c r="H1006" s="306">
        <f t="shared" ca="1" si="226"/>
        <v>0.40792793473852784</v>
      </c>
      <c r="I1006" s="305">
        <f t="shared" ca="1" si="228"/>
        <v>122.2707712730592</v>
      </c>
      <c r="J1006" s="305">
        <f t="shared" ca="1" si="229"/>
        <v>46.342556174567775</v>
      </c>
      <c r="K1006" s="292">
        <f t="shared" ca="1" si="227"/>
        <v>1.3592047784896404</v>
      </c>
      <c r="L1006" s="1290">
        <f t="shared" ca="1" si="230"/>
        <v>40.080703967500227</v>
      </c>
      <c r="M1006" s="299">
        <v>998</v>
      </c>
      <c r="N1006" s="304">
        <f t="shared" si="231"/>
        <v>4433.5551554124804</v>
      </c>
      <c r="O1006" s="303">
        <v>215.54195843755707</v>
      </c>
      <c r="P1006" s="302">
        <v>0.35254478758456398</v>
      </c>
      <c r="Q1006" s="301">
        <v>182.71084326172536</v>
      </c>
      <c r="R1006" s="301">
        <v>57.817525485113109</v>
      </c>
      <c r="S1006" s="300">
        <v>3.2699733437364524</v>
      </c>
      <c r="T1006" s="891">
        <f t="shared" si="232"/>
        <v>2</v>
      </c>
      <c r="U1006" s="1220">
        <v>0.13019788265228271</v>
      </c>
      <c r="W1006" s="299">
        <v>998</v>
      </c>
      <c r="X1006" s="298">
        <f>IF('Donor Sample'!N1023="",,IF('Donor Sample'!N1023="F",1,0))</f>
        <v>0</v>
      </c>
      <c r="Y1006" s="298" t="str">
        <f>IF('Donor Sample'!O1023="","",'Donor Sample'!O1023)</f>
        <v/>
      </c>
      <c r="Z1006" s="298" t="str">
        <f>IF(AND('Donor Sample'!O1023="",'Donor Sample'!P1023="",'Donor Sample'!Q1023=""),"",IF('Donor Sample'!P1023="",ROUND(AA1006/($C$32+($AI1006-0.5)*$C$31),0),'Donor Sample'!P1023))</f>
        <v/>
      </c>
      <c r="AA1006" s="297" t="str">
        <f>IF('Donor Sample'!Q1023="","",'Donor Sample'!Q1023)</f>
        <v/>
      </c>
      <c r="AB1006" s="296" t="str">
        <f t="shared" si="223"/>
        <v/>
      </c>
      <c r="AC1006" s="295" t="str">
        <f>IF('Donor Sample'!R1023="","",'Donor Sample'!R1023)</f>
        <v/>
      </c>
      <c r="AD1006" s="294" t="str">
        <f>IF('Donor Sample'!S1023="","",'Donor Sample'!S1023/100)</f>
        <v/>
      </c>
      <c r="AE1006" s="293" t="e">
        <f t="shared" si="233"/>
        <v>#VALUE!</v>
      </c>
      <c r="AF1006" s="293" t="str">
        <f t="shared" si="234"/>
        <v/>
      </c>
      <c r="AG1006" s="292" t="str">
        <f>IF('Donor Sample'!T1023="","",'Donor Sample'!T1023)</f>
        <v/>
      </c>
      <c r="AH1006" s="891">
        <f t="shared" si="235"/>
        <v>2</v>
      </c>
      <c r="AI1006" s="1220">
        <v>7.1604609489440918E-2</v>
      </c>
      <c r="AJ1006" s="1216"/>
    </row>
    <row r="1007" spans="5:36">
      <c r="E1007" s="299">
        <v>999</v>
      </c>
      <c r="F1007" s="308">
        <f t="shared" ca="1" si="224"/>
        <v>3665.2036559893058</v>
      </c>
      <c r="G1007" s="307">
        <f t="shared" ca="1" si="225"/>
        <v>186.18609522755267</v>
      </c>
      <c r="H1007" s="306">
        <f t="shared" ca="1" si="226"/>
        <v>0.36376899467492602</v>
      </c>
      <c r="I1007" s="305">
        <f t="shared" ca="1" si="228"/>
        <v>122.82983622800475</v>
      </c>
      <c r="J1007" s="305">
        <f t="shared" ca="1" si="229"/>
        <v>59.523342650841514</v>
      </c>
      <c r="K1007" s="292">
        <f t="shared" ca="1" si="227"/>
        <v>3.5680838121110972</v>
      </c>
      <c r="L1007" s="1290">
        <f t="shared" ca="1" si="230"/>
        <v>24.406297914229981</v>
      </c>
      <c r="M1007" s="299">
        <v>999</v>
      </c>
      <c r="N1007" s="304">
        <f t="shared" si="231"/>
        <v>2936.3957319489227</v>
      </c>
      <c r="O1007" s="303">
        <v>202.67719301050528</v>
      </c>
      <c r="P1007" s="302">
        <v>0.41956238955183572</v>
      </c>
      <c r="Q1007" s="301">
        <v>99.338191363103647</v>
      </c>
      <c r="R1007" s="301">
        <v>52.742342311079383</v>
      </c>
      <c r="S1007" s="300">
        <v>6.0345275074249249</v>
      </c>
      <c r="T1007" s="891">
        <f t="shared" si="232"/>
        <v>256</v>
      </c>
      <c r="U1007" s="1220">
        <v>0.91297632455825806</v>
      </c>
      <c r="W1007" s="299">
        <v>999</v>
      </c>
      <c r="X1007" s="298">
        <f>IF('Donor Sample'!N1024="",,IF('Donor Sample'!N1024="F",1,0))</f>
        <v>0</v>
      </c>
      <c r="Y1007" s="298" t="str">
        <f>IF('Donor Sample'!O1024="","",'Donor Sample'!O1024)</f>
        <v/>
      </c>
      <c r="Z1007" s="298" t="str">
        <f>IF(AND('Donor Sample'!O1024="",'Donor Sample'!P1024="",'Donor Sample'!Q1024=""),"",IF('Donor Sample'!P1024="",ROUND(AA1007/($C$32+($AI1007-0.5)*$C$31),0),'Donor Sample'!P1024))</f>
        <v/>
      </c>
      <c r="AA1007" s="297" t="str">
        <f>IF('Donor Sample'!Q1024="","",'Donor Sample'!Q1024)</f>
        <v/>
      </c>
      <c r="AB1007" s="296" t="str">
        <f t="shared" si="223"/>
        <v/>
      </c>
      <c r="AC1007" s="295" t="str">
        <f>IF('Donor Sample'!R1024="","",'Donor Sample'!R1024)</f>
        <v/>
      </c>
      <c r="AD1007" s="294" t="str">
        <f>IF('Donor Sample'!S1024="","",'Donor Sample'!S1024/100)</f>
        <v/>
      </c>
      <c r="AE1007" s="293" t="e">
        <f>IF($AB$2=1,Z1007,2.2*Z1007)</f>
        <v>#VALUE!</v>
      </c>
      <c r="AF1007" s="293" t="str">
        <f t="shared" si="234"/>
        <v/>
      </c>
      <c r="AG1007" s="292" t="str">
        <f>IF('Donor Sample'!T1024="","",'Donor Sample'!T1024)</f>
        <v/>
      </c>
      <c r="AH1007" s="891">
        <f t="shared" si="235"/>
        <v>2</v>
      </c>
      <c r="AI1007" s="1220">
        <v>3.3069252967834473E-3</v>
      </c>
      <c r="AJ1007" s="1216"/>
    </row>
    <row r="1008" spans="5:36" ht="13.5" thickBot="1">
      <c r="E1008" s="282">
        <v>1000</v>
      </c>
      <c r="F1008" s="291">
        <f t="shared" ca="1" si="224"/>
        <v>3618.9824988989653</v>
      </c>
      <c r="G1008" s="290">
        <f t="shared" ca="1" si="225"/>
        <v>258.98476860713652</v>
      </c>
      <c r="H1008" s="289">
        <f t="shared" ca="1" si="226"/>
        <v>0.39472075569825071</v>
      </c>
      <c r="I1008" s="288">
        <f t="shared" ca="1" si="228"/>
        <v>136.2550357019592</v>
      </c>
      <c r="J1008" s="288">
        <f t="shared" ca="1" si="229"/>
        <v>55.461890784733917</v>
      </c>
      <c r="K1008" s="275">
        <f t="shared" ca="1" si="227"/>
        <v>1.2465308157988666</v>
      </c>
      <c r="L1008" s="1290">
        <f t="shared" ca="1" si="230"/>
        <v>31.184291284591399</v>
      </c>
      <c r="M1008" s="282">
        <v>1000</v>
      </c>
      <c r="N1008" s="287">
        <f t="shared" si="231"/>
        <v>3246.3462456463035</v>
      </c>
      <c r="O1008" s="286">
        <v>229.22158287541572</v>
      </c>
      <c r="P1008" s="285">
        <v>0.44359030759400508</v>
      </c>
      <c r="Q1008" s="284">
        <v>116.82755277985306</v>
      </c>
      <c r="R1008" s="284">
        <v>53.809003387798477</v>
      </c>
      <c r="S1008" s="283">
        <v>1.4350678895367495</v>
      </c>
      <c r="T1008" s="892">
        <f t="shared" si="232"/>
        <v>64</v>
      </c>
      <c r="U1008" s="1221">
        <v>0.66785144805908203</v>
      </c>
      <c r="W1008" s="282">
        <v>1000</v>
      </c>
      <c r="X1008" s="298">
        <f>IF('Donor Sample'!N1025="",,IF('Donor Sample'!N1025="F",1,0))</f>
        <v>0</v>
      </c>
      <c r="Y1008" s="281" t="str">
        <f>IF('Donor Sample'!O1025="","",'Donor Sample'!O1025)</f>
        <v/>
      </c>
      <c r="Z1008" s="281" t="str">
        <f>IF(AND('Donor Sample'!O1025="",'Donor Sample'!P1025="",'Donor Sample'!Q1025=""),"",IF('Donor Sample'!P1025="",ROUND(AA1008/($C$32+($AI1008-0.5)*$C$31),0),'Donor Sample'!P1025))</f>
        <v/>
      </c>
      <c r="AA1008" s="280" t="str">
        <f>IF('Donor Sample'!Q1025="","",'Donor Sample'!Q1025)</f>
        <v/>
      </c>
      <c r="AB1008" s="279" t="str">
        <f t="shared" si="223"/>
        <v/>
      </c>
      <c r="AC1008" s="278" t="str">
        <f>IF('Donor Sample'!R1025="","",'Donor Sample'!R1025)</f>
        <v/>
      </c>
      <c r="AD1008" s="277" t="str">
        <f>IF('Donor Sample'!S1025="","",'Donor Sample'!S1025/100)</f>
        <v/>
      </c>
      <c r="AE1008" s="407" t="e">
        <f>IF($AB$2=1,Z1008,2.2*Z1008)</f>
        <v>#VALUE!</v>
      </c>
      <c r="AF1008" s="276" t="str">
        <f t="shared" si="234"/>
        <v/>
      </c>
      <c r="AG1008" s="275" t="str">
        <f>IF('Donor Sample'!T1025="","",'Donor Sample'!T1025)</f>
        <v/>
      </c>
      <c r="AH1008" s="892">
        <f t="shared" si="235"/>
        <v>2</v>
      </c>
      <c r="AI1008" s="1221">
        <v>0.15320730209350586</v>
      </c>
      <c r="AJ1008" s="1216"/>
    </row>
    <row r="1009" spans="5:35">
      <c r="E1009" s="77"/>
      <c r="F1009" s="77"/>
      <c r="G1009" s="77"/>
      <c r="H1009" s="77"/>
      <c r="I1009" s="77"/>
      <c r="J1009" s="77"/>
      <c r="K1009" s="77"/>
      <c r="L1009" s="1292"/>
      <c r="M1009" s="77"/>
      <c r="N1009" s="77"/>
      <c r="O1009" s="77"/>
      <c r="P1009" s="77"/>
      <c r="Q1009" s="77"/>
      <c r="R1009" s="77"/>
      <c r="S1009" s="77"/>
      <c r="T1009" s="77"/>
      <c r="U1009" s="1218"/>
      <c r="V1009" s="77"/>
      <c r="W1009" s="77"/>
      <c r="X1009" s="77"/>
      <c r="Y1009" s="77"/>
      <c r="Z1009" s="77"/>
      <c r="AA1009" s="77"/>
      <c r="AB1009" s="77"/>
      <c r="AC1009" s="77"/>
      <c r="AD1009" s="77"/>
      <c r="AE1009" s="77"/>
      <c r="AF1009" s="77"/>
      <c r="AG1009" s="77"/>
      <c r="AH1009" s="77"/>
      <c r="AI1009" s="1218"/>
    </row>
    <row r="1010" spans="5:35">
      <c r="K1010" s="273"/>
      <c r="S1010" s="273"/>
      <c r="T1010" s="273"/>
      <c r="U1010" s="273"/>
      <c r="W1010" s="77"/>
      <c r="X1010" s="77"/>
      <c r="Y1010" s="77"/>
      <c r="Z1010" s="77"/>
      <c r="AA1010" s="77"/>
      <c r="AB1010" s="77"/>
      <c r="AC1010" s="77"/>
      <c r="AD1010" s="77"/>
      <c r="AE1010" s="77"/>
      <c r="AF1010" s="77"/>
      <c r="AG1010" s="77"/>
      <c r="AH1010" s="77"/>
    </row>
    <row r="1011" spans="5:35">
      <c r="K1011" s="273"/>
      <c r="S1011" s="273"/>
      <c r="T1011" s="273"/>
      <c r="U1011" s="273"/>
      <c r="W1011" s="77"/>
      <c r="X1011" s="77"/>
      <c r="Y1011" s="77"/>
      <c r="Z1011" s="77"/>
      <c r="AA1011" s="77"/>
      <c r="AB1011" s="77"/>
      <c r="AC1011" s="77"/>
      <c r="AD1011" s="77"/>
      <c r="AE1011" s="77"/>
      <c r="AF1011" s="77"/>
      <c r="AG1011" s="77"/>
      <c r="AH1011" s="77"/>
    </row>
    <row r="1012" spans="5:35">
      <c r="K1012" s="273"/>
      <c r="S1012" s="273"/>
      <c r="T1012" s="273"/>
      <c r="U1012" s="273"/>
      <c r="W1012" s="77"/>
      <c r="X1012" s="77"/>
      <c r="Y1012" s="77"/>
      <c r="Z1012" s="77"/>
      <c r="AA1012" s="77"/>
      <c r="AB1012" s="77"/>
      <c r="AC1012" s="77"/>
      <c r="AD1012" s="77"/>
      <c r="AE1012" s="77"/>
      <c r="AF1012" s="77"/>
      <c r="AG1012" s="77"/>
      <c r="AH1012" s="77"/>
    </row>
    <row r="1013" spans="5:35">
      <c r="K1013" s="273"/>
      <c r="S1013" s="273"/>
      <c r="T1013" s="273"/>
      <c r="U1013" s="273"/>
      <c r="W1013" s="77"/>
      <c r="X1013" s="77"/>
      <c r="Y1013" s="77"/>
      <c r="Z1013" s="77"/>
      <c r="AA1013" s="77"/>
      <c r="AB1013" s="77"/>
      <c r="AC1013" s="77"/>
      <c r="AD1013" s="77"/>
      <c r="AE1013" s="77"/>
      <c r="AF1013" s="77"/>
      <c r="AG1013" s="77"/>
      <c r="AH1013" s="77"/>
    </row>
    <row r="1014" spans="5:35">
      <c r="K1014" s="273"/>
      <c r="S1014" s="273"/>
      <c r="T1014" s="273"/>
      <c r="U1014" s="273"/>
      <c r="W1014" s="77"/>
      <c r="X1014" s="77"/>
      <c r="Y1014" s="77"/>
      <c r="Z1014" s="77"/>
      <c r="AA1014" s="77"/>
      <c r="AB1014" s="77"/>
      <c r="AC1014" s="77"/>
      <c r="AD1014" s="77"/>
      <c r="AE1014" s="77"/>
      <c r="AF1014" s="77"/>
      <c r="AG1014" s="77"/>
      <c r="AH1014" s="77"/>
    </row>
    <row r="1015" spans="5:35">
      <c r="K1015" s="273"/>
      <c r="S1015" s="273"/>
      <c r="T1015" s="273"/>
      <c r="U1015" s="273"/>
      <c r="W1015" s="77"/>
      <c r="X1015" s="77"/>
      <c r="Y1015" s="77"/>
      <c r="Z1015" s="77"/>
      <c r="AA1015" s="77"/>
      <c r="AB1015" s="77"/>
      <c r="AC1015" s="77"/>
      <c r="AD1015" s="77"/>
      <c r="AE1015" s="77"/>
      <c r="AF1015" s="77"/>
      <c r="AG1015" s="77"/>
      <c r="AH1015" s="77"/>
    </row>
    <row r="1016" spans="5:35">
      <c r="K1016" s="273"/>
      <c r="S1016" s="273"/>
      <c r="T1016" s="273"/>
      <c r="U1016" s="273"/>
      <c r="W1016" s="77"/>
      <c r="X1016" s="77"/>
      <c r="Y1016" s="77"/>
      <c r="Z1016" s="77"/>
      <c r="AA1016" s="77"/>
      <c r="AB1016" s="77"/>
      <c r="AC1016" s="77"/>
      <c r="AD1016" s="77"/>
      <c r="AE1016" s="77"/>
      <c r="AF1016" s="77"/>
      <c r="AG1016" s="77"/>
      <c r="AH1016" s="77"/>
    </row>
    <row r="1017" spans="5:35">
      <c r="K1017" s="273"/>
      <c r="S1017" s="273"/>
      <c r="T1017" s="273"/>
      <c r="U1017" s="273"/>
      <c r="W1017" s="77"/>
      <c r="X1017" s="77"/>
      <c r="Y1017" s="77"/>
      <c r="Z1017" s="77"/>
      <c r="AA1017" s="77"/>
      <c r="AB1017" s="77"/>
      <c r="AC1017" s="77"/>
      <c r="AD1017" s="77"/>
      <c r="AE1017" s="77"/>
      <c r="AF1017" s="77"/>
      <c r="AG1017" s="77"/>
      <c r="AH1017" s="77"/>
    </row>
    <row r="1018" spans="5:35">
      <c r="K1018" s="273"/>
      <c r="S1018" s="273"/>
      <c r="T1018" s="273"/>
      <c r="U1018" s="273"/>
      <c r="W1018" s="77"/>
      <c r="X1018" s="77"/>
      <c r="Y1018" s="77"/>
      <c r="Z1018" s="77"/>
      <c r="AA1018" s="77"/>
      <c r="AB1018" s="77"/>
      <c r="AC1018" s="77"/>
      <c r="AD1018" s="77"/>
      <c r="AE1018" s="77"/>
      <c r="AF1018" s="77"/>
      <c r="AG1018" s="77"/>
      <c r="AH1018" s="77"/>
    </row>
    <row r="1019" spans="5:35">
      <c r="K1019" s="273"/>
      <c r="S1019" s="273"/>
      <c r="T1019" s="273"/>
      <c r="U1019" s="273"/>
      <c r="W1019" s="77"/>
      <c r="X1019" s="77"/>
      <c r="Y1019" s="77"/>
      <c r="Z1019" s="77"/>
      <c r="AA1019" s="77"/>
      <c r="AB1019" s="77"/>
      <c r="AC1019" s="77"/>
      <c r="AD1019" s="77"/>
      <c r="AE1019" s="77"/>
      <c r="AF1019" s="77"/>
      <c r="AG1019" s="77"/>
      <c r="AH1019" s="77"/>
    </row>
    <row r="1020" spans="5:35">
      <c r="K1020" s="273"/>
      <c r="S1020" s="273"/>
      <c r="T1020" s="273"/>
      <c r="U1020" s="273"/>
      <c r="W1020" s="77"/>
      <c r="X1020" s="77"/>
      <c r="Y1020" s="77"/>
      <c r="Z1020" s="77"/>
      <c r="AA1020" s="77"/>
      <c r="AB1020" s="77"/>
      <c r="AC1020" s="77"/>
      <c r="AD1020" s="77"/>
      <c r="AE1020" s="77"/>
      <c r="AF1020" s="77"/>
      <c r="AG1020" s="77"/>
      <c r="AH1020" s="77"/>
    </row>
    <row r="1021" spans="5:35">
      <c r="K1021" s="273"/>
      <c r="S1021" s="273"/>
      <c r="T1021" s="273"/>
      <c r="U1021" s="273"/>
      <c r="W1021" s="77"/>
      <c r="X1021" s="77"/>
      <c r="Y1021" s="77"/>
      <c r="Z1021" s="77"/>
      <c r="AA1021" s="77"/>
      <c r="AB1021" s="77"/>
      <c r="AC1021" s="77"/>
      <c r="AD1021" s="77"/>
      <c r="AE1021" s="77"/>
      <c r="AF1021" s="77"/>
      <c r="AG1021" s="77"/>
      <c r="AH1021" s="77"/>
    </row>
    <row r="1022" spans="5:35">
      <c r="K1022" s="273"/>
      <c r="S1022" s="273"/>
      <c r="T1022" s="273"/>
      <c r="U1022" s="273"/>
      <c r="W1022" s="77"/>
      <c r="X1022" s="77"/>
      <c r="Y1022" s="77"/>
      <c r="Z1022" s="77"/>
      <c r="AA1022" s="77"/>
      <c r="AB1022" s="77"/>
      <c r="AC1022" s="77"/>
      <c r="AD1022" s="77"/>
      <c r="AE1022" s="77"/>
      <c r="AF1022" s="77"/>
      <c r="AG1022" s="77"/>
      <c r="AH1022" s="77"/>
    </row>
    <row r="1023" spans="5:35">
      <c r="K1023" s="273"/>
      <c r="S1023" s="273"/>
      <c r="T1023" s="273"/>
      <c r="U1023" s="273"/>
      <c r="W1023" s="77"/>
      <c r="X1023" s="77"/>
      <c r="Y1023" s="77"/>
      <c r="Z1023" s="77"/>
      <c r="AA1023" s="77"/>
      <c r="AB1023" s="77"/>
      <c r="AC1023" s="77"/>
      <c r="AD1023" s="77"/>
      <c r="AE1023" s="77"/>
      <c r="AF1023" s="77"/>
      <c r="AG1023" s="77"/>
      <c r="AH1023" s="77"/>
    </row>
    <row r="1024" spans="5:35">
      <c r="K1024" s="273"/>
      <c r="S1024" s="273"/>
      <c r="T1024" s="273"/>
      <c r="U1024" s="273"/>
      <c r="W1024" s="77"/>
      <c r="X1024" s="77"/>
      <c r="Y1024" s="77"/>
      <c r="Z1024" s="77"/>
      <c r="AA1024" s="77"/>
      <c r="AB1024" s="77"/>
      <c r="AC1024" s="77"/>
      <c r="AD1024" s="77"/>
      <c r="AE1024" s="77"/>
      <c r="AF1024" s="77"/>
      <c r="AG1024" s="77"/>
      <c r="AH1024" s="77"/>
    </row>
    <row r="1025" spans="11:34">
      <c r="K1025" s="273"/>
      <c r="S1025" s="273"/>
      <c r="T1025" s="273"/>
      <c r="U1025" s="273"/>
      <c r="W1025" s="77"/>
      <c r="X1025" s="77"/>
      <c r="Y1025" s="77"/>
      <c r="Z1025" s="77"/>
      <c r="AA1025" s="77"/>
      <c r="AB1025" s="77"/>
      <c r="AC1025" s="77"/>
      <c r="AD1025" s="77"/>
      <c r="AE1025" s="77"/>
      <c r="AF1025" s="77"/>
      <c r="AG1025" s="77"/>
      <c r="AH1025" s="77"/>
    </row>
    <row r="1026" spans="11:34">
      <c r="K1026" s="273"/>
      <c r="S1026" s="273"/>
      <c r="T1026" s="273"/>
      <c r="U1026" s="273"/>
      <c r="W1026" s="77"/>
      <c r="X1026" s="77"/>
      <c r="Y1026" s="77"/>
      <c r="Z1026" s="77"/>
      <c r="AA1026" s="77"/>
      <c r="AB1026" s="77"/>
      <c r="AC1026" s="77"/>
      <c r="AD1026" s="77"/>
      <c r="AE1026" s="77"/>
      <c r="AF1026" s="77"/>
      <c r="AG1026" s="77"/>
      <c r="AH1026" s="77"/>
    </row>
    <row r="1027" spans="11:34">
      <c r="K1027" s="273"/>
      <c r="S1027" s="273"/>
      <c r="T1027" s="273"/>
      <c r="U1027" s="273"/>
      <c r="W1027" s="77"/>
      <c r="X1027" s="77"/>
      <c r="Y1027" s="77"/>
      <c r="Z1027" s="77"/>
      <c r="AA1027" s="77"/>
      <c r="AB1027" s="77"/>
      <c r="AC1027" s="77"/>
      <c r="AD1027" s="77"/>
      <c r="AE1027" s="77"/>
      <c r="AF1027" s="77"/>
      <c r="AG1027" s="77"/>
      <c r="AH1027" s="77"/>
    </row>
    <row r="1028" spans="11:34">
      <c r="K1028" s="273"/>
      <c r="S1028" s="273"/>
      <c r="T1028" s="273"/>
      <c r="U1028" s="273"/>
      <c r="W1028" s="77"/>
      <c r="X1028" s="77"/>
      <c r="Y1028" s="77"/>
      <c r="Z1028" s="77"/>
      <c r="AA1028" s="77"/>
      <c r="AB1028" s="77"/>
      <c r="AC1028" s="77"/>
      <c r="AD1028" s="77"/>
      <c r="AE1028" s="77"/>
      <c r="AF1028" s="77"/>
      <c r="AG1028" s="77"/>
      <c r="AH1028" s="77"/>
    </row>
    <row r="1029" spans="11:34">
      <c r="K1029" s="273"/>
      <c r="S1029" s="273"/>
      <c r="T1029" s="273"/>
      <c r="U1029" s="273"/>
      <c r="W1029" s="77"/>
      <c r="X1029" s="77"/>
      <c r="Y1029" s="77"/>
      <c r="Z1029" s="77"/>
      <c r="AA1029" s="77"/>
      <c r="AB1029" s="77"/>
      <c r="AC1029" s="77"/>
      <c r="AD1029" s="77"/>
      <c r="AE1029" s="77"/>
      <c r="AF1029" s="77"/>
      <c r="AG1029" s="77"/>
      <c r="AH1029" s="77"/>
    </row>
    <row r="1030" spans="11:34">
      <c r="K1030" s="273"/>
      <c r="S1030" s="273"/>
      <c r="T1030" s="273"/>
      <c r="U1030" s="273"/>
      <c r="W1030" s="77"/>
      <c r="X1030" s="77"/>
      <c r="Y1030" s="77"/>
      <c r="Z1030" s="77"/>
      <c r="AA1030" s="77"/>
      <c r="AB1030" s="77"/>
      <c r="AC1030" s="77"/>
      <c r="AD1030" s="77"/>
      <c r="AE1030" s="77"/>
      <c r="AF1030" s="77"/>
      <c r="AG1030" s="77"/>
      <c r="AH1030" s="77"/>
    </row>
    <row r="1031" spans="11:34">
      <c r="K1031" s="273"/>
      <c r="S1031" s="273"/>
      <c r="T1031" s="273"/>
      <c r="U1031" s="273"/>
      <c r="W1031" s="77"/>
      <c r="X1031" s="77"/>
      <c r="Y1031" s="77"/>
      <c r="Z1031" s="77"/>
      <c r="AA1031" s="77"/>
      <c r="AB1031" s="77"/>
      <c r="AC1031" s="77"/>
      <c r="AD1031" s="77"/>
      <c r="AE1031" s="77"/>
      <c r="AF1031" s="77"/>
      <c r="AG1031" s="77"/>
      <c r="AH1031" s="77"/>
    </row>
    <row r="1032" spans="11:34">
      <c r="K1032" s="273"/>
      <c r="S1032" s="273"/>
      <c r="T1032" s="273"/>
      <c r="U1032" s="273"/>
      <c r="W1032" s="77"/>
      <c r="X1032" s="77"/>
      <c r="Y1032" s="77"/>
      <c r="Z1032" s="77"/>
      <c r="AA1032" s="77"/>
      <c r="AB1032" s="77"/>
      <c r="AC1032" s="77"/>
      <c r="AD1032" s="77"/>
      <c r="AE1032" s="77"/>
      <c r="AF1032" s="77"/>
      <c r="AG1032" s="77"/>
      <c r="AH1032" s="77"/>
    </row>
    <row r="1033" spans="11:34">
      <c r="K1033" s="273"/>
      <c r="S1033" s="273"/>
      <c r="T1033" s="273"/>
      <c r="U1033" s="273"/>
      <c r="W1033" s="77"/>
      <c r="X1033" s="77"/>
      <c r="Y1033" s="77"/>
      <c r="Z1033" s="77"/>
      <c r="AA1033" s="77"/>
      <c r="AB1033" s="77"/>
      <c r="AC1033" s="77"/>
      <c r="AD1033" s="77"/>
      <c r="AE1033" s="77"/>
      <c r="AF1033" s="77"/>
      <c r="AG1033" s="77"/>
      <c r="AH1033" s="77"/>
    </row>
    <row r="1034" spans="11:34">
      <c r="K1034" s="273"/>
      <c r="S1034" s="273"/>
      <c r="T1034" s="273"/>
      <c r="U1034" s="273"/>
      <c r="W1034" s="77"/>
      <c r="X1034" s="77"/>
      <c r="Y1034" s="77"/>
      <c r="Z1034" s="77"/>
      <c r="AA1034" s="77"/>
      <c r="AB1034" s="77"/>
      <c r="AC1034" s="77"/>
      <c r="AD1034" s="77"/>
      <c r="AE1034" s="77"/>
      <c r="AF1034" s="77"/>
      <c r="AG1034" s="77"/>
      <c r="AH1034" s="77"/>
    </row>
    <row r="1035" spans="11:34">
      <c r="K1035" s="273"/>
      <c r="S1035" s="273"/>
      <c r="T1035" s="273"/>
      <c r="U1035" s="273"/>
      <c r="W1035" s="77"/>
      <c r="X1035" s="77"/>
      <c r="Y1035" s="77"/>
      <c r="Z1035" s="77"/>
      <c r="AA1035" s="77"/>
      <c r="AB1035" s="77"/>
      <c r="AC1035" s="77"/>
      <c r="AD1035" s="77"/>
      <c r="AE1035" s="77"/>
      <c r="AF1035" s="77"/>
      <c r="AG1035" s="77"/>
      <c r="AH1035" s="77"/>
    </row>
    <row r="1036" spans="11:34">
      <c r="K1036" s="273"/>
      <c r="S1036" s="273"/>
      <c r="T1036" s="273"/>
      <c r="U1036" s="273"/>
      <c r="W1036" s="77"/>
      <c r="X1036" s="77"/>
      <c r="Y1036" s="77"/>
      <c r="Z1036" s="77"/>
      <c r="AA1036" s="77"/>
      <c r="AB1036" s="77"/>
      <c r="AC1036" s="77"/>
      <c r="AD1036" s="77"/>
      <c r="AE1036" s="77"/>
      <c r="AF1036" s="77"/>
      <c r="AG1036" s="77"/>
      <c r="AH1036" s="77"/>
    </row>
    <row r="1037" spans="11:34">
      <c r="K1037" s="273"/>
      <c r="S1037" s="273"/>
      <c r="T1037" s="273"/>
      <c r="U1037" s="273"/>
      <c r="W1037" s="77"/>
      <c r="X1037" s="77"/>
      <c r="Y1037" s="77"/>
      <c r="Z1037" s="77"/>
      <c r="AA1037" s="77"/>
      <c r="AB1037" s="77"/>
      <c r="AC1037" s="77"/>
      <c r="AD1037" s="77"/>
      <c r="AE1037" s="77"/>
      <c r="AF1037" s="77"/>
      <c r="AG1037" s="77"/>
      <c r="AH1037" s="77"/>
    </row>
    <row r="1038" spans="11:34">
      <c r="K1038" s="273"/>
      <c r="S1038" s="273"/>
      <c r="T1038" s="273"/>
      <c r="U1038" s="273"/>
      <c r="W1038" s="77"/>
      <c r="X1038" s="77"/>
      <c r="Y1038" s="77"/>
      <c r="Z1038" s="77"/>
      <c r="AA1038" s="77"/>
      <c r="AB1038" s="77"/>
      <c r="AC1038" s="77"/>
      <c r="AD1038" s="77"/>
      <c r="AE1038" s="77"/>
      <c r="AF1038" s="77"/>
      <c r="AG1038" s="77"/>
      <c r="AH1038" s="77"/>
    </row>
    <row r="1039" spans="11:34">
      <c r="K1039" s="273"/>
      <c r="S1039" s="273"/>
      <c r="T1039" s="273"/>
      <c r="U1039" s="273"/>
      <c r="W1039" s="77"/>
      <c r="X1039" s="77"/>
      <c r="Y1039" s="77"/>
      <c r="Z1039" s="77"/>
      <c r="AA1039" s="77"/>
      <c r="AB1039" s="77"/>
      <c r="AC1039" s="77"/>
      <c r="AD1039" s="77"/>
      <c r="AE1039" s="77"/>
      <c r="AF1039" s="77"/>
      <c r="AG1039" s="77"/>
      <c r="AH1039" s="77"/>
    </row>
    <row r="1040" spans="11:34">
      <c r="K1040" s="273"/>
      <c r="S1040" s="273"/>
      <c r="T1040" s="273"/>
      <c r="U1040" s="273"/>
      <c r="W1040" s="77"/>
      <c r="X1040" s="77"/>
      <c r="Y1040" s="77"/>
      <c r="Z1040" s="77"/>
      <c r="AA1040" s="77"/>
      <c r="AB1040" s="77"/>
      <c r="AC1040" s="77"/>
      <c r="AD1040" s="77"/>
      <c r="AE1040" s="77"/>
      <c r="AF1040" s="77"/>
      <c r="AG1040" s="77"/>
      <c r="AH1040" s="77"/>
    </row>
    <row r="1041" spans="11:34">
      <c r="K1041" s="273"/>
      <c r="S1041" s="273"/>
      <c r="T1041" s="273"/>
      <c r="U1041" s="273"/>
      <c r="W1041" s="77"/>
      <c r="X1041" s="77"/>
      <c r="Y1041" s="77"/>
      <c r="Z1041" s="77"/>
      <c r="AA1041" s="77"/>
      <c r="AB1041" s="77"/>
      <c r="AC1041" s="77"/>
      <c r="AD1041" s="77"/>
      <c r="AE1041" s="77"/>
      <c r="AF1041" s="77"/>
      <c r="AG1041" s="77"/>
      <c r="AH1041" s="77"/>
    </row>
    <row r="1042" spans="11:34">
      <c r="K1042" s="273"/>
      <c r="S1042" s="273"/>
      <c r="T1042" s="273"/>
      <c r="U1042" s="273"/>
      <c r="W1042" s="77"/>
      <c r="X1042" s="77"/>
      <c r="Y1042" s="77"/>
      <c r="Z1042" s="77"/>
      <c r="AA1042" s="77"/>
      <c r="AB1042" s="77"/>
      <c r="AC1042" s="77"/>
      <c r="AD1042" s="77"/>
      <c r="AE1042" s="77"/>
      <c r="AF1042" s="77"/>
      <c r="AG1042" s="77"/>
      <c r="AH1042" s="77"/>
    </row>
    <row r="1043" spans="11:34">
      <c r="K1043" s="273"/>
      <c r="S1043" s="273"/>
      <c r="T1043" s="273"/>
      <c r="U1043" s="273"/>
      <c r="W1043" s="77"/>
      <c r="X1043" s="77"/>
      <c r="Y1043" s="77"/>
      <c r="Z1043" s="77"/>
      <c r="AA1043" s="77"/>
      <c r="AB1043" s="77"/>
      <c r="AC1043" s="77"/>
      <c r="AD1043" s="77"/>
      <c r="AE1043" s="77"/>
      <c r="AF1043" s="77"/>
      <c r="AG1043" s="77"/>
      <c r="AH1043" s="77"/>
    </row>
    <row r="1044" spans="11:34">
      <c r="K1044" s="273"/>
      <c r="S1044" s="273"/>
      <c r="T1044" s="273"/>
      <c r="U1044" s="273"/>
      <c r="W1044" s="77"/>
      <c r="X1044" s="77"/>
      <c r="Y1044" s="77"/>
      <c r="Z1044" s="77"/>
      <c r="AA1044" s="77"/>
      <c r="AB1044" s="77"/>
      <c r="AC1044" s="77"/>
      <c r="AD1044" s="77"/>
      <c r="AE1044" s="77"/>
      <c r="AF1044" s="77"/>
      <c r="AG1044" s="77"/>
      <c r="AH1044" s="77"/>
    </row>
    <row r="1045" spans="11:34">
      <c r="K1045" s="273"/>
      <c r="S1045" s="273"/>
      <c r="T1045" s="273"/>
      <c r="U1045" s="273"/>
      <c r="W1045" s="77"/>
      <c r="X1045" s="77"/>
      <c r="Y1045" s="77"/>
      <c r="Z1045" s="77"/>
      <c r="AA1045" s="77"/>
      <c r="AB1045" s="77"/>
      <c r="AC1045" s="77"/>
      <c r="AD1045" s="77"/>
      <c r="AE1045" s="77"/>
      <c r="AF1045" s="77"/>
      <c r="AG1045" s="77"/>
      <c r="AH1045" s="77"/>
    </row>
    <row r="1046" spans="11:34">
      <c r="K1046" s="273"/>
      <c r="S1046" s="273"/>
      <c r="T1046" s="273"/>
      <c r="U1046" s="273"/>
      <c r="W1046" s="77"/>
      <c r="X1046" s="77"/>
      <c r="Y1046" s="77"/>
      <c r="Z1046" s="77"/>
      <c r="AA1046" s="77"/>
      <c r="AB1046" s="77"/>
      <c r="AC1046" s="77"/>
      <c r="AD1046" s="77"/>
      <c r="AE1046" s="77"/>
      <c r="AF1046" s="77"/>
      <c r="AG1046" s="77"/>
      <c r="AH1046" s="77"/>
    </row>
    <row r="1047" spans="11:34">
      <c r="K1047" s="273"/>
      <c r="S1047" s="273"/>
      <c r="T1047" s="273"/>
      <c r="U1047" s="273"/>
      <c r="W1047" s="77"/>
      <c r="X1047" s="77"/>
      <c r="Y1047" s="77"/>
      <c r="Z1047" s="77"/>
      <c r="AA1047" s="77"/>
      <c r="AB1047" s="77"/>
      <c r="AC1047" s="77"/>
      <c r="AD1047" s="77"/>
      <c r="AE1047" s="77"/>
      <c r="AF1047" s="77"/>
      <c r="AG1047" s="77"/>
      <c r="AH1047" s="77"/>
    </row>
    <row r="1048" spans="11:34">
      <c r="K1048" s="273"/>
      <c r="S1048" s="273"/>
      <c r="T1048" s="273"/>
      <c r="U1048" s="273"/>
      <c r="W1048" s="77"/>
      <c r="X1048" s="77"/>
      <c r="Y1048" s="77"/>
      <c r="Z1048" s="77"/>
      <c r="AA1048" s="77"/>
      <c r="AB1048" s="77"/>
      <c r="AC1048" s="77"/>
      <c r="AD1048" s="77"/>
      <c r="AE1048" s="77"/>
      <c r="AF1048" s="77"/>
      <c r="AG1048" s="77"/>
      <c r="AH1048" s="77"/>
    </row>
    <row r="1049" spans="11:34">
      <c r="K1049" s="273"/>
      <c r="S1049" s="273"/>
      <c r="T1049" s="273"/>
      <c r="U1049" s="273"/>
      <c r="W1049" s="77"/>
      <c r="X1049" s="77"/>
      <c r="Y1049" s="77"/>
      <c r="Z1049" s="77"/>
      <c r="AA1049" s="77"/>
      <c r="AB1049" s="77"/>
      <c r="AC1049" s="77"/>
      <c r="AD1049" s="77"/>
      <c r="AE1049" s="77"/>
      <c r="AF1049" s="77"/>
      <c r="AG1049" s="77"/>
      <c r="AH1049" s="77"/>
    </row>
    <row r="1050" spans="11:34">
      <c r="K1050" s="273"/>
      <c r="S1050" s="273"/>
      <c r="T1050" s="273"/>
      <c r="U1050" s="273"/>
      <c r="W1050" s="77"/>
      <c r="X1050" s="77"/>
      <c r="Y1050" s="77"/>
      <c r="Z1050" s="77"/>
      <c r="AA1050" s="77"/>
      <c r="AB1050" s="77"/>
      <c r="AC1050" s="77"/>
      <c r="AD1050" s="77"/>
      <c r="AE1050" s="77"/>
      <c r="AF1050" s="77"/>
      <c r="AG1050" s="77"/>
      <c r="AH1050" s="77"/>
    </row>
    <row r="1051" spans="11:34">
      <c r="K1051" s="273"/>
      <c r="S1051" s="273"/>
      <c r="T1051" s="273"/>
      <c r="U1051" s="273"/>
      <c r="W1051" s="77"/>
      <c r="X1051" s="77"/>
      <c r="Y1051" s="77"/>
      <c r="Z1051" s="77"/>
      <c r="AA1051" s="77"/>
      <c r="AB1051" s="77"/>
      <c r="AC1051" s="77"/>
      <c r="AD1051" s="77"/>
      <c r="AE1051" s="77"/>
      <c r="AF1051" s="77"/>
      <c r="AG1051" s="77"/>
      <c r="AH1051" s="77"/>
    </row>
    <row r="1052" spans="11:34">
      <c r="K1052" s="273"/>
      <c r="S1052" s="273"/>
      <c r="T1052" s="273"/>
      <c r="U1052" s="273"/>
      <c r="W1052" s="77"/>
      <c r="X1052" s="77"/>
      <c r="Y1052" s="77"/>
      <c r="Z1052" s="77"/>
      <c r="AA1052" s="77"/>
      <c r="AB1052" s="77"/>
      <c r="AC1052" s="77"/>
      <c r="AD1052" s="77"/>
      <c r="AE1052" s="77"/>
      <c r="AF1052" s="77"/>
      <c r="AG1052" s="77"/>
      <c r="AH1052" s="77"/>
    </row>
    <row r="1053" spans="11:34">
      <c r="K1053" s="273"/>
      <c r="S1053" s="273"/>
      <c r="T1053" s="273"/>
      <c r="U1053" s="273"/>
      <c r="W1053" s="77"/>
      <c r="X1053" s="77"/>
      <c r="Y1053" s="77"/>
      <c r="Z1053" s="77"/>
      <c r="AA1053" s="77"/>
      <c r="AB1053" s="77"/>
      <c r="AC1053" s="77"/>
      <c r="AD1053" s="77"/>
      <c r="AE1053" s="77"/>
      <c r="AF1053" s="77"/>
      <c r="AG1053" s="77"/>
      <c r="AH1053" s="77"/>
    </row>
    <row r="1054" spans="11:34">
      <c r="K1054" s="273"/>
      <c r="S1054" s="273"/>
      <c r="T1054" s="273"/>
      <c r="U1054" s="273"/>
      <c r="W1054" s="77"/>
      <c r="X1054" s="77"/>
      <c r="Y1054" s="77"/>
      <c r="Z1054" s="77"/>
      <c r="AA1054" s="77"/>
      <c r="AB1054" s="77"/>
      <c r="AC1054" s="77"/>
      <c r="AD1054" s="77"/>
      <c r="AE1054" s="77"/>
      <c r="AF1054" s="77"/>
      <c r="AG1054" s="77"/>
      <c r="AH1054" s="77"/>
    </row>
    <row r="1055" spans="11:34">
      <c r="K1055" s="273"/>
      <c r="S1055" s="273"/>
      <c r="T1055" s="273"/>
      <c r="U1055" s="273"/>
      <c r="W1055" s="77"/>
      <c r="X1055" s="77"/>
      <c r="Y1055" s="77"/>
      <c r="Z1055" s="77"/>
      <c r="AA1055" s="77"/>
      <c r="AB1055" s="77"/>
      <c r="AC1055" s="77"/>
      <c r="AD1055" s="77"/>
      <c r="AE1055" s="77"/>
      <c r="AF1055" s="77"/>
      <c r="AG1055" s="77"/>
      <c r="AH1055" s="77"/>
    </row>
    <row r="1056" spans="11:34">
      <c r="K1056" s="273"/>
      <c r="S1056" s="273"/>
      <c r="T1056" s="273"/>
      <c r="U1056" s="273"/>
      <c r="W1056" s="77"/>
      <c r="X1056" s="77"/>
      <c r="Y1056" s="77"/>
      <c r="Z1056" s="77"/>
      <c r="AA1056" s="77"/>
      <c r="AB1056" s="77"/>
      <c r="AC1056" s="77"/>
      <c r="AD1056" s="77"/>
      <c r="AE1056" s="77"/>
      <c r="AF1056" s="77"/>
      <c r="AG1056" s="77"/>
      <c r="AH1056" s="77"/>
    </row>
    <row r="1057" spans="11:34">
      <c r="K1057" s="273"/>
      <c r="S1057" s="273"/>
      <c r="T1057" s="273"/>
      <c r="U1057" s="273"/>
      <c r="W1057" s="77"/>
      <c r="X1057" s="77"/>
      <c r="Y1057" s="77"/>
      <c r="Z1057" s="77"/>
      <c r="AA1057" s="77"/>
      <c r="AB1057" s="77"/>
      <c r="AC1057" s="77"/>
      <c r="AD1057" s="77"/>
      <c r="AE1057" s="77"/>
      <c r="AF1057" s="77"/>
      <c r="AG1057" s="77"/>
      <c r="AH1057" s="77"/>
    </row>
    <row r="1058" spans="11:34">
      <c r="K1058" s="273"/>
      <c r="S1058" s="273"/>
      <c r="T1058" s="273"/>
      <c r="U1058" s="273"/>
      <c r="W1058" s="77"/>
      <c r="X1058" s="77"/>
      <c r="Y1058" s="77"/>
      <c r="Z1058" s="77"/>
      <c r="AA1058" s="77"/>
      <c r="AB1058" s="77"/>
      <c r="AC1058" s="77"/>
      <c r="AD1058" s="77"/>
      <c r="AE1058" s="77"/>
      <c r="AF1058" s="77"/>
      <c r="AG1058" s="77"/>
      <c r="AH1058" s="77"/>
    </row>
    <row r="1059" spans="11:34">
      <c r="K1059" s="273"/>
      <c r="S1059" s="273"/>
      <c r="T1059" s="273"/>
      <c r="U1059" s="273"/>
      <c r="W1059" s="77"/>
      <c r="X1059" s="77"/>
      <c r="Y1059" s="77"/>
      <c r="Z1059" s="77"/>
      <c r="AA1059" s="77"/>
      <c r="AB1059" s="77"/>
      <c r="AC1059" s="77"/>
      <c r="AD1059" s="77"/>
      <c r="AE1059" s="77"/>
      <c r="AF1059" s="77"/>
      <c r="AG1059" s="77"/>
      <c r="AH1059" s="77"/>
    </row>
    <row r="1060" spans="11:34">
      <c r="K1060" s="273"/>
      <c r="S1060" s="273"/>
      <c r="T1060" s="273"/>
      <c r="U1060" s="273"/>
      <c r="W1060" s="77"/>
      <c r="X1060" s="77"/>
      <c r="Y1060" s="77"/>
      <c r="Z1060" s="77"/>
      <c r="AA1060" s="77"/>
      <c r="AB1060" s="77"/>
      <c r="AC1060" s="77"/>
      <c r="AD1060" s="77"/>
      <c r="AE1060" s="77"/>
      <c r="AF1060" s="77"/>
      <c r="AG1060" s="77"/>
      <c r="AH1060" s="77"/>
    </row>
    <row r="1061" spans="11:34">
      <c r="K1061" s="273"/>
      <c r="S1061" s="273"/>
      <c r="T1061" s="273"/>
      <c r="U1061" s="273"/>
      <c r="W1061" s="77"/>
      <c r="X1061" s="77"/>
      <c r="Y1061" s="77"/>
      <c r="Z1061" s="77"/>
      <c r="AA1061" s="77"/>
      <c r="AB1061" s="77"/>
      <c r="AC1061" s="77"/>
      <c r="AD1061" s="77"/>
      <c r="AE1061" s="77"/>
      <c r="AF1061" s="77"/>
      <c r="AG1061" s="77"/>
      <c r="AH1061" s="77"/>
    </row>
    <row r="1062" spans="11:34">
      <c r="K1062" s="273"/>
      <c r="S1062" s="273"/>
      <c r="T1062" s="273"/>
      <c r="U1062" s="273"/>
      <c r="W1062" s="77"/>
      <c r="X1062" s="77"/>
      <c r="Y1062" s="77"/>
      <c r="Z1062" s="77"/>
      <c r="AA1062" s="77"/>
      <c r="AB1062" s="77"/>
      <c r="AC1062" s="77"/>
      <c r="AD1062" s="77"/>
      <c r="AE1062" s="77"/>
      <c r="AF1062" s="77"/>
      <c r="AG1062" s="77"/>
      <c r="AH1062" s="77"/>
    </row>
    <row r="1063" spans="11:34">
      <c r="K1063" s="273"/>
      <c r="S1063" s="273"/>
      <c r="T1063" s="273"/>
      <c r="U1063" s="273"/>
      <c r="W1063" s="77"/>
      <c r="X1063" s="77"/>
      <c r="Y1063" s="77"/>
      <c r="Z1063" s="77"/>
      <c r="AA1063" s="77"/>
      <c r="AB1063" s="77"/>
      <c r="AC1063" s="77"/>
      <c r="AD1063" s="77"/>
      <c r="AE1063" s="77"/>
      <c r="AF1063" s="77"/>
      <c r="AG1063" s="77"/>
      <c r="AH1063" s="77"/>
    </row>
    <row r="1064" spans="11:34">
      <c r="K1064" s="273"/>
      <c r="S1064" s="273"/>
      <c r="T1064" s="273"/>
      <c r="U1064" s="273"/>
      <c r="W1064" s="77"/>
      <c r="X1064" s="77"/>
      <c r="Y1064" s="77"/>
      <c r="Z1064" s="77"/>
      <c r="AA1064" s="77"/>
      <c r="AB1064" s="77"/>
      <c r="AC1064" s="77"/>
      <c r="AD1064" s="77"/>
      <c r="AE1064" s="77"/>
      <c r="AF1064" s="77"/>
      <c r="AG1064" s="77"/>
      <c r="AH1064" s="77"/>
    </row>
    <row r="1065" spans="11:34">
      <c r="K1065" s="273"/>
      <c r="S1065" s="273"/>
      <c r="T1065" s="273"/>
      <c r="U1065" s="273"/>
      <c r="W1065" s="77"/>
      <c r="X1065" s="77"/>
      <c r="Y1065" s="77"/>
      <c r="Z1065" s="77"/>
      <c r="AA1065" s="77"/>
      <c r="AB1065" s="77"/>
      <c r="AC1065" s="77"/>
      <c r="AD1065" s="77"/>
      <c r="AE1065" s="77"/>
      <c r="AF1065" s="77"/>
      <c r="AG1065" s="77"/>
      <c r="AH1065" s="77"/>
    </row>
    <row r="1066" spans="11:34">
      <c r="K1066" s="273"/>
      <c r="S1066" s="273"/>
      <c r="T1066" s="273"/>
      <c r="U1066" s="273"/>
      <c r="W1066" s="77"/>
      <c r="X1066" s="77"/>
      <c r="Y1066" s="77"/>
      <c r="Z1066" s="77"/>
      <c r="AA1066" s="77"/>
      <c r="AB1066" s="77"/>
      <c r="AC1066" s="77"/>
      <c r="AD1066" s="77"/>
      <c r="AE1066" s="77"/>
      <c r="AF1066" s="77"/>
      <c r="AG1066" s="77"/>
      <c r="AH1066" s="77"/>
    </row>
    <row r="1067" spans="11:34">
      <c r="K1067" s="273"/>
      <c r="S1067" s="273"/>
      <c r="T1067" s="273"/>
      <c r="U1067" s="273"/>
      <c r="W1067" s="77"/>
      <c r="X1067" s="77"/>
      <c r="Y1067" s="77"/>
      <c r="Z1067" s="77"/>
      <c r="AA1067" s="77"/>
      <c r="AB1067" s="77"/>
      <c r="AC1067" s="77"/>
      <c r="AD1067" s="77"/>
      <c r="AE1067" s="77"/>
      <c r="AF1067" s="77"/>
      <c r="AG1067" s="77"/>
      <c r="AH1067" s="77"/>
    </row>
    <row r="1068" spans="11:34">
      <c r="K1068" s="273"/>
      <c r="S1068" s="273"/>
      <c r="T1068" s="273"/>
      <c r="U1068" s="273"/>
      <c r="W1068" s="77"/>
      <c r="X1068" s="77"/>
      <c r="Y1068" s="77"/>
      <c r="Z1068" s="77"/>
      <c r="AA1068" s="77"/>
      <c r="AB1068" s="77"/>
      <c r="AC1068" s="77"/>
      <c r="AD1068" s="77"/>
      <c r="AE1068" s="77"/>
      <c r="AF1068" s="77"/>
      <c r="AG1068" s="77"/>
      <c r="AH1068" s="77"/>
    </row>
    <row r="1069" spans="11:34">
      <c r="K1069" s="273"/>
      <c r="S1069" s="273"/>
      <c r="T1069" s="273"/>
      <c r="U1069" s="273"/>
      <c r="W1069" s="77"/>
      <c r="X1069" s="77"/>
      <c r="Y1069" s="77"/>
      <c r="Z1069" s="77"/>
      <c r="AA1069" s="77"/>
      <c r="AB1069" s="77"/>
      <c r="AC1069" s="77"/>
      <c r="AD1069" s="77"/>
      <c r="AE1069" s="77"/>
      <c r="AF1069" s="77"/>
      <c r="AG1069" s="77"/>
      <c r="AH1069" s="77"/>
    </row>
    <row r="1070" spans="11:34">
      <c r="K1070" s="273"/>
      <c r="S1070" s="273"/>
      <c r="T1070" s="273"/>
      <c r="U1070" s="273"/>
      <c r="W1070" s="77"/>
      <c r="X1070" s="77"/>
      <c r="Y1070" s="77"/>
      <c r="Z1070" s="77"/>
      <c r="AA1070" s="77"/>
      <c r="AB1070" s="77"/>
      <c r="AC1070" s="77"/>
      <c r="AD1070" s="77"/>
      <c r="AE1070" s="77"/>
      <c r="AF1070" s="77"/>
      <c r="AG1070" s="77"/>
      <c r="AH1070" s="77"/>
    </row>
    <row r="1071" spans="11:34">
      <c r="K1071" s="273"/>
      <c r="S1071" s="273"/>
      <c r="T1071" s="273"/>
      <c r="U1071" s="273"/>
      <c r="W1071" s="77"/>
      <c r="X1071" s="77"/>
      <c r="Y1071" s="77"/>
      <c r="Z1071" s="77"/>
      <c r="AA1071" s="77"/>
      <c r="AB1071" s="77"/>
      <c r="AC1071" s="77"/>
      <c r="AD1071" s="77"/>
      <c r="AE1071" s="77"/>
      <c r="AF1071" s="77"/>
      <c r="AG1071" s="77"/>
      <c r="AH1071" s="77"/>
    </row>
    <row r="1072" spans="11:34">
      <c r="K1072" s="273"/>
      <c r="S1072" s="273"/>
      <c r="T1072" s="273"/>
      <c r="U1072" s="273"/>
      <c r="W1072" s="77"/>
      <c r="X1072" s="77"/>
      <c r="Y1072" s="77"/>
      <c r="Z1072" s="77"/>
      <c r="AA1072" s="77"/>
      <c r="AB1072" s="77"/>
      <c r="AC1072" s="77"/>
      <c r="AD1072" s="77"/>
      <c r="AE1072" s="77"/>
      <c r="AF1072" s="77"/>
      <c r="AG1072" s="77"/>
      <c r="AH1072" s="77"/>
    </row>
    <row r="1073" spans="11:34">
      <c r="K1073" s="273"/>
      <c r="S1073" s="273"/>
      <c r="T1073" s="273"/>
      <c r="U1073" s="273"/>
      <c r="W1073" s="77"/>
      <c r="X1073" s="77"/>
      <c r="Y1073" s="77"/>
      <c r="Z1073" s="77"/>
      <c r="AA1073" s="77"/>
      <c r="AB1073" s="77"/>
      <c r="AC1073" s="77"/>
      <c r="AD1073" s="77"/>
      <c r="AE1073" s="77"/>
      <c r="AF1073" s="77"/>
      <c r="AG1073" s="77"/>
      <c r="AH1073" s="77"/>
    </row>
    <row r="1074" spans="11:34">
      <c r="K1074" s="273"/>
      <c r="S1074" s="273"/>
      <c r="T1074" s="273"/>
      <c r="U1074" s="273"/>
      <c r="W1074" s="77"/>
      <c r="X1074" s="77"/>
      <c r="Y1074" s="77"/>
      <c r="Z1074" s="77"/>
      <c r="AA1074" s="77"/>
      <c r="AB1074" s="77"/>
      <c r="AC1074" s="77"/>
      <c r="AD1074" s="77"/>
      <c r="AE1074" s="77"/>
      <c r="AF1074" s="77"/>
      <c r="AG1074" s="77"/>
      <c r="AH1074" s="77"/>
    </row>
    <row r="1075" spans="11:34">
      <c r="K1075" s="273"/>
      <c r="S1075" s="273"/>
      <c r="T1075" s="273"/>
      <c r="U1075" s="273"/>
      <c r="W1075" s="77"/>
      <c r="X1075" s="77"/>
      <c r="Y1075" s="77"/>
      <c r="Z1075" s="77"/>
      <c r="AA1075" s="77"/>
      <c r="AB1075" s="77"/>
      <c r="AC1075" s="77"/>
      <c r="AD1075" s="77"/>
      <c r="AE1075" s="77"/>
      <c r="AF1075" s="77"/>
      <c r="AG1075" s="77"/>
      <c r="AH1075" s="77"/>
    </row>
    <row r="1076" spans="11:34">
      <c r="K1076" s="273"/>
      <c r="S1076" s="273"/>
      <c r="T1076" s="273"/>
      <c r="U1076" s="273"/>
      <c r="W1076" s="77"/>
      <c r="X1076" s="77"/>
      <c r="Y1076" s="77"/>
      <c r="Z1076" s="77"/>
      <c r="AA1076" s="77"/>
      <c r="AB1076" s="77"/>
      <c r="AC1076" s="77"/>
      <c r="AD1076" s="77"/>
      <c r="AE1076" s="77"/>
      <c r="AF1076" s="77"/>
      <c r="AG1076" s="77"/>
      <c r="AH1076" s="77"/>
    </row>
    <row r="1077" spans="11:34">
      <c r="K1077" s="273"/>
      <c r="S1077" s="273"/>
      <c r="T1077" s="273"/>
      <c r="U1077" s="273"/>
      <c r="W1077" s="77"/>
      <c r="X1077" s="77"/>
      <c r="Y1077" s="77"/>
      <c r="Z1077" s="77"/>
      <c r="AA1077" s="77"/>
      <c r="AB1077" s="77"/>
      <c r="AC1077" s="77"/>
      <c r="AD1077" s="77"/>
      <c r="AE1077" s="77"/>
      <c r="AF1077" s="77"/>
      <c r="AG1077" s="77"/>
      <c r="AH1077" s="77"/>
    </row>
    <row r="1078" spans="11:34">
      <c r="K1078" s="273"/>
      <c r="S1078" s="273"/>
      <c r="T1078" s="273"/>
      <c r="U1078" s="273"/>
      <c r="W1078" s="77"/>
      <c r="X1078" s="77"/>
      <c r="Y1078" s="77"/>
      <c r="Z1078" s="77"/>
      <c r="AA1078" s="77"/>
      <c r="AB1078" s="77"/>
      <c r="AC1078" s="77"/>
      <c r="AD1078" s="77"/>
      <c r="AE1078" s="77"/>
      <c r="AF1078" s="77"/>
      <c r="AG1078" s="77"/>
      <c r="AH1078" s="77"/>
    </row>
    <row r="1079" spans="11:34">
      <c r="K1079" s="273"/>
      <c r="S1079" s="273"/>
      <c r="T1079" s="273"/>
      <c r="U1079" s="273"/>
      <c r="W1079" s="77"/>
      <c r="X1079" s="77"/>
      <c r="Y1079" s="77"/>
      <c r="Z1079" s="77"/>
      <c r="AA1079" s="77"/>
      <c r="AB1079" s="77"/>
      <c r="AC1079" s="77"/>
      <c r="AD1079" s="77"/>
      <c r="AE1079" s="77"/>
      <c r="AF1079" s="77"/>
      <c r="AG1079" s="77"/>
      <c r="AH1079" s="77"/>
    </row>
    <row r="1080" spans="11:34">
      <c r="K1080" s="273"/>
      <c r="S1080" s="273"/>
      <c r="T1080" s="273"/>
      <c r="U1080" s="273"/>
      <c r="W1080" s="77"/>
      <c r="X1080" s="77"/>
      <c r="Y1080" s="77"/>
      <c r="Z1080" s="77"/>
      <c r="AA1080" s="77"/>
      <c r="AB1080" s="77"/>
      <c r="AC1080" s="77"/>
      <c r="AD1080" s="77"/>
      <c r="AE1080" s="77"/>
      <c r="AF1080" s="77"/>
      <c r="AG1080" s="77"/>
      <c r="AH1080" s="77"/>
    </row>
    <row r="1081" spans="11:34">
      <c r="K1081" s="273"/>
      <c r="S1081" s="273"/>
      <c r="T1081" s="273"/>
      <c r="U1081" s="273"/>
      <c r="W1081" s="77"/>
      <c r="X1081" s="77"/>
      <c r="Y1081" s="77"/>
      <c r="Z1081" s="77"/>
      <c r="AA1081" s="77"/>
      <c r="AB1081" s="77"/>
      <c r="AC1081" s="77"/>
      <c r="AD1081" s="77"/>
      <c r="AE1081" s="77"/>
      <c r="AF1081" s="77"/>
      <c r="AG1081" s="77"/>
      <c r="AH1081" s="77"/>
    </row>
    <row r="1082" spans="11:34">
      <c r="K1082" s="273"/>
      <c r="S1082" s="273"/>
      <c r="T1082" s="273"/>
      <c r="U1082" s="273"/>
      <c r="W1082" s="77"/>
      <c r="X1082" s="77"/>
      <c r="Y1082" s="77"/>
      <c r="Z1082" s="77"/>
      <c r="AA1082" s="77"/>
      <c r="AB1082" s="77"/>
      <c r="AC1082" s="77"/>
      <c r="AD1082" s="77"/>
      <c r="AE1082" s="77"/>
      <c r="AF1082" s="77"/>
      <c r="AG1082" s="77"/>
      <c r="AH1082" s="77"/>
    </row>
    <row r="1083" spans="11:34">
      <c r="K1083" s="273"/>
      <c r="S1083" s="273"/>
      <c r="T1083" s="273"/>
      <c r="U1083" s="273"/>
      <c r="W1083" s="77"/>
      <c r="X1083" s="77"/>
      <c r="Y1083" s="77"/>
      <c r="Z1083" s="77"/>
      <c r="AA1083" s="77"/>
      <c r="AB1083" s="77"/>
      <c r="AC1083" s="77"/>
      <c r="AD1083" s="77"/>
      <c r="AE1083" s="77"/>
      <c r="AF1083" s="77"/>
      <c r="AG1083" s="77"/>
      <c r="AH1083" s="77"/>
    </row>
    <row r="1084" spans="11:34">
      <c r="K1084" s="273"/>
      <c r="S1084" s="273"/>
      <c r="T1084" s="273"/>
      <c r="U1084" s="273"/>
      <c r="W1084" s="77"/>
      <c r="X1084" s="77"/>
      <c r="Y1084" s="77"/>
      <c r="Z1084" s="77"/>
      <c r="AA1084" s="77"/>
      <c r="AB1084" s="77"/>
      <c r="AC1084" s="77"/>
      <c r="AD1084" s="77"/>
      <c r="AE1084" s="77"/>
      <c r="AF1084" s="77"/>
      <c r="AG1084" s="77"/>
      <c r="AH1084" s="77"/>
    </row>
    <row r="1085" spans="11:34">
      <c r="K1085" s="273"/>
      <c r="S1085" s="273"/>
      <c r="T1085" s="273"/>
      <c r="U1085" s="273"/>
      <c r="W1085" s="77"/>
      <c r="X1085" s="77"/>
      <c r="Y1085" s="77"/>
      <c r="Z1085" s="77"/>
      <c r="AA1085" s="77"/>
      <c r="AB1085" s="77"/>
      <c r="AC1085" s="77"/>
      <c r="AD1085" s="77"/>
      <c r="AE1085" s="77"/>
      <c r="AF1085" s="77"/>
      <c r="AG1085" s="77"/>
      <c r="AH1085" s="77"/>
    </row>
    <row r="1086" spans="11:34">
      <c r="K1086" s="273"/>
      <c r="S1086" s="273"/>
      <c r="T1086" s="273"/>
      <c r="U1086" s="273"/>
      <c r="W1086" s="77"/>
      <c r="X1086" s="77"/>
      <c r="Y1086" s="77"/>
      <c r="Z1086" s="77"/>
      <c r="AA1086" s="77"/>
      <c r="AB1086" s="77"/>
      <c r="AC1086" s="77"/>
      <c r="AD1086" s="77"/>
      <c r="AE1086" s="77"/>
      <c r="AF1086" s="77"/>
      <c r="AG1086" s="77"/>
      <c r="AH1086" s="77"/>
    </row>
    <row r="1087" spans="11:34">
      <c r="K1087" s="273"/>
      <c r="S1087" s="273"/>
      <c r="T1087" s="273"/>
      <c r="U1087" s="273"/>
      <c r="W1087" s="77"/>
      <c r="X1087" s="77"/>
      <c r="Y1087" s="77"/>
      <c r="Z1087" s="77"/>
      <c r="AA1087" s="77"/>
      <c r="AB1087" s="77"/>
      <c r="AC1087" s="77"/>
      <c r="AD1087" s="77"/>
      <c r="AE1087" s="77"/>
      <c r="AF1087" s="77"/>
      <c r="AG1087" s="77"/>
      <c r="AH1087" s="77"/>
    </row>
    <row r="1088" spans="11:34">
      <c r="K1088" s="273"/>
      <c r="S1088" s="273"/>
      <c r="T1088" s="273"/>
      <c r="U1088" s="273"/>
      <c r="W1088" s="77"/>
      <c r="X1088" s="77"/>
      <c r="Y1088" s="77"/>
      <c r="Z1088" s="77"/>
      <c r="AA1088" s="77"/>
      <c r="AB1088" s="77"/>
      <c r="AC1088" s="77"/>
      <c r="AD1088" s="77"/>
      <c r="AE1088" s="77"/>
      <c r="AF1088" s="77"/>
      <c r="AG1088" s="77"/>
      <c r="AH1088" s="77"/>
    </row>
    <row r="1089" spans="11:34">
      <c r="K1089" s="273"/>
      <c r="S1089" s="273"/>
      <c r="T1089" s="273"/>
      <c r="U1089" s="273"/>
      <c r="W1089" s="77"/>
      <c r="X1089" s="77"/>
      <c r="Y1089" s="77"/>
      <c r="Z1089" s="77"/>
      <c r="AA1089" s="77"/>
      <c r="AB1089" s="77"/>
      <c r="AC1089" s="77"/>
      <c r="AD1089" s="77"/>
      <c r="AE1089" s="77"/>
      <c r="AF1089" s="77"/>
      <c r="AG1089" s="77"/>
      <c r="AH1089" s="77"/>
    </row>
    <row r="1090" spans="11:34">
      <c r="K1090" s="273"/>
      <c r="S1090" s="273"/>
      <c r="T1090" s="273"/>
      <c r="U1090" s="273"/>
      <c r="W1090" s="77"/>
      <c r="X1090" s="77"/>
      <c r="Y1090" s="77"/>
      <c r="Z1090" s="77"/>
      <c r="AA1090" s="77"/>
      <c r="AB1090" s="77"/>
      <c r="AC1090" s="77"/>
      <c r="AD1090" s="77"/>
      <c r="AE1090" s="77"/>
      <c r="AF1090" s="77"/>
      <c r="AG1090" s="77"/>
      <c r="AH1090" s="77"/>
    </row>
    <row r="1091" spans="11:34">
      <c r="K1091" s="273"/>
      <c r="S1091" s="273"/>
      <c r="T1091" s="273"/>
      <c r="U1091" s="273"/>
      <c r="W1091" s="77"/>
      <c r="X1091" s="77"/>
      <c r="Y1091" s="77"/>
      <c r="Z1091" s="77"/>
      <c r="AA1091" s="77"/>
      <c r="AB1091" s="77"/>
      <c r="AC1091" s="77"/>
      <c r="AD1091" s="77"/>
      <c r="AE1091" s="77"/>
      <c r="AF1091" s="77"/>
      <c r="AG1091" s="77"/>
      <c r="AH1091" s="77"/>
    </row>
    <row r="1092" spans="11:34">
      <c r="K1092" s="273"/>
      <c r="S1092" s="273"/>
      <c r="T1092" s="273"/>
      <c r="U1092" s="273"/>
      <c r="W1092" s="77"/>
      <c r="X1092" s="77"/>
      <c r="Y1092" s="77"/>
      <c r="Z1092" s="77"/>
      <c r="AA1092" s="77"/>
      <c r="AB1092" s="77"/>
      <c r="AC1092" s="77"/>
      <c r="AD1092" s="77"/>
      <c r="AE1092" s="77"/>
      <c r="AF1092" s="77"/>
      <c r="AG1092" s="77"/>
      <c r="AH1092" s="77"/>
    </row>
    <row r="1093" spans="11:34">
      <c r="K1093" s="273"/>
      <c r="S1093" s="273"/>
      <c r="T1093" s="273"/>
      <c r="U1093" s="273"/>
      <c r="W1093" s="77"/>
      <c r="X1093" s="77"/>
      <c r="Y1093" s="77"/>
      <c r="Z1093" s="77"/>
      <c r="AA1093" s="77"/>
      <c r="AB1093" s="77"/>
      <c r="AC1093" s="77"/>
      <c r="AD1093" s="77"/>
      <c r="AE1093" s="77"/>
      <c r="AF1093" s="77"/>
      <c r="AG1093" s="77"/>
      <c r="AH1093" s="77"/>
    </row>
    <row r="1094" spans="11:34">
      <c r="K1094" s="273"/>
      <c r="S1094" s="273"/>
      <c r="T1094" s="273"/>
      <c r="U1094" s="273"/>
      <c r="W1094" s="77"/>
      <c r="X1094" s="77"/>
      <c r="Y1094" s="77"/>
      <c r="Z1094" s="77"/>
      <c r="AA1094" s="77"/>
      <c r="AB1094" s="77"/>
      <c r="AC1094" s="77"/>
      <c r="AD1094" s="77"/>
      <c r="AE1094" s="77"/>
      <c r="AF1094" s="77"/>
      <c r="AG1094" s="77"/>
      <c r="AH1094" s="77"/>
    </row>
    <row r="1095" spans="11:34">
      <c r="K1095" s="273"/>
      <c r="S1095" s="273"/>
      <c r="T1095" s="273"/>
      <c r="U1095" s="273"/>
      <c r="W1095" s="77"/>
      <c r="X1095" s="77"/>
      <c r="Y1095" s="77"/>
      <c r="Z1095" s="77"/>
      <c r="AA1095" s="77"/>
      <c r="AB1095" s="77"/>
      <c r="AC1095" s="77"/>
      <c r="AD1095" s="77"/>
      <c r="AE1095" s="77"/>
      <c r="AF1095" s="77"/>
      <c r="AG1095" s="77"/>
      <c r="AH1095" s="77"/>
    </row>
    <row r="1096" spans="11:34">
      <c r="K1096" s="273"/>
      <c r="S1096" s="273"/>
      <c r="T1096" s="273"/>
      <c r="U1096" s="273"/>
      <c r="W1096" s="77"/>
      <c r="X1096" s="77"/>
      <c r="Y1096" s="77"/>
      <c r="Z1096" s="77"/>
      <c r="AA1096" s="77"/>
      <c r="AB1096" s="77"/>
      <c r="AC1096" s="77"/>
      <c r="AD1096" s="77"/>
      <c r="AE1096" s="77"/>
      <c r="AF1096" s="77"/>
      <c r="AG1096" s="77"/>
      <c r="AH1096" s="77"/>
    </row>
    <row r="1097" spans="11:34">
      <c r="K1097" s="273"/>
      <c r="S1097" s="273"/>
      <c r="T1097" s="273"/>
      <c r="U1097" s="273"/>
      <c r="W1097" s="77"/>
      <c r="X1097" s="77"/>
      <c r="Y1097" s="77"/>
      <c r="Z1097" s="77"/>
      <c r="AA1097" s="77"/>
      <c r="AB1097" s="77"/>
      <c r="AC1097" s="77"/>
      <c r="AD1097" s="77"/>
      <c r="AE1097" s="77"/>
      <c r="AF1097" s="77"/>
      <c r="AG1097" s="77"/>
      <c r="AH1097" s="77"/>
    </row>
    <row r="1098" spans="11:34">
      <c r="K1098" s="273"/>
      <c r="S1098" s="273"/>
      <c r="T1098" s="273"/>
      <c r="U1098" s="273"/>
      <c r="W1098" s="77"/>
      <c r="X1098" s="77"/>
      <c r="Y1098" s="77"/>
      <c r="Z1098" s="77"/>
      <c r="AA1098" s="77"/>
      <c r="AB1098" s="77"/>
      <c r="AC1098" s="77"/>
      <c r="AD1098" s="77"/>
      <c r="AE1098" s="77"/>
      <c r="AF1098" s="77"/>
      <c r="AG1098" s="77"/>
      <c r="AH1098" s="77"/>
    </row>
    <row r="1099" spans="11:34">
      <c r="K1099" s="273"/>
      <c r="S1099" s="273"/>
      <c r="T1099" s="273"/>
      <c r="U1099" s="273"/>
      <c r="W1099" s="77"/>
      <c r="X1099" s="77"/>
      <c r="Y1099" s="77"/>
      <c r="Z1099" s="77"/>
      <c r="AA1099" s="77"/>
      <c r="AB1099" s="77"/>
      <c r="AC1099" s="77"/>
      <c r="AD1099" s="77"/>
      <c r="AE1099" s="77"/>
      <c r="AF1099" s="77"/>
      <c r="AG1099" s="77"/>
      <c r="AH1099" s="77"/>
    </row>
    <row r="1100" spans="11:34">
      <c r="K1100" s="273"/>
      <c r="S1100" s="273"/>
      <c r="T1100" s="273"/>
      <c r="U1100" s="273"/>
      <c r="W1100" s="77"/>
      <c r="X1100" s="77"/>
      <c r="Y1100" s="77"/>
      <c r="Z1100" s="77"/>
      <c r="AA1100" s="77"/>
      <c r="AB1100" s="77"/>
      <c r="AC1100" s="77"/>
      <c r="AD1100" s="77"/>
      <c r="AE1100" s="77"/>
      <c r="AF1100" s="77"/>
      <c r="AG1100" s="77"/>
      <c r="AH1100" s="77"/>
    </row>
    <row r="1101" spans="11:34">
      <c r="K1101" s="273"/>
      <c r="S1101" s="273"/>
      <c r="T1101" s="273"/>
      <c r="U1101" s="273"/>
      <c r="W1101" s="77"/>
      <c r="X1101" s="77"/>
      <c r="Y1101" s="77"/>
      <c r="Z1101" s="77"/>
      <c r="AA1101" s="77"/>
      <c r="AB1101" s="77"/>
      <c r="AC1101" s="77"/>
      <c r="AD1101" s="77"/>
      <c r="AE1101" s="77"/>
      <c r="AF1101" s="77"/>
      <c r="AG1101" s="77"/>
      <c r="AH1101" s="77"/>
    </row>
    <row r="1102" spans="11:34">
      <c r="K1102" s="273"/>
      <c r="S1102" s="273"/>
      <c r="T1102" s="273"/>
      <c r="U1102" s="273"/>
      <c r="W1102" s="77"/>
      <c r="X1102" s="77"/>
      <c r="Y1102" s="77"/>
      <c r="Z1102" s="77"/>
      <c r="AA1102" s="77"/>
      <c r="AB1102" s="77"/>
      <c r="AC1102" s="77"/>
      <c r="AD1102" s="77"/>
      <c r="AE1102" s="77"/>
      <c r="AF1102" s="77"/>
      <c r="AG1102" s="77"/>
      <c r="AH1102" s="77"/>
    </row>
    <row r="1103" spans="11:34">
      <c r="K1103" s="273"/>
      <c r="S1103" s="273"/>
      <c r="T1103" s="273"/>
      <c r="U1103" s="273"/>
      <c r="W1103" s="77"/>
      <c r="X1103" s="77"/>
      <c r="Y1103" s="77"/>
      <c r="Z1103" s="77"/>
      <c r="AA1103" s="77"/>
      <c r="AB1103" s="77"/>
      <c r="AC1103" s="77"/>
      <c r="AD1103" s="77"/>
      <c r="AE1103" s="77"/>
      <c r="AF1103" s="77"/>
      <c r="AG1103" s="77"/>
      <c r="AH1103" s="77"/>
    </row>
    <row r="1104" spans="11:34">
      <c r="K1104" s="273"/>
      <c r="S1104" s="273"/>
      <c r="T1104" s="273"/>
      <c r="U1104" s="273"/>
      <c r="W1104" s="77"/>
      <c r="X1104" s="77"/>
      <c r="Y1104" s="77"/>
      <c r="Z1104" s="77"/>
      <c r="AA1104" s="77"/>
      <c r="AB1104" s="77"/>
      <c r="AC1104" s="77"/>
      <c r="AD1104" s="77"/>
      <c r="AE1104" s="77"/>
      <c r="AF1104" s="77"/>
      <c r="AG1104" s="77"/>
      <c r="AH1104" s="77"/>
    </row>
    <row r="1105" spans="11:34">
      <c r="K1105" s="273"/>
      <c r="S1105" s="273"/>
      <c r="T1105" s="273"/>
      <c r="U1105" s="273"/>
      <c r="W1105" s="77"/>
      <c r="X1105" s="77"/>
      <c r="Y1105" s="77"/>
      <c r="Z1105" s="77"/>
      <c r="AA1105" s="77"/>
      <c r="AB1105" s="77"/>
      <c r="AC1105" s="77"/>
      <c r="AD1105" s="77"/>
      <c r="AE1105" s="77"/>
      <c r="AF1105" s="77"/>
      <c r="AG1105" s="77"/>
      <c r="AH1105" s="77"/>
    </row>
    <row r="1106" spans="11:34">
      <c r="K1106" s="273"/>
      <c r="S1106" s="273"/>
      <c r="T1106" s="273"/>
      <c r="U1106" s="273"/>
      <c r="W1106" s="77"/>
      <c r="X1106" s="77"/>
      <c r="Y1106" s="77"/>
      <c r="Z1106" s="77"/>
      <c r="AA1106" s="77"/>
      <c r="AB1106" s="77"/>
      <c r="AC1106" s="77"/>
      <c r="AD1106" s="77"/>
      <c r="AE1106" s="77"/>
      <c r="AF1106" s="77"/>
      <c r="AG1106" s="77"/>
      <c r="AH1106" s="77"/>
    </row>
    <row r="1107" spans="11:34">
      <c r="K1107" s="273"/>
      <c r="S1107" s="273"/>
      <c r="T1107" s="273"/>
      <c r="U1107" s="273"/>
      <c r="W1107" s="77"/>
      <c r="X1107" s="77"/>
      <c r="Y1107" s="77"/>
      <c r="Z1107" s="77"/>
      <c r="AA1107" s="77"/>
      <c r="AB1107" s="77"/>
      <c r="AC1107" s="77"/>
      <c r="AD1107" s="77"/>
      <c r="AE1107" s="77"/>
      <c r="AF1107" s="77"/>
      <c r="AG1107" s="77"/>
      <c r="AH1107" s="77"/>
    </row>
    <row r="1108" spans="11:34">
      <c r="K1108" s="273"/>
      <c r="S1108" s="273"/>
      <c r="T1108" s="273"/>
      <c r="U1108" s="273"/>
      <c r="W1108" s="77"/>
      <c r="X1108" s="77"/>
      <c r="Y1108" s="77"/>
      <c r="Z1108" s="77"/>
      <c r="AA1108" s="77"/>
      <c r="AB1108" s="77"/>
      <c r="AC1108" s="77"/>
      <c r="AD1108" s="77"/>
      <c r="AE1108" s="77"/>
      <c r="AF1108" s="77"/>
      <c r="AG1108" s="77"/>
      <c r="AH1108" s="77"/>
    </row>
    <row r="1109" spans="11:34">
      <c r="K1109" s="273"/>
      <c r="S1109" s="273"/>
      <c r="T1109" s="273"/>
      <c r="U1109" s="273"/>
      <c r="W1109" s="77"/>
      <c r="X1109" s="77"/>
      <c r="Y1109" s="77"/>
      <c r="Z1109" s="77"/>
      <c r="AA1109" s="77"/>
      <c r="AB1109" s="77"/>
      <c r="AC1109" s="77"/>
      <c r="AD1109" s="77"/>
      <c r="AE1109" s="77"/>
      <c r="AF1109" s="77"/>
      <c r="AG1109" s="77"/>
      <c r="AH1109" s="77"/>
    </row>
    <row r="1110" spans="11:34">
      <c r="K1110" s="273"/>
      <c r="S1110" s="273"/>
      <c r="T1110" s="273"/>
      <c r="U1110" s="273"/>
      <c r="W1110" s="77"/>
      <c r="X1110" s="77"/>
      <c r="Y1110" s="77"/>
      <c r="Z1110" s="77"/>
      <c r="AA1110" s="77"/>
      <c r="AB1110" s="77"/>
      <c r="AC1110" s="77"/>
      <c r="AD1110" s="77"/>
      <c r="AE1110" s="77"/>
      <c r="AF1110" s="77"/>
      <c r="AG1110" s="77"/>
      <c r="AH1110" s="77"/>
    </row>
    <row r="1111" spans="11:34">
      <c r="K1111" s="273"/>
      <c r="S1111" s="273"/>
      <c r="T1111" s="273"/>
      <c r="U1111" s="273"/>
      <c r="W1111" s="77"/>
      <c r="X1111" s="77"/>
      <c r="Y1111" s="77"/>
      <c r="Z1111" s="77"/>
      <c r="AA1111" s="77"/>
      <c r="AB1111" s="77"/>
      <c r="AC1111" s="77"/>
      <c r="AD1111" s="77"/>
      <c r="AE1111" s="77"/>
      <c r="AF1111" s="77"/>
      <c r="AG1111" s="77"/>
      <c r="AH1111" s="77"/>
    </row>
    <row r="1112" spans="11:34">
      <c r="K1112" s="273"/>
      <c r="S1112" s="273"/>
      <c r="T1112" s="273"/>
      <c r="U1112" s="273"/>
      <c r="W1112" s="77"/>
      <c r="X1112" s="77"/>
      <c r="Y1112" s="77"/>
      <c r="Z1112" s="77"/>
      <c r="AA1112" s="77"/>
      <c r="AB1112" s="77"/>
      <c r="AC1112" s="77"/>
      <c r="AD1112" s="77"/>
      <c r="AE1112" s="77"/>
      <c r="AF1112" s="77"/>
      <c r="AG1112" s="77"/>
      <c r="AH1112" s="77"/>
    </row>
    <row r="1113" spans="11:34">
      <c r="K1113" s="273"/>
      <c r="S1113" s="273"/>
      <c r="T1113" s="273"/>
      <c r="U1113" s="273"/>
      <c r="W1113" s="77"/>
      <c r="X1113" s="77"/>
      <c r="Y1113" s="77"/>
      <c r="Z1113" s="77"/>
      <c r="AA1113" s="77"/>
      <c r="AB1113" s="77"/>
      <c r="AC1113" s="77"/>
      <c r="AD1113" s="77"/>
      <c r="AE1113" s="77"/>
      <c r="AF1113" s="77"/>
      <c r="AG1113" s="77"/>
      <c r="AH1113" s="77"/>
    </row>
    <row r="1114" spans="11:34">
      <c r="K1114" s="273"/>
      <c r="S1114" s="273"/>
      <c r="T1114" s="273"/>
      <c r="U1114" s="273"/>
      <c r="W1114" s="77"/>
      <c r="X1114" s="77"/>
      <c r="Y1114" s="77"/>
      <c r="Z1114" s="77"/>
      <c r="AA1114" s="77"/>
      <c r="AB1114" s="77"/>
      <c r="AC1114" s="77"/>
      <c r="AD1114" s="77"/>
      <c r="AE1114" s="77"/>
      <c r="AF1114" s="77"/>
      <c r="AG1114" s="77"/>
      <c r="AH1114" s="77"/>
    </row>
    <row r="1115" spans="11:34">
      <c r="K1115" s="273"/>
      <c r="S1115" s="273"/>
      <c r="T1115" s="273"/>
      <c r="U1115" s="273"/>
      <c r="W1115" s="77"/>
      <c r="X1115" s="77"/>
      <c r="Y1115" s="77"/>
      <c r="Z1115" s="77"/>
      <c r="AA1115" s="77"/>
      <c r="AB1115" s="77"/>
      <c r="AC1115" s="77"/>
      <c r="AD1115" s="77"/>
      <c r="AE1115" s="77"/>
      <c r="AF1115" s="77"/>
      <c r="AG1115" s="77"/>
      <c r="AH1115" s="77"/>
    </row>
    <row r="1116" spans="11:34">
      <c r="K1116" s="273"/>
      <c r="S1116" s="273"/>
      <c r="T1116" s="273"/>
      <c r="U1116" s="273"/>
      <c r="W1116" s="77"/>
      <c r="X1116" s="77"/>
      <c r="Y1116" s="77"/>
      <c r="Z1116" s="77"/>
      <c r="AA1116" s="77"/>
      <c r="AB1116" s="77"/>
      <c r="AC1116" s="77"/>
      <c r="AD1116" s="77"/>
      <c r="AE1116" s="77"/>
      <c r="AF1116" s="77"/>
      <c r="AG1116" s="77"/>
      <c r="AH1116" s="77"/>
    </row>
    <row r="1117" spans="11:34">
      <c r="K1117" s="273"/>
      <c r="S1117" s="273"/>
      <c r="T1117" s="273"/>
      <c r="U1117" s="273"/>
      <c r="W1117" s="77"/>
      <c r="X1117" s="77"/>
      <c r="Y1117" s="77"/>
      <c r="Z1117" s="77"/>
      <c r="AA1117" s="77"/>
      <c r="AB1117" s="77"/>
      <c r="AC1117" s="77"/>
      <c r="AD1117" s="77"/>
      <c r="AE1117" s="77"/>
      <c r="AF1117" s="77"/>
      <c r="AG1117" s="77"/>
      <c r="AH1117" s="77"/>
    </row>
    <row r="1118" spans="11:34">
      <c r="K1118" s="273"/>
      <c r="S1118" s="273"/>
      <c r="T1118" s="273"/>
      <c r="U1118" s="273"/>
      <c r="W1118" s="77"/>
      <c r="X1118" s="77"/>
      <c r="Y1118" s="77"/>
      <c r="Z1118" s="77"/>
      <c r="AA1118" s="77"/>
      <c r="AB1118" s="77"/>
      <c r="AC1118" s="77"/>
      <c r="AD1118" s="77"/>
      <c r="AE1118" s="77"/>
      <c r="AF1118" s="77"/>
      <c r="AG1118" s="77"/>
      <c r="AH1118" s="77"/>
    </row>
    <row r="1119" spans="11:34">
      <c r="K1119" s="273"/>
      <c r="S1119" s="273"/>
      <c r="T1119" s="273"/>
      <c r="U1119" s="273"/>
      <c r="W1119" s="77"/>
      <c r="X1119" s="77"/>
      <c r="Y1119" s="77"/>
      <c r="Z1119" s="77"/>
      <c r="AA1119" s="77"/>
      <c r="AB1119" s="77"/>
      <c r="AC1119" s="77"/>
      <c r="AD1119" s="77"/>
      <c r="AE1119" s="77"/>
      <c r="AF1119" s="77"/>
      <c r="AG1119" s="77"/>
      <c r="AH1119" s="77"/>
    </row>
    <row r="1120" spans="11:34">
      <c r="K1120" s="273"/>
      <c r="S1120" s="273"/>
      <c r="T1120" s="273"/>
      <c r="U1120" s="273"/>
      <c r="W1120" s="77"/>
      <c r="X1120" s="77"/>
      <c r="Y1120" s="77"/>
      <c r="Z1120" s="77"/>
      <c r="AA1120" s="77"/>
      <c r="AB1120" s="77"/>
      <c r="AC1120" s="77"/>
      <c r="AD1120" s="77"/>
      <c r="AE1120" s="77"/>
      <c r="AF1120" s="77"/>
      <c r="AG1120" s="77"/>
      <c r="AH1120" s="77"/>
    </row>
    <row r="1121" spans="11:34">
      <c r="K1121" s="273"/>
      <c r="S1121" s="273"/>
      <c r="T1121" s="273"/>
      <c r="U1121" s="273"/>
      <c r="W1121" s="77"/>
      <c r="X1121" s="77"/>
      <c r="Y1121" s="77"/>
      <c r="Z1121" s="77"/>
      <c r="AA1121" s="77"/>
      <c r="AB1121" s="77"/>
      <c r="AC1121" s="77"/>
      <c r="AD1121" s="77"/>
      <c r="AE1121" s="77"/>
      <c r="AF1121" s="77"/>
      <c r="AG1121" s="77"/>
      <c r="AH1121" s="77"/>
    </row>
    <row r="1122" spans="11:34">
      <c r="K1122" s="273"/>
      <c r="S1122" s="273"/>
      <c r="T1122" s="273"/>
      <c r="U1122" s="273"/>
      <c r="W1122" s="77"/>
      <c r="X1122" s="77"/>
      <c r="Y1122" s="77"/>
      <c r="Z1122" s="77"/>
      <c r="AA1122" s="77"/>
      <c r="AB1122" s="77"/>
      <c r="AC1122" s="77"/>
      <c r="AD1122" s="77"/>
      <c r="AE1122" s="77"/>
      <c r="AF1122" s="77"/>
      <c r="AG1122" s="77"/>
      <c r="AH1122" s="77"/>
    </row>
    <row r="1123" spans="11:34">
      <c r="K1123" s="273"/>
      <c r="S1123" s="273"/>
      <c r="T1123" s="273"/>
      <c r="U1123" s="273"/>
      <c r="W1123" s="77"/>
      <c r="X1123" s="77"/>
      <c r="Y1123" s="77"/>
      <c r="Z1123" s="77"/>
      <c r="AA1123" s="77"/>
      <c r="AB1123" s="77"/>
      <c r="AC1123" s="77"/>
      <c r="AD1123" s="77"/>
      <c r="AE1123" s="77"/>
      <c r="AF1123" s="77"/>
      <c r="AG1123" s="77"/>
      <c r="AH1123" s="77"/>
    </row>
    <row r="1124" spans="11:34">
      <c r="K1124" s="273"/>
      <c r="S1124" s="273"/>
      <c r="T1124" s="273"/>
      <c r="U1124" s="273"/>
      <c r="W1124" s="77"/>
      <c r="X1124" s="77"/>
      <c r="Y1124" s="77"/>
      <c r="Z1124" s="77"/>
      <c r="AA1124" s="77"/>
      <c r="AB1124" s="77"/>
      <c r="AC1124" s="77"/>
      <c r="AD1124" s="77"/>
      <c r="AE1124" s="77"/>
      <c r="AF1124" s="77"/>
      <c r="AG1124" s="77"/>
      <c r="AH1124" s="77"/>
    </row>
    <row r="1125" spans="11:34">
      <c r="K1125" s="273"/>
      <c r="S1125" s="273"/>
      <c r="T1125" s="273"/>
      <c r="U1125" s="273"/>
      <c r="W1125" s="77"/>
      <c r="X1125" s="77"/>
      <c r="Y1125" s="77"/>
      <c r="Z1125" s="77"/>
      <c r="AA1125" s="77"/>
      <c r="AB1125" s="77"/>
      <c r="AC1125" s="77"/>
      <c r="AD1125" s="77"/>
      <c r="AE1125" s="77"/>
      <c r="AF1125" s="77"/>
      <c r="AG1125" s="77"/>
      <c r="AH1125" s="77"/>
    </row>
    <row r="1126" spans="11:34">
      <c r="K1126" s="273"/>
      <c r="S1126" s="273"/>
      <c r="T1126" s="273"/>
      <c r="U1126" s="273"/>
      <c r="W1126" s="77"/>
      <c r="X1126" s="77"/>
      <c r="Y1126" s="77"/>
      <c r="Z1126" s="77"/>
      <c r="AA1126" s="77"/>
      <c r="AB1126" s="77"/>
      <c r="AC1126" s="77"/>
      <c r="AD1126" s="77"/>
      <c r="AE1126" s="77"/>
      <c r="AF1126" s="77"/>
      <c r="AG1126" s="77"/>
      <c r="AH1126" s="77"/>
    </row>
    <row r="1127" spans="11:34">
      <c r="K1127" s="273"/>
      <c r="S1127" s="273"/>
      <c r="T1127" s="273"/>
      <c r="U1127" s="273"/>
      <c r="W1127" s="77"/>
      <c r="X1127" s="77"/>
      <c r="Y1127" s="77"/>
      <c r="Z1127" s="77"/>
      <c r="AA1127" s="77"/>
      <c r="AB1127" s="77"/>
      <c r="AC1127" s="77"/>
      <c r="AD1127" s="77"/>
      <c r="AE1127" s="77"/>
      <c r="AF1127" s="77"/>
      <c r="AG1127" s="77"/>
      <c r="AH1127" s="77"/>
    </row>
    <row r="1128" spans="11:34">
      <c r="K1128" s="273"/>
      <c r="S1128" s="273"/>
      <c r="T1128" s="273"/>
      <c r="U1128" s="273"/>
      <c r="W1128" s="77"/>
      <c r="X1128" s="77"/>
      <c r="Y1128" s="77"/>
      <c r="Z1128" s="77"/>
      <c r="AA1128" s="77"/>
      <c r="AB1128" s="77"/>
      <c r="AC1128" s="77"/>
      <c r="AD1128" s="77"/>
      <c r="AE1128" s="77"/>
      <c r="AF1128" s="77"/>
      <c r="AG1128" s="77"/>
      <c r="AH1128" s="77"/>
    </row>
    <row r="1129" spans="11:34">
      <c r="K1129" s="273"/>
      <c r="S1129" s="273"/>
      <c r="T1129" s="273"/>
      <c r="U1129" s="273"/>
      <c r="W1129" s="77"/>
      <c r="X1129" s="77"/>
      <c r="Y1129" s="77"/>
      <c r="Z1129" s="77"/>
      <c r="AA1129" s="77"/>
      <c r="AB1129" s="77"/>
      <c r="AC1129" s="77"/>
      <c r="AD1129" s="77"/>
      <c r="AE1129" s="77"/>
      <c r="AF1129" s="77"/>
      <c r="AG1129" s="77"/>
      <c r="AH1129" s="77"/>
    </row>
    <row r="1130" spans="11:34">
      <c r="K1130" s="273"/>
      <c r="S1130" s="273"/>
      <c r="T1130" s="273"/>
      <c r="U1130" s="273"/>
      <c r="W1130" s="77"/>
      <c r="X1130" s="77"/>
      <c r="Y1130" s="77"/>
      <c r="Z1130" s="77"/>
      <c r="AA1130" s="77"/>
      <c r="AB1130" s="77"/>
      <c r="AC1130" s="77"/>
      <c r="AD1130" s="77"/>
      <c r="AE1130" s="77"/>
      <c r="AF1130" s="77"/>
      <c r="AG1130" s="77"/>
      <c r="AH1130" s="77"/>
    </row>
    <row r="1131" spans="11:34">
      <c r="K1131" s="273"/>
      <c r="S1131" s="273"/>
      <c r="T1131" s="273"/>
      <c r="U1131" s="273"/>
      <c r="W1131" s="77"/>
      <c r="X1131" s="77"/>
      <c r="Y1131" s="77"/>
      <c r="Z1131" s="77"/>
      <c r="AA1131" s="77"/>
      <c r="AB1131" s="77"/>
      <c r="AC1131" s="77"/>
      <c r="AD1131" s="77"/>
      <c r="AE1131" s="77"/>
      <c r="AF1131" s="77"/>
      <c r="AG1131" s="77"/>
      <c r="AH1131" s="77"/>
    </row>
    <row r="1132" spans="11:34">
      <c r="K1132" s="273"/>
      <c r="S1132" s="273"/>
      <c r="T1132" s="273"/>
      <c r="U1132" s="273"/>
      <c r="W1132" s="77"/>
      <c r="X1132" s="77"/>
      <c r="Y1132" s="77"/>
      <c r="Z1132" s="77"/>
      <c r="AA1132" s="77"/>
      <c r="AB1132" s="77"/>
      <c r="AC1132" s="77"/>
      <c r="AD1132" s="77"/>
      <c r="AE1132" s="77"/>
      <c r="AF1132" s="77"/>
      <c r="AG1132" s="77"/>
      <c r="AH1132" s="77"/>
    </row>
    <row r="1133" spans="11:34">
      <c r="K1133" s="273"/>
      <c r="S1133" s="273"/>
      <c r="T1133" s="273"/>
      <c r="U1133" s="273"/>
      <c r="W1133" s="77"/>
      <c r="X1133" s="77"/>
      <c r="Y1133" s="77"/>
      <c r="Z1133" s="77"/>
      <c r="AA1133" s="77"/>
      <c r="AB1133" s="77"/>
      <c r="AC1133" s="77"/>
      <c r="AD1133" s="77"/>
      <c r="AE1133" s="77"/>
      <c r="AF1133" s="77"/>
      <c r="AG1133" s="77"/>
      <c r="AH1133" s="77"/>
    </row>
    <row r="1134" spans="11:34">
      <c r="K1134" s="273"/>
      <c r="S1134" s="273"/>
      <c r="T1134" s="273"/>
      <c r="U1134" s="273"/>
      <c r="W1134" s="77"/>
      <c r="X1134" s="77"/>
      <c r="Y1134" s="77"/>
      <c r="Z1134" s="77"/>
      <c r="AA1134" s="77"/>
      <c r="AB1134" s="77"/>
      <c r="AC1134" s="77"/>
      <c r="AD1134" s="77"/>
      <c r="AE1134" s="77"/>
      <c r="AF1134" s="77"/>
      <c r="AG1134" s="77"/>
      <c r="AH1134" s="77"/>
    </row>
    <row r="1135" spans="11:34">
      <c r="K1135" s="273"/>
      <c r="S1135" s="273"/>
      <c r="T1135" s="273"/>
      <c r="U1135" s="273"/>
      <c r="W1135" s="77"/>
      <c r="X1135" s="77"/>
      <c r="Y1135" s="77"/>
      <c r="Z1135" s="77"/>
      <c r="AA1135" s="77"/>
      <c r="AB1135" s="77"/>
      <c r="AC1135" s="77"/>
      <c r="AD1135" s="77"/>
      <c r="AE1135" s="77"/>
      <c r="AF1135" s="77"/>
      <c r="AG1135" s="77"/>
      <c r="AH1135" s="77"/>
    </row>
    <row r="1136" spans="11:34">
      <c r="K1136" s="273"/>
      <c r="S1136" s="273"/>
      <c r="T1136" s="273"/>
      <c r="U1136" s="273"/>
      <c r="W1136" s="77"/>
      <c r="X1136" s="77"/>
      <c r="Y1136" s="77"/>
      <c r="Z1136" s="77"/>
      <c r="AA1136" s="77"/>
      <c r="AB1136" s="77"/>
      <c r="AC1136" s="77"/>
      <c r="AD1136" s="77"/>
      <c r="AE1136" s="77"/>
      <c r="AF1136" s="77"/>
      <c r="AG1136" s="77"/>
      <c r="AH1136" s="77"/>
    </row>
    <row r="1137" spans="11:34">
      <c r="K1137" s="273"/>
      <c r="S1137" s="273"/>
      <c r="T1137" s="273"/>
      <c r="U1137" s="273"/>
      <c r="W1137" s="77"/>
      <c r="X1137" s="77"/>
      <c r="Y1137" s="77"/>
      <c r="Z1137" s="77"/>
      <c r="AA1137" s="77"/>
      <c r="AB1137" s="77"/>
      <c r="AC1137" s="77"/>
      <c r="AD1137" s="77"/>
      <c r="AE1137" s="77"/>
      <c r="AF1137" s="77"/>
      <c r="AG1137" s="77"/>
      <c r="AH1137" s="77"/>
    </row>
    <row r="1138" spans="11:34">
      <c r="K1138" s="273"/>
      <c r="S1138" s="273"/>
      <c r="T1138" s="273"/>
      <c r="U1138" s="273"/>
      <c r="W1138" s="77"/>
      <c r="X1138" s="77"/>
      <c r="Y1138" s="77"/>
      <c r="Z1138" s="77"/>
      <c r="AA1138" s="77"/>
      <c r="AB1138" s="77"/>
      <c r="AC1138" s="77"/>
      <c r="AD1138" s="77"/>
      <c r="AE1138" s="77"/>
      <c r="AF1138" s="77"/>
      <c r="AG1138" s="77"/>
      <c r="AH1138" s="77"/>
    </row>
    <row r="1139" spans="11:34">
      <c r="K1139" s="273"/>
      <c r="S1139" s="273"/>
      <c r="T1139" s="273"/>
      <c r="U1139" s="273"/>
      <c r="W1139" s="77"/>
      <c r="X1139" s="77"/>
      <c r="Y1139" s="77"/>
      <c r="Z1139" s="77"/>
      <c r="AA1139" s="77"/>
      <c r="AB1139" s="77"/>
      <c r="AC1139" s="77"/>
      <c r="AD1139" s="77"/>
      <c r="AE1139" s="77"/>
      <c r="AF1139" s="77"/>
      <c r="AG1139" s="77"/>
      <c r="AH1139" s="77"/>
    </row>
    <row r="1140" spans="11:34">
      <c r="K1140" s="273"/>
      <c r="S1140" s="273"/>
      <c r="T1140" s="273"/>
      <c r="U1140" s="273"/>
      <c r="W1140" s="77"/>
      <c r="X1140" s="77"/>
      <c r="Y1140" s="77"/>
      <c r="Z1140" s="77"/>
      <c r="AA1140" s="77"/>
      <c r="AB1140" s="77"/>
      <c r="AC1140" s="77"/>
      <c r="AD1140" s="77"/>
      <c r="AE1140" s="77"/>
      <c r="AF1140" s="77"/>
      <c r="AG1140" s="77"/>
      <c r="AH1140" s="77"/>
    </row>
    <row r="1141" spans="11:34">
      <c r="K1141" s="273"/>
      <c r="S1141" s="273"/>
      <c r="T1141" s="273"/>
      <c r="U1141" s="273"/>
      <c r="W1141" s="77"/>
      <c r="X1141" s="77"/>
      <c r="Y1141" s="77"/>
      <c r="Z1141" s="77"/>
      <c r="AA1141" s="77"/>
      <c r="AB1141" s="77"/>
      <c r="AC1141" s="77"/>
      <c r="AD1141" s="77"/>
      <c r="AE1141" s="77"/>
      <c r="AF1141" s="77"/>
      <c r="AG1141" s="77"/>
      <c r="AH1141" s="77"/>
    </row>
    <row r="1142" spans="11:34">
      <c r="K1142" s="273"/>
      <c r="S1142" s="273"/>
      <c r="T1142" s="273"/>
      <c r="U1142" s="273"/>
      <c r="W1142" s="77"/>
      <c r="X1142" s="77"/>
      <c r="Y1142" s="77"/>
      <c r="Z1142" s="77"/>
      <c r="AA1142" s="77"/>
      <c r="AB1142" s="77"/>
      <c r="AC1142" s="77"/>
      <c r="AD1142" s="77"/>
      <c r="AE1142" s="77"/>
      <c r="AF1142" s="77"/>
      <c r="AG1142" s="77"/>
      <c r="AH1142" s="77"/>
    </row>
    <row r="1143" spans="11:34">
      <c r="K1143" s="273"/>
      <c r="S1143" s="273"/>
      <c r="T1143" s="273"/>
      <c r="U1143" s="273"/>
      <c r="W1143" s="77"/>
      <c r="X1143" s="77"/>
      <c r="Y1143" s="77"/>
      <c r="Z1143" s="77"/>
      <c r="AA1143" s="77"/>
      <c r="AB1143" s="77"/>
      <c r="AC1143" s="77"/>
      <c r="AD1143" s="77"/>
      <c r="AE1143" s="77"/>
      <c r="AF1143" s="77"/>
      <c r="AG1143" s="77"/>
      <c r="AH1143" s="77"/>
    </row>
    <row r="1144" spans="11:34">
      <c r="K1144" s="273"/>
      <c r="S1144" s="273"/>
      <c r="T1144" s="273"/>
      <c r="U1144" s="273"/>
      <c r="W1144" s="77"/>
      <c r="X1144" s="77"/>
      <c r="Y1144" s="77"/>
      <c r="Z1144" s="77"/>
      <c r="AA1144" s="77"/>
      <c r="AB1144" s="77"/>
      <c r="AC1144" s="77"/>
      <c r="AD1144" s="77"/>
      <c r="AE1144" s="77"/>
      <c r="AF1144" s="77"/>
      <c r="AG1144" s="77"/>
      <c r="AH1144" s="77"/>
    </row>
    <row r="1145" spans="11:34">
      <c r="K1145" s="273"/>
      <c r="S1145" s="273"/>
      <c r="T1145" s="273"/>
      <c r="U1145" s="273"/>
      <c r="W1145" s="77"/>
      <c r="X1145" s="77"/>
      <c r="Y1145" s="77"/>
      <c r="Z1145" s="77"/>
      <c r="AA1145" s="77"/>
      <c r="AB1145" s="77"/>
      <c r="AC1145" s="77"/>
      <c r="AD1145" s="77"/>
      <c r="AE1145" s="77"/>
      <c r="AF1145" s="77"/>
      <c r="AG1145" s="77"/>
      <c r="AH1145" s="77"/>
    </row>
    <row r="1146" spans="11:34">
      <c r="K1146" s="273"/>
      <c r="S1146" s="273"/>
      <c r="T1146" s="273"/>
      <c r="U1146" s="273"/>
      <c r="W1146" s="77"/>
      <c r="X1146" s="77"/>
      <c r="Y1146" s="77"/>
      <c r="Z1146" s="77"/>
      <c r="AA1146" s="77"/>
      <c r="AB1146" s="77"/>
      <c r="AC1146" s="77"/>
      <c r="AD1146" s="77"/>
      <c r="AE1146" s="77"/>
      <c r="AF1146" s="77"/>
      <c r="AG1146" s="77"/>
      <c r="AH1146" s="77"/>
    </row>
    <row r="1147" spans="11:34">
      <c r="K1147" s="273"/>
      <c r="S1147" s="273"/>
      <c r="T1147" s="273"/>
      <c r="U1147" s="273"/>
      <c r="W1147" s="77"/>
      <c r="X1147" s="77"/>
      <c r="Y1147" s="77"/>
      <c r="Z1147" s="77"/>
      <c r="AA1147" s="77"/>
      <c r="AB1147" s="77"/>
      <c r="AC1147" s="77"/>
      <c r="AD1147" s="77"/>
      <c r="AE1147" s="77"/>
      <c r="AF1147" s="77"/>
      <c r="AG1147" s="77"/>
      <c r="AH1147" s="77"/>
    </row>
    <row r="1148" spans="11:34">
      <c r="K1148" s="273"/>
      <c r="S1148" s="273"/>
      <c r="T1148" s="273"/>
      <c r="U1148" s="273"/>
      <c r="W1148" s="77"/>
      <c r="X1148" s="77"/>
      <c r="Y1148" s="77"/>
      <c r="Z1148" s="77"/>
      <c r="AA1148" s="77"/>
      <c r="AB1148" s="77"/>
      <c r="AC1148" s="77"/>
      <c r="AD1148" s="77"/>
      <c r="AE1148" s="77"/>
      <c r="AF1148" s="77"/>
      <c r="AG1148" s="77"/>
      <c r="AH1148" s="77"/>
    </row>
    <row r="1149" spans="11:34">
      <c r="K1149" s="273"/>
      <c r="S1149" s="273"/>
      <c r="T1149" s="273"/>
      <c r="U1149" s="273"/>
      <c r="W1149" s="77"/>
      <c r="X1149" s="77"/>
      <c r="Y1149" s="77"/>
      <c r="Z1149" s="77"/>
      <c r="AA1149" s="77"/>
      <c r="AB1149" s="77"/>
      <c r="AC1149" s="77"/>
      <c r="AD1149" s="77"/>
      <c r="AE1149" s="77"/>
      <c r="AF1149" s="77"/>
      <c r="AG1149" s="77"/>
      <c r="AH1149" s="77"/>
    </row>
    <row r="1150" spans="11:34">
      <c r="K1150" s="273"/>
      <c r="S1150" s="273"/>
      <c r="T1150" s="273"/>
      <c r="U1150" s="273"/>
      <c r="W1150" s="77"/>
      <c r="X1150" s="77"/>
      <c r="Y1150" s="77"/>
      <c r="Z1150" s="77"/>
      <c r="AA1150" s="77"/>
      <c r="AB1150" s="77"/>
      <c r="AC1150" s="77"/>
      <c r="AD1150" s="77"/>
      <c r="AE1150" s="77"/>
      <c r="AF1150" s="77"/>
      <c r="AG1150" s="77"/>
      <c r="AH1150" s="77"/>
    </row>
    <row r="1151" spans="11:34">
      <c r="K1151" s="273"/>
      <c r="S1151" s="273"/>
      <c r="T1151" s="273"/>
      <c r="U1151" s="273"/>
      <c r="W1151" s="77"/>
      <c r="X1151" s="77"/>
      <c r="Y1151" s="77"/>
      <c r="Z1151" s="77"/>
      <c r="AA1151" s="77"/>
      <c r="AB1151" s="77"/>
      <c r="AC1151" s="77"/>
      <c r="AD1151" s="77"/>
      <c r="AE1151" s="77"/>
      <c r="AF1151" s="77"/>
      <c r="AG1151" s="77"/>
      <c r="AH1151" s="77"/>
    </row>
    <row r="1152" spans="11:34">
      <c r="K1152" s="273"/>
      <c r="S1152" s="273"/>
      <c r="T1152" s="273"/>
      <c r="U1152" s="273"/>
      <c r="W1152" s="77"/>
      <c r="X1152" s="77"/>
      <c r="Y1152" s="77"/>
      <c r="Z1152" s="77"/>
      <c r="AA1152" s="77"/>
      <c r="AB1152" s="77"/>
      <c r="AC1152" s="77"/>
      <c r="AD1152" s="77"/>
      <c r="AE1152" s="77"/>
      <c r="AF1152" s="77"/>
      <c r="AG1152" s="77"/>
      <c r="AH1152" s="77"/>
    </row>
    <row r="1153" spans="11:34">
      <c r="K1153" s="273"/>
      <c r="S1153" s="273"/>
      <c r="T1153" s="273"/>
      <c r="U1153" s="273"/>
      <c r="W1153" s="77"/>
      <c r="X1153" s="77"/>
      <c r="Y1153" s="77"/>
      <c r="Z1153" s="77"/>
      <c r="AA1153" s="77"/>
      <c r="AB1153" s="77"/>
      <c r="AC1153" s="77"/>
      <c r="AD1153" s="77"/>
      <c r="AE1153" s="77"/>
      <c r="AF1153" s="77"/>
      <c r="AG1153" s="77"/>
      <c r="AH1153" s="77"/>
    </row>
    <row r="1154" spans="11:34">
      <c r="K1154" s="273"/>
      <c r="S1154" s="273"/>
      <c r="T1154" s="273"/>
      <c r="U1154" s="273"/>
      <c r="W1154" s="77"/>
      <c r="X1154" s="77"/>
      <c r="Y1154" s="77"/>
      <c r="Z1154" s="77"/>
      <c r="AA1154" s="77"/>
      <c r="AB1154" s="77"/>
      <c r="AC1154" s="77"/>
      <c r="AD1154" s="77"/>
      <c r="AE1154" s="77"/>
      <c r="AF1154" s="77"/>
      <c r="AG1154" s="77"/>
      <c r="AH1154" s="77"/>
    </row>
    <row r="1155" spans="11:34">
      <c r="K1155" s="273"/>
      <c r="S1155" s="273"/>
      <c r="T1155" s="273"/>
      <c r="U1155" s="273"/>
      <c r="W1155" s="77"/>
      <c r="X1155" s="77"/>
      <c r="Y1155" s="77"/>
      <c r="Z1155" s="77"/>
      <c r="AA1155" s="77"/>
      <c r="AB1155" s="77"/>
      <c r="AC1155" s="77"/>
      <c r="AD1155" s="77"/>
      <c r="AE1155" s="77"/>
      <c r="AF1155" s="77"/>
      <c r="AG1155" s="77"/>
      <c r="AH1155" s="77"/>
    </row>
    <row r="1156" spans="11:34">
      <c r="K1156" s="273"/>
      <c r="S1156" s="273"/>
      <c r="T1156" s="273"/>
      <c r="U1156" s="273"/>
      <c r="W1156" s="77"/>
      <c r="X1156" s="77"/>
      <c r="Y1156" s="77"/>
      <c r="Z1156" s="77"/>
      <c r="AA1156" s="77"/>
      <c r="AB1156" s="77"/>
      <c r="AC1156" s="77"/>
      <c r="AD1156" s="77"/>
      <c r="AE1156" s="77"/>
      <c r="AF1156" s="77"/>
      <c r="AG1156" s="77"/>
      <c r="AH1156" s="77"/>
    </row>
    <row r="1157" spans="11:34">
      <c r="K1157" s="273"/>
      <c r="S1157" s="273"/>
      <c r="T1157" s="273"/>
      <c r="U1157" s="273"/>
      <c r="W1157" s="77"/>
      <c r="X1157" s="77"/>
      <c r="Y1157" s="77"/>
      <c r="Z1157" s="77"/>
      <c r="AA1157" s="77"/>
      <c r="AB1157" s="77"/>
      <c r="AC1157" s="77"/>
      <c r="AD1157" s="77"/>
      <c r="AE1157" s="77"/>
      <c r="AF1157" s="77"/>
      <c r="AG1157" s="77"/>
      <c r="AH1157" s="77"/>
    </row>
    <row r="1158" spans="11:34">
      <c r="K1158" s="273"/>
      <c r="S1158" s="273"/>
      <c r="T1158" s="273"/>
      <c r="U1158" s="273"/>
      <c r="W1158" s="77"/>
      <c r="X1158" s="77"/>
      <c r="Y1158" s="77"/>
      <c r="Z1158" s="77"/>
      <c r="AA1158" s="77"/>
      <c r="AB1158" s="77"/>
      <c r="AC1158" s="77"/>
      <c r="AD1158" s="77"/>
      <c r="AE1158" s="77"/>
      <c r="AF1158" s="77"/>
      <c r="AG1158" s="77"/>
      <c r="AH1158" s="77"/>
    </row>
    <row r="1159" spans="11:34">
      <c r="K1159" s="273"/>
      <c r="S1159" s="273"/>
      <c r="T1159" s="273"/>
      <c r="U1159" s="273"/>
      <c r="W1159" s="77"/>
      <c r="X1159" s="77"/>
      <c r="Y1159" s="77"/>
      <c r="Z1159" s="77"/>
      <c r="AA1159" s="77"/>
      <c r="AB1159" s="77"/>
      <c r="AC1159" s="77"/>
      <c r="AD1159" s="77"/>
      <c r="AE1159" s="77"/>
      <c r="AF1159" s="77"/>
      <c r="AG1159" s="77"/>
      <c r="AH1159" s="77"/>
    </row>
    <row r="1160" spans="11:34">
      <c r="K1160" s="273"/>
      <c r="S1160" s="273"/>
      <c r="T1160" s="273"/>
      <c r="U1160" s="273"/>
      <c r="W1160" s="77"/>
      <c r="X1160" s="77"/>
      <c r="Y1160" s="77"/>
      <c r="Z1160" s="77"/>
      <c r="AA1160" s="77"/>
      <c r="AB1160" s="77"/>
      <c r="AC1160" s="77"/>
      <c r="AD1160" s="77"/>
      <c r="AE1160" s="77"/>
      <c r="AF1160" s="77"/>
      <c r="AG1160" s="77"/>
      <c r="AH1160" s="77"/>
    </row>
    <row r="1161" spans="11:34">
      <c r="K1161" s="273"/>
      <c r="S1161" s="273"/>
      <c r="T1161" s="273"/>
      <c r="U1161" s="273"/>
      <c r="W1161" s="77"/>
      <c r="X1161" s="77"/>
      <c r="Y1161" s="77"/>
      <c r="Z1161" s="77"/>
      <c r="AA1161" s="77"/>
      <c r="AB1161" s="77"/>
      <c r="AC1161" s="77"/>
      <c r="AD1161" s="77"/>
      <c r="AE1161" s="77"/>
      <c r="AF1161" s="77"/>
      <c r="AG1161" s="77"/>
      <c r="AH1161" s="77"/>
    </row>
    <row r="1162" spans="11:34">
      <c r="K1162" s="273"/>
      <c r="S1162" s="273"/>
      <c r="T1162" s="273"/>
      <c r="U1162" s="273"/>
      <c r="W1162" s="77"/>
      <c r="X1162" s="77"/>
      <c r="Y1162" s="77"/>
      <c r="Z1162" s="77"/>
      <c r="AA1162" s="77"/>
      <c r="AB1162" s="77"/>
      <c r="AC1162" s="77"/>
      <c r="AD1162" s="77"/>
      <c r="AE1162" s="77"/>
      <c r="AF1162" s="77"/>
      <c r="AG1162" s="77"/>
      <c r="AH1162" s="77"/>
    </row>
    <row r="1163" spans="11:34">
      <c r="K1163" s="273"/>
      <c r="S1163" s="273"/>
      <c r="T1163" s="273"/>
      <c r="U1163" s="273"/>
      <c r="W1163" s="77"/>
      <c r="X1163" s="77"/>
      <c r="Y1163" s="77"/>
      <c r="Z1163" s="77"/>
      <c r="AA1163" s="77"/>
      <c r="AB1163" s="77"/>
      <c r="AC1163" s="77"/>
      <c r="AD1163" s="77"/>
      <c r="AE1163" s="77"/>
      <c r="AF1163" s="77"/>
      <c r="AG1163" s="77"/>
      <c r="AH1163" s="77"/>
    </row>
    <row r="1164" spans="11:34">
      <c r="K1164" s="273"/>
      <c r="S1164" s="273"/>
      <c r="T1164" s="273"/>
      <c r="U1164" s="273"/>
      <c r="W1164" s="77"/>
      <c r="X1164" s="77"/>
      <c r="Y1164" s="77"/>
      <c r="Z1164" s="77"/>
      <c r="AA1164" s="77"/>
      <c r="AB1164" s="77"/>
      <c r="AC1164" s="77"/>
      <c r="AD1164" s="77"/>
      <c r="AE1164" s="77"/>
      <c r="AF1164" s="77"/>
      <c r="AG1164" s="77"/>
      <c r="AH1164" s="77"/>
    </row>
    <row r="1165" spans="11:34">
      <c r="K1165" s="273"/>
      <c r="S1165" s="273"/>
      <c r="T1165" s="273"/>
      <c r="U1165" s="273"/>
      <c r="W1165" s="77"/>
      <c r="X1165" s="77"/>
      <c r="Y1165" s="77"/>
      <c r="Z1165" s="77"/>
      <c r="AA1165" s="77"/>
      <c r="AB1165" s="77"/>
      <c r="AC1165" s="77"/>
      <c r="AD1165" s="77"/>
      <c r="AE1165" s="77"/>
      <c r="AF1165" s="77"/>
      <c r="AG1165" s="77"/>
      <c r="AH1165" s="77"/>
    </row>
    <row r="1166" spans="11:34">
      <c r="K1166" s="273"/>
      <c r="S1166" s="273"/>
      <c r="T1166" s="273"/>
      <c r="U1166" s="273"/>
      <c r="W1166" s="77"/>
      <c r="X1166" s="77"/>
      <c r="Y1166" s="77"/>
      <c r="Z1166" s="77"/>
      <c r="AA1166" s="77"/>
      <c r="AB1166" s="77"/>
      <c r="AC1166" s="77"/>
      <c r="AD1166" s="77"/>
      <c r="AE1166" s="77"/>
      <c r="AF1166" s="77"/>
      <c r="AG1166" s="77"/>
      <c r="AH1166" s="77"/>
    </row>
    <row r="1167" spans="11:34">
      <c r="K1167" s="273"/>
      <c r="S1167" s="273"/>
      <c r="T1167" s="273"/>
      <c r="U1167" s="273"/>
      <c r="W1167" s="77"/>
      <c r="X1167" s="77"/>
      <c r="Y1167" s="77"/>
      <c r="Z1167" s="77"/>
      <c r="AA1167" s="77"/>
      <c r="AB1167" s="77"/>
      <c r="AC1167" s="77"/>
      <c r="AD1167" s="77"/>
      <c r="AE1167" s="77"/>
      <c r="AF1167" s="77"/>
      <c r="AG1167" s="77"/>
      <c r="AH1167" s="77"/>
    </row>
    <row r="1168" spans="11:34">
      <c r="K1168" s="273"/>
      <c r="S1168" s="273"/>
      <c r="T1168" s="273"/>
      <c r="U1168" s="273"/>
      <c r="W1168" s="77"/>
      <c r="X1168" s="77"/>
      <c r="Y1168" s="77"/>
      <c r="Z1168" s="77"/>
      <c r="AA1168" s="77"/>
      <c r="AB1168" s="77"/>
      <c r="AC1168" s="77"/>
      <c r="AD1168" s="77"/>
      <c r="AE1168" s="77"/>
      <c r="AF1168" s="77"/>
      <c r="AG1168" s="77"/>
      <c r="AH1168" s="77"/>
    </row>
    <row r="1169" spans="11:34">
      <c r="K1169" s="273"/>
      <c r="S1169" s="273"/>
      <c r="T1169" s="273"/>
      <c r="U1169" s="273"/>
      <c r="W1169" s="77"/>
      <c r="X1169" s="77"/>
      <c r="Y1169" s="77"/>
      <c r="Z1169" s="77"/>
      <c r="AA1169" s="77"/>
      <c r="AB1169" s="77"/>
      <c r="AC1169" s="77"/>
      <c r="AD1169" s="77"/>
      <c r="AE1169" s="77"/>
      <c r="AF1169" s="77"/>
      <c r="AG1169" s="77"/>
      <c r="AH1169" s="77"/>
    </row>
    <row r="1170" spans="11:34">
      <c r="K1170" s="273"/>
      <c r="S1170" s="273"/>
      <c r="T1170" s="273"/>
      <c r="U1170" s="273"/>
      <c r="W1170" s="77"/>
      <c r="X1170" s="77"/>
      <c r="Y1170" s="77"/>
      <c r="Z1170" s="77"/>
      <c r="AA1170" s="77"/>
      <c r="AB1170" s="77"/>
      <c r="AC1170" s="77"/>
      <c r="AD1170" s="77"/>
      <c r="AE1170" s="77"/>
      <c r="AF1170" s="77"/>
      <c r="AG1170" s="77"/>
      <c r="AH1170" s="77"/>
    </row>
    <row r="1171" spans="11:34">
      <c r="K1171" s="273"/>
      <c r="S1171" s="273"/>
      <c r="T1171" s="273"/>
      <c r="U1171" s="273"/>
      <c r="W1171" s="77"/>
      <c r="X1171" s="77"/>
      <c r="Y1171" s="77"/>
      <c r="Z1171" s="77"/>
      <c r="AA1171" s="77"/>
      <c r="AB1171" s="77"/>
      <c r="AC1171" s="77"/>
      <c r="AD1171" s="77"/>
      <c r="AE1171" s="77"/>
      <c r="AF1171" s="77"/>
      <c r="AG1171" s="77"/>
      <c r="AH1171" s="77"/>
    </row>
    <row r="1172" spans="11:34">
      <c r="K1172" s="273"/>
      <c r="S1172" s="273"/>
      <c r="T1172" s="273"/>
      <c r="U1172" s="273"/>
      <c r="W1172" s="77"/>
      <c r="X1172" s="77"/>
      <c r="Y1172" s="77"/>
      <c r="Z1172" s="77"/>
      <c r="AA1172" s="77"/>
      <c r="AB1172" s="77"/>
      <c r="AC1172" s="77"/>
      <c r="AD1172" s="77"/>
      <c r="AE1172" s="77"/>
      <c r="AF1172" s="77"/>
      <c r="AG1172" s="77"/>
      <c r="AH1172" s="77"/>
    </row>
    <row r="1173" spans="11:34">
      <c r="K1173" s="273"/>
      <c r="S1173" s="273"/>
      <c r="T1173" s="273"/>
      <c r="U1173" s="273"/>
      <c r="W1173" s="77"/>
      <c r="X1173" s="77"/>
      <c r="Y1173" s="77"/>
      <c r="Z1173" s="77"/>
      <c r="AA1173" s="77"/>
      <c r="AB1173" s="77"/>
      <c r="AC1173" s="77"/>
      <c r="AD1173" s="77"/>
      <c r="AE1173" s="77"/>
      <c r="AF1173" s="77"/>
      <c r="AG1173" s="77"/>
      <c r="AH1173" s="77"/>
    </row>
    <row r="1174" spans="11:34">
      <c r="K1174" s="273"/>
      <c r="S1174" s="273"/>
      <c r="T1174" s="273"/>
      <c r="U1174" s="273"/>
      <c r="W1174" s="77"/>
      <c r="X1174" s="77"/>
      <c r="Y1174" s="77"/>
      <c r="Z1174" s="77"/>
      <c r="AA1174" s="77"/>
      <c r="AB1174" s="77"/>
      <c r="AC1174" s="77"/>
      <c r="AD1174" s="77"/>
      <c r="AE1174" s="77"/>
      <c r="AF1174" s="77"/>
      <c r="AG1174" s="77"/>
      <c r="AH1174" s="77"/>
    </row>
    <row r="1175" spans="11:34">
      <c r="K1175" s="273"/>
      <c r="S1175" s="273"/>
      <c r="T1175" s="273"/>
      <c r="U1175" s="273"/>
      <c r="W1175" s="77"/>
      <c r="X1175" s="77"/>
      <c r="Y1175" s="77"/>
      <c r="Z1175" s="77"/>
      <c r="AA1175" s="77"/>
      <c r="AB1175" s="77"/>
      <c r="AC1175" s="77"/>
      <c r="AD1175" s="77"/>
      <c r="AE1175" s="77"/>
      <c r="AF1175" s="77"/>
      <c r="AG1175" s="77"/>
      <c r="AH1175" s="77"/>
    </row>
    <row r="1176" spans="11:34">
      <c r="K1176" s="273"/>
      <c r="S1176" s="273"/>
      <c r="T1176" s="273"/>
      <c r="U1176" s="273"/>
      <c r="W1176" s="77"/>
      <c r="X1176" s="77"/>
      <c r="Y1176" s="77"/>
      <c r="Z1176" s="77"/>
      <c r="AA1176" s="77"/>
      <c r="AB1176" s="77"/>
      <c r="AC1176" s="77"/>
      <c r="AD1176" s="77"/>
      <c r="AE1176" s="77"/>
      <c r="AF1176" s="77"/>
      <c r="AG1176" s="77"/>
      <c r="AH1176" s="77"/>
    </row>
    <row r="1177" spans="11:34">
      <c r="K1177" s="273"/>
      <c r="S1177" s="273"/>
      <c r="T1177" s="273"/>
      <c r="U1177" s="273"/>
      <c r="W1177" s="77"/>
      <c r="X1177" s="77"/>
      <c r="Y1177" s="77"/>
      <c r="Z1177" s="77"/>
      <c r="AA1177" s="77"/>
      <c r="AB1177" s="77"/>
      <c r="AC1177" s="77"/>
      <c r="AD1177" s="77"/>
      <c r="AE1177" s="77"/>
      <c r="AF1177" s="77"/>
      <c r="AG1177" s="77"/>
      <c r="AH1177" s="77"/>
    </row>
    <row r="1178" spans="11:34">
      <c r="K1178" s="273"/>
      <c r="S1178" s="273"/>
      <c r="T1178" s="273"/>
      <c r="U1178" s="273"/>
      <c r="W1178" s="77"/>
      <c r="X1178" s="77"/>
      <c r="Y1178" s="77"/>
      <c r="Z1178" s="77"/>
      <c r="AA1178" s="77"/>
      <c r="AB1178" s="77"/>
      <c r="AC1178" s="77"/>
      <c r="AD1178" s="77"/>
      <c r="AE1178" s="77"/>
      <c r="AF1178" s="77"/>
      <c r="AG1178" s="77"/>
      <c r="AH1178" s="77"/>
    </row>
    <row r="1179" spans="11:34">
      <c r="K1179" s="273"/>
      <c r="S1179" s="273"/>
      <c r="T1179" s="273"/>
      <c r="U1179" s="273"/>
      <c r="W1179" s="77"/>
      <c r="X1179" s="77"/>
      <c r="Y1179" s="77"/>
      <c r="Z1179" s="77"/>
      <c r="AA1179" s="77"/>
      <c r="AB1179" s="77"/>
      <c r="AC1179" s="77"/>
      <c r="AD1179" s="77"/>
      <c r="AE1179" s="77"/>
      <c r="AF1179" s="77"/>
      <c r="AG1179" s="77"/>
      <c r="AH1179" s="77"/>
    </row>
    <row r="1180" spans="11:34">
      <c r="K1180" s="273"/>
      <c r="S1180" s="273"/>
      <c r="T1180" s="273"/>
      <c r="U1180" s="273"/>
      <c r="W1180" s="77"/>
      <c r="X1180" s="77"/>
      <c r="Y1180" s="77"/>
      <c r="Z1180" s="77"/>
      <c r="AA1180" s="77"/>
      <c r="AB1180" s="77"/>
      <c r="AC1180" s="77"/>
      <c r="AD1180" s="77"/>
      <c r="AE1180" s="77"/>
      <c r="AF1180" s="77"/>
      <c r="AG1180" s="77"/>
      <c r="AH1180" s="77"/>
    </row>
    <row r="1181" spans="11:34">
      <c r="K1181" s="273"/>
      <c r="S1181" s="273"/>
      <c r="T1181" s="273"/>
      <c r="U1181" s="273"/>
      <c r="W1181" s="77"/>
      <c r="X1181" s="77"/>
      <c r="Y1181" s="77"/>
      <c r="Z1181" s="77"/>
      <c r="AA1181" s="77"/>
      <c r="AB1181" s="77"/>
      <c r="AC1181" s="77"/>
      <c r="AD1181" s="77"/>
      <c r="AE1181" s="77"/>
      <c r="AF1181" s="77"/>
      <c r="AG1181" s="77"/>
      <c r="AH1181" s="77"/>
    </row>
    <row r="1182" spans="11:34">
      <c r="K1182" s="273"/>
      <c r="S1182" s="273"/>
      <c r="T1182" s="273"/>
      <c r="U1182" s="273"/>
      <c r="W1182" s="77"/>
      <c r="X1182" s="77"/>
      <c r="Y1182" s="77"/>
      <c r="Z1182" s="77"/>
      <c r="AA1182" s="77"/>
      <c r="AB1182" s="77"/>
      <c r="AC1182" s="77"/>
      <c r="AD1182" s="77"/>
      <c r="AE1182" s="77"/>
      <c r="AF1182" s="77"/>
      <c r="AG1182" s="77"/>
      <c r="AH1182" s="77"/>
    </row>
    <row r="1183" spans="11:34">
      <c r="K1183" s="273"/>
      <c r="S1183" s="273"/>
      <c r="T1183" s="273"/>
      <c r="U1183" s="273"/>
      <c r="W1183" s="77"/>
      <c r="X1183" s="77"/>
      <c r="Y1183" s="77"/>
      <c r="Z1183" s="77"/>
      <c r="AA1183" s="77"/>
      <c r="AB1183" s="77"/>
      <c r="AC1183" s="77"/>
      <c r="AD1183" s="77"/>
      <c r="AE1183" s="77"/>
      <c r="AF1183" s="77"/>
      <c r="AG1183" s="77"/>
      <c r="AH1183" s="77"/>
    </row>
    <row r="1184" spans="11:34">
      <c r="K1184" s="273"/>
      <c r="S1184" s="273"/>
      <c r="T1184" s="273"/>
      <c r="U1184" s="273"/>
      <c r="W1184" s="77"/>
      <c r="X1184" s="77"/>
      <c r="Y1184" s="77"/>
      <c r="Z1184" s="77"/>
      <c r="AA1184" s="77"/>
      <c r="AB1184" s="77"/>
      <c r="AC1184" s="77"/>
      <c r="AD1184" s="77"/>
      <c r="AE1184" s="77"/>
      <c r="AF1184" s="77"/>
      <c r="AG1184" s="77"/>
      <c r="AH1184" s="77"/>
    </row>
    <row r="1185" spans="11:34">
      <c r="K1185" s="273"/>
      <c r="S1185" s="273"/>
      <c r="T1185" s="273"/>
      <c r="U1185" s="273"/>
      <c r="W1185" s="77"/>
      <c r="X1185" s="77"/>
      <c r="Y1185" s="77"/>
      <c r="Z1185" s="77"/>
      <c r="AA1185" s="77"/>
      <c r="AB1185" s="77"/>
      <c r="AC1185" s="77"/>
      <c r="AD1185" s="77"/>
      <c r="AE1185" s="77"/>
      <c r="AF1185" s="77"/>
      <c r="AG1185" s="77"/>
      <c r="AH1185" s="77"/>
    </row>
    <row r="1186" spans="11:34">
      <c r="K1186" s="273"/>
      <c r="S1186" s="273"/>
      <c r="T1186" s="273"/>
      <c r="U1186" s="273"/>
      <c r="W1186" s="77"/>
      <c r="X1186" s="77"/>
      <c r="Y1186" s="77"/>
      <c r="Z1186" s="77"/>
      <c r="AA1186" s="77"/>
      <c r="AB1186" s="77"/>
      <c r="AC1186" s="77"/>
      <c r="AD1186" s="77"/>
      <c r="AE1186" s="77"/>
      <c r="AF1186" s="77"/>
      <c r="AG1186" s="77"/>
      <c r="AH1186" s="77"/>
    </row>
    <row r="1187" spans="11:34">
      <c r="K1187" s="273"/>
      <c r="S1187" s="273"/>
      <c r="T1187" s="273"/>
      <c r="U1187" s="273"/>
      <c r="W1187" s="77"/>
      <c r="X1187" s="77"/>
      <c r="Y1187" s="77"/>
      <c r="Z1187" s="77"/>
      <c r="AA1187" s="77"/>
      <c r="AB1187" s="77"/>
      <c r="AC1187" s="77"/>
      <c r="AD1187" s="77"/>
      <c r="AE1187" s="77"/>
      <c r="AF1187" s="77"/>
      <c r="AG1187" s="77"/>
      <c r="AH1187" s="77"/>
    </row>
    <row r="1188" spans="11:34">
      <c r="K1188" s="273"/>
      <c r="S1188" s="273"/>
      <c r="T1188" s="273"/>
      <c r="U1188" s="273"/>
      <c r="W1188" s="77"/>
      <c r="X1188" s="77"/>
      <c r="Y1188" s="77"/>
      <c r="Z1188" s="77"/>
      <c r="AA1188" s="77"/>
      <c r="AB1188" s="77"/>
      <c r="AC1188" s="77"/>
      <c r="AD1188" s="77"/>
      <c r="AE1188" s="77"/>
      <c r="AF1188" s="77"/>
      <c r="AG1188" s="77"/>
      <c r="AH1188" s="77"/>
    </row>
    <row r="1189" spans="11:34">
      <c r="K1189" s="273"/>
      <c r="S1189" s="273"/>
      <c r="T1189" s="273"/>
      <c r="U1189" s="273"/>
      <c r="W1189" s="77"/>
      <c r="X1189" s="77"/>
      <c r="Y1189" s="77"/>
      <c r="Z1189" s="77"/>
      <c r="AA1189" s="77"/>
      <c r="AB1189" s="77"/>
      <c r="AC1189" s="77"/>
      <c r="AD1189" s="77"/>
      <c r="AE1189" s="77"/>
      <c r="AF1189" s="77"/>
      <c r="AG1189" s="77"/>
      <c r="AH1189" s="77"/>
    </row>
    <row r="1190" spans="11:34">
      <c r="K1190" s="273"/>
      <c r="S1190" s="273"/>
      <c r="T1190" s="273"/>
      <c r="U1190" s="273"/>
      <c r="W1190" s="77"/>
      <c r="X1190" s="77"/>
      <c r="Y1190" s="77"/>
      <c r="Z1190" s="77"/>
      <c r="AA1190" s="77"/>
      <c r="AB1190" s="77"/>
      <c r="AC1190" s="77"/>
      <c r="AD1190" s="77"/>
      <c r="AE1190" s="77"/>
      <c r="AF1190" s="77"/>
      <c r="AG1190" s="77"/>
      <c r="AH1190" s="77"/>
    </row>
    <row r="1191" spans="11:34">
      <c r="K1191" s="273"/>
      <c r="S1191" s="273"/>
      <c r="T1191" s="273"/>
      <c r="U1191" s="273"/>
      <c r="W1191" s="77"/>
      <c r="X1191" s="77"/>
      <c r="Y1191" s="77"/>
      <c r="Z1191" s="77"/>
      <c r="AA1191" s="77"/>
      <c r="AB1191" s="77"/>
      <c r="AC1191" s="77"/>
      <c r="AD1191" s="77"/>
      <c r="AE1191" s="77"/>
      <c r="AF1191" s="77"/>
      <c r="AG1191" s="77"/>
      <c r="AH1191" s="77"/>
    </row>
    <row r="1192" spans="11:34">
      <c r="K1192" s="273"/>
      <c r="S1192" s="273"/>
      <c r="T1192" s="273"/>
      <c r="U1192" s="273"/>
      <c r="W1192" s="77"/>
      <c r="X1192" s="77"/>
      <c r="Y1192" s="77"/>
      <c r="Z1192" s="77"/>
      <c r="AA1192" s="77"/>
      <c r="AB1192" s="77"/>
      <c r="AC1192" s="77"/>
      <c r="AD1192" s="77"/>
      <c r="AE1192" s="77"/>
      <c r="AF1192" s="77"/>
      <c r="AG1192" s="77"/>
      <c r="AH1192" s="77"/>
    </row>
    <row r="1193" spans="11:34">
      <c r="K1193" s="273"/>
      <c r="S1193" s="273"/>
      <c r="T1193" s="273"/>
      <c r="U1193" s="273"/>
      <c r="W1193" s="77"/>
      <c r="X1193" s="77"/>
      <c r="Y1193" s="77"/>
      <c r="Z1193" s="77"/>
      <c r="AA1193" s="77"/>
      <c r="AB1193" s="77"/>
      <c r="AC1193" s="77"/>
      <c r="AD1193" s="77"/>
      <c r="AE1193" s="77"/>
      <c r="AF1193" s="77"/>
      <c r="AG1193" s="77"/>
      <c r="AH1193" s="77"/>
    </row>
    <row r="1194" spans="11:34">
      <c r="K1194" s="273"/>
      <c r="S1194" s="273"/>
      <c r="T1194" s="273"/>
      <c r="U1194" s="273"/>
      <c r="W1194" s="77"/>
      <c r="X1194" s="77"/>
      <c r="Y1194" s="77"/>
      <c r="Z1194" s="77"/>
      <c r="AA1194" s="77"/>
      <c r="AB1194" s="77"/>
      <c r="AC1194" s="77"/>
      <c r="AD1194" s="77"/>
      <c r="AE1194" s="77"/>
      <c r="AF1194" s="77"/>
      <c r="AG1194" s="77"/>
      <c r="AH1194" s="77"/>
    </row>
    <row r="1195" spans="11:34">
      <c r="K1195" s="273"/>
      <c r="S1195" s="273"/>
      <c r="T1195" s="273"/>
      <c r="U1195" s="273"/>
      <c r="W1195" s="77"/>
      <c r="X1195" s="77"/>
      <c r="Y1195" s="77"/>
      <c r="Z1195" s="77"/>
      <c r="AA1195" s="77"/>
      <c r="AB1195" s="77"/>
      <c r="AC1195" s="77"/>
      <c r="AD1195" s="77"/>
      <c r="AE1195" s="77"/>
      <c r="AF1195" s="77"/>
      <c r="AG1195" s="77"/>
      <c r="AH1195" s="77"/>
    </row>
    <row r="1196" spans="11:34">
      <c r="K1196" s="273"/>
      <c r="S1196" s="273"/>
      <c r="T1196" s="273"/>
      <c r="U1196" s="273"/>
      <c r="W1196" s="77"/>
      <c r="X1196" s="77"/>
      <c r="Y1196" s="77"/>
      <c r="Z1196" s="77"/>
      <c r="AA1196" s="77"/>
      <c r="AB1196" s="77"/>
      <c r="AC1196" s="77"/>
      <c r="AD1196" s="77"/>
      <c r="AE1196" s="77"/>
      <c r="AF1196" s="77"/>
      <c r="AG1196" s="77"/>
      <c r="AH1196" s="77"/>
    </row>
    <row r="1197" spans="11:34">
      <c r="K1197" s="273"/>
      <c r="S1197" s="273"/>
      <c r="T1197" s="273"/>
      <c r="U1197" s="273"/>
      <c r="W1197" s="77"/>
      <c r="X1197" s="77"/>
      <c r="Y1197" s="77"/>
      <c r="Z1197" s="77"/>
      <c r="AA1197" s="77"/>
      <c r="AB1197" s="77"/>
      <c r="AC1197" s="77"/>
      <c r="AD1197" s="77"/>
      <c r="AE1197" s="77"/>
      <c r="AF1197" s="77"/>
      <c r="AG1197" s="77"/>
      <c r="AH1197" s="77"/>
    </row>
    <row r="1198" spans="11:34">
      <c r="K1198" s="273"/>
      <c r="S1198" s="273"/>
      <c r="T1198" s="273"/>
      <c r="U1198" s="273"/>
      <c r="W1198" s="77"/>
      <c r="X1198" s="77"/>
      <c r="Y1198" s="77"/>
      <c r="Z1198" s="77"/>
      <c r="AA1198" s="77"/>
      <c r="AB1198" s="77"/>
      <c r="AC1198" s="77"/>
      <c r="AD1198" s="77"/>
      <c r="AE1198" s="77"/>
      <c r="AF1198" s="77"/>
      <c r="AG1198" s="77"/>
      <c r="AH1198" s="77"/>
    </row>
    <row r="1199" spans="11:34">
      <c r="K1199" s="273"/>
      <c r="S1199" s="273"/>
      <c r="T1199" s="273"/>
      <c r="U1199" s="273"/>
      <c r="W1199" s="77"/>
      <c r="X1199" s="77"/>
      <c r="Y1199" s="77"/>
      <c r="Z1199" s="77"/>
      <c r="AA1199" s="77"/>
      <c r="AB1199" s="77"/>
      <c r="AC1199" s="77"/>
      <c r="AD1199" s="77"/>
      <c r="AE1199" s="77"/>
      <c r="AF1199" s="77"/>
      <c r="AG1199" s="77"/>
      <c r="AH1199" s="77"/>
    </row>
    <row r="1200" spans="11:34">
      <c r="K1200" s="273"/>
      <c r="S1200" s="273"/>
      <c r="T1200" s="273"/>
      <c r="U1200" s="273"/>
      <c r="W1200" s="77"/>
      <c r="X1200" s="77"/>
      <c r="Y1200" s="77"/>
      <c r="Z1200" s="77"/>
      <c r="AA1200" s="77"/>
      <c r="AB1200" s="77"/>
      <c r="AC1200" s="77"/>
      <c r="AD1200" s="77"/>
      <c r="AE1200" s="77"/>
      <c r="AF1200" s="77"/>
      <c r="AG1200" s="77"/>
      <c r="AH1200" s="77"/>
    </row>
    <row r="1201" spans="11:34">
      <c r="K1201" s="273"/>
      <c r="S1201" s="273"/>
      <c r="T1201" s="273"/>
      <c r="U1201" s="273"/>
      <c r="W1201" s="77"/>
      <c r="X1201" s="77"/>
      <c r="Y1201" s="77"/>
      <c r="Z1201" s="77"/>
      <c r="AA1201" s="77"/>
      <c r="AB1201" s="77"/>
      <c r="AC1201" s="77"/>
      <c r="AD1201" s="77"/>
      <c r="AE1201" s="77"/>
      <c r="AF1201" s="77"/>
      <c r="AG1201" s="77"/>
      <c r="AH1201" s="77"/>
    </row>
    <row r="1202" spans="11:34">
      <c r="K1202" s="273"/>
      <c r="S1202" s="273"/>
      <c r="T1202" s="273"/>
      <c r="U1202" s="273"/>
      <c r="W1202" s="77"/>
      <c r="X1202" s="77"/>
      <c r="Y1202" s="77"/>
      <c r="Z1202" s="77"/>
      <c r="AA1202" s="77"/>
      <c r="AB1202" s="77"/>
      <c r="AC1202" s="77"/>
      <c r="AD1202" s="77"/>
      <c r="AE1202" s="77"/>
      <c r="AF1202" s="77"/>
      <c r="AG1202" s="77"/>
      <c r="AH1202" s="77"/>
    </row>
    <row r="1203" spans="11:34">
      <c r="K1203" s="273"/>
      <c r="S1203" s="273"/>
      <c r="T1203" s="273"/>
      <c r="U1203" s="273"/>
      <c r="W1203" s="77"/>
      <c r="X1203" s="77"/>
      <c r="Y1203" s="77"/>
      <c r="Z1203" s="77"/>
      <c r="AA1203" s="77"/>
      <c r="AB1203" s="77"/>
      <c r="AC1203" s="77"/>
      <c r="AD1203" s="77"/>
      <c r="AE1203" s="77"/>
      <c r="AF1203" s="77"/>
      <c r="AG1203" s="77"/>
      <c r="AH1203" s="77"/>
    </row>
    <row r="1204" spans="11:34">
      <c r="K1204" s="273"/>
      <c r="S1204" s="273"/>
      <c r="T1204" s="273"/>
      <c r="U1204" s="273"/>
      <c r="W1204" s="77"/>
      <c r="X1204" s="77"/>
      <c r="Y1204" s="77"/>
      <c r="Z1204" s="77"/>
      <c r="AA1204" s="77"/>
      <c r="AB1204" s="77"/>
      <c r="AC1204" s="77"/>
      <c r="AD1204" s="77"/>
      <c r="AE1204" s="77"/>
      <c r="AF1204" s="77"/>
      <c r="AG1204" s="77"/>
      <c r="AH1204" s="77"/>
    </row>
    <row r="1205" spans="11:34">
      <c r="K1205" s="273"/>
      <c r="S1205" s="273"/>
      <c r="T1205" s="273"/>
      <c r="U1205" s="273"/>
      <c r="W1205" s="77"/>
      <c r="X1205" s="77"/>
      <c r="Y1205" s="77"/>
      <c r="Z1205" s="77"/>
      <c r="AA1205" s="77"/>
      <c r="AB1205" s="77"/>
      <c r="AC1205" s="77"/>
      <c r="AD1205" s="77"/>
      <c r="AE1205" s="77"/>
      <c r="AF1205" s="77"/>
      <c r="AG1205" s="77"/>
      <c r="AH1205" s="77"/>
    </row>
    <row r="1206" spans="11:34">
      <c r="K1206" s="273"/>
      <c r="S1206" s="273"/>
      <c r="T1206" s="273"/>
      <c r="U1206" s="273"/>
      <c r="W1206" s="77"/>
      <c r="X1206" s="77"/>
      <c r="Y1206" s="77"/>
      <c r="Z1206" s="77"/>
      <c r="AA1206" s="77"/>
      <c r="AB1206" s="77"/>
      <c r="AC1206" s="77"/>
      <c r="AD1206" s="77"/>
      <c r="AE1206" s="77"/>
      <c r="AF1206" s="77"/>
      <c r="AG1206" s="77"/>
      <c r="AH1206" s="77"/>
    </row>
    <row r="1207" spans="11:34">
      <c r="K1207" s="273"/>
      <c r="S1207" s="273"/>
      <c r="T1207" s="273"/>
      <c r="U1207" s="273"/>
      <c r="W1207" s="77"/>
      <c r="X1207" s="77"/>
      <c r="Y1207" s="77"/>
      <c r="Z1207" s="77"/>
      <c r="AA1207" s="77"/>
      <c r="AB1207" s="77"/>
      <c r="AC1207" s="77"/>
      <c r="AD1207" s="77"/>
      <c r="AE1207" s="77"/>
      <c r="AF1207" s="77"/>
      <c r="AG1207" s="77"/>
      <c r="AH1207" s="77"/>
    </row>
    <row r="1208" spans="11:34">
      <c r="K1208" s="273"/>
      <c r="S1208" s="273"/>
      <c r="T1208" s="273"/>
      <c r="U1208" s="273"/>
      <c r="W1208" s="77"/>
      <c r="X1208" s="77"/>
      <c r="Y1208" s="77"/>
      <c r="Z1208" s="77"/>
      <c r="AA1208" s="77"/>
      <c r="AB1208" s="77"/>
      <c r="AC1208" s="77"/>
      <c r="AD1208" s="77"/>
      <c r="AE1208" s="77"/>
      <c r="AF1208" s="77"/>
      <c r="AG1208" s="77"/>
      <c r="AH1208" s="77"/>
    </row>
    <row r="1209" spans="11:34">
      <c r="K1209" s="273"/>
      <c r="S1209" s="273"/>
      <c r="T1209" s="273"/>
      <c r="U1209" s="273"/>
      <c r="W1209" s="77"/>
      <c r="X1209" s="77"/>
      <c r="Y1209" s="77"/>
      <c r="Z1209" s="77"/>
      <c r="AA1209" s="77"/>
      <c r="AB1209" s="77"/>
      <c r="AC1209" s="77"/>
      <c r="AD1209" s="77"/>
      <c r="AE1209" s="77"/>
      <c r="AF1209" s="77"/>
      <c r="AG1209" s="77"/>
      <c r="AH1209" s="77"/>
    </row>
    <row r="1210" spans="11:34">
      <c r="K1210" s="273"/>
      <c r="S1210" s="273"/>
      <c r="T1210" s="273"/>
      <c r="U1210" s="273"/>
      <c r="W1210" s="77"/>
      <c r="X1210" s="77"/>
      <c r="Y1210" s="77"/>
      <c r="Z1210" s="77"/>
      <c r="AA1210" s="77"/>
      <c r="AB1210" s="77"/>
      <c r="AC1210" s="77"/>
      <c r="AD1210" s="77"/>
      <c r="AE1210" s="77"/>
      <c r="AF1210" s="77"/>
      <c r="AG1210" s="77"/>
      <c r="AH1210" s="77"/>
    </row>
    <row r="1211" spans="11:34">
      <c r="K1211" s="273"/>
      <c r="S1211" s="273"/>
      <c r="T1211" s="273"/>
      <c r="U1211" s="273"/>
      <c r="W1211" s="77"/>
      <c r="X1211" s="77"/>
      <c r="Y1211" s="77"/>
      <c r="Z1211" s="77"/>
      <c r="AA1211" s="77"/>
      <c r="AB1211" s="77"/>
      <c r="AC1211" s="77"/>
      <c r="AD1211" s="77"/>
      <c r="AE1211" s="77"/>
      <c r="AF1211" s="77"/>
      <c r="AG1211" s="77"/>
      <c r="AH1211" s="77"/>
    </row>
    <row r="1212" spans="11:34">
      <c r="K1212" s="273"/>
      <c r="S1212" s="273"/>
      <c r="T1212" s="273"/>
      <c r="U1212" s="273"/>
      <c r="W1212" s="77"/>
      <c r="X1212" s="77"/>
      <c r="Y1212" s="77"/>
      <c r="Z1212" s="77"/>
      <c r="AA1212" s="77"/>
      <c r="AB1212" s="77"/>
      <c r="AC1212" s="77"/>
      <c r="AD1212" s="77"/>
      <c r="AE1212" s="77"/>
      <c r="AF1212" s="77"/>
      <c r="AG1212" s="77"/>
      <c r="AH1212" s="77"/>
    </row>
    <row r="1213" spans="11:34">
      <c r="K1213" s="273"/>
      <c r="S1213" s="273"/>
      <c r="T1213" s="273"/>
      <c r="U1213" s="273"/>
      <c r="W1213" s="77"/>
      <c r="X1213" s="77"/>
      <c r="Y1213" s="77"/>
      <c r="Z1213" s="77"/>
      <c r="AA1213" s="77"/>
      <c r="AB1213" s="77"/>
      <c r="AC1213" s="77"/>
      <c r="AD1213" s="77"/>
      <c r="AE1213" s="77"/>
      <c r="AF1213" s="77"/>
      <c r="AG1213" s="77"/>
      <c r="AH1213" s="77"/>
    </row>
    <row r="1214" spans="11:34">
      <c r="K1214" s="273"/>
      <c r="S1214" s="273"/>
      <c r="T1214" s="273"/>
      <c r="U1214" s="273"/>
      <c r="W1214" s="77"/>
      <c r="X1214" s="77"/>
      <c r="Y1214" s="77"/>
      <c r="Z1214" s="77"/>
      <c r="AA1214" s="77"/>
      <c r="AB1214" s="77"/>
      <c r="AC1214" s="77"/>
      <c r="AD1214" s="77"/>
      <c r="AE1214" s="77"/>
      <c r="AF1214" s="77"/>
      <c r="AG1214" s="77"/>
      <c r="AH1214" s="77"/>
    </row>
    <row r="1215" spans="11:34">
      <c r="K1215" s="273"/>
      <c r="S1215" s="273"/>
      <c r="T1215" s="273"/>
      <c r="U1215" s="273"/>
      <c r="W1215" s="77"/>
      <c r="X1215" s="77"/>
      <c r="Y1215" s="77"/>
      <c r="Z1215" s="77"/>
      <c r="AA1215" s="77"/>
      <c r="AB1215" s="77"/>
      <c r="AC1215" s="77"/>
      <c r="AD1215" s="77"/>
      <c r="AE1215" s="77"/>
      <c r="AF1215" s="77"/>
      <c r="AG1215" s="77"/>
      <c r="AH1215" s="77"/>
    </row>
    <row r="1216" spans="11:34">
      <c r="K1216" s="273"/>
      <c r="S1216" s="273"/>
      <c r="T1216" s="273"/>
      <c r="U1216" s="273"/>
      <c r="W1216" s="77"/>
      <c r="X1216" s="77"/>
      <c r="Y1216" s="77"/>
      <c r="Z1216" s="77"/>
      <c r="AA1216" s="77"/>
      <c r="AB1216" s="77"/>
      <c r="AC1216" s="77"/>
      <c r="AD1216" s="77"/>
      <c r="AE1216" s="77"/>
      <c r="AF1216" s="77"/>
      <c r="AG1216" s="77"/>
      <c r="AH1216" s="77"/>
    </row>
    <row r="1217" spans="11:34">
      <c r="K1217" s="273"/>
      <c r="S1217" s="273"/>
      <c r="T1217" s="273"/>
      <c r="U1217" s="273"/>
      <c r="W1217" s="77"/>
      <c r="X1217" s="77"/>
      <c r="Y1217" s="77"/>
      <c r="Z1217" s="77"/>
      <c r="AA1217" s="77"/>
      <c r="AB1217" s="77"/>
      <c r="AC1217" s="77"/>
      <c r="AD1217" s="77"/>
      <c r="AE1217" s="77"/>
      <c r="AF1217" s="77"/>
      <c r="AG1217" s="77"/>
      <c r="AH1217" s="77"/>
    </row>
    <row r="1218" spans="11:34">
      <c r="K1218" s="273"/>
      <c r="S1218" s="273"/>
      <c r="T1218" s="273"/>
      <c r="U1218" s="273"/>
      <c r="W1218" s="77"/>
      <c r="X1218" s="77"/>
      <c r="Y1218" s="77"/>
      <c r="Z1218" s="77"/>
      <c r="AA1218" s="77"/>
      <c r="AB1218" s="77"/>
      <c r="AC1218" s="77"/>
      <c r="AD1218" s="77"/>
      <c r="AE1218" s="77"/>
      <c r="AF1218" s="77"/>
      <c r="AG1218" s="77"/>
      <c r="AH1218" s="77"/>
    </row>
    <row r="1219" spans="11:34">
      <c r="K1219" s="273"/>
      <c r="S1219" s="273"/>
      <c r="T1219" s="273"/>
      <c r="U1219" s="273"/>
      <c r="W1219" s="77"/>
      <c r="X1219" s="77"/>
      <c r="Y1219" s="77"/>
      <c r="Z1219" s="77"/>
      <c r="AA1219" s="77"/>
      <c r="AB1219" s="77"/>
      <c r="AC1219" s="77"/>
      <c r="AD1219" s="77"/>
      <c r="AE1219" s="77"/>
      <c r="AF1219" s="77"/>
      <c r="AG1219" s="77"/>
      <c r="AH1219" s="77"/>
    </row>
    <row r="1220" spans="11:34">
      <c r="K1220" s="273"/>
      <c r="S1220" s="273"/>
      <c r="T1220" s="273"/>
      <c r="U1220" s="273"/>
      <c r="W1220" s="77"/>
      <c r="X1220" s="77"/>
      <c r="Y1220" s="77"/>
      <c r="Z1220" s="77"/>
      <c r="AA1220" s="77"/>
      <c r="AB1220" s="77"/>
      <c r="AC1220" s="77"/>
      <c r="AD1220" s="77"/>
      <c r="AE1220" s="77"/>
      <c r="AF1220" s="77"/>
      <c r="AG1220" s="77"/>
      <c r="AH1220" s="77"/>
    </row>
    <row r="1221" spans="11:34">
      <c r="K1221" s="273"/>
      <c r="S1221" s="273"/>
      <c r="T1221" s="273"/>
      <c r="U1221" s="273"/>
      <c r="W1221" s="77"/>
      <c r="X1221" s="77"/>
      <c r="Y1221" s="77"/>
      <c r="Z1221" s="77"/>
      <c r="AA1221" s="77"/>
      <c r="AB1221" s="77"/>
      <c r="AC1221" s="77"/>
      <c r="AD1221" s="77"/>
      <c r="AE1221" s="77"/>
      <c r="AF1221" s="77"/>
      <c r="AG1221" s="77"/>
      <c r="AH1221" s="77"/>
    </row>
    <row r="1222" spans="11:34">
      <c r="K1222" s="273"/>
      <c r="S1222" s="273"/>
      <c r="T1222" s="273"/>
      <c r="U1222" s="273"/>
      <c r="W1222" s="77"/>
      <c r="X1222" s="77"/>
      <c r="Y1222" s="77"/>
      <c r="Z1222" s="77"/>
      <c r="AA1222" s="77"/>
      <c r="AB1222" s="77"/>
      <c r="AC1222" s="77"/>
      <c r="AD1222" s="77"/>
      <c r="AE1222" s="77"/>
      <c r="AF1222" s="77"/>
      <c r="AG1222" s="77"/>
      <c r="AH1222" s="77"/>
    </row>
    <row r="1223" spans="11:34">
      <c r="K1223" s="273"/>
      <c r="S1223" s="273"/>
      <c r="T1223" s="273"/>
      <c r="U1223" s="273"/>
      <c r="W1223" s="77"/>
      <c r="X1223" s="77"/>
      <c r="Y1223" s="77"/>
      <c r="Z1223" s="77"/>
      <c r="AA1223" s="77"/>
      <c r="AB1223" s="77"/>
      <c r="AC1223" s="77"/>
      <c r="AD1223" s="77"/>
      <c r="AE1223" s="77"/>
      <c r="AF1223" s="77"/>
      <c r="AG1223" s="77"/>
      <c r="AH1223" s="77"/>
    </row>
    <row r="1224" spans="11:34">
      <c r="K1224" s="273"/>
      <c r="S1224" s="273"/>
      <c r="T1224" s="273"/>
      <c r="U1224" s="273"/>
      <c r="W1224" s="77"/>
      <c r="X1224" s="77"/>
      <c r="Y1224" s="77"/>
      <c r="Z1224" s="77"/>
      <c r="AA1224" s="77"/>
      <c r="AB1224" s="77"/>
      <c r="AC1224" s="77"/>
      <c r="AD1224" s="77"/>
      <c r="AE1224" s="77"/>
      <c r="AF1224" s="77"/>
      <c r="AG1224" s="77"/>
      <c r="AH1224" s="77"/>
    </row>
    <row r="1225" spans="11:34">
      <c r="K1225" s="273"/>
      <c r="S1225" s="273"/>
      <c r="T1225" s="273"/>
      <c r="U1225" s="273"/>
      <c r="W1225" s="77"/>
      <c r="X1225" s="77"/>
      <c r="Y1225" s="77"/>
      <c r="Z1225" s="77"/>
      <c r="AA1225" s="77"/>
      <c r="AB1225" s="77"/>
      <c r="AC1225" s="77"/>
      <c r="AD1225" s="77"/>
      <c r="AE1225" s="77"/>
      <c r="AF1225" s="77"/>
      <c r="AG1225" s="77"/>
      <c r="AH1225" s="77"/>
    </row>
    <row r="1226" spans="11:34">
      <c r="K1226" s="273"/>
      <c r="S1226" s="273"/>
      <c r="T1226" s="273"/>
      <c r="U1226" s="273"/>
      <c r="W1226" s="77"/>
      <c r="X1226" s="77"/>
      <c r="Y1226" s="77"/>
      <c r="Z1226" s="77"/>
      <c r="AA1226" s="77"/>
      <c r="AB1226" s="77"/>
      <c r="AC1226" s="77"/>
      <c r="AD1226" s="77"/>
      <c r="AE1226" s="77"/>
      <c r="AF1226" s="77"/>
      <c r="AG1226" s="77"/>
      <c r="AH1226" s="77"/>
    </row>
    <row r="1227" spans="11:34">
      <c r="K1227" s="273"/>
      <c r="S1227" s="273"/>
      <c r="T1227" s="273"/>
      <c r="U1227" s="273"/>
      <c r="W1227" s="77"/>
      <c r="X1227" s="77"/>
      <c r="Y1227" s="77"/>
      <c r="Z1227" s="77"/>
      <c r="AA1227" s="77"/>
      <c r="AB1227" s="77"/>
      <c r="AC1227" s="77"/>
      <c r="AD1227" s="77"/>
      <c r="AE1227" s="77"/>
      <c r="AF1227" s="77"/>
      <c r="AG1227" s="77"/>
      <c r="AH1227" s="77"/>
    </row>
    <row r="1228" spans="11:34">
      <c r="K1228" s="273"/>
      <c r="S1228" s="273"/>
      <c r="T1228" s="273"/>
      <c r="U1228" s="273"/>
      <c r="W1228" s="77"/>
      <c r="X1228" s="77"/>
      <c r="Y1228" s="77"/>
      <c r="Z1228" s="77"/>
      <c r="AA1228" s="77"/>
      <c r="AB1228" s="77"/>
      <c r="AC1228" s="77"/>
      <c r="AD1228" s="77"/>
      <c r="AE1228" s="77"/>
      <c r="AF1228" s="77"/>
      <c r="AG1228" s="77"/>
      <c r="AH1228" s="77"/>
    </row>
    <row r="1229" spans="11:34">
      <c r="K1229" s="273"/>
      <c r="S1229" s="273"/>
      <c r="T1229" s="273"/>
      <c r="U1229" s="273"/>
      <c r="W1229" s="77"/>
      <c r="X1229" s="77"/>
      <c r="Y1229" s="77"/>
      <c r="Z1229" s="77"/>
      <c r="AA1229" s="77"/>
      <c r="AB1229" s="77"/>
      <c r="AC1229" s="77"/>
      <c r="AD1229" s="77"/>
      <c r="AE1229" s="77"/>
      <c r="AF1229" s="77"/>
      <c r="AG1229" s="77"/>
      <c r="AH1229" s="77"/>
    </row>
    <row r="1230" spans="11:34">
      <c r="K1230" s="273"/>
      <c r="S1230" s="273"/>
      <c r="T1230" s="273"/>
      <c r="U1230" s="273"/>
      <c r="W1230" s="77"/>
      <c r="X1230" s="77"/>
      <c r="Y1230" s="77"/>
      <c r="Z1230" s="77"/>
      <c r="AA1230" s="77"/>
      <c r="AB1230" s="77"/>
      <c r="AC1230" s="77"/>
      <c r="AD1230" s="77"/>
      <c r="AE1230" s="77"/>
      <c r="AF1230" s="77"/>
      <c r="AG1230" s="77"/>
      <c r="AH1230" s="77"/>
    </row>
    <row r="1231" spans="11:34">
      <c r="K1231" s="273"/>
      <c r="S1231" s="273"/>
      <c r="T1231" s="273"/>
      <c r="U1231" s="273"/>
      <c r="W1231" s="77"/>
      <c r="X1231" s="77"/>
      <c r="Y1231" s="77"/>
      <c r="Z1231" s="77"/>
      <c r="AA1231" s="77"/>
      <c r="AB1231" s="77"/>
      <c r="AC1231" s="77"/>
      <c r="AD1231" s="77"/>
      <c r="AE1231" s="77"/>
      <c r="AF1231" s="77"/>
      <c r="AG1231" s="77"/>
      <c r="AH1231" s="77"/>
    </row>
    <row r="1232" spans="11:34">
      <c r="K1232" s="273"/>
      <c r="S1232" s="273"/>
      <c r="T1232" s="273"/>
      <c r="U1232" s="273"/>
      <c r="W1232" s="77"/>
      <c r="X1232" s="77"/>
      <c r="Y1232" s="77"/>
      <c r="Z1232" s="77"/>
      <c r="AA1232" s="77"/>
      <c r="AB1232" s="77"/>
      <c r="AC1232" s="77"/>
      <c r="AD1232" s="77"/>
      <c r="AE1232" s="77"/>
      <c r="AF1232" s="77"/>
      <c r="AG1232" s="77"/>
      <c r="AH1232" s="77"/>
    </row>
    <row r="1233" spans="11:34">
      <c r="K1233" s="273"/>
      <c r="S1233" s="273"/>
      <c r="T1233" s="273"/>
      <c r="U1233" s="273"/>
      <c r="W1233" s="77"/>
      <c r="X1233" s="77"/>
      <c r="Y1233" s="77"/>
      <c r="Z1233" s="77"/>
      <c r="AA1233" s="77"/>
      <c r="AB1233" s="77"/>
      <c r="AC1233" s="77"/>
      <c r="AD1233" s="77"/>
      <c r="AE1233" s="77"/>
      <c r="AF1233" s="77"/>
      <c r="AG1233" s="77"/>
      <c r="AH1233" s="77"/>
    </row>
    <row r="1234" spans="11:34">
      <c r="K1234" s="273"/>
      <c r="S1234" s="273"/>
      <c r="T1234" s="273"/>
      <c r="U1234" s="273"/>
      <c r="W1234" s="77"/>
      <c r="X1234" s="77"/>
      <c r="Y1234" s="77"/>
      <c r="Z1234" s="77"/>
      <c r="AA1234" s="77"/>
      <c r="AB1234" s="77"/>
      <c r="AC1234" s="77"/>
      <c r="AD1234" s="77"/>
      <c r="AE1234" s="77"/>
      <c r="AF1234" s="77"/>
      <c r="AG1234" s="77"/>
      <c r="AH1234" s="77"/>
    </row>
    <row r="1235" spans="11:34">
      <c r="K1235" s="273"/>
      <c r="S1235" s="273"/>
      <c r="T1235" s="273"/>
      <c r="U1235" s="273"/>
      <c r="W1235" s="77"/>
      <c r="X1235" s="77"/>
      <c r="Y1235" s="77"/>
      <c r="Z1235" s="77"/>
      <c r="AA1235" s="77"/>
      <c r="AB1235" s="77"/>
      <c r="AC1235" s="77"/>
      <c r="AD1235" s="77"/>
      <c r="AE1235" s="77"/>
      <c r="AF1235" s="77"/>
      <c r="AG1235" s="77"/>
      <c r="AH1235" s="77"/>
    </row>
    <row r="1236" spans="11:34">
      <c r="K1236" s="273"/>
      <c r="S1236" s="273"/>
      <c r="T1236" s="273"/>
      <c r="U1236" s="273"/>
      <c r="W1236" s="77"/>
      <c r="X1236" s="77"/>
      <c r="Y1236" s="77"/>
      <c r="Z1236" s="77"/>
      <c r="AA1236" s="77"/>
      <c r="AB1236" s="77"/>
      <c r="AC1236" s="77"/>
      <c r="AD1236" s="77"/>
      <c r="AE1236" s="77"/>
      <c r="AF1236" s="77"/>
      <c r="AG1236" s="77"/>
      <c r="AH1236" s="77"/>
    </row>
    <row r="1237" spans="11:34">
      <c r="K1237" s="273"/>
      <c r="S1237" s="273"/>
      <c r="T1237" s="273"/>
      <c r="U1237" s="273"/>
      <c r="W1237" s="77"/>
      <c r="X1237" s="77"/>
      <c r="Y1237" s="77"/>
      <c r="Z1237" s="77"/>
      <c r="AA1237" s="77"/>
      <c r="AB1237" s="77"/>
      <c r="AC1237" s="77"/>
      <c r="AD1237" s="77"/>
      <c r="AE1237" s="77"/>
      <c r="AF1237" s="77"/>
      <c r="AG1237" s="77"/>
      <c r="AH1237" s="77"/>
    </row>
    <row r="1238" spans="11:34">
      <c r="K1238" s="273"/>
      <c r="S1238" s="273"/>
      <c r="T1238" s="273"/>
      <c r="U1238" s="273"/>
      <c r="W1238" s="77"/>
      <c r="X1238" s="77"/>
      <c r="Y1238" s="77"/>
      <c r="Z1238" s="77"/>
      <c r="AA1238" s="77"/>
      <c r="AB1238" s="77"/>
      <c r="AC1238" s="77"/>
      <c r="AD1238" s="77"/>
      <c r="AE1238" s="77"/>
      <c r="AF1238" s="77"/>
      <c r="AG1238" s="77"/>
      <c r="AH1238" s="77"/>
    </row>
    <row r="1239" spans="11:34">
      <c r="K1239" s="273"/>
      <c r="S1239" s="273"/>
      <c r="T1239" s="273"/>
      <c r="U1239" s="273"/>
      <c r="W1239" s="77"/>
      <c r="X1239" s="77"/>
      <c r="Y1239" s="77"/>
      <c r="Z1239" s="77"/>
      <c r="AA1239" s="77"/>
      <c r="AB1239" s="77"/>
      <c r="AC1239" s="77"/>
      <c r="AD1239" s="77"/>
      <c r="AE1239" s="77"/>
      <c r="AF1239" s="77"/>
      <c r="AG1239" s="77"/>
      <c r="AH1239" s="77"/>
    </row>
    <row r="1240" spans="11:34">
      <c r="K1240" s="273"/>
      <c r="S1240" s="273"/>
      <c r="T1240" s="273"/>
      <c r="U1240" s="273"/>
      <c r="W1240" s="77"/>
      <c r="X1240" s="77"/>
      <c r="Y1240" s="77"/>
      <c r="Z1240" s="77"/>
      <c r="AA1240" s="77"/>
      <c r="AB1240" s="77"/>
      <c r="AC1240" s="77"/>
      <c r="AD1240" s="77"/>
      <c r="AE1240" s="77"/>
      <c r="AF1240" s="77"/>
      <c r="AG1240" s="77"/>
      <c r="AH1240" s="77"/>
    </row>
    <row r="1241" spans="11:34">
      <c r="K1241" s="273"/>
      <c r="S1241" s="273"/>
      <c r="T1241" s="273"/>
      <c r="U1241" s="273"/>
      <c r="W1241" s="77"/>
      <c r="X1241" s="77"/>
      <c r="Y1241" s="77"/>
      <c r="Z1241" s="77"/>
      <c r="AA1241" s="77"/>
      <c r="AB1241" s="77"/>
      <c r="AC1241" s="77"/>
      <c r="AD1241" s="77"/>
      <c r="AE1241" s="77"/>
      <c r="AF1241" s="77"/>
      <c r="AG1241" s="77"/>
      <c r="AH1241" s="77"/>
    </row>
    <row r="1242" spans="11:34">
      <c r="K1242" s="273"/>
      <c r="S1242" s="273"/>
      <c r="T1242" s="273"/>
      <c r="U1242" s="273"/>
      <c r="W1242" s="77"/>
      <c r="X1242" s="77"/>
      <c r="Y1242" s="77"/>
      <c r="Z1242" s="77"/>
      <c r="AA1242" s="77"/>
      <c r="AB1242" s="77"/>
      <c r="AC1242" s="77"/>
      <c r="AD1242" s="77"/>
      <c r="AE1242" s="77"/>
      <c r="AF1242" s="77"/>
      <c r="AG1242" s="77"/>
      <c r="AH1242" s="77"/>
    </row>
    <row r="1243" spans="11:34">
      <c r="K1243" s="273"/>
      <c r="S1243" s="273"/>
      <c r="T1243" s="273"/>
      <c r="U1243" s="273"/>
      <c r="W1243" s="77"/>
      <c r="X1243" s="77"/>
      <c r="Y1243" s="77"/>
      <c r="Z1243" s="77"/>
      <c r="AA1243" s="77"/>
      <c r="AB1243" s="77"/>
      <c r="AC1243" s="77"/>
      <c r="AD1243" s="77"/>
      <c r="AE1243" s="77"/>
      <c r="AF1243" s="77"/>
      <c r="AG1243" s="77"/>
      <c r="AH1243" s="77"/>
    </row>
    <row r="1244" spans="11:34">
      <c r="K1244" s="273"/>
      <c r="S1244" s="273"/>
      <c r="T1244" s="273"/>
      <c r="U1244" s="273"/>
      <c r="W1244" s="77"/>
      <c r="X1244" s="77"/>
      <c r="Y1244" s="77"/>
      <c r="Z1244" s="77"/>
      <c r="AA1244" s="77"/>
      <c r="AB1244" s="77"/>
      <c r="AC1244" s="77"/>
      <c r="AD1244" s="77"/>
      <c r="AE1244" s="77"/>
      <c r="AF1244" s="77"/>
      <c r="AG1244" s="77"/>
      <c r="AH1244" s="77"/>
    </row>
    <row r="1245" spans="11:34">
      <c r="K1245" s="273"/>
      <c r="S1245" s="273"/>
      <c r="T1245" s="273"/>
      <c r="U1245" s="273"/>
      <c r="W1245" s="77"/>
      <c r="X1245" s="77"/>
      <c r="Y1245" s="77"/>
      <c r="Z1245" s="77"/>
      <c r="AA1245" s="77"/>
      <c r="AB1245" s="77"/>
      <c r="AC1245" s="77"/>
      <c r="AD1245" s="77"/>
      <c r="AE1245" s="77"/>
      <c r="AF1245" s="77"/>
      <c r="AG1245" s="77"/>
      <c r="AH1245" s="77"/>
    </row>
    <row r="1246" spans="11:34">
      <c r="K1246" s="273"/>
      <c r="S1246" s="273"/>
      <c r="T1246" s="273"/>
      <c r="U1246" s="273"/>
      <c r="W1246" s="77"/>
      <c r="X1246" s="77"/>
      <c r="Y1246" s="77"/>
      <c r="Z1246" s="77"/>
      <c r="AA1246" s="77"/>
      <c r="AB1246" s="77"/>
      <c r="AC1246" s="77"/>
      <c r="AD1246" s="77"/>
      <c r="AE1246" s="77"/>
      <c r="AF1246" s="77"/>
      <c r="AG1246" s="77"/>
      <c r="AH1246" s="77"/>
    </row>
    <row r="1247" spans="11:34">
      <c r="K1247" s="273"/>
      <c r="S1247" s="273"/>
      <c r="T1247" s="273"/>
      <c r="U1247" s="273"/>
      <c r="W1247" s="77"/>
      <c r="X1247" s="77"/>
      <c r="Y1247" s="77"/>
      <c r="Z1247" s="77"/>
      <c r="AA1247" s="77"/>
      <c r="AB1247" s="77"/>
      <c r="AC1247" s="77"/>
      <c r="AD1247" s="77"/>
      <c r="AE1247" s="77"/>
      <c r="AF1247" s="77"/>
      <c r="AG1247" s="77"/>
      <c r="AH1247" s="77"/>
    </row>
    <row r="1248" spans="11:34">
      <c r="K1248" s="273"/>
      <c r="S1248" s="273"/>
      <c r="T1248" s="273"/>
      <c r="U1248" s="273"/>
      <c r="W1248" s="77"/>
      <c r="X1248" s="77"/>
      <c r="Y1248" s="77"/>
      <c r="Z1248" s="77"/>
      <c r="AA1248" s="77"/>
      <c r="AB1248" s="77"/>
      <c r="AC1248" s="77"/>
      <c r="AD1248" s="77"/>
      <c r="AE1248" s="77"/>
      <c r="AF1248" s="77"/>
      <c r="AG1248" s="77"/>
      <c r="AH1248" s="77"/>
    </row>
    <row r="1249" spans="11:34">
      <c r="K1249" s="273"/>
      <c r="S1249" s="273"/>
      <c r="T1249" s="273"/>
      <c r="U1249" s="273"/>
      <c r="W1249" s="77"/>
      <c r="X1249" s="77"/>
      <c r="Y1249" s="77"/>
      <c r="Z1249" s="77"/>
      <c r="AA1249" s="77"/>
      <c r="AB1249" s="77"/>
      <c r="AC1249" s="77"/>
      <c r="AD1249" s="77"/>
      <c r="AE1249" s="77"/>
      <c r="AF1249" s="77"/>
      <c r="AG1249" s="77"/>
      <c r="AH1249" s="77"/>
    </row>
    <row r="1250" spans="11:34">
      <c r="K1250" s="273"/>
      <c r="S1250" s="273"/>
      <c r="T1250" s="273"/>
      <c r="U1250" s="273"/>
      <c r="W1250" s="77"/>
      <c r="X1250" s="77"/>
      <c r="Y1250" s="77"/>
      <c r="Z1250" s="77"/>
      <c r="AA1250" s="77"/>
      <c r="AB1250" s="77"/>
      <c r="AC1250" s="77"/>
      <c r="AD1250" s="77"/>
      <c r="AE1250" s="77"/>
      <c r="AF1250" s="77"/>
      <c r="AG1250" s="77"/>
      <c r="AH1250" s="77"/>
    </row>
    <row r="1251" spans="11:34">
      <c r="K1251" s="273"/>
      <c r="S1251" s="273"/>
      <c r="T1251" s="273"/>
      <c r="U1251" s="273"/>
      <c r="W1251" s="77"/>
      <c r="X1251" s="77"/>
      <c r="Y1251" s="77"/>
      <c r="Z1251" s="77"/>
      <c r="AA1251" s="77"/>
      <c r="AB1251" s="77"/>
      <c r="AC1251" s="77"/>
      <c r="AD1251" s="77"/>
      <c r="AE1251" s="77"/>
      <c r="AF1251" s="77"/>
      <c r="AG1251" s="77"/>
      <c r="AH1251" s="77"/>
    </row>
    <row r="1252" spans="11:34">
      <c r="K1252" s="273"/>
      <c r="S1252" s="273"/>
      <c r="T1252" s="273"/>
      <c r="U1252" s="273"/>
      <c r="W1252" s="77"/>
      <c r="X1252" s="77"/>
      <c r="Y1252" s="77"/>
      <c r="Z1252" s="77"/>
      <c r="AA1252" s="77"/>
      <c r="AB1252" s="77"/>
      <c r="AC1252" s="77"/>
      <c r="AD1252" s="77"/>
      <c r="AE1252" s="77"/>
      <c r="AF1252" s="77"/>
      <c r="AG1252" s="77"/>
      <c r="AH1252" s="77"/>
    </row>
    <row r="1253" spans="11:34">
      <c r="K1253" s="273"/>
      <c r="S1253" s="273"/>
      <c r="T1253" s="273"/>
      <c r="U1253" s="273"/>
      <c r="W1253" s="77"/>
      <c r="X1253" s="77"/>
      <c r="Y1253" s="77"/>
      <c r="Z1253" s="77"/>
      <c r="AA1253" s="77"/>
      <c r="AB1253" s="77"/>
      <c r="AC1253" s="77"/>
      <c r="AD1253" s="77"/>
      <c r="AE1253" s="77"/>
      <c r="AF1253" s="77"/>
      <c r="AG1253" s="77"/>
      <c r="AH1253" s="77"/>
    </row>
    <row r="1254" spans="11:34">
      <c r="K1254" s="273"/>
      <c r="S1254" s="273"/>
      <c r="T1254" s="273"/>
      <c r="U1254" s="273"/>
      <c r="W1254" s="77"/>
      <c r="X1254" s="77"/>
      <c r="Y1254" s="77"/>
      <c r="Z1254" s="77"/>
      <c r="AA1254" s="77"/>
      <c r="AB1254" s="77"/>
      <c r="AC1254" s="77"/>
      <c r="AD1254" s="77"/>
      <c r="AE1254" s="77"/>
      <c r="AF1254" s="77"/>
      <c r="AG1254" s="77"/>
      <c r="AH1254" s="77"/>
    </row>
    <row r="1255" spans="11:34">
      <c r="K1255" s="273"/>
      <c r="S1255" s="273"/>
      <c r="T1255" s="273"/>
      <c r="U1255" s="273"/>
      <c r="W1255" s="77"/>
      <c r="X1255" s="77"/>
      <c r="Y1255" s="77"/>
      <c r="Z1255" s="77"/>
      <c r="AA1255" s="77"/>
      <c r="AB1255" s="77"/>
      <c r="AC1255" s="77"/>
      <c r="AD1255" s="77"/>
      <c r="AE1255" s="77"/>
      <c r="AF1255" s="77"/>
      <c r="AG1255" s="77"/>
      <c r="AH1255" s="77"/>
    </row>
    <row r="1256" spans="11:34">
      <c r="K1256" s="273"/>
      <c r="S1256" s="273"/>
      <c r="T1256" s="273"/>
      <c r="U1256" s="273"/>
      <c r="W1256" s="77"/>
      <c r="X1256" s="77"/>
      <c r="Y1256" s="77"/>
      <c r="Z1256" s="77"/>
      <c r="AA1256" s="77"/>
      <c r="AB1256" s="77"/>
      <c r="AC1256" s="77"/>
      <c r="AD1256" s="77"/>
      <c r="AE1256" s="77"/>
      <c r="AF1256" s="77"/>
      <c r="AG1256" s="77"/>
      <c r="AH1256" s="77"/>
    </row>
    <row r="1257" spans="11:34">
      <c r="K1257" s="273"/>
      <c r="S1257" s="273"/>
      <c r="T1257" s="273"/>
      <c r="U1257" s="273"/>
      <c r="W1257" s="77"/>
      <c r="X1257" s="77"/>
      <c r="Y1257" s="77"/>
      <c r="Z1257" s="77"/>
      <c r="AA1257" s="77"/>
      <c r="AB1257" s="77"/>
      <c r="AC1257" s="77"/>
      <c r="AD1257" s="77"/>
      <c r="AE1257" s="77"/>
      <c r="AF1257" s="77"/>
      <c r="AG1257" s="77"/>
      <c r="AH1257" s="77"/>
    </row>
    <row r="1258" spans="11:34">
      <c r="K1258" s="273"/>
      <c r="S1258" s="273"/>
      <c r="T1258" s="273"/>
      <c r="U1258" s="273"/>
      <c r="W1258" s="77"/>
      <c r="X1258" s="77"/>
      <c r="Y1258" s="77"/>
      <c r="Z1258" s="77"/>
      <c r="AA1258" s="77"/>
      <c r="AB1258" s="77"/>
      <c r="AC1258" s="77"/>
      <c r="AD1258" s="77"/>
      <c r="AE1258" s="77"/>
      <c r="AF1258" s="77"/>
      <c r="AG1258" s="77"/>
      <c r="AH1258" s="77"/>
    </row>
    <row r="1259" spans="11:34">
      <c r="K1259" s="273"/>
      <c r="S1259" s="273"/>
      <c r="T1259" s="273"/>
      <c r="U1259" s="273"/>
      <c r="W1259" s="77"/>
      <c r="X1259" s="77"/>
      <c r="Y1259" s="77"/>
      <c r="Z1259" s="77"/>
      <c r="AA1259" s="77"/>
      <c r="AB1259" s="77"/>
      <c r="AC1259" s="77"/>
      <c r="AD1259" s="77"/>
      <c r="AE1259" s="77"/>
      <c r="AF1259" s="77"/>
      <c r="AG1259" s="77"/>
      <c r="AH1259" s="77"/>
    </row>
    <row r="1260" spans="11:34">
      <c r="K1260" s="273"/>
      <c r="S1260" s="273"/>
      <c r="T1260" s="273"/>
      <c r="U1260" s="273"/>
      <c r="W1260" s="77"/>
      <c r="X1260" s="77"/>
      <c r="Y1260" s="77"/>
      <c r="Z1260" s="77"/>
      <c r="AA1260" s="77"/>
      <c r="AB1260" s="77"/>
      <c r="AC1260" s="77"/>
      <c r="AD1260" s="77"/>
      <c r="AE1260" s="77"/>
      <c r="AF1260" s="77"/>
      <c r="AG1260" s="77"/>
      <c r="AH1260" s="77"/>
    </row>
    <row r="1261" spans="11:34">
      <c r="K1261" s="273"/>
      <c r="S1261" s="273"/>
      <c r="T1261" s="273"/>
      <c r="U1261" s="273"/>
      <c r="W1261" s="77"/>
      <c r="X1261" s="77"/>
      <c r="Y1261" s="77"/>
      <c r="Z1261" s="77"/>
      <c r="AA1261" s="77"/>
      <c r="AB1261" s="77"/>
      <c r="AC1261" s="77"/>
      <c r="AD1261" s="77"/>
      <c r="AE1261" s="77"/>
      <c r="AF1261" s="77"/>
      <c r="AG1261" s="77"/>
      <c r="AH1261" s="77"/>
    </row>
    <row r="1262" spans="11:34">
      <c r="K1262" s="273"/>
      <c r="S1262" s="273"/>
      <c r="T1262" s="273"/>
      <c r="U1262" s="273"/>
      <c r="W1262" s="77"/>
      <c r="X1262" s="77"/>
      <c r="Y1262" s="77"/>
      <c r="Z1262" s="77"/>
      <c r="AA1262" s="77"/>
      <c r="AB1262" s="77"/>
      <c r="AC1262" s="77"/>
      <c r="AD1262" s="77"/>
      <c r="AE1262" s="77"/>
      <c r="AF1262" s="77"/>
      <c r="AG1262" s="77"/>
      <c r="AH1262" s="77"/>
    </row>
    <row r="1263" spans="11:34">
      <c r="K1263" s="273"/>
      <c r="S1263" s="273"/>
      <c r="T1263" s="273"/>
      <c r="U1263" s="273"/>
      <c r="W1263" s="77"/>
      <c r="X1263" s="77"/>
      <c r="Y1263" s="77"/>
      <c r="Z1263" s="77"/>
      <c r="AA1263" s="77"/>
      <c r="AB1263" s="77"/>
      <c r="AC1263" s="77"/>
      <c r="AD1263" s="77"/>
      <c r="AE1263" s="77"/>
      <c r="AF1263" s="77"/>
      <c r="AG1263" s="77"/>
      <c r="AH1263" s="77"/>
    </row>
    <row r="1264" spans="11:34">
      <c r="K1264" s="273"/>
      <c r="S1264" s="273"/>
      <c r="T1264" s="273"/>
      <c r="U1264" s="273"/>
      <c r="W1264" s="77"/>
      <c r="X1264" s="77"/>
      <c r="Y1264" s="77"/>
      <c r="Z1264" s="77"/>
      <c r="AA1264" s="77"/>
      <c r="AB1264" s="77"/>
      <c r="AC1264" s="77"/>
      <c r="AD1264" s="77"/>
      <c r="AE1264" s="77"/>
      <c r="AF1264" s="77"/>
      <c r="AG1264" s="77"/>
      <c r="AH1264" s="77"/>
    </row>
    <row r="1265" spans="11:34">
      <c r="K1265" s="273"/>
      <c r="S1265" s="273"/>
      <c r="T1265" s="273"/>
      <c r="U1265" s="273"/>
      <c r="W1265" s="77"/>
      <c r="X1265" s="77"/>
      <c r="Y1265" s="77"/>
      <c r="Z1265" s="77"/>
      <c r="AA1265" s="77"/>
      <c r="AB1265" s="77"/>
      <c r="AC1265" s="77"/>
      <c r="AD1265" s="77"/>
      <c r="AE1265" s="77"/>
      <c r="AF1265" s="77"/>
      <c r="AG1265" s="77"/>
      <c r="AH1265" s="77"/>
    </row>
    <row r="1266" spans="11:34">
      <c r="K1266" s="273"/>
      <c r="S1266" s="273"/>
      <c r="T1266" s="273"/>
      <c r="U1266" s="273"/>
      <c r="W1266" s="77"/>
      <c r="X1266" s="77"/>
      <c r="Y1266" s="77"/>
      <c r="Z1266" s="77"/>
      <c r="AA1266" s="77"/>
      <c r="AB1266" s="77"/>
      <c r="AC1266" s="77"/>
      <c r="AD1266" s="77"/>
      <c r="AE1266" s="77"/>
      <c r="AF1266" s="77"/>
      <c r="AG1266" s="77"/>
      <c r="AH1266" s="77"/>
    </row>
    <row r="1267" spans="11:34">
      <c r="K1267" s="273"/>
      <c r="S1267" s="273"/>
      <c r="T1267" s="273"/>
      <c r="U1267" s="273"/>
      <c r="W1267" s="77"/>
      <c r="X1267" s="77"/>
      <c r="Y1267" s="77"/>
      <c r="Z1267" s="77"/>
      <c r="AA1267" s="77"/>
      <c r="AB1267" s="77"/>
      <c r="AC1267" s="77"/>
      <c r="AD1267" s="77"/>
      <c r="AE1267" s="77"/>
      <c r="AF1267" s="77"/>
      <c r="AG1267" s="77"/>
      <c r="AH1267" s="77"/>
    </row>
    <row r="1268" spans="11:34">
      <c r="K1268" s="273"/>
      <c r="S1268" s="273"/>
      <c r="T1268" s="273"/>
      <c r="U1268" s="273"/>
      <c r="W1268" s="77"/>
      <c r="X1268" s="77"/>
      <c r="Y1268" s="77"/>
      <c r="Z1268" s="77"/>
      <c r="AA1268" s="77"/>
      <c r="AB1268" s="77"/>
      <c r="AC1268" s="77"/>
      <c r="AD1268" s="77"/>
      <c r="AE1268" s="77"/>
      <c r="AF1268" s="77"/>
      <c r="AG1268" s="77"/>
      <c r="AH1268" s="77"/>
    </row>
    <row r="1269" spans="11:34">
      <c r="K1269" s="273"/>
      <c r="S1269" s="273"/>
      <c r="T1269" s="273"/>
      <c r="U1269" s="273"/>
      <c r="W1269" s="77"/>
      <c r="X1269" s="77"/>
      <c r="Y1269" s="77"/>
      <c r="Z1269" s="77"/>
      <c r="AA1269" s="77"/>
      <c r="AB1269" s="77"/>
      <c r="AC1269" s="77"/>
      <c r="AD1269" s="77"/>
      <c r="AE1269" s="77"/>
      <c r="AF1269" s="77"/>
      <c r="AG1269" s="77"/>
      <c r="AH1269" s="77"/>
    </row>
    <row r="1270" spans="11:34">
      <c r="K1270" s="273"/>
      <c r="S1270" s="273"/>
      <c r="T1270" s="273"/>
      <c r="U1270" s="273"/>
      <c r="W1270" s="77"/>
      <c r="X1270" s="77"/>
      <c r="Y1270" s="77"/>
      <c r="Z1270" s="77"/>
      <c r="AA1270" s="77"/>
      <c r="AB1270" s="77"/>
      <c r="AC1270" s="77"/>
      <c r="AD1270" s="77"/>
      <c r="AE1270" s="77"/>
      <c r="AF1270" s="77"/>
      <c r="AG1270" s="77"/>
      <c r="AH1270" s="77"/>
    </row>
    <row r="1271" spans="11:34">
      <c r="K1271" s="273"/>
      <c r="S1271" s="273"/>
      <c r="T1271" s="273"/>
      <c r="U1271" s="273"/>
      <c r="W1271" s="77"/>
      <c r="X1271" s="77"/>
      <c r="Y1271" s="77"/>
      <c r="Z1271" s="77"/>
      <c r="AA1271" s="77"/>
      <c r="AB1271" s="77"/>
      <c r="AC1271" s="77"/>
      <c r="AD1271" s="77"/>
      <c r="AE1271" s="77"/>
      <c r="AF1271" s="77"/>
      <c r="AG1271" s="77"/>
      <c r="AH1271" s="77"/>
    </row>
    <row r="1272" spans="11:34">
      <c r="K1272" s="273"/>
      <c r="S1272" s="273"/>
      <c r="T1272" s="273"/>
      <c r="U1272" s="273"/>
      <c r="W1272" s="77"/>
      <c r="X1272" s="77"/>
      <c r="Y1272" s="77"/>
      <c r="Z1272" s="77"/>
      <c r="AA1272" s="77"/>
      <c r="AB1272" s="77"/>
      <c r="AC1272" s="77"/>
      <c r="AD1272" s="77"/>
      <c r="AE1272" s="77"/>
      <c r="AF1272" s="77"/>
      <c r="AG1272" s="77"/>
      <c r="AH1272" s="77"/>
    </row>
    <row r="1273" spans="11:34">
      <c r="K1273" s="273"/>
      <c r="S1273" s="273"/>
      <c r="T1273" s="273"/>
      <c r="U1273" s="273"/>
      <c r="W1273" s="77"/>
      <c r="X1273" s="77"/>
      <c r="Y1273" s="77"/>
      <c r="Z1273" s="77"/>
      <c r="AA1273" s="77"/>
      <c r="AB1273" s="77"/>
      <c r="AC1273" s="77"/>
      <c r="AD1273" s="77"/>
      <c r="AE1273" s="77"/>
      <c r="AF1273" s="77"/>
      <c r="AG1273" s="77"/>
      <c r="AH1273" s="77"/>
    </row>
    <row r="1274" spans="11:34">
      <c r="K1274" s="273"/>
      <c r="S1274" s="273"/>
      <c r="T1274" s="273"/>
      <c r="U1274" s="273"/>
      <c r="W1274" s="77"/>
      <c r="X1274" s="77"/>
      <c r="Y1274" s="77"/>
      <c r="Z1274" s="77"/>
      <c r="AA1274" s="77"/>
      <c r="AB1274" s="77"/>
      <c r="AC1274" s="77"/>
      <c r="AD1274" s="77"/>
      <c r="AE1274" s="77"/>
      <c r="AF1274" s="77"/>
      <c r="AG1274" s="77"/>
      <c r="AH1274" s="77"/>
    </row>
    <row r="1275" spans="11:34">
      <c r="K1275" s="273"/>
      <c r="S1275" s="273"/>
      <c r="T1275" s="273"/>
      <c r="U1275" s="273"/>
      <c r="W1275" s="77"/>
      <c r="X1275" s="77"/>
      <c r="Y1275" s="77"/>
      <c r="Z1275" s="77"/>
      <c r="AA1275" s="77"/>
      <c r="AB1275" s="77"/>
      <c r="AC1275" s="77"/>
      <c r="AD1275" s="77"/>
      <c r="AE1275" s="77"/>
      <c r="AF1275" s="77"/>
      <c r="AG1275" s="77"/>
      <c r="AH1275" s="77"/>
    </row>
    <row r="1276" spans="11:34">
      <c r="K1276" s="273"/>
      <c r="S1276" s="273"/>
      <c r="T1276" s="273"/>
      <c r="U1276" s="273"/>
      <c r="W1276" s="77"/>
      <c r="X1276" s="77"/>
      <c r="Y1276" s="77"/>
      <c r="Z1276" s="77"/>
      <c r="AA1276" s="77"/>
      <c r="AB1276" s="77"/>
      <c r="AC1276" s="77"/>
      <c r="AD1276" s="77"/>
      <c r="AE1276" s="77"/>
      <c r="AF1276" s="77"/>
      <c r="AG1276" s="77"/>
      <c r="AH1276" s="77"/>
    </row>
    <row r="1277" spans="11:34">
      <c r="K1277" s="273"/>
      <c r="S1277" s="273"/>
      <c r="T1277" s="273"/>
      <c r="U1277" s="273"/>
      <c r="W1277" s="77"/>
      <c r="X1277" s="77"/>
      <c r="Y1277" s="77"/>
      <c r="Z1277" s="77"/>
      <c r="AA1277" s="77"/>
      <c r="AB1277" s="77"/>
      <c r="AC1277" s="77"/>
      <c r="AD1277" s="77"/>
      <c r="AE1277" s="77"/>
      <c r="AF1277" s="77"/>
      <c r="AG1277" s="77"/>
      <c r="AH1277" s="77"/>
    </row>
    <row r="1278" spans="11:34">
      <c r="K1278" s="273"/>
      <c r="S1278" s="273"/>
      <c r="T1278" s="273"/>
      <c r="U1278" s="273"/>
      <c r="W1278" s="77"/>
      <c r="X1278" s="77"/>
      <c r="Y1278" s="77"/>
      <c r="Z1278" s="77"/>
      <c r="AA1278" s="77"/>
      <c r="AB1278" s="77"/>
      <c r="AC1278" s="77"/>
      <c r="AD1278" s="77"/>
      <c r="AE1278" s="77"/>
      <c r="AF1278" s="77"/>
      <c r="AG1278" s="77"/>
      <c r="AH1278" s="77"/>
    </row>
    <row r="1279" spans="11:34">
      <c r="K1279" s="273"/>
      <c r="S1279" s="273"/>
      <c r="T1279" s="273"/>
      <c r="U1279" s="273"/>
      <c r="W1279" s="77"/>
      <c r="X1279" s="77"/>
      <c r="Y1279" s="77"/>
      <c r="Z1279" s="77"/>
      <c r="AA1279" s="77"/>
      <c r="AB1279" s="77"/>
      <c r="AC1279" s="77"/>
      <c r="AD1279" s="77"/>
      <c r="AE1279" s="77"/>
      <c r="AF1279" s="77"/>
      <c r="AG1279" s="77"/>
      <c r="AH1279" s="77"/>
    </row>
    <row r="1280" spans="11:34">
      <c r="K1280" s="273"/>
      <c r="S1280" s="273"/>
      <c r="T1280" s="273"/>
      <c r="U1280" s="273"/>
      <c r="W1280" s="77"/>
      <c r="X1280" s="77"/>
      <c r="Y1280" s="77"/>
      <c r="Z1280" s="77"/>
      <c r="AA1280" s="77"/>
      <c r="AB1280" s="77"/>
      <c r="AC1280" s="77"/>
      <c r="AD1280" s="77"/>
      <c r="AE1280" s="77"/>
      <c r="AF1280" s="77"/>
      <c r="AG1280" s="77"/>
      <c r="AH1280" s="77"/>
    </row>
    <row r="1281" spans="11:34">
      <c r="K1281" s="273"/>
      <c r="S1281" s="273"/>
      <c r="T1281" s="273"/>
      <c r="U1281" s="273"/>
      <c r="W1281" s="77"/>
      <c r="X1281" s="77"/>
      <c r="Y1281" s="77"/>
      <c r="Z1281" s="77"/>
      <c r="AA1281" s="77"/>
      <c r="AB1281" s="77"/>
      <c r="AC1281" s="77"/>
      <c r="AD1281" s="77"/>
      <c r="AE1281" s="77"/>
      <c r="AF1281" s="77"/>
      <c r="AG1281" s="77"/>
      <c r="AH1281" s="77"/>
    </row>
    <row r="1282" spans="11:34">
      <c r="K1282" s="273"/>
      <c r="S1282" s="273"/>
      <c r="T1282" s="273"/>
      <c r="U1282" s="273"/>
      <c r="W1282" s="77"/>
      <c r="X1282" s="77"/>
      <c r="Y1282" s="77"/>
      <c r="Z1282" s="77"/>
      <c r="AA1282" s="77"/>
      <c r="AB1282" s="77"/>
      <c r="AC1282" s="77"/>
      <c r="AD1282" s="77"/>
      <c r="AE1282" s="77"/>
      <c r="AF1282" s="77"/>
      <c r="AG1282" s="77"/>
      <c r="AH1282" s="77"/>
    </row>
    <row r="1283" spans="11:34">
      <c r="K1283" s="273"/>
      <c r="S1283" s="273"/>
      <c r="T1283" s="273"/>
      <c r="U1283" s="273"/>
      <c r="W1283" s="77"/>
      <c r="X1283" s="77"/>
      <c r="Y1283" s="77"/>
      <c r="Z1283" s="77"/>
      <c r="AA1283" s="77"/>
      <c r="AB1283" s="77"/>
      <c r="AC1283" s="77"/>
      <c r="AD1283" s="77"/>
      <c r="AE1283" s="77"/>
      <c r="AF1283" s="77"/>
      <c r="AG1283" s="77"/>
      <c r="AH1283" s="77"/>
    </row>
    <row r="1284" spans="11:34">
      <c r="K1284" s="273"/>
      <c r="S1284" s="273"/>
      <c r="T1284" s="273"/>
      <c r="U1284" s="273"/>
      <c r="W1284" s="77"/>
      <c r="X1284" s="77"/>
      <c r="Y1284" s="77"/>
      <c r="Z1284" s="77"/>
      <c r="AA1284" s="77"/>
      <c r="AB1284" s="77"/>
      <c r="AC1284" s="77"/>
      <c r="AD1284" s="77"/>
      <c r="AE1284" s="77"/>
      <c r="AF1284" s="77"/>
      <c r="AG1284" s="77"/>
      <c r="AH1284" s="77"/>
    </row>
    <row r="1285" spans="11:34">
      <c r="K1285" s="273"/>
      <c r="S1285" s="273"/>
      <c r="T1285" s="273"/>
      <c r="U1285" s="273"/>
      <c r="W1285" s="77"/>
      <c r="X1285" s="77"/>
      <c r="Y1285" s="77"/>
      <c r="Z1285" s="77"/>
      <c r="AA1285" s="77"/>
      <c r="AB1285" s="77"/>
      <c r="AC1285" s="77"/>
      <c r="AD1285" s="77"/>
      <c r="AE1285" s="77"/>
      <c r="AF1285" s="77"/>
      <c r="AG1285" s="77"/>
      <c r="AH1285" s="77"/>
    </row>
    <row r="1286" spans="11:34">
      <c r="K1286" s="273"/>
      <c r="S1286" s="273"/>
      <c r="T1286" s="273"/>
      <c r="U1286" s="273"/>
      <c r="W1286" s="77"/>
      <c r="X1286" s="77"/>
      <c r="Y1286" s="77"/>
      <c r="Z1286" s="77"/>
      <c r="AA1286" s="77"/>
      <c r="AB1286" s="77"/>
      <c r="AC1286" s="77"/>
      <c r="AD1286" s="77"/>
      <c r="AE1286" s="77"/>
      <c r="AF1286" s="77"/>
      <c r="AG1286" s="77"/>
      <c r="AH1286" s="77"/>
    </row>
    <row r="1287" spans="11:34">
      <c r="K1287" s="273"/>
      <c r="S1287" s="273"/>
      <c r="T1287" s="273"/>
      <c r="U1287" s="273"/>
      <c r="W1287" s="77"/>
      <c r="X1287" s="77"/>
      <c r="Y1287" s="77"/>
      <c r="Z1287" s="77"/>
      <c r="AA1287" s="77"/>
      <c r="AB1287" s="77"/>
      <c r="AC1287" s="77"/>
      <c r="AD1287" s="77"/>
      <c r="AE1287" s="77"/>
      <c r="AF1287" s="77"/>
      <c r="AG1287" s="77"/>
      <c r="AH1287" s="77"/>
    </row>
    <row r="1288" spans="11:34">
      <c r="K1288" s="273"/>
      <c r="S1288" s="273"/>
      <c r="T1288" s="273"/>
      <c r="U1288" s="273"/>
      <c r="W1288" s="77"/>
      <c r="X1288" s="77"/>
      <c r="Y1288" s="77"/>
      <c r="Z1288" s="77"/>
      <c r="AA1288" s="77"/>
      <c r="AB1288" s="77"/>
      <c r="AC1288" s="77"/>
      <c r="AD1288" s="77"/>
      <c r="AE1288" s="77"/>
      <c r="AF1288" s="77"/>
      <c r="AG1288" s="77"/>
      <c r="AH1288" s="77"/>
    </row>
    <row r="1289" spans="11:34">
      <c r="K1289" s="273"/>
      <c r="S1289" s="273"/>
      <c r="T1289" s="273"/>
      <c r="U1289" s="273"/>
      <c r="W1289" s="77"/>
      <c r="X1289" s="77"/>
      <c r="Y1289" s="77"/>
      <c r="Z1289" s="77"/>
      <c r="AA1289" s="77"/>
      <c r="AB1289" s="77"/>
      <c r="AC1289" s="77"/>
      <c r="AD1289" s="77"/>
      <c r="AE1289" s="77"/>
      <c r="AF1289" s="77"/>
      <c r="AG1289" s="77"/>
      <c r="AH1289" s="77"/>
    </row>
    <row r="1290" spans="11:34">
      <c r="K1290" s="273"/>
      <c r="S1290" s="273"/>
      <c r="T1290" s="273"/>
      <c r="U1290" s="273"/>
      <c r="W1290" s="77"/>
      <c r="X1290" s="77"/>
      <c r="Y1290" s="77"/>
      <c r="Z1290" s="77"/>
      <c r="AA1290" s="77"/>
      <c r="AB1290" s="77"/>
      <c r="AC1290" s="77"/>
      <c r="AD1290" s="77"/>
      <c r="AE1290" s="77"/>
      <c r="AF1290" s="77"/>
      <c r="AG1290" s="77"/>
      <c r="AH1290" s="77"/>
    </row>
    <row r="1291" spans="11:34">
      <c r="K1291" s="273"/>
      <c r="S1291" s="273"/>
      <c r="T1291" s="273"/>
      <c r="U1291" s="273"/>
      <c r="W1291" s="77"/>
      <c r="X1291" s="77"/>
      <c r="Y1291" s="77"/>
      <c r="Z1291" s="77"/>
      <c r="AA1291" s="77"/>
      <c r="AB1291" s="77"/>
      <c r="AC1291" s="77"/>
      <c r="AD1291" s="77"/>
      <c r="AE1291" s="77"/>
      <c r="AF1291" s="77"/>
      <c r="AG1291" s="77"/>
      <c r="AH1291" s="77"/>
    </row>
    <row r="1292" spans="11:34">
      <c r="K1292" s="273"/>
      <c r="S1292" s="273"/>
      <c r="T1292" s="273"/>
      <c r="U1292" s="273"/>
      <c r="W1292" s="77"/>
      <c r="X1292" s="77"/>
      <c r="Y1292" s="77"/>
      <c r="Z1292" s="77"/>
      <c r="AA1292" s="77"/>
      <c r="AB1292" s="77"/>
      <c r="AC1292" s="77"/>
      <c r="AD1292" s="77"/>
      <c r="AE1292" s="77"/>
      <c r="AF1292" s="77"/>
      <c r="AG1292" s="77"/>
      <c r="AH1292" s="77"/>
    </row>
    <row r="1293" spans="11:34">
      <c r="K1293" s="273"/>
      <c r="S1293" s="273"/>
      <c r="T1293" s="273"/>
      <c r="U1293" s="273"/>
      <c r="W1293" s="77"/>
      <c r="X1293" s="77"/>
      <c r="Y1293" s="77"/>
      <c r="Z1293" s="77"/>
      <c r="AA1293" s="77"/>
      <c r="AB1293" s="77"/>
      <c r="AC1293" s="77"/>
      <c r="AD1293" s="77"/>
      <c r="AE1293" s="77"/>
      <c r="AF1293" s="77"/>
      <c r="AG1293" s="77"/>
      <c r="AH1293" s="77"/>
    </row>
    <row r="1294" spans="11:34">
      <c r="K1294" s="273"/>
      <c r="S1294" s="273"/>
      <c r="T1294" s="273"/>
      <c r="U1294" s="273"/>
      <c r="W1294" s="77"/>
      <c r="X1294" s="77"/>
      <c r="Y1294" s="77"/>
      <c r="Z1294" s="77"/>
      <c r="AA1294" s="77"/>
      <c r="AB1294" s="77"/>
      <c r="AC1294" s="77"/>
      <c r="AD1294" s="77"/>
      <c r="AE1294" s="77"/>
      <c r="AF1294" s="77"/>
      <c r="AG1294" s="77"/>
      <c r="AH1294" s="77"/>
    </row>
    <row r="1295" spans="11:34">
      <c r="K1295" s="273"/>
      <c r="S1295" s="273"/>
      <c r="T1295" s="273"/>
      <c r="U1295" s="273"/>
      <c r="W1295" s="77"/>
      <c r="X1295" s="77"/>
      <c r="Y1295" s="77"/>
      <c r="Z1295" s="77"/>
      <c r="AA1295" s="77"/>
      <c r="AB1295" s="77"/>
      <c r="AC1295" s="77"/>
      <c r="AD1295" s="77"/>
      <c r="AE1295" s="77"/>
      <c r="AF1295" s="77"/>
      <c r="AG1295" s="77"/>
      <c r="AH1295" s="77"/>
    </row>
    <row r="1296" spans="11:34">
      <c r="K1296" s="273"/>
      <c r="S1296" s="273"/>
      <c r="T1296" s="273"/>
      <c r="U1296" s="273"/>
      <c r="W1296" s="77"/>
      <c r="X1296" s="77"/>
      <c r="Y1296" s="77"/>
      <c r="Z1296" s="77"/>
      <c r="AA1296" s="77"/>
      <c r="AB1296" s="77"/>
      <c r="AC1296" s="77"/>
      <c r="AD1296" s="77"/>
      <c r="AE1296" s="77"/>
      <c r="AF1296" s="77"/>
      <c r="AG1296" s="77"/>
      <c r="AH1296" s="77"/>
    </row>
    <row r="1297" spans="11:34">
      <c r="K1297" s="273"/>
      <c r="S1297" s="273"/>
      <c r="T1297" s="273"/>
      <c r="U1297" s="273"/>
      <c r="W1297" s="77"/>
      <c r="X1297" s="77"/>
      <c r="Y1297" s="77"/>
      <c r="Z1297" s="77"/>
      <c r="AA1297" s="77"/>
      <c r="AB1297" s="77"/>
      <c r="AC1297" s="77"/>
      <c r="AD1297" s="77"/>
      <c r="AE1297" s="77"/>
      <c r="AF1297" s="77"/>
      <c r="AG1297" s="77"/>
      <c r="AH1297" s="77"/>
    </row>
    <row r="1298" spans="11:34">
      <c r="K1298" s="273"/>
      <c r="S1298" s="273"/>
      <c r="T1298" s="273"/>
      <c r="U1298" s="273"/>
      <c r="W1298" s="77"/>
      <c r="X1298" s="77"/>
      <c r="Y1298" s="77"/>
      <c r="Z1298" s="77"/>
      <c r="AA1298" s="77"/>
      <c r="AB1298" s="77"/>
      <c r="AC1298" s="77"/>
      <c r="AD1298" s="77"/>
      <c r="AE1298" s="77"/>
      <c r="AF1298" s="77"/>
      <c r="AG1298" s="77"/>
      <c r="AH1298" s="77"/>
    </row>
    <row r="1299" spans="11:34">
      <c r="K1299" s="273"/>
      <c r="S1299" s="273"/>
      <c r="T1299" s="273"/>
      <c r="U1299" s="273"/>
      <c r="W1299" s="77"/>
      <c r="X1299" s="77"/>
      <c r="Y1299" s="77"/>
      <c r="Z1299" s="77"/>
      <c r="AA1299" s="77"/>
      <c r="AB1299" s="77"/>
      <c r="AC1299" s="77"/>
      <c r="AD1299" s="77"/>
      <c r="AE1299" s="77"/>
      <c r="AF1299" s="77"/>
      <c r="AG1299" s="77"/>
      <c r="AH1299" s="77"/>
    </row>
    <row r="1300" spans="11:34">
      <c r="K1300" s="273"/>
      <c r="S1300" s="273"/>
      <c r="T1300" s="273"/>
      <c r="U1300" s="273"/>
      <c r="W1300" s="77"/>
      <c r="X1300" s="77"/>
      <c r="Y1300" s="77"/>
      <c r="Z1300" s="77"/>
      <c r="AA1300" s="77"/>
      <c r="AB1300" s="77"/>
      <c r="AC1300" s="77"/>
      <c r="AD1300" s="77"/>
      <c r="AE1300" s="77"/>
      <c r="AF1300" s="77"/>
      <c r="AG1300" s="77"/>
      <c r="AH1300" s="77"/>
    </row>
    <row r="1301" spans="11:34">
      <c r="K1301" s="273"/>
      <c r="S1301" s="273"/>
      <c r="T1301" s="273"/>
      <c r="U1301" s="273"/>
      <c r="W1301" s="77"/>
      <c r="X1301" s="77"/>
      <c r="Y1301" s="77"/>
      <c r="Z1301" s="77"/>
      <c r="AA1301" s="77"/>
      <c r="AB1301" s="77"/>
      <c r="AC1301" s="77"/>
      <c r="AD1301" s="77"/>
      <c r="AE1301" s="77"/>
      <c r="AF1301" s="77"/>
      <c r="AG1301" s="77"/>
      <c r="AH1301" s="77"/>
    </row>
    <row r="1302" spans="11:34">
      <c r="K1302" s="273"/>
      <c r="S1302" s="273"/>
      <c r="T1302" s="273"/>
      <c r="U1302" s="273"/>
      <c r="W1302" s="77"/>
      <c r="X1302" s="77"/>
      <c r="Y1302" s="77"/>
      <c r="Z1302" s="77"/>
      <c r="AA1302" s="77"/>
      <c r="AB1302" s="77"/>
      <c r="AC1302" s="77"/>
      <c r="AD1302" s="77"/>
      <c r="AE1302" s="77"/>
      <c r="AF1302" s="77"/>
      <c r="AG1302" s="77"/>
      <c r="AH1302" s="77"/>
    </row>
    <row r="1303" spans="11:34">
      <c r="K1303" s="273"/>
      <c r="S1303" s="273"/>
      <c r="T1303" s="273"/>
      <c r="U1303" s="273"/>
      <c r="W1303" s="77"/>
      <c r="X1303" s="77"/>
      <c r="Y1303" s="77"/>
      <c r="Z1303" s="77"/>
      <c r="AA1303" s="77"/>
      <c r="AB1303" s="77"/>
      <c r="AC1303" s="77"/>
      <c r="AD1303" s="77"/>
      <c r="AE1303" s="77"/>
      <c r="AF1303" s="77"/>
      <c r="AG1303" s="77"/>
      <c r="AH1303" s="77"/>
    </row>
    <row r="1304" spans="11:34">
      <c r="K1304" s="273"/>
      <c r="S1304" s="273"/>
      <c r="T1304" s="273"/>
      <c r="U1304" s="273"/>
      <c r="W1304" s="77"/>
      <c r="X1304" s="77"/>
      <c r="Y1304" s="77"/>
      <c r="Z1304" s="77"/>
      <c r="AA1304" s="77"/>
      <c r="AB1304" s="77"/>
      <c r="AC1304" s="77"/>
      <c r="AD1304" s="77"/>
      <c r="AE1304" s="77"/>
      <c r="AF1304" s="77"/>
      <c r="AG1304" s="77"/>
      <c r="AH1304" s="77"/>
    </row>
    <row r="1305" spans="11:34">
      <c r="K1305" s="273"/>
      <c r="S1305" s="273"/>
      <c r="T1305" s="273"/>
      <c r="U1305" s="273"/>
      <c r="W1305" s="77"/>
      <c r="X1305" s="77"/>
      <c r="Y1305" s="77"/>
      <c r="Z1305" s="77"/>
      <c r="AA1305" s="77"/>
      <c r="AB1305" s="77"/>
      <c r="AC1305" s="77"/>
      <c r="AD1305" s="77"/>
      <c r="AE1305" s="77"/>
      <c r="AF1305" s="77"/>
      <c r="AG1305" s="77"/>
      <c r="AH1305" s="77"/>
    </row>
    <row r="1306" spans="11:34">
      <c r="K1306" s="273"/>
      <c r="S1306" s="273"/>
      <c r="T1306" s="273"/>
      <c r="U1306" s="273"/>
      <c r="W1306" s="77"/>
      <c r="X1306" s="77"/>
      <c r="Y1306" s="77"/>
      <c r="Z1306" s="77"/>
      <c r="AA1306" s="77"/>
      <c r="AB1306" s="77"/>
      <c r="AC1306" s="77"/>
      <c r="AD1306" s="77"/>
      <c r="AE1306" s="77"/>
      <c r="AF1306" s="77"/>
      <c r="AG1306" s="77"/>
      <c r="AH1306" s="77"/>
    </row>
    <row r="1307" spans="11:34">
      <c r="K1307" s="273"/>
      <c r="S1307" s="273"/>
      <c r="T1307" s="273"/>
      <c r="U1307" s="273"/>
      <c r="W1307" s="77"/>
      <c r="X1307" s="77"/>
      <c r="Y1307" s="77"/>
      <c r="Z1307" s="77"/>
      <c r="AA1307" s="77"/>
      <c r="AB1307" s="77"/>
      <c r="AC1307" s="77"/>
      <c r="AD1307" s="77"/>
      <c r="AE1307" s="77"/>
      <c r="AF1307" s="77"/>
      <c r="AG1307" s="77"/>
      <c r="AH1307" s="77"/>
    </row>
    <row r="1308" spans="11:34">
      <c r="K1308" s="273"/>
      <c r="S1308" s="273"/>
      <c r="T1308" s="273"/>
      <c r="U1308" s="273"/>
      <c r="W1308" s="77"/>
      <c r="X1308" s="77"/>
      <c r="Y1308" s="77"/>
      <c r="Z1308" s="77"/>
      <c r="AA1308" s="77"/>
      <c r="AB1308" s="77"/>
      <c r="AC1308" s="77"/>
      <c r="AD1308" s="77"/>
      <c r="AE1308" s="77"/>
      <c r="AF1308" s="77"/>
      <c r="AG1308" s="77"/>
      <c r="AH1308" s="77"/>
    </row>
    <row r="1309" spans="11:34">
      <c r="K1309" s="273"/>
      <c r="S1309" s="273"/>
      <c r="T1309" s="273"/>
      <c r="U1309" s="273"/>
      <c r="W1309" s="77"/>
      <c r="X1309" s="77"/>
      <c r="Y1309" s="77"/>
      <c r="Z1309" s="77"/>
      <c r="AA1309" s="77"/>
      <c r="AB1309" s="77"/>
      <c r="AC1309" s="77"/>
      <c r="AD1309" s="77"/>
      <c r="AE1309" s="77"/>
      <c r="AF1309" s="77"/>
      <c r="AG1309" s="77"/>
      <c r="AH1309" s="77"/>
    </row>
    <row r="1310" spans="11:34">
      <c r="K1310" s="273"/>
      <c r="S1310" s="273"/>
      <c r="T1310" s="273"/>
      <c r="U1310" s="273"/>
      <c r="W1310" s="77"/>
      <c r="X1310" s="77"/>
      <c r="Y1310" s="77"/>
      <c r="Z1310" s="77"/>
      <c r="AA1310" s="77"/>
      <c r="AB1310" s="77"/>
      <c r="AC1310" s="77"/>
      <c r="AD1310" s="77"/>
      <c r="AE1310" s="77"/>
      <c r="AF1310" s="77"/>
      <c r="AG1310" s="77"/>
      <c r="AH1310" s="77"/>
    </row>
    <row r="1311" spans="11:34">
      <c r="K1311" s="273"/>
      <c r="S1311" s="273"/>
      <c r="T1311" s="273"/>
      <c r="U1311" s="273"/>
      <c r="W1311" s="77"/>
      <c r="X1311" s="77"/>
      <c r="Y1311" s="77"/>
      <c r="Z1311" s="77"/>
      <c r="AA1311" s="77"/>
      <c r="AB1311" s="77"/>
      <c r="AC1311" s="77"/>
      <c r="AD1311" s="77"/>
      <c r="AE1311" s="77"/>
      <c r="AF1311" s="77"/>
      <c r="AG1311" s="77"/>
      <c r="AH1311" s="77"/>
    </row>
    <row r="1312" spans="11:34">
      <c r="K1312" s="273"/>
      <c r="S1312" s="273"/>
      <c r="T1312" s="273"/>
      <c r="U1312" s="273"/>
      <c r="W1312" s="77"/>
      <c r="X1312" s="77"/>
      <c r="Y1312" s="77"/>
      <c r="Z1312" s="77"/>
      <c r="AA1312" s="77"/>
      <c r="AB1312" s="77"/>
      <c r="AC1312" s="77"/>
      <c r="AD1312" s="77"/>
      <c r="AE1312" s="77"/>
      <c r="AF1312" s="77"/>
      <c r="AG1312" s="77"/>
      <c r="AH1312" s="77"/>
    </row>
    <row r="1313" spans="11:34">
      <c r="K1313" s="273"/>
      <c r="S1313" s="273"/>
      <c r="T1313" s="273"/>
      <c r="U1313" s="273"/>
      <c r="W1313" s="77"/>
      <c r="X1313" s="77"/>
      <c r="Y1313" s="77"/>
      <c r="Z1313" s="77"/>
      <c r="AA1313" s="77"/>
      <c r="AB1313" s="77"/>
      <c r="AC1313" s="77"/>
      <c r="AD1313" s="77"/>
      <c r="AE1313" s="77"/>
      <c r="AF1313" s="77"/>
      <c r="AG1313" s="77"/>
      <c r="AH1313" s="77"/>
    </row>
    <row r="1314" spans="11:34">
      <c r="K1314" s="273"/>
      <c r="S1314" s="273"/>
      <c r="T1314" s="273"/>
      <c r="U1314" s="273"/>
      <c r="W1314" s="77"/>
      <c r="X1314" s="77"/>
      <c r="Y1314" s="77"/>
      <c r="Z1314" s="77"/>
      <c r="AA1314" s="77"/>
      <c r="AB1314" s="77"/>
      <c r="AC1314" s="77"/>
      <c r="AD1314" s="77"/>
      <c r="AE1314" s="77"/>
      <c r="AF1314" s="77"/>
      <c r="AG1314" s="77"/>
      <c r="AH1314" s="77"/>
    </row>
    <row r="1315" spans="11:34">
      <c r="K1315" s="273"/>
      <c r="S1315" s="273"/>
      <c r="T1315" s="273"/>
      <c r="U1315" s="273"/>
      <c r="W1315" s="77"/>
      <c r="X1315" s="77"/>
      <c r="Y1315" s="77"/>
      <c r="Z1315" s="77"/>
      <c r="AA1315" s="77"/>
      <c r="AB1315" s="77"/>
      <c r="AC1315" s="77"/>
      <c r="AD1315" s="77"/>
      <c r="AE1315" s="77"/>
      <c r="AF1315" s="77"/>
      <c r="AG1315" s="77"/>
      <c r="AH1315" s="77"/>
    </row>
    <row r="1316" spans="11:34">
      <c r="K1316" s="273"/>
      <c r="S1316" s="273"/>
      <c r="T1316" s="273"/>
      <c r="U1316" s="273"/>
      <c r="W1316" s="77"/>
      <c r="X1316" s="77"/>
      <c r="Y1316" s="77"/>
      <c r="Z1316" s="77"/>
      <c r="AA1316" s="77"/>
      <c r="AB1316" s="77"/>
      <c r="AC1316" s="77"/>
      <c r="AD1316" s="77"/>
      <c r="AE1316" s="77"/>
      <c r="AF1316" s="77"/>
      <c r="AG1316" s="77"/>
      <c r="AH1316" s="77"/>
    </row>
    <row r="1317" spans="11:34">
      <c r="K1317" s="273"/>
      <c r="S1317" s="273"/>
      <c r="T1317" s="273"/>
      <c r="U1317" s="273"/>
      <c r="W1317" s="77"/>
      <c r="X1317" s="77"/>
      <c r="Y1317" s="77"/>
      <c r="Z1317" s="77"/>
      <c r="AA1317" s="77"/>
      <c r="AB1317" s="77"/>
      <c r="AC1317" s="77"/>
      <c r="AD1317" s="77"/>
      <c r="AE1317" s="77"/>
      <c r="AF1317" s="77"/>
      <c r="AG1317" s="77"/>
      <c r="AH1317" s="77"/>
    </row>
    <row r="1318" spans="11:34">
      <c r="K1318" s="273"/>
      <c r="S1318" s="273"/>
      <c r="T1318" s="273"/>
      <c r="U1318" s="273"/>
      <c r="W1318" s="77"/>
      <c r="X1318" s="77"/>
      <c r="Y1318" s="77"/>
      <c r="Z1318" s="77"/>
      <c r="AA1318" s="77"/>
      <c r="AB1318" s="77"/>
      <c r="AC1318" s="77"/>
      <c r="AD1318" s="77"/>
      <c r="AE1318" s="77"/>
      <c r="AF1318" s="77"/>
      <c r="AG1318" s="77"/>
      <c r="AH1318" s="77"/>
    </row>
    <row r="1319" spans="11:34">
      <c r="K1319" s="273"/>
      <c r="S1319" s="273"/>
      <c r="T1319" s="273"/>
      <c r="U1319" s="273"/>
      <c r="W1319" s="77"/>
      <c r="X1319" s="77"/>
      <c r="Y1319" s="77"/>
      <c r="Z1319" s="77"/>
      <c r="AA1319" s="77"/>
      <c r="AB1319" s="77"/>
      <c r="AC1319" s="77"/>
      <c r="AD1319" s="77"/>
      <c r="AE1319" s="77"/>
      <c r="AF1319" s="77"/>
      <c r="AG1319" s="77"/>
      <c r="AH1319" s="77"/>
    </row>
    <row r="1320" spans="11:34">
      <c r="K1320" s="273"/>
      <c r="S1320" s="273"/>
      <c r="T1320" s="273"/>
      <c r="U1320" s="273"/>
      <c r="W1320" s="77"/>
      <c r="X1320" s="77"/>
      <c r="Y1320" s="77"/>
      <c r="Z1320" s="77"/>
      <c r="AA1320" s="77"/>
      <c r="AB1320" s="77"/>
      <c r="AC1320" s="77"/>
      <c r="AD1320" s="77"/>
      <c r="AE1320" s="77"/>
      <c r="AF1320" s="77"/>
      <c r="AG1320" s="77"/>
      <c r="AH1320" s="77"/>
    </row>
    <row r="1321" spans="11:34">
      <c r="K1321" s="273"/>
      <c r="S1321" s="273"/>
      <c r="T1321" s="273"/>
      <c r="U1321" s="273"/>
      <c r="W1321" s="77"/>
      <c r="X1321" s="77"/>
      <c r="Y1321" s="77"/>
      <c r="Z1321" s="77"/>
      <c r="AA1321" s="77"/>
      <c r="AB1321" s="77"/>
      <c r="AC1321" s="77"/>
      <c r="AD1321" s="77"/>
      <c r="AE1321" s="77"/>
      <c r="AF1321" s="77"/>
      <c r="AG1321" s="77"/>
      <c r="AH1321" s="77"/>
    </row>
    <row r="1322" spans="11:34">
      <c r="K1322" s="273"/>
      <c r="S1322" s="273"/>
      <c r="T1322" s="273"/>
      <c r="U1322" s="273"/>
      <c r="W1322" s="77"/>
      <c r="X1322" s="77"/>
      <c r="Y1322" s="77"/>
      <c r="Z1322" s="77"/>
      <c r="AA1322" s="77"/>
      <c r="AB1322" s="77"/>
      <c r="AC1322" s="77"/>
      <c r="AD1322" s="77"/>
      <c r="AE1322" s="77"/>
      <c r="AF1322" s="77"/>
      <c r="AG1322" s="77"/>
      <c r="AH1322" s="77"/>
    </row>
    <row r="1323" spans="11:34">
      <c r="K1323" s="273"/>
      <c r="S1323" s="273"/>
      <c r="T1323" s="273"/>
      <c r="U1323" s="273"/>
      <c r="W1323" s="77"/>
      <c r="X1323" s="77"/>
      <c r="Y1323" s="77"/>
      <c r="Z1323" s="77"/>
      <c r="AA1323" s="77"/>
      <c r="AB1323" s="77"/>
      <c r="AC1323" s="77"/>
      <c r="AD1323" s="77"/>
      <c r="AE1323" s="77"/>
      <c r="AF1323" s="77"/>
      <c r="AG1323" s="77"/>
      <c r="AH1323" s="77"/>
    </row>
    <row r="1324" spans="11:34">
      <c r="K1324" s="273"/>
      <c r="S1324" s="273"/>
      <c r="T1324" s="273"/>
      <c r="U1324" s="273"/>
      <c r="W1324" s="77"/>
      <c r="X1324" s="77"/>
      <c r="Y1324" s="77"/>
      <c r="Z1324" s="77"/>
      <c r="AA1324" s="77"/>
      <c r="AB1324" s="77"/>
      <c r="AC1324" s="77"/>
      <c r="AD1324" s="77"/>
      <c r="AE1324" s="77"/>
      <c r="AF1324" s="77"/>
      <c r="AG1324" s="77"/>
      <c r="AH1324" s="77"/>
    </row>
    <row r="1325" spans="11:34">
      <c r="K1325" s="273"/>
      <c r="S1325" s="273"/>
      <c r="T1325" s="273"/>
      <c r="U1325" s="273"/>
      <c r="W1325" s="77"/>
      <c r="X1325" s="77"/>
      <c r="Y1325" s="77"/>
      <c r="Z1325" s="77"/>
      <c r="AA1325" s="77"/>
      <c r="AB1325" s="77"/>
      <c r="AC1325" s="77"/>
      <c r="AD1325" s="77"/>
      <c r="AE1325" s="77"/>
      <c r="AF1325" s="77"/>
      <c r="AG1325" s="77"/>
      <c r="AH1325" s="77"/>
    </row>
    <row r="1326" spans="11:34">
      <c r="K1326" s="273"/>
      <c r="S1326" s="273"/>
      <c r="T1326" s="273"/>
      <c r="U1326" s="273"/>
      <c r="W1326" s="77"/>
      <c r="X1326" s="77"/>
      <c r="Y1326" s="77"/>
      <c r="Z1326" s="77"/>
      <c r="AA1326" s="77"/>
      <c r="AB1326" s="77"/>
      <c r="AC1326" s="77"/>
      <c r="AD1326" s="77"/>
      <c r="AE1326" s="77"/>
      <c r="AF1326" s="77"/>
      <c r="AG1326" s="77"/>
      <c r="AH1326" s="77"/>
    </row>
    <row r="1327" spans="11:34">
      <c r="K1327" s="273"/>
      <c r="S1327" s="273"/>
      <c r="T1327" s="273"/>
      <c r="U1327" s="273"/>
      <c r="W1327" s="77"/>
      <c r="X1327" s="77"/>
      <c r="Y1327" s="77"/>
      <c r="Z1327" s="77"/>
      <c r="AA1327" s="77"/>
      <c r="AB1327" s="77"/>
      <c r="AC1327" s="77"/>
      <c r="AD1327" s="77"/>
      <c r="AE1327" s="77"/>
      <c r="AF1327" s="77"/>
      <c r="AG1327" s="77"/>
      <c r="AH1327" s="77"/>
    </row>
    <row r="1328" spans="11:34">
      <c r="K1328" s="273"/>
      <c r="S1328" s="273"/>
      <c r="T1328" s="273"/>
      <c r="U1328" s="273"/>
      <c r="W1328" s="77"/>
      <c r="X1328" s="77"/>
      <c r="Y1328" s="77"/>
      <c r="Z1328" s="77"/>
      <c r="AA1328" s="77"/>
      <c r="AB1328" s="77"/>
      <c r="AC1328" s="77"/>
      <c r="AD1328" s="77"/>
      <c r="AE1328" s="77"/>
      <c r="AF1328" s="77"/>
      <c r="AG1328" s="77"/>
      <c r="AH1328" s="77"/>
    </row>
    <row r="1329" spans="11:34">
      <c r="K1329" s="273"/>
      <c r="S1329" s="273"/>
      <c r="T1329" s="273"/>
      <c r="U1329" s="273"/>
      <c r="W1329" s="77"/>
      <c r="X1329" s="77"/>
      <c r="Y1329" s="77"/>
      <c r="Z1329" s="77"/>
      <c r="AA1329" s="77"/>
      <c r="AB1329" s="77"/>
      <c r="AC1329" s="77"/>
      <c r="AD1329" s="77"/>
      <c r="AE1329" s="77"/>
      <c r="AF1329" s="77"/>
      <c r="AG1329" s="77"/>
      <c r="AH1329" s="77"/>
    </row>
    <row r="1330" spans="11:34">
      <c r="K1330" s="273"/>
      <c r="S1330" s="273"/>
      <c r="T1330" s="273"/>
      <c r="U1330" s="273"/>
      <c r="W1330" s="77"/>
      <c r="X1330" s="77"/>
      <c r="Y1330" s="77"/>
      <c r="Z1330" s="77"/>
      <c r="AA1330" s="77"/>
      <c r="AB1330" s="77"/>
      <c r="AC1330" s="77"/>
      <c r="AD1330" s="77"/>
      <c r="AE1330" s="77"/>
      <c r="AF1330" s="77"/>
      <c r="AG1330" s="77"/>
      <c r="AH1330" s="77"/>
    </row>
    <row r="1331" spans="11:34">
      <c r="K1331" s="273"/>
      <c r="S1331" s="273"/>
      <c r="T1331" s="273"/>
      <c r="U1331" s="273"/>
      <c r="W1331" s="77"/>
      <c r="X1331" s="77"/>
      <c r="Y1331" s="77"/>
      <c r="Z1331" s="77"/>
      <c r="AA1331" s="77"/>
      <c r="AB1331" s="77"/>
      <c r="AC1331" s="77"/>
      <c r="AD1331" s="77"/>
      <c r="AE1331" s="77"/>
      <c r="AF1331" s="77"/>
      <c r="AG1331" s="77"/>
      <c r="AH1331" s="77"/>
    </row>
    <row r="1332" spans="11:34">
      <c r="K1332" s="273"/>
      <c r="S1332" s="273"/>
      <c r="T1332" s="273"/>
      <c r="U1332" s="273"/>
      <c r="W1332" s="77"/>
      <c r="X1332" s="77"/>
      <c r="Y1332" s="77"/>
      <c r="Z1332" s="77"/>
      <c r="AA1332" s="77"/>
      <c r="AB1332" s="77"/>
      <c r="AC1332" s="77"/>
      <c r="AD1332" s="77"/>
      <c r="AE1332" s="77"/>
      <c r="AF1332" s="77"/>
      <c r="AG1332" s="77"/>
      <c r="AH1332" s="77"/>
    </row>
    <row r="1333" spans="11:34">
      <c r="K1333" s="273"/>
      <c r="S1333" s="273"/>
      <c r="T1333" s="273"/>
      <c r="U1333" s="273"/>
      <c r="W1333" s="77"/>
      <c r="X1333" s="77"/>
      <c r="Y1333" s="77"/>
      <c r="Z1333" s="77"/>
      <c r="AA1333" s="77"/>
      <c r="AB1333" s="77"/>
      <c r="AC1333" s="77"/>
      <c r="AD1333" s="77"/>
      <c r="AE1333" s="77"/>
      <c r="AF1333" s="77"/>
      <c r="AG1333" s="77"/>
      <c r="AH1333" s="77"/>
    </row>
    <row r="1334" spans="11:34">
      <c r="K1334" s="273"/>
      <c r="S1334" s="273"/>
      <c r="T1334" s="273"/>
      <c r="U1334" s="273"/>
      <c r="W1334" s="77"/>
      <c r="X1334" s="77"/>
      <c r="Y1334" s="77"/>
      <c r="Z1334" s="77"/>
      <c r="AA1334" s="77"/>
      <c r="AB1334" s="77"/>
      <c r="AC1334" s="77"/>
      <c r="AD1334" s="77"/>
      <c r="AE1334" s="77"/>
      <c r="AF1334" s="77"/>
      <c r="AG1334" s="77"/>
      <c r="AH1334" s="77"/>
    </row>
    <row r="1335" spans="11:34">
      <c r="K1335" s="273"/>
      <c r="S1335" s="273"/>
      <c r="T1335" s="273"/>
      <c r="U1335" s="273"/>
      <c r="W1335" s="77"/>
      <c r="X1335" s="77"/>
      <c r="Y1335" s="77"/>
      <c r="Z1335" s="77"/>
      <c r="AA1335" s="77"/>
      <c r="AB1335" s="77"/>
      <c r="AC1335" s="77"/>
      <c r="AD1335" s="77"/>
      <c r="AE1335" s="77"/>
      <c r="AF1335" s="77"/>
      <c r="AG1335" s="77"/>
      <c r="AH1335" s="77"/>
    </row>
    <row r="1336" spans="11:34">
      <c r="K1336" s="273"/>
      <c r="S1336" s="273"/>
      <c r="T1336" s="273"/>
      <c r="U1336" s="273"/>
      <c r="W1336" s="77"/>
      <c r="X1336" s="77"/>
      <c r="Y1336" s="77"/>
      <c r="Z1336" s="77"/>
      <c r="AA1336" s="77"/>
      <c r="AB1336" s="77"/>
      <c r="AC1336" s="77"/>
      <c r="AD1336" s="77"/>
      <c r="AE1336" s="77"/>
      <c r="AF1336" s="77"/>
      <c r="AG1336" s="77"/>
      <c r="AH1336" s="77"/>
    </row>
    <row r="1337" spans="11:34">
      <c r="K1337" s="273"/>
      <c r="S1337" s="273"/>
      <c r="T1337" s="273"/>
      <c r="U1337" s="273"/>
      <c r="W1337" s="77"/>
      <c r="X1337" s="77"/>
      <c r="Y1337" s="77"/>
      <c r="Z1337" s="77"/>
      <c r="AA1337" s="77"/>
      <c r="AB1337" s="77"/>
      <c r="AC1337" s="77"/>
      <c r="AD1337" s="77"/>
      <c r="AE1337" s="77"/>
      <c r="AF1337" s="77"/>
      <c r="AG1337" s="77"/>
      <c r="AH1337" s="77"/>
    </row>
    <row r="1338" spans="11:34">
      <c r="K1338" s="273"/>
      <c r="S1338" s="273"/>
      <c r="T1338" s="273"/>
      <c r="U1338" s="273"/>
      <c r="W1338" s="77"/>
      <c r="X1338" s="77"/>
      <c r="Y1338" s="77"/>
      <c r="Z1338" s="77"/>
      <c r="AA1338" s="77"/>
      <c r="AB1338" s="77"/>
      <c r="AC1338" s="77"/>
      <c r="AD1338" s="77"/>
      <c r="AE1338" s="77"/>
      <c r="AF1338" s="77"/>
      <c r="AG1338" s="77"/>
      <c r="AH1338" s="77"/>
    </row>
    <row r="1339" spans="11:34">
      <c r="K1339" s="273"/>
      <c r="S1339" s="273"/>
      <c r="T1339" s="273"/>
      <c r="U1339" s="273"/>
      <c r="W1339" s="77"/>
      <c r="X1339" s="77"/>
      <c r="Y1339" s="77"/>
      <c r="Z1339" s="77"/>
      <c r="AA1339" s="77"/>
      <c r="AB1339" s="77"/>
      <c r="AC1339" s="77"/>
      <c r="AD1339" s="77"/>
      <c r="AE1339" s="77"/>
      <c r="AF1339" s="77"/>
      <c r="AG1339" s="77"/>
      <c r="AH1339" s="77"/>
    </row>
    <row r="1340" spans="11:34">
      <c r="K1340" s="273"/>
      <c r="S1340" s="273"/>
      <c r="T1340" s="273"/>
      <c r="U1340" s="273"/>
      <c r="W1340" s="77"/>
      <c r="X1340" s="77"/>
      <c r="Y1340" s="77"/>
      <c r="Z1340" s="77"/>
      <c r="AA1340" s="77"/>
      <c r="AB1340" s="77"/>
      <c r="AC1340" s="77"/>
      <c r="AD1340" s="77"/>
      <c r="AE1340" s="77"/>
      <c r="AF1340" s="77"/>
      <c r="AG1340" s="77"/>
      <c r="AH1340" s="77"/>
    </row>
    <row r="1341" spans="11:34">
      <c r="K1341" s="273"/>
      <c r="S1341" s="273"/>
      <c r="T1341" s="273"/>
      <c r="U1341" s="273"/>
      <c r="W1341" s="77"/>
      <c r="X1341" s="77"/>
      <c r="Y1341" s="77"/>
      <c r="Z1341" s="77"/>
      <c r="AA1341" s="77"/>
      <c r="AB1341" s="77"/>
      <c r="AC1341" s="77"/>
      <c r="AD1341" s="77"/>
      <c r="AE1341" s="77"/>
      <c r="AF1341" s="77"/>
      <c r="AG1341" s="77"/>
      <c r="AH1341" s="77"/>
    </row>
    <row r="1342" spans="11:34">
      <c r="K1342" s="273"/>
      <c r="S1342" s="273"/>
      <c r="T1342" s="273"/>
      <c r="U1342" s="273"/>
      <c r="W1342" s="77"/>
      <c r="X1342" s="77"/>
      <c r="Y1342" s="77"/>
      <c r="Z1342" s="77"/>
      <c r="AA1342" s="77"/>
      <c r="AB1342" s="77"/>
      <c r="AC1342" s="77"/>
      <c r="AD1342" s="77"/>
      <c r="AE1342" s="77"/>
      <c r="AF1342" s="77"/>
      <c r="AG1342" s="77"/>
      <c r="AH1342" s="77"/>
    </row>
    <row r="1343" spans="11:34">
      <c r="K1343" s="273"/>
      <c r="S1343" s="273"/>
      <c r="T1343" s="273"/>
      <c r="U1343" s="273"/>
      <c r="W1343" s="77"/>
      <c r="X1343" s="77"/>
      <c r="Y1343" s="77"/>
      <c r="Z1343" s="77"/>
      <c r="AA1343" s="77"/>
      <c r="AB1343" s="77"/>
      <c r="AC1343" s="77"/>
      <c r="AD1343" s="77"/>
      <c r="AE1343" s="77"/>
      <c r="AF1343" s="77"/>
      <c r="AG1343" s="77"/>
      <c r="AH1343" s="77"/>
    </row>
    <row r="1344" spans="11:34">
      <c r="K1344" s="273"/>
      <c r="S1344" s="273"/>
      <c r="T1344" s="273"/>
      <c r="U1344" s="273"/>
      <c r="W1344" s="77"/>
      <c r="X1344" s="77"/>
      <c r="Y1344" s="77"/>
      <c r="Z1344" s="77"/>
      <c r="AA1344" s="77"/>
      <c r="AB1344" s="77"/>
      <c r="AC1344" s="77"/>
      <c r="AD1344" s="77"/>
      <c r="AE1344" s="77"/>
      <c r="AF1344" s="77"/>
      <c r="AG1344" s="77"/>
      <c r="AH1344" s="77"/>
    </row>
    <row r="1345" spans="11:34">
      <c r="K1345" s="273"/>
      <c r="S1345" s="273"/>
      <c r="T1345" s="273"/>
      <c r="U1345" s="273"/>
      <c r="W1345" s="77"/>
      <c r="X1345" s="77"/>
      <c r="Y1345" s="77"/>
      <c r="Z1345" s="77"/>
      <c r="AA1345" s="77"/>
      <c r="AB1345" s="77"/>
      <c r="AC1345" s="77"/>
      <c r="AD1345" s="77"/>
      <c r="AE1345" s="77"/>
      <c r="AF1345" s="77"/>
      <c r="AG1345" s="77"/>
      <c r="AH1345" s="77"/>
    </row>
    <row r="1346" spans="11:34">
      <c r="K1346" s="273"/>
      <c r="S1346" s="273"/>
      <c r="T1346" s="273"/>
      <c r="U1346" s="273"/>
      <c r="W1346" s="77"/>
      <c r="X1346" s="77"/>
      <c r="Y1346" s="77"/>
      <c r="Z1346" s="77"/>
      <c r="AA1346" s="77"/>
      <c r="AB1346" s="77"/>
      <c r="AC1346" s="77"/>
      <c r="AD1346" s="77"/>
      <c r="AE1346" s="77"/>
      <c r="AF1346" s="77"/>
      <c r="AG1346" s="77"/>
      <c r="AH1346" s="77"/>
    </row>
    <row r="1347" spans="11:34">
      <c r="K1347" s="273"/>
      <c r="S1347" s="273"/>
      <c r="T1347" s="273"/>
      <c r="U1347" s="273"/>
      <c r="W1347" s="77"/>
      <c r="X1347" s="77"/>
      <c r="Y1347" s="77"/>
      <c r="Z1347" s="77"/>
      <c r="AA1347" s="77"/>
      <c r="AB1347" s="77"/>
      <c r="AC1347" s="77"/>
      <c r="AD1347" s="77"/>
      <c r="AE1347" s="77"/>
      <c r="AF1347" s="77"/>
      <c r="AG1347" s="77"/>
      <c r="AH1347" s="77"/>
    </row>
    <row r="1348" spans="11:34">
      <c r="K1348" s="273"/>
      <c r="S1348" s="273"/>
      <c r="T1348" s="273"/>
      <c r="U1348" s="273"/>
      <c r="W1348" s="77"/>
      <c r="X1348" s="77"/>
      <c r="Y1348" s="77"/>
      <c r="Z1348" s="77"/>
      <c r="AA1348" s="77"/>
      <c r="AB1348" s="77"/>
      <c r="AC1348" s="77"/>
      <c r="AD1348" s="77"/>
      <c r="AE1348" s="77"/>
      <c r="AF1348" s="77"/>
      <c r="AG1348" s="77"/>
      <c r="AH1348" s="77"/>
    </row>
    <row r="1349" spans="11:34">
      <c r="K1349" s="273"/>
      <c r="S1349" s="273"/>
      <c r="T1349" s="273"/>
      <c r="U1349" s="273"/>
      <c r="W1349" s="77"/>
      <c r="X1349" s="77"/>
      <c r="Y1349" s="77"/>
      <c r="Z1349" s="77"/>
      <c r="AA1349" s="77"/>
      <c r="AB1349" s="77"/>
      <c r="AC1349" s="77"/>
      <c r="AD1349" s="77"/>
      <c r="AE1349" s="77"/>
      <c r="AF1349" s="77"/>
      <c r="AG1349" s="77"/>
      <c r="AH1349" s="77"/>
    </row>
    <row r="1350" spans="11:34">
      <c r="K1350" s="273"/>
      <c r="S1350" s="273"/>
      <c r="T1350" s="273"/>
      <c r="U1350" s="273"/>
      <c r="W1350" s="77"/>
      <c r="X1350" s="77"/>
      <c r="Y1350" s="77"/>
      <c r="Z1350" s="77"/>
      <c r="AA1350" s="77"/>
      <c r="AB1350" s="77"/>
      <c r="AC1350" s="77"/>
      <c r="AD1350" s="77"/>
      <c r="AE1350" s="77"/>
      <c r="AF1350" s="77"/>
      <c r="AG1350" s="77"/>
      <c r="AH1350" s="77"/>
    </row>
    <row r="1351" spans="11:34">
      <c r="K1351" s="273"/>
      <c r="S1351" s="273"/>
      <c r="T1351" s="273"/>
      <c r="U1351" s="273"/>
      <c r="W1351" s="77"/>
      <c r="X1351" s="77"/>
      <c r="Y1351" s="77"/>
      <c r="Z1351" s="77"/>
      <c r="AA1351" s="77"/>
      <c r="AB1351" s="77"/>
      <c r="AC1351" s="77"/>
      <c r="AD1351" s="77"/>
      <c r="AE1351" s="77"/>
      <c r="AF1351" s="77"/>
      <c r="AG1351" s="77"/>
      <c r="AH1351" s="77"/>
    </row>
    <row r="1352" spans="11:34">
      <c r="K1352" s="273"/>
      <c r="S1352" s="273"/>
      <c r="T1352" s="273"/>
      <c r="U1352" s="273"/>
      <c r="W1352" s="77"/>
      <c r="X1352" s="77"/>
      <c r="Y1352" s="77"/>
      <c r="Z1352" s="77"/>
      <c r="AA1352" s="77"/>
      <c r="AB1352" s="77"/>
      <c r="AC1352" s="77"/>
      <c r="AD1352" s="77"/>
      <c r="AE1352" s="77"/>
      <c r="AF1352" s="77"/>
      <c r="AG1352" s="77"/>
      <c r="AH1352" s="77"/>
    </row>
    <row r="1353" spans="11:34">
      <c r="K1353" s="273"/>
      <c r="S1353" s="273"/>
      <c r="T1353" s="273"/>
      <c r="U1353" s="273"/>
      <c r="W1353" s="77"/>
      <c r="X1353" s="77"/>
      <c r="Y1353" s="77"/>
      <c r="Z1353" s="77"/>
      <c r="AA1353" s="77"/>
      <c r="AB1353" s="77"/>
      <c r="AC1353" s="77"/>
      <c r="AD1353" s="77"/>
      <c r="AE1353" s="77"/>
      <c r="AF1353" s="77"/>
      <c r="AG1353" s="77"/>
      <c r="AH1353" s="77"/>
    </row>
    <row r="1354" spans="11:34">
      <c r="K1354" s="273"/>
      <c r="S1354" s="273"/>
      <c r="T1354" s="273"/>
      <c r="U1354" s="273"/>
      <c r="W1354" s="77"/>
      <c r="X1354" s="77"/>
      <c r="Y1354" s="77"/>
      <c r="Z1354" s="77"/>
      <c r="AA1354" s="77"/>
      <c r="AB1354" s="77"/>
      <c r="AC1354" s="77"/>
      <c r="AD1354" s="77"/>
      <c r="AE1354" s="77"/>
      <c r="AF1354" s="77"/>
      <c r="AG1354" s="77"/>
      <c r="AH1354" s="77"/>
    </row>
    <row r="1355" spans="11:34">
      <c r="K1355" s="273"/>
      <c r="S1355" s="273"/>
      <c r="T1355" s="273"/>
      <c r="U1355" s="273"/>
      <c r="W1355" s="77"/>
      <c r="X1355" s="77"/>
      <c r="Y1355" s="77"/>
      <c r="Z1355" s="77"/>
      <c r="AA1355" s="77"/>
      <c r="AB1355" s="77"/>
      <c r="AC1355" s="77"/>
      <c r="AD1355" s="77"/>
      <c r="AE1355" s="77"/>
      <c r="AF1355" s="77"/>
      <c r="AG1355" s="77"/>
      <c r="AH1355" s="77"/>
    </row>
    <row r="1356" spans="11:34">
      <c r="K1356" s="273"/>
      <c r="S1356" s="273"/>
      <c r="T1356" s="273"/>
      <c r="U1356" s="273"/>
      <c r="W1356" s="77"/>
      <c r="X1356" s="77"/>
      <c r="Y1356" s="77"/>
      <c r="Z1356" s="77"/>
      <c r="AA1356" s="77"/>
      <c r="AB1356" s="77"/>
      <c r="AC1356" s="77"/>
      <c r="AD1356" s="77"/>
      <c r="AE1356" s="77"/>
      <c r="AF1356" s="77"/>
      <c r="AG1356" s="77"/>
      <c r="AH1356" s="77"/>
    </row>
    <row r="1357" spans="11:34">
      <c r="K1357" s="273"/>
      <c r="S1357" s="273"/>
      <c r="T1357" s="273"/>
      <c r="U1357" s="273"/>
      <c r="W1357" s="77"/>
      <c r="X1357" s="77"/>
      <c r="Y1357" s="77"/>
      <c r="Z1357" s="77"/>
      <c r="AA1357" s="77"/>
      <c r="AB1357" s="77"/>
      <c r="AC1357" s="77"/>
      <c r="AD1357" s="77"/>
      <c r="AE1357" s="77"/>
      <c r="AF1357" s="77"/>
      <c r="AG1357" s="77"/>
      <c r="AH1357" s="77"/>
    </row>
    <row r="1358" spans="11:34">
      <c r="K1358" s="273"/>
      <c r="S1358" s="273"/>
      <c r="T1358" s="273"/>
      <c r="U1358" s="273"/>
      <c r="W1358" s="77"/>
      <c r="X1358" s="77"/>
      <c r="Y1358" s="77"/>
      <c r="Z1358" s="77"/>
      <c r="AA1358" s="77"/>
      <c r="AB1358" s="77"/>
      <c r="AC1358" s="77"/>
      <c r="AD1358" s="77"/>
      <c r="AE1358" s="77"/>
      <c r="AF1358" s="77"/>
      <c r="AG1358" s="77"/>
      <c r="AH1358" s="77"/>
    </row>
    <row r="1359" spans="11:34">
      <c r="K1359" s="273"/>
      <c r="S1359" s="273"/>
      <c r="T1359" s="273"/>
      <c r="U1359" s="273"/>
      <c r="W1359" s="77"/>
      <c r="X1359" s="77"/>
      <c r="Y1359" s="77"/>
      <c r="Z1359" s="77"/>
      <c r="AA1359" s="77"/>
      <c r="AB1359" s="77"/>
      <c r="AC1359" s="77"/>
      <c r="AD1359" s="77"/>
      <c r="AE1359" s="77"/>
      <c r="AF1359" s="77"/>
      <c r="AG1359" s="77"/>
      <c r="AH1359" s="77"/>
    </row>
    <row r="1360" spans="11:34">
      <c r="K1360" s="273"/>
      <c r="S1360" s="273"/>
      <c r="T1360" s="273"/>
      <c r="U1360" s="273"/>
      <c r="W1360" s="77"/>
      <c r="X1360" s="77"/>
      <c r="Y1360" s="77"/>
      <c r="Z1360" s="77"/>
      <c r="AA1360" s="77"/>
      <c r="AB1360" s="77"/>
      <c r="AC1360" s="77"/>
      <c r="AD1360" s="77"/>
      <c r="AE1360" s="77"/>
      <c r="AF1360" s="77"/>
      <c r="AG1360" s="77"/>
      <c r="AH1360" s="77"/>
    </row>
    <row r="1361" spans="11:34">
      <c r="K1361" s="273"/>
      <c r="S1361" s="273"/>
      <c r="T1361" s="273"/>
      <c r="U1361" s="273"/>
      <c r="W1361" s="77"/>
      <c r="X1361" s="77"/>
      <c r="Y1361" s="77"/>
      <c r="Z1361" s="77"/>
      <c r="AA1361" s="77"/>
      <c r="AB1361" s="77"/>
      <c r="AC1361" s="77"/>
      <c r="AD1361" s="77"/>
      <c r="AE1361" s="77"/>
      <c r="AF1361" s="77"/>
      <c r="AG1361" s="77"/>
      <c r="AH1361" s="77"/>
    </row>
    <row r="1362" spans="11:34">
      <c r="K1362" s="273"/>
      <c r="S1362" s="273"/>
      <c r="T1362" s="273"/>
      <c r="U1362" s="273"/>
      <c r="W1362" s="77"/>
      <c r="X1362" s="77"/>
      <c r="Y1362" s="77"/>
      <c r="Z1362" s="77"/>
      <c r="AA1362" s="77"/>
      <c r="AB1362" s="77"/>
      <c r="AC1362" s="77"/>
      <c r="AD1362" s="77"/>
      <c r="AE1362" s="77"/>
      <c r="AF1362" s="77"/>
      <c r="AG1362" s="77"/>
      <c r="AH1362" s="77"/>
    </row>
    <row r="1363" spans="11:34">
      <c r="K1363" s="273"/>
      <c r="S1363" s="273"/>
      <c r="T1363" s="273"/>
      <c r="U1363" s="273"/>
      <c r="W1363" s="77"/>
      <c r="X1363" s="77"/>
      <c r="Y1363" s="77"/>
      <c r="Z1363" s="77"/>
      <c r="AA1363" s="77"/>
      <c r="AB1363" s="77"/>
      <c r="AC1363" s="77"/>
      <c r="AD1363" s="77"/>
      <c r="AE1363" s="77"/>
      <c r="AF1363" s="77"/>
      <c r="AG1363" s="77"/>
      <c r="AH1363" s="77"/>
    </row>
    <row r="1364" spans="11:34">
      <c r="K1364" s="273"/>
      <c r="S1364" s="273"/>
      <c r="T1364" s="273"/>
      <c r="U1364" s="273"/>
      <c r="W1364" s="77"/>
      <c r="X1364" s="77"/>
      <c r="Y1364" s="77"/>
      <c r="Z1364" s="77"/>
      <c r="AA1364" s="77"/>
      <c r="AB1364" s="77"/>
      <c r="AC1364" s="77"/>
      <c r="AD1364" s="77"/>
      <c r="AE1364" s="77"/>
      <c r="AF1364" s="77"/>
      <c r="AG1364" s="77"/>
      <c r="AH1364" s="77"/>
    </row>
    <row r="1365" spans="11:34">
      <c r="K1365" s="273"/>
      <c r="S1365" s="273"/>
      <c r="T1365" s="273"/>
      <c r="U1365" s="273"/>
      <c r="W1365" s="77"/>
      <c r="X1365" s="77"/>
      <c r="Y1365" s="77"/>
      <c r="Z1365" s="77"/>
      <c r="AA1365" s="77"/>
      <c r="AB1365" s="77"/>
      <c r="AC1365" s="77"/>
      <c r="AD1365" s="77"/>
      <c r="AE1365" s="77"/>
      <c r="AF1365" s="77"/>
      <c r="AG1365" s="77"/>
      <c r="AH1365" s="77"/>
    </row>
    <row r="1366" spans="11:34">
      <c r="K1366" s="273"/>
      <c r="S1366" s="273"/>
      <c r="T1366" s="273"/>
      <c r="U1366" s="273"/>
      <c r="W1366" s="77"/>
      <c r="X1366" s="77"/>
      <c r="Y1366" s="77"/>
      <c r="Z1366" s="77"/>
      <c r="AA1366" s="77"/>
      <c r="AB1366" s="77"/>
      <c r="AC1366" s="77"/>
      <c r="AD1366" s="77"/>
      <c r="AE1366" s="77"/>
      <c r="AF1366" s="77"/>
      <c r="AG1366" s="77"/>
      <c r="AH1366" s="77"/>
    </row>
    <row r="1367" spans="11:34">
      <c r="K1367" s="273"/>
      <c r="S1367" s="273"/>
      <c r="T1367" s="273"/>
      <c r="U1367" s="273"/>
      <c r="W1367" s="77"/>
      <c r="X1367" s="77"/>
      <c r="Y1367" s="77"/>
      <c r="Z1367" s="77"/>
      <c r="AA1367" s="77"/>
      <c r="AB1367" s="77"/>
      <c r="AC1367" s="77"/>
      <c r="AD1367" s="77"/>
      <c r="AE1367" s="77"/>
      <c r="AF1367" s="77"/>
      <c r="AG1367" s="77"/>
      <c r="AH1367" s="77"/>
    </row>
    <row r="1368" spans="11:34">
      <c r="K1368" s="273"/>
      <c r="S1368" s="273"/>
      <c r="T1368" s="273"/>
      <c r="U1368" s="273"/>
      <c r="W1368" s="77"/>
      <c r="X1368" s="77"/>
      <c r="Y1368" s="77"/>
      <c r="Z1368" s="77"/>
      <c r="AA1368" s="77"/>
      <c r="AB1368" s="77"/>
      <c r="AC1368" s="77"/>
      <c r="AD1368" s="77"/>
      <c r="AE1368" s="77"/>
      <c r="AF1368" s="77"/>
      <c r="AG1368" s="77"/>
      <c r="AH1368" s="77"/>
    </row>
    <row r="1369" spans="11:34">
      <c r="K1369" s="273"/>
      <c r="S1369" s="273"/>
      <c r="T1369" s="273"/>
      <c r="U1369" s="273"/>
      <c r="W1369" s="77"/>
      <c r="X1369" s="77"/>
      <c r="Y1369" s="77"/>
      <c r="Z1369" s="77"/>
      <c r="AA1369" s="77"/>
      <c r="AB1369" s="77"/>
      <c r="AC1369" s="77"/>
      <c r="AD1369" s="77"/>
      <c r="AE1369" s="77"/>
      <c r="AF1369" s="77"/>
      <c r="AG1369" s="77"/>
      <c r="AH1369" s="77"/>
    </row>
    <row r="1370" spans="11:34">
      <c r="K1370" s="273"/>
      <c r="S1370" s="273"/>
      <c r="T1370" s="273"/>
      <c r="U1370" s="273"/>
      <c r="W1370" s="77"/>
      <c r="X1370" s="77"/>
      <c r="Y1370" s="77"/>
      <c r="Z1370" s="77"/>
      <c r="AA1370" s="77"/>
      <c r="AB1370" s="77"/>
      <c r="AC1370" s="77"/>
      <c r="AD1370" s="77"/>
      <c r="AE1370" s="77"/>
      <c r="AF1370" s="77"/>
      <c r="AG1370" s="77"/>
      <c r="AH1370" s="77"/>
    </row>
    <row r="1371" spans="11:34">
      <c r="K1371" s="273"/>
      <c r="S1371" s="273"/>
      <c r="T1371" s="273"/>
      <c r="U1371" s="273"/>
      <c r="W1371" s="77"/>
      <c r="X1371" s="77"/>
      <c r="Y1371" s="77"/>
      <c r="Z1371" s="77"/>
      <c r="AA1371" s="77"/>
      <c r="AB1371" s="77"/>
      <c r="AC1371" s="77"/>
      <c r="AD1371" s="77"/>
      <c r="AE1371" s="77"/>
      <c r="AF1371" s="77"/>
      <c r="AG1371" s="77"/>
      <c r="AH1371" s="77"/>
    </row>
    <row r="1372" spans="11:34">
      <c r="K1372" s="273"/>
      <c r="S1372" s="273"/>
      <c r="T1372" s="273"/>
      <c r="U1372" s="273"/>
      <c r="W1372" s="77"/>
      <c r="X1372" s="77"/>
      <c r="Y1372" s="77"/>
      <c r="Z1372" s="77"/>
      <c r="AA1372" s="77"/>
      <c r="AB1372" s="77"/>
      <c r="AC1372" s="77"/>
      <c r="AD1372" s="77"/>
      <c r="AE1372" s="77"/>
      <c r="AF1372" s="77"/>
      <c r="AG1372" s="77"/>
      <c r="AH1372" s="77"/>
    </row>
    <row r="1373" spans="11:34">
      <c r="K1373" s="273"/>
      <c r="S1373" s="273"/>
      <c r="T1373" s="273"/>
      <c r="U1373" s="273"/>
      <c r="W1373" s="77"/>
      <c r="X1373" s="77"/>
      <c r="Y1373" s="77"/>
      <c r="Z1373" s="77"/>
      <c r="AA1373" s="77"/>
      <c r="AB1373" s="77"/>
      <c r="AC1373" s="77"/>
      <c r="AD1373" s="77"/>
      <c r="AE1373" s="77"/>
      <c r="AF1373" s="77"/>
      <c r="AG1373" s="77"/>
      <c r="AH1373" s="77"/>
    </row>
    <row r="1374" spans="11:34">
      <c r="K1374" s="273"/>
      <c r="S1374" s="273"/>
      <c r="T1374" s="273"/>
      <c r="U1374" s="273"/>
      <c r="W1374" s="77"/>
      <c r="X1374" s="77"/>
      <c r="Y1374" s="77"/>
      <c r="Z1374" s="77"/>
      <c r="AA1374" s="77"/>
      <c r="AB1374" s="77"/>
      <c r="AC1374" s="77"/>
      <c r="AD1374" s="77"/>
      <c r="AE1374" s="77"/>
      <c r="AF1374" s="77"/>
      <c r="AG1374" s="77"/>
      <c r="AH1374" s="77"/>
    </row>
    <row r="1375" spans="11:34">
      <c r="K1375" s="273"/>
      <c r="S1375" s="273"/>
      <c r="T1375" s="273"/>
      <c r="U1375" s="273"/>
      <c r="W1375" s="77"/>
      <c r="X1375" s="77"/>
      <c r="Y1375" s="77"/>
      <c r="Z1375" s="77"/>
      <c r="AA1375" s="77"/>
      <c r="AB1375" s="77"/>
      <c r="AC1375" s="77"/>
      <c r="AD1375" s="77"/>
      <c r="AE1375" s="77"/>
      <c r="AF1375" s="77"/>
      <c r="AG1375" s="77"/>
      <c r="AH1375" s="77"/>
    </row>
    <row r="1376" spans="11:34">
      <c r="K1376" s="273"/>
      <c r="S1376" s="273"/>
      <c r="T1376" s="273"/>
      <c r="U1376" s="273"/>
      <c r="W1376" s="77"/>
      <c r="X1376" s="77"/>
      <c r="Y1376" s="77"/>
      <c r="Z1376" s="77"/>
      <c r="AA1376" s="77"/>
      <c r="AB1376" s="77"/>
      <c r="AC1376" s="77"/>
      <c r="AD1376" s="77"/>
      <c r="AE1376" s="77"/>
      <c r="AF1376" s="77"/>
      <c r="AG1376" s="77"/>
      <c r="AH1376" s="77"/>
    </row>
    <row r="1377" spans="11:34">
      <c r="K1377" s="273"/>
      <c r="S1377" s="273"/>
      <c r="T1377" s="273"/>
      <c r="U1377" s="273"/>
      <c r="W1377" s="77"/>
      <c r="X1377" s="77"/>
      <c r="Y1377" s="77"/>
      <c r="Z1377" s="77"/>
      <c r="AA1377" s="77"/>
      <c r="AB1377" s="77"/>
      <c r="AC1377" s="77"/>
      <c r="AD1377" s="77"/>
      <c r="AE1377" s="77"/>
      <c r="AF1377" s="77"/>
      <c r="AG1377" s="77"/>
      <c r="AH1377" s="77"/>
    </row>
    <row r="1378" spans="11:34">
      <c r="K1378" s="273"/>
      <c r="S1378" s="273"/>
      <c r="T1378" s="273"/>
      <c r="U1378" s="273"/>
      <c r="W1378" s="77"/>
      <c r="X1378" s="77"/>
      <c r="Y1378" s="77"/>
      <c r="Z1378" s="77"/>
      <c r="AA1378" s="77"/>
      <c r="AB1378" s="77"/>
      <c r="AC1378" s="77"/>
      <c r="AD1378" s="77"/>
      <c r="AE1378" s="77"/>
      <c r="AF1378" s="77"/>
      <c r="AG1378" s="77"/>
      <c r="AH1378" s="77"/>
    </row>
    <row r="1379" spans="11:34">
      <c r="K1379" s="273"/>
      <c r="S1379" s="273"/>
      <c r="T1379" s="273"/>
      <c r="U1379" s="273"/>
      <c r="W1379" s="77"/>
      <c r="X1379" s="77"/>
      <c r="Y1379" s="77"/>
      <c r="Z1379" s="77"/>
      <c r="AA1379" s="77"/>
      <c r="AB1379" s="77"/>
      <c r="AC1379" s="77"/>
      <c r="AD1379" s="77"/>
      <c r="AE1379" s="77"/>
      <c r="AF1379" s="77"/>
      <c r="AG1379" s="77"/>
      <c r="AH1379" s="77"/>
    </row>
    <row r="1380" spans="11:34">
      <c r="K1380" s="273"/>
      <c r="S1380" s="273"/>
      <c r="T1380" s="273"/>
      <c r="U1380" s="273"/>
      <c r="W1380" s="77"/>
      <c r="X1380" s="77"/>
      <c r="Y1380" s="77"/>
      <c r="Z1380" s="77"/>
      <c r="AA1380" s="77"/>
      <c r="AB1380" s="77"/>
      <c r="AC1380" s="77"/>
      <c r="AD1380" s="77"/>
      <c r="AE1380" s="77"/>
      <c r="AF1380" s="77"/>
      <c r="AG1380" s="77"/>
      <c r="AH1380" s="77"/>
    </row>
    <row r="1381" spans="11:34">
      <c r="K1381" s="273"/>
      <c r="S1381" s="273"/>
      <c r="T1381" s="273"/>
      <c r="U1381" s="273"/>
      <c r="W1381" s="77"/>
      <c r="X1381" s="77"/>
      <c r="Y1381" s="77"/>
      <c r="Z1381" s="77"/>
      <c r="AA1381" s="77"/>
      <c r="AB1381" s="77"/>
      <c r="AC1381" s="77"/>
      <c r="AD1381" s="77"/>
      <c r="AE1381" s="77"/>
      <c r="AF1381" s="77"/>
      <c r="AG1381" s="77"/>
      <c r="AH1381" s="77"/>
    </row>
    <row r="1382" spans="11:34">
      <c r="K1382" s="273"/>
      <c r="S1382" s="273"/>
      <c r="T1382" s="273"/>
      <c r="U1382" s="273"/>
      <c r="W1382" s="77"/>
      <c r="X1382" s="77"/>
      <c r="Y1382" s="77"/>
      <c r="Z1382" s="77"/>
      <c r="AA1382" s="77"/>
      <c r="AB1382" s="77"/>
      <c r="AC1382" s="77"/>
      <c r="AD1382" s="77"/>
      <c r="AE1382" s="77"/>
      <c r="AF1382" s="77"/>
      <c r="AG1382" s="77"/>
      <c r="AH1382" s="77"/>
    </row>
    <row r="1383" spans="11:34">
      <c r="K1383" s="273"/>
      <c r="S1383" s="273"/>
      <c r="T1383" s="273"/>
      <c r="U1383" s="273"/>
      <c r="W1383" s="77"/>
      <c r="X1383" s="77"/>
      <c r="Y1383" s="77"/>
      <c r="Z1383" s="77"/>
      <c r="AA1383" s="77"/>
      <c r="AB1383" s="77"/>
      <c r="AC1383" s="77"/>
      <c r="AD1383" s="77"/>
      <c r="AE1383" s="77"/>
      <c r="AF1383" s="77"/>
      <c r="AG1383" s="77"/>
      <c r="AH1383" s="77"/>
    </row>
    <row r="1384" spans="11:34">
      <c r="K1384" s="273"/>
      <c r="S1384" s="273"/>
      <c r="T1384" s="273"/>
      <c r="U1384" s="273"/>
      <c r="W1384" s="77"/>
      <c r="X1384" s="77"/>
      <c r="Y1384" s="77"/>
      <c r="Z1384" s="77"/>
      <c r="AA1384" s="77"/>
      <c r="AB1384" s="77"/>
      <c r="AC1384" s="77"/>
      <c r="AD1384" s="77"/>
      <c r="AE1384" s="77"/>
      <c r="AF1384" s="77"/>
      <c r="AG1384" s="77"/>
      <c r="AH1384" s="77"/>
    </row>
    <row r="1385" spans="11:34">
      <c r="K1385" s="273"/>
      <c r="S1385" s="273"/>
      <c r="T1385" s="273"/>
      <c r="U1385" s="273"/>
      <c r="W1385" s="77"/>
      <c r="X1385" s="77"/>
      <c r="Y1385" s="77"/>
      <c r="Z1385" s="77"/>
      <c r="AA1385" s="77"/>
      <c r="AB1385" s="77"/>
      <c r="AC1385" s="77"/>
      <c r="AD1385" s="77"/>
      <c r="AE1385" s="77"/>
      <c r="AF1385" s="77"/>
      <c r="AG1385" s="77"/>
      <c r="AH1385" s="77"/>
    </row>
    <row r="1386" spans="11:34">
      <c r="K1386" s="273"/>
      <c r="S1386" s="273"/>
      <c r="T1386" s="273"/>
      <c r="U1386" s="273"/>
      <c r="W1386" s="77"/>
      <c r="X1386" s="77"/>
      <c r="Y1386" s="77"/>
      <c r="Z1386" s="77"/>
      <c r="AA1386" s="77"/>
      <c r="AB1386" s="77"/>
      <c r="AC1386" s="77"/>
      <c r="AD1386" s="77"/>
      <c r="AE1386" s="77"/>
      <c r="AF1386" s="77"/>
      <c r="AG1386" s="77"/>
      <c r="AH1386" s="77"/>
    </row>
    <row r="1387" spans="11:34">
      <c r="K1387" s="273"/>
      <c r="S1387" s="273"/>
      <c r="T1387" s="273"/>
      <c r="U1387" s="273"/>
      <c r="W1387" s="77"/>
      <c r="X1387" s="77"/>
      <c r="Y1387" s="77"/>
      <c r="Z1387" s="77"/>
      <c r="AA1387" s="77"/>
      <c r="AB1387" s="77"/>
      <c r="AC1387" s="77"/>
      <c r="AD1387" s="77"/>
      <c r="AE1387" s="77"/>
      <c r="AF1387" s="77"/>
      <c r="AG1387" s="77"/>
      <c r="AH1387" s="77"/>
    </row>
    <row r="1388" spans="11:34">
      <c r="K1388" s="273"/>
      <c r="S1388" s="273"/>
      <c r="T1388" s="273"/>
      <c r="U1388" s="273"/>
      <c r="W1388" s="77"/>
      <c r="X1388" s="77"/>
      <c r="Y1388" s="77"/>
      <c r="Z1388" s="77"/>
      <c r="AA1388" s="77"/>
      <c r="AB1388" s="77"/>
      <c r="AC1388" s="77"/>
      <c r="AD1388" s="77"/>
      <c r="AE1388" s="77"/>
      <c r="AF1388" s="77"/>
      <c r="AG1388" s="77"/>
      <c r="AH1388" s="77"/>
    </row>
    <row r="1389" spans="11:34">
      <c r="K1389" s="273"/>
      <c r="S1389" s="273"/>
      <c r="T1389" s="273"/>
      <c r="U1389" s="273"/>
      <c r="W1389" s="77"/>
      <c r="X1389" s="77"/>
      <c r="Y1389" s="77"/>
      <c r="Z1389" s="77"/>
      <c r="AA1389" s="77"/>
      <c r="AB1389" s="77"/>
      <c r="AC1389" s="77"/>
      <c r="AD1389" s="77"/>
      <c r="AE1389" s="77"/>
      <c r="AF1389" s="77"/>
      <c r="AG1389" s="77"/>
      <c r="AH1389" s="77"/>
    </row>
    <row r="1390" spans="11:34">
      <c r="K1390" s="273"/>
      <c r="S1390" s="273"/>
      <c r="T1390" s="273"/>
      <c r="U1390" s="273"/>
      <c r="W1390" s="77"/>
      <c r="X1390" s="77"/>
      <c r="Y1390" s="77"/>
      <c r="Z1390" s="77"/>
      <c r="AA1390" s="77"/>
      <c r="AB1390" s="77"/>
      <c r="AC1390" s="77"/>
      <c r="AD1390" s="77"/>
      <c r="AE1390" s="77"/>
      <c r="AF1390" s="77"/>
      <c r="AG1390" s="77"/>
      <c r="AH1390" s="77"/>
    </row>
    <row r="1391" spans="11:34">
      <c r="K1391" s="273"/>
      <c r="S1391" s="273"/>
      <c r="T1391" s="273"/>
      <c r="U1391" s="273"/>
      <c r="W1391" s="77"/>
      <c r="X1391" s="77"/>
      <c r="Y1391" s="77"/>
      <c r="Z1391" s="77"/>
      <c r="AA1391" s="77"/>
      <c r="AB1391" s="77"/>
      <c r="AC1391" s="77"/>
      <c r="AD1391" s="77"/>
      <c r="AE1391" s="77"/>
      <c r="AF1391" s="77"/>
      <c r="AG1391" s="77"/>
      <c r="AH1391" s="77"/>
    </row>
    <row r="1392" spans="11:34">
      <c r="K1392" s="273"/>
      <c r="S1392" s="273"/>
      <c r="T1392" s="273"/>
      <c r="U1392" s="273"/>
      <c r="W1392" s="77"/>
      <c r="X1392" s="77"/>
      <c r="Y1392" s="77"/>
      <c r="Z1392" s="77"/>
      <c r="AA1392" s="77"/>
      <c r="AB1392" s="77"/>
      <c r="AC1392" s="77"/>
      <c r="AD1392" s="77"/>
      <c r="AE1392" s="77"/>
      <c r="AF1392" s="77"/>
      <c r="AG1392" s="77"/>
      <c r="AH1392" s="77"/>
    </row>
    <row r="1393" spans="11:34">
      <c r="K1393" s="273"/>
      <c r="S1393" s="273"/>
      <c r="T1393" s="273"/>
      <c r="U1393" s="273"/>
      <c r="W1393" s="77"/>
      <c r="X1393" s="77"/>
      <c r="Y1393" s="77"/>
      <c r="Z1393" s="77"/>
      <c r="AA1393" s="77"/>
      <c r="AB1393" s="77"/>
      <c r="AC1393" s="77"/>
      <c r="AD1393" s="77"/>
      <c r="AE1393" s="77"/>
      <c r="AF1393" s="77"/>
      <c r="AG1393" s="77"/>
      <c r="AH1393" s="77"/>
    </row>
    <row r="1394" spans="11:34">
      <c r="K1394" s="273"/>
      <c r="S1394" s="273"/>
      <c r="T1394" s="273"/>
      <c r="U1394" s="273"/>
      <c r="W1394" s="77"/>
      <c r="X1394" s="77"/>
      <c r="Y1394" s="77"/>
      <c r="Z1394" s="77"/>
      <c r="AA1394" s="77"/>
      <c r="AB1394" s="77"/>
      <c r="AC1394" s="77"/>
      <c r="AD1394" s="77"/>
      <c r="AE1394" s="77"/>
      <c r="AF1394" s="77"/>
      <c r="AG1394" s="77"/>
      <c r="AH1394" s="77"/>
    </row>
    <row r="1395" spans="11:34">
      <c r="K1395" s="273"/>
      <c r="S1395" s="273"/>
      <c r="T1395" s="273"/>
      <c r="U1395" s="273"/>
      <c r="W1395" s="77"/>
      <c r="X1395" s="77"/>
      <c r="Y1395" s="77"/>
      <c r="Z1395" s="77"/>
      <c r="AA1395" s="77"/>
      <c r="AB1395" s="77"/>
      <c r="AC1395" s="77"/>
      <c r="AD1395" s="77"/>
      <c r="AE1395" s="77"/>
      <c r="AF1395" s="77"/>
      <c r="AG1395" s="77"/>
      <c r="AH1395" s="77"/>
    </row>
    <row r="1396" spans="11:34">
      <c r="K1396" s="273"/>
      <c r="S1396" s="273"/>
      <c r="T1396" s="273"/>
      <c r="U1396" s="273"/>
      <c r="W1396" s="77"/>
      <c r="X1396" s="77"/>
      <c r="Y1396" s="77"/>
      <c r="Z1396" s="77"/>
      <c r="AA1396" s="77"/>
      <c r="AB1396" s="77"/>
      <c r="AC1396" s="77"/>
      <c r="AD1396" s="77"/>
      <c r="AE1396" s="77"/>
      <c r="AF1396" s="77"/>
      <c r="AG1396" s="77"/>
      <c r="AH1396" s="77"/>
    </row>
    <row r="1397" spans="11:34">
      <c r="K1397" s="273"/>
      <c r="S1397" s="273"/>
      <c r="T1397" s="273"/>
      <c r="U1397" s="273"/>
      <c r="W1397" s="77"/>
      <c r="X1397" s="77"/>
      <c r="Y1397" s="77"/>
      <c r="Z1397" s="77"/>
      <c r="AA1397" s="77"/>
      <c r="AB1397" s="77"/>
      <c r="AC1397" s="77"/>
      <c r="AD1397" s="77"/>
      <c r="AE1397" s="77"/>
      <c r="AF1397" s="77"/>
      <c r="AG1397" s="77"/>
      <c r="AH1397" s="77"/>
    </row>
    <row r="1398" spans="11:34">
      <c r="K1398" s="273"/>
      <c r="S1398" s="273"/>
      <c r="T1398" s="273"/>
      <c r="U1398" s="273"/>
      <c r="W1398" s="77"/>
      <c r="X1398" s="77"/>
      <c r="Y1398" s="77"/>
      <c r="Z1398" s="77"/>
      <c r="AA1398" s="77"/>
      <c r="AB1398" s="77"/>
      <c r="AC1398" s="77"/>
      <c r="AD1398" s="77"/>
      <c r="AE1398" s="77"/>
      <c r="AF1398" s="77"/>
      <c r="AG1398" s="77"/>
      <c r="AH1398" s="77"/>
    </row>
    <row r="1399" spans="11:34">
      <c r="K1399" s="273"/>
      <c r="S1399" s="273"/>
      <c r="T1399" s="273"/>
      <c r="U1399" s="273"/>
      <c r="W1399" s="77"/>
      <c r="X1399" s="77"/>
      <c r="Y1399" s="77"/>
      <c r="Z1399" s="77"/>
      <c r="AA1399" s="77"/>
      <c r="AB1399" s="77"/>
      <c r="AC1399" s="77"/>
      <c r="AD1399" s="77"/>
      <c r="AE1399" s="77"/>
      <c r="AF1399" s="77"/>
      <c r="AG1399" s="77"/>
      <c r="AH1399" s="77"/>
    </row>
    <row r="1400" spans="11:34">
      <c r="K1400" s="273"/>
      <c r="S1400" s="273"/>
      <c r="T1400" s="273"/>
      <c r="U1400" s="273"/>
      <c r="W1400" s="77"/>
      <c r="X1400" s="77"/>
      <c r="Y1400" s="77"/>
      <c r="Z1400" s="77"/>
      <c r="AA1400" s="77"/>
      <c r="AB1400" s="77"/>
      <c r="AC1400" s="77"/>
      <c r="AD1400" s="77"/>
      <c r="AE1400" s="77"/>
      <c r="AF1400" s="77"/>
      <c r="AG1400" s="77"/>
      <c r="AH1400" s="77"/>
    </row>
    <row r="1401" spans="11:34">
      <c r="K1401" s="273"/>
      <c r="S1401" s="273"/>
      <c r="T1401" s="273"/>
      <c r="U1401" s="273"/>
      <c r="W1401" s="77"/>
      <c r="X1401" s="77"/>
      <c r="Y1401" s="77"/>
      <c r="Z1401" s="77"/>
      <c r="AA1401" s="77"/>
      <c r="AB1401" s="77"/>
      <c r="AC1401" s="77"/>
      <c r="AD1401" s="77"/>
      <c r="AE1401" s="77"/>
      <c r="AF1401" s="77"/>
      <c r="AG1401" s="77"/>
      <c r="AH1401" s="77"/>
    </row>
    <row r="1402" spans="11:34">
      <c r="K1402" s="273"/>
      <c r="S1402" s="273"/>
      <c r="T1402" s="273"/>
      <c r="U1402" s="273"/>
      <c r="W1402" s="77"/>
      <c r="X1402" s="77"/>
      <c r="Y1402" s="77"/>
      <c r="Z1402" s="77"/>
      <c r="AA1402" s="77"/>
      <c r="AB1402" s="77"/>
      <c r="AC1402" s="77"/>
      <c r="AD1402" s="77"/>
      <c r="AE1402" s="77"/>
      <c r="AF1402" s="77"/>
      <c r="AG1402" s="77"/>
      <c r="AH1402" s="77"/>
    </row>
    <row r="1403" spans="11:34">
      <c r="K1403" s="273"/>
      <c r="S1403" s="273"/>
      <c r="T1403" s="273"/>
      <c r="U1403" s="273"/>
      <c r="W1403" s="77"/>
      <c r="X1403" s="77"/>
      <c r="Y1403" s="77"/>
      <c r="Z1403" s="77"/>
      <c r="AA1403" s="77"/>
      <c r="AB1403" s="77"/>
      <c r="AC1403" s="77"/>
      <c r="AD1403" s="77"/>
      <c r="AE1403" s="77"/>
      <c r="AF1403" s="77"/>
      <c r="AG1403" s="77"/>
      <c r="AH1403" s="77"/>
    </row>
    <row r="1404" spans="11:34">
      <c r="K1404" s="273"/>
      <c r="S1404" s="273"/>
      <c r="T1404" s="273"/>
      <c r="U1404" s="273"/>
      <c r="W1404" s="77"/>
      <c r="X1404" s="77"/>
      <c r="Y1404" s="77"/>
      <c r="Z1404" s="77"/>
      <c r="AA1404" s="77"/>
      <c r="AB1404" s="77"/>
      <c r="AC1404" s="77"/>
      <c r="AD1404" s="77"/>
      <c r="AE1404" s="77"/>
      <c r="AF1404" s="77"/>
      <c r="AG1404" s="77"/>
      <c r="AH1404" s="77"/>
    </row>
    <row r="1405" spans="11:34">
      <c r="K1405" s="273"/>
      <c r="S1405" s="273"/>
      <c r="T1405" s="273"/>
      <c r="U1405" s="273"/>
      <c r="W1405" s="77"/>
      <c r="X1405" s="77"/>
      <c r="Y1405" s="77"/>
      <c r="Z1405" s="77"/>
      <c r="AA1405" s="77"/>
      <c r="AB1405" s="77"/>
      <c r="AC1405" s="77"/>
      <c r="AD1405" s="77"/>
      <c r="AE1405" s="77"/>
      <c r="AF1405" s="77"/>
      <c r="AG1405" s="77"/>
      <c r="AH1405" s="77"/>
    </row>
    <row r="1406" spans="11:34">
      <c r="K1406" s="273"/>
      <c r="S1406" s="273"/>
      <c r="T1406" s="273"/>
      <c r="U1406" s="273"/>
      <c r="W1406" s="77"/>
      <c r="X1406" s="77"/>
      <c r="Y1406" s="77"/>
      <c r="Z1406" s="77"/>
      <c r="AA1406" s="77"/>
      <c r="AB1406" s="77"/>
      <c r="AC1406" s="77"/>
      <c r="AD1406" s="77"/>
      <c r="AE1406" s="77"/>
      <c r="AF1406" s="77"/>
      <c r="AG1406" s="77"/>
      <c r="AH1406" s="77"/>
    </row>
    <row r="1407" spans="11:34">
      <c r="K1407" s="273"/>
      <c r="S1407" s="273"/>
      <c r="T1407" s="273"/>
      <c r="U1407" s="273"/>
      <c r="W1407" s="77"/>
      <c r="X1407" s="77"/>
      <c r="Y1407" s="77"/>
      <c r="Z1407" s="77"/>
      <c r="AA1407" s="77"/>
      <c r="AB1407" s="77"/>
      <c r="AC1407" s="77"/>
      <c r="AD1407" s="77"/>
      <c r="AE1407" s="77"/>
      <c r="AF1407" s="77"/>
      <c r="AG1407" s="77"/>
      <c r="AH1407" s="77"/>
    </row>
    <row r="1408" spans="11:34">
      <c r="K1408" s="273"/>
      <c r="S1408" s="273"/>
      <c r="T1408" s="273"/>
      <c r="U1408" s="273"/>
      <c r="W1408" s="77"/>
      <c r="X1408" s="77"/>
      <c r="Y1408" s="77"/>
      <c r="Z1408" s="77"/>
      <c r="AA1408" s="77"/>
      <c r="AB1408" s="77"/>
      <c r="AC1408" s="77"/>
      <c r="AD1408" s="77"/>
      <c r="AE1408" s="77"/>
      <c r="AF1408" s="77"/>
      <c r="AG1408" s="77"/>
      <c r="AH1408" s="77"/>
    </row>
    <row r="1409" spans="11:34">
      <c r="K1409" s="273"/>
      <c r="S1409" s="273"/>
      <c r="T1409" s="273"/>
      <c r="U1409" s="273"/>
      <c r="W1409" s="77"/>
      <c r="X1409" s="77"/>
      <c r="Y1409" s="77"/>
      <c r="Z1409" s="77"/>
      <c r="AA1409" s="77"/>
      <c r="AB1409" s="77"/>
      <c r="AC1409" s="77"/>
      <c r="AD1409" s="77"/>
      <c r="AE1409" s="77"/>
      <c r="AF1409" s="77"/>
      <c r="AG1409" s="77"/>
      <c r="AH1409" s="77"/>
    </row>
    <row r="1410" spans="11:34">
      <c r="K1410" s="273"/>
      <c r="S1410" s="273"/>
      <c r="T1410" s="273"/>
      <c r="U1410" s="273"/>
      <c r="W1410" s="77"/>
      <c r="X1410" s="77"/>
      <c r="Y1410" s="77"/>
      <c r="Z1410" s="77"/>
      <c r="AA1410" s="77"/>
      <c r="AB1410" s="77"/>
      <c r="AC1410" s="77"/>
      <c r="AD1410" s="77"/>
      <c r="AE1410" s="77"/>
      <c r="AF1410" s="77"/>
      <c r="AG1410" s="77"/>
      <c r="AH1410" s="77"/>
    </row>
    <row r="1411" spans="11:34">
      <c r="K1411" s="273"/>
      <c r="S1411" s="273"/>
      <c r="T1411" s="273"/>
      <c r="U1411" s="273"/>
      <c r="W1411" s="77"/>
      <c r="X1411" s="77"/>
      <c r="Y1411" s="77"/>
      <c r="Z1411" s="77"/>
      <c r="AA1411" s="77"/>
      <c r="AB1411" s="77"/>
      <c r="AC1411" s="77"/>
      <c r="AD1411" s="77"/>
      <c r="AE1411" s="77"/>
      <c r="AF1411" s="77"/>
      <c r="AG1411" s="77"/>
      <c r="AH1411" s="77"/>
    </row>
    <row r="1412" spans="11:34">
      <c r="K1412" s="273"/>
      <c r="S1412" s="273"/>
      <c r="T1412" s="273"/>
      <c r="U1412" s="273"/>
      <c r="W1412" s="77"/>
      <c r="X1412" s="77"/>
      <c r="Y1412" s="77"/>
      <c r="Z1412" s="77"/>
      <c r="AA1412" s="77"/>
      <c r="AB1412" s="77"/>
      <c r="AC1412" s="77"/>
      <c r="AD1412" s="77"/>
      <c r="AE1412" s="77"/>
      <c r="AF1412" s="77"/>
      <c r="AG1412" s="77"/>
      <c r="AH1412" s="77"/>
    </row>
    <row r="1413" spans="11:34">
      <c r="K1413" s="273"/>
      <c r="S1413" s="273"/>
      <c r="T1413" s="273"/>
      <c r="U1413" s="273"/>
      <c r="W1413" s="77"/>
      <c r="X1413" s="77"/>
      <c r="Y1413" s="77"/>
      <c r="Z1413" s="77"/>
      <c r="AA1413" s="77"/>
      <c r="AB1413" s="77"/>
      <c r="AC1413" s="77"/>
      <c r="AD1413" s="77"/>
      <c r="AE1413" s="77"/>
      <c r="AF1413" s="77"/>
      <c r="AG1413" s="77"/>
      <c r="AH1413" s="77"/>
    </row>
    <row r="1414" spans="11:34">
      <c r="K1414" s="273"/>
      <c r="S1414" s="273"/>
      <c r="T1414" s="273"/>
      <c r="U1414" s="273"/>
      <c r="W1414" s="77"/>
      <c r="X1414" s="77"/>
      <c r="Y1414" s="77"/>
      <c r="Z1414" s="77"/>
      <c r="AA1414" s="77"/>
      <c r="AB1414" s="77"/>
      <c r="AC1414" s="77"/>
      <c r="AD1414" s="77"/>
      <c r="AE1414" s="77"/>
      <c r="AF1414" s="77"/>
      <c r="AG1414" s="77"/>
      <c r="AH1414" s="77"/>
    </row>
    <row r="1415" spans="11:34">
      <c r="K1415" s="273"/>
      <c r="S1415" s="273"/>
      <c r="T1415" s="273"/>
      <c r="U1415" s="273"/>
      <c r="W1415" s="77"/>
      <c r="X1415" s="77"/>
      <c r="Y1415" s="77"/>
      <c r="Z1415" s="77"/>
      <c r="AA1415" s="77"/>
      <c r="AB1415" s="77"/>
      <c r="AC1415" s="77"/>
      <c r="AD1415" s="77"/>
      <c r="AE1415" s="77"/>
      <c r="AF1415" s="77"/>
      <c r="AG1415" s="77"/>
      <c r="AH1415" s="77"/>
    </row>
    <row r="1416" spans="11:34">
      <c r="K1416" s="273"/>
      <c r="S1416" s="273"/>
      <c r="T1416" s="273"/>
      <c r="U1416" s="273"/>
      <c r="W1416" s="77"/>
      <c r="X1416" s="77"/>
      <c r="Y1416" s="77"/>
      <c r="Z1416" s="77"/>
      <c r="AA1416" s="77"/>
      <c r="AB1416" s="77"/>
      <c r="AC1416" s="77"/>
      <c r="AD1416" s="77"/>
      <c r="AE1416" s="77"/>
      <c r="AF1416" s="77"/>
      <c r="AG1416" s="77"/>
      <c r="AH1416" s="77"/>
    </row>
    <row r="1417" spans="11:34">
      <c r="K1417" s="273"/>
      <c r="S1417" s="273"/>
      <c r="T1417" s="273"/>
      <c r="U1417" s="273"/>
      <c r="W1417" s="77"/>
      <c r="X1417" s="77"/>
      <c r="Y1417" s="77"/>
      <c r="Z1417" s="77"/>
      <c r="AA1417" s="77"/>
      <c r="AB1417" s="77"/>
      <c r="AC1417" s="77"/>
      <c r="AD1417" s="77"/>
      <c r="AE1417" s="77"/>
      <c r="AF1417" s="77"/>
      <c r="AG1417" s="77"/>
      <c r="AH1417" s="77"/>
    </row>
    <row r="1418" spans="11:34">
      <c r="K1418" s="273"/>
      <c r="S1418" s="273"/>
      <c r="T1418" s="273"/>
      <c r="U1418" s="273"/>
      <c r="W1418" s="77"/>
      <c r="X1418" s="77"/>
      <c r="Y1418" s="77"/>
      <c r="Z1418" s="77"/>
      <c r="AA1418" s="77"/>
      <c r="AB1418" s="77"/>
      <c r="AC1418" s="77"/>
      <c r="AD1418" s="77"/>
      <c r="AE1418" s="77"/>
      <c r="AF1418" s="77"/>
      <c r="AG1418" s="77"/>
      <c r="AH1418" s="77"/>
    </row>
    <row r="1419" spans="11:34">
      <c r="K1419" s="273"/>
      <c r="S1419" s="273"/>
      <c r="T1419" s="273"/>
      <c r="U1419" s="273"/>
      <c r="W1419" s="77"/>
      <c r="X1419" s="77"/>
      <c r="Y1419" s="77"/>
      <c r="Z1419" s="77"/>
      <c r="AA1419" s="77"/>
      <c r="AB1419" s="77"/>
      <c r="AC1419" s="77"/>
      <c r="AD1419" s="77"/>
      <c r="AE1419" s="77"/>
      <c r="AF1419" s="77"/>
      <c r="AG1419" s="77"/>
      <c r="AH1419" s="77"/>
    </row>
    <row r="1420" spans="11:34">
      <c r="K1420" s="273"/>
      <c r="S1420" s="273"/>
      <c r="T1420" s="273"/>
      <c r="U1420" s="273"/>
      <c r="W1420" s="77"/>
      <c r="X1420" s="77"/>
      <c r="Y1420" s="77"/>
      <c r="Z1420" s="77"/>
      <c r="AA1420" s="77"/>
      <c r="AB1420" s="77"/>
      <c r="AC1420" s="77"/>
      <c r="AD1420" s="77"/>
      <c r="AE1420" s="77"/>
      <c r="AF1420" s="77"/>
      <c r="AG1420" s="77"/>
      <c r="AH1420" s="77"/>
    </row>
    <row r="1421" spans="11:34">
      <c r="K1421" s="273"/>
      <c r="S1421" s="273"/>
      <c r="T1421" s="273"/>
      <c r="U1421" s="273"/>
      <c r="W1421" s="77"/>
      <c r="X1421" s="77"/>
      <c r="Y1421" s="77"/>
      <c r="Z1421" s="77"/>
      <c r="AA1421" s="77"/>
      <c r="AB1421" s="77"/>
      <c r="AC1421" s="77"/>
      <c r="AD1421" s="77"/>
      <c r="AE1421" s="77"/>
      <c r="AF1421" s="77"/>
      <c r="AG1421" s="77"/>
      <c r="AH1421" s="77"/>
    </row>
    <row r="1422" spans="11:34">
      <c r="K1422" s="273"/>
      <c r="S1422" s="273"/>
      <c r="T1422" s="273"/>
      <c r="U1422" s="273"/>
      <c r="W1422" s="77"/>
      <c r="X1422" s="77"/>
      <c r="Y1422" s="77"/>
      <c r="Z1422" s="77"/>
      <c r="AA1422" s="77"/>
      <c r="AB1422" s="77"/>
      <c r="AC1422" s="77"/>
      <c r="AD1422" s="77"/>
      <c r="AE1422" s="77"/>
      <c r="AF1422" s="77"/>
      <c r="AG1422" s="77"/>
      <c r="AH1422" s="77"/>
    </row>
    <row r="1423" spans="11:34">
      <c r="K1423" s="273"/>
      <c r="S1423" s="273"/>
      <c r="T1423" s="273"/>
      <c r="U1423" s="273"/>
      <c r="W1423" s="77"/>
      <c r="X1423" s="77"/>
      <c r="Y1423" s="77"/>
      <c r="Z1423" s="77"/>
      <c r="AA1423" s="77"/>
      <c r="AB1423" s="77"/>
      <c r="AC1423" s="77"/>
      <c r="AD1423" s="77"/>
      <c r="AE1423" s="77"/>
      <c r="AF1423" s="77"/>
      <c r="AG1423" s="77"/>
      <c r="AH1423" s="77"/>
    </row>
    <row r="1424" spans="11:34">
      <c r="K1424" s="273"/>
      <c r="S1424" s="273"/>
      <c r="T1424" s="273"/>
      <c r="U1424" s="273"/>
      <c r="W1424" s="77"/>
      <c r="X1424" s="77"/>
      <c r="Y1424" s="77"/>
      <c r="Z1424" s="77"/>
      <c r="AA1424" s="77"/>
      <c r="AB1424" s="77"/>
      <c r="AC1424" s="77"/>
      <c r="AD1424" s="77"/>
      <c r="AE1424" s="77"/>
      <c r="AF1424" s="77"/>
      <c r="AG1424" s="77"/>
      <c r="AH1424" s="77"/>
    </row>
    <row r="1425" spans="11:34">
      <c r="K1425" s="273"/>
      <c r="S1425" s="273"/>
      <c r="T1425" s="273"/>
      <c r="U1425" s="273"/>
      <c r="W1425" s="77"/>
      <c r="X1425" s="77"/>
      <c r="Y1425" s="77"/>
      <c r="Z1425" s="77"/>
      <c r="AA1425" s="77"/>
      <c r="AB1425" s="77"/>
      <c r="AC1425" s="77"/>
      <c r="AD1425" s="77"/>
      <c r="AE1425" s="77"/>
      <c r="AF1425" s="77"/>
      <c r="AG1425" s="77"/>
      <c r="AH1425" s="77"/>
    </row>
    <row r="1426" spans="11:34">
      <c r="K1426" s="273"/>
      <c r="S1426" s="273"/>
      <c r="T1426" s="273"/>
      <c r="U1426" s="273"/>
      <c r="W1426" s="77"/>
      <c r="X1426" s="77"/>
      <c r="Y1426" s="77"/>
      <c r="Z1426" s="77"/>
      <c r="AA1426" s="77"/>
      <c r="AB1426" s="77"/>
      <c r="AC1426" s="77"/>
      <c r="AD1426" s="77"/>
      <c r="AE1426" s="77"/>
      <c r="AF1426" s="77"/>
      <c r="AG1426" s="77"/>
      <c r="AH1426" s="77"/>
    </row>
    <row r="1427" spans="11:34">
      <c r="K1427" s="273"/>
      <c r="S1427" s="273"/>
      <c r="T1427" s="273"/>
      <c r="U1427" s="273"/>
      <c r="W1427" s="77"/>
      <c r="X1427" s="77"/>
      <c r="Y1427" s="77"/>
      <c r="Z1427" s="77"/>
      <c r="AA1427" s="77"/>
      <c r="AB1427" s="77"/>
      <c r="AC1427" s="77"/>
      <c r="AD1427" s="77"/>
      <c r="AE1427" s="77"/>
      <c r="AF1427" s="77"/>
      <c r="AG1427" s="77"/>
      <c r="AH1427" s="77"/>
    </row>
    <row r="1428" spans="11:34">
      <c r="K1428" s="273"/>
      <c r="S1428" s="273"/>
      <c r="T1428" s="273"/>
      <c r="U1428" s="273"/>
      <c r="W1428" s="77"/>
      <c r="X1428" s="77"/>
      <c r="Y1428" s="77"/>
      <c r="Z1428" s="77"/>
      <c r="AA1428" s="77"/>
      <c r="AB1428" s="77"/>
      <c r="AC1428" s="77"/>
      <c r="AD1428" s="77"/>
      <c r="AE1428" s="77"/>
      <c r="AF1428" s="77"/>
      <c r="AG1428" s="77"/>
      <c r="AH1428" s="77"/>
    </row>
    <row r="1429" spans="11:34">
      <c r="K1429" s="273"/>
      <c r="S1429" s="273"/>
      <c r="T1429" s="273"/>
      <c r="U1429" s="273"/>
      <c r="W1429" s="77"/>
      <c r="X1429" s="77"/>
      <c r="Y1429" s="77"/>
      <c r="Z1429" s="77"/>
      <c r="AA1429" s="77"/>
      <c r="AB1429" s="77"/>
      <c r="AC1429" s="77"/>
      <c r="AD1429" s="77"/>
      <c r="AE1429" s="77"/>
      <c r="AF1429" s="77"/>
      <c r="AG1429" s="77"/>
      <c r="AH1429" s="77"/>
    </row>
    <row r="1430" spans="11:34">
      <c r="K1430" s="273"/>
      <c r="S1430" s="273"/>
      <c r="T1430" s="273"/>
      <c r="U1430" s="273"/>
      <c r="W1430" s="77"/>
      <c r="X1430" s="77"/>
      <c r="Y1430" s="77"/>
      <c r="Z1430" s="77"/>
      <c r="AA1430" s="77"/>
      <c r="AB1430" s="77"/>
      <c r="AC1430" s="77"/>
      <c r="AD1430" s="77"/>
      <c r="AE1430" s="77"/>
      <c r="AF1430" s="77"/>
      <c r="AG1430" s="77"/>
      <c r="AH1430" s="77"/>
    </row>
    <row r="1431" spans="11:34">
      <c r="K1431" s="273"/>
      <c r="S1431" s="273"/>
      <c r="T1431" s="273"/>
      <c r="U1431" s="273"/>
      <c r="W1431" s="77"/>
      <c r="X1431" s="77"/>
      <c r="Y1431" s="77"/>
      <c r="Z1431" s="77"/>
      <c r="AA1431" s="77"/>
      <c r="AB1431" s="77"/>
      <c r="AC1431" s="77"/>
      <c r="AD1431" s="77"/>
      <c r="AE1431" s="77"/>
      <c r="AF1431" s="77"/>
      <c r="AG1431" s="77"/>
      <c r="AH1431" s="77"/>
    </row>
    <row r="1432" spans="11:34">
      <c r="K1432" s="273"/>
      <c r="S1432" s="273"/>
      <c r="T1432" s="273"/>
      <c r="U1432" s="273"/>
      <c r="W1432" s="77"/>
      <c r="X1432" s="77"/>
      <c r="Y1432" s="77"/>
      <c r="Z1432" s="77"/>
      <c r="AA1432" s="77"/>
      <c r="AB1432" s="77"/>
      <c r="AC1432" s="77"/>
      <c r="AD1432" s="77"/>
      <c r="AE1432" s="77"/>
      <c r="AF1432" s="77"/>
      <c r="AG1432" s="77"/>
      <c r="AH1432" s="77"/>
    </row>
    <row r="1433" spans="11:34">
      <c r="K1433" s="273"/>
      <c r="S1433" s="273"/>
      <c r="T1433" s="273"/>
      <c r="U1433" s="273"/>
      <c r="W1433" s="77"/>
      <c r="X1433" s="77"/>
      <c r="Y1433" s="77"/>
      <c r="Z1433" s="77"/>
      <c r="AA1433" s="77"/>
      <c r="AB1433" s="77"/>
      <c r="AC1433" s="77"/>
      <c r="AD1433" s="77"/>
      <c r="AE1433" s="77"/>
      <c r="AF1433" s="77"/>
      <c r="AG1433" s="77"/>
      <c r="AH1433" s="77"/>
    </row>
    <row r="1434" spans="11:34">
      <c r="K1434" s="273"/>
      <c r="S1434" s="273"/>
      <c r="T1434" s="273"/>
      <c r="U1434" s="273"/>
      <c r="W1434" s="77"/>
      <c r="X1434" s="77"/>
      <c r="Y1434" s="77"/>
      <c r="Z1434" s="77"/>
      <c r="AA1434" s="77"/>
      <c r="AB1434" s="77"/>
      <c r="AC1434" s="77"/>
      <c r="AD1434" s="77"/>
      <c r="AE1434" s="77"/>
      <c r="AF1434" s="77"/>
      <c r="AG1434" s="77"/>
      <c r="AH1434" s="77"/>
    </row>
    <row r="1435" spans="11:34">
      <c r="K1435" s="273"/>
      <c r="S1435" s="273"/>
      <c r="T1435" s="273"/>
      <c r="U1435" s="273"/>
      <c r="W1435" s="77"/>
      <c r="X1435" s="77"/>
      <c r="Y1435" s="77"/>
      <c r="Z1435" s="77"/>
      <c r="AA1435" s="77"/>
      <c r="AB1435" s="77"/>
      <c r="AC1435" s="77"/>
      <c r="AD1435" s="77"/>
      <c r="AE1435" s="77"/>
      <c r="AF1435" s="77"/>
      <c r="AG1435" s="77"/>
      <c r="AH1435" s="77"/>
    </row>
    <row r="1436" spans="11:34">
      <c r="K1436" s="273"/>
      <c r="S1436" s="273"/>
      <c r="T1436" s="273"/>
      <c r="U1436" s="273"/>
      <c r="W1436" s="77"/>
      <c r="X1436" s="77"/>
      <c r="Y1436" s="77"/>
      <c r="Z1436" s="77"/>
      <c r="AA1436" s="77"/>
      <c r="AB1436" s="77"/>
      <c r="AC1436" s="77"/>
      <c r="AD1436" s="77"/>
      <c r="AE1436" s="77"/>
      <c r="AF1436" s="77"/>
      <c r="AG1436" s="77"/>
      <c r="AH1436" s="77"/>
    </row>
    <row r="1437" spans="11:34">
      <c r="K1437" s="273"/>
      <c r="S1437" s="273"/>
      <c r="T1437" s="273"/>
      <c r="U1437" s="273"/>
      <c r="W1437" s="77"/>
      <c r="X1437" s="77"/>
      <c r="Y1437" s="77"/>
      <c r="Z1437" s="77"/>
      <c r="AA1437" s="77"/>
      <c r="AB1437" s="77"/>
      <c r="AC1437" s="77"/>
      <c r="AD1437" s="77"/>
      <c r="AE1437" s="77"/>
      <c r="AF1437" s="77"/>
      <c r="AG1437" s="77"/>
      <c r="AH1437" s="77"/>
    </row>
    <row r="1438" spans="11:34">
      <c r="K1438" s="273"/>
      <c r="S1438" s="273"/>
      <c r="T1438" s="273"/>
      <c r="U1438" s="273"/>
      <c r="W1438" s="77"/>
      <c r="X1438" s="77"/>
      <c r="Y1438" s="77"/>
      <c r="Z1438" s="77"/>
      <c r="AA1438" s="77"/>
      <c r="AB1438" s="77"/>
      <c r="AC1438" s="77"/>
      <c r="AD1438" s="77"/>
      <c r="AE1438" s="77"/>
      <c r="AF1438" s="77"/>
      <c r="AG1438" s="77"/>
      <c r="AH1438" s="77"/>
    </row>
    <row r="1439" spans="11:34">
      <c r="K1439" s="273"/>
      <c r="S1439" s="273"/>
      <c r="T1439" s="273"/>
      <c r="U1439" s="273"/>
      <c r="W1439" s="77"/>
      <c r="X1439" s="77"/>
      <c r="Y1439" s="77"/>
      <c r="Z1439" s="77"/>
      <c r="AA1439" s="77"/>
      <c r="AB1439" s="77"/>
      <c r="AC1439" s="77"/>
      <c r="AD1439" s="77"/>
      <c r="AE1439" s="77"/>
      <c r="AF1439" s="77"/>
      <c r="AG1439" s="77"/>
      <c r="AH1439" s="77"/>
    </row>
    <row r="1440" spans="11:34">
      <c r="K1440" s="273"/>
      <c r="S1440" s="273"/>
      <c r="T1440" s="273"/>
      <c r="U1440" s="273"/>
      <c r="W1440" s="77"/>
      <c r="X1440" s="77"/>
      <c r="Y1440" s="77"/>
      <c r="Z1440" s="77"/>
      <c r="AA1440" s="77"/>
      <c r="AB1440" s="77"/>
      <c r="AC1440" s="77"/>
      <c r="AD1440" s="77"/>
      <c r="AE1440" s="77"/>
      <c r="AF1440" s="77"/>
      <c r="AG1440" s="77"/>
      <c r="AH1440" s="77"/>
    </row>
    <row r="1441" spans="11:34">
      <c r="K1441" s="273"/>
      <c r="S1441" s="273"/>
      <c r="T1441" s="273"/>
      <c r="U1441" s="273"/>
      <c r="W1441" s="77"/>
      <c r="X1441" s="77"/>
      <c r="Y1441" s="77"/>
      <c r="Z1441" s="77"/>
      <c r="AA1441" s="77"/>
      <c r="AB1441" s="77"/>
      <c r="AC1441" s="77"/>
      <c r="AD1441" s="77"/>
      <c r="AE1441" s="77"/>
      <c r="AF1441" s="77"/>
      <c r="AG1441" s="77"/>
      <c r="AH1441" s="77"/>
    </row>
    <row r="1442" spans="11:34">
      <c r="K1442" s="273"/>
      <c r="S1442" s="273"/>
      <c r="T1442" s="273"/>
      <c r="U1442" s="273"/>
      <c r="W1442" s="77"/>
      <c r="X1442" s="77"/>
      <c r="Y1442" s="77"/>
      <c r="Z1442" s="77"/>
      <c r="AA1442" s="77"/>
      <c r="AB1442" s="77"/>
      <c r="AC1442" s="77"/>
      <c r="AD1442" s="77"/>
      <c r="AE1442" s="77"/>
      <c r="AF1442" s="77"/>
      <c r="AG1442" s="77"/>
      <c r="AH1442" s="77"/>
    </row>
    <row r="1443" spans="11:34">
      <c r="K1443" s="273"/>
      <c r="S1443" s="273"/>
      <c r="T1443" s="273"/>
      <c r="U1443" s="273"/>
      <c r="W1443" s="77"/>
      <c r="X1443" s="77"/>
      <c r="Y1443" s="77"/>
      <c r="Z1443" s="77"/>
      <c r="AA1443" s="77"/>
      <c r="AB1443" s="77"/>
      <c r="AC1443" s="77"/>
      <c r="AD1443" s="77"/>
      <c r="AE1443" s="77"/>
      <c r="AF1443" s="77"/>
      <c r="AG1443" s="77"/>
      <c r="AH1443" s="77"/>
    </row>
    <row r="1444" spans="11:34">
      <c r="K1444" s="273"/>
      <c r="S1444" s="273"/>
      <c r="T1444" s="273"/>
      <c r="U1444" s="273"/>
      <c r="W1444" s="77"/>
      <c r="X1444" s="77"/>
      <c r="Y1444" s="77"/>
      <c r="Z1444" s="77"/>
      <c r="AA1444" s="77"/>
      <c r="AB1444" s="77"/>
      <c r="AC1444" s="77"/>
      <c r="AD1444" s="77"/>
      <c r="AE1444" s="77"/>
      <c r="AF1444" s="77"/>
      <c r="AG1444" s="77"/>
      <c r="AH1444" s="77"/>
    </row>
    <row r="1445" spans="11:34">
      <c r="K1445" s="273"/>
      <c r="S1445" s="273"/>
      <c r="T1445" s="273"/>
      <c r="U1445" s="273"/>
      <c r="W1445" s="77"/>
      <c r="X1445" s="77"/>
      <c r="Y1445" s="77"/>
      <c r="Z1445" s="77"/>
      <c r="AA1445" s="77"/>
      <c r="AB1445" s="77"/>
      <c r="AC1445" s="77"/>
      <c r="AD1445" s="77"/>
      <c r="AE1445" s="77"/>
      <c r="AF1445" s="77"/>
      <c r="AG1445" s="77"/>
      <c r="AH1445" s="77"/>
    </row>
    <row r="1446" spans="11:34">
      <c r="K1446" s="273"/>
      <c r="S1446" s="273"/>
      <c r="T1446" s="273"/>
      <c r="U1446" s="273"/>
      <c r="W1446" s="77"/>
      <c r="X1446" s="77"/>
      <c r="Y1446" s="77"/>
      <c r="Z1446" s="77"/>
      <c r="AA1446" s="77"/>
      <c r="AB1446" s="77"/>
      <c r="AC1446" s="77"/>
      <c r="AD1446" s="77"/>
      <c r="AE1446" s="77"/>
      <c r="AF1446" s="77"/>
      <c r="AG1446" s="77"/>
      <c r="AH1446" s="77"/>
    </row>
    <row r="1447" spans="11:34">
      <c r="K1447" s="273"/>
      <c r="S1447" s="273"/>
      <c r="T1447" s="273"/>
      <c r="U1447" s="273"/>
      <c r="W1447" s="77"/>
      <c r="X1447" s="77"/>
      <c r="Y1447" s="77"/>
      <c r="Z1447" s="77"/>
      <c r="AA1447" s="77"/>
      <c r="AB1447" s="77"/>
      <c r="AC1447" s="77"/>
      <c r="AD1447" s="77"/>
      <c r="AE1447" s="77"/>
      <c r="AF1447" s="77"/>
      <c r="AG1447" s="77"/>
      <c r="AH1447" s="77"/>
    </row>
    <row r="1448" spans="11:34">
      <c r="K1448" s="273"/>
      <c r="S1448" s="273"/>
      <c r="T1448" s="273"/>
      <c r="U1448" s="273"/>
      <c r="W1448" s="77"/>
      <c r="X1448" s="77"/>
      <c r="Y1448" s="77"/>
      <c r="Z1448" s="77"/>
      <c r="AA1448" s="77"/>
      <c r="AB1448" s="77"/>
      <c r="AC1448" s="77"/>
      <c r="AD1448" s="77"/>
      <c r="AE1448" s="77"/>
      <c r="AF1448" s="77"/>
      <c r="AG1448" s="77"/>
      <c r="AH1448" s="77"/>
    </row>
    <row r="1449" spans="11:34">
      <c r="K1449" s="273"/>
      <c r="S1449" s="273"/>
      <c r="T1449" s="273"/>
      <c r="U1449" s="273"/>
      <c r="W1449" s="77"/>
      <c r="X1449" s="77"/>
      <c r="Y1449" s="77"/>
      <c r="Z1449" s="77"/>
      <c r="AA1449" s="77"/>
      <c r="AB1449" s="77"/>
      <c r="AC1449" s="77"/>
      <c r="AD1449" s="77"/>
      <c r="AE1449" s="77"/>
      <c r="AF1449" s="77"/>
      <c r="AG1449" s="77"/>
      <c r="AH1449" s="77"/>
    </row>
    <row r="1450" spans="11:34">
      <c r="K1450" s="273"/>
      <c r="S1450" s="273"/>
      <c r="T1450" s="273"/>
      <c r="U1450" s="273"/>
      <c r="W1450" s="77"/>
      <c r="X1450" s="77"/>
      <c r="Y1450" s="77"/>
      <c r="Z1450" s="77"/>
      <c r="AA1450" s="77"/>
      <c r="AB1450" s="77"/>
      <c r="AC1450" s="77"/>
      <c r="AD1450" s="77"/>
      <c r="AE1450" s="77"/>
      <c r="AF1450" s="77"/>
      <c r="AG1450" s="77"/>
      <c r="AH1450" s="77"/>
    </row>
    <row r="1451" spans="11:34">
      <c r="K1451" s="273"/>
      <c r="S1451" s="273"/>
      <c r="T1451" s="273"/>
      <c r="U1451" s="273"/>
      <c r="W1451" s="77"/>
      <c r="X1451" s="77"/>
      <c r="Y1451" s="77"/>
      <c r="Z1451" s="77"/>
      <c r="AA1451" s="77"/>
      <c r="AB1451" s="77"/>
      <c r="AC1451" s="77"/>
      <c r="AD1451" s="77"/>
      <c r="AE1451" s="77"/>
      <c r="AF1451" s="77"/>
      <c r="AG1451" s="77"/>
      <c r="AH1451" s="77"/>
    </row>
    <row r="1452" spans="11:34">
      <c r="K1452" s="273"/>
      <c r="S1452" s="273"/>
      <c r="T1452" s="273"/>
      <c r="U1452" s="273"/>
      <c r="W1452" s="77"/>
      <c r="X1452" s="77"/>
      <c r="Y1452" s="77"/>
      <c r="Z1452" s="77"/>
      <c r="AA1452" s="77"/>
      <c r="AB1452" s="77"/>
      <c r="AC1452" s="77"/>
      <c r="AD1452" s="77"/>
      <c r="AE1452" s="77"/>
      <c r="AF1452" s="77"/>
      <c r="AG1452" s="77"/>
      <c r="AH1452" s="77"/>
    </row>
    <row r="1453" spans="11:34">
      <c r="K1453" s="273"/>
      <c r="S1453" s="273"/>
      <c r="T1453" s="273"/>
      <c r="U1453" s="273"/>
      <c r="W1453" s="77"/>
      <c r="X1453" s="77"/>
      <c r="Y1453" s="77"/>
      <c r="Z1453" s="77"/>
      <c r="AA1453" s="77"/>
      <c r="AB1453" s="77"/>
      <c r="AC1453" s="77"/>
      <c r="AD1453" s="77"/>
      <c r="AE1453" s="77"/>
      <c r="AF1453" s="77"/>
      <c r="AG1453" s="77"/>
      <c r="AH1453" s="77"/>
    </row>
    <row r="1454" spans="11:34">
      <c r="K1454" s="273"/>
      <c r="S1454" s="273"/>
      <c r="T1454" s="273"/>
      <c r="U1454" s="273"/>
      <c r="W1454" s="77"/>
      <c r="X1454" s="77"/>
      <c r="Y1454" s="77"/>
      <c r="Z1454" s="77"/>
      <c r="AA1454" s="77"/>
      <c r="AB1454" s="77"/>
      <c r="AC1454" s="77"/>
      <c r="AD1454" s="77"/>
      <c r="AE1454" s="77"/>
      <c r="AF1454" s="77"/>
      <c r="AG1454" s="77"/>
      <c r="AH1454" s="77"/>
    </row>
    <row r="1455" spans="11:34">
      <c r="K1455" s="273"/>
      <c r="S1455" s="273"/>
      <c r="T1455" s="273"/>
      <c r="U1455" s="273"/>
      <c r="W1455" s="77"/>
      <c r="X1455" s="77"/>
      <c r="Y1455" s="77"/>
      <c r="Z1455" s="77"/>
      <c r="AA1455" s="77"/>
      <c r="AB1455" s="77"/>
      <c r="AC1455" s="77"/>
      <c r="AD1455" s="77"/>
      <c r="AE1455" s="77"/>
      <c r="AF1455" s="77"/>
      <c r="AG1455" s="77"/>
      <c r="AH1455" s="77"/>
    </row>
    <row r="1456" spans="11:34">
      <c r="K1456" s="273"/>
      <c r="S1456" s="273"/>
      <c r="T1456" s="273"/>
      <c r="U1456" s="273"/>
      <c r="W1456" s="77"/>
      <c r="X1456" s="77"/>
      <c r="Y1456" s="77"/>
      <c r="Z1456" s="77"/>
      <c r="AA1456" s="77"/>
      <c r="AB1456" s="77"/>
      <c r="AC1456" s="77"/>
      <c r="AD1456" s="77"/>
      <c r="AE1456" s="77"/>
      <c r="AF1456" s="77"/>
      <c r="AG1456" s="77"/>
      <c r="AH1456" s="77"/>
    </row>
    <row r="1457" spans="11:34">
      <c r="K1457" s="273"/>
      <c r="S1457" s="273"/>
      <c r="T1457" s="273"/>
      <c r="U1457" s="273"/>
      <c r="W1457" s="77"/>
      <c r="X1457" s="77"/>
      <c r="Y1457" s="77"/>
      <c r="Z1457" s="77"/>
      <c r="AA1457" s="77"/>
      <c r="AB1457" s="77"/>
      <c r="AC1457" s="77"/>
      <c r="AD1457" s="77"/>
      <c r="AE1457" s="77"/>
      <c r="AF1457" s="77"/>
      <c r="AG1457" s="77"/>
      <c r="AH1457" s="77"/>
    </row>
    <row r="1458" spans="11:34">
      <c r="K1458" s="273"/>
      <c r="S1458" s="273"/>
      <c r="T1458" s="273"/>
      <c r="U1458" s="273"/>
      <c r="W1458" s="77"/>
      <c r="X1458" s="77"/>
      <c r="Y1458" s="77"/>
      <c r="Z1458" s="77"/>
      <c r="AA1458" s="77"/>
      <c r="AB1458" s="77"/>
      <c r="AC1458" s="77"/>
      <c r="AD1458" s="77"/>
      <c r="AE1458" s="77"/>
      <c r="AF1458" s="77"/>
      <c r="AG1458" s="77"/>
      <c r="AH1458" s="77"/>
    </row>
    <row r="1459" spans="11:34">
      <c r="K1459" s="273"/>
      <c r="S1459" s="273"/>
      <c r="T1459" s="273"/>
      <c r="U1459" s="273"/>
      <c r="W1459" s="77"/>
      <c r="X1459" s="77"/>
      <c r="Y1459" s="77"/>
      <c r="Z1459" s="77"/>
      <c r="AA1459" s="77"/>
      <c r="AB1459" s="77"/>
      <c r="AC1459" s="77"/>
      <c r="AD1459" s="77"/>
      <c r="AE1459" s="77"/>
      <c r="AF1459" s="77"/>
      <c r="AG1459" s="77"/>
      <c r="AH1459" s="77"/>
    </row>
    <row r="1460" spans="11:34">
      <c r="K1460" s="273"/>
      <c r="S1460" s="273"/>
      <c r="T1460" s="273"/>
      <c r="U1460" s="273"/>
      <c r="W1460" s="77"/>
      <c r="X1460" s="77"/>
      <c r="Y1460" s="77"/>
      <c r="Z1460" s="77"/>
      <c r="AA1460" s="77"/>
      <c r="AB1460" s="77"/>
      <c r="AC1460" s="77"/>
      <c r="AD1460" s="77"/>
      <c r="AE1460" s="77"/>
      <c r="AF1460" s="77"/>
      <c r="AG1460" s="77"/>
      <c r="AH1460" s="77"/>
    </row>
    <row r="1461" spans="11:34">
      <c r="K1461" s="273"/>
      <c r="S1461" s="273"/>
      <c r="T1461" s="273"/>
      <c r="U1461" s="273"/>
      <c r="W1461" s="77"/>
      <c r="X1461" s="77"/>
      <c r="Y1461" s="77"/>
      <c r="Z1461" s="77"/>
      <c r="AA1461" s="77"/>
      <c r="AB1461" s="77"/>
      <c r="AC1461" s="77"/>
      <c r="AD1461" s="77"/>
      <c r="AE1461" s="77"/>
      <c r="AF1461" s="77"/>
      <c r="AG1461" s="77"/>
      <c r="AH1461" s="77"/>
    </row>
    <row r="1462" spans="11:34">
      <c r="K1462" s="273"/>
      <c r="S1462" s="273"/>
      <c r="T1462" s="273"/>
      <c r="U1462" s="273"/>
      <c r="W1462" s="77"/>
      <c r="X1462" s="77"/>
      <c r="Y1462" s="77"/>
      <c r="Z1462" s="77"/>
      <c r="AA1462" s="77"/>
      <c r="AB1462" s="77"/>
      <c r="AC1462" s="77"/>
      <c r="AD1462" s="77"/>
      <c r="AE1462" s="77"/>
      <c r="AF1462" s="77"/>
      <c r="AG1462" s="77"/>
      <c r="AH1462" s="77"/>
    </row>
    <row r="1463" spans="11:34">
      <c r="K1463" s="273"/>
      <c r="S1463" s="273"/>
      <c r="T1463" s="273"/>
      <c r="U1463" s="273"/>
      <c r="W1463" s="77"/>
      <c r="X1463" s="77"/>
      <c r="Y1463" s="77"/>
      <c r="Z1463" s="77"/>
      <c r="AA1463" s="77"/>
      <c r="AB1463" s="77"/>
      <c r="AC1463" s="77"/>
      <c r="AD1463" s="77"/>
      <c r="AE1463" s="77"/>
      <c r="AF1463" s="77"/>
      <c r="AG1463" s="77"/>
      <c r="AH1463" s="77"/>
    </row>
    <row r="1464" spans="11:34">
      <c r="K1464" s="273"/>
      <c r="S1464" s="273"/>
      <c r="T1464" s="273"/>
      <c r="U1464" s="273"/>
      <c r="W1464" s="77"/>
      <c r="X1464" s="77"/>
      <c r="Y1464" s="77"/>
      <c r="Z1464" s="77"/>
      <c r="AA1464" s="77"/>
      <c r="AB1464" s="77"/>
      <c r="AC1464" s="77"/>
      <c r="AD1464" s="77"/>
      <c r="AE1464" s="77"/>
      <c r="AF1464" s="77"/>
      <c r="AG1464" s="77"/>
      <c r="AH1464" s="77"/>
    </row>
    <row r="1465" spans="11:34">
      <c r="K1465" s="273"/>
      <c r="S1465" s="273"/>
      <c r="T1465" s="273"/>
      <c r="U1465" s="273"/>
      <c r="W1465" s="77"/>
      <c r="X1465" s="77"/>
      <c r="Y1465" s="77"/>
      <c r="Z1465" s="77"/>
      <c r="AA1465" s="77"/>
      <c r="AB1465" s="77"/>
      <c r="AC1465" s="77"/>
      <c r="AD1465" s="77"/>
      <c r="AE1465" s="77"/>
      <c r="AF1465" s="77"/>
      <c r="AG1465" s="77"/>
      <c r="AH1465" s="77"/>
    </row>
    <row r="1466" spans="11:34">
      <c r="K1466" s="273"/>
      <c r="S1466" s="273"/>
      <c r="T1466" s="273"/>
      <c r="U1466" s="273"/>
      <c r="W1466" s="77"/>
      <c r="X1466" s="77"/>
      <c r="Y1466" s="77"/>
      <c r="Z1466" s="77"/>
      <c r="AA1466" s="77"/>
      <c r="AB1466" s="77"/>
      <c r="AC1466" s="77"/>
      <c r="AD1466" s="77"/>
      <c r="AE1466" s="77"/>
      <c r="AF1466" s="77"/>
      <c r="AG1466" s="77"/>
      <c r="AH1466" s="77"/>
    </row>
    <row r="1467" spans="11:34">
      <c r="K1467" s="273"/>
      <c r="S1467" s="273"/>
      <c r="T1467" s="273"/>
      <c r="U1467" s="273"/>
      <c r="W1467" s="77"/>
      <c r="X1467" s="77"/>
      <c r="Y1467" s="77"/>
      <c r="Z1467" s="77"/>
      <c r="AA1467" s="77"/>
      <c r="AB1467" s="77"/>
      <c r="AC1467" s="77"/>
      <c r="AD1467" s="77"/>
      <c r="AE1467" s="77"/>
      <c r="AF1467" s="77"/>
      <c r="AG1467" s="77"/>
      <c r="AH1467" s="77"/>
    </row>
    <row r="1468" spans="11:34">
      <c r="K1468" s="273"/>
      <c r="S1468" s="273"/>
      <c r="T1468" s="273"/>
      <c r="U1468" s="273"/>
      <c r="W1468" s="77"/>
      <c r="X1468" s="77"/>
      <c r="Y1468" s="77"/>
      <c r="Z1468" s="77"/>
      <c r="AA1468" s="77"/>
      <c r="AB1468" s="77"/>
      <c r="AC1468" s="77"/>
      <c r="AD1468" s="77"/>
      <c r="AE1468" s="77"/>
      <c r="AF1468" s="77"/>
      <c r="AG1468" s="77"/>
      <c r="AH1468" s="77"/>
    </row>
    <row r="1469" spans="11:34">
      <c r="K1469" s="273"/>
      <c r="S1469" s="273"/>
      <c r="T1469" s="273"/>
      <c r="U1469" s="273"/>
      <c r="W1469" s="77"/>
      <c r="X1469" s="77"/>
      <c r="Y1469" s="77"/>
      <c r="Z1469" s="77"/>
      <c r="AA1469" s="77"/>
      <c r="AB1469" s="77"/>
      <c r="AC1469" s="77"/>
      <c r="AD1469" s="77"/>
      <c r="AE1469" s="77"/>
      <c r="AF1469" s="77"/>
      <c r="AG1469" s="77"/>
      <c r="AH1469" s="77"/>
    </row>
    <row r="1470" spans="11:34">
      <c r="K1470" s="273"/>
      <c r="S1470" s="273"/>
      <c r="T1470" s="273"/>
      <c r="U1470" s="273"/>
      <c r="W1470" s="77"/>
      <c r="X1470" s="77"/>
      <c r="Y1470" s="77"/>
      <c r="Z1470" s="77"/>
      <c r="AA1470" s="77"/>
      <c r="AB1470" s="77"/>
      <c r="AC1470" s="77"/>
      <c r="AD1470" s="77"/>
      <c r="AE1470" s="77"/>
      <c r="AF1470" s="77"/>
      <c r="AG1470" s="77"/>
      <c r="AH1470" s="77"/>
    </row>
    <row r="1471" spans="11:34">
      <c r="K1471" s="273"/>
      <c r="S1471" s="273"/>
      <c r="T1471" s="273"/>
      <c r="U1471" s="273"/>
      <c r="W1471" s="77"/>
      <c r="X1471" s="77"/>
      <c r="Y1471" s="77"/>
      <c r="Z1471" s="77"/>
      <c r="AA1471" s="77"/>
      <c r="AB1471" s="77"/>
      <c r="AC1471" s="77"/>
      <c r="AD1471" s="77"/>
      <c r="AE1471" s="77"/>
      <c r="AF1471" s="77"/>
      <c r="AG1471" s="77"/>
      <c r="AH1471" s="77"/>
    </row>
    <row r="1472" spans="11:34">
      <c r="K1472" s="273"/>
      <c r="S1472" s="273"/>
      <c r="T1472" s="273"/>
      <c r="U1472" s="273"/>
      <c r="W1472" s="77"/>
      <c r="X1472" s="77"/>
      <c r="Y1472" s="77"/>
      <c r="Z1472" s="77"/>
      <c r="AA1472" s="77"/>
      <c r="AB1472" s="77"/>
      <c r="AC1472" s="77"/>
      <c r="AD1472" s="77"/>
      <c r="AE1472" s="77"/>
      <c r="AF1472" s="77"/>
      <c r="AG1472" s="77"/>
      <c r="AH1472" s="77"/>
    </row>
    <row r="1473" spans="11:34">
      <c r="K1473" s="273"/>
      <c r="S1473" s="273"/>
      <c r="T1473" s="273"/>
      <c r="U1473" s="273"/>
      <c r="W1473" s="77"/>
      <c r="X1473" s="77"/>
      <c r="Y1473" s="77"/>
      <c r="Z1473" s="77"/>
      <c r="AA1473" s="77"/>
      <c r="AB1473" s="77"/>
      <c r="AC1473" s="77"/>
      <c r="AD1473" s="77"/>
      <c r="AE1473" s="77"/>
      <c r="AF1473" s="77"/>
      <c r="AG1473" s="77"/>
      <c r="AH1473" s="77"/>
    </row>
    <row r="1474" spans="11:34">
      <c r="K1474" s="273"/>
      <c r="S1474" s="273"/>
      <c r="T1474" s="273"/>
      <c r="U1474" s="273"/>
      <c r="W1474" s="77"/>
      <c r="X1474" s="77"/>
      <c r="Y1474" s="77"/>
      <c r="Z1474" s="77"/>
      <c r="AA1474" s="77"/>
      <c r="AB1474" s="77"/>
      <c r="AC1474" s="77"/>
      <c r="AD1474" s="77"/>
      <c r="AE1474" s="77"/>
      <c r="AF1474" s="77"/>
      <c r="AG1474" s="77"/>
      <c r="AH1474" s="77"/>
    </row>
    <row r="1475" spans="11:34">
      <c r="K1475" s="273"/>
      <c r="S1475" s="273"/>
      <c r="T1475" s="273"/>
      <c r="U1475" s="273"/>
      <c r="W1475" s="77"/>
      <c r="X1475" s="77"/>
      <c r="Y1475" s="77"/>
      <c r="Z1475" s="77"/>
      <c r="AA1475" s="77"/>
      <c r="AB1475" s="77"/>
      <c r="AC1475" s="77"/>
      <c r="AD1475" s="77"/>
      <c r="AE1475" s="77"/>
      <c r="AF1475" s="77"/>
      <c r="AG1475" s="77"/>
      <c r="AH1475" s="77"/>
    </row>
    <row r="1476" spans="11:34">
      <c r="K1476" s="273"/>
      <c r="S1476" s="273"/>
      <c r="T1476" s="273"/>
      <c r="U1476" s="273"/>
      <c r="W1476" s="77"/>
      <c r="X1476" s="77"/>
      <c r="Y1476" s="77"/>
      <c r="Z1476" s="77"/>
      <c r="AA1476" s="77"/>
      <c r="AB1476" s="77"/>
      <c r="AC1476" s="77"/>
      <c r="AD1476" s="77"/>
      <c r="AE1476" s="77"/>
      <c r="AF1476" s="77"/>
      <c r="AG1476" s="77"/>
      <c r="AH1476" s="77"/>
    </row>
    <row r="1477" spans="11:34">
      <c r="K1477" s="273"/>
      <c r="S1477" s="273"/>
      <c r="T1477" s="273"/>
      <c r="U1477" s="273"/>
      <c r="W1477" s="77"/>
      <c r="X1477" s="77"/>
      <c r="Y1477" s="77"/>
      <c r="Z1477" s="77"/>
      <c r="AA1477" s="77"/>
      <c r="AB1477" s="77"/>
      <c r="AC1477" s="77"/>
      <c r="AD1477" s="77"/>
      <c r="AE1477" s="77"/>
      <c r="AF1477" s="77"/>
      <c r="AG1477" s="77"/>
      <c r="AH1477" s="77"/>
    </row>
    <row r="1478" spans="11:34">
      <c r="K1478" s="273"/>
      <c r="S1478" s="273"/>
      <c r="T1478" s="273"/>
      <c r="U1478" s="273"/>
      <c r="W1478" s="77"/>
      <c r="X1478" s="77"/>
      <c r="Y1478" s="77"/>
      <c r="Z1478" s="77"/>
      <c r="AA1478" s="77"/>
      <c r="AB1478" s="77"/>
      <c r="AC1478" s="77"/>
      <c r="AD1478" s="77"/>
      <c r="AE1478" s="77"/>
      <c r="AF1478" s="77"/>
      <c r="AG1478" s="77"/>
      <c r="AH1478" s="77"/>
    </row>
    <row r="1479" spans="11:34">
      <c r="K1479" s="273"/>
      <c r="S1479" s="273"/>
      <c r="T1479" s="273"/>
      <c r="U1479" s="273"/>
      <c r="W1479" s="77"/>
      <c r="X1479" s="77"/>
      <c r="Y1479" s="77"/>
      <c r="Z1479" s="77"/>
      <c r="AA1479" s="77"/>
      <c r="AB1479" s="77"/>
      <c r="AC1479" s="77"/>
      <c r="AD1479" s="77"/>
      <c r="AE1479" s="77"/>
      <c r="AF1479" s="77"/>
      <c r="AG1479" s="77"/>
      <c r="AH1479" s="77"/>
    </row>
    <row r="1480" spans="11:34">
      <c r="K1480" s="273"/>
      <c r="S1480" s="273"/>
      <c r="T1480" s="273"/>
      <c r="U1480" s="273"/>
      <c r="W1480" s="77"/>
      <c r="X1480" s="77"/>
      <c r="Y1480" s="77"/>
      <c r="Z1480" s="77"/>
      <c r="AA1480" s="77"/>
      <c r="AB1480" s="77"/>
      <c r="AC1480" s="77"/>
      <c r="AD1480" s="77"/>
      <c r="AE1480" s="77"/>
      <c r="AF1480" s="77"/>
      <c r="AG1480" s="77"/>
      <c r="AH1480" s="77"/>
    </row>
    <row r="1481" spans="11:34">
      <c r="K1481" s="273"/>
      <c r="S1481" s="273"/>
      <c r="T1481" s="273"/>
      <c r="U1481" s="273"/>
      <c r="W1481" s="77"/>
      <c r="X1481" s="77"/>
      <c r="Y1481" s="77"/>
      <c r="Z1481" s="77"/>
      <c r="AA1481" s="77"/>
      <c r="AB1481" s="77"/>
      <c r="AC1481" s="77"/>
      <c r="AD1481" s="77"/>
      <c r="AE1481" s="77"/>
      <c r="AF1481" s="77"/>
      <c r="AG1481" s="77"/>
      <c r="AH1481" s="77"/>
    </row>
    <row r="1482" spans="11:34">
      <c r="K1482" s="273"/>
      <c r="S1482" s="273"/>
      <c r="T1482" s="273"/>
      <c r="U1482" s="273"/>
      <c r="W1482" s="77"/>
      <c r="X1482" s="77"/>
      <c r="Y1482" s="77"/>
      <c r="Z1482" s="77"/>
      <c r="AA1482" s="77"/>
      <c r="AB1482" s="77"/>
      <c r="AC1482" s="77"/>
      <c r="AD1482" s="77"/>
      <c r="AE1482" s="77"/>
      <c r="AF1482" s="77"/>
      <c r="AG1482" s="77"/>
      <c r="AH1482" s="77"/>
    </row>
    <row r="1483" spans="11:34">
      <c r="K1483" s="273"/>
      <c r="S1483" s="273"/>
      <c r="T1483" s="273"/>
      <c r="U1483" s="273"/>
      <c r="W1483" s="77"/>
      <c r="X1483" s="77"/>
      <c r="Y1483" s="77"/>
      <c r="Z1483" s="77"/>
      <c r="AA1483" s="77"/>
      <c r="AB1483" s="77"/>
      <c r="AC1483" s="77"/>
      <c r="AD1483" s="77"/>
      <c r="AE1483" s="77"/>
      <c r="AF1483" s="77"/>
      <c r="AG1483" s="77"/>
      <c r="AH1483" s="77"/>
    </row>
    <row r="1484" spans="11:34">
      <c r="K1484" s="273"/>
      <c r="S1484" s="273"/>
      <c r="T1484" s="273"/>
      <c r="U1484" s="273"/>
      <c r="W1484" s="77"/>
      <c r="X1484" s="77"/>
      <c r="Y1484" s="77"/>
      <c r="Z1484" s="77"/>
      <c r="AA1484" s="77"/>
      <c r="AB1484" s="77"/>
      <c r="AC1484" s="77"/>
      <c r="AD1484" s="77"/>
      <c r="AE1484" s="77"/>
      <c r="AF1484" s="77"/>
      <c r="AG1484" s="77"/>
      <c r="AH1484" s="77"/>
    </row>
    <row r="1485" spans="11:34">
      <c r="K1485" s="273"/>
      <c r="S1485" s="273"/>
      <c r="T1485" s="273"/>
      <c r="U1485" s="273"/>
      <c r="W1485" s="77"/>
      <c r="X1485" s="77"/>
      <c r="Y1485" s="77"/>
      <c r="Z1485" s="77"/>
      <c r="AA1485" s="77"/>
      <c r="AB1485" s="77"/>
      <c r="AC1485" s="77"/>
      <c r="AD1485" s="77"/>
      <c r="AE1485" s="77"/>
      <c r="AF1485" s="77"/>
      <c r="AG1485" s="77"/>
      <c r="AH1485" s="77"/>
    </row>
    <row r="1486" spans="11:34">
      <c r="K1486" s="273"/>
      <c r="S1486" s="273"/>
      <c r="T1486" s="273"/>
      <c r="U1486" s="273"/>
      <c r="W1486" s="77"/>
      <c r="X1486" s="77"/>
      <c r="Y1486" s="77"/>
      <c r="Z1486" s="77"/>
      <c r="AA1486" s="77"/>
      <c r="AB1486" s="77"/>
      <c r="AC1486" s="77"/>
      <c r="AD1486" s="77"/>
      <c r="AE1486" s="77"/>
      <c r="AF1486" s="77"/>
      <c r="AG1486" s="77"/>
      <c r="AH1486" s="77"/>
    </row>
    <row r="1487" spans="11:34">
      <c r="K1487" s="273"/>
      <c r="S1487" s="273"/>
      <c r="T1487" s="273"/>
      <c r="U1487" s="273"/>
      <c r="W1487" s="77"/>
      <c r="X1487" s="77"/>
      <c r="Y1487" s="77"/>
      <c r="Z1487" s="77"/>
      <c r="AA1487" s="77"/>
      <c r="AB1487" s="77"/>
      <c r="AC1487" s="77"/>
      <c r="AD1487" s="77"/>
      <c r="AE1487" s="77"/>
      <c r="AF1487" s="77"/>
      <c r="AG1487" s="77"/>
      <c r="AH1487" s="77"/>
    </row>
    <row r="1488" spans="11:34">
      <c r="K1488" s="273"/>
      <c r="S1488" s="273"/>
      <c r="T1488" s="273"/>
      <c r="U1488" s="273"/>
      <c r="W1488" s="77"/>
      <c r="X1488" s="77"/>
      <c r="Y1488" s="77"/>
      <c r="Z1488" s="77"/>
      <c r="AA1488" s="77"/>
      <c r="AB1488" s="77"/>
      <c r="AC1488" s="77"/>
      <c r="AD1488" s="77"/>
      <c r="AE1488" s="77"/>
      <c r="AF1488" s="77"/>
      <c r="AG1488" s="77"/>
      <c r="AH1488" s="77"/>
    </row>
    <row r="1489" spans="11:34">
      <c r="K1489" s="273"/>
      <c r="S1489" s="273"/>
      <c r="T1489" s="273"/>
      <c r="U1489" s="273"/>
      <c r="W1489" s="77"/>
      <c r="X1489" s="77"/>
      <c r="Y1489" s="77"/>
      <c r="Z1489" s="77"/>
      <c r="AA1489" s="77"/>
      <c r="AB1489" s="77"/>
      <c r="AC1489" s="77"/>
      <c r="AD1489" s="77"/>
      <c r="AE1489" s="77"/>
      <c r="AF1489" s="77"/>
      <c r="AG1489" s="77"/>
      <c r="AH1489" s="77"/>
    </row>
    <row r="1490" spans="11:34">
      <c r="K1490" s="273"/>
      <c r="S1490" s="273"/>
      <c r="T1490" s="273"/>
      <c r="U1490" s="273"/>
      <c r="W1490" s="77"/>
      <c r="X1490" s="77"/>
      <c r="Y1490" s="77"/>
      <c r="Z1490" s="77"/>
      <c r="AA1490" s="77"/>
      <c r="AB1490" s="77"/>
      <c r="AC1490" s="77"/>
      <c r="AD1490" s="77"/>
      <c r="AE1490" s="77"/>
      <c r="AF1490" s="77"/>
      <c r="AG1490" s="77"/>
      <c r="AH1490" s="77"/>
    </row>
    <row r="1491" spans="11:34">
      <c r="K1491" s="273"/>
      <c r="S1491" s="273"/>
      <c r="T1491" s="273"/>
      <c r="U1491" s="273"/>
      <c r="W1491" s="77"/>
      <c r="X1491" s="77"/>
      <c r="Y1491" s="77"/>
      <c r="Z1491" s="77"/>
      <c r="AA1491" s="77"/>
      <c r="AB1491" s="77"/>
      <c r="AC1491" s="77"/>
      <c r="AD1491" s="77"/>
      <c r="AE1491" s="77"/>
      <c r="AF1491" s="77"/>
      <c r="AG1491" s="77"/>
      <c r="AH1491" s="77"/>
    </row>
    <row r="1492" spans="11:34">
      <c r="K1492" s="273"/>
      <c r="S1492" s="273"/>
      <c r="T1492" s="273"/>
      <c r="U1492" s="273"/>
      <c r="W1492" s="77"/>
      <c r="X1492" s="77"/>
      <c r="Y1492" s="77"/>
      <c r="Z1492" s="77"/>
      <c r="AA1492" s="77"/>
      <c r="AB1492" s="77"/>
      <c r="AC1492" s="77"/>
      <c r="AD1492" s="77"/>
      <c r="AE1492" s="77"/>
      <c r="AF1492" s="77"/>
      <c r="AG1492" s="77"/>
      <c r="AH1492" s="77"/>
    </row>
    <row r="1493" spans="11:34">
      <c r="K1493" s="273"/>
      <c r="S1493" s="273"/>
      <c r="T1493" s="273"/>
      <c r="U1493" s="273"/>
      <c r="W1493" s="77"/>
      <c r="X1493" s="77"/>
      <c r="Y1493" s="77"/>
      <c r="Z1493" s="77"/>
      <c r="AA1493" s="77"/>
      <c r="AB1493" s="77"/>
      <c r="AC1493" s="77"/>
      <c r="AD1493" s="77"/>
      <c r="AE1493" s="77"/>
      <c r="AF1493" s="77"/>
      <c r="AG1493" s="77"/>
      <c r="AH1493" s="77"/>
    </row>
    <row r="1494" spans="11:34">
      <c r="K1494" s="273"/>
      <c r="S1494" s="273"/>
      <c r="T1494" s="273"/>
      <c r="U1494" s="273"/>
      <c r="W1494" s="77"/>
      <c r="X1494" s="77"/>
      <c r="Y1494" s="77"/>
      <c r="Z1494" s="77"/>
      <c r="AA1494" s="77"/>
      <c r="AB1494" s="77"/>
      <c r="AC1494" s="77"/>
      <c r="AD1494" s="77"/>
      <c r="AE1494" s="77"/>
      <c r="AF1494" s="77"/>
      <c r="AG1494" s="77"/>
      <c r="AH1494" s="77"/>
    </row>
    <row r="1495" spans="11:34">
      <c r="K1495" s="273"/>
      <c r="S1495" s="273"/>
      <c r="T1495" s="273"/>
      <c r="U1495" s="273"/>
      <c r="W1495" s="77"/>
      <c r="X1495" s="77"/>
      <c r="Y1495" s="77"/>
      <c r="Z1495" s="77"/>
      <c r="AA1495" s="77"/>
      <c r="AB1495" s="77"/>
      <c r="AC1495" s="77"/>
      <c r="AD1495" s="77"/>
      <c r="AE1495" s="77"/>
      <c r="AF1495" s="77"/>
      <c r="AG1495" s="77"/>
      <c r="AH1495" s="77"/>
    </row>
    <row r="1496" spans="11:34">
      <c r="K1496" s="273"/>
      <c r="S1496" s="273"/>
      <c r="T1496" s="273"/>
      <c r="U1496" s="273"/>
      <c r="W1496" s="77"/>
      <c r="X1496" s="77"/>
      <c r="Y1496" s="77"/>
      <c r="Z1496" s="77"/>
      <c r="AA1496" s="77"/>
      <c r="AB1496" s="77"/>
      <c r="AC1496" s="77"/>
      <c r="AD1496" s="77"/>
      <c r="AE1496" s="77"/>
      <c r="AF1496" s="77"/>
      <c r="AG1496" s="77"/>
      <c r="AH1496" s="77"/>
    </row>
    <row r="1497" spans="11:34">
      <c r="K1497" s="273"/>
      <c r="S1497" s="273"/>
      <c r="T1497" s="273"/>
      <c r="U1497" s="273"/>
      <c r="W1497" s="77"/>
      <c r="X1497" s="77"/>
      <c r="Y1497" s="77"/>
      <c r="Z1497" s="77"/>
      <c r="AA1497" s="77"/>
      <c r="AB1497" s="77"/>
      <c r="AC1497" s="77"/>
      <c r="AD1497" s="77"/>
      <c r="AE1497" s="77"/>
      <c r="AF1497" s="77"/>
      <c r="AG1497" s="77"/>
      <c r="AH1497" s="77"/>
    </row>
    <row r="1498" spans="11:34">
      <c r="K1498" s="273"/>
      <c r="S1498" s="273"/>
      <c r="T1498" s="273"/>
      <c r="U1498" s="273"/>
      <c r="W1498" s="77"/>
      <c r="X1498" s="77"/>
      <c r="Y1498" s="77"/>
      <c r="Z1498" s="77"/>
      <c r="AA1498" s="77"/>
      <c r="AB1498" s="77"/>
      <c r="AC1498" s="77"/>
      <c r="AD1498" s="77"/>
      <c r="AE1498" s="77"/>
      <c r="AF1498" s="77"/>
      <c r="AG1498" s="77"/>
      <c r="AH1498" s="77"/>
    </row>
    <row r="1499" spans="11:34">
      <c r="K1499" s="273"/>
      <c r="S1499" s="273"/>
      <c r="T1499" s="273"/>
      <c r="U1499" s="273"/>
      <c r="W1499" s="77"/>
      <c r="X1499" s="77"/>
      <c r="Y1499" s="77"/>
      <c r="Z1499" s="77"/>
      <c r="AA1499" s="77"/>
      <c r="AB1499" s="77"/>
      <c r="AC1499" s="77"/>
      <c r="AD1499" s="77"/>
      <c r="AE1499" s="77"/>
      <c r="AF1499" s="77"/>
      <c r="AG1499" s="77"/>
      <c r="AH1499" s="77"/>
    </row>
    <row r="1500" spans="11:34">
      <c r="K1500" s="273"/>
      <c r="S1500" s="273"/>
      <c r="T1500" s="273"/>
      <c r="U1500" s="273"/>
      <c r="W1500" s="77"/>
      <c r="X1500" s="77"/>
      <c r="Y1500" s="77"/>
      <c r="Z1500" s="77"/>
      <c r="AA1500" s="77"/>
      <c r="AB1500" s="77"/>
      <c r="AC1500" s="77"/>
      <c r="AD1500" s="77"/>
      <c r="AE1500" s="77"/>
      <c r="AF1500" s="77"/>
      <c r="AG1500" s="77"/>
      <c r="AH1500" s="77"/>
    </row>
    <row r="1501" spans="11:34">
      <c r="K1501" s="273"/>
      <c r="S1501" s="273"/>
      <c r="T1501" s="273"/>
      <c r="U1501" s="273"/>
      <c r="W1501" s="77"/>
      <c r="X1501" s="77"/>
      <c r="Y1501" s="77"/>
      <c r="Z1501" s="77"/>
      <c r="AA1501" s="77"/>
      <c r="AB1501" s="77"/>
      <c r="AC1501" s="77"/>
      <c r="AD1501" s="77"/>
      <c r="AE1501" s="77"/>
      <c r="AF1501" s="77"/>
      <c r="AG1501" s="77"/>
      <c r="AH1501" s="77"/>
    </row>
    <row r="1502" spans="11:34">
      <c r="K1502" s="273"/>
      <c r="S1502" s="273"/>
      <c r="T1502" s="273"/>
      <c r="U1502" s="273"/>
      <c r="W1502" s="77"/>
      <c r="X1502" s="77"/>
      <c r="Y1502" s="77"/>
      <c r="Z1502" s="77"/>
      <c r="AA1502" s="77"/>
      <c r="AB1502" s="77"/>
      <c r="AC1502" s="77"/>
      <c r="AD1502" s="77"/>
      <c r="AE1502" s="77"/>
      <c r="AF1502" s="77"/>
      <c r="AG1502" s="77"/>
      <c r="AH1502" s="77"/>
    </row>
    <row r="1503" spans="11:34">
      <c r="K1503" s="273"/>
      <c r="S1503" s="273"/>
      <c r="T1503" s="273"/>
      <c r="U1503" s="273"/>
      <c r="W1503" s="77"/>
      <c r="X1503" s="77"/>
      <c r="Y1503" s="77"/>
      <c r="Z1503" s="77"/>
      <c r="AA1503" s="77"/>
      <c r="AB1503" s="77"/>
      <c r="AC1503" s="77"/>
      <c r="AD1503" s="77"/>
      <c r="AE1503" s="77"/>
      <c r="AF1503" s="77"/>
      <c r="AG1503" s="77"/>
      <c r="AH1503" s="77"/>
    </row>
    <row r="1504" spans="11:34">
      <c r="K1504" s="273"/>
      <c r="S1504" s="273"/>
      <c r="T1504" s="273"/>
      <c r="U1504" s="273"/>
      <c r="W1504" s="77"/>
      <c r="X1504" s="77"/>
      <c r="Y1504" s="77"/>
      <c r="Z1504" s="77"/>
      <c r="AA1504" s="77"/>
      <c r="AB1504" s="77"/>
      <c r="AC1504" s="77"/>
      <c r="AD1504" s="77"/>
      <c r="AE1504" s="77"/>
      <c r="AF1504" s="77"/>
      <c r="AG1504" s="77"/>
      <c r="AH1504" s="77"/>
    </row>
    <row r="1505" spans="11:34">
      <c r="K1505" s="273"/>
      <c r="S1505" s="273"/>
      <c r="T1505" s="273"/>
      <c r="U1505" s="273"/>
      <c r="W1505" s="77"/>
      <c r="X1505" s="77"/>
      <c r="Y1505" s="77"/>
      <c r="Z1505" s="77"/>
      <c r="AA1505" s="77"/>
      <c r="AB1505" s="77"/>
      <c r="AC1505" s="77"/>
      <c r="AD1505" s="77"/>
      <c r="AE1505" s="77"/>
      <c r="AF1505" s="77"/>
      <c r="AG1505" s="77"/>
      <c r="AH1505" s="77"/>
    </row>
    <row r="1506" spans="11:34">
      <c r="K1506" s="273"/>
      <c r="S1506" s="273"/>
      <c r="T1506" s="273"/>
      <c r="U1506" s="273"/>
      <c r="W1506" s="77"/>
      <c r="X1506" s="77"/>
      <c r="Y1506" s="77"/>
      <c r="Z1506" s="77"/>
      <c r="AA1506" s="77"/>
      <c r="AB1506" s="77"/>
      <c r="AC1506" s="77"/>
      <c r="AD1506" s="77"/>
      <c r="AE1506" s="77"/>
      <c r="AF1506" s="77"/>
      <c r="AG1506" s="77"/>
      <c r="AH1506" s="77"/>
    </row>
    <row r="1507" spans="11:34">
      <c r="K1507" s="273"/>
      <c r="S1507" s="273"/>
      <c r="T1507" s="273"/>
      <c r="U1507" s="273"/>
      <c r="W1507" s="77"/>
      <c r="X1507" s="77"/>
      <c r="Y1507" s="77"/>
      <c r="Z1507" s="77"/>
      <c r="AA1507" s="77"/>
      <c r="AB1507" s="77"/>
      <c r="AC1507" s="77"/>
      <c r="AD1507" s="77"/>
      <c r="AE1507" s="77"/>
      <c r="AF1507" s="77"/>
      <c r="AG1507" s="77"/>
      <c r="AH1507" s="77"/>
    </row>
    <row r="1508" spans="11:34">
      <c r="K1508" s="273"/>
      <c r="S1508" s="273"/>
      <c r="T1508" s="273"/>
      <c r="U1508" s="273"/>
      <c r="W1508" s="77"/>
      <c r="X1508" s="77"/>
      <c r="Y1508" s="77"/>
      <c r="Z1508" s="77"/>
      <c r="AA1508" s="77"/>
      <c r="AB1508" s="77"/>
      <c r="AC1508" s="77"/>
      <c r="AD1508" s="77"/>
      <c r="AE1508" s="77"/>
      <c r="AF1508" s="77"/>
      <c r="AG1508" s="77"/>
      <c r="AH1508" s="77"/>
    </row>
    <row r="1509" spans="11:34">
      <c r="K1509" s="273"/>
      <c r="S1509" s="273"/>
      <c r="T1509" s="273"/>
      <c r="U1509" s="273"/>
      <c r="W1509" s="77"/>
      <c r="X1509" s="77"/>
      <c r="Y1509" s="77"/>
      <c r="Z1509" s="77"/>
      <c r="AA1509" s="77"/>
      <c r="AB1509" s="77"/>
      <c r="AC1509" s="77"/>
      <c r="AD1509" s="77"/>
      <c r="AE1509" s="77"/>
      <c r="AF1509" s="77"/>
      <c r="AG1509" s="77"/>
      <c r="AH1509" s="77"/>
    </row>
    <row r="1510" spans="11:34">
      <c r="K1510" s="273"/>
      <c r="S1510" s="273"/>
      <c r="T1510" s="273"/>
      <c r="U1510" s="273"/>
      <c r="W1510" s="77"/>
      <c r="X1510" s="77"/>
      <c r="Y1510" s="77"/>
      <c r="Z1510" s="77"/>
      <c r="AA1510" s="77"/>
      <c r="AB1510" s="77"/>
      <c r="AC1510" s="77"/>
      <c r="AD1510" s="77"/>
      <c r="AE1510" s="77"/>
      <c r="AF1510" s="77"/>
      <c r="AG1510" s="77"/>
      <c r="AH1510" s="77"/>
    </row>
    <row r="1511" spans="11:34">
      <c r="K1511" s="273"/>
      <c r="S1511" s="273"/>
      <c r="T1511" s="273"/>
      <c r="U1511" s="273"/>
      <c r="W1511" s="77"/>
      <c r="X1511" s="77"/>
      <c r="Y1511" s="77"/>
      <c r="Z1511" s="77"/>
      <c r="AA1511" s="77"/>
      <c r="AB1511" s="77"/>
      <c r="AC1511" s="77"/>
      <c r="AD1511" s="77"/>
      <c r="AE1511" s="77"/>
      <c r="AF1511" s="77"/>
      <c r="AG1511" s="77"/>
      <c r="AH1511" s="77"/>
    </row>
    <row r="1512" spans="11:34">
      <c r="K1512" s="273"/>
      <c r="S1512" s="273"/>
      <c r="T1512" s="273"/>
      <c r="U1512" s="273"/>
      <c r="W1512" s="77"/>
      <c r="X1512" s="77"/>
      <c r="Y1512" s="77"/>
      <c r="Z1512" s="77"/>
      <c r="AA1512" s="77"/>
      <c r="AB1512" s="77"/>
      <c r="AC1512" s="77"/>
      <c r="AD1512" s="77"/>
      <c r="AE1512" s="77"/>
      <c r="AF1512" s="77"/>
      <c r="AG1512" s="77"/>
      <c r="AH1512" s="77"/>
    </row>
    <row r="1513" spans="11:34">
      <c r="K1513" s="273"/>
      <c r="S1513" s="273"/>
      <c r="T1513" s="273"/>
      <c r="U1513" s="273"/>
      <c r="W1513" s="77"/>
      <c r="X1513" s="77"/>
      <c r="Y1513" s="77"/>
      <c r="Z1513" s="77"/>
      <c r="AA1513" s="77"/>
      <c r="AB1513" s="77"/>
      <c r="AC1513" s="77"/>
      <c r="AD1513" s="77"/>
      <c r="AE1513" s="77"/>
      <c r="AF1513" s="77"/>
      <c r="AG1513" s="77"/>
      <c r="AH1513" s="77"/>
    </row>
    <row r="1514" spans="11:34">
      <c r="K1514" s="273"/>
      <c r="S1514" s="273"/>
      <c r="T1514" s="273"/>
      <c r="U1514" s="273"/>
      <c r="W1514" s="77"/>
      <c r="X1514" s="77"/>
      <c r="Y1514" s="77"/>
      <c r="Z1514" s="77"/>
      <c r="AA1514" s="77"/>
      <c r="AB1514" s="77"/>
      <c r="AC1514" s="77"/>
      <c r="AD1514" s="77"/>
      <c r="AE1514" s="77"/>
      <c r="AF1514" s="77"/>
      <c r="AG1514" s="77"/>
      <c r="AH1514" s="77"/>
    </row>
    <row r="1515" spans="11:34">
      <c r="K1515" s="273"/>
      <c r="S1515" s="273"/>
      <c r="T1515" s="273"/>
      <c r="U1515" s="273"/>
      <c r="W1515" s="77"/>
      <c r="X1515" s="77"/>
      <c r="Y1515" s="77"/>
      <c r="Z1515" s="77"/>
      <c r="AA1515" s="77"/>
      <c r="AB1515" s="77"/>
      <c r="AC1515" s="77"/>
      <c r="AD1515" s="77"/>
      <c r="AE1515" s="77"/>
      <c r="AF1515" s="77"/>
      <c r="AG1515" s="77"/>
      <c r="AH1515" s="77"/>
    </row>
    <row r="1516" spans="11:34">
      <c r="K1516" s="273"/>
      <c r="S1516" s="273"/>
      <c r="T1516" s="273"/>
      <c r="U1516" s="273"/>
      <c r="W1516" s="77"/>
      <c r="X1516" s="77"/>
      <c r="Y1516" s="77"/>
      <c r="Z1516" s="77"/>
      <c r="AA1516" s="77"/>
      <c r="AB1516" s="77"/>
      <c r="AC1516" s="77"/>
      <c r="AD1516" s="77"/>
      <c r="AE1516" s="77"/>
      <c r="AF1516" s="77"/>
      <c r="AG1516" s="77"/>
      <c r="AH1516" s="77"/>
    </row>
    <row r="1517" spans="11:34">
      <c r="K1517" s="273"/>
      <c r="S1517" s="273"/>
      <c r="T1517" s="273"/>
      <c r="U1517" s="273"/>
      <c r="W1517" s="77"/>
      <c r="X1517" s="77"/>
      <c r="Y1517" s="77"/>
      <c r="Z1517" s="77"/>
      <c r="AA1517" s="77"/>
      <c r="AB1517" s="77"/>
      <c r="AC1517" s="77"/>
      <c r="AD1517" s="77"/>
      <c r="AE1517" s="77"/>
      <c r="AF1517" s="77"/>
      <c r="AG1517" s="77"/>
      <c r="AH1517" s="77"/>
    </row>
    <row r="1518" spans="11:34">
      <c r="K1518" s="273"/>
      <c r="S1518" s="273"/>
      <c r="T1518" s="273"/>
      <c r="U1518" s="273"/>
      <c r="W1518" s="77"/>
      <c r="X1518" s="77"/>
      <c r="Y1518" s="77"/>
      <c r="Z1518" s="77"/>
      <c r="AA1518" s="77"/>
      <c r="AB1518" s="77"/>
      <c r="AC1518" s="77"/>
      <c r="AD1518" s="77"/>
      <c r="AE1518" s="77"/>
      <c r="AF1518" s="77"/>
      <c r="AG1518" s="77"/>
      <c r="AH1518" s="77"/>
    </row>
    <row r="1519" spans="11:34">
      <c r="K1519" s="273"/>
      <c r="S1519" s="273"/>
      <c r="T1519" s="273"/>
      <c r="U1519" s="273"/>
      <c r="W1519" s="77"/>
      <c r="X1519" s="77"/>
      <c r="Y1519" s="77"/>
      <c r="Z1519" s="77"/>
      <c r="AA1519" s="77"/>
      <c r="AB1519" s="77"/>
      <c r="AC1519" s="77"/>
      <c r="AD1519" s="77"/>
      <c r="AE1519" s="77"/>
      <c r="AF1519" s="77"/>
      <c r="AG1519" s="77"/>
      <c r="AH1519" s="77"/>
    </row>
    <row r="1520" spans="11:34">
      <c r="K1520" s="273"/>
      <c r="S1520" s="273"/>
      <c r="T1520" s="273"/>
      <c r="U1520" s="273"/>
      <c r="W1520" s="77"/>
      <c r="X1520" s="77"/>
      <c r="Y1520" s="77"/>
      <c r="Z1520" s="77"/>
      <c r="AA1520" s="77"/>
      <c r="AB1520" s="77"/>
      <c r="AC1520" s="77"/>
      <c r="AD1520" s="77"/>
      <c r="AE1520" s="77"/>
      <c r="AF1520" s="77"/>
      <c r="AG1520" s="77"/>
      <c r="AH1520" s="77"/>
    </row>
    <row r="1521" spans="11:34">
      <c r="K1521" s="273"/>
      <c r="S1521" s="273"/>
      <c r="T1521" s="273"/>
      <c r="U1521" s="273"/>
      <c r="W1521" s="77"/>
      <c r="X1521" s="77"/>
      <c r="Y1521" s="77"/>
      <c r="Z1521" s="77"/>
      <c r="AA1521" s="77"/>
      <c r="AB1521" s="77"/>
      <c r="AC1521" s="77"/>
      <c r="AD1521" s="77"/>
      <c r="AE1521" s="77"/>
      <c r="AF1521" s="77"/>
      <c r="AG1521" s="77"/>
      <c r="AH1521" s="77"/>
    </row>
    <row r="1522" spans="11:34">
      <c r="K1522" s="273"/>
      <c r="S1522" s="273"/>
      <c r="T1522" s="273"/>
      <c r="U1522" s="273"/>
      <c r="W1522" s="77"/>
      <c r="X1522" s="77"/>
      <c r="Y1522" s="77"/>
      <c r="Z1522" s="77"/>
      <c r="AA1522" s="77"/>
      <c r="AB1522" s="77"/>
      <c r="AC1522" s="77"/>
      <c r="AD1522" s="77"/>
      <c r="AE1522" s="77"/>
      <c r="AF1522" s="77"/>
      <c r="AG1522" s="77"/>
      <c r="AH1522" s="77"/>
    </row>
    <row r="1523" spans="11:34">
      <c r="K1523" s="273"/>
      <c r="S1523" s="273"/>
      <c r="T1523" s="273"/>
      <c r="U1523" s="273"/>
      <c r="W1523" s="77"/>
      <c r="X1523" s="77"/>
      <c r="Y1523" s="77"/>
      <c r="Z1523" s="77"/>
      <c r="AA1523" s="77"/>
      <c r="AB1523" s="77"/>
      <c r="AC1523" s="77"/>
      <c r="AD1523" s="77"/>
      <c r="AE1523" s="77"/>
      <c r="AF1523" s="77"/>
      <c r="AG1523" s="77"/>
      <c r="AH1523" s="77"/>
    </row>
    <row r="1524" spans="11:34">
      <c r="K1524" s="273"/>
      <c r="S1524" s="273"/>
      <c r="T1524" s="273"/>
      <c r="U1524" s="273"/>
      <c r="W1524" s="77"/>
      <c r="X1524" s="77"/>
      <c r="Y1524" s="77"/>
      <c r="Z1524" s="77"/>
      <c r="AA1524" s="77"/>
      <c r="AB1524" s="77"/>
      <c r="AC1524" s="77"/>
      <c r="AD1524" s="77"/>
      <c r="AE1524" s="77"/>
      <c r="AF1524" s="77"/>
      <c r="AG1524" s="77"/>
      <c r="AH1524" s="77"/>
    </row>
    <row r="1525" spans="11:34">
      <c r="K1525" s="273"/>
      <c r="S1525" s="273"/>
      <c r="T1525" s="273"/>
      <c r="U1525" s="273"/>
      <c r="W1525" s="77"/>
      <c r="X1525" s="77"/>
      <c r="Y1525" s="77"/>
      <c r="Z1525" s="77"/>
      <c r="AA1525" s="77"/>
      <c r="AB1525" s="77"/>
      <c r="AC1525" s="77"/>
      <c r="AD1525" s="77"/>
      <c r="AE1525" s="77"/>
      <c r="AF1525" s="77"/>
      <c r="AG1525" s="77"/>
      <c r="AH1525" s="77"/>
    </row>
    <row r="1526" spans="11:34">
      <c r="K1526" s="273"/>
      <c r="S1526" s="273"/>
      <c r="T1526" s="273"/>
      <c r="U1526" s="273"/>
      <c r="W1526" s="77"/>
      <c r="X1526" s="77"/>
      <c r="Y1526" s="77"/>
      <c r="Z1526" s="77"/>
      <c r="AA1526" s="77"/>
      <c r="AB1526" s="77"/>
      <c r="AC1526" s="77"/>
      <c r="AD1526" s="77"/>
      <c r="AE1526" s="77"/>
      <c r="AF1526" s="77"/>
      <c r="AG1526" s="77"/>
      <c r="AH1526" s="77"/>
    </row>
    <row r="1527" spans="11:34">
      <c r="K1527" s="273"/>
      <c r="S1527" s="273"/>
      <c r="T1527" s="273"/>
      <c r="U1527" s="273"/>
      <c r="W1527" s="77"/>
      <c r="X1527" s="77"/>
      <c r="Y1527" s="77"/>
      <c r="Z1527" s="77"/>
      <c r="AA1527" s="77"/>
      <c r="AB1527" s="77"/>
      <c r="AC1527" s="77"/>
      <c r="AD1527" s="77"/>
      <c r="AE1527" s="77"/>
      <c r="AF1527" s="77"/>
      <c r="AG1527" s="77"/>
      <c r="AH1527" s="77"/>
    </row>
    <row r="1528" spans="11:34">
      <c r="K1528" s="273"/>
      <c r="S1528" s="273"/>
      <c r="T1528" s="273"/>
      <c r="U1528" s="273"/>
      <c r="W1528" s="77"/>
      <c r="X1528" s="77"/>
      <c r="Y1528" s="77"/>
      <c r="Z1528" s="77"/>
      <c r="AA1528" s="77"/>
      <c r="AB1528" s="77"/>
      <c r="AC1528" s="77"/>
      <c r="AD1528" s="77"/>
      <c r="AE1528" s="77"/>
      <c r="AF1528" s="77"/>
      <c r="AG1528" s="77"/>
      <c r="AH1528" s="77"/>
    </row>
    <row r="1529" spans="11:34">
      <c r="K1529" s="273"/>
      <c r="S1529" s="273"/>
      <c r="T1529" s="273"/>
      <c r="U1529" s="273"/>
      <c r="W1529" s="77"/>
      <c r="X1529" s="77"/>
      <c r="Y1529" s="77"/>
      <c r="Z1529" s="77"/>
      <c r="AA1529" s="77"/>
      <c r="AB1529" s="77"/>
      <c r="AC1529" s="77"/>
      <c r="AD1529" s="77"/>
      <c r="AE1529" s="77"/>
      <c r="AF1529" s="77"/>
      <c r="AG1529" s="77"/>
      <c r="AH1529" s="77"/>
    </row>
    <row r="1530" spans="11:34">
      <c r="K1530" s="273"/>
      <c r="S1530" s="273"/>
      <c r="T1530" s="273"/>
      <c r="U1530" s="273"/>
      <c r="W1530" s="77"/>
      <c r="X1530" s="77"/>
      <c r="Y1530" s="77"/>
      <c r="Z1530" s="77"/>
      <c r="AA1530" s="77"/>
      <c r="AB1530" s="77"/>
      <c r="AC1530" s="77"/>
      <c r="AD1530" s="77"/>
      <c r="AE1530" s="77"/>
      <c r="AF1530" s="77"/>
      <c r="AG1530" s="77"/>
      <c r="AH1530" s="77"/>
    </row>
    <row r="1531" spans="11:34">
      <c r="K1531" s="273"/>
      <c r="S1531" s="273"/>
      <c r="T1531" s="273"/>
      <c r="U1531" s="273"/>
      <c r="W1531" s="77"/>
      <c r="X1531" s="77"/>
      <c r="Y1531" s="77"/>
      <c r="Z1531" s="77"/>
      <c r="AA1531" s="77"/>
      <c r="AB1531" s="77"/>
      <c r="AC1531" s="77"/>
      <c r="AD1531" s="77"/>
      <c r="AE1531" s="77"/>
      <c r="AF1531" s="77"/>
      <c r="AG1531" s="77"/>
      <c r="AH1531" s="77"/>
    </row>
    <row r="1532" spans="11:34">
      <c r="K1532" s="273"/>
      <c r="S1532" s="273"/>
      <c r="T1532" s="273"/>
      <c r="U1532" s="273"/>
      <c r="W1532" s="77"/>
      <c r="X1532" s="77"/>
      <c r="Y1532" s="77"/>
      <c r="Z1532" s="77"/>
      <c r="AA1532" s="77"/>
      <c r="AB1532" s="77"/>
      <c r="AC1532" s="77"/>
      <c r="AD1532" s="77"/>
      <c r="AE1532" s="77"/>
      <c r="AF1532" s="77"/>
      <c r="AG1532" s="77"/>
      <c r="AH1532" s="77"/>
    </row>
    <row r="1533" spans="11:34">
      <c r="K1533" s="273"/>
      <c r="S1533" s="273"/>
      <c r="T1533" s="273"/>
      <c r="U1533" s="273"/>
      <c r="W1533" s="77"/>
      <c r="X1533" s="77"/>
      <c r="Y1533" s="77"/>
      <c r="Z1533" s="77"/>
      <c r="AA1533" s="77"/>
      <c r="AB1533" s="77"/>
      <c r="AC1533" s="77"/>
      <c r="AD1533" s="77"/>
      <c r="AE1533" s="77"/>
      <c r="AF1533" s="77"/>
      <c r="AG1533" s="77"/>
      <c r="AH1533" s="77"/>
    </row>
    <row r="1534" spans="11:34">
      <c r="K1534" s="273"/>
      <c r="S1534" s="273"/>
      <c r="T1534" s="273"/>
      <c r="U1534" s="273"/>
      <c r="W1534" s="77"/>
      <c r="X1534" s="77"/>
      <c r="Y1534" s="77"/>
      <c r="Z1534" s="77"/>
      <c r="AA1534" s="77"/>
      <c r="AB1534" s="77"/>
      <c r="AC1534" s="77"/>
      <c r="AD1534" s="77"/>
      <c r="AE1534" s="77"/>
      <c r="AF1534" s="77"/>
      <c r="AG1534" s="77"/>
      <c r="AH1534" s="77"/>
    </row>
    <row r="1535" spans="11:34">
      <c r="K1535" s="273"/>
      <c r="S1535" s="273"/>
      <c r="T1535" s="273"/>
      <c r="U1535" s="273"/>
      <c r="W1535" s="77"/>
      <c r="X1535" s="77"/>
      <c r="Y1535" s="77"/>
      <c r="Z1535" s="77"/>
      <c r="AA1535" s="77"/>
      <c r="AB1535" s="77"/>
      <c r="AC1535" s="77"/>
      <c r="AD1535" s="77"/>
      <c r="AE1535" s="77"/>
      <c r="AF1535" s="77"/>
      <c r="AG1535" s="77"/>
      <c r="AH1535" s="77"/>
    </row>
    <row r="1536" spans="11:34">
      <c r="K1536" s="273"/>
      <c r="S1536" s="273"/>
      <c r="T1536" s="273"/>
      <c r="U1536" s="273"/>
      <c r="W1536" s="77"/>
      <c r="X1536" s="77"/>
      <c r="Y1536" s="77"/>
      <c r="Z1536" s="77"/>
      <c r="AA1536" s="77"/>
      <c r="AB1536" s="77"/>
      <c r="AC1536" s="77"/>
      <c r="AD1536" s="77"/>
      <c r="AE1536" s="77"/>
      <c r="AF1536" s="77"/>
      <c r="AG1536" s="77"/>
      <c r="AH1536" s="77"/>
    </row>
    <row r="1537" spans="11:34">
      <c r="K1537" s="273"/>
      <c r="S1537" s="273"/>
      <c r="T1537" s="273"/>
      <c r="U1537" s="273"/>
      <c r="W1537" s="77"/>
      <c r="X1537" s="77"/>
      <c r="Y1537" s="77"/>
      <c r="Z1537" s="77"/>
      <c r="AA1537" s="77"/>
      <c r="AB1537" s="77"/>
      <c r="AC1537" s="77"/>
      <c r="AD1537" s="77"/>
      <c r="AE1537" s="77"/>
      <c r="AF1537" s="77"/>
      <c r="AG1537" s="77"/>
      <c r="AH1537" s="77"/>
    </row>
    <row r="1538" spans="11:34">
      <c r="K1538" s="273"/>
      <c r="S1538" s="273"/>
      <c r="T1538" s="273"/>
      <c r="U1538" s="273"/>
      <c r="AD1538" s="274"/>
      <c r="AE1538" s="274"/>
      <c r="AF1538" s="274"/>
      <c r="AG1538" s="273"/>
      <c r="AH1538" s="273"/>
    </row>
    <row r="1539" spans="11:34">
      <c r="K1539" s="273"/>
      <c r="S1539" s="273"/>
      <c r="T1539" s="273"/>
      <c r="U1539" s="273"/>
      <c r="AD1539" s="274"/>
      <c r="AE1539" s="274"/>
      <c r="AF1539" s="274"/>
      <c r="AG1539" s="273"/>
      <c r="AH1539" s="273"/>
    </row>
    <row r="1540" spans="11:34">
      <c r="K1540" s="273"/>
      <c r="S1540" s="273"/>
      <c r="T1540" s="273"/>
      <c r="U1540" s="273"/>
      <c r="AD1540" s="274"/>
      <c r="AE1540" s="274"/>
      <c r="AF1540" s="274"/>
      <c r="AG1540" s="273"/>
      <c r="AH1540" s="273"/>
    </row>
    <row r="1541" spans="11:34">
      <c r="K1541" s="273"/>
      <c r="S1541" s="273"/>
      <c r="T1541" s="273"/>
      <c r="U1541" s="273"/>
      <c r="AD1541" s="274"/>
      <c r="AE1541" s="274"/>
      <c r="AF1541" s="274"/>
      <c r="AG1541" s="273"/>
      <c r="AH1541" s="273"/>
    </row>
    <row r="1542" spans="11:34">
      <c r="K1542" s="273"/>
      <c r="S1542" s="273"/>
      <c r="T1542" s="273"/>
      <c r="U1542" s="273"/>
      <c r="AD1542" s="274"/>
      <c r="AE1542" s="274"/>
      <c r="AF1542" s="274"/>
      <c r="AG1542" s="273"/>
      <c r="AH1542" s="273"/>
    </row>
    <row r="1543" spans="11:34">
      <c r="K1543" s="273"/>
      <c r="S1543" s="273"/>
      <c r="T1543" s="273"/>
      <c r="U1543" s="273"/>
      <c r="AD1543" s="274"/>
      <c r="AE1543" s="274"/>
      <c r="AF1543" s="274"/>
      <c r="AG1543" s="273"/>
      <c r="AH1543" s="273"/>
    </row>
    <row r="1544" spans="11:34">
      <c r="K1544" s="273"/>
      <c r="S1544" s="273"/>
      <c r="T1544" s="273"/>
      <c r="U1544" s="273"/>
      <c r="AD1544" s="274"/>
      <c r="AE1544" s="274"/>
      <c r="AF1544" s="274"/>
      <c r="AG1544" s="273"/>
      <c r="AH1544" s="273"/>
    </row>
    <row r="1545" spans="11:34">
      <c r="K1545" s="273"/>
      <c r="S1545" s="273"/>
      <c r="T1545" s="273"/>
      <c r="U1545" s="273"/>
      <c r="AD1545" s="274"/>
      <c r="AE1545" s="274"/>
      <c r="AF1545" s="274"/>
      <c r="AG1545" s="273"/>
      <c r="AH1545" s="273"/>
    </row>
    <row r="1546" spans="11:34">
      <c r="K1546" s="273"/>
      <c r="S1546" s="273"/>
      <c r="T1546" s="273"/>
      <c r="U1546" s="273"/>
      <c r="AD1546" s="274"/>
      <c r="AE1546" s="274"/>
      <c r="AF1546" s="274"/>
      <c r="AG1546" s="273"/>
      <c r="AH1546" s="273"/>
    </row>
    <row r="1547" spans="11:34">
      <c r="K1547" s="273"/>
      <c r="S1547" s="273"/>
      <c r="T1547" s="273"/>
      <c r="U1547" s="273"/>
      <c r="AD1547" s="274"/>
      <c r="AE1547" s="274"/>
      <c r="AF1547" s="274"/>
      <c r="AG1547" s="273"/>
      <c r="AH1547" s="273"/>
    </row>
    <row r="1548" spans="11:34">
      <c r="K1548" s="273"/>
      <c r="S1548" s="273"/>
      <c r="T1548" s="273"/>
      <c r="U1548" s="273"/>
      <c r="AD1548" s="274"/>
      <c r="AE1548" s="274"/>
      <c r="AF1548" s="274"/>
      <c r="AG1548" s="273"/>
      <c r="AH1548" s="273"/>
    </row>
    <row r="1549" spans="11:34">
      <c r="K1549" s="273"/>
      <c r="S1549" s="273"/>
      <c r="T1549" s="273"/>
      <c r="U1549" s="273"/>
      <c r="AD1549" s="274"/>
      <c r="AE1549" s="274"/>
      <c r="AF1549" s="274"/>
      <c r="AG1549" s="273"/>
      <c r="AH1549" s="273"/>
    </row>
    <row r="1550" spans="11:34">
      <c r="K1550" s="273"/>
      <c r="S1550" s="273"/>
      <c r="T1550" s="273"/>
      <c r="U1550" s="273"/>
      <c r="AD1550" s="274"/>
      <c r="AE1550" s="274"/>
      <c r="AF1550" s="274"/>
      <c r="AG1550" s="273"/>
      <c r="AH1550" s="273"/>
    </row>
    <row r="1551" spans="11:34">
      <c r="K1551" s="273"/>
      <c r="S1551" s="273"/>
      <c r="T1551" s="273"/>
      <c r="U1551" s="273"/>
      <c r="AD1551" s="274"/>
      <c r="AE1551" s="274"/>
      <c r="AF1551" s="274"/>
      <c r="AG1551" s="273"/>
      <c r="AH1551" s="273"/>
    </row>
    <row r="1552" spans="11:34">
      <c r="K1552" s="273"/>
      <c r="S1552" s="273"/>
      <c r="T1552" s="273"/>
      <c r="U1552" s="273"/>
      <c r="AD1552" s="274"/>
      <c r="AE1552" s="274"/>
      <c r="AF1552" s="274"/>
      <c r="AG1552" s="273"/>
      <c r="AH1552" s="273"/>
    </row>
    <row r="1553" spans="11:34">
      <c r="K1553" s="273"/>
      <c r="S1553" s="273"/>
      <c r="T1553" s="273"/>
      <c r="U1553" s="273"/>
      <c r="AD1553" s="274"/>
      <c r="AE1553" s="274"/>
      <c r="AF1553" s="274"/>
      <c r="AG1553" s="273"/>
      <c r="AH1553" s="273"/>
    </row>
    <row r="1554" spans="11:34">
      <c r="K1554" s="273"/>
      <c r="S1554" s="273"/>
      <c r="T1554" s="273"/>
      <c r="U1554" s="273"/>
      <c r="AD1554" s="274"/>
      <c r="AE1554" s="274"/>
      <c r="AF1554" s="274"/>
      <c r="AG1554" s="273"/>
      <c r="AH1554" s="273"/>
    </row>
    <row r="1555" spans="11:34">
      <c r="K1555" s="273"/>
      <c r="S1555" s="273"/>
      <c r="T1555" s="273"/>
      <c r="U1555" s="273"/>
      <c r="AD1555" s="274"/>
      <c r="AE1555" s="274"/>
      <c r="AF1555" s="274"/>
      <c r="AG1555" s="273"/>
      <c r="AH1555" s="273"/>
    </row>
    <row r="1556" spans="11:34">
      <c r="K1556" s="273"/>
      <c r="S1556" s="273"/>
      <c r="T1556" s="273"/>
      <c r="U1556" s="273"/>
      <c r="AD1556" s="274"/>
      <c r="AE1556" s="274"/>
      <c r="AF1556" s="274"/>
      <c r="AG1556" s="273"/>
      <c r="AH1556" s="273"/>
    </row>
    <row r="1557" spans="11:34">
      <c r="K1557" s="273"/>
      <c r="S1557" s="273"/>
      <c r="T1557" s="273"/>
      <c r="U1557" s="273"/>
      <c r="AD1557" s="274"/>
      <c r="AE1557" s="274"/>
      <c r="AF1557" s="274"/>
      <c r="AG1557" s="273"/>
      <c r="AH1557" s="273"/>
    </row>
    <row r="1558" spans="11:34">
      <c r="K1558" s="273"/>
      <c r="S1558" s="273"/>
      <c r="T1558" s="273"/>
      <c r="U1558" s="273"/>
      <c r="AD1558" s="274"/>
      <c r="AE1558" s="274"/>
      <c r="AF1558" s="274"/>
      <c r="AG1558" s="273"/>
      <c r="AH1558" s="273"/>
    </row>
    <row r="1559" spans="11:34">
      <c r="K1559" s="273"/>
      <c r="S1559" s="273"/>
      <c r="T1559" s="273"/>
      <c r="U1559" s="273"/>
      <c r="AD1559" s="274"/>
      <c r="AE1559" s="274"/>
      <c r="AF1559" s="274"/>
      <c r="AG1559" s="273"/>
      <c r="AH1559" s="273"/>
    </row>
    <row r="1560" spans="11:34">
      <c r="K1560" s="273"/>
      <c r="S1560" s="273"/>
      <c r="T1560" s="273"/>
      <c r="U1560" s="273"/>
      <c r="AD1560" s="274"/>
      <c r="AE1560" s="274"/>
      <c r="AF1560" s="274"/>
      <c r="AG1560" s="273"/>
      <c r="AH1560" s="273"/>
    </row>
    <row r="1561" spans="11:34">
      <c r="K1561" s="273"/>
      <c r="S1561" s="273"/>
      <c r="T1561" s="273"/>
      <c r="U1561" s="273"/>
      <c r="AD1561" s="274"/>
      <c r="AE1561" s="274"/>
      <c r="AF1561" s="274"/>
      <c r="AG1561" s="273"/>
      <c r="AH1561" s="273"/>
    </row>
    <row r="1562" spans="11:34">
      <c r="K1562" s="273"/>
      <c r="S1562" s="273"/>
      <c r="T1562" s="273"/>
      <c r="U1562" s="273"/>
      <c r="AD1562" s="274"/>
      <c r="AE1562" s="274"/>
      <c r="AF1562" s="274"/>
      <c r="AG1562" s="273"/>
      <c r="AH1562" s="273"/>
    </row>
    <row r="1563" spans="11:34">
      <c r="K1563" s="273"/>
      <c r="S1563" s="273"/>
      <c r="T1563" s="273"/>
      <c r="U1563" s="273"/>
      <c r="AD1563" s="274"/>
      <c r="AE1563" s="274"/>
      <c r="AF1563" s="274"/>
      <c r="AG1563" s="273"/>
      <c r="AH1563" s="273"/>
    </row>
    <row r="1564" spans="11:34">
      <c r="K1564" s="273"/>
      <c r="S1564" s="273"/>
      <c r="T1564" s="273"/>
      <c r="U1564" s="273"/>
      <c r="AD1564" s="274"/>
      <c r="AE1564" s="274"/>
      <c r="AF1564" s="274"/>
      <c r="AG1564" s="273"/>
      <c r="AH1564" s="273"/>
    </row>
    <row r="1565" spans="11:34">
      <c r="K1565" s="273"/>
      <c r="S1565" s="273"/>
      <c r="T1565" s="273"/>
      <c r="U1565" s="273"/>
      <c r="AD1565" s="274"/>
      <c r="AE1565" s="274"/>
      <c r="AF1565" s="274"/>
      <c r="AG1565" s="273"/>
      <c r="AH1565" s="273"/>
    </row>
    <row r="1566" spans="11:34">
      <c r="K1566" s="273"/>
      <c r="S1566" s="273"/>
      <c r="T1566" s="273"/>
      <c r="U1566" s="273"/>
      <c r="AD1566" s="274"/>
      <c r="AE1566" s="274"/>
      <c r="AF1566" s="274"/>
      <c r="AG1566" s="273"/>
      <c r="AH1566" s="273"/>
    </row>
    <row r="1567" spans="11:34">
      <c r="K1567" s="273"/>
      <c r="S1567" s="273"/>
      <c r="T1567" s="273"/>
      <c r="U1567" s="273"/>
      <c r="AD1567" s="274"/>
      <c r="AE1567" s="274"/>
      <c r="AF1567" s="274"/>
      <c r="AG1567" s="273"/>
      <c r="AH1567" s="273"/>
    </row>
    <row r="1568" spans="11:34">
      <c r="K1568" s="273"/>
      <c r="S1568" s="273"/>
      <c r="T1568" s="273"/>
      <c r="U1568" s="273"/>
      <c r="AD1568" s="274"/>
      <c r="AE1568" s="274"/>
      <c r="AF1568" s="274"/>
      <c r="AG1568" s="273"/>
      <c r="AH1568" s="273"/>
    </row>
    <row r="1569" spans="11:34">
      <c r="K1569" s="273"/>
      <c r="S1569" s="273"/>
      <c r="T1569" s="273"/>
      <c r="U1569" s="273"/>
      <c r="AD1569" s="274"/>
      <c r="AE1569" s="274"/>
      <c r="AF1569" s="274"/>
      <c r="AG1569" s="273"/>
      <c r="AH1569" s="273"/>
    </row>
    <row r="1570" spans="11:34">
      <c r="K1570" s="273"/>
      <c r="S1570" s="273"/>
      <c r="T1570" s="273"/>
      <c r="U1570" s="273"/>
      <c r="AD1570" s="274"/>
      <c r="AE1570" s="274"/>
      <c r="AF1570" s="274"/>
      <c r="AG1570" s="273"/>
      <c r="AH1570" s="273"/>
    </row>
    <row r="1571" spans="11:34">
      <c r="K1571" s="273"/>
      <c r="S1571" s="273"/>
      <c r="T1571" s="273"/>
      <c r="U1571" s="273"/>
      <c r="AD1571" s="274"/>
      <c r="AE1571" s="274"/>
      <c r="AF1571" s="274"/>
      <c r="AG1571" s="273"/>
      <c r="AH1571" s="273"/>
    </row>
    <row r="1572" spans="11:34">
      <c r="K1572" s="273"/>
      <c r="S1572" s="273"/>
      <c r="T1572" s="273"/>
      <c r="U1572" s="273"/>
      <c r="AD1572" s="274"/>
      <c r="AE1572" s="274"/>
      <c r="AF1572" s="274"/>
      <c r="AG1572" s="273"/>
      <c r="AH1572" s="273"/>
    </row>
    <row r="1573" spans="11:34">
      <c r="K1573" s="273"/>
      <c r="S1573" s="273"/>
      <c r="T1573" s="273"/>
      <c r="U1573" s="273"/>
      <c r="AD1573" s="274"/>
      <c r="AE1573" s="274"/>
      <c r="AF1573" s="274"/>
      <c r="AG1573" s="273"/>
      <c r="AH1573" s="273"/>
    </row>
    <row r="1574" spans="11:34">
      <c r="K1574" s="273"/>
      <c r="S1574" s="273"/>
      <c r="T1574" s="273"/>
      <c r="U1574" s="273"/>
      <c r="AD1574" s="274"/>
      <c r="AE1574" s="274"/>
      <c r="AF1574" s="274"/>
      <c r="AG1574" s="273"/>
      <c r="AH1574" s="273"/>
    </row>
    <row r="1575" spans="11:34">
      <c r="K1575" s="273"/>
      <c r="S1575" s="273"/>
      <c r="T1575" s="273"/>
      <c r="U1575" s="273"/>
      <c r="AD1575" s="274"/>
      <c r="AE1575" s="274"/>
      <c r="AF1575" s="274"/>
      <c r="AG1575" s="273"/>
      <c r="AH1575" s="273"/>
    </row>
    <row r="1576" spans="11:34">
      <c r="K1576" s="273"/>
      <c r="S1576" s="273"/>
      <c r="T1576" s="273"/>
      <c r="U1576" s="273"/>
      <c r="AD1576" s="274"/>
      <c r="AE1576" s="274"/>
      <c r="AF1576" s="274"/>
      <c r="AG1576" s="273"/>
      <c r="AH1576" s="273"/>
    </row>
    <row r="1577" spans="11:34">
      <c r="K1577" s="273"/>
      <c r="S1577" s="273"/>
      <c r="T1577" s="273"/>
      <c r="U1577" s="273"/>
      <c r="AD1577" s="274"/>
      <c r="AE1577" s="274"/>
      <c r="AF1577" s="274"/>
      <c r="AG1577" s="273"/>
      <c r="AH1577" s="273"/>
    </row>
    <row r="1578" spans="11:34">
      <c r="K1578" s="273"/>
      <c r="S1578" s="273"/>
      <c r="T1578" s="273"/>
      <c r="U1578" s="273"/>
      <c r="AD1578" s="274"/>
      <c r="AE1578" s="274"/>
      <c r="AF1578" s="274"/>
      <c r="AG1578" s="273"/>
      <c r="AH1578" s="273"/>
    </row>
    <row r="1579" spans="11:34">
      <c r="K1579" s="273"/>
      <c r="S1579" s="273"/>
      <c r="T1579" s="273"/>
      <c r="U1579" s="273"/>
      <c r="AD1579" s="274"/>
      <c r="AE1579" s="274"/>
      <c r="AF1579" s="274"/>
      <c r="AG1579" s="273"/>
      <c r="AH1579" s="273"/>
    </row>
    <row r="1580" spans="11:34">
      <c r="K1580" s="273"/>
      <c r="S1580" s="273"/>
      <c r="T1580" s="273"/>
      <c r="U1580" s="273"/>
      <c r="AD1580" s="274"/>
      <c r="AE1580" s="274"/>
      <c r="AF1580" s="274"/>
      <c r="AG1580" s="273"/>
      <c r="AH1580" s="273"/>
    </row>
    <row r="1581" spans="11:34">
      <c r="K1581" s="273"/>
      <c r="S1581" s="273"/>
      <c r="T1581" s="273"/>
      <c r="U1581" s="273"/>
      <c r="AD1581" s="274"/>
      <c r="AE1581" s="274"/>
      <c r="AF1581" s="274"/>
      <c r="AG1581" s="273"/>
      <c r="AH1581" s="273"/>
    </row>
    <row r="1582" spans="11:34">
      <c r="K1582" s="273"/>
      <c r="S1582" s="273"/>
      <c r="T1582" s="273"/>
      <c r="U1582" s="273"/>
      <c r="AD1582" s="274"/>
      <c r="AE1582" s="274"/>
      <c r="AF1582" s="274"/>
      <c r="AG1582" s="273"/>
      <c r="AH1582" s="273"/>
    </row>
    <row r="1583" spans="11:34">
      <c r="K1583" s="273"/>
      <c r="S1583" s="273"/>
      <c r="T1583" s="273"/>
      <c r="U1583" s="273"/>
      <c r="AD1583" s="274"/>
      <c r="AE1583" s="274"/>
      <c r="AF1583" s="274"/>
      <c r="AG1583" s="273"/>
      <c r="AH1583" s="273"/>
    </row>
    <row r="1584" spans="11:34">
      <c r="K1584" s="273"/>
      <c r="S1584" s="273"/>
      <c r="T1584" s="273"/>
      <c r="U1584" s="273"/>
      <c r="AD1584" s="274"/>
      <c r="AE1584" s="274"/>
      <c r="AF1584" s="274"/>
      <c r="AG1584" s="273"/>
      <c r="AH1584" s="273"/>
    </row>
    <row r="1585" spans="11:34">
      <c r="K1585" s="273"/>
      <c r="S1585" s="273"/>
      <c r="T1585" s="273"/>
      <c r="U1585" s="273"/>
      <c r="AD1585" s="274"/>
      <c r="AE1585" s="274"/>
      <c r="AF1585" s="274"/>
      <c r="AG1585" s="273"/>
      <c r="AH1585" s="273"/>
    </row>
    <row r="1586" spans="11:34">
      <c r="K1586" s="273"/>
      <c r="S1586" s="273"/>
      <c r="T1586" s="273"/>
      <c r="U1586" s="273"/>
      <c r="AD1586" s="274"/>
      <c r="AE1586" s="274"/>
      <c r="AF1586" s="274"/>
      <c r="AG1586" s="273"/>
      <c r="AH1586" s="273"/>
    </row>
    <row r="1587" spans="11:34">
      <c r="K1587" s="273"/>
      <c r="S1587" s="273"/>
      <c r="T1587" s="273"/>
      <c r="U1587" s="273"/>
      <c r="AD1587" s="274"/>
      <c r="AE1587" s="274"/>
      <c r="AF1587" s="274"/>
      <c r="AG1587" s="273"/>
      <c r="AH1587" s="273"/>
    </row>
    <row r="1588" spans="11:34">
      <c r="K1588" s="273"/>
      <c r="S1588" s="273"/>
      <c r="T1588" s="273"/>
      <c r="U1588" s="273"/>
      <c r="AD1588" s="274"/>
      <c r="AE1588" s="274"/>
      <c r="AF1588" s="274"/>
      <c r="AG1588" s="273"/>
      <c r="AH1588" s="273"/>
    </row>
    <row r="1589" spans="11:34">
      <c r="K1589" s="273"/>
      <c r="S1589" s="273"/>
      <c r="T1589" s="273"/>
      <c r="U1589" s="273"/>
      <c r="AD1589" s="274"/>
      <c r="AE1589" s="274"/>
      <c r="AF1589" s="274"/>
      <c r="AG1589" s="273"/>
      <c r="AH1589" s="273"/>
    </row>
    <row r="1590" spans="11:34">
      <c r="K1590" s="273"/>
      <c r="S1590" s="273"/>
      <c r="T1590" s="273"/>
      <c r="U1590" s="273"/>
      <c r="AD1590" s="274"/>
      <c r="AE1590" s="274"/>
      <c r="AF1590" s="274"/>
      <c r="AG1590" s="273"/>
      <c r="AH1590" s="273"/>
    </row>
    <row r="1591" spans="11:34">
      <c r="K1591" s="273"/>
      <c r="S1591" s="273"/>
      <c r="T1591" s="273"/>
      <c r="U1591" s="273"/>
      <c r="AD1591" s="274"/>
      <c r="AE1591" s="274"/>
      <c r="AF1591" s="274"/>
      <c r="AG1591" s="273"/>
      <c r="AH1591" s="273"/>
    </row>
    <row r="1592" spans="11:34">
      <c r="K1592" s="273"/>
      <c r="S1592" s="273"/>
      <c r="T1592" s="273"/>
      <c r="U1592" s="273"/>
      <c r="AD1592" s="274"/>
      <c r="AE1592" s="274"/>
      <c r="AF1592" s="274"/>
      <c r="AG1592" s="273"/>
      <c r="AH1592" s="273"/>
    </row>
    <row r="1593" spans="11:34">
      <c r="K1593" s="273"/>
      <c r="S1593" s="273"/>
      <c r="T1593" s="273"/>
      <c r="U1593" s="273"/>
      <c r="AD1593" s="274"/>
      <c r="AE1593" s="274"/>
      <c r="AF1593" s="274"/>
      <c r="AG1593" s="273"/>
      <c r="AH1593" s="273"/>
    </row>
    <row r="1594" spans="11:34">
      <c r="K1594" s="273"/>
      <c r="S1594" s="273"/>
      <c r="T1594" s="273"/>
      <c r="U1594" s="273"/>
      <c r="AD1594" s="274"/>
      <c r="AE1594" s="274"/>
      <c r="AF1594" s="274"/>
      <c r="AG1594" s="273"/>
      <c r="AH1594" s="273"/>
    </row>
    <row r="1595" spans="11:34">
      <c r="K1595" s="273"/>
      <c r="S1595" s="273"/>
      <c r="T1595" s="273"/>
      <c r="U1595" s="273"/>
      <c r="AD1595" s="274"/>
      <c r="AE1595" s="274"/>
      <c r="AF1595" s="274"/>
      <c r="AG1595" s="273"/>
      <c r="AH1595" s="273"/>
    </row>
    <row r="1596" spans="11:34">
      <c r="K1596" s="273"/>
      <c r="S1596" s="273"/>
      <c r="T1596" s="273"/>
      <c r="U1596" s="273"/>
      <c r="AD1596" s="274"/>
      <c r="AE1596" s="274"/>
      <c r="AF1596" s="274"/>
      <c r="AG1596" s="273"/>
      <c r="AH1596" s="273"/>
    </row>
    <row r="1597" spans="11:34">
      <c r="K1597" s="273"/>
      <c r="S1597" s="273"/>
      <c r="T1597" s="273"/>
      <c r="U1597" s="273"/>
      <c r="AD1597" s="274"/>
      <c r="AE1597" s="274"/>
      <c r="AF1597" s="274"/>
      <c r="AG1597" s="273"/>
      <c r="AH1597" s="273"/>
    </row>
    <row r="1598" spans="11:34">
      <c r="K1598" s="273"/>
      <c r="S1598" s="273"/>
      <c r="T1598" s="273"/>
      <c r="U1598" s="273"/>
      <c r="AD1598" s="274"/>
      <c r="AE1598" s="274"/>
      <c r="AF1598" s="274"/>
      <c r="AG1598" s="273"/>
      <c r="AH1598" s="273"/>
    </row>
    <row r="1599" spans="11:34">
      <c r="K1599" s="273"/>
      <c r="S1599" s="273"/>
      <c r="T1599" s="273"/>
      <c r="U1599" s="273"/>
      <c r="AD1599" s="274"/>
      <c r="AE1599" s="274"/>
      <c r="AF1599" s="274"/>
      <c r="AG1599" s="273"/>
      <c r="AH1599" s="273"/>
    </row>
    <row r="1600" spans="11:34">
      <c r="K1600" s="273"/>
      <c r="S1600" s="273"/>
      <c r="T1600" s="273"/>
      <c r="U1600" s="273"/>
      <c r="AD1600" s="274"/>
      <c r="AE1600" s="274"/>
      <c r="AF1600" s="274"/>
      <c r="AG1600" s="273"/>
      <c r="AH1600" s="273"/>
    </row>
    <row r="1601" spans="11:34">
      <c r="K1601" s="273"/>
      <c r="S1601" s="273"/>
      <c r="T1601" s="273"/>
      <c r="U1601" s="273"/>
      <c r="AD1601" s="274"/>
      <c r="AE1601" s="274"/>
      <c r="AF1601" s="274"/>
      <c r="AG1601" s="273"/>
      <c r="AH1601" s="273"/>
    </row>
    <row r="1602" spans="11:34">
      <c r="K1602" s="273"/>
      <c r="S1602" s="273"/>
      <c r="T1602" s="273"/>
      <c r="U1602" s="273"/>
      <c r="AD1602" s="274"/>
      <c r="AE1602" s="274"/>
      <c r="AF1602" s="274"/>
      <c r="AG1602" s="273"/>
      <c r="AH1602" s="273"/>
    </row>
    <row r="1603" spans="11:34">
      <c r="K1603" s="273"/>
      <c r="S1603" s="273"/>
      <c r="T1603" s="273"/>
      <c r="U1603" s="273"/>
      <c r="AD1603" s="274"/>
      <c r="AE1603" s="274"/>
      <c r="AF1603" s="274"/>
      <c r="AG1603" s="273"/>
      <c r="AH1603" s="273"/>
    </row>
    <row r="1604" spans="11:34">
      <c r="K1604" s="273"/>
      <c r="S1604" s="273"/>
      <c r="T1604" s="273"/>
      <c r="U1604" s="273"/>
      <c r="AD1604" s="274"/>
      <c r="AE1604" s="274"/>
      <c r="AF1604" s="274"/>
      <c r="AG1604" s="273"/>
      <c r="AH1604" s="273"/>
    </row>
    <row r="1605" spans="11:34">
      <c r="K1605" s="273"/>
      <c r="S1605" s="273"/>
      <c r="T1605" s="273"/>
      <c r="U1605" s="273"/>
      <c r="AD1605" s="274"/>
      <c r="AE1605" s="274"/>
      <c r="AF1605" s="274"/>
      <c r="AG1605" s="273"/>
      <c r="AH1605" s="273"/>
    </row>
    <row r="1606" spans="11:34">
      <c r="K1606" s="273"/>
      <c r="S1606" s="273"/>
      <c r="T1606" s="273"/>
      <c r="U1606" s="273"/>
      <c r="AD1606" s="274"/>
      <c r="AE1606" s="274"/>
      <c r="AF1606" s="274"/>
      <c r="AG1606" s="273"/>
      <c r="AH1606" s="273"/>
    </row>
    <row r="1607" spans="11:34">
      <c r="K1607" s="273"/>
      <c r="S1607" s="273"/>
      <c r="T1607" s="273"/>
      <c r="U1607" s="273"/>
      <c r="AD1607" s="274"/>
      <c r="AE1607" s="274"/>
      <c r="AF1607" s="274"/>
      <c r="AG1607" s="273"/>
      <c r="AH1607" s="273"/>
    </row>
    <row r="1608" spans="11:34">
      <c r="K1608" s="273"/>
      <c r="S1608" s="273"/>
      <c r="T1608" s="273"/>
      <c r="U1608" s="273"/>
      <c r="AD1608" s="274"/>
      <c r="AE1608" s="274"/>
      <c r="AF1608" s="274"/>
      <c r="AG1608" s="273"/>
      <c r="AH1608" s="273"/>
    </row>
    <row r="1609" spans="11:34">
      <c r="K1609" s="273"/>
      <c r="S1609" s="273"/>
      <c r="T1609" s="273"/>
      <c r="U1609" s="273"/>
      <c r="AD1609" s="274"/>
      <c r="AE1609" s="274"/>
      <c r="AF1609" s="274"/>
      <c r="AG1609" s="273"/>
      <c r="AH1609" s="273"/>
    </row>
    <row r="1610" spans="11:34">
      <c r="K1610" s="273"/>
      <c r="S1610" s="273"/>
      <c r="T1610" s="273"/>
      <c r="U1610" s="273"/>
      <c r="AD1610" s="274"/>
      <c r="AE1610" s="274"/>
      <c r="AF1610" s="274"/>
      <c r="AG1610" s="273"/>
      <c r="AH1610" s="273"/>
    </row>
    <row r="1611" spans="11:34">
      <c r="K1611" s="273"/>
      <c r="S1611" s="273"/>
      <c r="T1611" s="273"/>
      <c r="U1611" s="273"/>
      <c r="AD1611" s="274"/>
      <c r="AE1611" s="274"/>
      <c r="AF1611" s="274"/>
      <c r="AG1611" s="273"/>
      <c r="AH1611" s="273"/>
    </row>
    <row r="1612" spans="11:34">
      <c r="K1612" s="273"/>
      <c r="S1612" s="273"/>
      <c r="T1612" s="273"/>
      <c r="U1612" s="273"/>
      <c r="AD1612" s="274"/>
      <c r="AE1612" s="274"/>
      <c r="AF1612" s="274"/>
      <c r="AG1612" s="273"/>
      <c r="AH1612" s="273"/>
    </row>
    <row r="1613" spans="11:34">
      <c r="K1613" s="273"/>
      <c r="S1613" s="273"/>
      <c r="T1613" s="273"/>
      <c r="U1613" s="273"/>
      <c r="AD1613" s="274"/>
      <c r="AE1613" s="274"/>
      <c r="AF1613" s="274"/>
      <c r="AG1613" s="273"/>
      <c r="AH1613" s="273"/>
    </row>
    <row r="1614" spans="11:34">
      <c r="K1614" s="273"/>
      <c r="S1614" s="273"/>
      <c r="T1614" s="273"/>
      <c r="U1614" s="273"/>
      <c r="AD1614" s="274"/>
      <c r="AE1614" s="274"/>
      <c r="AF1614" s="274"/>
      <c r="AG1614" s="273"/>
      <c r="AH1614" s="273"/>
    </row>
    <row r="1615" spans="11:34">
      <c r="K1615" s="273"/>
      <c r="S1615" s="273"/>
      <c r="T1615" s="273"/>
      <c r="U1615" s="273"/>
      <c r="AD1615" s="274"/>
      <c r="AE1615" s="274"/>
      <c r="AF1615" s="274"/>
      <c r="AG1615" s="273"/>
      <c r="AH1615" s="273"/>
    </row>
    <row r="1616" spans="11:34">
      <c r="K1616" s="273"/>
      <c r="S1616" s="273"/>
      <c r="T1616" s="273"/>
      <c r="U1616" s="273"/>
      <c r="AD1616" s="274"/>
      <c r="AE1616" s="274"/>
      <c r="AF1616" s="274"/>
      <c r="AG1616" s="273"/>
      <c r="AH1616" s="273"/>
    </row>
    <row r="1617" spans="11:34">
      <c r="K1617" s="273"/>
      <c r="S1617" s="273"/>
      <c r="T1617" s="273"/>
      <c r="U1617" s="273"/>
      <c r="AD1617" s="274"/>
      <c r="AE1617" s="274"/>
      <c r="AF1617" s="274"/>
      <c r="AG1617" s="273"/>
      <c r="AH1617" s="273"/>
    </row>
    <row r="1618" spans="11:34">
      <c r="K1618" s="273"/>
      <c r="S1618" s="273"/>
      <c r="T1618" s="273"/>
      <c r="U1618" s="273"/>
      <c r="AD1618" s="274"/>
      <c r="AE1618" s="274"/>
      <c r="AF1618" s="274"/>
      <c r="AG1618" s="273"/>
      <c r="AH1618" s="273"/>
    </row>
    <row r="1619" spans="11:34">
      <c r="K1619" s="273"/>
      <c r="S1619" s="273"/>
      <c r="T1619" s="273"/>
      <c r="U1619" s="273"/>
      <c r="AD1619" s="274"/>
      <c r="AE1619" s="274"/>
      <c r="AF1619" s="274"/>
      <c r="AG1619" s="273"/>
      <c r="AH1619" s="273"/>
    </row>
    <row r="1620" spans="11:34">
      <c r="K1620" s="273"/>
      <c r="S1620" s="273"/>
      <c r="T1620" s="273"/>
      <c r="U1620" s="273"/>
      <c r="AD1620" s="274"/>
      <c r="AE1620" s="274"/>
      <c r="AF1620" s="274"/>
      <c r="AG1620" s="273"/>
      <c r="AH1620" s="273"/>
    </row>
    <row r="1621" spans="11:34">
      <c r="K1621" s="273"/>
      <c r="S1621" s="273"/>
      <c r="T1621" s="273"/>
      <c r="U1621" s="273"/>
      <c r="AD1621" s="274"/>
      <c r="AE1621" s="274"/>
      <c r="AF1621" s="274"/>
      <c r="AG1621" s="273"/>
      <c r="AH1621" s="273"/>
    </row>
    <row r="1622" spans="11:34">
      <c r="K1622" s="273"/>
      <c r="S1622" s="273"/>
      <c r="T1622" s="273"/>
      <c r="U1622" s="273"/>
      <c r="AD1622" s="274"/>
      <c r="AE1622" s="274"/>
      <c r="AF1622" s="274"/>
      <c r="AG1622" s="273"/>
      <c r="AH1622" s="273"/>
    </row>
    <row r="1623" spans="11:34">
      <c r="K1623" s="273"/>
      <c r="S1623" s="273"/>
      <c r="T1623" s="273"/>
      <c r="U1623" s="273"/>
      <c r="AD1623" s="274"/>
      <c r="AE1623" s="274"/>
      <c r="AF1623" s="274"/>
      <c r="AG1623" s="273"/>
      <c r="AH1623" s="273"/>
    </row>
    <row r="1624" spans="11:34">
      <c r="K1624" s="273"/>
      <c r="S1624" s="273"/>
      <c r="T1624" s="273"/>
      <c r="U1624" s="273"/>
      <c r="AD1624" s="274"/>
      <c r="AE1624" s="274"/>
      <c r="AF1624" s="274"/>
      <c r="AG1624" s="273"/>
      <c r="AH1624" s="273"/>
    </row>
    <row r="1625" spans="11:34">
      <c r="K1625" s="273"/>
      <c r="S1625" s="273"/>
      <c r="T1625" s="273"/>
      <c r="U1625" s="273"/>
      <c r="AD1625" s="274"/>
      <c r="AE1625" s="274"/>
      <c r="AF1625" s="274"/>
      <c r="AG1625" s="273"/>
      <c r="AH1625" s="273"/>
    </row>
    <row r="1626" spans="11:34">
      <c r="K1626" s="273"/>
      <c r="S1626" s="273"/>
      <c r="T1626" s="273"/>
      <c r="U1626" s="273"/>
      <c r="AD1626" s="274"/>
      <c r="AE1626" s="274"/>
      <c r="AF1626" s="274"/>
      <c r="AG1626" s="273"/>
      <c r="AH1626" s="273"/>
    </row>
    <row r="1627" spans="11:34">
      <c r="K1627" s="273"/>
      <c r="S1627" s="273"/>
      <c r="T1627" s="273"/>
      <c r="U1627" s="273"/>
      <c r="AD1627" s="274"/>
      <c r="AE1627" s="274"/>
      <c r="AF1627" s="274"/>
      <c r="AG1627" s="273"/>
      <c r="AH1627" s="273"/>
    </row>
    <row r="1628" spans="11:34">
      <c r="K1628" s="273"/>
      <c r="S1628" s="273"/>
      <c r="T1628" s="273"/>
      <c r="U1628" s="273"/>
      <c r="AD1628" s="274"/>
      <c r="AE1628" s="274"/>
      <c r="AF1628" s="274"/>
      <c r="AG1628" s="273"/>
      <c r="AH1628" s="273"/>
    </row>
    <row r="1629" spans="11:34">
      <c r="K1629" s="273"/>
      <c r="S1629" s="273"/>
      <c r="T1629" s="273"/>
      <c r="U1629" s="273"/>
      <c r="AD1629" s="274"/>
      <c r="AE1629" s="274"/>
      <c r="AF1629" s="274"/>
      <c r="AG1629" s="273"/>
      <c r="AH1629" s="273"/>
    </row>
    <row r="1630" spans="11:34">
      <c r="K1630" s="273"/>
      <c r="S1630" s="273"/>
      <c r="T1630" s="273"/>
      <c r="U1630" s="273"/>
      <c r="AD1630" s="274"/>
      <c r="AE1630" s="274"/>
      <c r="AF1630" s="274"/>
      <c r="AG1630" s="273"/>
      <c r="AH1630" s="273"/>
    </row>
    <row r="1631" spans="11:34">
      <c r="K1631" s="273"/>
      <c r="S1631" s="273"/>
      <c r="T1631" s="273"/>
      <c r="U1631" s="273"/>
      <c r="AD1631" s="274"/>
      <c r="AE1631" s="274"/>
      <c r="AF1631" s="274"/>
      <c r="AG1631" s="273"/>
      <c r="AH1631" s="273"/>
    </row>
    <row r="1632" spans="11:34">
      <c r="K1632" s="273"/>
      <c r="S1632" s="273"/>
      <c r="T1632" s="273"/>
      <c r="U1632" s="273"/>
      <c r="AD1632" s="274"/>
      <c r="AE1632" s="274"/>
      <c r="AF1632" s="274"/>
      <c r="AG1632" s="273"/>
      <c r="AH1632" s="273"/>
    </row>
    <row r="1633" spans="11:34">
      <c r="K1633" s="273"/>
      <c r="S1633" s="273"/>
      <c r="T1633" s="273"/>
      <c r="U1633" s="273"/>
      <c r="AD1633" s="274"/>
      <c r="AE1633" s="274"/>
      <c r="AF1633" s="274"/>
      <c r="AG1633" s="273"/>
      <c r="AH1633" s="273"/>
    </row>
    <row r="1634" spans="11:34">
      <c r="K1634" s="273"/>
      <c r="S1634" s="273"/>
      <c r="T1634" s="273"/>
      <c r="U1634" s="273"/>
      <c r="AD1634" s="274"/>
      <c r="AE1634" s="274"/>
      <c r="AF1634" s="274"/>
      <c r="AG1634" s="273"/>
      <c r="AH1634" s="273"/>
    </row>
    <row r="1635" spans="11:34">
      <c r="K1635" s="273"/>
      <c r="S1635" s="273"/>
      <c r="T1635" s="273"/>
      <c r="U1635" s="273"/>
      <c r="AD1635" s="274"/>
      <c r="AE1635" s="274"/>
      <c r="AF1635" s="274"/>
      <c r="AG1635" s="273"/>
      <c r="AH1635" s="273"/>
    </row>
    <row r="1636" spans="11:34">
      <c r="K1636" s="273"/>
      <c r="S1636" s="273"/>
      <c r="T1636" s="273"/>
      <c r="U1636" s="273"/>
      <c r="AD1636" s="274"/>
      <c r="AE1636" s="274"/>
      <c r="AF1636" s="274"/>
      <c r="AG1636" s="273"/>
      <c r="AH1636" s="273"/>
    </row>
    <row r="1637" spans="11:34">
      <c r="K1637" s="273"/>
      <c r="S1637" s="273"/>
      <c r="T1637" s="273"/>
      <c r="U1637" s="273"/>
      <c r="AD1637" s="274"/>
      <c r="AE1637" s="274"/>
      <c r="AF1637" s="274"/>
      <c r="AG1637" s="273"/>
      <c r="AH1637" s="273"/>
    </row>
    <row r="1638" spans="11:34">
      <c r="K1638" s="273"/>
      <c r="S1638" s="273"/>
      <c r="T1638" s="273"/>
      <c r="U1638" s="273"/>
      <c r="AD1638" s="274"/>
      <c r="AE1638" s="274"/>
      <c r="AF1638" s="274"/>
      <c r="AG1638" s="273"/>
      <c r="AH1638" s="273"/>
    </row>
    <row r="1639" spans="11:34">
      <c r="K1639" s="273"/>
      <c r="S1639" s="273"/>
      <c r="T1639" s="273"/>
      <c r="U1639" s="273"/>
      <c r="AD1639" s="274"/>
      <c r="AE1639" s="274"/>
      <c r="AF1639" s="274"/>
      <c r="AG1639" s="273"/>
      <c r="AH1639" s="273"/>
    </row>
    <row r="1640" spans="11:34">
      <c r="K1640" s="273"/>
      <c r="S1640" s="273"/>
      <c r="T1640" s="273"/>
      <c r="U1640" s="273"/>
      <c r="AD1640" s="274"/>
      <c r="AE1640" s="274"/>
      <c r="AF1640" s="274"/>
      <c r="AG1640" s="273"/>
      <c r="AH1640" s="273"/>
    </row>
    <row r="1641" spans="11:34">
      <c r="K1641" s="273"/>
      <c r="S1641" s="273"/>
      <c r="T1641" s="273"/>
      <c r="U1641" s="273"/>
      <c r="AD1641" s="274"/>
      <c r="AE1641" s="274"/>
      <c r="AF1641" s="274"/>
      <c r="AG1641" s="273"/>
      <c r="AH1641" s="273"/>
    </row>
    <row r="1642" spans="11:34">
      <c r="K1642" s="273"/>
      <c r="S1642" s="273"/>
      <c r="T1642" s="273"/>
      <c r="U1642" s="273"/>
      <c r="AD1642" s="274"/>
      <c r="AE1642" s="274"/>
      <c r="AF1642" s="274"/>
      <c r="AG1642" s="273"/>
      <c r="AH1642" s="273"/>
    </row>
    <row r="1643" spans="11:34">
      <c r="K1643" s="273"/>
      <c r="S1643" s="273"/>
      <c r="T1643" s="273"/>
      <c r="U1643" s="273"/>
      <c r="AD1643" s="274"/>
      <c r="AE1643" s="274"/>
      <c r="AF1643" s="274"/>
      <c r="AG1643" s="273"/>
      <c r="AH1643" s="273"/>
    </row>
    <row r="1644" spans="11:34">
      <c r="K1644" s="273"/>
      <c r="S1644" s="273"/>
      <c r="T1644" s="273"/>
      <c r="U1644" s="273"/>
      <c r="AD1644" s="274"/>
      <c r="AE1644" s="274"/>
      <c r="AF1644" s="274"/>
      <c r="AG1644" s="273"/>
      <c r="AH1644" s="273"/>
    </row>
    <row r="1645" spans="11:34">
      <c r="K1645" s="273"/>
      <c r="S1645" s="273"/>
      <c r="T1645" s="273"/>
      <c r="U1645" s="273"/>
      <c r="AD1645" s="274"/>
      <c r="AE1645" s="274"/>
      <c r="AF1645" s="274"/>
      <c r="AG1645" s="273"/>
      <c r="AH1645" s="273"/>
    </row>
    <row r="1646" spans="11:34">
      <c r="K1646" s="273"/>
      <c r="S1646" s="273"/>
      <c r="T1646" s="273"/>
      <c r="U1646" s="273"/>
      <c r="AD1646" s="274"/>
      <c r="AE1646" s="274"/>
      <c r="AF1646" s="274"/>
      <c r="AG1646" s="273"/>
      <c r="AH1646" s="273"/>
    </row>
    <row r="1647" spans="11:34">
      <c r="K1647" s="273"/>
      <c r="S1647" s="273"/>
      <c r="T1647" s="273"/>
      <c r="U1647" s="273"/>
      <c r="AD1647" s="274"/>
      <c r="AE1647" s="274"/>
      <c r="AF1647" s="274"/>
      <c r="AG1647" s="273"/>
      <c r="AH1647" s="273"/>
    </row>
    <row r="1648" spans="11:34">
      <c r="K1648" s="273"/>
      <c r="S1648" s="273"/>
      <c r="T1648" s="273"/>
      <c r="U1648" s="273"/>
      <c r="AD1648" s="274"/>
      <c r="AE1648" s="274"/>
      <c r="AF1648" s="274"/>
      <c r="AG1648" s="273"/>
      <c r="AH1648" s="273"/>
    </row>
    <row r="1649" spans="11:34">
      <c r="K1649" s="273"/>
      <c r="S1649" s="273"/>
      <c r="T1649" s="273"/>
      <c r="U1649" s="273"/>
      <c r="AD1649" s="274"/>
      <c r="AE1649" s="274"/>
      <c r="AF1649" s="274"/>
      <c r="AG1649" s="273"/>
      <c r="AH1649" s="273"/>
    </row>
    <row r="1650" spans="11:34">
      <c r="K1650" s="273"/>
      <c r="S1650" s="273"/>
      <c r="T1650" s="273"/>
      <c r="U1650" s="273"/>
      <c r="AD1650" s="274"/>
      <c r="AE1650" s="274"/>
      <c r="AF1650" s="274"/>
      <c r="AG1650" s="273"/>
      <c r="AH1650" s="273"/>
    </row>
    <row r="1651" spans="11:34">
      <c r="K1651" s="273"/>
      <c r="S1651" s="273"/>
      <c r="T1651" s="273"/>
      <c r="U1651" s="273"/>
      <c r="AD1651" s="274"/>
      <c r="AE1651" s="274"/>
      <c r="AF1651" s="274"/>
      <c r="AG1651" s="273"/>
      <c r="AH1651" s="273"/>
    </row>
    <row r="1652" spans="11:34">
      <c r="K1652" s="273"/>
      <c r="S1652" s="273"/>
      <c r="T1652" s="273"/>
      <c r="U1652" s="273"/>
      <c r="AD1652" s="274"/>
      <c r="AE1652" s="274"/>
      <c r="AF1652" s="274"/>
      <c r="AG1652" s="273"/>
      <c r="AH1652" s="273"/>
    </row>
    <row r="1653" spans="11:34">
      <c r="K1653" s="273"/>
      <c r="S1653" s="273"/>
      <c r="T1653" s="273"/>
      <c r="U1653" s="273"/>
      <c r="AD1653" s="274"/>
      <c r="AE1653" s="274"/>
      <c r="AF1653" s="274"/>
      <c r="AG1653" s="273"/>
      <c r="AH1653" s="273"/>
    </row>
    <row r="1654" spans="11:34">
      <c r="K1654" s="273"/>
      <c r="S1654" s="273"/>
      <c r="T1654" s="273"/>
      <c r="U1654" s="273"/>
      <c r="AD1654" s="274"/>
      <c r="AE1654" s="274"/>
      <c r="AF1654" s="274"/>
      <c r="AG1654" s="273"/>
      <c r="AH1654" s="273"/>
    </row>
    <row r="1655" spans="11:34">
      <c r="K1655" s="273"/>
      <c r="S1655" s="273"/>
      <c r="T1655" s="273"/>
      <c r="U1655" s="273"/>
      <c r="AD1655" s="274"/>
      <c r="AE1655" s="274"/>
      <c r="AF1655" s="274"/>
      <c r="AG1655" s="273"/>
      <c r="AH1655" s="273"/>
    </row>
    <row r="1656" spans="11:34">
      <c r="K1656" s="273"/>
      <c r="S1656" s="273"/>
      <c r="T1656" s="273"/>
      <c r="U1656" s="273"/>
      <c r="AD1656" s="274"/>
      <c r="AE1656" s="274"/>
      <c r="AF1656" s="274"/>
      <c r="AG1656" s="273"/>
      <c r="AH1656" s="273"/>
    </row>
    <row r="1657" spans="11:34">
      <c r="K1657" s="273"/>
      <c r="S1657" s="273"/>
      <c r="T1657" s="273"/>
      <c r="U1657" s="273"/>
      <c r="AD1657" s="274"/>
      <c r="AE1657" s="274"/>
      <c r="AF1657" s="274"/>
      <c r="AG1657" s="273"/>
      <c r="AH1657" s="273"/>
    </row>
    <row r="1658" spans="11:34">
      <c r="K1658" s="273"/>
      <c r="S1658" s="273"/>
      <c r="T1658" s="273"/>
      <c r="U1658" s="273"/>
      <c r="AD1658" s="274"/>
      <c r="AE1658" s="274"/>
      <c r="AF1658" s="274"/>
      <c r="AG1658" s="273"/>
      <c r="AH1658" s="273"/>
    </row>
    <row r="1659" spans="11:34">
      <c r="K1659" s="273"/>
      <c r="S1659" s="273"/>
      <c r="T1659" s="273"/>
      <c r="U1659" s="273"/>
      <c r="AD1659" s="274"/>
      <c r="AE1659" s="274"/>
      <c r="AF1659" s="274"/>
      <c r="AG1659" s="273"/>
      <c r="AH1659" s="273"/>
    </row>
    <row r="1660" spans="11:34">
      <c r="K1660" s="273"/>
      <c r="S1660" s="273"/>
      <c r="T1660" s="273"/>
      <c r="U1660" s="273"/>
      <c r="AD1660" s="274"/>
      <c r="AE1660" s="274"/>
      <c r="AF1660" s="274"/>
      <c r="AG1660" s="273"/>
      <c r="AH1660" s="273"/>
    </row>
    <row r="1661" spans="11:34">
      <c r="K1661" s="273"/>
      <c r="S1661" s="273"/>
      <c r="T1661" s="273"/>
      <c r="U1661" s="273"/>
      <c r="AD1661" s="274"/>
      <c r="AE1661" s="274"/>
      <c r="AF1661" s="274"/>
      <c r="AG1661" s="273"/>
      <c r="AH1661" s="273"/>
    </row>
    <row r="1662" spans="11:34">
      <c r="K1662" s="273"/>
      <c r="S1662" s="273"/>
      <c r="T1662" s="273"/>
      <c r="U1662" s="273"/>
      <c r="AD1662" s="274"/>
      <c r="AE1662" s="274"/>
      <c r="AF1662" s="274"/>
      <c r="AG1662" s="273"/>
      <c r="AH1662" s="273"/>
    </row>
    <row r="1663" spans="11:34">
      <c r="K1663" s="273"/>
      <c r="S1663" s="273"/>
      <c r="T1663" s="273"/>
      <c r="U1663" s="273"/>
      <c r="AD1663" s="274"/>
      <c r="AE1663" s="274"/>
      <c r="AF1663" s="274"/>
      <c r="AG1663" s="273"/>
      <c r="AH1663" s="273"/>
    </row>
    <row r="1664" spans="11:34">
      <c r="K1664" s="273"/>
      <c r="S1664" s="273"/>
      <c r="T1664" s="273"/>
      <c r="U1664" s="273"/>
      <c r="AD1664" s="274"/>
      <c r="AE1664" s="274"/>
      <c r="AF1664" s="274"/>
      <c r="AG1664" s="273"/>
      <c r="AH1664" s="273"/>
    </row>
    <row r="1665" spans="11:34">
      <c r="K1665" s="273"/>
      <c r="S1665" s="273"/>
      <c r="T1665" s="273"/>
      <c r="U1665" s="273"/>
      <c r="AD1665" s="274"/>
      <c r="AE1665" s="274"/>
      <c r="AF1665" s="274"/>
      <c r="AG1665" s="273"/>
      <c r="AH1665" s="273"/>
    </row>
    <row r="1666" spans="11:34">
      <c r="K1666" s="273"/>
      <c r="S1666" s="273"/>
      <c r="T1666" s="273"/>
      <c r="U1666" s="273"/>
      <c r="AD1666" s="274"/>
      <c r="AE1666" s="274"/>
      <c r="AF1666" s="274"/>
      <c r="AG1666" s="273"/>
      <c r="AH1666" s="273"/>
    </row>
    <row r="1667" spans="11:34">
      <c r="K1667" s="273"/>
      <c r="S1667" s="273"/>
      <c r="T1667" s="273"/>
      <c r="U1667" s="273"/>
      <c r="AD1667" s="274"/>
      <c r="AE1667" s="274"/>
      <c r="AF1667" s="274"/>
      <c r="AG1667" s="273"/>
      <c r="AH1667" s="273"/>
    </row>
    <row r="1668" spans="11:34">
      <c r="K1668" s="273"/>
      <c r="S1668" s="273"/>
      <c r="T1668" s="273"/>
      <c r="U1668" s="273"/>
      <c r="AD1668" s="274"/>
      <c r="AE1668" s="274"/>
      <c r="AF1668" s="274"/>
      <c r="AG1668" s="273"/>
      <c r="AH1668" s="273"/>
    </row>
    <row r="1669" spans="11:34">
      <c r="K1669" s="273"/>
      <c r="S1669" s="273"/>
      <c r="T1669" s="273"/>
      <c r="U1669" s="273"/>
      <c r="AD1669" s="274"/>
      <c r="AE1669" s="274"/>
      <c r="AF1669" s="274"/>
      <c r="AG1669" s="273"/>
      <c r="AH1669" s="273"/>
    </row>
    <row r="1670" spans="11:34">
      <c r="K1670" s="273"/>
      <c r="S1670" s="273"/>
      <c r="T1670" s="273"/>
      <c r="U1670" s="273"/>
      <c r="AD1670" s="274"/>
      <c r="AE1670" s="274"/>
      <c r="AF1670" s="274"/>
      <c r="AG1670" s="273"/>
      <c r="AH1670" s="273"/>
    </row>
    <row r="1671" spans="11:34">
      <c r="K1671" s="273"/>
      <c r="S1671" s="273"/>
      <c r="T1671" s="273"/>
      <c r="U1671" s="273"/>
      <c r="AD1671" s="274"/>
      <c r="AE1671" s="274"/>
      <c r="AF1671" s="274"/>
      <c r="AG1671" s="273"/>
      <c r="AH1671" s="273"/>
    </row>
    <row r="1672" spans="11:34">
      <c r="K1672" s="273"/>
      <c r="S1672" s="273"/>
      <c r="T1672" s="273"/>
      <c r="U1672" s="273"/>
      <c r="AD1672" s="274"/>
      <c r="AE1672" s="274"/>
      <c r="AF1672" s="274"/>
      <c r="AG1672" s="273"/>
      <c r="AH1672" s="273"/>
    </row>
    <row r="1673" spans="11:34">
      <c r="K1673" s="273"/>
      <c r="S1673" s="273"/>
      <c r="T1673" s="273"/>
      <c r="U1673" s="273"/>
      <c r="AD1673" s="274"/>
      <c r="AE1673" s="274"/>
      <c r="AF1673" s="274"/>
      <c r="AG1673" s="273"/>
      <c r="AH1673" s="273"/>
    </row>
    <row r="1674" spans="11:34">
      <c r="K1674" s="273"/>
      <c r="S1674" s="273"/>
      <c r="T1674" s="273"/>
      <c r="U1674" s="273"/>
      <c r="AD1674" s="274"/>
      <c r="AE1674" s="274"/>
      <c r="AF1674" s="274"/>
      <c r="AG1674" s="273"/>
      <c r="AH1674" s="273"/>
    </row>
    <row r="1675" spans="11:34">
      <c r="K1675" s="273"/>
      <c r="S1675" s="273"/>
      <c r="T1675" s="273"/>
      <c r="U1675" s="273"/>
      <c r="AD1675" s="274"/>
      <c r="AE1675" s="274"/>
      <c r="AF1675" s="274"/>
      <c r="AG1675" s="273"/>
      <c r="AH1675" s="273"/>
    </row>
    <row r="1676" spans="11:34">
      <c r="K1676" s="273"/>
      <c r="S1676" s="273"/>
      <c r="T1676" s="273"/>
      <c r="U1676" s="273"/>
      <c r="AD1676" s="274"/>
      <c r="AE1676" s="274"/>
      <c r="AF1676" s="274"/>
      <c r="AG1676" s="273"/>
      <c r="AH1676" s="273"/>
    </row>
    <row r="1677" spans="11:34">
      <c r="K1677" s="273"/>
      <c r="S1677" s="273"/>
      <c r="T1677" s="273"/>
      <c r="U1677" s="273"/>
      <c r="AD1677" s="274"/>
      <c r="AE1677" s="274"/>
      <c r="AF1677" s="274"/>
      <c r="AG1677" s="273"/>
      <c r="AH1677" s="273"/>
    </row>
    <row r="1678" spans="11:34">
      <c r="K1678" s="273"/>
      <c r="S1678" s="273"/>
      <c r="T1678" s="273"/>
      <c r="U1678" s="273"/>
      <c r="AD1678" s="274"/>
      <c r="AE1678" s="274"/>
      <c r="AF1678" s="274"/>
      <c r="AG1678" s="273"/>
      <c r="AH1678" s="273"/>
    </row>
    <row r="1679" spans="11:34">
      <c r="K1679" s="273"/>
      <c r="S1679" s="273"/>
      <c r="T1679" s="273"/>
      <c r="U1679" s="273"/>
      <c r="AD1679" s="274"/>
      <c r="AE1679" s="274"/>
      <c r="AF1679" s="274"/>
      <c r="AG1679" s="273"/>
      <c r="AH1679" s="273"/>
    </row>
    <row r="1680" spans="11:34">
      <c r="K1680" s="273"/>
      <c r="S1680" s="273"/>
      <c r="T1680" s="273"/>
      <c r="U1680" s="273"/>
      <c r="AD1680" s="274"/>
      <c r="AE1680" s="274"/>
      <c r="AF1680" s="274"/>
      <c r="AG1680" s="273"/>
      <c r="AH1680" s="273"/>
    </row>
    <row r="1681" spans="11:34">
      <c r="K1681" s="273"/>
      <c r="S1681" s="273"/>
      <c r="T1681" s="273"/>
      <c r="U1681" s="273"/>
      <c r="AD1681" s="274"/>
      <c r="AE1681" s="274"/>
      <c r="AF1681" s="274"/>
      <c r="AG1681" s="273"/>
      <c r="AH1681" s="273"/>
    </row>
    <row r="1682" spans="11:34">
      <c r="K1682" s="273"/>
      <c r="S1682" s="273"/>
      <c r="T1682" s="273"/>
      <c r="U1682" s="273"/>
      <c r="AD1682" s="274"/>
      <c r="AE1682" s="274"/>
      <c r="AF1682" s="274"/>
      <c r="AG1682" s="273"/>
      <c r="AH1682" s="273"/>
    </row>
    <row r="1683" spans="11:34">
      <c r="K1683" s="273"/>
      <c r="S1683" s="273"/>
      <c r="T1683" s="273"/>
      <c r="U1683" s="273"/>
      <c r="AD1683" s="274"/>
      <c r="AE1683" s="274"/>
      <c r="AF1683" s="274"/>
      <c r="AG1683" s="273"/>
      <c r="AH1683" s="273"/>
    </row>
    <row r="1684" spans="11:34">
      <c r="K1684" s="273"/>
      <c r="S1684" s="273"/>
      <c r="T1684" s="273"/>
      <c r="U1684" s="273"/>
      <c r="AD1684" s="274"/>
      <c r="AE1684" s="274"/>
      <c r="AF1684" s="274"/>
      <c r="AG1684" s="273"/>
      <c r="AH1684" s="273"/>
    </row>
    <row r="1685" spans="11:34">
      <c r="K1685" s="273"/>
      <c r="S1685" s="273"/>
      <c r="T1685" s="273"/>
      <c r="U1685" s="273"/>
      <c r="AD1685" s="274"/>
      <c r="AE1685" s="274"/>
      <c r="AF1685" s="274"/>
      <c r="AG1685" s="273"/>
      <c r="AH1685" s="273"/>
    </row>
    <row r="1686" spans="11:34">
      <c r="K1686" s="273"/>
      <c r="S1686" s="273"/>
      <c r="T1686" s="273"/>
      <c r="U1686" s="273"/>
      <c r="AD1686" s="274"/>
      <c r="AE1686" s="274"/>
      <c r="AF1686" s="274"/>
      <c r="AG1686" s="273"/>
      <c r="AH1686" s="273"/>
    </row>
    <row r="1687" spans="11:34">
      <c r="K1687" s="273"/>
      <c r="S1687" s="273"/>
      <c r="T1687" s="273"/>
      <c r="U1687" s="273"/>
      <c r="AD1687" s="274"/>
      <c r="AE1687" s="274"/>
      <c r="AF1687" s="274"/>
      <c r="AG1687" s="273"/>
      <c r="AH1687" s="273"/>
    </row>
    <row r="1688" spans="11:34">
      <c r="K1688" s="273"/>
      <c r="S1688" s="273"/>
      <c r="T1688" s="273"/>
      <c r="U1688" s="273"/>
      <c r="AD1688" s="274"/>
      <c r="AE1688" s="274"/>
      <c r="AF1688" s="274"/>
      <c r="AG1688" s="273"/>
      <c r="AH1688" s="273"/>
    </row>
    <row r="1689" spans="11:34">
      <c r="K1689" s="273"/>
      <c r="S1689" s="273"/>
      <c r="T1689" s="273"/>
      <c r="U1689" s="273"/>
      <c r="AD1689" s="274"/>
      <c r="AE1689" s="274"/>
      <c r="AF1689" s="274"/>
      <c r="AG1689" s="273"/>
      <c r="AH1689" s="273"/>
    </row>
    <row r="1690" spans="11:34">
      <c r="K1690" s="273"/>
      <c r="S1690" s="273"/>
      <c r="T1690" s="273"/>
      <c r="U1690" s="273"/>
      <c r="AD1690" s="274"/>
      <c r="AE1690" s="274"/>
      <c r="AF1690" s="274"/>
      <c r="AG1690" s="273"/>
      <c r="AH1690" s="273"/>
    </row>
    <row r="1691" spans="11:34">
      <c r="K1691" s="273"/>
      <c r="S1691" s="273"/>
      <c r="T1691" s="273"/>
      <c r="U1691" s="273"/>
      <c r="AD1691" s="274"/>
      <c r="AE1691" s="274"/>
      <c r="AF1691" s="274"/>
      <c r="AG1691" s="273"/>
      <c r="AH1691" s="273"/>
    </row>
    <row r="1692" spans="11:34">
      <c r="K1692" s="273"/>
      <c r="S1692" s="273"/>
      <c r="T1692" s="273"/>
      <c r="U1692" s="273"/>
      <c r="AD1692" s="274"/>
      <c r="AE1692" s="274"/>
      <c r="AF1692" s="274"/>
      <c r="AG1692" s="273"/>
      <c r="AH1692" s="273"/>
    </row>
    <row r="1693" spans="11:34">
      <c r="K1693" s="273"/>
      <c r="S1693" s="273"/>
      <c r="T1693" s="273"/>
      <c r="U1693" s="273"/>
      <c r="AD1693" s="274"/>
      <c r="AE1693" s="274"/>
      <c r="AF1693" s="274"/>
      <c r="AG1693" s="273"/>
      <c r="AH1693" s="273"/>
    </row>
    <row r="1694" spans="11:34">
      <c r="K1694" s="273"/>
      <c r="S1694" s="273"/>
      <c r="T1694" s="273"/>
      <c r="U1694" s="273"/>
      <c r="AD1694" s="274"/>
      <c r="AE1694" s="274"/>
      <c r="AF1694" s="274"/>
      <c r="AG1694" s="273"/>
      <c r="AH1694" s="273"/>
    </row>
    <row r="1695" spans="11:34">
      <c r="K1695" s="273"/>
      <c r="S1695" s="273"/>
      <c r="T1695" s="273"/>
      <c r="U1695" s="273"/>
      <c r="AD1695" s="274"/>
      <c r="AE1695" s="274"/>
      <c r="AF1695" s="274"/>
      <c r="AG1695" s="273"/>
      <c r="AH1695" s="273"/>
    </row>
    <row r="1696" spans="11:34">
      <c r="K1696" s="273"/>
      <c r="S1696" s="273"/>
      <c r="T1696" s="273"/>
      <c r="U1696" s="273"/>
      <c r="AD1696" s="274"/>
      <c r="AE1696" s="274"/>
      <c r="AF1696" s="274"/>
      <c r="AG1696" s="273"/>
      <c r="AH1696" s="273"/>
    </row>
    <row r="1697" spans="11:34">
      <c r="K1697" s="273"/>
      <c r="S1697" s="273"/>
      <c r="T1697" s="273"/>
      <c r="U1697" s="273"/>
      <c r="AD1697" s="274"/>
      <c r="AE1697" s="274"/>
      <c r="AF1697" s="274"/>
      <c r="AG1697" s="273"/>
      <c r="AH1697" s="273"/>
    </row>
    <row r="1698" spans="11:34">
      <c r="K1698" s="273"/>
      <c r="S1698" s="273"/>
      <c r="T1698" s="273"/>
      <c r="U1698" s="273"/>
      <c r="AD1698" s="274"/>
      <c r="AE1698" s="274"/>
      <c r="AF1698" s="274"/>
      <c r="AG1698" s="273"/>
      <c r="AH1698" s="273"/>
    </row>
    <row r="1699" spans="11:34">
      <c r="K1699" s="273"/>
      <c r="S1699" s="273"/>
      <c r="T1699" s="273"/>
      <c r="U1699" s="273"/>
      <c r="AD1699" s="274"/>
      <c r="AE1699" s="274"/>
      <c r="AF1699" s="274"/>
      <c r="AG1699" s="273"/>
      <c r="AH1699" s="273"/>
    </row>
    <row r="1700" spans="11:34">
      <c r="K1700" s="273"/>
      <c r="S1700" s="273"/>
      <c r="T1700" s="273"/>
      <c r="U1700" s="273"/>
      <c r="AD1700" s="274"/>
      <c r="AE1700" s="274"/>
      <c r="AF1700" s="274"/>
      <c r="AG1700" s="273"/>
      <c r="AH1700" s="273"/>
    </row>
    <row r="1701" spans="11:34">
      <c r="K1701" s="273"/>
      <c r="S1701" s="273"/>
      <c r="T1701" s="273"/>
      <c r="U1701" s="273"/>
      <c r="AD1701" s="274"/>
      <c r="AE1701" s="274"/>
      <c r="AF1701" s="274"/>
      <c r="AG1701" s="273"/>
      <c r="AH1701" s="273"/>
    </row>
    <row r="1702" spans="11:34">
      <c r="K1702" s="273"/>
      <c r="S1702" s="273"/>
      <c r="T1702" s="273"/>
      <c r="U1702" s="273"/>
      <c r="AD1702" s="274"/>
      <c r="AE1702" s="274"/>
      <c r="AF1702" s="274"/>
      <c r="AG1702" s="273"/>
      <c r="AH1702" s="273"/>
    </row>
    <row r="1703" spans="11:34">
      <c r="K1703" s="273"/>
      <c r="S1703" s="273"/>
      <c r="T1703" s="273"/>
      <c r="U1703" s="273"/>
      <c r="AD1703" s="274"/>
      <c r="AE1703" s="274"/>
      <c r="AF1703" s="274"/>
      <c r="AG1703" s="273"/>
      <c r="AH1703" s="273"/>
    </row>
    <row r="1704" spans="11:34">
      <c r="K1704" s="273"/>
      <c r="S1704" s="273"/>
      <c r="T1704" s="273"/>
      <c r="U1704" s="273"/>
      <c r="AD1704" s="274"/>
      <c r="AE1704" s="274"/>
      <c r="AF1704" s="274"/>
      <c r="AG1704" s="273"/>
      <c r="AH1704" s="273"/>
    </row>
    <row r="1705" spans="11:34">
      <c r="K1705" s="273"/>
      <c r="S1705" s="273"/>
      <c r="T1705" s="273"/>
      <c r="U1705" s="273"/>
      <c r="AD1705" s="274"/>
      <c r="AE1705" s="274"/>
      <c r="AF1705" s="274"/>
      <c r="AG1705" s="273"/>
      <c r="AH1705" s="273"/>
    </row>
    <row r="1706" spans="11:34">
      <c r="K1706" s="273"/>
      <c r="S1706" s="273"/>
      <c r="T1706" s="273"/>
      <c r="U1706" s="273"/>
      <c r="AD1706" s="274"/>
      <c r="AE1706" s="274"/>
      <c r="AF1706" s="274"/>
      <c r="AG1706" s="273"/>
      <c r="AH1706" s="273"/>
    </row>
    <row r="1707" spans="11:34">
      <c r="K1707" s="273"/>
      <c r="S1707" s="273"/>
      <c r="T1707" s="273"/>
      <c r="U1707" s="273"/>
      <c r="AD1707" s="274"/>
      <c r="AE1707" s="274"/>
      <c r="AF1707" s="274"/>
      <c r="AG1707" s="273"/>
      <c r="AH1707" s="273"/>
    </row>
    <row r="1708" spans="11:34">
      <c r="K1708" s="273"/>
      <c r="S1708" s="273"/>
      <c r="T1708" s="273"/>
      <c r="U1708" s="273"/>
      <c r="AD1708" s="274"/>
      <c r="AE1708" s="274"/>
      <c r="AF1708" s="274"/>
      <c r="AG1708" s="273"/>
      <c r="AH1708" s="273"/>
    </row>
    <row r="1709" spans="11:34">
      <c r="K1709" s="273"/>
      <c r="S1709" s="273"/>
      <c r="T1709" s="273"/>
      <c r="U1709" s="273"/>
      <c r="AD1709" s="274"/>
      <c r="AE1709" s="274"/>
      <c r="AF1709" s="274"/>
      <c r="AG1709" s="273"/>
      <c r="AH1709" s="273"/>
    </row>
    <row r="1710" spans="11:34">
      <c r="K1710" s="273"/>
      <c r="S1710" s="273"/>
      <c r="T1710" s="273"/>
      <c r="U1710" s="273"/>
      <c r="AD1710" s="274"/>
      <c r="AE1710" s="274"/>
      <c r="AF1710" s="274"/>
      <c r="AG1710" s="273"/>
      <c r="AH1710" s="273"/>
    </row>
    <row r="1711" spans="11:34">
      <c r="K1711" s="273"/>
      <c r="S1711" s="273"/>
      <c r="T1711" s="273"/>
      <c r="U1711" s="273"/>
      <c r="AD1711" s="274"/>
      <c r="AE1711" s="274"/>
      <c r="AF1711" s="274"/>
      <c r="AG1711" s="273"/>
      <c r="AH1711" s="273"/>
    </row>
    <row r="1712" spans="11:34">
      <c r="K1712" s="273"/>
      <c r="S1712" s="273"/>
      <c r="T1712" s="273"/>
      <c r="U1712" s="273"/>
      <c r="AD1712" s="274"/>
      <c r="AE1712" s="274"/>
      <c r="AF1712" s="274"/>
      <c r="AG1712" s="273"/>
      <c r="AH1712" s="273"/>
    </row>
    <row r="1713" spans="11:34">
      <c r="K1713" s="273"/>
      <c r="S1713" s="273"/>
      <c r="T1713" s="273"/>
      <c r="U1713" s="273"/>
      <c r="AD1713" s="274"/>
      <c r="AE1713" s="274"/>
      <c r="AF1713" s="274"/>
      <c r="AG1713" s="273"/>
      <c r="AH1713" s="273"/>
    </row>
    <row r="1714" spans="11:34">
      <c r="K1714" s="273"/>
      <c r="S1714" s="273"/>
      <c r="T1714" s="273"/>
      <c r="U1714" s="273"/>
      <c r="AD1714" s="274"/>
      <c r="AE1714" s="274"/>
      <c r="AF1714" s="274"/>
      <c r="AG1714" s="273"/>
      <c r="AH1714" s="273"/>
    </row>
    <row r="1715" spans="11:34">
      <c r="K1715" s="273"/>
      <c r="S1715" s="273"/>
      <c r="T1715" s="273"/>
      <c r="U1715" s="273"/>
      <c r="AD1715" s="274"/>
      <c r="AE1715" s="274"/>
      <c r="AF1715" s="274"/>
      <c r="AG1715" s="273"/>
      <c r="AH1715" s="273"/>
    </row>
    <row r="1716" spans="11:34">
      <c r="K1716" s="273"/>
      <c r="S1716" s="273"/>
      <c r="T1716" s="273"/>
      <c r="U1716" s="273"/>
      <c r="AD1716" s="274"/>
      <c r="AE1716" s="274"/>
      <c r="AF1716" s="274"/>
      <c r="AG1716" s="273"/>
      <c r="AH1716" s="273"/>
    </row>
    <row r="1717" spans="11:34">
      <c r="K1717" s="273"/>
      <c r="S1717" s="273"/>
      <c r="T1717" s="273"/>
      <c r="U1717" s="273"/>
      <c r="AD1717" s="274"/>
      <c r="AE1717" s="274"/>
      <c r="AF1717" s="274"/>
      <c r="AG1717" s="273"/>
      <c r="AH1717" s="273"/>
    </row>
    <row r="1718" spans="11:34">
      <c r="K1718" s="273"/>
      <c r="S1718" s="273"/>
      <c r="T1718" s="273"/>
      <c r="U1718" s="273"/>
      <c r="AD1718" s="274"/>
      <c r="AE1718" s="274"/>
      <c r="AF1718" s="274"/>
      <c r="AG1718" s="273"/>
      <c r="AH1718" s="273"/>
    </row>
    <row r="1719" spans="11:34">
      <c r="K1719" s="273"/>
      <c r="S1719" s="273"/>
      <c r="T1719" s="273"/>
      <c r="U1719" s="273"/>
      <c r="AD1719" s="274"/>
      <c r="AE1719" s="274"/>
      <c r="AF1719" s="274"/>
      <c r="AG1719" s="273"/>
      <c r="AH1719" s="273"/>
    </row>
    <row r="1720" spans="11:34">
      <c r="K1720" s="273"/>
      <c r="S1720" s="273"/>
      <c r="T1720" s="273"/>
      <c r="U1720" s="273"/>
      <c r="AD1720" s="274"/>
      <c r="AE1720" s="274"/>
      <c r="AF1720" s="274"/>
      <c r="AG1720" s="273"/>
      <c r="AH1720" s="273"/>
    </row>
    <row r="1721" spans="11:34">
      <c r="K1721" s="273"/>
      <c r="S1721" s="273"/>
      <c r="T1721" s="273"/>
      <c r="U1721" s="273"/>
      <c r="AD1721" s="274"/>
      <c r="AE1721" s="274"/>
      <c r="AF1721" s="274"/>
      <c r="AG1721" s="273"/>
      <c r="AH1721" s="273"/>
    </row>
    <row r="1722" spans="11:34">
      <c r="K1722" s="273"/>
      <c r="S1722" s="273"/>
      <c r="T1722" s="273"/>
      <c r="U1722" s="273"/>
      <c r="AD1722" s="274"/>
      <c r="AE1722" s="274"/>
      <c r="AF1722" s="274"/>
      <c r="AG1722" s="273"/>
      <c r="AH1722" s="273"/>
    </row>
    <row r="1723" spans="11:34">
      <c r="K1723" s="273"/>
      <c r="S1723" s="273"/>
      <c r="T1723" s="273"/>
      <c r="U1723" s="273"/>
      <c r="AD1723" s="274"/>
      <c r="AE1723" s="274"/>
      <c r="AF1723" s="274"/>
      <c r="AG1723" s="273"/>
      <c r="AH1723" s="273"/>
    </row>
    <row r="1724" spans="11:34">
      <c r="K1724" s="273"/>
      <c r="S1724" s="273"/>
      <c r="T1724" s="273"/>
      <c r="U1724" s="273"/>
      <c r="AD1724" s="274"/>
      <c r="AE1724" s="274"/>
      <c r="AF1724" s="274"/>
      <c r="AG1724" s="273"/>
      <c r="AH1724" s="273"/>
    </row>
    <row r="1725" spans="11:34">
      <c r="K1725" s="273"/>
      <c r="S1725" s="273"/>
      <c r="T1725" s="273"/>
      <c r="U1725" s="273"/>
      <c r="AD1725" s="274"/>
      <c r="AE1725" s="274"/>
      <c r="AF1725" s="274"/>
      <c r="AG1725" s="273"/>
      <c r="AH1725" s="273"/>
    </row>
    <row r="1726" spans="11:34">
      <c r="K1726" s="273"/>
      <c r="S1726" s="273"/>
      <c r="T1726" s="273"/>
      <c r="U1726" s="273"/>
      <c r="AD1726" s="274"/>
      <c r="AE1726" s="274"/>
      <c r="AF1726" s="274"/>
      <c r="AG1726" s="273"/>
      <c r="AH1726" s="273"/>
    </row>
    <row r="1727" spans="11:34">
      <c r="K1727" s="273"/>
      <c r="S1727" s="273"/>
      <c r="T1727" s="273"/>
      <c r="U1727" s="273"/>
      <c r="AD1727" s="274"/>
      <c r="AE1727" s="274"/>
      <c r="AF1727" s="274"/>
      <c r="AG1727" s="273"/>
      <c r="AH1727" s="273"/>
    </row>
    <row r="1728" spans="11:34">
      <c r="K1728" s="273"/>
      <c r="S1728" s="273"/>
      <c r="T1728" s="273"/>
      <c r="U1728" s="273"/>
      <c r="AD1728" s="274"/>
      <c r="AE1728" s="274"/>
      <c r="AF1728" s="274"/>
      <c r="AG1728" s="273"/>
      <c r="AH1728" s="273"/>
    </row>
    <row r="1729" spans="11:34">
      <c r="K1729" s="273"/>
      <c r="S1729" s="273"/>
      <c r="T1729" s="273"/>
      <c r="U1729" s="273"/>
      <c r="AD1729" s="274"/>
      <c r="AE1729" s="274"/>
      <c r="AF1729" s="274"/>
      <c r="AG1729" s="273"/>
      <c r="AH1729" s="273"/>
    </row>
    <row r="1730" spans="11:34">
      <c r="K1730" s="273"/>
      <c r="S1730" s="273"/>
      <c r="T1730" s="273"/>
      <c r="U1730" s="273"/>
      <c r="AD1730" s="274"/>
      <c r="AE1730" s="274"/>
      <c r="AF1730" s="274"/>
      <c r="AG1730" s="273"/>
      <c r="AH1730" s="273"/>
    </row>
    <row r="1731" spans="11:34">
      <c r="K1731" s="273"/>
      <c r="S1731" s="273"/>
      <c r="T1731" s="273"/>
      <c r="U1731" s="273"/>
      <c r="AD1731" s="274"/>
      <c r="AE1731" s="274"/>
      <c r="AF1731" s="274"/>
      <c r="AG1731" s="273"/>
      <c r="AH1731" s="273"/>
    </row>
    <row r="1732" spans="11:34">
      <c r="K1732" s="273"/>
      <c r="S1732" s="273"/>
      <c r="T1732" s="273"/>
      <c r="U1732" s="273"/>
      <c r="AD1732" s="274"/>
      <c r="AE1732" s="274"/>
      <c r="AF1732" s="274"/>
      <c r="AG1732" s="273"/>
      <c r="AH1732" s="273"/>
    </row>
    <row r="1733" spans="11:34">
      <c r="K1733" s="273"/>
      <c r="S1733" s="273"/>
      <c r="T1733" s="273"/>
      <c r="U1733" s="273"/>
      <c r="AD1733" s="274"/>
      <c r="AE1733" s="274"/>
      <c r="AF1733" s="274"/>
      <c r="AG1733" s="273"/>
      <c r="AH1733" s="273"/>
    </row>
    <row r="1734" spans="11:34">
      <c r="K1734" s="273"/>
      <c r="S1734" s="273"/>
      <c r="T1734" s="273"/>
      <c r="U1734" s="273"/>
      <c r="AD1734" s="274"/>
      <c r="AE1734" s="274"/>
      <c r="AF1734" s="274"/>
      <c r="AG1734" s="273"/>
      <c r="AH1734" s="273"/>
    </row>
    <row r="1735" spans="11:34">
      <c r="K1735" s="273"/>
      <c r="S1735" s="273"/>
      <c r="T1735" s="273"/>
      <c r="U1735" s="273"/>
      <c r="AD1735" s="274"/>
      <c r="AE1735" s="274"/>
      <c r="AF1735" s="274"/>
      <c r="AG1735" s="273"/>
      <c r="AH1735" s="273"/>
    </row>
    <row r="1736" spans="11:34">
      <c r="K1736" s="273"/>
      <c r="S1736" s="273"/>
      <c r="T1736" s="273"/>
      <c r="U1736" s="273"/>
      <c r="AD1736" s="274"/>
      <c r="AE1736" s="274"/>
      <c r="AF1736" s="274"/>
      <c r="AG1736" s="273"/>
      <c r="AH1736" s="273"/>
    </row>
    <row r="1737" spans="11:34">
      <c r="K1737" s="273"/>
      <c r="S1737" s="273"/>
      <c r="T1737" s="273"/>
      <c r="U1737" s="273"/>
      <c r="AD1737" s="274"/>
      <c r="AE1737" s="274"/>
      <c r="AF1737" s="274"/>
      <c r="AG1737" s="273"/>
      <c r="AH1737" s="273"/>
    </row>
    <row r="1738" spans="11:34">
      <c r="K1738" s="273"/>
      <c r="S1738" s="273"/>
      <c r="T1738" s="273"/>
      <c r="U1738" s="273"/>
      <c r="AD1738" s="274"/>
      <c r="AE1738" s="274"/>
      <c r="AF1738" s="274"/>
      <c r="AG1738" s="273"/>
      <c r="AH1738" s="273"/>
    </row>
    <row r="1739" spans="11:34">
      <c r="K1739" s="273"/>
      <c r="S1739" s="273"/>
      <c r="T1739" s="273"/>
      <c r="U1739" s="273"/>
      <c r="AD1739" s="274"/>
      <c r="AE1739" s="274"/>
      <c r="AF1739" s="274"/>
      <c r="AG1739" s="273"/>
      <c r="AH1739" s="273"/>
    </row>
    <row r="1740" spans="11:34">
      <c r="K1740" s="273"/>
      <c r="S1740" s="273"/>
      <c r="T1740" s="273"/>
      <c r="U1740" s="273"/>
      <c r="AD1740" s="274"/>
      <c r="AE1740" s="274"/>
      <c r="AF1740" s="274"/>
      <c r="AG1740" s="273"/>
      <c r="AH1740" s="273"/>
    </row>
    <row r="1741" spans="11:34">
      <c r="K1741" s="273"/>
      <c r="S1741" s="273"/>
      <c r="T1741" s="273"/>
      <c r="U1741" s="273"/>
      <c r="AD1741" s="274"/>
      <c r="AE1741" s="274"/>
      <c r="AF1741" s="274"/>
      <c r="AG1741" s="273"/>
      <c r="AH1741" s="273"/>
    </row>
    <row r="1742" spans="11:34">
      <c r="K1742" s="273"/>
      <c r="S1742" s="273"/>
      <c r="T1742" s="273"/>
      <c r="U1742" s="273"/>
      <c r="AD1742" s="274"/>
      <c r="AE1742" s="274"/>
      <c r="AF1742" s="274"/>
      <c r="AG1742" s="273"/>
      <c r="AH1742" s="273"/>
    </row>
    <row r="1743" spans="11:34">
      <c r="K1743" s="273"/>
      <c r="S1743" s="273"/>
      <c r="T1743" s="273"/>
      <c r="U1743" s="273"/>
      <c r="AD1743" s="274"/>
      <c r="AE1743" s="274"/>
      <c r="AF1743" s="274"/>
      <c r="AG1743" s="273"/>
      <c r="AH1743" s="273"/>
    </row>
    <row r="1744" spans="11:34">
      <c r="K1744" s="273"/>
      <c r="S1744" s="273"/>
      <c r="T1744" s="273"/>
      <c r="U1744" s="273"/>
      <c r="AD1744" s="274"/>
      <c r="AE1744" s="274"/>
      <c r="AF1744" s="274"/>
      <c r="AG1744" s="273"/>
      <c r="AH1744" s="273"/>
    </row>
    <row r="1745" spans="11:34">
      <c r="K1745" s="273"/>
      <c r="S1745" s="273"/>
      <c r="T1745" s="273"/>
      <c r="U1745" s="273"/>
      <c r="AD1745" s="274"/>
      <c r="AE1745" s="274"/>
      <c r="AF1745" s="274"/>
      <c r="AG1745" s="273"/>
      <c r="AH1745" s="273"/>
    </row>
    <row r="1746" spans="11:34">
      <c r="K1746" s="273"/>
      <c r="S1746" s="273"/>
      <c r="T1746" s="273"/>
      <c r="U1746" s="273"/>
      <c r="AD1746" s="274"/>
      <c r="AE1746" s="274"/>
      <c r="AF1746" s="274"/>
      <c r="AG1746" s="273"/>
      <c r="AH1746" s="273"/>
    </row>
    <row r="1747" spans="11:34">
      <c r="K1747" s="273"/>
      <c r="S1747" s="273"/>
      <c r="T1747" s="273"/>
      <c r="U1747" s="273"/>
      <c r="AD1747" s="274"/>
      <c r="AE1747" s="274"/>
      <c r="AF1747" s="274"/>
      <c r="AG1747" s="273"/>
      <c r="AH1747" s="273"/>
    </row>
    <row r="1748" spans="11:34">
      <c r="K1748" s="273"/>
      <c r="S1748" s="273"/>
      <c r="T1748" s="273"/>
      <c r="U1748" s="273"/>
      <c r="AD1748" s="274"/>
      <c r="AE1748" s="274"/>
      <c r="AF1748" s="274"/>
      <c r="AG1748" s="273"/>
      <c r="AH1748" s="273"/>
    </row>
    <row r="1749" spans="11:34">
      <c r="K1749" s="273"/>
      <c r="S1749" s="273"/>
      <c r="T1749" s="273"/>
      <c r="U1749" s="273"/>
      <c r="AD1749" s="274"/>
      <c r="AE1749" s="274"/>
      <c r="AF1749" s="274"/>
      <c r="AG1749" s="273"/>
      <c r="AH1749" s="273"/>
    </row>
    <row r="1750" spans="11:34">
      <c r="K1750" s="273"/>
      <c r="S1750" s="273"/>
      <c r="T1750" s="273"/>
      <c r="U1750" s="273"/>
      <c r="AD1750" s="274"/>
      <c r="AE1750" s="274"/>
      <c r="AF1750" s="274"/>
      <c r="AG1750" s="273"/>
      <c r="AH1750" s="273"/>
    </row>
    <row r="1751" spans="11:34">
      <c r="K1751" s="273"/>
      <c r="S1751" s="273"/>
      <c r="T1751" s="273"/>
      <c r="U1751" s="273"/>
      <c r="AD1751" s="274"/>
      <c r="AE1751" s="274"/>
      <c r="AF1751" s="274"/>
      <c r="AG1751" s="273"/>
      <c r="AH1751" s="273"/>
    </row>
    <row r="1752" spans="11:34">
      <c r="K1752" s="273"/>
      <c r="S1752" s="273"/>
      <c r="T1752" s="273"/>
      <c r="U1752" s="273"/>
      <c r="AD1752" s="274"/>
      <c r="AE1752" s="274"/>
      <c r="AF1752" s="274"/>
      <c r="AG1752" s="273"/>
      <c r="AH1752" s="273"/>
    </row>
    <row r="1753" spans="11:34">
      <c r="K1753" s="273"/>
      <c r="S1753" s="273"/>
      <c r="T1753" s="273"/>
      <c r="U1753" s="273"/>
      <c r="AD1753" s="274"/>
      <c r="AE1753" s="274"/>
      <c r="AF1753" s="274"/>
      <c r="AG1753" s="273"/>
      <c r="AH1753" s="273"/>
    </row>
    <row r="1754" spans="11:34">
      <c r="K1754" s="273"/>
      <c r="S1754" s="273"/>
      <c r="T1754" s="273"/>
      <c r="U1754" s="273"/>
      <c r="AD1754" s="274"/>
      <c r="AE1754" s="274"/>
      <c r="AF1754" s="274"/>
      <c r="AG1754" s="273"/>
      <c r="AH1754" s="273"/>
    </row>
    <row r="1755" spans="11:34">
      <c r="K1755" s="273"/>
      <c r="S1755" s="273"/>
      <c r="T1755" s="273"/>
      <c r="U1755" s="273"/>
      <c r="AD1755" s="274"/>
      <c r="AE1755" s="274"/>
      <c r="AF1755" s="274"/>
      <c r="AG1755" s="273"/>
      <c r="AH1755" s="273"/>
    </row>
    <row r="1756" spans="11:34">
      <c r="K1756" s="273"/>
      <c r="S1756" s="273"/>
      <c r="T1756" s="273"/>
      <c r="U1756" s="273"/>
      <c r="AD1756" s="274"/>
      <c r="AE1756" s="274"/>
      <c r="AF1756" s="274"/>
      <c r="AG1756" s="273"/>
      <c r="AH1756" s="273"/>
    </row>
    <row r="1757" spans="11:34">
      <c r="K1757" s="273"/>
      <c r="S1757" s="273"/>
      <c r="T1757" s="273"/>
      <c r="U1757" s="273"/>
      <c r="AD1757" s="274"/>
      <c r="AE1757" s="274"/>
      <c r="AF1757" s="274"/>
      <c r="AG1757" s="273"/>
      <c r="AH1757" s="273"/>
    </row>
    <row r="1758" spans="11:34">
      <c r="K1758" s="273"/>
      <c r="S1758" s="273"/>
      <c r="T1758" s="273"/>
      <c r="U1758" s="273"/>
      <c r="AD1758" s="274"/>
      <c r="AE1758" s="274"/>
      <c r="AF1758" s="274"/>
      <c r="AG1758" s="273"/>
      <c r="AH1758" s="273"/>
    </row>
    <row r="1759" spans="11:34">
      <c r="K1759" s="273"/>
      <c r="S1759" s="273"/>
      <c r="T1759" s="273"/>
      <c r="U1759" s="273"/>
      <c r="AD1759" s="274"/>
      <c r="AE1759" s="274"/>
      <c r="AF1759" s="274"/>
      <c r="AG1759" s="273"/>
      <c r="AH1759" s="273"/>
    </row>
    <row r="1760" spans="11:34">
      <c r="K1760" s="273"/>
      <c r="S1760" s="273"/>
      <c r="T1760" s="273"/>
      <c r="U1760" s="273"/>
      <c r="AD1760" s="274"/>
      <c r="AE1760" s="274"/>
      <c r="AF1760" s="274"/>
      <c r="AG1760" s="273"/>
      <c r="AH1760" s="273"/>
    </row>
    <row r="1761" spans="11:34">
      <c r="K1761" s="273"/>
      <c r="S1761" s="273"/>
      <c r="T1761" s="273"/>
      <c r="U1761" s="273"/>
      <c r="AD1761" s="274"/>
      <c r="AE1761" s="274"/>
      <c r="AF1761" s="274"/>
      <c r="AG1761" s="273"/>
      <c r="AH1761" s="273"/>
    </row>
    <row r="1762" spans="11:34">
      <c r="K1762" s="273"/>
      <c r="S1762" s="273"/>
      <c r="T1762" s="273"/>
      <c r="U1762" s="273"/>
      <c r="AD1762" s="274"/>
      <c r="AE1762" s="274"/>
      <c r="AF1762" s="274"/>
      <c r="AG1762" s="273"/>
      <c r="AH1762" s="273"/>
    </row>
    <row r="1763" spans="11:34">
      <c r="K1763" s="273"/>
      <c r="S1763" s="273"/>
      <c r="T1763" s="273"/>
      <c r="U1763" s="273"/>
      <c r="AD1763" s="274"/>
      <c r="AE1763" s="274"/>
      <c r="AF1763" s="274"/>
      <c r="AG1763" s="273"/>
      <c r="AH1763" s="273"/>
    </row>
    <row r="1764" spans="11:34">
      <c r="K1764" s="273"/>
      <c r="S1764" s="273"/>
      <c r="T1764" s="273"/>
      <c r="U1764" s="273"/>
      <c r="AD1764" s="274"/>
      <c r="AE1764" s="274"/>
      <c r="AF1764" s="274"/>
      <c r="AG1764" s="273"/>
      <c r="AH1764" s="273"/>
    </row>
    <row r="1765" spans="11:34">
      <c r="K1765" s="273"/>
      <c r="S1765" s="273"/>
      <c r="T1765" s="273"/>
      <c r="U1765" s="273"/>
      <c r="AD1765" s="274"/>
      <c r="AE1765" s="274"/>
      <c r="AF1765" s="274"/>
      <c r="AG1765" s="273"/>
      <c r="AH1765" s="273"/>
    </row>
    <row r="1766" spans="11:34">
      <c r="K1766" s="273"/>
      <c r="S1766" s="273"/>
      <c r="T1766" s="273"/>
      <c r="U1766" s="273"/>
      <c r="AD1766" s="274"/>
      <c r="AE1766" s="274"/>
      <c r="AF1766" s="274"/>
      <c r="AG1766" s="273"/>
      <c r="AH1766" s="273"/>
    </row>
    <row r="1767" spans="11:34">
      <c r="K1767" s="273"/>
      <c r="S1767" s="273"/>
      <c r="T1767" s="273"/>
      <c r="U1767" s="273"/>
      <c r="AD1767" s="274"/>
      <c r="AE1767" s="274"/>
      <c r="AF1767" s="274"/>
      <c r="AG1767" s="273"/>
      <c r="AH1767" s="273"/>
    </row>
    <row r="1768" spans="11:34">
      <c r="K1768" s="273"/>
      <c r="S1768" s="273"/>
      <c r="T1768" s="273"/>
      <c r="U1768" s="273"/>
      <c r="AD1768" s="274"/>
      <c r="AE1768" s="274"/>
      <c r="AF1768" s="274"/>
      <c r="AG1768" s="273"/>
      <c r="AH1768" s="273"/>
    </row>
    <row r="1769" spans="11:34">
      <c r="K1769" s="273"/>
      <c r="S1769" s="273"/>
      <c r="T1769" s="273"/>
      <c r="U1769" s="273"/>
      <c r="AD1769" s="274"/>
      <c r="AE1769" s="274"/>
      <c r="AF1769" s="274"/>
      <c r="AG1769" s="273"/>
      <c r="AH1769" s="273"/>
    </row>
    <row r="1770" spans="11:34">
      <c r="K1770" s="273"/>
      <c r="S1770" s="273"/>
      <c r="T1770" s="273"/>
      <c r="U1770" s="273"/>
      <c r="AD1770" s="274"/>
      <c r="AE1770" s="274"/>
      <c r="AF1770" s="274"/>
      <c r="AG1770" s="273"/>
      <c r="AH1770" s="273"/>
    </row>
    <row r="1771" spans="11:34">
      <c r="K1771" s="273"/>
      <c r="S1771" s="273"/>
      <c r="T1771" s="273"/>
      <c r="U1771" s="273"/>
      <c r="AD1771" s="274"/>
      <c r="AE1771" s="274"/>
      <c r="AF1771" s="274"/>
      <c r="AG1771" s="273"/>
      <c r="AH1771" s="273"/>
    </row>
    <row r="1772" spans="11:34">
      <c r="K1772" s="273"/>
      <c r="S1772" s="273"/>
      <c r="T1772" s="273"/>
      <c r="U1772" s="273"/>
      <c r="AD1772" s="274"/>
      <c r="AE1772" s="274"/>
      <c r="AF1772" s="274"/>
      <c r="AG1772" s="273"/>
      <c r="AH1772" s="273"/>
    </row>
    <row r="1773" spans="11:34">
      <c r="K1773" s="273"/>
      <c r="S1773" s="273"/>
      <c r="T1773" s="273"/>
      <c r="U1773" s="273"/>
      <c r="AD1773" s="274"/>
      <c r="AE1773" s="274"/>
      <c r="AF1773" s="274"/>
      <c r="AG1773" s="273"/>
      <c r="AH1773" s="273"/>
    </row>
    <row r="1774" spans="11:34">
      <c r="K1774" s="273"/>
      <c r="S1774" s="273"/>
      <c r="T1774" s="273"/>
      <c r="U1774" s="273"/>
      <c r="AD1774" s="274"/>
      <c r="AE1774" s="274"/>
      <c r="AF1774" s="274"/>
      <c r="AG1774" s="273"/>
      <c r="AH1774" s="273"/>
    </row>
    <row r="1775" spans="11:34">
      <c r="K1775" s="273"/>
      <c r="S1775" s="273"/>
      <c r="T1775" s="273"/>
      <c r="U1775" s="273"/>
      <c r="AD1775" s="274"/>
      <c r="AE1775" s="274"/>
      <c r="AF1775" s="274"/>
      <c r="AG1775" s="273"/>
      <c r="AH1775" s="273"/>
    </row>
    <row r="1776" spans="11:34">
      <c r="K1776" s="273"/>
      <c r="S1776" s="273"/>
      <c r="T1776" s="273"/>
      <c r="U1776" s="273"/>
      <c r="AD1776" s="274"/>
      <c r="AE1776" s="274"/>
      <c r="AF1776" s="274"/>
      <c r="AG1776" s="273"/>
      <c r="AH1776" s="273"/>
    </row>
    <row r="1777" spans="11:34">
      <c r="K1777" s="273"/>
      <c r="S1777" s="273"/>
      <c r="T1777" s="273"/>
      <c r="U1777" s="273"/>
      <c r="AD1777" s="274"/>
      <c r="AE1777" s="274"/>
      <c r="AF1777" s="274"/>
      <c r="AG1777" s="273"/>
      <c r="AH1777" s="273"/>
    </row>
    <row r="1778" spans="11:34">
      <c r="K1778" s="273"/>
      <c r="S1778" s="273"/>
      <c r="T1778" s="273"/>
      <c r="U1778" s="273"/>
      <c r="AD1778" s="274"/>
      <c r="AE1778" s="274"/>
      <c r="AF1778" s="274"/>
      <c r="AG1778" s="273"/>
      <c r="AH1778" s="273"/>
    </row>
    <row r="1779" spans="11:34">
      <c r="K1779" s="273"/>
      <c r="S1779" s="273"/>
      <c r="T1779" s="273"/>
      <c r="U1779" s="273"/>
      <c r="AD1779" s="274"/>
      <c r="AE1779" s="274"/>
      <c r="AF1779" s="274"/>
      <c r="AG1779" s="273"/>
      <c r="AH1779" s="273"/>
    </row>
    <row r="1780" spans="11:34">
      <c r="K1780" s="273"/>
      <c r="S1780" s="273"/>
      <c r="T1780" s="273"/>
      <c r="U1780" s="273"/>
      <c r="AD1780" s="274"/>
      <c r="AE1780" s="274"/>
      <c r="AF1780" s="274"/>
      <c r="AG1780" s="273"/>
      <c r="AH1780" s="273"/>
    </row>
    <row r="1781" spans="11:34">
      <c r="K1781" s="273"/>
      <c r="S1781" s="273"/>
      <c r="T1781" s="273"/>
      <c r="U1781" s="273"/>
      <c r="AD1781" s="274"/>
      <c r="AE1781" s="274"/>
      <c r="AF1781" s="274"/>
      <c r="AG1781" s="273"/>
      <c r="AH1781" s="273"/>
    </row>
    <row r="1782" spans="11:34">
      <c r="K1782" s="273"/>
      <c r="S1782" s="273"/>
      <c r="T1782" s="273"/>
      <c r="U1782" s="273"/>
      <c r="AD1782" s="274"/>
      <c r="AE1782" s="274"/>
      <c r="AF1782" s="274"/>
      <c r="AG1782" s="273"/>
      <c r="AH1782" s="273"/>
    </row>
    <row r="1783" spans="11:34">
      <c r="K1783" s="273"/>
      <c r="S1783" s="273"/>
      <c r="T1783" s="273"/>
      <c r="U1783" s="273"/>
      <c r="AD1783" s="274"/>
      <c r="AE1783" s="274"/>
      <c r="AF1783" s="274"/>
      <c r="AG1783" s="273"/>
      <c r="AH1783" s="273"/>
    </row>
    <row r="1784" spans="11:34">
      <c r="K1784" s="273"/>
      <c r="S1784" s="273"/>
      <c r="T1784" s="273"/>
      <c r="U1784" s="273"/>
      <c r="AD1784" s="274"/>
      <c r="AE1784" s="274"/>
      <c r="AF1784" s="274"/>
      <c r="AG1784" s="273"/>
      <c r="AH1784" s="273"/>
    </row>
    <row r="1785" spans="11:34">
      <c r="K1785" s="273"/>
      <c r="S1785" s="273"/>
      <c r="T1785" s="273"/>
      <c r="U1785" s="273"/>
      <c r="AD1785" s="274"/>
      <c r="AE1785" s="274"/>
      <c r="AF1785" s="274"/>
      <c r="AG1785" s="273"/>
      <c r="AH1785" s="273"/>
    </row>
    <row r="1786" spans="11:34">
      <c r="K1786" s="273"/>
      <c r="S1786" s="273"/>
      <c r="T1786" s="273"/>
      <c r="U1786" s="273"/>
      <c r="AD1786" s="274"/>
      <c r="AE1786" s="274"/>
      <c r="AF1786" s="274"/>
      <c r="AG1786" s="273"/>
      <c r="AH1786" s="273"/>
    </row>
    <row r="1787" spans="11:34">
      <c r="K1787" s="273"/>
      <c r="S1787" s="273"/>
      <c r="T1787" s="273"/>
      <c r="U1787" s="273"/>
      <c r="AD1787" s="274"/>
      <c r="AE1787" s="274"/>
      <c r="AF1787" s="274"/>
      <c r="AG1787" s="273"/>
      <c r="AH1787" s="273"/>
    </row>
    <row r="1788" spans="11:34">
      <c r="K1788" s="273"/>
      <c r="S1788" s="273"/>
      <c r="T1788" s="273"/>
      <c r="U1788" s="273"/>
      <c r="AD1788" s="274"/>
      <c r="AE1788" s="274"/>
      <c r="AF1788" s="274"/>
      <c r="AG1788" s="273"/>
      <c r="AH1788" s="273"/>
    </row>
    <row r="1789" spans="11:34">
      <c r="K1789" s="273"/>
      <c r="S1789" s="273"/>
      <c r="T1789" s="273"/>
      <c r="U1789" s="273"/>
      <c r="AD1789" s="274"/>
      <c r="AE1789" s="274"/>
      <c r="AF1789" s="274"/>
      <c r="AG1789" s="273"/>
      <c r="AH1789" s="273"/>
    </row>
    <row r="1790" spans="11:34">
      <c r="K1790" s="273"/>
      <c r="S1790" s="273"/>
      <c r="T1790" s="273"/>
      <c r="U1790" s="273"/>
      <c r="AD1790" s="274"/>
      <c r="AE1790" s="274"/>
      <c r="AF1790" s="274"/>
      <c r="AG1790" s="273"/>
      <c r="AH1790" s="273"/>
    </row>
    <row r="1791" spans="11:34">
      <c r="K1791" s="273"/>
      <c r="S1791" s="273"/>
      <c r="T1791" s="273"/>
      <c r="U1791" s="273"/>
      <c r="AD1791" s="274"/>
      <c r="AE1791" s="274"/>
      <c r="AF1791" s="274"/>
      <c r="AG1791" s="273"/>
      <c r="AH1791" s="273"/>
    </row>
    <row r="1792" spans="11:34">
      <c r="K1792" s="273"/>
      <c r="S1792" s="273"/>
      <c r="T1792" s="273"/>
      <c r="U1792" s="273"/>
      <c r="AD1792" s="274"/>
      <c r="AE1792" s="274"/>
      <c r="AF1792" s="274"/>
      <c r="AG1792" s="273"/>
      <c r="AH1792" s="273"/>
    </row>
    <row r="1793" spans="11:34">
      <c r="K1793" s="273"/>
      <c r="S1793" s="273"/>
      <c r="T1793" s="273"/>
      <c r="U1793" s="273"/>
      <c r="AD1793" s="274"/>
      <c r="AE1793" s="274"/>
      <c r="AF1793" s="274"/>
      <c r="AG1793" s="273"/>
      <c r="AH1793" s="273"/>
    </row>
    <row r="1794" spans="11:34">
      <c r="K1794" s="273"/>
      <c r="S1794" s="273"/>
      <c r="T1794" s="273"/>
      <c r="U1794" s="273"/>
      <c r="AD1794" s="274"/>
      <c r="AE1794" s="274"/>
      <c r="AF1794" s="274"/>
      <c r="AG1794" s="273"/>
      <c r="AH1794" s="273"/>
    </row>
    <row r="1795" spans="11:34">
      <c r="K1795" s="273"/>
      <c r="S1795" s="273"/>
      <c r="T1795" s="273"/>
      <c r="U1795" s="273"/>
      <c r="AD1795" s="274"/>
      <c r="AE1795" s="274"/>
      <c r="AF1795" s="274"/>
      <c r="AG1795" s="273"/>
      <c r="AH1795" s="273"/>
    </row>
    <row r="1796" spans="11:34">
      <c r="K1796" s="273"/>
      <c r="S1796" s="273"/>
      <c r="T1796" s="273"/>
      <c r="U1796" s="273"/>
      <c r="AD1796" s="274"/>
      <c r="AE1796" s="274"/>
      <c r="AF1796" s="274"/>
      <c r="AG1796" s="273"/>
      <c r="AH1796" s="273"/>
    </row>
    <row r="1797" spans="11:34">
      <c r="K1797" s="273"/>
      <c r="S1797" s="273"/>
      <c r="T1797" s="273"/>
      <c r="U1797" s="273"/>
      <c r="AD1797" s="274"/>
      <c r="AE1797" s="274"/>
      <c r="AF1797" s="274"/>
      <c r="AG1797" s="273"/>
      <c r="AH1797" s="273"/>
    </row>
    <row r="1798" spans="11:34">
      <c r="K1798" s="273"/>
      <c r="S1798" s="273"/>
      <c r="T1798" s="273"/>
      <c r="U1798" s="273"/>
      <c r="AD1798" s="274"/>
      <c r="AE1798" s="274"/>
      <c r="AF1798" s="274"/>
      <c r="AG1798" s="273"/>
      <c r="AH1798" s="273"/>
    </row>
    <row r="1799" spans="11:34">
      <c r="K1799" s="273"/>
      <c r="S1799" s="273"/>
      <c r="T1799" s="273"/>
      <c r="U1799" s="273"/>
      <c r="AD1799" s="274"/>
      <c r="AE1799" s="274"/>
      <c r="AF1799" s="274"/>
      <c r="AG1799" s="273"/>
      <c r="AH1799" s="273"/>
    </row>
    <row r="1800" spans="11:34">
      <c r="K1800" s="273"/>
      <c r="S1800" s="273"/>
      <c r="T1800" s="273"/>
      <c r="U1800" s="273"/>
      <c r="AD1800" s="274"/>
      <c r="AE1800" s="274"/>
      <c r="AF1800" s="274"/>
      <c r="AG1800" s="273"/>
      <c r="AH1800" s="273"/>
    </row>
    <row r="1801" spans="11:34">
      <c r="K1801" s="273"/>
      <c r="S1801" s="273"/>
      <c r="T1801" s="273"/>
      <c r="U1801" s="273"/>
      <c r="AD1801" s="274"/>
      <c r="AE1801" s="274"/>
      <c r="AF1801" s="274"/>
      <c r="AG1801" s="273"/>
      <c r="AH1801" s="273"/>
    </row>
    <row r="1802" spans="11:34">
      <c r="K1802" s="273"/>
      <c r="S1802" s="273"/>
      <c r="T1802" s="273"/>
      <c r="U1802" s="273"/>
      <c r="AD1802" s="274"/>
      <c r="AE1802" s="274"/>
      <c r="AF1802" s="274"/>
      <c r="AG1802" s="273"/>
      <c r="AH1802" s="273"/>
    </row>
    <row r="1803" spans="11:34">
      <c r="K1803" s="273"/>
      <c r="S1803" s="273"/>
      <c r="T1803" s="273"/>
      <c r="U1803" s="273"/>
      <c r="AD1803" s="274"/>
      <c r="AE1803" s="274"/>
      <c r="AF1803" s="274"/>
      <c r="AG1803" s="273"/>
      <c r="AH1803" s="273"/>
    </row>
    <row r="1804" spans="11:34">
      <c r="K1804" s="273"/>
      <c r="S1804" s="273"/>
      <c r="T1804" s="273"/>
      <c r="U1804" s="273"/>
      <c r="AD1804" s="274"/>
      <c r="AE1804" s="274"/>
      <c r="AF1804" s="274"/>
      <c r="AG1804" s="273"/>
      <c r="AH1804" s="273"/>
    </row>
    <row r="1805" spans="11:34">
      <c r="K1805" s="273"/>
      <c r="S1805" s="273"/>
      <c r="T1805" s="273"/>
      <c r="U1805" s="273"/>
      <c r="AD1805" s="274"/>
      <c r="AE1805" s="274"/>
      <c r="AF1805" s="274"/>
      <c r="AG1805" s="273"/>
      <c r="AH1805" s="273"/>
    </row>
    <row r="1806" spans="11:34">
      <c r="K1806" s="273"/>
      <c r="S1806" s="273"/>
      <c r="T1806" s="273"/>
      <c r="U1806" s="273"/>
      <c r="AD1806" s="274"/>
      <c r="AE1806" s="274"/>
      <c r="AF1806" s="274"/>
      <c r="AG1806" s="273"/>
      <c r="AH1806" s="273"/>
    </row>
    <row r="1807" spans="11:34">
      <c r="K1807" s="273"/>
      <c r="S1807" s="273"/>
      <c r="T1807" s="273"/>
      <c r="U1807" s="273"/>
      <c r="AD1807" s="274"/>
      <c r="AE1807" s="274"/>
      <c r="AF1807" s="274"/>
      <c r="AG1807" s="273"/>
      <c r="AH1807" s="273"/>
    </row>
    <row r="1808" spans="11:34">
      <c r="K1808" s="273"/>
      <c r="S1808" s="273"/>
      <c r="T1808" s="273"/>
      <c r="U1808" s="273"/>
      <c r="AD1808" s="274"/>
      <c r="AE1808" s="274"/>
      <c r="AF1808" s="274"/>
      <c r="AG1808" s="273"/>
      <c r="AH1808" s="273"/>
    </row>
    <row r="1809" spans="11:34">
      <c r="K1809" s="273"/>
      <c r="S1809" s="273"/>
      <c r="T1809" s="273"/>
      <c r="U1809" s="273"/>
      <c r="AD1809" s="274"/>
      <c r="AE1809" s="274"/>
      <c r="AF1809" s="274"/>
      <c r="AG1809" s="273"/>
      <c r="AH1809" s="273"/>
    </row>
    <row r="1810" spans="11:34">
      <c r="K1810" s="273"/>
      <c r="S1810" s="273"/>
      <c r="T1810" s="273"/>
      <c r="U1810" s="273"/>
      <c r="AD1810" s="274"/>
      <c r="AE1810" s="274"/>
      <c r="AF1810" s="274"/>
      <c r="AG1810" s="273"/>
      <c r="AH1810" s="273"/>
    </row>
    <row r="1811" spans="11:34">
      <c r="K1811" s="273"/>
      <c r="S1811" s="273"/>
      <c r="T1811" s="273"/>
      <c r="U1811" s="273"/>
      <c r="AD1811" s="274"/>
      <c r="AE1811" s="274"/>
      <c r="AF1811" s="274"/>
      <c r="AG1811" s="273"/>
      <c r="AH1811" s="273"/>
    </row>
    <row r="1812" spans="11:34">
      <c r="K1812" s="273"/>
      <c r="S1812" s="273"/>
      <c r="T1812" s="273"/>
      <c r="U1812" s="273"/>
      <c r="AD1812" s="274"/>
      <c r="AE1812" s="274"/>
      <c r="AF1812" s="274"/>
      <c r="AG1812" s="273"/>
      <c r="AH1812" s="273"/>
    </row>
    <row r="1813" spans="11:34">
      <c r="K1813" s="273"/>
      <c r="S1813" s="273"/>
      <c r="T1813" s="273"/>
      <c r="U1813" s="273"/>
      <c r="AD1813" s="274"/>
      <c r="AE1813" s="274"/>
      <c r="AF1813" s="274"/>
      <c r="AG1813" s="273"/>
      <c r="AH1813" s="273"/>
    </row>
    <row r="1814" spans="11:34">
      <c r="K1814" s="273"/>
      <c r="S1814" s="273"/>
      <c r="T1814" s="273"/>
      <c r="U1814" s="273"/>
      <c r="AD1814" s="274"/>
      <c r="AE1814" s="274"/>
      <c r="AF1814" s="274"/>
      <c r="AG1814" s="273"/>
      <c r="AH1814" s="273"/>
    </row>
    <row r="1815" spans="11:34">
      <c r="K1815" s="273"/>
      <c r="S1815" s="273"/>
      <c r="T1815" s="273"/>
      <c r="U1815" s="273"/>
      <c r="AD1815" s="274"/>
      <c r="AE1815" s="274"/>
      <c r="AF1815" s="274"/>
      <c r="AG1815" s="273"/>
      <c r="AH1815" s="273"/>
    </row>
    <row r="1816" spans="11:34">
      <c r="K1816" s="273"/>
      <c r="S1816" s="273"/>
      <c r="T1816" s="273"/>
      <c r="U1816" s="273"/>
      <c r="AD1816" s="274"/>
      <c r="AE1816" s="274"/>
      <c r="AF1816" s="274"/>
      <c r="AG1816" s="273"/>
      <c r="AH1816" s="273"/>
    </row>
    <row r="1817" spans="11:34">
      <c r="K1817" s="273"/>
      <c r="S1817" s="273"/>
      <c r="T1817" s="273"/>
      <c r="U1817" s="273"/>
      <c r="AD1817" s="274"/>
      <c r="AE1817" s="274"/>
      <c r="AF1817" s="274"/>
      <c r="AG1817" s="273"/>
      <c r="AH1817" s="273"/>
    </row>
    <row r="1818" spans="11:34">
      <c r="K1818" s="273"/>
      <c r="S1818" s="273"/>
      <c r="T1818" s="273"/>
      <c r="U1818" s="273"/>
      <c r="AD1818" s="274"/>
      <c r="AE1818" s="274"/>
      <c r="AF1818" s="274"/>
      <c r="AG1818" s="273"/>
      <c r="AH1818" s="273"/>
    </row>
    <row r="1819" spans="11:34">
      <c r="K1819" s="273"/>
      <c r="S1819" s="273"/>
      <c r="T1819" s="273"/>
      <c r="U1819" s="273"/>
      <c r="AD1819" s="274"/>
      <c r="AE1819" s="274"/>
      <c r="AF1819" s="274"/>
      <c r="AG1819" s="273"/>
      <c r="AH1819" s="273"/>
    </row>
    <row r="1820" spans="11:34">
      <c r="K1820" s="273"/>
      <c r="S1820" s="273"/>
      <c r="T1820" s="273"/>
      <c r="U1820" s="273"/>
      <c r="AD1820" s="274"/>
      <c r="AE1820" s="274"/>
      <c r="AF1820" s="274"/>
      <c r="AG1820" s="273"/>
      <c r="AH1820" s="273"/>
    </row>
    <row r="1821" spans="11:34">
      <c r="K1821" s="273"/>
      <c r="S1821" s="273"/>
      <c r="T1821" s="273"/>
      <c r="U1821" s="273"/>
      <c r="AD1821" s="274"/>
      <c r="AE1821" s="274"/>
      <c r="AF1821" s="274"/>
      <c r="AG1821" s="273"/>
      <c r="AH1821" s="273"/>
    </row>
    <row r="1822" spans="11:34">
      <c r="K1822" s="273"/>
      <c r="S1822" s="273"/>
      <c r="T1822" s="273"/>
      <c r="U1822" s="273"/>
      <c r="AD1822" s="274"/>
      <c r="AE1822" s="274"/>
      <c r="AF1822" s="274"/>
      <c r="AG1822" s="273"/>
      <c r="AH1822" s="273"/>
    </row>
    <row r="1823" spans="11:34">
      <c r="K1823" s="273"/>
      <c r="S1823" s="273"/>
      <c r="T1823" s="273"/>
      <c r="U1823" s="273"/>
      <c r="AD1823" s="274"/>
      <c r="AE1823" s="274"/>
      <c r="AF1823" s="274"/>
      <c r="AG1823" s="273"/>
      <c r="AH1823" s="273"/>
    </row>
    <row r="1824" spans="11:34">
      <c r="K1824" s="273"/>
      <c r="S1824" s="273"/>
      <c r="T1824" s="273"/>
      <c r="U1824" s="273"/>
      <c r="AD1824" s="274"/>
      <c r="AE1824" s="274"/>
      <c r="AF1824" s="274"/>
      <c r="AG1824" s="273"/>
      <c r="AH1824" s="273"/>
    </row>
    <row r="1825" spans="11:34">
      <c r="K1825" s="273"/>
      <c r="S1825" s="273"/>
      <c r="T1825" s="273"/>
      <c r="U1825" s="273"/>
      <c r="AD1825" s="274"/>
      <c r="AE1825" s="274"/>
      <c r="AF1825" s="274"/>
      <c r="AG1825" s="273"/>
      <c r="AH1825" s="273"/>
    </row>
    <row r="1826" spans="11:34">
      <c r="K1826" s="273"/>
      <c r="S1826" s="273"/>
      <c r="T1826" s="273"/>
      <c r="U1826" s="273"/>
      <c r="AD1826" s="274"/>
      <c r="AE1826" s="274"/>
      <c r="AF1826" s="274"/>
      <c r="AG1826" s="273"/>
      <c r="AH1826" s="273"/>
    </row>
    <row r="1827" spans="11:34">
      <c r="K1827" s="273"/>
      <c r="S1827" s="273"/>
      <c r="T1827" s="273"/>
      <c r="U1827" s="273"/>
      <c r="AD1827" s="274"/>
      <c r="AE1827" s="274"/>
      <c r="AF1827" s="274"/>
      <c r="AG1827" s="273"/>
      <c r="AH1827" s="273"/>
    </row>
    <row r="1828" spans="11:34">
      <c r="K1828" s="273"/>
      <c r="S1828" s="273"/>
      <c r="T1828" s="273"/>
      <c r="U1828" s="273"/>
      <c r="AD1828" s="274"/>
      <c r="AE1828" s="274"/>
      <c r="AF1828" s="274"/>
      <c r="AG1828" s="273"/>
      <c r="AH1828" s="273"/>
    </row>
    <row r="1829" spans="11:34">
      <c r="K1829" s="273"/>
      <c r="S1829" s="273"/>
      <c r="T1829" s="273"/>
      <c r="U1829" s="273"/>
      <c r="AD1829" s="274"/>
      <c r="AE1829" s="274"/>
      <c r="AF1829" s="274"/>
      <c r="AG1829" s="273"/>
      <c r="AH1829" s="273"/>
    </row>
    <row r="1830" spans="11:34">
      <c r="K1830" s="273"/>
      <c r="S1830" s="273"/>
      <c r="T1830" s="273"/>
      <c r="U1830" s="273"/>
      <c r="AD1830" s="274"/>
      <c r="AE1830" s="274"/>
      <c r="AF1830" s="274"/>
      <c r="AG1830" s="273"/>
      <c r="AH1830" s="273"/>
    </row>
    <row r="1831" spans="11:34">
      <c r="K1831" s="273"/>
      <c r="S1831" s="273"/>
      <c r="T1831" s="273"/>
      <c r="U1831" s="273"/>
      <c r="AD1831" s="274"/>
      <c r="AE1831" s="274"/>
      <c r="AF1831" s="274"/>
      <c r="AG1831" s="273"/>
      <c r="AH1831" s="273"/>
    </row>
    <row r="1832" spans="11:34">
      <c r="K1832" s="273"/>
      <c r="S1832" s="273"/>
      <c r="T1832" s="273"/>
      <c r="U1832" s="273"/>
      <c r="AD1832" s="274"/>
      <c r="AE1832" s="274"/>
      <c r="AF1832" s="274"/>
      <c r="AG1832" s="273"/>
      <c r="AH1832" s="273"/>
    </row>
    <row r="1833" spans="11:34">
      <c r="K1833" s="273"/>
      <c r="S1833" s="273"/>
      <c r="T1833" s="273"/>
      <c r="U1833" s="273"/>
      <c r="AD1833" s="274"/>
      <c r="AE1833" s="274"/>
      <c r="AF1833" s="274"/>
      <c r="AG1833" s="273"/>
      <c r="AH1833" s="273"/>
    </row>
    <row r="1834" spans="11:34">
      <c r="K1834" s="273"/>
      <c r="S1834" s="273"/>
      <c r="T1834" s="273"/>
      <c r="U1834" s="273"/>
      <c r="AD1834" s="274"/>
      <c r="AE1834" s="274"/>
      <c r="AF1834" s="274"/>
      <c r="AG1834" s="273"/>
      <c r="AH1834" s="273"/>
    </row>
    <row r="1835" spans="11:34">
      <c r="K1835" s="273"/>
      <c r="S1835" s="273"/>
      <c r="T1835" s="273"/>
      <c r="U1835" s="273"/>
      <c r="AD1835" s="274"/>
      <c r="AE1835" s="274"/>
      <c r="AF1835" s="274"/>
      <c r="AG1835" s="273"/>
      <c r="AH1835" s="273"/>
    </row>
    <row r="1836" spans="11:34">
      <c r="K1836" s="273"/>
      <c r="S1836" s="273"/>
      <c r="T1836" s="273"/>
      <c r="U1836" s="273"/>
      <c r="AD1836" s="274"/>
      <c r="AE1836" s="274"/>
      <c r="AF1836" s="274"/>
      <c r="AG1836" s="273"/>
      <c r="AH1836" s="273"/>
    </row>
    <row r="1837" spans="11:34">
      <c r="K1837" s="273"/>
      <c r="S1837" s="273"/>
      <c r="T1837" s="273"/>
      <c r="U1837" s="273"/>
      <c r="AD1837" s="274"/>
      <c r="AE1837" s="274"/>
      <c r="AF1837" s="274"/>
      <c r="AG1837" s="273"/>
      <c r="AH1837" s="273"/>
    </row>
    <row r="1838" spans="11:34">
      <c r="K1838" s="273"/>
      <c r="S1838" s="273"/>
      <c r="T1838" s="273"/>
      <c r="U1838" s="273"/>
      <c r="AD1838" s="274"/>
      <c r="AE1838" s="274"/>
      <c r="AF1838" s="274"/>
      <c r="AG1838" s="273"/>
      <c r="AH1838" s="273"/>
    </row>
    <row r="1839" spans="11:34">
      <c r="K1839" s="273"/>
      <c r="S1839" s="273"/>
      <c r="T1839" s="273"/>
      <c r="U1839" s="273"/>
      <c r="AD1839" s="274"/>
      <c r="AE1839" s="274"/>
      <c r="AF1839" s="274"/>
      <c r="AG1839" s="273"/>
      <c r="AH1839" s="273"/>
    </row>
    <row r="1840" spans="11:34">
      <c r="K1840" s="273"/>
      <c r="S1840" s="273"/>
      <c r="T1840" s="273"/>
      <c r="U1840" s="273"/>
      <c r="AD1840" s="274"/>
      <c r="AE1840" s="274"/>
      <c r="AF1840" s="274"/>
      <c r="AG1840" s="273"/>
      <c r="AH1840" s="273"/>
    </row>
    <row r="1841" spans="11:34">
      <c r="K1841" s="273"/>
      <c r="S1841" s="273"/>
      <c r="T1841" s="273"/>
      <c r="U1841" s="273"/>
      <c r="AD1841" s="274"/>
      <c r="AE1841" s="274"/>
      <c r="AF1841" s="274"/>
      <c r="AG1841" s="273"/>
      <c r="AH1841" s="273"/>
    </row>
    <row r="1842" spans="11:34">
      <c r="K1842" s="273"/>
      <c r="S1842" s="273"/>
      <c r="T1842" s="273"/>
      <c r="U1842" s="273"/>
      <c r="AD1842" s="274"/>
      <c r="AE1842" s="274"/>
      <c r="AF1842" s="274"/>
      <c r="AG1842" s="273"/>
      <c r="AH1842" s="273"/>
    </row>
    <row r="1843" spans="11:34">
      <c r="K1843" s="273"/>
      <c r="S1843" s="273"/>
      <c r="T1843" s="273"/>
      <c r="U1843" s="273"/>
      <c r="AD1843" s="274"/>
      <c r="AE1843" s="274"/>
      <c r="AF1843" s="274"/>
      <c r="AG1843" s="273"/>
      <c r="AH1843" s="273"/>
    </row>
    <row r="1844" spans="11:34">
      <c r="K1844" s="273"/>
      <c r="S1844" s="273"/>
      <c r="T1844" s="273"/>
      <c r="U1844" s="273"/>
      <c r="AD1844" s="274"/>
      <c r="AE1844" s="274"/>
      <c r="AF1844" s="274"/>
      <c r="AG1844" s="273"/>
      <c r="AH1844" s="273"/>
    </row>
    <row r="1845" spans="11:34">
      <c r="K1845" s="273"/>
      <c r="S1845" s="273"/>
      <c r="T1845" s="273"/>
      <c r="U1845" s="273"/>
      <c r="AD1845" s="274"/>
      <c r="AE1845" s="274"/>
      <c r="AF1845" s="274"/>
      <c r="AG1845" s="273"/>
      <c r="AH1845" s="273"/>
    </row>
    <row r="1846" spans="11:34">
      <c r="K1846" s="273"/>
      <c r="S1846" s="273"/>
      <c r="T1846" s="273"/>
      <c r="U1846" s="273"/>
      <c r="AD1846" s="274"/>
      <c r="AE1846" s="274"/>
      <c r="AF1846" s="274"/>
      <c r="AG1846" s="273"/>
      <c r="AH1846" s="273"/>
    </row>
    <row r="1847" spans="11:34">
      <c r="K1847" s="273"/>
      <c r="S1847" s="273"/>
      <c r="T1847" s="273"/>
      <c r="U1847" s="273"/>
      <c r="AD1847" s="274"/>
      <c r="AE1847" s="274"/>
      <c r="AF1847" s="274"/>
      <c r="AG1847" s="273"/>
      <c r="AH1847" s="273"/>
    </row>
    <row r="1848" spans="11:34">
      <c r="K1848" s="273"/>
      <c r="S1848" s="273"/>
      <c r="T1848" s="273"/>
      <c r="U1848" s="273"/>
      <c r="AD1848" s="274"/>
      <c r="AE1848" s="274"/>
      <c r="AF1848" s="274"/>
      <c r="AG1848" s="273"/>
      <c r="AH1848" s="273"/>
    </row>
    <row r="1849" spans="11:34">
      <c r="K1849" s="273"/>
      <c r="S1849" s="273"/>
      <c r="T1849" s="273"/>
      <c r="U1849" s="273"/>
      <c r="AD1849" s="274"/>
      <c r="AE1849" s="274"/>
      <c r="AF1849" s="274"/>
      <c r="AG1849" s="273"/>
      <c r="AH1849" s="273"/>
    </row>
    <row r="1850" spans="11:34">
      <c r="K1850" s="273"/>
      <c r="S1850" s="273"/>
      <c r="T1850" s="273"/>
      <c r="U1850" s="273"/>
      <c r="AD1850" s="274"/>
      <c r="AE1850" s="274"/>
      <c r="AF1850" s="274"/>
      <c r="AG1850" s="273"/>
      <c r="AH1850" s="273"/>
    </row>
    <row r="1851" spans="11:34">
      <c r="K1851" s="273"/>
      <c r="S1851" s="273"/>
      <c r="T1851" s="273"/>
      <c r="U1851" s="273"/>
      <c r="AD1851" s="274"/>
      <c r="AE1851" s="274"/>
      <c r="AF1851" s="274"/>
      <c r="AG1851" s="273"/>
      <c r="AH1851" s="273"/>
    </row>
    <row r="1852" spans="11:34">
      <c r="K1852" s="273"/>
      <c r="S1852" s="273"/>
      <c r="T1852" s="273"/>
      <c r="U1852" s="273"/>
      <c r="AD1852" s="274"/>
      <c r="AE1852" s="274"/>
      <c r="AF1852" s="274"/>
      <c r="AG1852" s="273"/>
      <c r="AH1852" s="273"/>
    </row>
    <row r="1853" spans="11:34">
      <c r="K1853" s="273"/>
      <c r="S1853" s="273"/>
      <c r="T1853" s="273"/>
      <c r="U1853" s="273"/>
      <c r="AD1853" s="274"/>
      <c r="AE1853" s="274"/>
      <c r="AF1853" s="274"/>
      <c r="AG1853" s="273"/>
      <c r="AH1853" s="273"/>
    </row>
    <row r="1854" spans="11:34">
      <c r="K1854" s="273"/>
      <c r="S1854" s="273"/>
      <c r="T1854" s="273"/>
      <c r="U1854" s="273"/>
      <c r="AD1854" s="274"/>
      <c r="AE1854" s="274"/>
      <c r="AF1854" s="274"/>
      <c r="AG1854" s="273"/>
      <c r="AH1854" s="273"/>
    </row>
    <row r="1855" spans="11:34">
      <c r="K1855" s="273"/>
      <c r="S1855" s="273"/>
      <c r="T1855" s="273"/>
      <c r="U1855" s="273"/>
      <c r="AD1855" s="274"/>
      <c r="AE1855" s="274"/>
      <c r="AF1855" s="274"/>
      <c r="AG1855" s="273"/>
      <c r="AH1855" s="273"/>
    </row>
    <row r="1856" spans="11:34">
      <c r="K1856" s="273"/>
      <c r="S1856" s="273"/>
      <c r="T1856" s="273"/>
      <c r="U1856" s="273"/>
      <c r="AD1856" s="274"/>
      <c r="AE1856" s="274"/>
      <c r="AF1856" s="274"/>
      <c r="AG1856" s="273"/>
      <c r="AH1856" s="273"/>
    </row>
    <row r="1857" spans="11:34">
      <c r="K1857" s="273"/>
      <c r="S1857" s="273"/>
      <c r="T1857" s="273"/>
      <c r="U1857" s="273"/>
      <c r="AD1857" s="274"/>
      <c r="AE1857" s="274"/>
      <c r="AF1857" s="274"/>
      <c r="AG1857" s="273"/>
      <c r="AH1857" s="273"/>
    </row>
    <row r="1858" spans="11:34">
      <c r="K1858" s="273"/>
      <c r="S1858" s="273"/>
      <c r="T1858" s="273"/>
      <c r="U1858" s="273"/>
      <c r="AD1858" s="274"/>
      <c r="AE1858" s="274"/>
      <c r="AF1858" s="274"/>
      <c r="AG1858" s="273"/>
      <c r="AH1858" s="273"/>
    </row>
    <row r="1859" spans="11:34">
      <c r="K1859" s="273"/>
      <c r="S1859" s="273"/>
      <c r="T1859" s="273"/>
      <c r="U1859" s="273"/>
      <c r="AD1859" s="274"/>
      <c r="AE1859" s="274"/>
      <c r="AF1859" s="274"/>
      <c r="AG1859" s="273"/>
      <c r="AH1859" s="273"/>
    </row>
    <row r="1860" spans="11:34">
      <c r="K1860" s="273"/>
      <c r="S1860" s="273"/>
      <c r="T1860" s="273"/>
      <c r="U1860" s="273"/>
      <c r="AD1860" s="274"/>
      <c r="AE1860" s="274"/>
      <c r="AF1860" s="274"/>
      <c r="AG1860" s="273"/>
      <c r="AH1860" s="273"/>
    </row>
    <row r="1861" spans="11:34">
      <c r="K1861" s="273"/>
      <c r="S1861" s="273"/>
      <c r="T1861" s="273"/>
      <c r="U1861" s="273"/>
      <c r="AD1861" s="274"/>
      <c r="AE1861" s="274"/>
      <c r="AF1861" s="274"/>
      <c r="AG1861" s="273"/>
      <c r="AH1861" s="273"/>
    </row>
    <row r="1862" spans="11:34">
      <c r="K1862" s="273"/>
      <c r="S1862" s="273"/>
      <c r="T1862" s="273"/>
      <c r="U1862" s="273"/>
      <c r="AD1862" s="274"/>
      <c r="AE1862" s="274"/>
      <c r="AF1862" s="274"/>
      <c r="AG1862" s="273"/>
      <c r="AH1862" s="273"/>
    </row>
    <row r="1863" spans="11:34">
      <c r="K1863" s="273"/>
      <c r="S1863" s="273"/>
      <c r="T1863" s="273"/>
      <c r="U1863" s="273"/>
      <c r="AD1863" s="274"/>
      <c r="AE1863" s="274"/>
      <c r="AF1863" s="274"/>
      <c r="AG1863" s="273"/>
      <c r="AH1863" s="273"/>
    </row>
    <row r="1864" spans="11:34">
      <c r="K1864" s="273"/>
      <c r="S1864" s="273"/>
      <c r="T1864" s="273"/>
      <c r="U1864" s="273"/>
      <c r="AD1864" s="274"/>
      <c r="AE1864" s="274"/>
      <c r="AF1864" s="274"/>
      <c r="AG1864" s="273"/>
      <c r="AH1864" s="273"/>
    </row>
    <row r="1865" spans="11:34">
      <c r="K1865" s="273"/>
      <c r="S1865" s="273"/>
      <c r="T1865" s="273"/>
      <c r="U1865" s="273"/>
      <c r="AD1865" s="274"/>
      <c r="AE1865" s="274"/>
      <c r="AF1865" s="274"/>
      <c r="AG1865" s="273"/>
      <c r="AH1865" s="273"/>
    </row>
    <row r="1866" spans="11:34">
      <c r="K1866" s="273"/>
      <c r="S1866" s="273"/>
      <c r="T1866" s="273"/>
      <c r="U1866" s="273"/>
      <c r="AD1866" s="274"/>
      <c r="AE1866" s="274"/>
      <c r="AF1866" s="274"/>
      <c r="AG1866" s="273"/>
      <c r="AH1866" s="273"/>
    </row>
    <row r="1867" spans="11:34">
      <c r="K1867" s="273"/>
      <c r="S1867" s="273"/>
      <c r="T1867" s="273"/>
      <c r="U1867" s="273"/>
      <c r="AD1867" s="274"/>
      <c r="AE1867" s="274"/>
      <c r="AF1867" s="274"/>
      <c r="AG1867" s="273"/>
      <c r="AH1867" s="273"/>
    </row>
    <row r="1868" spans="11:34">
      <c r="K1868" s="273"/>
      <c r="S1868" s="273"/>
      <c r="T1868" s="273"/>
      <c r="U1868" s="273"/>
      <c r="AD1868" s="274"/>
      <c r="AE1868" s="274"/>
      <c r="AF1868" s="274"/>
      <c r="AG1868" s="273"/>
      <c r="AH1868" s="273"/>
    </row>
    <row r="1869" spans="11:34">
      <c r="K1869" s="273"/>
      <c r="S1869" s="273"/>
      <c r="T1869" s="273"/>
      <c r="U1869" s="273"/>
      <c r="AD1869" s="274"/>
      <c r="AE1869" s="274"/>
      <c r="AF1869" s="274"/>
      <c r="AG1869" s="273"/>
      <c r="AH1869" s="273"/>
    </row>
    <row r="1870" spans="11:34">
      <c r="K1870" s="273"/>
      <c r="S1870" s="273"/>
      <c r="T1870" s="273"/>
      <c r="U1870" s="273"/>
      <c r="AD1870" s="274"/>
      <c r="AE1870" s="274"/>
      <c r="AF1870" s="274"/>
      <c r="AG1870" s="273"/>
      <c r="AH1870" s="273"/>
    </row>
    <row r="1871" spans="11:34">
      <c r="K1871" s="273"/>
      <c r="S1871" s="273"/>
      <c r="T1871" s="273"/>
      <c r="U1871" s="273"/>
      <c r="AD1871" s="274"/>
      <c r="AE1871" s="274"/>
      <c r="AF1871" s="274"/>
      <c r="AG1871" s="273"/>
      <c r="AH1871" s="273"/>
    </row>
    <row r="1872" spans="11:34">
      <c r="K1872" s="273"/>
      <c r="S1872" s="273"/>
      <c r="T1872" s="273"/>
      <c r="U1872" s="273"/>
      <c r="AD1872" s="274"/>
      <c r="AE1872" s="274"/>
      <c r="AF1872" s="274"/>
      <c r="AG1872" s="273"/>
      <c r="AH1872" s="273"/>
    </row>
    <row r="1873" spans="11:34">
      <c r="K1873" s="273"/>
      <c r="S1873" s="273"/>
      <c r="T1873" s="273"/>
      <c r="U1873" s="273"/>
      <c r="AD1873" s="274"/>
      <c r="AE1873" s="274"/>
      <c r="AF1873" s="274"/>
      <c r="AG1873" s="273"/>
      <c r="AH1873" s="273"/>
    </row>
    <row r="1874" spans="11:34">
      <c r="K1874" s="273"/>
      <c r="S1874" s="273"/>
      <c r="T1874" s="273"/>
      <c r="U1874" s="273"/>
      <c r="AD1874" s="274"/>
      <c r="AE1874" s="274"/>
      <c r="AF1874" s="274"/>
      <c r="AG1874" s="273"/>
      <c r="AH1874" s="273"/>
    </row>
    <row r="1875" spans="11:34">
      <c r="K1875" s="273"/>
      <c r="S1875" s="273"/>
      <c r="T1875" s="273"/>
      <c r="U1875" s="273"/>
      <c r="AD1875" s="274"/>
      <c r="AE1875" s="274"/>
      <c r="AF1875" s="274"/>
      <c r="AG1875" s="273"/>
      <c r="AH1875" s="273"/>
    </row>
    <row r="1876" spans="11:34">
      <c r="K1876" s="273"/>
      <c r="S1876" s="273"/>
      <c r="T1876" s="273"/>
      <c r="U1876" s="273"/>
      <c r="AD1876" s="274"/>
      <c r="AE1876" s="274"/>
      <c r="AF1876" s="274"/>
      <c r="AG1876" s="273"/>
      <c r="AH1876" s="273"/>
    </row>
    <row r="1877" spans="11:34">
      <c r="K1877" s="273"/>
      <c r="S1877" s="273"/>
      <c r="T1877" s="273"/>
      <c r="U1877" s="273"/>
      <c r="AD1877" s="274"/>
      <c r="AE1877" s="274"/>
      <c r="AF1877" s="274"/>
      <c r="AG1877" s="273"/>
      <c r="AH1877" s="273"/>
    </row>
    <row r="1878" spans="11:34">
      <c r="K1878" s="273"/>
      <c r="S1878" s="273"/>
      <c r="T1878" s="273"/>
      <c r="U1878" s="273"/>
      <c r="AD1878" s="274"/>
      <c r="AE1878" s="274"/>
      <c r="AF1878" s="274"/>
      <c r="AG1878" s="273"/>
      <c r="AH1878" s="273"/>
    </row>
    <row r="1879" spans="11:34">
      <c r="K1879" s="273"/>
      <c r="S1879" s="273"/>
      <c r="T1879" s="273"/>
      <c r="U1879" s="273"/>
      <c r="AD1879" s="274"/>
      <c r="AE1879" s="274"/>
      <c r="AF1879" s="274"/>
      <c r="AG1879" s="273"/>
      <c r="AH1879" s="273"/>
    </row>
    <row r="1880" spans="11:34">
      <c r="K1880" s="273"/>
      <c r="S1880" s="273"/>
      <c r="T1880" s="273"/>
      <c r="U1880" s="273"/>
      <c r="AD1880" s="274"/>
      <c r="AE1880" s="274"/>
      <c r="AF1880" s="274"/>
      <c r="AG1880" s="273"/>
      <c r="AH1880" s="273"/>
    </row>
    <row r="1881" spans="11:34">
      <c r="K1881" s="273"/>
      <c r="S1881" s="273"/>
      <c r="T1881" s="273"/>
      <c r="U1881" s="273"/>
      <c r="AD1881" s="274"/>
      <c r="AE1881" s="274"/>
      <c r="AF1881" s="274"/>
      <c r="AG1881" s="273"/>
      <c r="AH1881" s="273"/>
    </row>
    <row r="1882" spans="11:34">
      <c r="K1882" s="273"/>
      <c r="S1882" s="273"/>
      <c r="T1882" s="273"/>
      <c r="U1882" s="273"/>
      <c r="AD1882" s="274"/>
      <c r="AE1882" s="274"/>
      <c r="AF1882" s="274"/>
      <c r="AG1882" s="273"/>
      <c r="AH1882" s="273"/>
    </row>
    <row r="1883" spans="11:34">
      <c r="K1883" s="273"/>
      <c r="S1883" s="273"/>
      <c r="T1883" s="273"/>
      <c r="U1883" s="273"/>
      <c r="AD1883" s="274"/>
      <c r="AE1883" s="274"/>
      <c r="AF1883" s="274"/>
      <c r="AG1883" s="273"/>
      <c r="AH1883" s="273"/>
    </row>
    <row r="1884" spans="11:34">
      <c r="K1884" s="273"/>
      <c r="S1884" s="273"/>
      <c r="T1884" s="273"/>
      <c r="U1884" s="273"/>
      <c r="AD1884" s="274"/>
      <c r="AE1884" s="274"/>
      <c r="AF1884" s="274"/>
      <c r="AG1884" s="273"/>
      <c r="AH1884" s="273"/>
    </row>
    <row r="1885" spans="11:34">
      <c r="K1885" s="273"/>
      <c r="S1885" s="273"/>
      <c r="T1885" s="273"/>
      <c r="U1885" s="273"/>
      <c r="AD1885" s="274"/>
      <c r="AE1885" s="274"/>
      <c r="AF1885" s="274"/>
      <c r="AG1885" s="273"/>
      <c r="AH1885" s="273"/>
    </row>
    <row r="1886" spans="11:34">
      <c r="K1886" s="273"/>
      <c r="S1886" s="273"/>
      <c r="T1886" s="273"/>
      <c r="U1886" s="273"/>
      <c r="AD1886" s="274"/>
      <c r="AE1886" s="274"/>
      <c r="AF1886" s="274"/>
      <c r="AG1886" s="273"/>
      <c r="AH1886" s="273"/>
    </row>
    <row r="1887" spans="11:34">
      <c r="K1887" s="273"/>
      <c r="S1887" s="273"/>
      <c r="T1887" s="273"/>
      <c r="U1887" s="273"/>
      <c r="AD1887" s="274"/>
      <c r="AE1887" s="274"/>
      <c r="AF1887" s="274"/>
      <c r="AG1887" s="273"/>
      <c r="AH1887" s="273"/>
    </row>
    <row r="1888" spans="11:34">
      <c r="K1888" s="273"/>
      <c r="S1888" s="273"/>
      <c r="T1888" s="273"/>
      <c r="U1888" s="273"/>
      <c r="AD1888" s="274"/>
      <c r="AE1888" s="274"/>
      <c r="AF1888" s="274"/>
      <c r="AG1888" s="273"/>
      <c r="AH1888" s="273"/>
    </row>
    <row r="1889" spans="11:34">
      <c r="K1889" s="273"/>
      <c r="S1889" s="273"/>
      <c r="T1889" s="273"/>
      <c r="U1889" s="273"/>
      <c r="AD1889" s="274"/>
      <c r="AE1889" s="274"/>
      <c r="AF1889" s="274"/>
      <c r="AG1889" s="273"/>
      <c r="AH1889" s="273"/>
    </row>
    <row r="1890" spans="11:34">
      <c r="K1890" s="273"/>
      <c r="S1890" s="273"/>
      <c r="T1890" s="273"/>
      <c r="U1890" s="273"/>
      <c r="AD1890" s="274"/>
      <c r="AE1890" s="274"/>
      <c r="AF1890" s="274"/>
      <c r="AG1890" s="273"/>
      <c r="AH1890" s="273"/>
    </row>
    <row r="1891" spans="11:34">
      <c r="K1891" s="273"/>
      <c r="S1891" s="273"/>
      <c r="T1891" s="273"/>
      <c r="U1891" s="273"/>
      <c r="AD1891" s="274"/>
      <c r="AE1891" s="274"/>
      <c r="AF1891" s="274"/>
      <c r="AG1891" s="273"/>
      <c r="AH1891" s="273"/>
    </row>
    <row r="1892" spans="11:34">
      <c r="K1892" s="273"/>
      <c r="S1892" s="273"/>
      <c r="T1892" s="273"/>
      <c r="U1892" s="273"/>
      <c r="AD1892" s="274"/>
      <c r="AE1892" s="274"/>
      <c r="AF1892" s="274"/>
      <c r="AG1892" s="273"/>
      <c r="AH1892" s="273"/>
    </row>
    <row r="1893" spans="11:34">
      <c r="K1893" s="273"/>
      <c r="S1893" s="273"/>
      <c r="T1893" s="273"/>
      <c r="U1893" s="273"/>
      <c r="AD1893" s="274"/>
      <c r="AE1893" s="274"/>
      <c r="AF1893" s="274"/>
      <c r="AG1893" s="273"/>
      <c r="AH1893" s="273"/>
    </row>
    <row r="1894" spans="11:34">
      <c r="K1894" s="273"/>
      <c r="S1894" s="273"/>
      <c r="T1894" s="273"/>
      <c r="U1894" s="273"/>
      <c r="AD1894" s="274"/>
      <c r="AE1894" s="274"/>
      <c r="AF1894" s="274"/>
      <c r="AG1894" s="273"/>
      <c r="AH1894" s="273"/>
    </row>
    <row r="1895" spans="11:34">
      <c r="K1895" s="273"/>
      <c r="S1895" s="273"/>
      <c r="T1895" s="273"/>
      <c r="U1895" s="273"/>
      <c r="AD1895" s="274"/>
      <c r="AE1895" s="274"/>
      <c r="AF1895" s="274"/>
      <c r="AG1895" s="273"/>
      <c r="AH1895" s="273"/>
    </row>
    <row r="1896" spans="11:34">
      <c r="K1896" s="273"/>
      <c r="S1896" s="273"/>
      <c r="T1896" s="273"/>
      <c r="U1896" s="273"/>
      <c r="AD1896" s="274"/>
      <c r="AE1896" s="274"/>
      <c r="AF1896" s="274"/>
      <c r="AG1896" s="273"/>
      <c r="AH1896" s="273"/>
    </row>
    <row r="1897" spans="11:34">
      <c r="K1897" s="273"/>
      <c r="S1897" s="273"/>
      <c r="T1897" s="273"/>
      <c r="U1897" s="273"/>
      <c r="AD1897" s="274"/>
      <c r="AE1897" s="274"/>
      <c r="AF1897" s="274"/>
      <c r="AG1897" s="273"/>
      <c r="AH1897" s="273"/>
    </row>
    <row r="1898" spans="11:34">
      <c r="K1898" s="273"/>
      <c r="S1898" s="273"/>
      <c r="T1898" s="273"/>
      <c r="U1898" s="273"/>
      <c r="AD1898" s="274"/>
      <c r="AE1898" s="274"/>
      <c r="AF1898" s="274"/>
      <c r="AG1898" s="273"/>
      <c r="AH1898" s="273"/>
    </row>
    <row r="1899" spans="11:34">
      <c r="K1899" s="273"/>
      <c r="S1899" s="273"/>
      <c r="T1899" s="273"/>
      <c r="U1899" s="273"/>
      <c r="AD1899" s="274"/>
      <c r="AE1899" s="274"/>
      <c r="AF1899" s="274"/>
      <c r="AG1899" s="273"/>
      <c r="AH1899" s="273"/>
    </row>
    <row r="1900" spans="11:34">
      <c r="K1900" s="273"/>
      <c r="S1900" s="273"/>
      <c r="T1900" s="273"/>
      <c r="U1900" s="273"/>
      <c r="AD1900" s="274"/>
      <c r="AE1900" s="274"/>
      <c r="AF1900" s="274"/>
      <c r="AG1900" s="273"/>
      <c r="AH1900" s="273"/>
    </row>
    <row r="1901" spans="11:34">
      <c r="K1901" s="273"/>
      <c r="S1901" s="273"/>
      <c r="T1901" s="273"/>
      <c r="U1901" s="273"/>
      <c r="AD1901" s="274"/>
      <c r="AE1901" s="274"/>
      <c r="AF1901" s="274"/>
      <c r="AG1901" s="273"/>
      <c r="AH1901" s="273"/>
    </row>
    <row r="1902" spans="11:34">
      <c r="K1902" s="273"/>
      <c r="S1902" s="273"/>
      <c r="T1902" s="273"/>
      <c r="U1902" s="273"/>
      <c r="AD1902" s="274"/>
      <c r="AE1902" s="274"/>
      <c r="AF1902" s="274"/>
      <c r="AG1902" s="273"/>
      <c r="AH1902" s="273"/>
    </row>
    <row r="1903" spans="11:34">
      <c r="K1903" s="273"/>
      <c r="S1903" s="273"/>
      <c r="T1903" s="273"/>
      <c r="U1903" s="273"/>
      <c r="AD1903" s="274"/>
      <c r="AE1903" s="274"/>
      <c r="AF1903" s="274"/>
      <c r="AG1903" s="273"/>
      <c r="AH1903" s="273"/>
    </row>
    <row r="1904" spans="11:34">
      <c r="K1904" s="273"/>
      <c r="S1904" s="273"/>
      <c r="T1904" s="273"/>
      <c r="U1904" s="273"/>
      <c r="AD1904" s="274"/>
      <c r="AE1904" s="274"/>
      <c r="AF1904" s="274"/>
      <c r="AG1904" s="273"/>
      <c r="AH1904" s="273"/>
    </row>
    <row r="1905" spans="11:34">
      <c r="K1905" s="273"/>
      <c r="S1905" s="273"/>
      <c r="T1905" s="273"/>
      <c r="U1905" s="273"/>
      <c r="AD1905" s="274"/>
      <c r="AE1905" s="274"/>
      <c r="AF1905" s="274"/>
      <c r="AG1905" s="273"/>
      <c r="AH1905" s="273"/>
    </row>
    <row r="1906" spans="11:34">
      <c r="K1906" s="273"/>
      <c r="S1906" s="273"/>
      <c r="T1906" s="273"/>
      <c r="U1906" s="273"/>
      <c r="AD1906" s="274"/>
      <c r="AE1906" s="274"/>
      <c r="AF1906" s="274"/>
      <c r="AG1906" s="273"/>
      <c r="AH1906" s="273"/>
    </row>
    <row r="1907" spans="11:34">
      <c r="K1907" s="273"/>
      <c r="S1907" s="273"/>
      <c r="T1907" s="273"/>
      <c r="U1907" s="273"/>
      <c r="AD1907" s="274"/>
      <c r="AE1907" s="274"/>
      <c r="AF1907" s="274"/>
      <c r="AG1907" s="273"/>
      <c r="AH1907" s="273"/>
    </row>
    <row r="1908" spans="11:34">
      <c r="K1908" s="273"/>
      <c r="S1908" s="273"/>
      <c r="T1908" s="273"/>
      <c r="U1908" s="273"/>
      <c r="AD1908" s="274"/>
      <c r="AE1908" s="274"/>
      <c r="AF1908" s="274"/>
      <c r="AG1908" s="273"/>
      <c r="AH1908" s="273"/>
    </row>
    <row r="1909" spans="11:34">
      <c r="K1909" s="273"/>
      <c r="S1909" s="273"/>
      <c r="T1909" s="273"/>
      <c r="U1909" s="273"/>
      <c r="AD1909" s="274"/>
      <c r="AE1909" s="274"/>
      <c r="AF1909" s="274"/>
      <c r="AG1909" s="273"/>
      <c r="AH1909" s="273"/>
    </row>
    <row r="1910" spans="11:34">
      <c r="K1910" s="273"/>
      <c r="S1910" s="273"/>
      <c r="T1910" s="273"/>
      <c r="U1910" s="273"/>
      <c r="AD1910" s="274"/>
      <c r="AE1910" s="274"/>
      <c r="AF1910" s="274"/>
      <c r="AG1910" s="273"/>
      <c r="AH1910" s="273"/>
    </row>
    <row r="1911" spans="11:34">
      <c r="K1911" s="273"/>
      <c r="S1911" s="273"/>
      <c r="T1911" s="273"/>
      <c r="U1911" s="273"/>
      <c r="AD1911" s="274"/>
      <c r="AE1911" s="274"/>
      <c r="AF1911" s="274"/>
      <c r="AG1911" s="273"/>
      <c r="AH1911" s="273"/>
    </row>
    <row r="1912" spans="11:34">
      <c r="K1912" s="273"/>
      <c r="S1912" s="273"/>
      <c r="T1912" s="273"/>
      <c r="U1912" s="273"/>
      <c r="AD1912" s="274"/>
      <c r="AE1912" s="274"/>
      <c r="AF1912" s="274"/>
      <c r="AG1912" s="273"/>
      <c r="AH1912" s="273"/>
    </row>
    <row r="1913" spans="11:34">
      <c r="K1913" s="273"/>
      <c r="S1913" s="273"/>
      <c r="T1913" s="273"/>
      <c r="U1913" s="273"/>
      <c r="AD1913" s="274"/>
      <c r="AE1913" s="274"/>
      <c r="AF1913" s="274"/>
      <c r="AG1913" s="273"/>
      <c r="AH1913" s="273"/>
    </row>
    <row r="1914" spans="11:34">
      <c r="K1914" s="273"/>
      <c r="S1914" s="273"/>
      <c r="T1914" s="273"/>
      <c r="U1914" s="273"/>
      <c r="AD1914" s="274"/>
      <c r="AE1914" s="274"/>
      <c r="AF1914" s="274"/>
      <c r="AG1914" s="273"/>
      <c r="AH1914" s="273"/>
    </row>
    <row r="1915" spans="11:34">
      <c r="K1915" s="273"/>
      <c r="S1915" s="273"/>
      <c r="T1915" s="273"/>
      <c r="U1915" s="273"/>
      <c r="AD1915" s="274"/>
      <c r="AE1915" s="274"/>
      <c r="AF1915" s="274"/>
      <c r="AG1915" s="273"/>
      <c r="AH1915" s="273"/>
    </row>
    <row r="1916" spans="11:34">
      <c r="K1916" s="273"/>
      <c r="S1916" s="273"/>
      <c r="T1916" s="273"/>
      <c r="U1916" s="273"/>
      <c r="AD1916" s="274"/>
      <c r="AE1916" s="274"/>
      <c r="AF1916" s="274"/>
      <c r="AG1916" s="273"/>
      <c r="AH1916" s="273"/>
    </row>
    <row r="1917" spans="11:34">
      <c r="K1917" s="273"/>
      <c r="S1917" s="273"/>
      <c r="T1917" s="273"/>
      <c r="U1917" s="273"/>
      <c r="AD1917" s="274"/>
      <c r="AE1917" s="274"/>
      <c r="AF1917" s="274"/>
      <c r="AG1917" s="273"/>
      <c r="AH1917" s="273"/>
    </row>
    <row r="1918" spans="11:34">
      <c r="K1918" s="273"/>
      <c r="S1918" s="273"/>
      <c r="T1918" s="273"/>
      <c r="U1918" s="273"/>
      <c r="AD1918" s="274"/>
      <c r="AE1918" s="274"/>
      <c r="AF1918" s="274"/>
      <c r="AG1918" s="273"/>
      <c r="AH1918" s="273"/>
    </row>
    <row r="1919" spans="11:34">
      <c r="K1919" s="273"/>
      <c r="S1919" s="273"/>
      <c r="T1919" s="273"/>
      <c r="U1919" s="273"/>
      <c r="AD1919" s="274"/>
      <c r="AE1919" s="274"/>
      <c r="AF1919" s="274"/>
      <c r="AG1919" s="273"/>
      <c r="AH1919" s="273"/>
    </row>
    <row r="1920" spans="11:34">
      <c r="K1920" s="273"/>
      <c r="S1920" s="273"/>
      <c r="T1920" s="273"/>
      <c r="U1920" s="273"/>
      <c r="AD1920" s="274"/>
      <c r="AE1920" s="274"/>
      <c r="AF1920" s="274"/>
      <c r="AG1920" s="273"/>
      <c r="AH1920" s="273"/>
    </row>
    <row r="1921" spans="11:34">
      <c r="K1921" s="273"/>
      <c r="S1921" s="273"/>
      <c r="T1921" s="273"/>
      <c r="U1921" s="273"/>
      <c r="AD1921" s="274"/>
      <c r="AE1921" s="274"/>
      <c r="AF1921" s="274"/>
      <c r="AG1921" s="273"/>
      <c r="AH1921" s="273"/>
    </row>
    <row r="1922" spans="11:34">
      <c r="K1922" s="273"/>
      <c r="S1922" s="273"/>
      <c r="T1922" s="273"/>
      <c r="U1922" s="273"/>
      <c r="AD1922" s="274"/>
      <c r="AE1922" s="274"/>
      <c r="AF1922" s="274"/>
      <c r="AG1922" s="273"/>
      <c r="AH1922" s="273"/>
    </row>
    <row r="1923" spans="11:34">
      <c r="K1923" s="273"/>
      <c r="S1923" s="273"/>
      <c r="T1923" s="273"/>
      <c r="U1923" s="273"/>
      <c r="AD1923" s="274"/>
      <c r="AE1923" s="274"/>
      <c r="AF1923" s="274"/>
      <c r="AG1923" s="273"/>
      <c r="AH1923" s="273"/>
    </row>
    <row r="1924" spans="11:34">
      <c r="K1924" s="273"/>
      <c r="S1924" s="273"/>
      <c r="T1924" s="273"/>
      <c r="U1924" s="273"/>
      <c r="AD1924" s="274"/>
      <c r="AE1924" s="274"/>
      <c r="AF1924" s="274"/>
      <c r="AG1924" s="273"/>
      <c r="AH1924" s="273"/>
    </row>
    <row r="1925" spans="11:34">
      <c r="K1925" s="273"/>
      <c r="S1925" s="273"/>
      <c r="T1925" s="273"/>
      <c r="U1925" s="273"/>
      <c r="AD1925" s="274"/>
      <c r="AE1925" s="274"/>
      <c r="AF1925" s="274"/>
      <c r="AG1925" s="273"/>
      <c r="AH1925" s="273"/>
    </row>
    <row r="1926" spans="11:34">
      <c r="K1926" s="273"/>
      <c r="S1926" s="273"/>
      <c r="T1926" s="273"/>
      <c r="U1926" s="273"/>
      <c r="AD1926" s="274"/>
      <c r="AE1926" s="274"/>
      <c r="AF1926" s="274"/>
      <c r="AG1926" s="273"/>
      <c r="AH1926" s="273"/>
    </row>
    <row r="1927" spans="11:34">
      <c r="K1927" s="273"/>
      <c r="S1927" s="273"/>
      <c r="T1927" s="273"/>
      <c r="U1927" s="273"/>
      <c r="AD1927" s="274"/>
      <c r="AE1927" s="274"/>
      <c r="AF1927" s="274"/>
      <c r="AG1927" s="273"/>
      <c r="AH1927" s="273"/>
    </row>
    <row r="1928" spans="11:34">
      <c r="K1928" s="273"/>
      <c r="S1928" s="273"/>
      <c r="T1928" s="273"/>
      <c r="U1928" s="273"/>
      <c r="AD1928" s="274"/>
      <c r="AE1928" s="274"/>
      <c r="AF1928" s="274"/>
      <c r="AG1928" s="273"/>
      <c r="AH1928" s="273"/>
    </row>
    <row r="1929" spans="11:34">
      <c r="K1929" s="273"/>
      <c r="S1929" s="273"/>
      <c r="T1929" s="273"/>
      <c r="U1929" s="273"/>
      <c r="AD1929" s="274"/>
      <c r="AE1929" s="274"/>
      <c r="AF1929" s="274"/>
      <c r="AG1929" s="273"/>
      <c r="AH1929" s="273"/>
    </row>
    <row r="1930" spans="11:34">
      <c r="K1930" s="273"/>
      <c r="S1930" s="273"/>
      <c r="T1930" s="273"/>
      <c r="U1930" s="273"/>
      <c r="AD1930" s="274"/>
      <c r="AE1930" s="274"/>
      <c r="AF1930" s="274"/>
      <c r="AG1930" s="273"/>
      <c r="AH1930" s="273"/>
    </row>
    <row r="1931" spans="11:34">
      <c r="K1931" s="273"/>
      <c r="S1931" s="273"/>
      <c r="T1931" s="273"/>
      <c r="U1931" s="273"/>
      <c r="AD1931" s="274"/>
      <c r="AE1931" s="274"/>
      <c r="AF1931" s="274"/>
      <c r="AG1931" s="273"/>
      <c r="AH1931" s="273"/>
    </row>
    <row r="1932" spans="11:34">
      <c r="K1932" s="273"/>
      <c r="S1932" s="273"/>
      <c r="T1932" s="273"/>
      <c r="U1932" s="273"/>
      <c r="AD1932" s="274"/>
      <c r="AE1932" s="274"/>
      <c r="AF1932" s="274"/>
      <c r="AG1932" s="273"/>
      <c r="AH1932" s="273"/>
    </row>
    <row r="1933" spans="11:34">
      <c r="K1933" s="273"/>
      <c r="S1933" s="273"/>
      <c r="T1933" s="273"/>
      <c r="U1933" s="273"/>
      <c r="AD1933" s="274"/>
      <c r="AE1933" s="274"/>
      <c r="AF1933" s="274"/>
      <c r="AG1933" s="273"/>
      <c r="AH1933" s="273"/>
    </row>
    <row r="1934" spans="11:34">
      <c r="K1934" s="273"/>
      <c r="S1934" s="273"/>
      <c r="T1934" s="273"/>
      <c r="U1934" s="273"/>
      <c r="AD1934" s="274"/>
      <c r="AE1934" s="274"/>
      <c r="AF1934" s="274"/>
      <c r="AG1934" s="273"/>
      <c r="AH1934" s="273"/>
    </row>
    <row r="1935" spans="11:34">
      <c r="K1935" s="273"/>
      <c r="S1935" s="273"/>
      <c r="T1935" s="273"/>
      <c r="U1935" s="273"/>
      <c r="AD1935" s="274"/>
      <c r="AE1935" s="274"/>
      <c r="AF1935" s="274"/>
      <c r="AG1935" s="273"/>
      <c r="AH1935" s="273"/>
    </row>
    <row r="1936" spans="11:34">
      <c r="K1936" s="273"/>
      <c r="S1936" s="273"/>
      <c r="T1936" s="273"/>
      <c r="U1936" s="273"/>
      <c r="AD1936" s="274"/>
      <c r="AE1936" s="274"/>
      <c r="AF1936" s="274"/>
      <c r="AG1936" s="273"/>
      <c r="AH1936" s="273"/>
    </row>
    <row r="1937" spans="11:34">
      <c r="K1937" s="273"/>
      <c r="S1937" s="273"/>
      <c r="T1937" s="273"/>
      <c r="U1937" s="273"/>
      <c r="AD1937" s="274"/>
      <c r="AE1937" s="274"/>
      <c r="AF1937" s="274"/>
      <c r="AG1937" s="273"/>
      <c r="AH1937" s="273"/>
    </row>
    <row r="1938" spans="11:34">
      <c r="K1938" s="273"/>
      <c r="S1938" s="273"/>
      <c r="T1938" s="273"/>
      <c r="U1938" s="273"/>
      <c r="AD1938" s="274"/>
      <c r="AE1938" s="274"/>
      <c r="AF1938" s="274"/>
      <c r="AG1938" s="273"/>
      <c r="AH1938" s="273"/>
    </row>
    <row r="1939" spans="11:34">
      <c r="K1939" s="273"/>
      <c r="S1939" s="273"/>
      <c r="T1939" s="273"/>
      <c r="U1939" s="273"/>
      <c r="AD1939" s="274"/>
      <c r="AE1939" s="274"/>
      <c r="AF1939" s="274"/>
      <c r="AG1939" s="273"/>
      <c r="AH1939" s="273"/>
    </row>
    <row r="1940" spans="11:34">
      <c r="K1940" s="273"/>
      <c r="S1940" s="273"/>
      <c r="T1940" s="273"/>
      <c r="U1940" s="273"/>
      <c r="AD1940" s="274"/>
      <c r="AE1940" s="274"/>
      <c r="AF1940" s="274"/>
      <c r="AG1940" s="273"/>
      <c r="AH1940" s="273"/>
    </row>
    <row r="1941" spans="11:34">
      <c r="K1941" s="273"/>
      <c r="S1941" s="273"/>
      <c r="T1941" s="273"/>
      <c r="U1941" s="273"/>
      <c r="AD1941" s="274"/>
      <c r="AE1941" s="274"/>
      <c r="AF1941" s="274"/>
      <c r="AG1941" s="273"/>
      <c r="AH1941" s="273"/>
    </row>
    <row r="1942" spans="11:34">
      <c r="K1942" s="273"/>
      <c r="S1942" s="273"/>
      <c r="T1942" s="273"/>
      <c r="U1942" s="273"/>
      <c r="AD1942" s="274"/>
      <c r="AE1942" s="274"/>
      <c r="AF1942" s="274"/>
      <c r="AG1942" s="273"/>
      <c r="AH1942" s="273"/>
    </row>
    <row r="1943" spans="11:34">
      <c r="K1943" s="273"/>
      <c r="S1943" s="273"/>
      <c r="T1943" s="273"/>
      <c r="U1943" s="273"/>
      <c r="AD1943" s="274"/>
      <c r="AE1943" s="274"/>
      <c r="AF1943" s="274"/>
      <c r="AG1943" s="273"/>
      <c r="AH1943" s="273"/>
    </row>
    <row r="1944" spans="11:34">
      <c r="K1944" s="273"/>
      <c r="S1944" s="273"/>
      <c r="T1944" s="273"/>
      <c r="U1944" s="273"/>
      <c r="AD1944" s="274"/>
      <c r="AE1944" s="274"/>
      <c r="AF1944" s="274"/>
      <c r="AG1944" s="273"/>
      <c r="AH1944" s="273"/>
    </row>
    <row r="1945" spans="11:34">
      <c r="K1945" s="273"/>
      <c r="S1945" s="273"/>
      <c r="T1945" s="273"/>
      <c r="U1945" s="273"/>
      <c r="AD1945" s="274"/>
      <c r="AE1945" s="274"/>
      <c r="AF1945" s="274"/>
      <c r="AG1945" s="273"/>
      <c r="AH1945" s="273"/>
    </row>
    <row r="1946" spans="11:34">
      <c r="K1946" s="273"/>
      <c r="S1946" s="273"/>
      <c r="T1946" s="273"/>
      <c r="U1946" s="273"/>
      <c r="AD1946" s="274"/>
      <c r="AE1946" s="274"/>
      <c r="AF1946" s="274"/>
      <c r="AG1946" s="273"/>
      <c r="AH1946" s="273"/>
    </row>
    <row r="1947" spans="11:34">
      <c r="K1947" s="273"/>
      <c r="S1947" s="273"/>
      <c r="T1947" s="273"/>
      <c r="U1947" s="273"/>
      <c r="AD1947" s="274"/>
      <c r="AE1947" s="274"/>
      <c r="AF1947" s="274"/>
      <c r="AG1947" s="273"/>
      <c r="AH1947" s="273"/>
    </row>
    <row r="1948" spans="11:34">
      <c r="K1948" s="273"/>
      <c r="S1948" s="273"/>
      <c r="T1948" s="273"/>
      <c r="U1948" s="273"/>
      <c r="AD1948" s="274"/>
      <c r="AE1948" s="274"/>
      <c r="AF1948" s="274"/>
      <c r="AG1948" s="273"/>
      <c r="AH1948" s="273"/>
    </row>
    <row r="1949" spans="11:34">
      <c r="K1949" s="273"/>
      <c r="S1949" s="273"/>
      <c r="T1949" s="273"/>
      <c r="U1949" s="273"/>
      <c r="AD1949" s="274"/>
      <c r="AE1949" s="274"/>
      <c r="AF1949" s="274"/>
      <c r="AG1949" s="273"/>
      <c r="AH1949" s="273"/>
    </row>
    <row r="1950" spans="11:34">
      <c r="K1950" s="273"/>
      <c r="S1950" s="273"/>
      <c r="T1950" s="273"/>
      <c r="U1950" s="273"/>
      <c r="AD1950" s="274"/>
      <c r="AE1950" s="274"/>
      <c r="AF1950" s="274"/>
      <c r="AG1950" s="273"/>
      <c r="AH1950" s="273"/>
    </row>
    <row r="1951" spans="11:34">
      <c r="K1951" s="273"/>
      <c r="S1951" s="273"/>
      <c r="T1951" s="273"/>
      <c r="U1951" s="273"/>
      <c r="AD1951" s="274"/>
      <c r="AE1951" s="274"/>
      <c r="AF1951" s="274"/>
      <c r="AG1951" s="273"/>
      <c r="AH1951" s="273"/>
    </row>
    <row r="1952" spans="11:34">
      <c r="K1952" s="273"/>
      <c r="S1952" s="273"/>
      <c r="T1952" s="273"/>
      <c r="U1952" s="273"/>
      <c r="AD1952" s="274"/>
      <c r="AE1952" s="274"/>
      <c r="AF1952" s="274"/>
      <c r="AG1952" s="273"/>
      <c r="AH1952" s="273"/>
    </row>
    <row r="1953" spans="11:34">
      <c r="K1953" s="273"/>
      <c r="S1953" s="273"/>
      <c r="T1953" s="273"/>
      <c r="U1953" s="273"/>
      <c r="AD1953" s="274"/>
      <c r="AE1953" s="274"/>
      <c r="AF1953" s="274"/>
      <c r="AG1953" s="273"/>
      <c r="AH1953" s="273"/>
    </row>
    <row r="1954" spans="11:34">
      <c r="K1954" s="273"/>
      <c r="S1954" s="273"/>
      <c r="T1954" s="273"/>
      <c r="U1954" s="273"/>
      <c r="AD1954" s="274"/>
      <c r="AE1954" s="274"/>
      <c r="AF1954" s="274"/>
      <c r="AG1954" s="273"/>
      <c r="AH1954" s="273"/>
    </row>
    <row r="1955" spans="11:34">
      <c r="K1955" s="273"/>
      <c r="S1955" s="273"/>
      <c r="T1955" s="273"/>
      <c r="U1955" s="273"/>
      <c r="AD1955" s="274"/>
      <c r="AE1955" s="274"/>
      <c r="AF1955" s="274"/>
      <c r="AG1955" s="273"/>
      <c r="AH1955" s="273"/>
    </row>
    <row r="1956" spans="11:34">
      <c r="K1956" s="273"/>
      <c r="S1956" s="273"/>
      <c r="T1956" s="273"/>
      <c r="U1956" s="273"/>
      <c r="AD1956" s="274"/>
      <c r="AE1956" s="274"/>
      <c r="AF1956" s="274"/>
      <c r="AG1956" s="273"/>
      <c r="AH1956" s="273"/>
    </row>
    <row r="1957" spans="11:34">
      <c r="K1957" s="273"/>
      <c r="S1957" s="273"/>
      <c r="T1957" s="273"/>
      <c r="U1957" s="273"/>
      <c r="AD1957" s="274"/>
      <c r="AE1957" s="274"/>
      <c r="AF1957" s="274"/>
      <c r="AG1957" s="273"/>
      <c r="AH1957" s="273"/>
    </row>
    <row r="1958" spans="11:34">
      <c r="K1958" s="273"/>
      <c r="S1958" s="273"/>
      <c r="T1958" s="273"/>
      <c r="U1958" s="273"/>
      <c r="AD1958" s="274"/>
      <c r="AE1958" s="274"/>
      <c r="AF1958" s="274"/>
      <c r="AG1958" s="273"/>
      <c r="AH1958" s="273"/>
    </row>
    <row r="1959" spans="11:34">
      <c r="K1959" s="273"/>
      <c r="S1959" s="273"/>
      <c r="T1959" s="273"/>
      <c r="U1959" s="273"/>
      <c r="AD1959" s="274"/>
      <c r="AE1959" s="274"/>
      <c r="AF1959" s="274"/>
      <c r="AG1959" s="273"/>
      <c r="AH1959" s="273"/>
    </row>
    <row r="1960" spans="11:34">
      <c r="K1960" s="273"/>
      <c r="S1960" s="273"/>
      <c r="T1960" s="273"/>
      <c r="U1960" s="273"/>
      <c r="AD1960" s="274"/>
      <c r="AE1960" s="274"/>
      <c r="AF1960" s="274"/>
      <c r="AG1960" s="273"/>
      <c r="AH1960" s="273"/>
    </row>
    <row r="1961" spans="11:34">
      <c r="K1961" s="273"/>
      <c r="S1961" s="273"/>
      <c r="T1961" s="273"/>
      <c r="U1961" s="273"/>
      <c r="AD1961" s="274"/>
      <c r="AE1961" s="274"/>
      <c r="AF1961" s="274"/>
      <c r="AG1961" s="273"/>
      <c r="AH1961" s="273"/>
    </row>
    <row r="1962" spans="11:34">
      <c r="K1962" s="273"/>
      <c r="S1962" s="273"/>
      <c r="T1962" s="273"/>
      <c r="U1962" s="273"/>
      <c r="AD1962" s="274"/>
      <c r="AE1962" s="274"/>
      <c r="AF1962" s="274"/>
      <c r="AG1962" s="273"/>
      <c r="AH1962" s="273"/>
    </row>
    <row r="1963" spans="11:34">
      <c r="K1963" s="273"/>
      <c r="S1963" s="273"/>
      <c r="T1963" s="273"/>
      <c r="U1963" s="273"/>
      <c r="AD1963" s="274"/>
      <c r="AE1963" s="274"/>
      <c r="AF1963" s="274"/>
      <c r="AG1963" s="273"/>
      <c r="AH1963" s="273"/>
    </row>
    <row r="1964" spans="11:34">
      <c r="K1964" s="273"/>
      <c r="S1964" s="273"/>
      <c r="T1964" s="273"/>
      <c r="U1964" s="273"/>
      <c r="AD1964" s="274"/>
      <c r="AE1964" s="274"/>
      <c r="AF1964" s="274"/>
      <c r="AG1964" s="273"/>
      <c r="AH1964" s="273"/>
    </row>
    <row r="1965" spans="11:34">
      <c r="K1965" s="273"/>
      <c r="S1965" s="273"/>
      <c r="T1965" s="273"/>
      <c r="U1965" s="273"/>
      <c r="AD1965" s="274"/>
      <c r="AE1965" s="274"/>
      <c r="AF1965" s="274"/>
      <c r="AG1965" s="273"/>
      <c r="AH1965" s="273"/>
    </row>
    <row r="1966" spans="11:34">
      <c r="K1966" s="273"/>
      <c r="S1966" s="273"/>
      <c r="T1966" s="273"/>
      <c r="U1966" s="273"/>
      <c r="AD1966" s="274"/>
      <c r="AE1966" s="274"/>
      <c r="AF1966" s="274"/>
      <c r="AG1966" s="273"/>
      <c r="AH1966" s="273"/>
    </row>
    <row r="1967" spans="11:34">
      <c r="K1967" s="273"/>
      <c r="S1967" s="273"/>
      <c r="T1967" s="273"/>
      <c r="U1967" s="273"/>
      <c r="AD1967" s="274"/>
      <c r="AE1967" s="274"/>
      <c r="AF1967" s="274"/>
      <c r="AG1967" s="273"/>
      <c r="AH1967" s="273"/>
    </row>
    <row r="1968" spans="11:34">
      <c r="K1968" s="273"/>
      <c r="S1968" s="273"/>
      <c r="T1968" s="273"/>
      <c r="U1968" s="273"/>
      <c r="AD1968" s="274"/>
      <c r="AE1968" s="274"/>
      <c r="AF1968" s="274"/>
      <c r="AG1968" s="273"/>
      <c r="AH1968" s="273"/>
    </row>
    <row r="1969" spans="11:34">
      <c r="K1969" s="273"/>
      <c r="S1969" s="273"/>
      <c r="T1969" s="273"/>
      <c r="U1969" s="273"/>
      <c r="AD1969" s="274"/>
      <c r="AE1969" s="274"/>
      <c r="AF1969" s="274"/>
      <c r="AG1969" s="273"/>
      <c r="AH1969" s="273"/>
    </row>
    <row r="1970" spans="11:34">
      <c r="K1970" s="273"/>
      <c r="S1970" s="273"/>
      <c r="T1970" s="273"/>
      <c r="U1970" s="273"/>
      <c r="AD1970" s="274"/>
      <c r="AE1970" s="274"/>
      <c r="AF1970" s="274"/>
      <c r="AG1970" s="273"/>
      <c r="AH1970" s="273"/>
    </row>
    <row r="1971" spans="11:34">
      <c r="K1971" s="273"/>
      <c r="S1971" s="273"/>
      <c r="T1971" s="273"/>
      <c r="U1971" s="273"/>
      <c r="AD1971" s="274"/>
      <c r="AE1971" s="274"/>
      <c r="AF1971" s="274"/>
      <c r="AG1971" s="273"/>
      <c r="AH1971" s="273"/>
    </row>
    <row r="1972" spans="11:34">
      <c r="K1972" s="273"/>
      <c r="S1972" s="273"/>
      <c r="T1972" s="273"/>
      <c r="U1972" s="273"/>
      <c r="AD1972" s="274"/>
      <c r="AE1972" s="274"/>
      <c r="AF1972" s="274"/>
      <c r="AG1972" s="273"/>
      <c r="AH1972" s="273"/>
    </row>
    <row r="1973" spans="11:34">
      <c r="K1973" s="273"/>
      <c r="S1973" s="273"/>
      <c r="T1973" s="273"/>
      <c r="U1973" s="273"/>
      <c r="AD1973" s="274"/>
      <c r="AE1973" s="274"/>
      <c r="AF1973" s="274"/>
      <c r="AG1973" s="273"/>
      <c r="AH1973" s="273"/>
    </row>
    <row r="1974" spans="11:34">
      <c r="K1974" s="273"/>
      <c r="S1974" s="273"/>
      <c r="T1974" s="273"/>
      <c r="U1974" s="273"/>
      <c r="AD1974" s="274"/>
      <c r="AE1974" s="274"/>
      <c r="AF1974" s="274"/>
      <c r="AG1974" s="273"/>
      <c r="AH1974" s="273"/>
    </row>
    <row r="1975" spans="11:34">
      <c r="K1975" s="273"/>
      <c r="S1975" s="273"/>
      <c r="T1975" s="273"/>
      <c r="U1975" s="273"/>
      <c r="AD1975" s="274"/>
      <c r="AE1975" s="274"/>
      <c r="AF1975" s="274"/>
      <c r="AG1975" s="273"/>
      <c r="AH1975" s="273"/>
    </row>
    <row r="1976" spans="11:34">
      <c r="K1976" s="273"/>
      <c r="S1976" s="273"/>
      <c r="T1976" s="273"/>
      <c r="U1976" s="273"/>
      <c r="AD1976" s="274"/>
      <c r="AE1976" s="274"/>
      <c r="AF1976" s="274"/>
      <c r="AG1976" s="273"/>
      <c r="AH1976" s="273"/>
    </row>
    <row r="1977" spans="11:34">
      <c r="K1977" s="273"/>
      <c r="S1977" s="273"/>
      <c r="T1977" s="273"/>
      <c r="U1977" s="273"/>
      <c r="AD1977" s="274"/>
      <c r="AE1977" s="274"/>
      <c r="AF1977" s="274"/>
      <c r="AG1977" s="273"/>
      <c r="AH1977" s="273"/>
    </row>
    <row r="1978" spans="11:34">
      <c r="K1978" s="273"/>
      <c r="S1978" s="273"/>
      <c r="T1978" s="273"/>
      <c r="U1978" s="273"/>
      <c r="AD1978" s="274"/>
      <c r="AE1978" s="274"/>
      <c r="AF1978" s="274"/>
      <c r="AG1978" s="273"/>
      <c r="AH1978" s="273"/>
    </row>
    <row r="1979" spans="11:34">
      <c r="K1979" s="273"/>
      <c r="S1979" s="273"/>
      <c r="T1979" s="273"/>
      <c r="U1979" s="273"/>
      <c r="AD1979" s="274"/>
      <c r="AE1979" s="274"/>
      <c r="AF1979" s="274"/>
      <c r="AG1979" s="273"/>
      <c r="AH1979" s="273"/>
    </row>
    <row r="1980" spans="11:34">
      <c r="K1980" s="273"/>
      <c r="S1980" s="273"/>
      <c r="T1980" s="273"/>
      <c r="U1980" s="273"/>
      <c r="AD1980" s="274"/>
      <c r="AE1980" s="274"/>
      <c r="AF1980" s="274"/>
      <c r="AG1980" s="273"/>
      <c r="AH1980" s="273"/>
    </row>
    <row r="1981" spans="11:34">
      <c r="K1981" s="273"/>
      <c r="S1981" s="273"/>
      <c r="T1981" s="273"/>
      <c r="U1981" s="273"/>
      <c r="AD1981" s="274"/>
      <c r="AE1981" s="274"/>
      <c r="AF1981" s="274"/>
      <c r="AG1981" s="273"/>
      <c r="AH1981" s="273"/>
    </row>
    <row r="1982" spans="11:34">
      <c r="K1982" s="273"/>
      <c r="S1982" s="273"/>
      <c r="T1982" s="273"/>
      <c r="U1982" s="273"/>
      <c r="AD1982" s="274"/>
      <c r="AE1982" s="274"/>
      <c r="AF1982" s="274"/>
      <c r="AG1982" s="273"/>
      <c r="AH1982" s="273"/>
    </row>
    <row r="1983" spans="11:34">
      <c r="K1983" s="273"/>
      <c r="S1983" s="273"/>
      <c r="T1983" s="273"/>
      <c r="U1983" s="273"/>
      <c r="AD1983" s="274"/>
      <c r="AE1983" s="274"/>
      <c r="AF1983" s="274"/>
      <c r="AG1983" s="273"/>
      <c r="AH1983" s="273"/>
    </row>
    <row r="1984" spans="11:34">
      <c r="K1984" s="273"/>
      <c r="S1984" s="273"/>
      <c r="T1984" s="273"/>
      <c r="U1984" s="273"/>
      <c r="AD1984" s="274"/>
      <c r="AE1984" s="274"/>
      <c r="AF1984" s="274"/>
      <c r="AG1984" s="273"/>
      <c r="AH1984" s="273"/>
    </row>
    <row r="1985" spans="11:34">
      <c r="K1985" s="273"/>
      <c r="S1985" s="273"/>
      <c r="T1985" s="273"/>
      <c r="U1985" s="273"/>
      <c r="AD1985" s="274"/>
      <c r="AE1985" s="274"/>
      <c r="AF1985" s="274"/>
      <c r="AG1985" s="273"/>
      <c r="AH1985" s="273"/>
    </row>
    <row r="1986" spans="11:34">
      <c r="K1986" s="273"/>
      <c r="S1986" s="273"/>
      <c r="T1986" s="273"/>
      <c r="U1986" s="273"/>
      <c r="AD1986" s="274"/>
      <c r="AE1986" s="274"/>
      <c r="AF1986" s="274"/>
      <c r="AG1986" s="273"/>
      <c r="AH1986" s="273"/>
    </row>
    <row r="1987" spans="11:34">
      <c r="K1987" s="273"/>
      <c r="S1987" s="273"/>
      <c r="T1987" s="273"/>
      <c r="U1987" s="273"/>
      <c r="AD1987" s="274"/>
      <c r="AE1987" s="274"/>
      <c r="AF1987" s="274"/>
      <c r="AG1987" s="273"/>
      <c r="AH1987" s="273"/>
    </row>
    <row r="1988" spans="11:34">
      <c r="K1988" s="273"/>
      <c r="S1988" s="273"/>
      <c r="T1988" s="273"/>
      <c r="U1988" s="273"/>
      <c r="AD1988" s="274"/>
      <c r="AE1988" s="274"/>
      <c r="AF1988" s="274"/>
      <c r="AG1988" s="273"/>
      <c r="AH1988" s="273"/>
    </row>
    <row r="1989" spans="11:34">
      <c r="K1989" s="273"/>
      <c r="S1989" s="273"/>
      <c r="T1989" s="273"/>
      <c r="U1989" s="273"/>
      <c r="AD1989" s="274"/>
      <c r="AE1989" s="274"/>
      <c r="AF1989" s="274"/>
      <c r="AG1989" s="273"/>
      <c r="AH1989" s="273"/>
    </row>
    <row r="1990" spans="11:34">
      <c r="K1990" s="273"/>
      <c r="S1990" s="273"/>
      <c r="T1990" s="273"/>
      <c r="U1990" s="273"/>
      <c r="AD1990" s="274"/>
      <c r="AE1990" s="274"/>
      <c r="AF1990" s="274"/>
      <c r="AG1990" s="273"/>
      <c r="AH1990" s="273"/>
    </row>
    <row r="1991" spans="11:34">
      <c r="K1991" s="273"/>
      <c r="S1991" s="273"/>
      <c r="T1991" s="273"/>
      <c r="U1991" s="273"/>
      <c r="AD1991" s="274"/>
      <c r="AE1991" s="274"/>
      <c r="AF1991" s="274"/>
      <c r="AG1991" s="273"/>
      <c r="AH1991" s="273"/>
    </row>
    <row r="1992" spans="11:34">
      <c r="K1992" s="273"/>
      <c r="S1992" s="273"/>
      <c r="T1992" s="273"/>
      <c r="U1992" s="273"/>
      <c r="AD1992" s="274"/>
      <c r="AE1992" s="274"/>
      <c r="AF1992" s="274"/>
      <c r="AG1992" s="273"/>
      <c r="AH1992" s="273"/>
    </row>
    <row r="1993" spans="11:34">
      <c r="K1993" s="273"/>
      <c r="S1993" s="273"/>
      <c r="T1993" s="273"/>
      <c r="U1993" s="273"/>
      <c r="AD1993" s="274"/>
      <c r="AE1993" s="274"/>
      <c r="AF1993" s="274"/>
      <c r="AG1993" s="273"/>
      <c r="AH1993" s="273"/>
    </row>
    <row r="1994" spans="11:34">
      <c r="K1994" s="273"/>
      <c r="S1994" s="273"/>
      <c r="T1994" s="273"/>
      <c r="U1994" s="273"/>
      <c r="AD1994" s="274"/>
      <c r="AE1994" s="274"/>
      <c r="AF1994" s="274"/>
      <c r="AG1994" s="273"/>
      <c r="AH1994" s="273"/>
    </row>
    <row r="1995" spans="11:34">
      <c r="K1995" s="273"/>
      <c r="S1995" s="273"/>
      <c r="T1995" s="273"/>
      <c r="U1995" s="273"/>
      <c r="AD1995" s="274"/>
      <c r="AE1995" s="274"/>
      <c r="AF1995" s="274"/>
      <c r="AG1995" s="273"/>
      <c r="AH1995" s="273"/>
    </row>
    <row r="1996" spans="11:34">
      <c r="K1996" s="273"/>
      <c r="S1996" s="273"/>
      <c r="T1996" s="273"/>
      <c r="U1996" s="273"/>
      <c r="AD1996" s="274"/>
      <c r="AE1996" s="274"/>
      <c r="AF1996" s="274"/>
      <c r="AG1996" s="273"/>
      <c r="AH1996" s="273"/>
    </row>
    <row r="1997" spans="11:34">
      <c r="K1997" s="273"/>
      <c r="S1997" s="273"/>
      <c r="T1997" s="273"/>
      <c r="U1997" s="273"/>
      <c r="AD1997" s="274"/>
      <c r="AE1997" s="274"/>
      <c r="AF1997" s="274"/>
      <c r="AG1997" s="273"/>
      <c r="AH1997" s="273"/>
    </row>
    <row r="1998" spans="11:34">
      <c r="K1998" s="273"/>
      <c r="S1998" s="273"/>
      <c r="T1998" s="273"/>
      <c r="U1998" s="273"/>
      <c r="AD1998" s="274"/>
      <c r="AE1998" s="274"/>
      <c r="AF1998" s="274"/>
      <c r="AG1998" s="273"/>
      <c r="AH1998" s="273"/>
    </row>
    <row r="1999" spans="11:34">
      <c r="K1999" s="273"/>
      <c r="S1999" s="273"/>
      <c r="T1999" s="273"/>
      <c r="U1999" s="273"/>
      <c r="AD1999" s="274"/>
      <c r="AE1999" s="274"/>
      <c r="AF1999" s="274"/>
      <c r="AG1999" s="273"/>
      <c r="AH1999" s="273"/>
    </row>
    <row r="2000" spans="11:34">
      <c r="K2000" s="273"/>
      <c r="S2000" s="273"/>
      <c r="T2000" s="273"/>
      <c r="U2000" s="273"/>
      <c r="AD2000" s="274"/>
      <c r="AE2000" s="274"/>
      <c r="AF2000" s="274"/>
      <c r="AG2000" s="273"/>
      <c r="AH2000" s="273"/>
    </row>
    <row r="2001" spans="11:34">
      <c r="K2001" s="273"/>
      <c r="S2001" s="273"/>
      <c r="T2001" s="273"/>
      <c r="U2001" s="273"/>
      <c r="AD2001" s="274"/>
      <c r="AE2001" s="274"/>
      <c r="AF2001" s="274"/>
      <c r="AG2001" s="273"/>
      <c r="AH2001" s="273"/>
    </row>
    <row r="2002" spans="11:34">
      <c r="K2002" s="273"/>
      <c r="S2002" s="273"/>
      <c r="T2002" s="273"/>
      <c r="U2002" s="273"/>
      <c r="AD2002" s="274"/>
      <c r="AE2002" s="274"/>
      <c r="AF2002" s="274"/>
      <c r="AG2002" s="273"/>
      <c r="AH2002" s="273"/>
    </row>
    <row r="2003" spans="11:34">
      <c r="K2003" s="273"/>
      <c r="S2003" s="273"/>
      <c r="T2003" s="273"/>
      <c r="U2003" s="273"/>
      <c r="AD2003" s="274"/>
      <c r="AE2003" s="274"/>
      <c r="AF2003" s="274"/>
      <c r="AG2003" s="273"/>
      <c r="AH2003" s="273"/>
    </row>
    <row r="2004" spans="11:34">
      <c r="K2004" s="273"/>
      <c r="S2004" s="273"/>
      <c r="T2004" s="273"/>
      <c r="U2004" s="273"/>
      <c r="AD2004" s="274"/>
      <c r="AE2004" s="274"/>
      <c r="AF2004" s="274"/>
      <c r="AG2004" s="273"/>
      <c r="AH2004" s="273"/>
    </row>
    <row r="2005" spans="11:34">
      <c r="K2005" s="273"/>
      <c r="S2005" s="273"/>
      <c r="T2005" s="273"/>
      <c r="U2005" s="273"/>
      <c r="AD2005" s="274"/>
      <c r="AE2005" s="274"/>
      <c r="AF2005" s="274"/>
      <c r="AG2005" s="273"/>
      <c r="AH2005" s="273"/>
    </row>
    <row r="2006" spans="11:34">
      <c r="K2006" s="273"/>
      <c r="S2006" s="273"/>
      <c r="T2006" s="273"/>
      <c r="U2006" s="273"/>
      <c r="AD2006" s="274"/>
      <c r="AE2006" s="274"/>
      <c r="AF2006" s="274"/>
      <c r="AG2006" s="273"/>
      <c r="AH2006" s="273"/>
    </row>
    <row r="2007" spans="11:34">
      <c r="K2007" s="273"/>
      <c r="S2007" s="273"/>
      <c r="T2007" s="273"/>
      <c r="U2007" s="273"/>
      <c r="AD2007" s="274"/>
      <c r="AE2007" s="274"/>
      <c r="AF2007" s="274"/>
      <c r="AG2007" s="273"/>
      <c r="AH2007" s="273"/>
    </row>
    <row r="2008" spans="11:34">
      <c r="K2008" s="273"/>
      <c r="S2008" s="273"/>
      <c r="T2008" s="273"/>
      <c r="U2008" s="273"/>
      <c r="AD2008" s="274"/>
      <c r="AE2008" s="274"/>
      <c r="AF2008" s="274"/>
      <c r="AG2008" s="273"/>
      <c r="AH2008" s="273"/>
    </row>
    <row r="2009" spans="11:34">
      <c r="K2009" s="273"/>
      <c r="S2009" s="273"/>
      <c r="T2009" s="273"/>
      <c r="U2009" s="273"/>
      <c r="AD2009" s="274"/>
      <c r="AE2009" s="274"/>
      <c r="AF2009" s="274"/>
      <c r="AG2009" s="273"/>
      <c r="AH2009" s="273"/>
    </row>
    <row r="2010" spans="11:34">
      <c r="K2010" s="273"/>
      <c r="S2010" s="273"/>
      <c r="T2010" s="273"/>
      <c r="U2010" s="273"/>
      <c r="AD2010" s="274"/>
      <c r="AE2010" s="274"/>
      <c r="AF2010" s="274"/>
      <c r="AG2010" s="273"/>
      <c r="AH2010" s="273"/>
    </row>
    <row r="2011" spans="11:34">
      <c r="K2011" s="273"/>
      <c r="S2011" s="273"/>
      <c r="T2011" s="273"/>
      <c r="U2011" s="273"/>
      <c r="AD2011" s="274"/>
      <c r="AE2011" s="274"/>
      <c r="AF2011" s="274"/>
      <c r="AG2011" s="273"/>
      <c r="AH2011" s="273"/>
    </row>
    <row r="2012" spans="11:34">
      <c r="K2012" s="273"/>
      <c r="S2012" s="273"/>
      <c r="T2012" s="273"/>
      <c r="U2012" s="273"/>
      <c r="AD2012" s="274"/>
      <c r="AE2012" s="274"/>
      <c r="AF2012" s="274"/>
      <c r="AG2012" s="273"/>
      <c r="AH2012" s="273"/>
    </row>
    <row r="2013" spans="11:34">
      <c r="K2013" s="273"/>
      <c r="S2013" s="273"/>
      <c r="T2013" s="273"/>
      <c r="U2013" s="273"/>
      <c r="AD2013" s="274"/>
      <c r="AE2013" s="274"/>
      <c r="AF2013" s="274"/>
      <c r="AG2013" s="273"/>
      <c r="AH2013" s="273"/>
    </row>
    <row r="2014" spans="11:34">
      <c r="K2014" s="273"/>
      <c r="S2014" s="273"/>
      <c r="T2014" s="273"/>
      <c r="U2014" s="273"/>
      <c r="AD2014" s="274"/>
      <c r="AE2014" s="274"/>
      <c r="AF2014" s="274"/>
      <c r="AG2014" s="273"/>
      <c r="AH2014" s="273"/>
    </row>
    <row r="2015" spans="11:34">
      <c r="K2015" s="273"/>
      <c r="S2015" s="273"/>
      <c r="T2015" s="273"/>
      <c r="U2015" s="273"/>
      <c r="AD2015" s="274"/>
      <c r="AE2015" s="274"/>
      <c r="AF2015" s="274"/>
      <c r="AG2015" s="273"/>
      <c r="AH2015" s="273"/>
    </row>
    <row r="2016" spans="11:34">
      <c r="K2016" s="273"/>
      <c r="S2016" s="273"/>
      <c r="T2016" s="273"/>
      <c r="U2016" s="273"/>
      <c r="AD2016" s="274"/>
      <c r="AE2016" s="274"/>
      <c r="AF2016" s="274"/>
      <c r="AG2016" s="273"/>
      <c r="AH2016" s="273"/>
    </row>
    <row r="2017" spans="11:34">
      <c r="K2017" s="273"/>
      <c r="S2017" s="273"/>
      <c r="T2017" s="273"/>
      <c r="U2017" s="273"/>
      <c r="AD2017" s="274"/>
      <c r="AE2017" s="274"/>
      <c r="AF2017" s="274"/>
      <c r="AG2017" s="273"/>
      <c r="AH2017" s="273"/>
    </row>
    <row r="2018" spans="11:34">
      <c r="K2018" s="273"/>
      <c r="S2018" s="273"/>
      <c r="T2018" s="273"/>
      <c r="U2018" s="273"/>
      <c r="AD2018" s="274"/>
      <c r="AE2018" s="274"/>
      <c r="AF2018" s="274"/>
      <c r="AG2018" s="273"/>
      <c r="AH2018" s="273"/>
    </row>
    <row r="2019" spans="11:34">
      <c r="K2019" s="273"/>
      <c r="S2019" s="273"/>
      <c r="T2019" s="273"/>
      <c r="U2019" s="273"/>
      <c r="AD2019" s="274"/>
      <c r="AE2019" s="274"/>
      <c r="AF2019" s="274"/>
      <c r="AG2019" s="273"/>
      <c r="AH2019" s="273"/>
    </row>
    <row r="2020" spans="11:34">
      <c r="K2020" s="273"/>
      <c r="S2020" s="273"/>
      <c r="T2020" s="273"/>
      <c r="U2020" s="273"/>
      <c r="AD2020" s="274"/>
      <c r="AE2020" s="274"/>
      <c r="AF2020" s="274"/>
      <c r="AG2020" s="273"/>
      <c r="AH2020" s="273"/>
    </row>
    <row r="2021" spans="11:34">
      <c r="K2021" s="273"/>
      <c r="S2021" s="273"/>
      <c r="T2021" s="273"/>
      <c r="U2021" s="273"/>
      <c r="AD2021" s="274"/>
      <c r="AE2021" s="274"/>
      <c r="AF2021" s="274"/>
      <c r="AG2021" s="273"/>
      <c r="AH2021" s="273"/>
    </row>
    <row r="2022" spans="11:34">
      <c r="K2022" s="273"/>
      <c r="S2022" s="273"/>
      <c r="T2022" s="273"/>
      <c r="U2022" s="273"/>
      <c r="AD2022" s="274"/>
      <c r="AE2022" s="274"/>
      <c r="AF2022" s="274"/>
      <c r="AG2022" s="273"/>
      <c r="AH2022" s="273"/>
    </row>
    <row r="2023" spans="11:34">
      <c r="K2023" s="273"/>
      <c r="S2023" s="273"/>
      <c r="T2023" s="273"/>
      <c r="U2023" s="273"/>
      <c r="AD2023" s="274"/>
      <c r="AE2023" s="274"/>
      <c r="AF2023" s="274"/>
      <c r="AG2023" s="273"/>
      <c r="AH2023" s="273"/>
    </row>
    <row r="2024" spans="11:34">
      <c r="K2024" s="273"/>
      <c r="S2024" s="273"/>
      <c r="T2024" s="273"/>
      <c r="U2024" s="273"/>
      <c r="AD2024" s="274"/>
      <c r="AE2024" s="274"/>
      <c r="AF2024" s="274"/>
      <c r="AG2024" s="273"/>
      <c r="AH2024" s="273"/>
    </row>
    <row r="2025" spans="11:34">
      <c r="K2025" s="273"/>
      <c r="S2025" s="273"/>
      <c r="T2025" s="273"/>
      <c r="U2025" s="273"/>
      <c r="AD2025" s="274"/>
      <c r="AE2025" s="274"/>
      <c r="AF2025" s="274"/>
      <c r="AG2025" s="273"/>
      <c r="AH2025" s="273"/>
    </row>
    <row r="2026" spans="11:34">
      <c r="K2026" s="273"/>
      <c r="S2026" s="273"/>
      <c r="T2026" s="273"/>
      <c r="U2026" s="273"/>
      <c r="AD2026" s="274"/>
      <c r="AE2026" s="274"/>
      <c r="AF2026" s="274"/>
      <c r="AG2026" s="273"/>
      <c r="AH2026" s="273"/>
    </row>
    <row r="2027" spans="11:34">
      <c r="K2027" s="273"/>
      <c r="S2027" s="273"/>
      <c r="T2027" s="273"/>
      <c r="U2027" s="273"/>
      <c r="AD2027" s="274"/>
      <c r="AE2027" s="274"/>
      <c r="AF2027" s="274"/>
      <c r="AG2027" s="273"/>
      <c r="AH2027" s="273"/>
    </row>
    <row r="2028" spans="11:34">
      <c r="K2028" s="273"/>
      <c r="S2028" s="273"/>
      <c r="T2028" s="273"/>
      <c r="U2028" s="273"/>
      <c r="AD2028" s="274"/>
      <c r="AE2028" s="274"/>
      <c r="AF2028" s="274"/>
      <c r="AG2028" s="273"/>
      <c r="AH2028" s="273"/>
    </row>
    <row r="2029" spans="11:34">
      <c r="K2029" s="273"/>
      <c r="S2029" s="273"/>
      <c r="T2029" s="273"/>
      <c r="U2029" s="273"/>
      <c r="AD2029" s="274"/>
      <c r="AE2029" s="274"/>
      <c r="AF2029" s="274"/>
      <c r="AG2029" s="273"/>
      <c r="AH2029" s="273"/>
    </row>
    <row r="2030" spans="11:34">
      <c r="K2030" s="273"/>
      <c r="S2030" s="273"/>
      <c r="T2030" s="273"/>
      <c r="U2030" s="273"/>
      <c r="AD2030" s="274"/>
      <c r="AE2030" s="274"/>
      <c r="AF2030" s="274"/>
      <c r="AG2030" s="273"/>
      <c r="AH2030" s="273"/>
    </row>
    <row r="2031" spans="11:34">
      <c r="K2031" s="273"/>
      <c r="S2031" s="273"/>
      <c r="T2031" s="273"/>
      <c r="U2031" s="273"/>
      <c r="AD2031" s="274"/>
      <c r="AE2031" s="274"/>
      <c r="AF2031" s="274"/>
      <c r="AG2031" s="273"/>
      <c r="AH2031" s="273"/>
    </row>
    <row r="2032" spans="11:34">
      <c r="K2032" s="273"/>
      <c r="S2032" s="273"/>
      <c r="T2032" s="273"/>
      <c r="U2032" s="273"/>
      <c r="AD2032" s="274"/>
      <c r="AE2032" s="274"/>
      <c r="AF2032" s="274"/>
      <c r="AG2032" s="273"/>
      <c r="AH2032" s="273"/>
    </row>
    <row r="2033" spans="11:34">
      <c r="K2033" s="273"/>
      <c r="S2033" s="273"/>
      <c r="T2033" s="273"/>
      <c r="U2033" s="273"/>
      <c r="AD2033" s="274"/>
      <c r="AE2033" s="274"/>
      <c r="AF2033" s="274"/>
      <c r="AG2033" s="273"/>
      <c r="AH2033" s="273"/>
    </row>
    <row r="2034" spans="11:34">
      <c r="K2034" s="273"/>
      <c r="S2034" s="273"/>
      <c r="T2034" s="273"/>
      <c r="U2034" s="273"/>
      <c r="AD2034" s="274"/>
      <c r="AE2034" s="274"/>
      <c r="AF2034" s="274"/>
      <c r="AG2034" s="273"/>
      <c r="AH2034" s="273"/>
    </row>
    <row r="2035" spans="11:34">
      <c r="K2035" s="273"/>
      <c r="S2035" s="273"/>
      <c r="T2035" s="273"/>
      <c r="U2035" s="273"/>
      <c r="AD2035" s="274"/>
      <c r="AE2035" s="274"/>
      <c r="AF2035" s="274"/>
      <c r="AG2035" s="273"/>
      <c r="AH2035" s="273"/>
    </row>
    <row r="2036" spans="11:34">
      <c r="K2036" s="273"/>
      <c r="S2036" s="273"/>
      <c r="T2036" s="273"/>
      <c r="U2036" s="273"/>
      <c r="AD2036" s="274"/>
      <c r="AE2036" s="274"/>
      <c r="AF2036" s="274"/>
      <c r="AG2036" s="273"/>
      <c r="AH2036" s="273"/>
    </row>
    <row r="2037" spans="11:34">
      <c r="K2037" s="273"/>
      <c r="S2037" s="273"/>
      <c r="T2037" s="273"/>
      <c r="U2037" s="273"/>
      <c r="AD2037" s="274"/>
      <c r="AE2037" s="274"/>
      <c r="AF2037" s="274"/>
      <c r="AG2037" s="273"/>
      <c r="AH2037" s="273"/>
    </row>
    <row r="2038" spans="11:34">
      <c r="K2038" s="273"/>
      <c r="S2038" s="273"/>
      <c r="T2038" s="273"/>
      <c r="U2038" s="273"/>
      <c r="AD2038" s="274"/>
      <c r="AE2038" s="274"/>
      <c r="AF2038" s="274"/>
      <c r="AG2038" s="273"/>
      <c r="AH2038" s="273"/>
    </row>
    <row r="2039" spans="11:34">
      <c r="K2039" s="273"/>
      <c r="S2039" s="273"/>
      <c r="T2039" s="273"/>
      <c r="U2039" s="273"/>
      <c r="AD2039" s="274"/>
      <c r="AE2039" s="274"/>
      <c r="AF2039" s="274"/>
      <c r="AG2039" s="273"/>
      <c r="AH2039" s="273"/>
    </row>
    <row r="2040" spans="11:34">
      <c r="K2040" s="273"/>
      <c r="S2040" s="273"/>
      <c r="T2040" s="273"/>
      <c r="U2040" s="273"/>
      <c r="AD2040" s="274"/>
      <c r="AE2040" s="274"/>
      <c r="AF2040" s="274"/>
      <c r="AG2040" s="273"/>
      <c r="AH2040" s="273"/>
    </row>
    <row r="2041" spans="11:34">
      <c r="K2041" s="273"/>
      <c r="S2041" s="273"/>
      <c r="T2041" s="273"/>
      <c r="U2041" s="273"/>
      <c r="AD2041" s="274"/>
      <c r="AE2041" s="274"/>
      <c r="AF2041" s="274"/>
      <c r="AG2041" s="273"/>
      <c r="AH2041" s="273"/>
    </row>
    <row r="2042" spans="11:34">
      <c r="K2042" s="273"/>
      <c r="S2042" s="273"/>
      <c r="T2042" s="273"/>
      <c r="U2042" s="273"/>
      <c r="AD2042" s="274"/>
      <c r="AE2042" s="274"/>
      <c r="AF2042" s="274"/>
      <c r="AG2042" s="273"/>
      <c r="AH2042" s="273"/>
    </row>
    <row r="2043" spans="11:34">
      <c r="K2043" s="273"/>
      <c r="S2043" s="273"/>
      <c r="T2043" s="273"/>
      <c r="U2043" s="273"/>
      <c r="AD2043" s="274"/>
      <c r="AE2043" s="274"/>
      <c r="AF2043" s="274"/>
      <c r="AG2043" s="273"/>
      <c r="AH2043" s="273"/>
    </row>
    <row r="2044" spans="11:34">
      <c r="K2044" s="273"/>
      <c r="S2044" s="273"/>
      <c r="T2044" s="273"/>
      <c r="U2044" s="273"/>
      <c r="AD2044" s="274"/>
      <c r="AE2044" s="274"/>
      <c r="AF2044" s="274"/>
      <c r="AG2044" s="273"/>
      <c r="AH2044" s="273"/>
    </row>
    <row r="2045" spans="11:34">
      <c r="K2045" s="273"/>
      <c r="S2045" s="273"/>
      <c r="T2045" s="273"/>
      <c r="U2045" s="273"/>
      <c r="AD2045" s="274"/>
      <c r="AE2045" s="274"/>
      <c r="AF2045" s="274"/>
      <c r="AG2045" s="273"/>
      <c r="AH2045" s="273"/>
    </row>
    <row r="2046" spans="11:34">
      <c r="K2046" s="273"/>
      <c r="S2046" s="273"/>
      <c r="T2046" s="273"/>
      <c r="U2046" s="273"/>
      <c r="AD2046" s="274"/>
      <c r="AE2046" s="274"/>
      <c r="AF2046" s="274"/>
      <c r="AG2046" s="273"/>
      <c r="AH2046" s="273"/>
    </row>
    <row r="2047" spans="11:34">
      <c r="K2047" s="273"/>
      <c r="S2047" s="273"/>
      <c r="T2047" s="273"/>
      <c r="U2047" s="273"/>
      <c r="AD2047" s="274"/>
      <c r="AE2047" s="274"/>
      <c r="AF2047" s="274"/>
      <c r="AG2047" s="273"/>
      <c r="AH2047" s="273"/>
    </row>
    <row r="2048" spans="11:34">
      <c r="K2048" s="273"/>
      <c r="S2048" s="273"/>
      <c r="T2048" s="273"/>
      <c r="U2048" s="273"/>
      <c r="AD2048" s="274"/>
      <c r="AE2048" s="274"/>
      <c r="AF2048" s="274"/>
      <c r="AG2048" s="273"/>
      <c r="AH2048" s="273"/>
    </row>
    <row r="2049" spans="11:34">
      <c r="K2049" s="273"/>
      <c r="S2049" s="273"/>
      <c r="T2049" s="273"/>
      <c r="U2049" s="273"/>
      <c r="AD2049" s="274"/>
      <c r="AE2049" s="274"/>
      <c r="AF2049" s="274"/>
      <c r="AG2049" s="273"/>
      <c r="AH2049" s="273"/>
    </row>
    <row r="2050" spans="11:34">
      <c r="K2050" s="273"/>
      <c r="S2050" s="273"/>
      <c r="T2050" s="273"/>
      <c r="U2050" s="273"/>
      <c r="AD2050" s="274"/>
      <c r="AE2050" s="274"/>
      <c r="AF2050" s="274"/>
      <c r="AG2050" s="273"/>
      <c r="AH2050" s="273"/>
    </row>
    <row r="2051" spans="11:34">
      <c r="K2051" s="273"/>
      <c r="S2051" s="273"/>
      <c r="T2051" s="273"/>
      <c r="U2051" s="273"/>
      <c r="AD2051" s="274"/>
      <c r="AE2051" s="274"/>
      <c r="AF2051" s="274"/>
      <c r="AG2051" s="273"/>
      <c r="AH2051" s="273"/>
    </row>
    <row r="2052" spans="11:34">
      <c r="K2052" s="273"/>
      <c r="S2052" s="273"/>
      <c r="T2052" s="273"/>
      <c r="U2052" s="273"/>
      <c r="AD2052" s="274"/>
      <c r="AE2052" s="274"/>
      <c r="AF2052" s="274"/>
      <c r="AG2052" s="273"/>
      <c r="AH2052" s="273"/>
    </row>
    <row r="2053" spans="11:34">
      <c r="K2053" s="273"/>
      <c r="S2053" s="273"/>
      <c r="T2053" s="273"/>
      <c r="U2053" s="273"/>
      <c r="AD2053" s="274"/>
      <c r="AE2053" s="274"/>
      <c r="AF2053" s="274"/>
      <c r="AG2053" s="273"/>
      <c r="AH2053" s="273"/>
    </row>
    <row r="2054" spans="11:34">
      <c r="K2054" s="273"/>
      <c r="S2054" s="273"/>
      <c r="T2054" s="273"/>
      <c r="U2054" s="273"/>
      <c r="AD2054" s="274"/>
      <c r="AE2054" s="274"/>
      <c r="AF2054" s="274"/>
      <c r="AG2054" s="273"/>
      <c r="AH2054" s="273"/>
    </row>
    <row r="2055" spans="11:34">
      <c r="K2055" s="273"/>
      <c r="S2055" s="273"/>
      <c r="T2055" s="273"/>
      <c r="U2055" s="273"/>
      <c r="AD2055" s="274"/>
      <c r="AE2055" s="274"/>
      <c r="AF2055" s="274"/>
      <c r="AG2055" s="273"/>
      <c r="AH2055" s="273"/>
    </row>
    <row r="2056" spans="11:34">
      <c r="K2056" s="273"/>
      <c r="S2056" s="273"/>
      <c r="T2056" s="273"/>
      <c r="U2056" s="273"/>
      <c r="AD2056" s="274"/>
      <c r="AE2056" s="274"/>
      <c r="AF2056" s="274"/>
      <c r="AG2056" s="273"/>
      <c r="AH2056" s="273"/>
    </row>
    <row r="2057" spans="11:34">
      <c r="K2057" s="273"/>
      <c r="S2057" s="273"/>
      <c r="T2057" s="273"/>
      <c r="U2057" s="273"/>
      <c r="AD2057" s="274"/>
      <c r="AE2057" s="274"/>
      <c r="AF2057" s="274"/>
      <c r="AG2057" s="273"/>
      <c r="AH2057" s="273"/>
    </row>
    <row r="2058" spans="11:34">
      <c r="K2058" s="273"/>
      <c r="S2058" s="273"/>
      <c r="T2058" s="273"/>
      <c r="U2058" s="273"/>
      <c r="AD2058" s="274"/>
      <c r="AE2058" s="274"/>
      <c r="AF2058" s="274"/>
      <c r="AG2058" s="273"/>
      <c r="AH2058" s="273"/>
    </row>
    <row r="2059" spans="11:34">
      <c r="K2059" s="273"/>
      <c r="S2059" s="273"/>
      <c r="T2059" s="273"/>
      <c r="U2059" s="273"/>
      <c r="AD2059" s="274"/>
      <c r="AE2059" s="274"/>
      <c r="AF2059" s="274"/>
      <c r="AG2059" s="273"/>
      <c r="AH2059" s="273"/>
    </row>
    <row r="2060" spans="11:34">
      <c r="K2060" s="273"/>
      <c r="S2060" s="273"/>
      <c r="T2060" s="273"/>
      <c r="U2060" s="273"/>
      <c r="AD2060" s="274"/>
      <c r="AE2060" s="274"/>
      <c r="AF2060" s="274"/>
      <c r="AG2060" s="273"/>
      <c r="AH2060" s="273"/>
    </row>
    <row r="2061" spans="11:34">
      <c r="K2061" s="273"/>
      <c r="S2061" s="273"/>
      <c r="T2061" s="273"/>
      <c r="U2061" s="273"/>
      <c r="AD2061" s="274"/>
      <c r="AE2061" s="274"/>
      <c r="AF2061" s="274"/>
      <c r="AG2061" s="273"/>
      <c r="AH2061" s="273"/>
    </row>
    <row r="2062" spans="11:34">
      <c r="K2062" s="273"/>
      <c r="S2062" s="273"/>
      <c r="T2062" s="273"/>
      <c r="U2062" s="273"/>
      <c r="AD2062" s="274"/>
      <c r="AE2062" s="274"/>
      <c r="AF2062" s="274"/>
      <c r="AG2062" s="273"/>
      <c r="AH2062" s="273"/>
    </row>
    <row r="2063" spans="11:34">
      <c r="K2063" s="273"/>
      <c r="S2063" s="273"/>
      <c r="T2063" s="273"/>
      <c r="U2063" s="273"/>
      <c r="AD2063" s="274"/>
      <c r="AE2063" s="274"/>
      <c r="AF2063" s="274"/>
      <c r="AG2063" s="273"/>
      <c r="AH2063" s="273"/>
    </row>
    <row r="2064" spans="11:34">
      <c r="K2064" s="273"/>
      <c r="S2064" s="273"/>
      <c r="T2064" s="273"/>
      <c r="U2064" s="273"/>
      <c r="AD2064" s="274"/>
      <c r="AE2064" s="274"/>
      <c r="AF2064" s="274"/>
      <c r="AG2064" s="273"/>
      <c r="AH2064" s="273"/>
    </row>
    <row r="2065" spans="11:34">
      <c r="K2065" s="273"/>
      <c r="S2065" s="273"/>
      <c r="T2065" s="273"/>
      <c r="U2065" s="273"/>
      <c r="AD2065" s="274"/>
      <c r="AE2065" s="274"/>
      <c r="AF2065" s="274"/>
      <c r="AG2065" s="273"/>
      <c r="AH2065" s="273"/>
    </row>
    <row r="2066" spans="11:34">
      <c r="K2066" s="273"/>
      <c r="S2066" s="273"/>
      <c r="T2066" s="273"/>
      <c r="U2066" s="273"/>
      <c r="AD2066" s="274"/>
      <c r="AE2066" s="274"/>
      <c r="AF2066" s="274"/>
      <c r="AG2066" s="273"/>
      <c r="AH2066" s="273"/>
    </row>
    <row r="2067" spans="11:34">
      <c r="K2067" s="273"/>
      <c r="S2067" s="273"/>
      <c r="T2067" s="273"/>
      <c r="U2067" s="273"/>
      <c r="AD2067" s="274"/>
      <c r="AE2067" s="274"/>
      <c r="AF2067" s="274"/>
      <c r="AG2067" s="273"/>
      <c r="AH2067" s="273"/>
    </row>
    <row r="2068" spans="11:34">
      <c r="K2068" s="273"/>
      <c r="S2068" s="273"/>
      <c r="T2068" s="273"/>
      <c r="U2068" s="273"/>
      <c r="AD2068" s="274"/>
      <c r="AE2068" s="274"/>
      <c r="AF2068" s="274"/>
      <c r="AG2068" s="273"/>
      <c r="AH2068" s="273"/>
    </row>
    <row r="2069" spans="11:34">
      <c r="K2069" s="273"/>
      <c r="S2069" s="273"/>
      <c r="T2069" s="273"/>
      <c r="U2069" s="273"/>
      <c r="AD2069" s="274"/>
      <c r="AE2069" s="274"/>
      <c r="AF2069" s="274"/>
      <c r="AG2069" s="273"/>
      <c r="AH2069" s="273"/>
    </row>
    <row r="2070" spans="11:34">
      <c r="K2070" s="273"/>
      <c r="S2070" s="273"/>
      <c r="T2070" s="273"/>
      <c r="U2070" s="273"/>
      <c r="AD2070" s="274"/>
      <c r="AE2070" s="274"/>
      <c r="AF2070" s="274"/>
      <c r="AG2070" s="273"/>
      <c r="AH2070" s="273"/>
    </row>
    <row r="2071" spans="11:34">
      <c r="K2071" s="273"/>
      <c r="S2071" s="273"/>
      <c r="T2071" s="273"/>
      <c r="U2071" s="273"/>
      <c r="AD2071" s="274"/>
      <c r="AE2071" s="274"/>
      <c r="AF2071" s="274"/>
      <c r="AG2071" s="273"/>
      <c r="AH2071" s="273"/>
    </row>
    <row r="2072" spans="11:34">
      <c r="K2072" s="273"/>
      <c r="S2072" s="273"/>
      <c r="T2072" s="273"/>
      <c r="U2072" s="273"/>
      <c r="AD2072" s="274"/>
      <c r="AE2072" s="274"/>
      <c r="AF2072" s="274"/>
      <c r="AG2072" s="273"/>
      <c r="AH2072" s="273"/>
    </row>
    <row r="2073" spans="11:34">
      <c r="K2073" s="273"/>
      <c r="S2073" s="273"/>
      <c r="T2073" s="273"/>
      <c r="U2073" s="273"/>
      <c r="AD2073" s="274"/>
      <c r="AE2073" s="274"/>
      <c r="AF2073" s="274"/>
      <c r="AG2073" s="273"/>
      <c r="AH2073" s="273"/>
    </row>
    <row r="2074" spans="11:34">
      <c r="K2074" s="273"/>
      <c r="S2074" s="273"/>
      <c r="T2074" s="273"/>
      <c r="U2074" s="273"/>
      <c r="AD2074" s="274"/>
      <c r="AE2074" s="274"/>
      <c r="AF2074" s="274"/>
      <c r="AG2074" s="273"/>
      <c r="AH2074" s="273"/>
    </row>
    <row r="2075" spans="11:34">
      <c r="K2075" s="273"/>
      <c r="S2075" s="273"/>
      <c r="T2075" s="273"/>
      <c r="U2075" s="273"/>
      <c r="AD2075" s="274"/>
      <c r="AE2075" s="274"/>
      <c r="AF2075" s="274"/>
      <c r="AG2075" s="273"/>
      <c r="AH2075" s="273"/>
    </row>
    <row r="2076" spans="11:34">
      <c r="K2076" s="273"/>
      <c r="S2076" s="273"/>
      <c r="T2076" s="273"/>
      <c r="U2076" s="273"/>
      <c r="AD2076" s="274"/>
      <c r="AE2076" s="274"/>
      <c r="AF2076" s="274"/>
      <c r="AG2076" s="273"/>
      <c r="AH2076" s="273"/>
    </row>
    <row r="2077" spans="11:34">
      <c r="K2077" s="273"/>
      <c r="S2077" s="273"/>
      <c r="T2077" s="273"/>
      <c r="U2077" s="273"/>
      <c r="AD2077" s="274"/>
      <c r="AE2077" s="274"/>
      <c r="AF2077" s="274"/>
      <c r="AG2077" s="273"/>
      <c r="AH2077" s="273"/>
    </row>
    <row r="2078" spans="11:34">
      <c r="K2078" s="273"/>
      <c r="S2078" s="273"/>
      <c r="T2078" s="273"/>
      <c r="U2078" s="273"/>
      <c r="AD2078" s="274"/>
      <c r="AE2078" s="274"/>
      <c r="AF2078" s="274"/>
      <c r="AG2078" s="273"/>
      <c r="AH2078" s="273"/>
    </row>
    <row r="2079" spans="11:34">
      <c r="K2079" s="273"/>
      <c r="S2079" s="273"/>
      <c r="T2079" s="273"/>
      <c r="U2079" s="273"/>
      <c r="AD2079" s="274"/>
      <c r="AE2079" s="274"/>
      <c r="AF2079" s="274"/>
      <c r="AG2079" s="273"/>
      <c r="AH2079" s="273"/>
    </row>
    <row r="2080" spans="11:34">
      <c r="K2080" s="273"/>
      <c r="S2080" s="273"/>
      <c r="T2080" s="273"/>
      <c r="U2080" s="273"/>
      <c r="AD2080" s="274"/>
      <c r="AE2080" s="274"/>
      <c r="AF2080" s="274"/>
      <c r="AG2080" s="273"/>
      <c r="AH2080" s="273"/>
    </row>
    <row r="2081" spans="11:34">
      <c r="K2081" s="273"/>
      <c r="S2081" s="273"/>
      <c r="T2081" s="273"/>
      <c r="U2081" s="273"/>
      <c r="AD2081" s="274"/>
      <c r="AE2081" s="274"/>
      <c r="AF2081" s="274"/>
      <c r="AG2081" s="273"/>
      <c r="AH2081" s="273"/>
    </row>
    <row r="2082" spans="11:34">
      <c r="K2082" s="273"/>
      <c r="S2082" s="273"/>
      <c r="T2082" s="273"/>
      <c r="U2082" s="273"/>
      <c r="AD2082" s="274"/>
      <c r="AE2082" s="274"/>
      <c r="AF2082" s="274"/>
      <c r="AG2082" s="273"/>
      <c r="AH2082" s="273"/>
    </row>
    <row r="2083" spans="11:34">
      <c r="K2083" s="273"/>
      <c r="S2083" s="273"/>
      <c r="T2083" s="273"/>
      <c r="U2083" s="273"/>
      <c r="AD2083" s="274"/>
      <c r="AE2083" s="274"/>
      <c r="AF2083" s="274"/>
      <c r="AG2083" s="273"/>
      <c r="AH2083" s="273"/>
    </row>
    <row r="2084" spans="11:34">
      <c r="K2084" s="273"/>
      <c r="S2084" s="273"/>
      <c r="T2084" s="273"/>
      <c r="U2084" s="273"/>
      <c r="AD2084" s="274"/>
      <c r="AE2084" s="274"/>
      <c r="AF2084" s="274"/>
      <c r="AG2084" s="273"/>
      <c r="AH2084" s="273"/>
    </row>
    <row r="2085" spans="11:34">
      <c r="K2085" s="273"/>
      <c r="S2085" s="273"/>
      <c r="T2085" s="273"/>
      <c r="U2085" s="273"/>
      <c r="AD2085" s="274"/>
      <c r="AE2085" s="274"/>
      <c r="AF2085" s="274"/>
      <c r="AG2085" s="273"/>
      <c r="AH2085" s="273"/>
    </row>
    <row r="2086" spans="11:34">
      <c r="K2086" s="273"/>
      <c r="S2086" s="273"/>
      <c r="T2086" s="273"/>
      <c r="U2086" s="273"/>
      <c r="AD2086" s="274"/>
      <c r="AE2086" s="274"/>
      <c r="AF2086" s="274"/>
      <c r="AG2086" s="273"/>
      <c r="AH2086" s="273"/>
    </row>
    <row r="2087" spans="11:34">
      <c r="K2087" s="273"/>
      <c r="S2087" s="273"/>
      <c r="T2087" s="273"/>
      <c r="U2087" s="273"/>
      <c r="AD2087" s="274"/>
      <c r="AE2087" s="274"/>
      <c r="AF2087" s="274"/>
      <c r="AG2087" s="273"/>
      <c r="AH2087" s="273"/>
    </row>
    <row r="2088" spans="11:34">
      <c r="K2088" s="273"/>
      <c r="S2088" s="273"/>
      <c r="T2088" s="273"/>
      <c r="U2088" s="273"/>
      <c r="AD2088" s="274"/>
      <c r="AE2088" s="274"/>
      <c r="AF2088" s="274"/>
      <c r="AG2088" s="273"/>
      <c r="AH2088" s="273"/>
    </row>
    <row r="2089" spans="11:34">
      <c r="K2089" s="273"/>
      <c r="S2089" s="273"/>
      <c r="T2089" s="273"/>
      <c r="U2089" s="273"/>
      <c r="AD2089" s="274"/>
      <c r="AE2089" s="274"/>
      <c r="AF2089" s="274"/>
      <c r="AG2089" s="273"/>
      <c r="AH2089" s="273"/>
    </row>
    <row r="2090" spans="11:34">
      <c r="K2090" s="273"/>
      <c r="S2090" s="273"/>
      <c r="T2090" s="273"/>
      <c r="U2090" s="273"/>
      <c r="AD2090" s="274"/>
      <c r="AE2090" s="274"/>
      <c r="AF2090" s="274"/>
      <c r="AG2090" s="273"/>
      <c r="AH2090" s="273"/>
    </row>
    <row r="2091" spans="11:34">
      <c r="K2091" s="273"/>
      <c r="S2091" s="273"/>
      <c r="T2091" s="273"/>
      <c r="U2091" s="273"/>
      <c r="AD2091" s="274"/>
      <c r="AE2091" s="274"/>
      <c r="AF2091" s="274"/>
      <c r="AG2091" s="273"/>
      <c r="AH2091" s="273"/>
    </row>
    <row r="2092" spans="11:34">
      <c r="K2092" s="273"/>
      <c r="S2092" s="273"/>
      <c r="T2092" s="273"/>
      <c r="U2092" s="273"/>
      <c r="AD2092" s="274"/>
      <c r="AE2092" s="274"/>
      <c r="AF2092" s="274"/>
      <c r="AG2092" s="273"/>
      <c r="AH2092" s="273"/>
    </row>
    <row r="2093" spans="11:34">
      <c r="K2093" s="273"/>
      <c r="S2093" s="273"/>
      <c r="T2093" s="273"/>
      <c r="U2093" s="273"/>
      <c r="AD2093" s="274"/>
      <c r="AE2093" s="274"/>
      <c r="AF2093" s="274"/>
      <c r="AG2093" s="273"/>
      <c r="AH2093" s="273"/>
    </row>
    <row r="2094" spans="11:34">
      <c r="K2094" s="273"/>
      <c r="S2094" s="273"/>
      <c r="T2094" s="273"/>
      <c r="U2094" s="273"/>
      <c r="AD2094" s="274"/>
      <c r="AE2094" s="274"/>
      <c r="AF2094" s="274"/>
      <c r="AG2094" s="273"/>
      <c r="AH2094" s="273"/>
    </row>
    <row r="2095" spans="11:34">
      <c r="K2095" s="273"/>
      <c r="S2095" s="273"/>
      <c r="T2095" s="273"/>
      <c r="U2095" s="273"/>
      <c r="AD2095" s="274"/>
      <c r="AE2095" s="274"/>
      <c r="AF2095" s="274"/>
      <c r="AG2095" s="273"/>
      <c r="AH2095" s="273"/>
    </row>
    <row r="2096" spans="11:34">
      <c r="K2096" s="273"/>
      <c r="S2096" s="273"/>
      <c r="T2096" s="273"/>
      <c r="U2096" s="273"/>
      <c r="AD2096" s="274"/>
      <c r="AE2096" s="274"/>
      <c r="AF2096" s="274"/>
      <c r="AG2096" s="273"/>
      <c r="AH2096" s="273"/>
    </row>
    <row r="2097" spans="11:34">
      <c r="K2097" s="273"/>
      <c r="S2097" s="273"/>
      <c r="T2097" s="273"/>
      <c r="U2097" s="273"/>
      <c r="AD2097" s="274"/>
      <c r="AE2097" s="274"/>
      <c r="AF2097" s="274"/>
      <c r="AG2097" s="273"/>
      <c r="AH2097" s="273"/>
    </row>
    <row r="2098" spans="11:34">
      <c r="K2098" s="273"/>
      <c r="S2098" s="273"/>
      <c r="T2098" s="273"/>
      <c r="U2098" s="273"/>
      <c r="AD2098" s="274"/>
      <c r="AE2098" s="274"/>
      <c r="AF2098" s="274"/>
      <c r="AG2098" s="273"/>
      <c r="AH2098" s="273"/>
    </row>
    <row r="2099" spans="11:34">
      <c r="K2099" s="273"/>
      <c r="S2099" s="273"/>
      <c r="T2099" s="273"/>
      <c r="U2099" s="273"/>
      <c r="AD2099" s="274"/>
      <c r="AE2099" s="274"/>
      <c r="AF2099" s="274"/>
      <c r="AG2099" s="273"/>
      <c r="AH2099" s="273"/>
    </row>
    <row r="2100" spans="11:34">
      <c r="K2100" s="273"/>
      <c r="S2100" s="273"/>
      <c r="T2100" s="273"/>
      <c r="U2100" s="273"/>
      <c r="AD2100" s="274"/>
      <c r="AE2100" s="274"/>
      <c r="AF2100" s="274"/>
      <c r="AG2100" s="273"/>
      <c r="AH2100" s="273"/>
    </row>
    <row r="2101" spans="11:34">
      <c r="K2101" s="273"/>
      <c r="S2101" s="273"/>
      <c r="T2101" s="273"/>
      <c r="U2101" s="273"/>
      <c r="AD2101" s="274"/>
      <c r="AE2101" s="274"/>
      <c r="AF2101" s="274"/>
      <c r="AG2101" s="273"/>
      <c r="AH2101" s="273"/>
    </row>
    <row r="2102" spans="11:34">
      <c r="K2102" s="273"/>
      <c r="S2102" s="273"/>
      <c r="T2102" s="273"/>
      <c r="U2102" s="273"/>
      <c r="AD2102" s="274"/>
      <c r="AE2102" s="274"/>
      <c r="AF2102" s="274"/>
      <c r="AG2102" s="273"/>
      <c r="AH2102" s="273"/>
    </row>
    <row r="2103" spans="11:34">
      <c r="K2103" s="273"/>
      <c r="S2103" s="273"/>
      <c r="T2103" s="273"/>
      <c r="U2103" s="273"/>
      <c r="AD2103" s="274"/>
      <c r="AE2103" s="274"/>
      <c r="AF2103" s="274"/>
      <c r="AG2103" s="273"/>
      <c r="AH2103" s="273"/>
    </row>
    <row r="2104" spans="11:34">
      <c r="K2104" s="273"/>
      <c r="S2104" s="273"/>
      <c r="T2104" s="273"/>
      <c r="U2104" s="273"/>
      <c r="AD2104" s="274"/>
      <c r="AE2104" s="274"/>
      <c r="AF2104" s="274"/>
      <c r="AG2104" s="273"/>
      <c r="AH2104" s="273"/>
    </row>
    <row r="2105" spans="11:34">
      <c r="K2105" s="273"/>
      <c r="S2105" s="273"/>
      <c r="T2105" s="273"/>
      <c r="U2105" s="273"/>
      <c r="AD2105" s="274"/>
      <c r="AE2105" s="274"/>
      <c r="AF2105" s="274"/>
      <c r="AG2105" s="273"/>
      <c r="AH2105" s="273"/>
    </row>
    <row r="2106" spans="11:34">
      <c r="K2106" s="273"/>
      <c r="S2106" s="273"/>
      <c r="T2106" s="273"/>
      <c r="U2106" s="273"/>
      <c r="AD2106" s="274"/>
      <c r="AE2106" s="274"/>
      <c r="AF2106" s="274"/>
      <c r="AG2106" s="273"/>
      <c r="AH2106" s="273"/>
    </row>
    <row r="2107" spans="11:34">
      <c r="K2107" s="273"/>
      <c r="S2107" s="273"/>
      <c r="T2107" s="273"/>
      <c r="U2107" s="273"/>
      <c r="AD2107" s="274"/>
      <c r="AE2107" s="274"/>
      <c r="AF2107" s="274"/>
      <c r="AG2107" s="273"/>
      <c r="AH2107" s="273"/>
    </row>
    <row r="2108" spans="11:34">
      <c r="K2108" s="273"/>
      <c r="S2108" s="273"/>
      <c r="T2108" s="273"/>
      <c r="U2108" s="273"/>
      <c r="AD2108" s="274"/>
      <c r="AE2108" s="274"/>
      <c r="AF2108" s="274"/>
      <c r="AG2108" s="273"/>
      <c r="AH2108" s="273"/>
    </row>
    <row r="2109" spans="11:34">
      <c r="K2109" s="273"/>
      <c r="S2109" s="273"/>
      <c r="T2109" s="273"/>
      <c r="U2109" s="273"/>
      <c r="AD2109" s="274"/>
      <c r="AE2109" s="274"/>
      <c r="AF2109" s="274"/>
      <c r="AG2109" s="273"/>
      <c r="AH2109" s="273"/>
    </row>
    <row r="2110" spans="11:34">
      <c r="K2110" s="273"/>
      <c r="S2110" s="273"/>
      <c r="T2110" s="273"/>
      <c r="U2110" s="273"/>
      <c r="AD2110" s="274"/>
      <c r="AE2110" s="274"/>
      <c r="AF2110" s="274"/>
      <c r="AG2110" s="273"/>
      <c r="AH2110" s="273"/>
    </row>
    <row r="2111" spans="11:34">
      <c r="K2111" s="273"/>
      <c r="S2111" s="273"/>
      <c r="T2111" s="273"/>
      <c r="U2111" s="273"/>
      <c r="AD2111" s="274"/>
      <c r="AE2111" s="274"/>
      <c r="AF2111" s="274"/>
      <c r="AG2111" s="273"/>
      <c r="AH2111" s="273"/>
    </row>
    <row r="2112" spans="11:34">
      <c r="K2112" s="273"/>
      <c r="S2112" s="273"/>
      <c r="T2112" s="273"/>
      <c r="U2112" s="273"/>
      <c r="AD2112" s="274"/>
      <c r="AE2112" s="274"/>
      <c r="AF2112" s="274"/>
      <c r="AG2112" s="273"/>
      <c r="AH2112" s="273"/>
    </row>
    <row r="2113" spans="11:34">
      <c r="K2113" s="273"/>
      <c r="S2113" s="273"/>
      <c r="T2113" s="273"/>
      <c r="U2113" s="273"/>
      <c r="AD2113" s="274"/>
      <c r="AE2113" s="274"/>
      <c r="AF2113" s="274"/>
      <c r="AG2113" s="273"/>
      <c r="AH2113" s="273"/>
    </row>
    <row r="2114" spans="11:34">
      <c r="K2114" s="273"/>
      <c r="S2114" s="273"/>
      <c r="T2114" s="273"/>
      <c r="U2114" s="273"/>
      <c r="AD2114" s="274"/>
      <c r="AE2114" s="274"/>
      <c r="AF2114" s="274"/>
      <c r="AG2114" s="273"/>
      <c r="AH2114" s="273"/>
    </row>
    <row r="2115" spans="11:34">
      <c r="K2115" s="273"/>
      <c r="S2115" s="273"/>
      <c r="T2115" s="273"/>
      <c r="U2115" s="273"/>
      <c r="AD2115" s="274"/>
      <c r="AE2115" s="274"/>
      <c r="AF2115" s="274"/>
      <c r="AG2115" s="273"/>
      <c r="AH2115" s="273"/>
    </row>
    <row r="2116" spans="11:34">
      <c r="K2116" s="273"/>
      <c r="S2116" s="273"/>
      <c r="T2116" s="273"/>
      <c r="U2116" s="273"/>
      <c r="AD2116" s="274"/>
      <c r="AE2116" s="274"/>
      <c r="AF2116" s="274"/>
      <c r="AG2116" s="273"/>
      <c r="AH2116" s="273"/>
    </row>
    <row r="2117" spans="11:34">
      <c r="K2117" s="273"/>
      <c r="S2117" s="273"/>
      <c r="T2117" s="273"/>
      <c r="U2117" s="273"/>
      <c r="AD2117" s="274"/>
      <c r="AE2117" s="274"/>
      <c r="AF2117" s="274"/>
      <c r="AG2117" s="273"/>
      <c r="AH2117" s="273"/>
    </row>
    <row r="2118" spans="11:34">
      <c r="K2118" s="273"/>
      <c r="S2118" s="273"/>
      <c r="T2118" s="273"/>
      <c r="U2118" s="273"/>
      <c r="AD2118" s="274"/>
      <c r="AE2118" s="274"/>
      <c r="AF2118" s="274"/>
      <c r="AG2118" s="273"/>
      <c r="AH2118" s="273"/>
    </row>
    <row r="2119" spans="11:34">
      <c r="K2119" s="273"/>
      <c r="S2119" s="273"/>
      <c r="T2119" s="273"/>
      <c r="U2119" s="273"/>
      <c r="AD2119" s="274"/>
      <c r="AE2119" s="274"/>
      <c r="AF2119" s="274"/>
      <c r="AG2119" s="273"/>
      <c r="AH2119" s="273"/>
    </row>
    <row r="2120" spans="11:34">
      <c r="K2120" s="273"/>
      <c r="S2120" s="273"/>
      <c r="T2120" s="273"/>
      <c r="U2120" s="273"/>
      <c r="AD2120" s="274"/>
      <c r="AE2120" s="274"/>
      <c r="AF2120" s="274"/>
      <c r="AG2120" s="273"/>
      <c r="AH2120" s="273"/>
    </row>
    <row r="2121" spans="11:34">
      <c r="K2121" s="273"/>
      <c r="S2121" s="273"/>
      <c r="T2121" s="273"/>
      <c r="U2121" s="273"/>
      <c r="AD2121" s="274"/>
      <c r="AE2121" s="274"/>
      <c r="AF2121" s="274"/>
      <c r="AG2121" s="273"/>
      <c r="AH2121" s="273"/>
    </row>
    <row r="2122" spans="11:34">
      <c r="K2122" s="273"/>
      <c r="S2122" s="273"/>
      <c r="T2122" s="273"/>
      <c r="U2122" s="273"/>
      <c r="AD2122" s="274"/>
      <c r="AE2122" s="274"/>
      <c r="AF2122" s="274"/>
      <c r="AG2122" s="273"/>
      <c r="AH2122" s="273"/>
    </row>
    <row r="2123" spans="11:34">
      <c r="K2123" s="273"/>
      <c r="S2123" s="273"/>
      <c r="T2123" s="273"/>
      <c r="U2123" s="273"/>
      <c r="AD2123" s="274"/>
      <c r="AE2123" s="274"/>
      <c r="AF2123" s="274"/>
      <c r="AG2123" s="273"/>
      <c r="AH2123" s="273"/>
    </row>
    <row r="2124" spans="11:34">
      <c r="K2124" s="273"/>
      <c r="S2124" s="273"/>
      <c r="T2124" s="273"/>
      <c r="U2124" s="273"/>
      <c r="AD2124" s="274"/>
      <c r="AE2124" s="274"/>
      <c r="AF2124" s="274"/>
      <c r="AG2124" s="273"/>
      <c r="AH2124" s="273"/>
    </row>
    <row r="2125" spans="11:34">
      <c r="K2125" s="273"/>
      <c r="S2125" s="273"/>
      <c r="T2125" s="273"/>
      <c r="U2125" s="273"/>
      <c r="AD2125" s="274"/>
      <c r="AE2125" s="274"/>
      <c r="AF2125" s="274"/>
      <c r="AG2125" s="273"/>
      <c r="AH2125" s="273"/>
    </row>
    <row r="2126" spans="11:34">
      <c r="K2126" s="273"/>
      <c r="S2126" s="273"/>
      <c r="T2126" s="273"/>
      <c r="U2126" s="273"/>
      <c r="AD2126" s="274"/>
      <c r="AE2126" s="274"/>
      <c r="AF2126" s="274"/>
      <c r="AG2126" s="273"/>
      <c r="AH2126" s="273"/>
    </row>
    <row r="2127" spans="11:34">
      <c r="K2127" s="273"/>
      <c r="S2127" s="273"/>
      <c r="T2127" s="273"/>
      <c r="U2127" s="273"/>
      <c r="AD2127" s="274"/>
      <c r="AE2127" s="274"/>
      <c r="AF2127" s="274"/>
      <c r="AG2127" s="273"/>
      <c r="AH2127" s="273"/>
    </row>
    <row r="2128" spans="11:34">
      <c r="K2128" s="273"/>
      <c r="S2128" s="273"/>
      <c r="T2128" s="273"/>
      <c r="U2128" s="273"/>
      <c r="AD2128" s="274"/>
      <c r="AE2128" s="274"/>
      <c r="AF2128" s="274"/>
      <c r="AG2128" s="273"/>
      <c r="AH2128" s="273"/>
    </row>
    <row r="2129" spans="11:34">
      <c r="K2129" s="273"/>
      <c r="S2129" s="273"/>
      <c r="T2129" s="273"/>
      <c r="U2129" s="273"/>
      <c r="AD2129" s="274"/>
      <c r="AE2129" s="274"/>
      <c r="AF2129" s="274"/>
      <c r="AG2129" s="273"/>
      <c r="AH2129" s="273"/>
    </row>
    <row r="2130" spans="11:34">
      <c r="K2130" s="273"/>
      <c r="S2130" s="273"/>
      <c r="T2130" s="273"/>
      <c r="U2130" s="273"/>
      <c r="AD2130" s="274"/>
      <c r="AE2130" s="274"/>
      <c r="AF2130" s="274"/>
      <c r="AG2130" s="273"/>
      <c r="AH2130" s="273"/>
    </row>
    <row r="2131" spans="11:34">
      <c r="K2131" s="273"/>
      <c r="S2131" s="273"/>
      <c r="T2131" s="273"/>
      <c r="U2131" s="273"/>
      <c r="AD2131" s="274"/>
      <c r="AE2131" s="274"/>
      <c r="AF2131" s="274"/>
      <c r="AG2131" s="273"/>
      <c r="AH2131" s="273"/>
    </row>
    <row r="2132" spans="11:34">
      <c r="K2132" s="273"/>
      <c r="S2132" s="273"/>
      <c r="T2132" s="273"/>
      <c r="U2132" s="273"/>
      <c r="AD2132" s="274"/>
      <c r="AE2132" s="274"/>
      <c r="AF2132" s="274"/>
      <c r="AG2132" s="273"/>
      <c r="AH2132" s="273"/>
    </row>
    <row r="2133" spans="11:34">
      <c r="K2133" s="273"/>
      <c r="S2133" s="273"/>
      <c r="T2133" s="273"/>
      <c r="U2133" s="273"/>
      <c r="AD2133" s="274"/>
      <c r="AE2133" s="274"/>
      <c r="AF2133" s="274"/>
      <c r="AG2133" s="273"/>
      <c r="AH2133" s="273"/>
    </row>
    <row r="2134" spans="11:34">
      <c r="K2134" s="273"/>
      <c r="S2134" s="273"/>
      <c r="T2134" s="273"/>
      <c r="U2134" s="273"/>
      <c r="AD2134" s="274"/>
      <c r="AE2134" s="274"/>
      <c r="AF2134" s="274"/>
      <c r="AG2134" s="273"/>
      <c r="AH2134" s="273"/>
    </row>
    <row r="2135" spans="11:34">
      <c r="K2135" s="273"/>
      <c r="S2135" s="273"/>
      <c r="T2135" s="273"/>
      <c r="U2135" s="273"/>
      <c r="AD2135" s="274"/>
      <c r="AE2135" s="274"/>
      <c r="AF2135" s="274"/>
      <c r="AG2135" s="273"/>
      <c r="AH2135" s="273"/>
    </row>
    <row r="2136" spans="11:34">
      <c r="K2136" s="273"/>
      <c r="S2136" s="273"/>
      <c r="T2136" s="273"/>
      <c r="U2136" s="273"/>
      <c r="AD2136" s="274"/>
      <c r="AE2136" s="274"/>
      <c r="AF2136" s="274"/>
      <c r="AG2136" s="273"/>
      <c r="AH2136" s="273"/>
    </row>
    <row r="2137" spans="11:34">
      <c r="K2137" s="273"/>
      <c r="S2137" s="273"/>
      <c r="T2137" s="273"/>
      <c r="U2137" s="273"/>
      <c r="AD2137" s="274"/>
      <c r="AE2137" s="274"/>
      <c r="AF2137" s="274"/>
      <c r="AG2137" s="273"/>
      <c r="AH2137" s="273"/>
    </row>
    <row r="2138" spans="11:34">
      <c r="K2138" s="273"/>
      <c r="S2138" s="273"/>
      <c r="T2138" s="273"/>
      <c r="U2138" s="273"/>
      <c r="AD2138" s="274"/>
      <c r="AE2138" s="274"/>
      <c r="AF2138" s="274"/>
      <c r="AG2138" s="273"/>
      <c r="AH2138" s="273"/>
    </row>
    <row r="2139" spans="11:34">
      <c r="K2139" s="273"/>
      <c r="S2139" s="273"/>
      <c r="T2139" s="273"/>
      <c r="U2139" s="273"/>
      <c r="AD2139" s="274"/>
      <c r="AE2139" s="274"/>
      <c r="AF2139" s="274"/>
      <c r="AG2139" s="273"/>
      <c r="AH2139" s="273"/>
    </row>
    <row r="2140" spans="11:34">
      <c r="K2140" s="273"/>
      <c r="S2140" s="273"/>
      <c r="T2140" s="273"/>
      <c r="U2140" s="273"/>
      <c r="AD2140" s="274"/>
      <c r="AE2140" s="274"/>
      <c r="AF2140" s="274"/>
      <c r="AG2140" s="273"/>
      <c r="AH2140" s="273"/>
    </row>
    <row r="2141" spans="11:34">
      <c r="K2141" s="273"/>
      <c r="S2141" s="273"/>
      <c r="T2141" s="273"/>
      <c r="U2141" s="273"/>
      <c r="AD2141" s="274"/>
      <c r="AE2141" s="274"/>
      <c r="AF2141" s="274"/>
      <c r="AG2141" s="273"/>
      <c r="AH2141" s="273"/>
    </row>
    <row r="2142" spans="11:34">
      <c r="K2142" s="273"/>
      <c r="S2142" s="273"/>
      <c r="T2142" s="273"/>
      <c r="U2142" s="273"/>
      <c r="AD2142" s="274"/>
      <c r="AE2142" s="274"/>
      <c r="AF2142" s="274"/>
      <c r="AG2142" s="273"/>
      <c r="AH2142" s="273"/>
    </row>
    <row r="2143" spans="11:34">
      <c r="K2143" s="273"/>
      <c r="S2143" s="273"/>
      <c r="T2143" s="273"/>
      <c r="U2143" s="273"/>
      <c r="AD2143" s="274"/>
      <c r="AE2143" s="274"/>
      <c r="AF2143" s="274"/>
      <c r="AG2143" s="273"/>
      <c r="AH2143" s="273"/>
    </row>
    <row r="2144" spans="11:34">
      <c r="K2144" s="273"/>
      <c r="S2144" s="273"/>
      <c r="T2144" s="273"/>
      <c r="U2144" s="273"/>
      <c r="AD2144" s="274"/>
      <c r="AE2144" s="274"/>
      <c r="AF2144" s="274"/>
      <c r="AG2144" s="273"/>
      <c r="AH2144" s="273"/>
    </row>
    <row r="2145" spans="11:34">
      <c r="K2145" s="273"/>
      <c r="S2145" s="273"/>
      <c r="T2145" s="273"/>
      <c r="U2145" s="273"/>
      <c r="AD2145" s="274"/>
      <c r="AE2145" s="274"/>
      <c r="AF2145" s="274"/>
      <c r="AG2145" s="273"/>
      <c r="AH2145" s="273"/>
    </row>
    <row r="2146" spans="11:34">
      <c r="K2146" s="273"/>
      <c r="S2146" s="273"/>
      <c r="T2146" s="273"/>
      <c r="U2146" s="273"/>
      <c r="AD2146" s="274"/>
      <c r="AE2146" s="274"/>
      <c r="AF2146" s="274"/>
      <c r="AG2146" s="273"/>
      <c r="AH2146" s="273"/>
    </row>
    <row r="2147" spans="11:34">
      <c r="K2147" s="273"/>
      <c r="S2147" s="273"/>
      <c r="T2147" s="273"/>
      <c r="U2147" s="273"/>
      <c r="AD2147" s="274"/>
      <c r="AE2147" s="274"/>
      <c r="AF2147" s="274"/>
      <c r="AG2147" s="273"/>
      <c r="AH2147" s="273"/>
    </row>
    <row r="2148" spans="11:34">
      <c r="K2148" s="273"/>
      <c r="S2148" s="273"/>
      <c r="T2148" s="273"/>
      <c r="U2148" s="273"/>
      <c r="AD2148" s="274"/>
      <c r="AE2148" s="274"/>
      <c r="AF2148" s="274"/>
      <c r="AG2148" s="273"/>
      <c r="AH2148" s="273"/>
    </row>
    <row r="2149" spans="11:34">
      <c r="K2149" s="273"/>
      <c r="S2149" s="273"/>
      <c r="T2149" s="273"/>
      <c r="U2149" s="273"/>
      <c r="AD2149" s="274"/>
      <c r="AE2149" s="274"/>
      <c r="AF2149" s="274"/>
      <c r="AG2149" s="273"/>
      <c r="AH2149" s="273"/>
    </row>
    <row r="2150" spans="11:34">
      <c r="K2150" s="273"/>
      <c r="S2150" s="273"/>
      <c r="T2150" s="273"/>
      <c r="U2150" s="273"/>
      <c r="AD2150" s="274"/>
      <c r="AE2150" s="274"/>
      <c r="AF2150" s="274"/>
      <c r="AG2150" s="273"/>
      <c r="AH2150" s="273"/>
    </row>
    <row r="2151" spans="11:34">
      <c r="K2151" s="273"/>
      <c r="S2151" s="273"/>
      <c r="T2151" s="273"/>
      <c r="U2151" s="273"/>
      <c r="AD2151" s="274"/>
      <c r="AE2151" s="274"/>
      <c r="AF2151" s="274"/>
      <c r="AG2151" s="273"/>
      <c r="AH2151" s="273"/>
    </row>
    <row r="2152" spans="11:34">
      <c r="K2152" s="273"/>
      <c r="S2152" s="273"/>
      <c r="T2152" s="273"/>
      <c r="U2152" s="273"/>
      <c r="AD2152" s="274"/>
      <c r="AE2152" s="274"/>
      <c r="AF2152" s="274"/>
      <c r="AG2152" s="273"/>
      <c r="AH2152" s="273"/>
    </row>
    <row r="2153" spans="11:34">
      <c r="K2153" s="273"/>
      <c r="S2153" s="273"/>
      <c r="T2153" s="273"/>
      <c r="U2153" s="273"/>
      <c r="AD2153" s="274"/>
      <c r="AE2153" s="274"/>
      <c r="AF2153" s="274"/>
      <c r="AG2153" s="273"/>
      <c r="AH2153" s="273"/>
    </row>
    <row r="2154" spans="11:34">
      <c r="K2154" s="273"/>
      <c r="S2154" s="273"/>
      <c r="T2154" s="273"/>
      <c r="U2154" s="273"/>
      <c r="AD2154" s="274"/>
      <c r="AE2154" s="274"/>
      <c r="AF2154" s="274"/>
      <c r="AG2154" s="273"/>
      <c r="AH2154" s="273"/>
    </row>
    <row r="2155" spans="11:34">
      <c r="K2155" s="273"/>
      <c r="S2155" s="273"/>
      <c r="T2155" s="273"/>
      <c r="U2155" s="273"/>
      <c r="AD2155" s="274"/>
      <c r="AE2155" s="274"/>
      <c r="AF2155" s="274"/>
      <c r="AG2155" s="273"/>
      <c r="AH2155" s="273"/>
    </row>
    <row r="2156" spans="11:34">
      <c r="K2156" s="273"/>
      <c r="S2156" s="273"/>
      <c r="T2156" s="273"/>
      <c r="U2156" s="273"/>
      <c r="AD2156" s="274"/>
      <c r="AE2156" s="274"/>
      <c r="AF2156" s="274"/>
      <c r="AG2156" s="273"/>
      <c r="AH2156" s="273"/>
    </row>
    <row r="2157" spans="11:34">
      <c r="K2157" s="273"/>
      <c r="S2157" s="273"/>
      <c r="T2157" s="273"/>
      <c r="U2157" s="273"/>
      <c r="AD2157" s="274"/>
      <c r="AE2157" s="274"/>
      <c r="AF2157" s="274"/>
      <c r="AG2157" s="273"/>
      <c r="AH2157" s="273"/>
    </row>
    <row r="2158" spans="11:34">
      <c r="K2158" s="273"/>
      <c r="S2158" s="273"/>
      <c r="T2158" s="273"/>
      <c r="U2158" s="273"/>
      <c r="AD2158" s="274"/>
      <c r="AE2158" s="274"/>
      <c r="AF2158" s="274"/>
      <c r="AG2158" s="273"/>
      <c r="AH2158" s="273"/>
    </row>
    <row r="2159" spans="11:34">
      <c r="K2159" s="273"/>
      <c r="S2159" s="273"/>
      <c r="T2159" s="273"/>
      <c r="U2159" s="273"/>
      <c r="AD2159" s="274"/>
      <c r="AE2159" s="274"/>
      <c r="AF2159" s="274"/>
      <c r="AG2159" s="273"/>
      <c r="AH2159" s="273"/>
    </row>
    <row r="2160" spans="11:34">
      <c r="K2160" s="273"/>
      <c r="S2160" s="273"/>
      <c r="T2160" s="273"/>
      <c r="U2160" s="273"/>
      <c r="AD2160" s="274"/>
      <c r="AE2160" s="274"/>
      <c r="AF2160" s="274"/>
      <c r="AG2160" s="273"/>
      <c r="AH2160" s="273"/>
    </row>
    <row r="2161" spans="11:34">
      <c r="K2161" s="273"/>
      <c r="S2161" s="273"/>
      <c r="T2161" s="273"/>
      <c r="U2161" s="273"/>
      <c r="AD2161" s="274"/>
      <c r="AE2161" s="274"/>
      <c r="AF2161" s="274"/>
      <c r="AG2161" s="273"/>
      <c r="AH2161" s="273"/>
    </row>
    <row r="2162" spans="11:34">
      <c r="K2162" s="273"/>
      <c r="S2162" s="273"/>
      <c r="T2162" s="273"/>
      <c r="U2162" s="273"/>
      <c r="AD2162" s="274"/>
      <c r="AE2162" s="274"/>
      <c r="AF2162" s="274"/>
      <c r="AG2162" s="273"/>
      <c r="AH2162" s="273"/>
    </row>
    <row r="2163" spans="11:34">
      <c r="K2163" s="273"/>
      <c r="S2163" s="273"/>
      <c r="T2163" s="273"/>
      <c r="U2163" s="273"/>
      <c r="AD2163" s="274"/>
      <c r="AE2163" s="274"/>
      <c r="AF2163" s="274"/>
      <c r="AG2163" s="273"/>
      <c r="AH2163" s="273"/>
    </row>
    <row r="2164" spans="11:34">
      <c r="K2164" s="273"/>
      <c r="S2164" s="273"/>
      <c r="T2164" s="273"/>
      <c r="U2164" s="273"/>
      <c r="AD2164" s="274"/>
      <c r="AE2164" s="274"/>
      <c r="AF2164" s="274"/>
      <c r="AG2164" s="273"/>
      <c r="AH2164" s="273"/>
    </row>
    <row r="2165" spans="11:34">
      <c r="K2165" s="273"/>
      <c r="S2165" s="273"/>
      <c r="T2165" s="273"/>
      <c r="U2165" s="273"/>
      <c r="AD2165" s="274"/>
      <c r="AE2165" s="274"/>
      <c r="AF2165" s="274"/>
      <c r="AG2165" s="273"/>
      <c r="AH2165" s="273"/>
    </row>
    <row r="2166" spans="11:34">
      <c r="K2166" s="273"/>
      <c r="S2166" s="273"/>
      <c r="T2166" s="273"/>
      <c r="U2166" s="273"/>
      <c r="AD2166" s="274"/>
      <c r="AE2166" s="274"/>
      <c r="AF2166" s="274"/>
      <c r="AG2166" s="273"/>
      <c r="AH2166" s="273"/>
    </row>
    <row r="2167" spans="11:34">
      <c r="K2167" s="273"/>
      <c r="S2167" s="273"/>
      <c r="T2167" s="273"/>
      <c r="U2167" s="273"/>
      <c r="AD2167" s="274"/>
      <c r="AE2167" s="274"/>
      <c r="AF2167" s="274"/>
      <c r="AG2167" s="273"/>
      <c r="AH2167" s="273"/>
    </row>
    <row r="2168" spans="11:34">
      <c r="K2168" s="273"/>
      <c r="S2168" s="273"/>
      <c r="T2168" s="273"/>
      <c r="U2168" s="273"/>
      <c r="AD2168" s="274"/>
      <c r="AE2168" s="274"/>
      <c r="AF2168" s="274"/>
      <c r="AG2168" s="273"/>
      <c r="AH2168" s="273"/>
    </row>
    <row r="2169" spans="11:34">
      <c r="K2169" s="273"/>
      <c r="S2169" s="273"/>
      <c r="T2169" s="273"/>
      <c r="U2169" s="273"/>
      <c r="AD2169" s="274"/>
      <c r="AE2169" s="274"/>
      <c r="AF2169" s="274"/>
      <c r="AG2169" s="273"/>
      <c r="AH2169" s="273"/>
    </row>
    <row r="2170" spans="11:34">
      <c r="K2170" s="273"/>
      <c r="S2170" s="273"/>
      <c r="T2170" s="273"/>
      <c r="U2170" s="273"/>
      <c r="AD2170" s="274"/>
      <c r="AE2170" s="274"/>
      <c r="AF2170" s="274"/>
      <c r="AG2170" s="273"/>
      <c r="AH2170" s="273"/>
    </row>
    <row r="2171" spans="11:34">
      <c r="K2171" s="273"/>
      <c r="S2171" s="273"/>
      <c r="T2171" s="273"/>
      <c r="U2171" s="273"/>
      <c r="AD2171" s="274"/>
      <c r="AE2171" s="274"/>
      <c r="AF2171" s="274"/>
      <c r="AG2171" s="273"/>
      <c r="AH2171" s="273"/>
    </row>
    <row r="2172" spans="11:34">
      <c r="K2172" s="273"/>
      <c r="S2172" s="273"/>
      <c r="T2172" s="273"/>
      <c r="U2172" s="273"/>
      <c r="AD2172" s="274"/>
      <c r="AE2172" s="274"/>
      <c r="AF2172" s="274"/>
      <c r="AG2172" s="273"/>
      <c r="AH2172" s="273"/>
    </row>
    <row r="2173" spans="11:34">
      <c r="K2173" s="273"/>
      <c r="S2173" s="273"/>
      <c r="T2173" s="273"/>
      <c r="U2173" s="273"/>
      <c r="AD2173" s="274"/>
      <c r="AE2173" s="274"/>
      <c r="AF2173" s="274"/>
      <c r="AG2173" s="273"/>
      <c r="AH2173" s="273"/>
    </row>
    <row r="2174" spans="11:34">
      <c r="K2174" s="273"/>
      <c r="S2174" s="273"/>
      <c r="T2174" s="273"/>
      <c r="U2174" s="273"/>
      <c r="AD2174" s="274"/>
      <c r="AE2174" s="274"/>
      <c r="AF2174" s="274"/>
      <c r="AG2174" s="273"/>
      <c r="AH2174" s="273"/>
    </row>
    <row r="2175" spans="11:34">
      <c r="K2175" s="273"/>
      <c r="S2175" s="273"/>
      <c r="T2175" s="273"/>
      <c r="U2175" s="273"/>
      <c r="AD2175" s="274"/>
      <c r="AE2175" s="274"/>
      <c r="AF2175" s="274"/>
      <c r="AG2175" s="273"/>
      <c r="AH2175" s="273"/>
    </row>
    <row r="2176" spans="11:34">
      <c r="K2176" s="273"/>
      <c r="S2176" s="273"/>
      <c r="T2176" s="273"/>
      <c r="U2176" s="273"/>
      <c r="AD2176" s="274"/>
      <c r="AE2176" s="274"/>
      <c r="AF2176" s="274"/>
      <c r="AG2176" s="273"/>
      <c r="AH2176" s="273"/>
    </row>
    <row r="2177" spans="11:34">
      <c r="K2177" s="273"/>
      <c r="S2177" s="273"/>
      <c r="T2177" s="273"/>
      <c r="U2177" s="273"/>
      <c r="AD2177" s="274"/>
      <c r="AE2177" s="274"/>
      <c r="AF2177" s="274"/>
      <c r="AG2177" s="273"/>
      <c r="AH2177" s="273"/>
    </row>
    <row r="2178" spans="11:34">
      <c r="K2178" s="273"/>
      <c r="S2178" s="273"/>
      <c r="T2178" s="273"/>
      <c r="U2178" s="273"/>
      <c r="AD2178" s="274"/>
      <c r="AE2178" s="274"/>
      <c r="AF2178" s="274"/>
      <c r="AG2178" s="273"/>
      <c r="AH2178" s="273"/>
    </row>
    <row r="2179" spans="11:34">
      <c r="K2179" s="273"/>
      <c r="S2179" s="273"/>
      <c r="T2179" s="273"/>
      <c r="U2179" s="273"/>
      <c r="AD2179" s="274"/>
      <c r="AE2179" s="274"/>
      <c r="AF2179" s="274"/>
      <c r="AG2179" s="273"/>
      <c r="AH2179" s="273"/>
    </row>
    <row r="2180" spans="11:34">
      <c r="K2180" s="273"/>
      <c r="S2180" s="273"/>
      <c r="T2180" s="273"/>
      <c r="U2180" s="273"/>
      <c r="AD2180" s="274"/>
      <c r="AE2180" s="274"/>
      <c r="AF2180" s="274"/>
      <c r="AG2180" s="273"/>
      <c r="AH2180" s="273"/>
    </row>
    <row r="2181" spans="11:34">
      <c r="K2181" s="273"/>
      <c r="S2181" s="273"/>
      <c r="T2181" s="273"/>
      <c r="U2181" s="273"/>
      <c r="AD2181" s="274"/>
      <c r="AE2181" s="274"/>
      <c r="AF2181" s="274"/>
      <c r="AG2181" s="273"/>
      <c r="AH2181" s="273"/>
    </row>
    <row r="2182" spans="11:34">
      <c r="K2182" s="273"/>
      <c r="S2182" s="273"/>
      <c r="T2182" s="273"/>
      <c r="U2182" s="273"/>
      <c r="AD2182" s="274"/>
      <c r="AE2182" s="274"/>
      <c r="AF2182" s="274"/>
      <c r="AG2182" s="273"/>
      <c r="AH2182" s="273"/>
    </row>
    <row r="2183" spans="11:34">
      <c r="K2183" s="273"/>
      <c r="S2183" s="273"/>
      <c r="T2183" s="273"/>
      <c r="U2183" s="273"/>
      <c r="AD2183" s="274"/>
      <c r="AE2183" s="274"/>
      <c r="AF2183" s="274"/>
      <c r="AG2183" s="273"/>
      <c r="AH2183" s="273"/>
    </row>
    <row r="2184" spans="11:34">
      <c r="K2184" s="273"/>
      <c r="S2184" s="273"/>
      <c r="T2184" s="273"/>
      <c r="U2184" s="273"/>
      <c r="AD2184" s="274"/>
      <c r="AE2184" s="274"/>
      <c r="AF2184" s="274"/>
      <c r="AG2184" s="273"/>
      <c r="AH2184" s="273"/>
    </row>
    <row r="2185" spans="11:34">
      <c r="K2185" s="273"/>
      <c r="S2185" s="273"/>
      <c r="T2185" s="273"/>
      <c r="U2185" s="273"/>
      <c r="AD2185" s="274"/>
      <c r="AE2185" s="274"/>
      <c r="AF2185" s="274"/>
      <c r="AG2185" s="273"/>
      <c r="AH2185" s="273"/>
    </row>
    <row r="2186" spans="11:34">
      <c r="K2186" s="273"/>
      <c r="S2186" s="273"/>
      <c r="T2186" s="273"/>
      <c r="U2186" s="273"/>
      <c r="AD2186" s="274"/>
      <c r="AE2186" s="274"/>
      <c r="AF2186" s="274"/>
      <c r="AG2186" s="273"/>
      <c r="AH2186" s="273"/>
    </row>
    <row r="2187" spans="11:34">
      <c r="K2187" s="273"/>
      <c r="S2187" s="273"/>
      <c r="T2187" s="273"/>
      <c r="U2187" s="273"/>
      <c r="AD2187" s="274"/>
      <c r="AE2187" s="274"/>
      <c r="AF2187" s="274"/>
      <c r="AG2187" s="273"/>
      <c r="AH2187" s="273"/>
    </row>
    <row r="2188" spans="11:34">
      <c r="K2188" s="273"/>
      <c r="S2188" s="273"/>
      <c r="T2188" s="273"/>
      <c r="U2188" s="273"/>
      <c r="AD2188" s="274"/>
      <c r="AE2188" s="274"/>
      <c r="AF2188" s="274"/>
      <c r="AG2188" s="273"/>
      <c r="AH2188" s="273"/>
    </row>
    <row r="2189" spans="11:34">
      <c r="K2189" s="273"/>
      <c r="S2189" s="273"/>
      <c r="T2189" s="273"/>
      <c r="U2189" s="273"/>
      <c r="AD2189" s="274"/>
      <c r="AE2189" s="274"/>
      <c r="AF2189" s="274"/>
      <c r="AG2189" s="273"/>
      <c r="AH2189" s="273"/>
    </row>
    <row r="2190" spans="11:34">
      <c r="K2190" s="273"/>
      <c r="S2190" s="273"/>
      <c r="T2190" s="273"/>
      <c r="U2190" s="273"/>
      <c r="AD2190" s="274"/>
      <c r="AE2190" s="274"/>
      <c r="AF2190" s="274"/>
      <c r="AG2190" s="273"/>
      <c r="AH2190" s="273"/>
    </row>
    <row r="2191" spans="11:34">
      <c r="K2191" s="273"/>
      <c r="S2191" s="273"/>
      <c r="T2191" s="273"/>
      <c r="U2191" s="273"/>
      <c r="AD2191" s="274"/>
      <c r="AE2191" s="274"/>
      <c r="AF2191" s="274"/>
      <c r="AG2191" s="273"/>
      <c r="AH2191" s="273"/>
    </row>
    <row r="2192" spans="11:34">
      <c r="K2192" s="273"/>
      <c r="S2192" s="273"/>
      <c r="T2192" s="273"/>
      <c r="U2192" s="273"/>
      <c r="AD2192" s="274"/>
      <c r="AE2192" s="274"/>
      <c r="AF2192" s="274"/>
      <c r="AG2192" s="273"/>
      <c r="AH2192" s="273"/>
    </row>
    <row r="2193" spans="11:34">
      <c r="K2193" s="273"/>
      <c r="S2193" s="273"/>
      <c r="T2193" s="273"/>
      <c r="U2193" s="273"/>
      <c r="AD2193" s="274"/>
      <c r="AE2193" s="274"/>
      <c r="AF2193" s="274"/>
      <c r="AG2193" s="273"/>
      <c r="AH2193" s="273"/>
    </row>
    <row r="2194" spans="11:34">
      <c r="K2194" s="273"/>
      <c r="S2194" s="273"/>
      <c r="T2194" s="273"/>
      <c r="U2194" s="273"/>
      <c r="AD2194" s="274"/>
      <c r="AE2194" s="274"/>
      <c r="AF2194" s="274"/>
      <c r="AG2194" s="273"/>
      <c r="AH2194" s="273"/>
    </row>
    <row r="2195" spans="11:34">
      <c r="K2195" s="273"/>
      <c r="S2195" s="273"/>
      <c r="T2195" s="273"/>
      <c r="U2195" s="273"/>
      <c r="AD2195" s="274"/>
      <c r="AE2195" s="274"/>
      <c r="AF2195" s="274"/>
      <c r="AG2195" s="273"/>
      <c r="AH2195" s="273"/>
    </row>
    <row r="2196" spans="11:34">
      <c r="K2196" s="273"/>
      <c r="S2196" s="273"/>
      <c r="T2196" s="273"/>
      <c r="U2196" s="273"/>
      <c r="AD2196" s="274"/>
      <c r="AE2196" s="274"/>
      <c r="AF2196" s="274"/>
      <c r="AG2196" s="273"/>
      <c r="AH2196" s="273"/>
    </row>
    <row r="2197" spans="11:34">
      <c r="K2197" s="273"/>
      <c r="S2197" s="273"/>
      <c r="T2197" s="273"/>
      <c r="U2197" s="273"/>
      <c r="AD2197" s="274"/>
      <c r="AE2197" s="274"/>
      <c r="AF2197" s="274"/>
      <c r="AG2197" s="273"/>
      <c r="AH2197" s="273"/>
    </row>
    <row r="2198" spans="11:34">
      <c r="K2198" s="273"/>
      <c r="S2198" s="273"/>
      <c r="T2198" s="273"/>
      <c r="U2198" s="273"/>
      <c r="AD2198" s="274"/>
      <c r="AE2198" s="274"/>
      <c r="AF2198" s="274"/>
      <c r="AG2198" s="273"/>
      <c r="AH2198" s="273"/>
    </row>
    <row r="2199" spans="11:34">
      <c r="K2199" s="273"/>
      <c r="S2199" s="273"/>
      <c r="T2199" s="273"/>
      <c r="U2199" s="273"/>
      <c r="AD2199" s="274"/>
      <c r="AE2199" s="274"/>
      <c r="AF2199" s="274"/>
      <c r="AG2199" s="273"/>
      <c r="AH2199" s="273"/>
    </row>
    <row r="2200" spans="11:34">
      <c r="K2200" s="273"/>
      <c r="S2200" s="273"/>
      <c r="T2200" s="273"/>
      <c r="U2200" s="273"/>
      <c r="AD2200" s="274"/>
      <c r="AE2200" s="274"/>
      <c r="AF2200" s="274"/>
      <c r="AG2200" s="273"/>
      <c r="AH2200" s="273"/>
    </row>
    <row r="2201" spans="11:34">
      <c r="K2201" s="273"/>
      <c r="S2201" s="273"/>
      <c r="T2201" s="273"/>
      <c r="U2201" s="273"/>
      <c r="AD2201" s="274"/>
      <c r="AE2201" s="274"/>
      <c r="AF2201" s="274"/>
      <c r="AG2201" s="273"/>
      <c r="AH2201" s="273"/>
    </row>
    <row r="2202" spans="11:34">
      <c r="K2202" s="273"/>
      <c r="S2202" s="273"/>
      <c r="T2202" s="273"/>
      <c r="U2202" s="273"/>
      <c r="AD2202" s="274"/>
      <c r="AE2202" s="274"/>
      <c r="AF2202" s="274"/>
      <c r="AG2202" s="273"/>
      <c r="AH2202" s="273"/>
    </row>
    <row r="2203" spans="11:34">
      <c r="K2203" s="273"/>
      <c r="S2203" s="273"/>
      <c r="T2203" s="273"/>
      <c r="U2203" s="273"/>
      <c r="AD2203" s="274"/>
      <c r="AE2203" s="274"/>
      <c r="AF2203" s="274"/>
      <c r="AG2203" s="273"/>
      <c r="AH2203" s="273"/>
    </row>
    <row r="2204" spans="11:34">
      <c r="K2204" s="273"/>
      <c r="S2204" s="273"/>
      <c r="T2204" s="273"/>
      <c r="U2204" s="273"/>
      <c r="AD2204" s="274"/>
      <c r="AE2204" s="274"/>
      <c r="AF2204" s="274"/>
      <c r="AG2204" s="273"/>
      <c r="AH2204" s="273"/>
    </row>
    <row r="2205" spans="11:34">
      <c r="K2205" s="273"/>
      <c r="S2205" s="273"/>
      <c r="T2205" s="273"/>
      <c r="U2205" s="273"/>
      <c r="AD2205" s="274"/>
      <c r="AE2205" s="274"/>
      <c r="AF2205" s="274"/>
      <c r="AG2205" s="273"/>
      <c r="AH2205" s="273"/>
    </row>
    <row r="2206" spans="11:34">
      <c r="K2206" s="273"/>
      <c r="S2206" s="273"/>
      <c r="T2206" s="273"/>
      <c r="U2206" s="273"/>
      <c r="AD2206" s="274"/>
      <c r="AE2206" s="274"/>
      <c r="AF2206" s="274"/>
      <c r="AG2206" s="273"/>
      <c r="AH2206" s="273"/>
    </row>
    <row r="2207" spans="11:34">
      <c r="K2207" s="273"/>
      <c r="S2207" s="273"/>
      <c r="T2207" s="273"/>
      <c r="U2207" s="273"/>
      <c r="AD2207" s="274"/>
      <c r="AE2207" s="274"/>
      <c r="AF2207" s="274"/>
      <c r="AG2207" s="273"/>
      <c r="AH2207" s="273"/>
    </row>
    <row r="2208" spans="11:34">
      <c r="K2208" s="273"/>
      <c r="S2208" s="273"/>
      <c r="T2208" s="273"/>
      <c r="U2208" s="273"/>
      <c r="AD2208" s="274"/>
      <c r="AE2208" s="274"/>
      <c r="AF2208" s="274"/>
      <c r="AG2208" s="273"/>
      <c r="AH2208" s="273"/>
    </row>
    <row r="2209" spans="11:34">
      <c r="K2209" s="273"/>
      <c r="S2209" s="273"/>
      <c r="T2209" s="273"/>
      <c r="U2209" s="273"/>
      <c r="AD2209" s="274"/>
      <c r="AE2209" s="274"/>
      <c r="AF2209" s="274"/>
      <c r="AG2209" s="273"/>
      <c r="AH2209" s="273"/>
    </row>
    <row r="2210" spans="11:34">
      <c r="K2210" s="273"/>
      <c r="S2210" s="273"/>
      <c r="T2210" s="273"/>
      <c r="U2210" s="273"/>
      <c r="AD2210" s="274"/>
      <c r="AE2210" s="274"/>
      <c r="AF2210" s="274"/>
      <c r="AG2210" s="273"/>
      <c r="AH2210" s="273"/>
    </row>
    <row r="2211" spans="11:34">
      <c r="K2211" s="273"/>
      <c r="S2211" s="273"/>
      <c r="T2211" s="273"/>
      <c r="U2211" s="273"/>
      <c r="AD2211" s="274"/>
      <c r="AE2211" s="274"/>
      <c r="AF2211" s="274"/>
      <c r="AG2211" s="273"/>
      <c r="AH2211" s="273"/>
    </row>
    <row r="2212" spans="11:34">
      <c r="K2212" s="273"/>
      <c r="S2212" s="273"/>
      <c r="T2212" s="273"/>
      <c r="U2212" s="273"/>
      <c r="AD2212" s="274"/>
      <c r="AE2212" s="274"/>
      <c r="AF2212" s="274"/>
      <c r="AG2212" s="273"/>
      <c r="AH2212" s="273"/>
    </row>
    <row r="2213" spans="11:34">
      <c r="K2213" s="273"/>
      <c r="S2213" s="273"/>
      <c r="T2213" s="273"/>
      <c r="U2213" s="273"/>
      <c r="AD2213" s="274"/>
      <c r="AE2213" s="274"/>
      <c r="AF2213" s="274"/>
      <c r="AG2213" s="273"/>
      <c r="AH2213" s="273"/>
    </row>
    <row r="2214" spans="11:34">
      <c r="K2214" s="273"/>
      <c r="S2214" s="273"/>
      <c r="T2214" s="273"/>
      <c r="U2214" s="273"/>
      <c r="AD2214" s="274"/>
      <c r="AE2214" s="274"/>
      <c r="AF2214" s="274"/>
      <c r="AG2214" s="273"/>
      <c r="AH2214" s="273"/>
    </row>
    <row r="2215" spans="11:34">
      <c r="K2215" s="273"/>
      <c r="S2215" s="273"/>
      <c r="T2215" s="273"/>
      <c r="U2215" s="273"/>
      <c r="AD2215" s="274"/>
      <c r="AE2215" s="274"/>
      <c r="AF2215" s="274"/>
      <c r="AG2215" s="273"/>
      <c r="AH2215" s="273"/>
    </row>
    <row r="2216" spans="11:34">
      <c r="K2216" s="273"/>
      <c r="S2216" s="273"/>
      <c r="T2216" s="273"/>
      <c r="U2216" s="273"/>
      <c r="AD2216" s="274"/>
      <c r="AE2216" s="274"/>
      <c r="AF2216" s="274"/>
      <c r="AG2216" s="273"/>
      <c r="AH2216" s="273"/>
    </row>
    <row r="2217" spans="11:34">
      <c r="K2217" s="273"/>
      <c r="S2217" s="273"/>
      <c r="T2217" s="273"/>
      <c r="U2217" s="273"/>
      <c r="AD2217" s="274"/>
      <c r="AE2217" s="274"/>
      <c r="AF2217" s="274"/>
      <c r="AG2217" s="273"/>
      <c r="AH2217" s="273"/>
    </row>
    <row r="2218" spans="11:34">
      <c r="K2218" s="273"/>
      <c r="S2218" s="273"/>
      <c r="T2218" s="273"/>
      <c r="U2218" s="273"/>
      <c r="AD2218" s="274"/>
      <c r="AE2218" s="274"/>
      <c r="AF2218" s="274"/>
      <c r="AG2218" s="273"/>
      <c r="AH2218" s="273"/>
    </row>
    <row r="2219" spans="11:34">
      <c r="K2219" s="273"/>
      <c r="S2219" s="273"/>
      <c r="T2219" s="273"/>
      <c r="U2219" s="273"/>
      <c r="AD2219" s="274"/>
      <c r="AE2219" s="274"/>
      <c r="AF2219" s="274"/>
      <c r="AG2219" s="273"/>
      <c r="AH2219" s="273"/>
    </row>
    <row r="2220" spans="11:34">
      <c r="K2220" s="273"/>
      <c r="S2220" s="273"/>
      <c r="T2220" s="273"/>
      <c r="U2220" s="273"/>
      <c r="AD2220" s="274"/>
      <c r="AE2220" s="274"/>
      <c r="AF2220" s="274"/>
      <c r="AG2220" s="273"/>
      <c r="AH2220" s="273"/>
    </row>
    <row r="2221" spans="11:34">
      <c r="K2221" s="273"/>
      <c r="S2221" s="273"/>
      <c r="T2221" s="273"/>
      <c r="U2221" s="273"/>
      <c r="AD2221" s="274"/>
      <c r="AE2221" s="274"/>
      <c r="AF2221" s="274"/>
      <c r="AG2221" s="273"/>
      <c r="AH2221" s="273"/>
    </row>
    <row r="2222" spans="11:34">
      <c r="K2222" s="273"/>
      <c r="S2222" s="273"/>
      <c r="T2222" s="273"/>
      <c r="U2222" s="273"/>
      <c r="AD2222" s="274"/>
      <c r="AE2222" s="274"/>
      <c r="AF2222" s="274"/>
      <c r="AG2222" s="273"/>
      <c r="AH2222" s="273"/>
    </row>
    <row r="2223" spans="11:34">
      <c r="K2223" s="273"/>
      <c r="S2223" s="273"/>
      <c r="T2223" s="273"/>
      <c r="U2223" s="273"/>
      <c r="AD2223" s="274"/>
      <c r="AE2223" s="274"/>
      <c r="AF2223" s="274"/>
      <c r="AG2223" s="273"/>
      <c r="AH2223" s="273"/>
    </row>
    <row r="2224" spans="11:34">
      <c r="K2224" s="273"/>
      <c r="S2224" s="273"/>
      <c r="T2224" s="273"/>
      <c r="U2224" s="273"/>
      <c r="AD2224" s="274"/>
      <c r="AE2224" s="274"/>
      <c r="AF2224" s="274"/>
      <c r="AG2224" s="273"/>
      <c r="AH2224" s="273"/>
    </row>
    <row r="2225" spans="11:34">
      <c r="K2225" s="273"/>
      <c r="S2225" s="273"/>
      <c r="T2225" s="273"/>
      <c r="U2225" s="273"/>
      <c r="AD2225" s="274"/>
      <c r="AE2225" s="274"/>
      <c r="AF2225" s="274"/>
      <c r="AG2225" s="273"/>
      <c r="AH2225" s="273"/>
    </row>
    <row r="2226" spans="11:34">
      <c r="K2226" s="273"/>
      <c r="S2226" s="273"/>
      <c r="T2226" s="273"/>
      <c r="U2226" s="273"/>
      <c r="AD2226" s="274"/>
      <c r="AE2226" s="274"/>
      <c r="AF2226" s="274"/>
      <c r="AG2226" s="273"/>
      <c r="AH2226" s="273"/>
    </row>
    <row r="2227" spans="11:34">
      <c r="K2227" s="273"/>
      <c r="S2227" s="273"/>
      <c r="T2227" s="273"/>
      <c r="U2227" s="273"/>
      <c r="AD2227" s="274"/>
      <c r="AE2227" s="274"/>
      <c r="AF2227" s="274"/>
      <c r="AG2227" s="273"/>
      <c r="AH2227" s="273"/>
    </row>
    <row r="2228" spans="11:34">
      <c r="K2228" s="273"/>
      <c r="S2228" s="273"/>
      <c r="T2228" s="273"/>
      <c r="U2228" s="273"/>
      <c r="AD2228" s="274"/>
      <c r="AE2228" s="274"/>
      <c r="AF2228" s="274"/>
      <c r="AG2228" s="273"/>
      <c r="AH2228" s="273"/>
    </row>
    <row r="2229" spans="11:34">
      <c r="K2229" s="273"/>
      <c r="S2229" s="273"/>
      <c r="T2229" s="273"/>
      <c r="U2229" s="273"/>
      <c r="AD2229" s="274"/>
      <c r="AE2229" s="274"/>
      <c r="AF2229" s="274"/>
      <c r="AG2229" s="273"/>
      <c r="AH2229" s="273"/>
    </row>
    <row r="2230" spans="11:34">
      <c r="K2230" s="273"/>
      <c r="S2230" s="273"/>
      <c r="T2230" s="273"/>
      <c r="U2230" s="273"/>
      <c r="AD2230" s="274"/>
      <c r="AE2230" s="274"/>
      <c r="AF2230" s="274"/>
      <c r="AG2230" s="273"/>
      <c r="AH2230" s="273"/>
    </row>
    <row r="2231" spans="11:34">
      <c r="K2231" s="273"/>
      <c r="S2231" s="273"/>
      <c r="T2231" s="273"/>
      <c r="U2231" s="273"/>
      <c r="AD2231" s="274"/>
      <c r="AE2231" s="274"/>
      <c r="AF2231" s="274"/>
      <c r="AG2231" s="273"/>
      <c r="AH2231" s="273"/>
    </row>
    <row r="2232" spans="11:34">
      <c r="K2232" s="273"/>
      <c r="S2232" s="273"/>
      <c r="T2232" s="273"/>
      <c r="U2232" s="273"/>
      <c r="AD2232" s="274"/>
      <c r="AE2232" s="274"/>
      <c r="AF2232" s="274"/>
      <c r="AG2232" s="273"/>
      <c r="AH2232" s="273"/>
    </row>
    <row r="2233" spans="11:34">
      <c r="S2233" s="273"/>
      <c r="T2233" s="273"/>
      <c r="U2233" s="273"/>
      <c r="AD2233" s="274"/>
      <c r="AE2233" s="274"/>
      <c r="AF2233" s="274"/>
      <c r="AG2233" s="273"/>
      <c r="AH2233" s="273"/>
    </row>
    <row r="2234" spans="11:34">
      <c r="S2234" s="273"/>
      <c r="T2234" s="273"/>
      <c r="U2234" s="273"/>
      <c r="AD2234" s="274"/>
      <c r="AE2234" s="274"/>
      <c r="AF2234" s="274"/>
      <c r="AG2234" s="273"/>
      <c r="AH2234" s="273"/>
    </row>
    <row r="2235" spans="11:34">
      <c r="S2235" s="273"/>
      <c r="T2235" s="273"/>
      <c r="U2235" s="273"/>
      <c r="AD2235" s="274"/>
      <c r="AE2235" s="274"/>
      <c r="AF2235" s="274"/>
      <c r="AG2235" s="273"/>
      <c r="AH2235" s="273"/>
    </row>
    <row r="2236" spans="11:34">
      <c r="S2236" s="273"/>
      <c r="T2236" s="273"/>
      <c r="U2236" s="273"/>
      <c r="AD2236" s="274"/>
      <c r="AE2236" s="274"/>
      <c r="AF2236" s="274"/>
      <c r="AG2236" s="273"/>
      <c r="AH2236" s="273"/>
    </row>
    <row r="2237" spans="11:34">
      <c r="S2237" s="273"/>
      <c r="T2237" s="273"/>
      <c r="U2237" s="273"/>
      <c r="AD2237" s="274"/>
      <c r="AE2237" s="274"/>
      <c r="AF2237" s="274"/>
      <c r="AG2237" s="273"/>
      <c r="AH2237" s="273"/>
    </row>
    <row r="2238" spans="11:34">
      <c r="S2238" s="273"/>
      <c r="T2238" s="273"/>
      <c r="U2238" s="273"/>
      <c r="AD2238" s="274"/>
      <c r="AE2238" s="274"/>
      <c r="AF2238" s="274"/>
      <c r="AG2238" s="273"/>
      <c r="AH2238" s="273"/>
    </row>
    <row r="2239" spans="11:34">
      <c r="S2239" s="273"/>
      <c r="T2239" s="273"/>
      <c r="U2239" s="273"/>
      <c r="AD2239" s="274"/>
      <c r="AE2239" s="274"/>
      <c r="AF2239" s="274"/>
      <c r="AG2239" s="273"/>
      <c r="AH2239" s="273"/>
    </row>
    <row r="2240" spans="11:34">
      <c r="S2240" s="273"/>
      <c r="T2240" s="273"/>
      <c r="U2240" s="273"/>
      <c r="AD2240" s="274"/>
      <c r="AE2240" s="274"/>
      <c r="AF2240" s="274"/>
      <c r="AG2240" s="273"/>
      <c r="AH2240" s="273"/>
    </row>
    <row r="2241" spans="19:34">
      <c r="S2241" s="273"/>
      <c r="T2241" s="273"/>
      <c r="U2241" s="273"/>
      <c r="AD2241" s="274"/>
      <c r="AE2241" s="274"/>
      <c r="AF2241" s="274"/>
      <c r="AG2241" s="273"/>
      <c r="AH2241" s="273"/>
    </row>
    <row r="2242" spans="19:34">
      <c r="S2242" s="273"/>
      <c r="T2242" s="273"/>
      <c r="U2242" s="273"/>
      <c r="AD2242" s="274"/>
      <c r="AE2242" s="274"/>
      <c r="AF2242" s="274"/>
      <c r="AG2242" s="273"/>
      <c r="AH2242" s="273"/>
    </row>
    <row r="2243" spans="19:34">
      <c r="S2243" s="273"/>
      <c r="T2243" s="273"/>
      <c r="U2243" s="273"/>
      <c r="AD2243" s="274"/>
      <c r="AE2243" s="274"/>
      <c r="AF2243" s="274"/>
      <c r="AG2243" s="273"/>
      <c r="AH2243" s="273"/>
    </row>
    <row r="2244" spans="19:34">
      <c r="S2244" s="273"/>
      <c r="T2244" s="273"/>
      <c r="U2244" s="273"/>
      <c r="AD2244" s="274"/>
      <c r="AE2244" s="274"/>
      <c r="AF2244" s="274"/>
      <c r="AG2244" s="273"/>
      <c r="AH2244" s="273"/>
    </row>
    <row r="2245" spans="19:34">
      <c r="S2245" s="273"/>
      <c r="T2245" s="273"/>
      <c r="U2245" s="273"/>
      <c r="AD2245" s="274"/>
      <c r="AE2245" s="274"/>
      <c r="AF2245" s="274"/>
      <c r="AG2245" s="273"/>
      <c r="AH2245" s="273"/>
    </row>
    <row r="2246" spans="19:34">
      <c r="S2246" s="273"/>
      <c r="T2246" s="273"/>
      <c r="U2246" s="273"/>
      <c r="AD2246" s="274"/>
      <c r="AE2246" s="274"/>
      <c r="AF2246" s="274"/>
      <c r="AG2246" s="273"/>
      <c r="AH2246" s="273"/>
    </row>
    <row r="2247" spans="19:34">
      <c r="S2247" s="273"/>
      <c r="T2247" s="273"/>
      <c r="U2247" s="273"/>
      <c r="AD2247" s="274"/>
      <c r="AE2247" s="274"/>
      <c r="AF2247" s="274"/>
      <c r="AG2247" s="273"/>
      <c r="AH2247" s="273"/>
    </row>
    <row r="2248" spans="19:34">
      <c r="S2248" s="273"/>
      <c r="T2248" s="273"/>
      <c r="U2248" s="273"/>
      <c r="AD2248" s="274"/>
      <c r="AE2248" s="274"/>
      <c r="AF2248" s="274"/>
      <c r="AG2248" s="273"/>
      <c r="AH2248" s="273"/>
    </row>
    <row r="2249" spans="19:34">
      <c r="S2249" s="273"/>
      <c r="T2249" s="273"/>
      <c r="U2249" s="273"/>
      <c r="AD2249" s="274"/>
      <c r="AE2249" s="274"/>
      <c r="AF2249" s="274"/>
      <c r="AG2249" s="273"/>
      <c r="AH2249" s="273"/>
    </row>
    <row r="2250" spans="19:34">
      <c r="S2250" s="273"/>
      <c r="T2250" s="273"/>
      <c r="U2250" s="273"/>
      <c r="AD2250" s="274"/>
      <c r="AE2250" s="274"/>
      <c r="AF2250" s="274"/>
      <c r="AG2250" s="273"/>
      <c r="AH2250" s="273"/>
    </row>
    <row r="2251" spans="19:34">
      <c r="S2251" s="273"/>
      <c r="T2251" s="273"/>
      <c r="U2251" s="273"/>
      <c r="AD2251" s="274"/>
      <c r="AE2251" s="274"/>
      <c r="AF2251" s="274"/>
      <c r="AG2251" s="273"/>
      <c r="AH2251" s="273"/>
    </row>
    <row r="2252" spans="19:34">
      <c r="S2252" s="273"/>
      <c r="T2252" s="273"/>
      <c r="U2252" s="273"/>
      <c r="AD2252" s="274"/>
      <c r="AE2252" s="274"/>
      <c r="AF2252" s="274"/>
      <c r="AG2252" s="273"/>
      <c r="AH2252" s="273"/>
    </row>
    <row r="2253" spans="19:34">
      <c r="S2253" s="273"/>
      <c r="T2253" s="273"/>
      <c r="U2253" s="273"/>
      <c r="AD2253" s="274"/>
      <c r="AE2253" s="274"/>
      <c r="AF2253" s="274"/>
      <c r="AG2253" s="273"/>
      <c r="AH2253" s="273"/>
    </row>
    <row r="2254" spans="19:34">
      <c r="S2254" s="273"/>
      <c r="T2254" s="273"/>
      <c r="U2254" s="273"/>
      <c r="AD2254" s="274"/>
      <c r="AE2254" s="274"/>
      <c r="AF2254" s="274"/>
      <c r="AG2254" s="273"/>
      <c r="AH2254" s="273"/>
    </row>
    <row r="2255" spans="19:34">
      <c r="S2255" s="273"/>
      <c r="T2255" s="273"/>
      <c r="U2255" s="273"/>
      <c r="AD2255" s="274"/>
      <c r="AE2255" s="274"/>
      <c r="AF2255" s="274"/>
      <c r="AG2255" s="273"/>
      <c r="AH2255" s="273"/>
    </row>
    <row r="2256" spans="19:34">
      <c r="S2256" s="273"/>
      <c r="T2256" s="273"/>
      <c r="U2256" s="273"/>
      <c r="AD2256" s="274"/>
      <c r="AE2256" s="274"/>
      <c r="AF2256" s="274"/>
      <c r="AG2256" s="273"/>
      <c r="AH2256" s="273"/>
    </row>
    <row r="2257" spans="19:34">
      <c r="S2257" s="273"/>
      <c r="T2257" s="273"/>
      <c r="U2257" s="273"/>
      <c r="AD2257" s="274"/>
      <c r="AE2257" s="274"/>
      <c r="AF2257" s="274"/>
      <c r="AG2257" s="273"/>
      <c r="AH2257" s="273"/>
    </row>
    <row r="2258" spans="19:34">
      <c r="S2258" s="273"/>
      <c r="T2258" s="273"/>
      <c r="U2258" s="273"/>
      <c r="AD2258" s="274"/>
      <c r="AE2258" s="274"/>
      <c r="AF2258" s="274"/>
      <c r="AG2258" s="273"/>
      <c r="AH2258" s="273"/>
    </row>
    <row r="2259" spans="19:34">
      <c r="S2259" s="273"/>
      <c r="T2259" s="273"/>
      <c r="U2259" s="273"/>
      <c r="AD2259" s="274"/>
      <c r="AE2259" s="274"/>
      <c r="AF2259" s="274"/>
      <c r="AG2259" s="273"/>
      <c r="AH2259" s="273"/>
    </row>
    <row r="2260" spans="19:34">
      <c r="S2260" s="273"/>
      <c r="T2260" s="273"/>
      <c r="U2260" s="273"/>
      <c r="AD2260" s="274"/>
      <c r="AE2260" s="274"/>
      <c r="AF2260" s="274"/>
      <c r="AG2260" s="273"/>
      <c r="AH2260" s="273"/>
    </row>
    <row r="2261" spans="19:34">
      <c r="S2261" s="273"/>
      <c r="T2261" s="273"/>
      <c r="U2261" s="273"/>
      <c r="AD2261" s="274"/>
      <c r="AE2261" s="274"/>
      <c r="AF2261" s="274"/>
      <c r="AG2261" s="273"/>
      <c r="AH2261" s="273"/>
    </row>
    <row r="2262" spans="19:34">
      <c r="S2262" s="273"/>
      <c r="T2262" s="273"/>
      <c r="U2262" s="273"/>
      <c r="AD2262" s="274"/>
      <c r="AE2262" s="274"/>
      <c r="AF2262" s="274"/>
      <c r="AG2262" s="273"/>
      <c r="AH2262" s="273"/>
    </row>
    <row r="2263" spans="19:34">
      <c r="S2263" s="273"/>
      <c r="T2263" s="273"/>
      <c r="U2263" s="273"/>
      <c r="AD2263" s="274"/>
      <c r="AE2263" s="274"/>
      <c r="AF2263" s="274"/>
      <c r="AG2263" s="273"/>
      <c r="AH2263" s="273"/>
    </row>
    <row r="2264" spans="19:34">
      <c r="S2264" s="273"/>
      <c r="T2264" s="273"/>
      <c r="U2264" s="273"/>
      <c r="AD2264" s="274"/>
      <c r="AE2264" s="274"/>
      <c r="AF2264" s="274"/>
      <c r="AG2264" s="273"/>
      <c r="AH2264" s="273"/>
    </row>
    <row r="2265" spans="19:34">
      <c r="S2265" s="273"/>
      <c r="T2265" s="273"/>
      <c r="U2265" s="273"/>
      <c r="AD2265" s="274"/>
      <c r="AE2265" s="274"/>
      <c r="AF2265" s="274"/>
      <c r="AG2265" s="273"/>
      <c r="AH2265" s="273"/>
    </row>
    <row r="2266" spans="19:34">
      <c r="S2266" s="273"/>
      <c r="T2266" s="273"/>
      <c r="U2266" s="273"/>
      <c r="AD2266" s="274"/>
      <c r="AE2266" s="274"/>
      <c r="AF2266" s="274"/>
      <c r="AG2266" s="273"/>
      <c r="AH2266" s="273"/>
    </row>
    <row r="2267" spans="19:34">
      <c r="S2267" s="273"/>
      <c r="T2267" s="273"/>
      <c r="U2267" s="273"/>
      <c r="AD2267" s="274"/>
      <c r="AE2267" s="274"/>
      <c r="AF2267" s="274"/>
      <c r="AG2267" s="273"/>
      <c r="AH2267" s="273"/>
    </row>
    <row r="2268" spans="19:34">
      <c r="S2268" s="273"/>
      <c r="T2268" s="273"/>
      <c r="U2268" s="273"/>
      <c r="AD2268" s="274"/>
      <c r="AE2268" s="274"/>
      <c r="AF2268" s="274"/>
      <c r="AG2268" s="273"/>
      <c r="AH2268" s="273"/>
    </row>
    <row r="2269" spans="19:34">
      <c r="S2269" s="273"/>
      <c r="T2269" s="273"/>
      <c r="U2269" s="273"/>
      <c r="AD2269" s="274"/>
      <c r="AE2269" s="274"/>
      <c r="AF2269" s="274"/>
      <c r="AG2269" s="273"/>
      <c r="AH2269" s="273"/>
    </row>
    <row r="2270" spans="19:34">
      <c r="S2270" s="273"/>
      <c r="T2270" s="273"/>
      <c r="U2270" s="273"/>
      <c r="AD2270" s="274"/>
      <c r="AE2270" s="274"/>
      <c r="AF2270" s="274"/>
      <c r="AG2270" s="273"/>
      <c r="AH2270" s="273"/>
    </row>
    <row r="2271" spans="19:34">
      <c r="S2271" s="273"/>
      <c r="T2271" s="273"/>
      <c r="U2271" s="273"/>
      <c r="AD2271" s="274"/>
      <c r="AE2271" s="274"/>
      <c r="AF2271" s="274"/>
      <c r="AG2271" s="273"/>
      <c r="AH2271" s="273"/>
    </row>
    <row r="2272" spans="19:34">
      <c r="S2272" s="273"/>
      <c r="T2272" s="273"/>
      <c r="U2272" s="273"/>
      <c r="AD2272" s="274"/>
      <c r="AE2272" s="274"/>
      <c r="AF2272" s="274"/>
      <c r="AG2272" s="273"/>
      <c r="AH2272" s="273"/>
    </row>
    <row r="2273" spans="19:34">
      <c r="S2273" s="273"/>
      <c r="T2273" s="273"/>
      <c r="U2273" s="273"/>
      <c r="AD2273" s="274"/>
      <c r="AE2273" s="274"/>
      <c r="AF2273" s="274"/>
      <c r="AG2273" s="273"/>
      <c r="AH2273" s="273"/>
    </row>
    <row r="2274" spans="19:34">
      <c r="S2274" s="273"/>
      <c r="T2274" s="273"/>
      <c r="U2274" s="273"/>
      <c r="AD2274" s="274"/>
      <c r="AE2274" s="274"/>
      <c r="AF2274" s="274"/>
      <c r="AG2274" s="273"/>
      <c r="AH2274" s="273"/>
    </row>
    <row r="2275" spans="19:34">
      <c r="S2275" s="273"/>
      <c r="T2275" s="273"/>
      <c r="U2275" s="273"/>
      <c r="AD2275" s="274"/>
      <c r="AE2275" s="274"/>
      <c r="AF2275" s="274"/>
      <c r="AG2275" s="273"/>
      <c r="AH2275" s="273"/>
    </row>
    <row r="2276" spans="19:34">
      <c r="S2276" s="273"/>
      <c r="T2276" s="273"/>
      <c r="U2276" s="273"/>
      <c r="AD2276" s="274"/>
      <c r="AE2276" s="274"/>
      <c r="AF2276" s="274"/>
      <c r="AG2276" s="273"/>
      <c r="AH2276" s="273"/>
    </row>
    <row r="2277" spans="19:34">
      <c r="S2277" s="273"/>
      <c r="T2277" s="273"/>
      <c r="U2277" s="273"/>
      <c r="AD2277" s="274"/>
      <c r="AE2277" s="274"/>
      <c r="AF2277" s="274"/>
      <c r="AG2277" s="273"/>
      <c r="AH2277" s="273"/>
    </row>
    <row r="2278" spans="19:34">
      <c r="S2278" s="273"/>
      <c r="T2278" s="273"/>
      <c r="U2278" s="273"/>
      <c r="AD2278" s="274"/>
      <c r="AE2278" s="274"/>
      <c r="AF2278" s="274"/>
      <c r="AG2278" s="273"/>
      <c r="AH2278" s="273"/>
    </row>
    <row r="2279" spans="19:34">
      <c r="S2279" s="273"/>
      <c r="T2279" s="273"/>
      <c r="U2279" s="273"/>
      <c r="AD2279" s="274"/>
      <c r="AE2279" s="274"/>
      <c r="AF2279" s="274"/>
      <c r="AG2279" s="273"/>
      <c r="AH2279" s="273"/>
    </row>
    <row r="2280" spans="19:34">
      <c r="S2280" s="273"/>
      <c r="T2280" s="273"/>
      <c r="U2280" s="273"/>
      <c r="AD2280" s="274"/>
      <c r="AE2280" s="274"/>
      <c r="AF2280" s="274"/>
      <c r="AG2280" s="273"/>
      <c r="AH2280" s="273"/>
    </row>
    <row r="2281" spans="19:34">
      <c r="S2281" s="273"/>
      <c r="T2281" s="273"/>
      <c r="U2281" s="273"/>
      <c r="AD2281" s="274"/>
      <c r="AE2281" s="274"/>
      <c r="AF2281" s="274"/>
      <c r="AG2281" s="273"/>
      <c r="AH2281" s="273"/>
    </row>
    <row r="2282" spans="19:34">
      <c r="S2282" s="273"/>
      <c r="T2282" s="273"/>
      <c r="U2282" s="273"/>
      <c r="AD2282" s="274"/>
      <c r="AE2282" s="274"/>
      <c r="AF2282" s="274"/>
      <c r="AG2282" s="273"/>
      <c r="AH2282" s="273"/>
    </row>
    <row r="2283" spans="19:34">
      <c r="S2283" s="273"/>
      <c r="T2283" s="273"/>
      <c r="U2283" s="273"/>
      <c r="AD2283" s="274"/>
      <c r="AE2283" s="274"/>
      <c r="AF2283" s="274"/>
      <c r="AG2283" s="273"/>
      <c r="AH2283" s="273"/>
    </row>
    <row r="2284" spans="19:34">
      <c r="S2284" s="273"/>
      <c r="T2284" s="273"/>
      <c r="U2284" s="273"/>
      <c r="AD2284" s="274"/>
      <c r="AE2284" s="274"/>
      <c r="AF2284" s="274"/>
      <c r="AG2284" s="273"/>
      <c r="AH2284" s="273"/>
    </row>
    <row r="2285" spans="19:34">
      <c r="S2285" s="273"/>
      <c r="T2285" s="273"/>
      <c r="U2285" s="273"/>
      <c r="AD2285" s="274"/>
      <c r="AE2285" s="274"/>
      <c r="AF2285" s="274"/>
      <c r="AG2285" s="273"/>
      <c r="AH2285" s="273"/>
    </row>
    <row r="2286" spans="19:34">
      <c r="S2286" s="273"/>
      <c r="T2286" s="273"/>
      <c r="U2286" s="273"/>
      <c r="AD2286" s="274"/>
      <c r="AE2286" s="274"/>
      <c r="AF2286" s="274"/>
      <c r="AG2286" s="273"/>
      <c r="AH2286" s="273"/>
    </row>
    <row r="2287" spans="19:34">
      <c r="S2287" s="273"/>
      <c r="T2287" s="273"/>
      <c r="U2287" s="273"/>
      <c r="AD2287" s="274"/>
      <c r="AE2287" s="274"/>
      <c r="AF2287" s="274"/>
      <c r="AG2287" s="273"/>
      <c r="AH2287" s="273"/>
    </row>
    <row r="2288" spans="19:34">
      <c r="S2288" s="273"/>
      <c r="T2288" s="273"/>
      <c r="U2288" s="273"/>
      <c r="AD2288" s="274"/>
      <c r="AE2288" s="274"/>
      <c r="AF2288" s="274"/>
      <c r="AG2288" s="273"/>
      <c r="AH2288" s="273"/>
    </row>
    <row r="2289" spans="19:34">
      <c r="S2289" s="273"/>
      <c r="T2289" s="273"/>
      <c r="U2289" s="273"/>
      <c r="AD2289" s="274"/>
      <c r="AE2289" s="274"/>
      <c r="AF2289" s="274"/>
      <c r="AG2289" s="273"/>
      <c r="AH2289" s="273"/>
    </row>
    <row r="2290" spans="19:34">
      <c r="S2290" s="273"/>
      <c r="T2290" s="273"/>
      <c r="U2290" s="273"/>
      <c r="AD2290" s="274"/>
      <c r="AE2290" s="274"/>
      <c r="AF2290" s="274"/>
      <c r="AG2290" s="273"/>
      <c r="AH2290" s="273"/>
    </row>
    <row r="2291" spans="19:34">
      <c r="S2291" s="273"/>
      <c r="T2291" s="273"/>
      <c r="U2291" s="273"/>
      <c r="AD2291" s="274"/>
      <c r="AE2291" s="274"/>
      <c r="AF2291" s="274"/>
      <c r="AG2291" s="273"/>
      <c r="AH2291" s="273"/>
    </row>
    <row r="2292" spans="19:34">
      <c r="S2292" s="273"/>
      <c r="T2292" s="273"/>
      <c r="U2292" s="273"/>
      <c r="AD2292" s="274"/>
      <c r="AE2292" s="274"/>
      <c r="AF2292" s="274"/>
      <c r="AG2292" s="273"/>
      <c r="AH2292" s="273"/>
    </row>
    <row r="2293" spans="19:34">
      <c r="S2293" s="273"/>
      <c r="T2293" s="273"/>
      <c r="U2293" s="273"/>
      <c r="AD2293" s="274"/>
      <c r="AE2293" s="274"/>
      <c r="AF2293" s="274"/>
      <c r="AG2293" s="273"/>
      <c r="AH2293" s="273"/>
    </row>
    <row r="2294" spans="19:34">
      <c r="S2294" s="273"/>
      <c r="T2294" s="273"/>
      <c r="U2294" s="273"/>
      <c r="AD2294" s="274"/>
      <c r="AE2294" s="274"/>
      <c r="AF2294" s="274"/>
      <c r="AG2294" s="273"/>
      <c r="AH2294" s="273"/>
    </row>
    <row r="2295" spans="19:34">
      <c r="S2295" s="273"/>
      <c r="T2295" s="273"/>
      <c r="U2295" s="273"/>
      <c r="AD2295" s="274"/>
      <c r="AE2295" s="274"/>
      <c r="AF2295" s="274"/>
      <c r="AG2295" s="273"/>
      <c r="AH2295" s="273"/>
    </row>
    <row r="2296" spans="19:34">
      <c r="S2296" s="273"/>
      <c r="T2296" s="273"/>
      <c r="U2296" s="273"/>
      <c r="AD2296" s="274"/>
      <c r="AE2296" s="274"/>
      <c r="AF2296" s="274"/>
      <c r="AG2296" s="273"/>
      <c r="AH2296" s="273"/>
    </row>
    <row r="2297" spans="19:34">
      <c r="S2297" s="273"/>
      <c r="T2297" s="273"/>
      <c r="U2297" s="273"/>
      <c r="AD2297" s="274"/>
      <c r="AE2297" s="274"/>
      <c r="AF2297" s="274"/>
      <c r="AG2297" s="273"/>
      <c r="AH2297" s="273"/>
    </row>
    <row r="2298" spans="19:34">
      <c r="S2298" s="273"/>
      <c r="T2298" s="273"/>
      <c r="U2298" s="273"/>
      <c r="AD2298" s="274"/>
      <c r="AE2298" s="274"/>
      <c r="AF2298" s="274"/>
      <c r="AG2298" s="273"/>
      <c r="AH2298" s="273"/>
    </row>
    <row r="2299" spans="19:34">
      <c r="S2299" s="273"/>
      <c r="T2299" s="273"/>
      <c r="U2299" s="273"/>
      <c r="AD2299" s="274"/>
      <c r="AE2299" s="274"/>
      <c r="AF2299" s="274"/>
      <c r="AG2299" s="273"/>
      <c r="AH2299" s="273"/>
    </row>
    <row r="2300" spans="19:34">
      <c r="S2300" s="273"/>
      <c r="T2300" s="273"/>
      <c r="U2300" s="273"/>
      <c r="AD2300" s="274"/>
      <c r="AE2300" s="274"/>
      <c r="AF2300" s="274"/>
      <c r="AG2300" s="273"/>
      <c r="AH2300" s="273"/>
    </row>
    <row r="2301" spans="19:34">
      <c r="S2301" s="273"/>
      <c r="T2301" s="273"/>
      <c r="U2301" s="273"/>
      <c r="AD2301" s="274"/>
      <c r="AE2301" s="274"/>
      <c r="AF2301" s="274"/>
      <c r="AG2301" s="273"/>
      <c r="AH2301" s="273"/>
    </row>
    <row r="2302" spans="19:34">
      <c r="S2302" s="273"/>
      <c r="T2302" s="273"/>
      <c r="U2302" s="273"/>
      <c r="AD2302" s="274"/>
      <c r="AE2302" s="274"/>
      <c r="AF2302" s="274"/>
      <c r="AG2302" s="273"/>
      <c r="AH2302" s="273"/>
    </row>
    <row r="2303" spans="19:34">
      <c r="S2303" s="273"/>
      <c r="T2303" s="273"/>
      <c r="U2303" s="273"/>
      <c r="AD2303" s="274"/>
      <c r="AE2303" s="274"/>
      <c r="AF2303" s="274"/>
      <c r="AG2303" s="273"/>
      <c r="AH2303" s="273"/>
    </row>
    <row r="2304" spans="19:34">
      <c r="S2304" s="273"/>
      <c r="T2304" s="273"/>
      <c r="U2304" s="273"/>
      <c r="AD2304" s="274"/>
      <c r="AE2304" s="274"/>
      <c r="AF2304" s="274"/>
      <c r="AG2304" s="273"/>
      <c r="AH2304" s="273"/>
    </row>
    <row r="2305" spans="19:34">
      <c r="S2305" s="273"/>
      <c r="T2305" s="273"/>
      <c r="U2305" s="273"/>
      <c r="AD2305" s="274"/>
      <c r="AE2305" s="274"/>
      <c r="AF2305" s="274"/>
      <c r="AG2305" s="273"/>
      <c r="AH2305" s="273"/>
    </row>
    <row r="2306" spans="19:34">
      <c r="S2306" s="273"/>
      <c r="T2306" s="273"/>
      <c r="U2306" s="273"/>
      <c r="AD2306" s="274"/>
      <c r="AE2306" s="274"/>
      <c r="AF2306" s="274"/>
      <c r="AG2306" s="273"/>
      <c r="AH2306" s="273"/>
    </row>
    <row r="2307" spans="19:34">
      <c r="S2307" s="273"/>
      <c r="T2307" s="273"/>
      <c r="U2307" s="273"/>
      <c r="AD2307" s="274"/>
      <c r="AE2307" s="274"/>
      <c r="AF2307" s="274"/>
      <c r="AG2307" s="273"/>
      <c r="AH2307" s="273"/>
    </row>
    <row r="2308" spans="19:34">
      <c r="S2308" s="273"/>
      <c r="T2308" s="273"/>
      <c r="U2308" s="273"/>
      <c r="AD2308" s="274"/>
      <c r="AE2308" s="274"/>
      <c r="AF2308" s="274"/>
      <c r="AG2308" s="273"/>
      <c r="AH2308" s="273"/>
    </row>
    <row r="2309" spans="19:34">
      <c r="S2309" s="273"/>
      <c r="T2309" s="273"/>
      <c r="U2309" s="273"/>
      <c r="AD2309" s="274"/>
      <c r="AE2309" s="274"/>
      <c r="AF2309" s="274"/>
      <c r="AG2309" s="273"/>
      <c r="AH2309" s="273"/>
    </row>
    <row r="2310" spans="19:34">
      <c r="S2310" s="273"/>
      <c r="T2310" s="273"/>
      <c r="U2310" s="273"/>
      <c r="AD2310" s="274"/>
      <c r="AE2310" s="274"/>
      <c r="AF2310" s="274"/>
      <c r="AG2310" s="273"/>
      <c r="AH2310" s="273"/>
    </row>
    <row r="2311" spans="19:34">
      <c r="S2311" s="273"/>
      <c r="T2311" s="273"/>
      <c r="U2311" s="273"/>
      <c r="AD2311" s="274"/>
      <c r="AE2311" s="274"/>
      <c r="AF2311" s="274"/>
      <c r="AG2311" s="273"/>
      <c r="AH2311" s="273"/>
    </row>
    <row r="2312" spans="19:34">
      <c r="S2312" s="273"/>
      <c r="T2312" s="273"/>
      <c r="U2312" s="273"/>
      <c r="AD2312" s="274"/>
      <c r="AE2312" s="274"/>
      <c r="AF2312" s="274"/>
      <c r="AG2312" s="273"/>
      <c r="AH2312" s="273"/>
    </row>
    <row r="2313" spans="19:34">
      <c r="S2313" s="273"/>
      <c r="T2313" s="273"/>
      <c r="U2313" s="273"/>
      <c r="AD2313" s="274"/>
      <c r="AE2313" s="274"/>
      <c r="AF2313" s="274"/>
      <c r="AG2313" s="273"/>
      <c r="AH2313" s="273"/>
    </row>
    <row r="2314" spans="19:34">
      <c r="S2314" s="273"/>
      <c r="T2314" s="273"/>
      <c r="U2314" s="273"/>
      <c r="AD2314" s="274"/>
      <c r="AE2314" s="274"/>
      <c r="AF2314" s="274"/>
      <c r="AG2314" s="273"/>
      <c r="AH2314" s="273"/>
    </row>
    <row r="2315" spans="19:34">
      <c r="S2315" s="273"/>
      <c r="T2315" s="273"/>
      <c r="U2315" s="273"/>
      <c r="AD2315" s="274"/>
      <c r="AE2315" s="274"/>
      <c r="AF2315" s="274"/>
      <c r="AG2315" s="273"/>
      <c r="AH2315" s="273"/>
    </row>
    <row r="2316" spans="19:34">
      <c r="S2316" s="273"/>
      <c r="T2316" s="273"/>
      <c r="U2316" s="273"/>
      <c r="AD2316" s="274"/>
      <c r="AE2316" s="274"/>
      <c r="AF2316" s="274"/>
      <c r="AG2316" s="273"/>
      <c r="AH2316" s="273"/>
    </row>
    <row r="2317" spans="19:34">
      <c r="S2317" s="273"/>
      <c r="T2317" s="273"/>
      <c r="U2317" s="273"/>
      <c r="AD2317" s="274"/>
      <c r="AE2317" s="274"/>
      <c r="AF2317" s="274"/>
      <c r="AG2317" s="273"/>
      <c r="AH2317" s="273"/>
    </row>
    <row r="2318" spans="19:34">
      <c r="S2318" s="273"/>
      <c r="T2318" s="273"/>
      <c r="U2318" s="273"/>
      <c r="AG2318" s="273"/>
      <c r="AH2318" s="273"/>
    </row>
    <row r="2319" spans="19:34">
      <c r="S2319" s="273"/>
      <c r="T2319" s="273"/>
      <c r="U2319" s="273"/>
      <c r="AG2319" s="273"/>
      <c r="AH2319" s="273"/>
    </row>
    <row r="2320" spans="19:34">
      <c r="S2320" s="273"/>
      <c r="T2320" s="273"/>
      <c r="U2320" s="273"/>
      <c r="AG2320" s="273"/>
      <c r="AH2320" s="273"/>
    </row>
    <row r="2321" spans="19:34">
      <c r="S2321" s="273"/>
      <c r="T2321" s="273"/>
      <c r="U2321" s="273"/>
      <c r="AG2321" s="273"/>
      <c r="AH2321" s="273"/>
    </row>
    <row r="2322" spans="19:34">
      <c r="S2322" s="273"/>
      <c r="T2322" s="273"/>
      <c r="U2322" s="273"/>
      <c r="AG2322" s="273"/>
      <c r="AH2322" s="273"/>
    </row>
    <row r="2323" spans="19:34">
      <c r="S2323" s="273"/>
      <c r="T2323" s="273"/>
      <c r="U2323" s="273"/>
      <c r="AG2323" s="273"/>
      <c r="AH2323" s="273"/>
    </row>
    <row r="2324" spans="19:34">
      <c r="S2324" s="273"/>
      <c r="T2324" s="273"/>
      <c r="U2324" s="273"/>
      <c r="AG2324" s="273"/>
      <c r="AH2324" s="273"/>
    </row>
    <row r="2325" spans="19:34">
      <c r="S2325" s="273"/>
      <c r="T2325" s="273"/>
      <c r="U2325" s="273"/>
      <c r="AG2325" s="273"/>
      <c r="AH2325" s="273"/>
    </row>
    <row r="2326" spans="19:34">
      <c r="S2326" s="273"/>
      <c r="T2326" s="273"/>
      <c r="U2326" s="273"/>
      <c r="AG2326" s="273"/>
      <c r="AH2326" s="273"/>
    </row>
    <row r="2327" spans="19:34">
      <c r="S2327" s="273"/>
      <c r="T2327" s="273"/>
      <c r="U2327" s="273"/>
      <c r="AG2327" s="273"/>
      <c r="AH2327" s="273"/>
    </row>
    <row r="2328" spans="19:34">
      <c r="S2328" s="273"/>
      <c r="T2328" s="273"/>
      <c r="U2328" s="273"/>
      <c r="AG2328" s="273"/>
      <c r="AH2328" s="273"/>
    </row>
    <row r="2329" spans="19:34">
      <c r="S2329" s="273"/>
      <c r="T2329" s="273"/>
      <c r="U2329" s="273"/>
      <c r="AG2329" s="273"/>
      <c r="AH2329" s="273"/>
    </row>
    <row r="2330" spans="19:34">
      <c r="S2330" s="273"/>
      <c r="T2330" s="273"/>
      <c r="U2330" s="273"/>
      <c r="AG2330" s="273"/>
      <c r="AH2330" s="273"/>
    </row>
    <row r="2331" spans="19:34">
      <c r="S2331" s="273"/>
      <c r="T2331" s="273"/>
      <c r="U2331" s="273"/>
      <c r="AG2331" s="273"/>
      <c r="AH2331" s="273"/>
    </row>
    <row r="2332" spans="19:34">
      <c r="S2332" s="273"/>
      <c r="T2332" s="273"/>
      <c r="U2332" s="273"/>
      <c r="AG2332" s="273"/>
      <c r="AH2332" s="273"/>
    </row>
    <row r="2333" spans="19:34">
      <c r="S2333" s="273"/>
      <c r="T2333" s="273"/>
      <c r="U2333" s="273"/>
      <c r="AG2333" s="273"/>
      <c r="AH2333" s="273"/>
    </row>
    <row r="2334" spans="19:34">
      <c r="S2334" s="273"/>
      <c r="T2334" s="273"/>
      <c r="U2334" s="273"/>
      <c r="AG2334" s="273"/>
      <c r="AH2334" s="273"/>
    </row>
    <row r="2335" spans="19:34">
      <c r="S2335" s="273"/>
      <c r="T2335" s="273"/>
      <c r="U2335" s="273"/>
      <c r="AG2335" s="273"/>
      <c r="AH2335" s="273"/>
    </row>
    <row r="2336" spans="19:34">
      <c r="S2336" s="273"/>
      <c r="T2336" s="273"/>
      <c r="U2336" s="273"/>
      <c r="AG2336" s="273"/>
      <c r="AH2336" s="273"/>
    </row>
    <row r="2337" spans="19:34">
      <c r="S2337" s="273"/>
      <c r="T2337" s="273"/>
      <c r="U2337" s="273"/>
      <c r="AG2337" s="273"/>
      <c r="AH2337" s="273"/>
    </row>
    <row r="2338" spans="19:34">
      <c r="S2338" s="273"/>
      <c r="T2338" s="273"/>
      <c r="U2338" s="273"/>
      <c r="AG2338" s="273"/>
      <c r="AH2338" s="273"/>
    </row>
    <row r="2339" spans="19:34">
      <c r="S2339" s="273"/>
      <c r="T2339" s="273"/>
      <c r="U2339" s="273"/>
      <c r="AG2339" s="273"/>
      <c r="AH2339" s="273"/>
    </row>
    <row r="2340" spans="19:34">
      <c r="S2340" s="273"/>
      <c r="T2340" s="273"/>
      <c r="U2340" s="273"/>
      <c r="AG2340" s="273"/>
      <c r="AH2340" s="273"/>
    </row>
    <row r="2341" spans="19:34">
      <c r="S2341" s="273"/>
      <c r="T2341" s="273"/>
      <c r="U2341" s="273"/>
      <c r="AG2341" s="273"/>
      <c r="AH2341" s="273"/>
    </row>
    <row r="2342" spans="19:34">
      <c r="S2342" s="273"/>
      <c r="T2342" s="273"/>
      <c r="U2342" s="273"/>
      <c r="AG2342" s="273"/>
      <c r="AH2342" s="273"/>
    </row>
    <row r="2343" spans="19:34">
      <c r="S2343" s="273"/>
      <c r="T2343" s="273"/>
      <c r="U2343" s="273"/>
      <c r="AG2343" s="273"/>
      <c r="AH2343" s="273"/>
    </row>
    <row r="2344" spans="19:34">
      <c r="S2344" s="273"/>
      <c r="T2344" s="273"/>
      <c r="U2344" s="273"/>
      <c r="AG2344" s="273"/>
      <c r="AH2344" s="273"/>
    </row>
    <row r="2345" spans="19:34">
      <c r="S2345" s="273"/>
      <c r="T2345" s="273"/>
      <c r="U2345" s="273"/>
      <c r="AG2345" s="273"/>
      <c r="AH2345" s="273"/>
    </row>
    <row r="2346" spans="19:34">
      <c r="S2346" s="273"/>
      <c r="T2346" s="273"/>
      <c r="U2346" s="273"/>
      <c r="AG2346" s="273"/>
      <c r="AH2346" s="273"/>
    </row>
    <row r="2347" spans="19:34">
      <c r="S2347" s="273"/>
      <c r="T2347" s="273"/>
      <c r="U2347" s="273"/>
      <c r="AG2347" s="273"/>
      <c r="AH2347" s="273"/>
    </row>
    <row r="2348" spans="19:34">
      <c r="S2348" s="273"/>
      <c r="T2348" s="273"/>
      <c r="U2348" s="273"/>
      <c r="AG2348" s="273"/>
      <c r="AH2348" s="273"/>
    </row>
    <row r="2349" spans="19:34">
      <c r="S2349" s="273"/>
      <c r="T2349" s="273"/>
      <c r="U2349" s="273"/>
      <c r="AG2349" s="273"/>
      <c r="AH2349" s="273"/>
    </row>
    <row r="2350" spans="19:34">
      <c r="S2350" s="273"/>
      <c r="T2350" s="273"/>
      <c r="U2350" s="273"/>
      <c r="AG2350" s="273"/>
      <c r="AH2350" s="273"/>
    </row>
    <row r="2351" spans="19:34">
      <c r="S2351" s="273"/>
      <c r="T2351" s="273"/>
      <c r="U2351" s="273"/>
      <c r="AG2351" s="273"/>
      <c r="AH2351" s="273"/>
    </row>
    <row r="2352" spans="19:34">
      <c r="S2352" s="273"/>
      <c r="T2352" s="273"/>
      <c r="U2352" s="273"/>
      <c r="AG2352" s="273"/>
      <c r="AH2352" s="273"/>
    </row>
    <row r="2353" spans="19:34">
      <c r="S2353" s="273"/>
      <c r="T2353" s="273"/>
      <c r="U2353" s="273"/>
      <c r="AG2353" s="273"/>
      <c r="AH2353" s="273"/>
    </row>
    <row r="2354" spans="19:34">
      <c r="S2354" s="273"/>
      <c r="T2354" s="273"/>
      <c r="U2354" s="273"/>
      <c r="AG2354" s="273"/>
      <c r="AH2354" s="273"/>
    </row>
    <row r="2355" spans="19:34">
      <c r="S2355" s="273"/>
      <c r="T2355" s="273"/>
      <c r="U2355" s="273"/>
      <c r="AG2355" s="273"/>
      <c r="AH2355" s="273"/>
    </row>
    <row r="2356" spans="19:34">
      <c r="S2356" s="273"/>
      <c r="T2356" s="273"/>
      <c r="U2356" s="273"/>
      <c r="AG2356" s="273"/>
      <c r="AH2356" s="273"/>
    </row>
    <row r="2357" spans="19:34">
      <c r="S2357" s="273"/>
      <c r="T2357" s="273"/>
      <c r="U2357" s="273"/>
      <c r="AG2357" s="273"/>
      <c r="AH2357" s="273"/>
    </row>
    <row r="2358" spans="19:34">
      <c r="S2358" s="273"/>
      <c r="T2358" s="273"/>
      <c r="U2358" s="273"/>
      <c r="AG2358" s="273"/>
      <c r="AH2358" s="273"/>
    </row>
    <row r="2359" spans="19:34">
      <c r="S2359" s="273"/>
      <c r="T2359" s="273"/>
      <c r="U2359" s="273"/>
      <c r="AG2359" s="273"/>
      <c r="AH2359" s="273"/>
    </row>
    <row r="2360" spans="19:34">
      <c r="S2360" s="273"/>
      <c r="T2360" s="273"/>
      <c r="U2360" s="273"/>
      <c r="AG2360" s="273"/>
      <c r="AH2360" s="273"/>
    </row>
    <row r="2361" spans="19:34">
      <c r="S2361" s="273"/>
      <c r="T2361" s="273"/>
      <c r="U2361" s="273"/>
      <c r="AG2361" s="273"/>
      <c r="AH2361" s="273"/>
    </row>
    <row r="2362" spans="19:34">
      <c r="S2362" s="273"/>
      <c r="T2362" s="273"/>
      <c r="U2362" s="273"/>
      <c r="AG2362" s="273"/>
      <c r="AH2362" s="273"/>
    </row>
    <row r="2363" spans="19:34">
      <c r="S2363" s="273"/>
      <c r="T2363" s="273"/>
      <c r="U2363" s="273"/>
      <c r="AG2363" s="273"/>
      <c r="AH2363" s="273"/>
    </row>
    <row r="2364" spans="19:34">
      <c r="S2364" s="273"/>
      <c r="T2364" s="273"/>
      <c r="U2364" s="273"/>
      <c r="AG2364" s="273"/>
      <c r="AH2364" s="273"/>
    </row>
    <row r="2365" spans="19:34">
      <c r="S2365" s="273"/>
      <c r="T2365" s="273"/>
      <c r="U2365" s="273"/>
      <c r="AG2365" s="273"/>
      <c r="AH2365" s="273"/>
    </row>
    <row r="2366" spans="19:34">
      <c r="S2366" s="273"/>
      <c r="T2366" s="273"/>
      <c r="U2366" s="273"/>
      <c r="AG2366" s="273"/>
      <c r="AH2366" s="273"/>
    </row>
    <row r="2367" spans="19:34">
      <c r="S2367" s="273"/>
      <c r="T2367" s="273"/>
      <c r="U2367" s="273"/>
      <c r="AG2367" s="273"/>
      <c r="AH2367" s="273"/>
    </row>
    <row r="2368" spans="19:34">
      <c r="S2368" s="273"/>
      <c r="T2368" s="273"/>
      <c r="U2368" s="273"/>
      <c r="AG2368" s="273"/>
      <c r="AH2368" s="273"/>
    </row>
    <row r="2369" spans="19:34">
      <c r="S2369" s="273"/>
      <c r="T2369" s="273"/>
      <c r="U2369" s="273"/>
      <c r="AG2369" s="273"/>
      <c r="AH2369" s="273"/>
    </row>
    <row r="2370" spans="19:34">
      <c r="S2370" s="273"/>
      <c r="T2370" s="273"/>
      <c r="U2370" s="273"/>
      <c r="AG2370" s="273"/>
      <c r="AH2370" s="273"/>
    </row>
    <row r="2371" spans="19:34">
      <c r="S2371" s="273"/>
      <c r="T2371" s="273"/>
      <c r="U2371" s="273"/>
      <c r="AG2371" s="273"/>
      <c r="AH2371" s="273"/>
    </row>
    <row r="2372" spans="19:34">
      <c r="S2372" s="273"/>
      <c r="T2372" s="273"/>
      <c r="U2372" s="273"/>
      <c r="AG2372" s="273"/>
      <c r="AH2372" s="273"/>
    </row>
    <row r="2373" spans="19:34">
      <c r="S2373" s="273"/>
      <c r="T2373" s="273"/>
      <c r="U2373" s="273"/>
      <c r="AG2373" s="273"/>
      <c r="AH2373" s="273"/>
    </row>
    <row r="2374" spans="19:34">
      <c r="S2374" s="273"/>
      <c r="T2374" s="273"/>
      <c r="U2374" s="273"/>
      <c r="AG2374" s="273"/>
      <c r="AH2374" s="273"/>
    </row>
    <row r="2375" spans="19:34">
      <c r="S2375" s="273"/>
      <c r="T2375" s="273"/>
      <c r="U2375" s="273"/>
      <c r="AG2375" s="273"/>
      <c r="AH2375" s="273"/>
    </row>
    <row r="2376" spans="19:34">
      <c r="S2376" s="273"/>
      <c r="T2376" s="273"/>
      <c r="U2376" s="273"/>
      <c r="AG2376" s="273"/>
      <c r="AH2376" s="273"/>
    </row>
    <row r="2377" spans="19:34">
      <c r="S2377" s="273"/>
      <c r="T2377" s="273"/>
      <c r="U2377" s="273"/>
      <c r="AG2377" s="273"/>
      <c r="AH2377" s="273"/>
    </row>
    <row r="2378" spans="19:34">
      <c r="S2378" s="273"/>
      <c r="T2378" s="273"/>
      <c r="U2378" s="273"/>
      <c r="AG2378" s="273"/>
      <c r="AH2378" s="273"/>
    </row>
    <row r="2379" spans="19:34">
      <c r="S2379" s="273"/>
      <c r="T2379" s="273"/>
      <c r="U2379" s="273"/>
      <c r="AG2379" s="273"/>
      <c r="AH2379" s="273"/>
    </row>
    <row r="2380" spans="19:34">
      <c r="S2380" s="273"/>
      <c r="T2380" s="273"/>
      <c r="U2380" s="273"/>
      <c r="AG2380" s="273"/>
      <c r="AH2380" s="273"/>
    </row>
    <row r="2381" spans="19:34">
      <c r="S2381" s="273"/>
      <c r="T2381" s="273"/>
      <c r="U2381" s="273"/>
      <c r="AG2381" s="273"/>
      <c r="AH2381" s="273"/>
    </row>
    <row r="2382" spans="19:34">
      <c r="S2382" s="273"/>
      <c r="T2382" s="273"/>
      <c r="U2382" s="273"/>
      <c r="AG2382" s="273"/>
      <c r="AH2382" s="273"/>
    </row>
    <row r="2383" spans="19:34">
      <c r="S2383" s="273"/>
      <c r="T2383" s="273"/>
      <c r="U2383" s="273"/>
      <c r="AG2383" s="273"/>
      <c r="AH2383" s="273"/>
    </row>
    <row r="2384" spans="19:34">
      <c r="S2384" s="273"/>
      <c r="T2384" s="273"/>
      <c r="U2384" s="273"/>
      <c r="AG2384" s="273"/>
      <c r="AH2384" s="273"/>
    </row>
    <row r="2385" spans="19:34">
      <c r="S2385" s="273"/>
      <c r="T2385" s="273"/>
      <c r="U2385" s="273"/>
      <c r="AG2385" s="273"/>
      <c r="AH2385" s="273"/>
    </row>
    <row r="2386" spans="19:34">
      <c r="S2386" s="273"/>
      <c r="T2386" s="273"/>
      <c r="U2386" s="273"/>
      <c r="AG2386" s="273"/>
      <c r="AH2386" s="273"/>
    </row>
    <row r="2387" spans="19:34">
      <c r="S2387" s="273"/>
      <c r="T2387" s="273"/>
      <c r="U2387" s="273"/>
      <c r="AG2387" s="273"/>
      <c r="AH2387" s="273"/>
    </row>
    <row r="2388" spans="19:34">
      <c r="S2388" s="273"/>
      <c r="T2388" s="273"/>
      <c r="U2388" s="273"/>
      <c r="AG2388" s="273"/>
      <c r="AH2388" s="273"/>
    </row>
    <row r="2389" spans="19:34">
      <c r="S2389" s="273"/>
      <c r="T2389" s="273"/>
      <c r="U2389" s="273"/>
      <c r="AG2389" s="273"/>
      <c r="AH2389" s="273"/>
    </row>
    <row r="2390" spans="19:34">
      <c r="S2390" s="273"/>
      <c r="T2390" s="273"/>
      <c r="U2390" s="273"/>
      <c r="AG2390" s="273"/>
      <c r="AH2390" s="273"/>
    </row>
    <row r="2391" spans="19:34">
      <c r="S2391" s="273"/>
      <c r="T2391" s="273"/>
      <c r="U2391" s="273"/>
      <c r="AG2391" s="273"/>
      <c r="AH2391" s="273"/>
    </row>
    <row r="2392" spans="19:34">
      <c r="S2392" s="273"/>
      <c r="T2392" s="273"/>
      <c r="U2392" s="273"/>
      <c r="AG2392" s="273"/>
      <c r="AH2392" s="273"/>
    </row>
    <row r="2393" spans="19:34">
      <c r="S2393" s="273"/>
      <c r="T2393" s="273"/>
      <c r="U2393" s="273"/>
      <c r="AG2393" s="273"/>
      <c r="AH2393" s="273"/>
    </row>
    <row r="2394" spans="19:34">
      <c r="S2394" s="273"/>
      <c r="T2394" s="273"/>
      <c r="U2394" s="273"/>
      <c r="AG2394" s="273"/>
      <c r="AH2394" s="273"/>
    </row>
    <row r="2395" spans="19:34">
      <c r="S2395" s="273"/>
      <c r="T2395" s="273"/>
      <c r="U2395" s="273"/>
      <c r="AG2395" s="273"/>
      <c r="AH2395" s="273"/>
    </row>
    <row r="2396" spans="19:34">
      <c r="S2396" s="273"/>
      <c r="T2396" s="273"/>
      <c r="U2396" s="273"/>
      <c r="AG2396" s="273"/>
      <c r="AH2396" s="273"/>
    </row>
    <row r="2397" spans="19:34">
      <c r="S2397" s="273"/>
      <c r="T2397" s="273"/>
      <c r="U2397" s="273"/>
      <c r="AG2397" s="273"/>
      <c r="AH2397" s="273"/>
    </row>
    <row r="2398" spans="19:34">
      <c r="S2398" s="273"/>
      <c r="T2398" s="273"/>
      <c r="U2398" s="273"/>
      <c r="AG2398" s="273"/>
      <c r="AH2398" s="273"/>
    </row>
    <row r="2399" spans="19:34">
      <c r="S2399" s="273"/>
      <c r="T2399" s="273"/>
      <c r="U2399" s="273"/>
      <c r="AG2399" s="273"/>
      <c r="AH2399" s="273"/>
    </row>
    <row r="2400" spans="19:34">
      <c r="S2400" s="273"/>
      <c r="T2400" s="273"/>
      <c r="U2400" s="273"/>
      <c r="AG2400" s="273"/>
      <c r="AH2400" s="273"/>
    </row>
    <row r="2401" spans="19:34">
      <c r="S2401" s="273"/>
      <c r="T2401" s="273"/>
      <c r="U2401" s="273"/>
      <c r="AG2401" s="273"/>
      <c r="AH2401" s="273"/>
    </row>
    <row r="2402" spans="19:34">
      <c r="S2402" s="273"/>
      <c r="T2402" s="273"/>
      <c r="U2402" s="273"/>
      <c r="AG2402" s="273"/>
      <c r="AH2402" s="273"/>
    </row>
    <row r="2403" spans="19:34">
      <c r="S2403" s="273"/>
      <c r="T2403" s="273"/>
      <c r="U2403" s="273"/>
      <c r="AG2403" s="273"/>
      <c r="AH2403" s="273"/>
    </row>
    <row r="2404" spans="19:34">
      <c r="S2404" s="273"/>
      <c r="T2404" s="273"/>
      <c r="U2404" s="273"/>
      <c r="AG2404" s="273"/>
      <c r="AH2404" s="273"/>
    </row>
    <row r="2405" spans="19:34">
      <c r="S2405" s="273"/>
      <c r="T2405" s="273"/>
      <c r="U2405" s="273"/>
      <c r="AG2405" s="273"/>
      <c r="AH2405" s="273"/>
    </row>
    <row r="2406" spans="19:34">
      <c r="S2406" s="273"/>
      <c r="T2406" s="273"/>
      <c r="U2406" s="273"/>
      <c r="AG2406" s="273"/>
      <c r="AH2406" s="273"/>
    </row>
    <row r="2407" spans="19:34">
      <c r="S2407" s="273"/>
      <c r="T2407" s="273"/>
      <c r="U2407" s="273"/>
      <c r="AG2407" s="273"/>
      <c r="AH2407" s="273"/>
    </row>
    <row r="2408" spans="19:34">
      <c r="S2408" s="273"/>
      <c r="T2408" s="273"/>
      <c r="U2408" s="273"/>
      <c r="AG2408" s="273"/>
      <c r="AH2408" s="273"/>
    </row>
    <row r="2409" spans="19:34">
      <c r="S2409" s="273"/>
      <c r="T2409" s="273"/>
      <c r="U2409" s="273"/>
      <c r="AG2409" s="273"/>
      <c r="AH2409" s="273"/>
    </row>
    <row r="2410" spans="19:34">
      <c r="S2410" s="273"/>
      <c r="T2410" s="273"/>
      <c r="U2410" s="273"/>
      <c r="AG2410" s="273"/>
      <c r="AH2410" s="273"/>
    </row>
    <row r="2411" spans="19:34">
      <c r="S2411" s="273"/>
      <c r="T2411" s="273"/>
      <c r="U2411" s="273"/>
      <c r="AG2411" s="273"/>
      <c r="AH2411" s="273"/>
    </row>
    <row r="2412" spans="19:34">
      <c r="S2412" s="273"/>
      <c r="T2412" s="273"/>
      <c r="U2412" s="273"/>
      <c r="AG2412" s="273"/>
      <c r="AH2412" s="273"/>
    </row>
    <row r="2413" spans="19:34">
      <c r="S2413" s="273"/>
      <c r="T2413" s="273"/>
      <c r="U2413" s="273"/>
      <c r="AG2413" s="273"/>
      <c r="AH2413" s="273"/>
    </row>
    <row r="2414" spans="19:34">
      <c r="S2414" s="273"/>
      <c r="T2414" s="273"/>
      <c r="U2414" s="273"/>
      <c r="AG2414" s="273"/>
      <c r="AH2414" s="273"/>
    </row>
    <row r="2415" spans="19:34">
      <c r="S2415" s="273"/>
      <c r="T2415" s="273"/>
      <c r="U2415" s="273"/>
      <c r="AG2415" s="273"/>
      <c r="AH2415" s="273"/>
    </row>
    <row r="2416" spans="19:34">
      <c r="S2416" s="273"/>
      <c r="T2416" s="273"/>
      <c r="U2416" s="273"/>
      <c r="AG2416" s="273"/>
      <c r="AH2416" s="273"/>
    </row>
    <row r="2417" spans="19:34">
      <c r="S2417" s="273"/>
      <c r="T2417" s="273"/>
      <c r="U2417" s="273"/>
      <c r="AG2417" s="273"/>
      <c r="AH2417" s="273"/>
    </row>
    <row r="2418" spans="19:34">
      <c r="S2418" s="273"/>
      <c r="T2418" s="273"/>
      <c r="U2418" s="273"/>
      <c r="AG2418" s="273"/>
      <c r="AH2418" s="273"/>
    </row>
    <row r="2419" spans="19:34">
      <c r="S2419" s="273"/>
      <c r="T2419" s="273"/>
      <c r="U2419" s="273"/>
      <c r="AG2419" s="273"/>
      <c r="AH2419" s="273"/>
    </row>
    <row r="2420" spans="19:34">
      <c r="S2420" s="273"/>
      <c r="T2420" s="273"/>
      <c r="U2420" s="273"/>
      <c r="AG2420" s="273"/>
      <c r="AH2420" s="273"/>
    </row>
    <row r="2421" spans="19:34">
      <c r="S2421" s="273"/>
      <c r="T2421" s="273"/>
      <c r="U2421" s="273"/>
      <c r="AG2421" s="273"/>
      <c r="AH2421" s="273"/>
    </row>
    <row r="2422" spans="19:34">
      <c r="S2422" s="273"/>
      <c r="T2422" s="273"/>
      <c r="U2422" s="273"/>
      <c r="AG2422" s="273"/>
      <c r="AH2422" s="273"/>
    </row>
    <row r="2423" spans="19:34">
      <c r="S2423" s="273"/>
      <c r="T2423" s="273"/>
      <c r="U2423" s="273"/>
      <c r="AG2423" s="273"/>
      <c r="AH2423" s="273"/>
    </row>
    <row r="2424" spans="19:34">
      <c r="S2424" s="273"/>
      <c r="T2424" s="273"/>
      <c r="U2424" s="273"/>
      <c r="AG2424" s="273"/>
      <c r="AH2424" s="273"/>
    </row>
    <row r="2425" spans="19:34">
      <c r="S2425" s="273"/>
      <c r="T2425" s="273"/>
      <c r="U2425" s="273"/>
      <c r="AG2425" s="273"/>
      <c r="AH2425" s="273"/>
    </row>
    <row r="2426" spans="19:34">
      <c r="S2426" s="273"/>
      <c r="T2426" s="273"/>
      <c r="U2426" s="273"/>
      <c r="AG2426" s="273"/>
      <c r="AH2426" s="273"/>
    </row>
    <row r="2427" spans="19:34">
      <c r="S2427" s="273"/>
      <c r="T2427" s="273"/>
      <c r="U2427" s="273"/>
      <c r="AG2427" s="273"/>
      <c r="AH2427" s="273"/>
    </row>
    <row r="2428" spans="19:34">
      <c r="S2428" s="273"/>
      <c r="T2428" s="273"/>
      <c r="U2428" s="273"/>
      <c r="AG2428" s="273"/>
      <c r="AH2428" s="273"/>
    </row>
    <row r="2429" spans="19:34">
      <c r="S2429" s="273"/>
      <c r="T2429" s="273"/>
      <c r="U2429" s="273"/>
      <c r="AG2429" s="273"/>
      <c r="AH2429" s="273"/>
    </row>
    <row r="2430" spans="19:34">
      <c r="S2430" s="273"/>
      <c r="T2430" s="273"/>
      <c r="U2430" s="273"/>
      <c r="AG2430" s="273"/>
      <c r="AH2430" s="273"/>
    </row>
    <row r="2431" spans="19:34">
      <c r="S2431" s="273"/>
      <c r="T2431" s="273"/>
      <c r="U2431" s="273"/>
      <c r="AG2431" s="273"/>
      <c r="AH2431" s="273"/>
    </row>
    <row r="2432" spans="19:34">
      <c r="S2432" s="273"/>
      <c r="T2432" s="273"/>
      <c r="U2432" s="273"/>
      <c r="AG2432" s="273"/>
      <c r="AH2432" s="273"/>
    </row>
    <row r="2433" spans="19:34">
      <c r="S2433" s="273"/>
      <c r="T2433" s="273"/>
      <c r="U2433" s="273"/>
      <c r="AG2433" s="273"/>
      <c r="AH2433" s="273"/>
    </row>
    <row r="2434" spans="19:34">
      <c r="S2434" s="273"/>
      <c r="T2434" s="273"/>
      <c r="U2434" s="273"/>
      <c r="AG2434" s="273"/>
      <c r="AH2434" s="273"/>
    </row>
    <row r="2435" spans="19:34">
      <c r="S2435" s="273"/>
      <c r="T2435" s="273"/>
      <c r="U2435" s="273"/>
      <c r="AG2435" s="273"/>
      <c r="AH2435" s="273"/>
    </row>
    <row r="2436" spans="19:34">
      <c r="S2436" s="273"/>
      <c r="T2436" s="273"/>
      <c r="U2436" s="273"/>
      <c r="AG2436" s="273"/>
      <c r="AH2436" s="273"/>
    </row>
    <row r="2437" spans="19:34">
      <c r="S2437" s="273"/>
      <c r="T2437" s="273"/>
      <c r="U2437" s="273"/>
      <c r="AG2437" s="273"/>
      <c r="AH2437" s="273"/>
    </row>
    <row r="2438" spans="19:34">
      <c r="S2438" s="273"/>
      <c r="T2438" s="273"/>
      <c r="U2438" s="273"/>
      <c r="AG2438" s="273"/>
      <c r="AH2438" s="273"/>
    </row>
    <row r="2439" spans="19:34">
      <c r="S2439" s="273"/>
      <c r="T2439" s="273"/>
      <c r="U2439" s="273"/>
      <c r="AG2439" s="273"/>
      <c r="AH2439" s="273"/>
    </row>
    <row r="2440" spans="19:34">
      <c r="S2440" s="273"/>
      <c r="T2440" s="273"/>
      <c r="U2440" s="273"/>
      <c r="AG2440" s="273"/>
      <c r="AH2440" s="273"/>
    </row>
    <row r="2441" spans="19:34">
      <c r="S2441" s="273"/>
      <c r="T2441" s="273"/>
      <c r="U2441" s="273"/>
      <c r="AG2441" s="273"/>
      <c r="AH2441" s="273"/>
    </row>
    <row r="2442" spans="19:34">
      <c r="S2442" s="273"/>
      <c r="T2442" s="273"/>
      <c r="U2442" s="273"/>
      <c r="AG2442" s="273"/>
      <c r="AH2442" s="273"/>
    </row>
    <row r="2443" spans="19:34">
      <c r="S2443" s="273"/>
      <c r="T2443" s="273"/>
      <c r="U2443" s="273"/>
      <c r="AG2443" s="273"/>
      <c r="AH2443" s="273"/>
    </row>
    <row r="2444" spans="19:34">
      <c r="S2444" s="273"/>
      <c r="T2444" s="273"/>
      <c r="U2444" s="273"/>
      <c r="AG2444" s="273"/>
      <c r="AH2444" s="273"/>
    </row>
    <row r="2445" spans="19:34">
      <c r="S2445" s="273"/>
      <c r="T2445" s="273"/>
      <c r="U2445" s="273"/>
      <c r="AG2445" s="273"/>
      <c r="AH2445" s="273"/>
    </row>
    <row r="2446" spans="19:34">
      <c r="S2446" s="273"/>
      <c r="T2446" s="273"/>
      <c r="U2446" s="273"/>
      <c r="AG2446" s="273"/>
      <c r="AH2446" s="273"/>
    </row>
    <row r="2447" spans="19:34">
      <c r="S2447" s="273"/>
      <c r="T2447" s="273"/>
      <c r="U2447" s="273"/>
      <c r="AG2447" s="273"/>
      <c r="AH2447" s="273"/>
    </row>
    <row r="2448" spans="19:34">
      <c r="S2448" s="273"/>
      <c r="T2448" s="273"/>
      <c r="U2448" s="273"/>
      <c r="AG2448" s="273"/>
      <c r="AH2448" s="273"/>
    </row>
    <row r="2449" spans="19:34">
      <c r="S2449" s="273"/>
      <c r="T2449" s="273"/>
      <c r="U2449" s="273"/>
      <c r="AG2449" s="273"/>
      <c r="AH2449" s="273"/>
    </row>
    <row r="2450" spans="19:34">
      <c r="S2450" s="273"/>
      <c r="T2450" s="273"/>
      <c r="U2450" s="273"/>
      <c r="AG2450" s="273"/>
      <c r="AH2450" s="273"/>
    </row>
    <row r="2451" spans="19:34">
      <c r="S2451" s="273"/>
      <c r="T2451" s="273"/>
      <c r="U2451" s="273"/>
      <c r="AG2451" s="273"/>
      <c r="AH2451" s="273"/>
    </row>
    <row r="2452" spans="19:34">
      <c r="S2452" s="273"/>
      <c r="T2452" s="273"/>
      <c r="U2452" s="273"/>
      <c r="AG2452" s="273"/>
      <c r="AH2452" s="273"/>
    </row>
    <row r="2453" spans="19:34">
      <c r="S2453" s="273"/>
      <c r="T2453" s="273"/>
      <c r="U2453" s="273"/>
      <c r="AG2453" s="273"/>
      <c r="AH2453" s="273"/>
    </row>
    <row r="2454" spans="19:34">
      <c r="S2454" s="273"/>
      <c r="T2454" s="273"/>
      <c r="U2454" s="273"/>
      <c r="AG2454" s="273"/>
      <c r="AH2454" s="273"/>
    </row>
    <row r="2455" spans="19:34">
      <c r="S2455" s="273"/>
      <c r="T2455" s="273"/>
      <c r="U2455" s="273"/>
      <c r="AG2455" s="273"/>
      <c r="AH2455" s="273"/>
    </row>
    <row r="2456" spans="19:34">
      <c r="S2456" s="273"/>
      <c r="T2456" s="273"/>
      <c r="U2456" s="273"/>
      <c r="AG2456" s="273"/>
      <c r="AH2456" s="273"/>
    </row>
    <row r="2457" spans="19:34">
      <c r="S2457" s="273"/>
      <c r="T2457" s="273"/>
      <c r="U2457" s="273"/>
      <c r="AG2457" s="273"/>
      <c r="AH2457" s="273"/>
    </row>
    <row r="2458" spans="19:34">
      <c r="S2458" s="273"/>
      <c r="T2458" s="273"/>
      <c r="U2458" s="273"/>
      <c r="AG2458" s="273"/>
      <c r="AH2458" s="273"/>
    </row>
    <row r="2459" spans="19:34">
      <c r="S2459" s="273"/>
      <c r="T2459" s="273"/>
      <c r="U2459" s="273"/>
      <c r="AG2459" s="273"/>
      <c r="AH2459" s="273"/>
    </row>
    <row r="2460" spans="19:34">
      <c r="S2460" s="273"/>
      <c r="T2460" s="273"/>
      <c r="U2460" s="273"/>
      <c r="AG2460" s="273"/>
      <c r="AH2460" s="273"/>
    </row>
    <row r="2461" spans="19:34">
      <c r="S2461" s="273"/>
      <c r="T2461" s="273"/>
      <c r="U2461" s="273"/>
      <c r="AG2461" s="273"/>
      <c r="AH2461" s="273"/>
    </row>
    <row r="2462" spans="19:34">
      <c r="S2462" s="273"/>
      <c r="T2462" s="273"/>
      <c r="U2462" s="273"/>
      <c r="AG2462" s="273"/>
      <c r="AH2462" s="273"/>
    </row>
    <row r="2463" spans="19:34">
      <c r="S2463" s="273"/>
      <c r="T2463" s="273"/>
      <c r="U2463" s="273"/>
      <c r="AG2463" s="273"/>
      <c r="AH2463" s="273"/>
    </row>
    <row r="2464" spans="19:34">
      <c r="S2464" s="273"/>
      <c r="T2464" s="273"/>
      <c r="U2464" s="273"/>
      <c r="AG2464" s="273"/>
      <c r="AH2464" s="273"/>
    </row>
    <row r="2465" spans="19:34">
      <c r="S2465" s="273"/>
      <c r="T2465" s="273"/>
      <c r="U2465" s="273"/>
      <c r="AG2465" s="273"/>
      <c r="AH2465" s="273"/>
    </row>
    <row r="2466" spans="19:34">
      <c r="S2466" s="273"/>
      <c r="T2466" s="273"/>
      <c r="U2466" s="273"/>
      <c r="AG2466" s="273"/>
      <c r="AH2466" s="273"/>
    </row>
    <row r="2467" spans="19:34">
      <c r="S2467" s="273"/>
      <c r="T2467" s="273"/>
      <c r="U2467" s="273"/>
      <c r="AG2467" s="273"/>
      <c r="AH2467" s="273"/>
    </row>
    <row r="2468" spans="19:34">
      <c r="S2468" s="273"/>
      <c r="T2468" s="273"/>
      <c r="U2468" s="273"/>
      <c r="AG2468" s="273"/>
      <c r="AH2468" s="273"/>
    </row>
    <row r="2469" spans="19:34">
      <c r="S2469" s="273"/>
      <c r="T2469" s="273"/>
      <c r="U2469" s="273"/>
      <c r="AG2469" s="273"/>
      <c r="AH2469" s="273"/>
    </row>
    <row r="2470" spans="19:34">
      <c r="S2470" s="273"/>
      <c r="T2470" s="273"/>
      <c r="U2470" s="273"/>
      <c r="AG2470" s="273"/>
      <c r="AH2470" s="273"/>
    </row>
    <row r="2471" spans="19:34">
      <c r="S2471" s="273"/>
      <c r="T2471" s="273"/>
      <c r="U2471" s="273"/>
      <c r="AG2471" s="273"/>
      <c r="AH2471" s="273"/>
    </row>
    <row r="2472" spans="19:34">
      <c r="S2472" s="273"/>
      <c r="T2472" s="273"/>
      <c r="U2472" s="273"/>
      <c r="AG2472" s="273"/>
      <c r="AH2472" s="273"/>
    </row>
    <row r="2473" spans="19:34">
      <c r="S2473" s="273"/>
      <c r="T2473" s="273"/>
      <c r="U2473" s="273"/>
      <c r="AG2473" s="273"/>
      <c r="AH2473" s="273"/>
    </row>
    <row r="2474" spans="19:34">
      <c r="S2474" s="273"/>
      <c r="T2474" s="273"/>
      <c r="U2474" s="273"/>
      <c r="AG2474" s="273"/>
      <c r="AH2474" s="273"/>
    </row>
    <row r="2475" spans="19:34">
      <c r="S2475" s="273"/>
      <c r="T2475" s="273"/>
      <c r="U2475" s="273"/>
      <c r="AG2475" s="273"/>
      <c r="AH2475" s="273"/>
    </row>
    <row r="2476" spans="19:34">
      <c r="S2476" s="273"/>
      <c r="T2476" s="273"/>
      <c r="U2476" s="273"/>
      <c r="AG2476" s="273"/>
      <c r="AH2476" s="273"/>
    </row>
    <row r="2477" spans="19:34">
      <c r="S2477" s="273"/>
      <c r="T2477" s="273"/>
      <c r="U2477" s="273"/>
      <c r="AG2477" s="273"/>
      <c r="AH2477" s="273"/>
    </row>
    <row r="2478" spans="19:34">
      <c r="S2478" s="273"/>
      <c r="T2478" s="273"/>
      <c r="U2478" s="273"/>
      <c r="AG2478" s="273"/>
      <c r="AH2478" s="273"/>
    </row>
    <row r="2479" spans="19:34">
      <c r="S2479" s="273"/>
      <c r="T2479" s="273"/>
      <c r="U2479" s="273"/>
      <c r="AG2479" s="273"/>
      <c r="AH2479" s="273"/>
    </row>
    <row r="2480" spans="19:34">
      <c r="S2480" s="273"/>
      <c r="T2480" s="273"/>
      <c r="U2480" s="273"/>
      <c r="AG2480" s="273"/>
      <c r="AH2480" s="273"/>
    </row>
    <row r="2481" spans="19:34">
      <c r="S2481" s="273"/>
      <c r="T2481" s="273"/>
      <c r="U2481" s="273"/>
      <c r="AG2481" s="273"/>
      <c r="AH2481" s="273"/>
    </row>
    <row r="2482" spans="19:34">
      <c r="S2482" s="273"/>
      <c r="T2482" s="273"/>
      <c r="U2482" s="273"/>
      <c r="AG2482" s="273"/>
      <c r="AH2482" s="273"/>
    </row>
    <row r="2483" spans="19:34">
      <c r="S2483" s="273"/>
      <c r="T2483" s="273"/>
      <c r="U2483" s="273"/>
      <c r="AG2483" s="273"/>
      <c r="AH2483" s="273"/>
    </row>
    <row r="2484" spans="19:34">
      <c r="S2484" s="273"/>
      <c r="T2484" s="273"/>
      <c r="U2484" s="273"/>
      <c r="AG2484" s="273"/>
      <c r="AH2484" s="273"/>
    </row>
    <row r="2485" spans="19:34">
      <c r="S2485" s="273"/>
      <c r="T2485" s="273"/>
      <c r="U2485" s="273"/>
      <c r="AG2485" s="273"/>
      <c r="AH2485" s="273"/>
    </row>
    <row r="2486" spans="19:34">
      <c r="S2486" s="273"/>
      <c r="T2486" s="273"/>
      <c r="U2486" s="273"/>
      <c r="AG2486" s="273"/>
      <c r="AH2486" s="273"/>
    </row>
    <row r="2487" spans="19:34">
      <c r="S2487" s="273"/>
      <c r="T2487" s="273"/>
      <c r="U2487" s="273"/>
      <c r="AG2487" s="273"/>
      <c r="AH2487" s="273"/>
    </row>
    <row r="2488" spans="19:34">
      <c r="S2488" s="273"/>
      <c r="T2488" s="273"/>
      <c r="U2488" s="273"/>
      <c r="AG2488" s="273"/>
      <c r="AH2488" s="273"/>
    </row>
    <row r="2489" spans="19:34">
      <c r="S2489" s="273"/>
      <c r="T2489" s="273"/>
      <c r="U2489" s="273"/>
      <c r="AG2489" s="273"/>
      <c r="AH2489" s="273"/>
    </row>
    <row r="2490" spans="19:34">
      <c r="S2490" s="273"/>
      <c r="T2490" s="273"/>
      <c r="U2490" s="273"/>
      <c r="AG2490" s="273"/>
      <c r="AH2490" s="273"/>
    </row>
    <row r="2491" spans="19:34">
      <c r="S2491" s="273"/>
      <c r="T2491" s="273"/>
      <c r="U2491" s="273"/>
      <c r="AG2491" s="273"/>
      <c r="AH2491" s="273"/>
    </row>
    <row r="2492" spans="19:34">
      <c r="S2492" s="273"/>
      <c r="T2492" s="273"/>
      <c r="U2492" s="273"/>
      <c r="AG2492" s="273"/>
      <c r="AH2492" s="273"/>
    </row>
    <row r="2493" spans="19:34">
      <c r="S2493" s="273"/>
      <c r="T2493" s="273"/>
      <c r="U2493" s="273"/>
      <c r="AG2493" s="273"/>
      <c r="AH2493" s="273"/>
    </row>
    <row r="2494" spans="19:34">
      <c r="S2494" s="273"/>
      <c r="T2494" s="273"/>
      <c r="U2494" s="273"/>
      <c r="AG2494" s="273"/>
      <c r="AH2494" s="273"/>
    </row>
    <row r="2495" spans="19:34">
      <c r="S2495" s="273"/>
      <c r="T2495" s="273"/>
      <c r="U2495" s="273"/>
      <c r="AG2495" s="273"/>
      <c r="AH2495" s="273"/>
    </row>
    <row r="2496" spans="19:34">
      <c r="S2496" s="273"/>
      <c r="T2496" s="273"/>
      <c r="U2496" s="273"/>
      <c r="AG2496" s="273"/>
      <c r="AH2496" s="273"/>
    </row>
    <row r="2497" spans="19:34">
      <c r="S2497" s="273"/>
      <c r="T2497" s="273"/>
      <c r="U2497" s="273"/>
      <c r="AG2497" s="273"/>
      <c r="AH2497" s="273"/>
    </row>
    <row r="2498" spans="19:34">
      <c r="S2498" s="273"/>
      <c r="T2498" s="273"/>
      <c r="U2498" s="273"/>
      <c r="AG2498" s="273"/>
      <c r="AH2498" s="273"/>
    </row>
    <row r="2499" spans="19:34">
      <c r="S2499" s="273"/>
      <c r="T2499" s="273"/>
      <c r="U2499" s="273"/>
      <c r="AG2499" s="273"/>
      <c r="AH2499" s="273"/>
    </row>
    <row r="2500" spans="19:34">
      <c r="S2500" s="273"/>
      <c r="T2500" s="273"/>
      <c r="U2500" s="273"/>
      <c r="AG2500" s="273"/>
      <c r="AH2500" s="273"/>
    </row>
    <row r="2501" spans="19:34">
      <c r="S2501" s="273"/>
      <c r="T2501" s="273"/>
      <c r="U2501" s="273"/>
      <c r="AG2501" s="273"/>
      <c r="AH2501" s="273"/>
    </row>
    <row r="2502" spans="19:34">
      <c r="S2502" s="273"/>
      <c r="T2502" s="273"/>
      <c r="U2502" s="273"/>
      <c r="AG2502" s="273"/>
      <c r="AH2502" s="273"/>
    </row>
    <row r="2503" spans="19:34">
      <c r="S2503" s="273"/>
      <c r="T2503" s="273"/>
      <c r="U2503" s="273"/>
      <c r="AG2503" s="273"/>
      <c r="AH2503" s="273"/>
    </row>
    <row r="2504" spans="19:34">
      <c r="S2504" s="273"/>
      <c r="T2504" s="273"/>
      <c r="U2504" s="273"/>
      <c r="AG2504" s="273"/>
      <c r="AH2504" s="273"/>
    </row>
    <row r="2505" spans="19:34">
      <c r="S2505" s="273"/>
      <c r="T2505" s="273"/>
      <c r="U2505" s="273"/>
      <c r="AG2505" s="273"/>
      <c r="AH2505" s="273"/>
    </row>
    <row r="2506" spans="19:34">
      <c r="S2506" s="273"/>
      <c r="T2506" s="273"/>
      <c r="U2506" s="273"/>
      <c r="AG2506" s="273"/>
      <c r="AH2506" s="273"/>
    </row>
    <row r="2507" spans="19:34">
      <c r="S2507" s="273"/>
      <c r="T2507" s="273"/>
      <c r="U2507" s="273"/>
      <c r="AG2507" s="273"/>
      <c r="AH2507" s="273"/>
    </row>
    <row r="2508" spans="19:34">
      <c r="S2508" s="273"/>
      <c r="T2508" s="273"/>
      <c r="U2508" s="273"/>
      <c r="AG2508" s="273"/>
      <c r="AH2508" s="273"/>
    </row>
    <row r="2509" spans="19:34">
      <c r="S2509" s="273"/>
      <c r="T2509" s="273"/>
      <c r="U2509" s="273"/>
      <c r="AG2509" s="273"/>
      <c r="AH2509" s="273"/>
    </row>
    <row r="2510" spans="19:34">
      <c r="S2510" s="273"/>
      <c r="T2510" s="273"/>
      <c r="U2510" s="273"/>
      <c r="AG2510" s="273"/>
      <c r="AH2510" s="273"/>
    </row>
    <row r="2511" spans="19:34">
      <c r="S2511" s="273"/>
      <c r="T2511" s="273"/>
      <c r="U2511" s="273"/>
      <c r="AG2511" s="273"/>
      <c r="AH2511" s="273"/>
    </row>
    <row r="2512" spans="19:34">
      <c r="S2512" s="273"/>
      <c r="T2512" s="273"/>
      <c r="U2512" s="273"/>
      <c r="AG2512" s="273"/>
      <c r="AH2512" s="273"/>
    </row>
    <row r="2513" spans="19:34">
      <c r="S2513" s="273"/>
      <c r="T2513" s="273"/>
      <c r="U2513" s="273"/>
      <c r="AG2513" s="273"/>
      <c r="AH2513" s="273"/>
    </row>
    <row r="2514" spans="19:34">
      <c r="S2514" s="273"/>
      <c r="T2514" s="273"/>
      <c r="U2514" s="273"/>
      <c r="AG2514" s="273"/>
      <c r="AH2514" s="273"/>
    </row>
    <row r="2515" spans="19:34">
      <c r="S2515" s="273"/>
      <c r="T2515" s="273"/>
      <c r="U2515" s="273"/>
      <c r="AG2515" s="273"/>
      <c r="AH2515" s="273"/>
    </row>
    <row r="2516" spans="19:34">
      <c r="S2516" s="273"/>
      <c r="T2516" s="273"/>
      <c r="U2516" s="273"/>
      <c r="AG2516" s="273"/>
      <c r="AH2516" s="273"/>
    </row>
    <row r="2517" spans="19:34">
      <c r="S2517" s="273"/>
      <c r="T2517" s="273"/>
      <c r="U2517" s="273"/>
      <c r="AG2517" s="273"/>
      <c r="AH2517" s="273"/>
    </row>
    <row r="2518" spans="19:34">
      <c r="S2518" s="273"/>
      <c r="T2518" s="273"/>
      <c r="U2518" s="273"/>
      <c r="AG2518" s="273"/>
      <c r="AH2518" s="273"/>
    </row>
    <row r="2519" spans="19:34">
      <c r="S2519" s="273"/>
      <c r="T2519" s="273"/>
      <c r="U2519" s="273"/>
      <c r="AG2519" s="273"/>
      <c r="AH2519" s="273"/>
    </row>
    <row r="2520" spans="19:34">
      <c r="S2520" s="273"/>
      <c r="T2520" s="273"/>
      <c r="U2520" s="273"/>
      <c r="AG2520" s="273"/>
      <c r="AH2520" s="273"/>
    </row>
    <row r="2521" spans="19:34">
      <c r="S2521" s="273"/>
      <c r="T2521" s="273"/>
      <c r="U2521" s="273"/>
      <c r="AG2521" s="273"/>
      <c r="AH2521" s="273"/>
    </row>
    <row r="2522" spans="19:34">
      <c r="S2522" s="273"/>
      <c r="T2522" s="273"/>
      <c r="U2522" s="273"/>
      <c r="AG2522" s="273"/>
      <c r="AH2522" s="273"/>
    </row>
    <row r="2523" spans="19:34">
      <c r="S2523" s="273"/>
      <c r="T2523" s="273"/>
      <c r="U2523" s="273"/>
      <c r="AG2523" s="273"/>
      <c r="AH2523" s="273"/>
    </row>
    <row r="2524" spans="19:34">
      <c r="S2524" s="273"/>
      <c r="T2524" s="273"/>
      <c r="U2524" s="273"/>
      <c r="AG2524" s="273"/>
      <c r="AH2524" s="273"/>
    </row>
    <row r="2525" spans="19:34">
      <c r="S2525" s="273"/>
      <c r="T2525" s="273"/>
      <c r="U2525" s="273"/>
      <c r="AG2525" s="273"/>
      <c r="AH2525" s="273"/>
    </row>
    <row r="2526" spans="19:34">
      <c r="S2526" s="273"/>
      <c r="T2526" s="273"/>
      <c r="U2526" s="273"/>
      <c r="AG2526" s="273"/>
      <c r="AH2526" s="273"/>
    </row>
    <row r="2527" spans="19:34">
      <c r="S2527" s="273"/>
      <c r="T2527" s="273"/>
      <c r="U2527" s="273"/>
      <c r="AG2527" s="273"/>
      <c r="AH2527" s="273"/>
    </row>
    <row r="2528" spans="19:34">
      <c r="S2528" s="273"/>
      <c r="T2528" s="273"/>
      <c r="U2528" s="273"/>
      <c r="AG2528" s="273"/>
      <c r="AH2528" s="273"/>
    </row>
    <row r="2529" spans="19:34">
      <c r="S2529" s="273"/>
      <c r="T2529" s="273"/>
      <c r="U2529" s="273"/>
      <c r="AG2529" s="273"/>
      <c r="AH2529" s="273"/>
    </row>
    <row r="2530" spans="19:34">
      <c r="S2530" s="273"/>
      <c r="T2530" s="273"/>
      <c r="U2530" s="273"/>
      <c r="AG2530" s="273"/>
      <c r="AH2530" s="273"/>
    </row>
    <row r="2531" spans="19:34">
      <c r="S2531" s="273"/>
      <c r="T2531" s="273"/>
      <c r="U2531" s="273"/>
      <c r="AG2531" s="273"/>
      <c r="AH2531" s="273"/>
    </row>
    <row r="2532" spans="19:34">
      <c r="S2532" s="273"/>
      <c r="T2532" s="273"/>
      <c r="U2532" s="273"/>
      <c r="AG2532" s="273"/>
      <c r="AH2532" s="273"/>
    </row>
    <row r="2533" spans="19:34">
      <c r="S2533" s="273"/>
      <c r="T2533" s="273"/>
      <c r="U2533" s="273"/>
      <c r="AG2533" s="273"/>
      <c r="AH2533" s="273"/>
    </row>
    <row r="2534" spans="19:34">
      <c r="S2534" s="273"/>
      <c r="T2534" s="273"/>
      <c r="U2534" s="273"/>
      <c r="AG2534" s="273"/>
      <c r="AH2534" s="273"/>
    </row>
    <row r="2535" spans="19:34">
      <c r="S2535" s="273"/>
      <c r="T2535" s="273"/>
      <c r="U2535" s="273"/>
      <c r="AG2535" s="273"/>
      <c r="AH2535" s="273"/>
    </row>
    <row r="2536" spans="19:34">
      <c r="S2536" s="273"/>
      <c r="T2536" s="273"/>
      <c r="U2536" s="273"/>
      <c r="AG2536" s="273"/>
      <c r="AH2536" s="273"/>
    </row>
    <row r="2537" spans="19:34">
      <c r="S2537" s="273"/>
      <c r="T2537" s="273"/>
      <c r="U2537" s="273"/>
      <c r="AG2537" s="273"/>
      <c r="AH2537" s="273"/>
    </row>
    <row r="2538" spans="19:34">
      <c r="S2538" s="273"/>
      <c r="T2538" s="273"/>
      <c r="U2538" s="273"/>
      <c r="AG2538" s="273"/>
      <c r="AH2538" s="273"/>
    </row>
    <row r="2539" spans="19:34">
      <c r="S2539" s="273"/>
      <c r="T2539" s="273"/>
      <c r="U2539" s="273"/>
      <c r="AG2539" s="273"/>
      <c r="AH2539" s="273"/>
    </row>
    <row r="2540" spans="19:34">
      <c r="S2540" s="273"/>
      <c r="T2540" s="273"/>
      <c r="U2540" s="273"/>
      <c r="AG2540" s="273"/>
      <c r="AH2540" s="273"/>
    </row>
    <row r="2541" spans="19:34">
      <c r="S2541" s="273"/>
      <c r="T2541" s="273"/>
      <c r="U2541" s="273"/>
      <c r="AG2541" s="273"/>
      <c r="AH2541" s="273"/>
    </row>
    <row r="2542" spans="19:34">
      <c r="S2542" s="273"/>
      <c r="T2542" s="273"/>
      <c r="U2542" s="273"/>
      <c r="AG2542" s="273"/>
      <c r="AH2542" s="273"/>
    </row>
    <row r="2543" spans="19:34">
      <c r="S2543" s="273"/>
      <c r="T2543" s="273"/>
      <c r="U2543" s="273"/>
      <c r="AG2543" s="273"/>
      <c r="AH2543" s="273"/>
    </row>
    <row r="2544" spans="19:34">
      <c r="S2544" s="273"/>
      <c r="T2544" s="273"/>
      <c r="U2544" s="273"/>
      <c r="AG2544" s="273"/>
      <c r="AH2544" s="273"/>
    </row>
    <row r="2545" spans="19:34">
      <c r="S2545" s="273"/>
      <c r="T2545" s="273"/>
      <c r="U2545" s="273"/>
      <c r="AG2545" s="273"/>
      <c r="AH2545" s="273"/>
    </row>
    <row r="2546" spans="19:34">
      <c r="S2546" s="273"/>
      <c r="T2546" s="273"/>
      <c r="U2546" s="273"/>
      <c r="AG2546" s="273"/>
      <c r="AH2546" s="273"/>
    </row>
    <row r="2547" spans="19:34">
      <c r="S2547" s="273"/>
      <c r="T2547" s="273"/>
      <c r="U2547" s="273"/>
      <c r="AG2547" s="273"/>
      <c r="AH2547" s="273"/>
    </row>
    <row r="2548" spans="19:34">
      <c r="S2548" s="273"/>
      <c r="T2548" s="273"/>
      <c r="U2548" s="273"/>
      <c r="AG2548" s="273"/>
      <c r="AH2548" s="273"/>
    </row>
    <row r="2549" spans="19:34">
      <c r="S2549" s="273"/>
      <c r="T2549" s="273"/>
      <c r="U2549" s="273"/>
      <c r="AG2549" s="273"/>
      <c r="AH2549" s="273"/>
    </row>
    <row r="2550" spans="19:34">
      <c r="S2550" s="273"/>
      <c r="T2550" s="273"/>
      <c r="U2550" s="273"/>
      <c r="AG2550" s="273"/>
      <c r="AH2550" s="273"/>
    </row>
    <row r="2551" spans="19:34">
      <c r="S2551" s="273"/>
      <c r="T2551" s="273"/>
      <c r="U2551" s="273"/>
      <c r="AG2551" s="273"/>
      <c r="AH2551" s="273"/>
    </row>
    <row r="2552" spans="19:34">
      <c r="S2552" s="273"/>
      <c r="T2552" s="273"/>
      <c r="U2552" s="273"/>
      <c r="AG2552" s="273"/>
      <c r="AH2552" s="273"/>
    </row>
    <row r="2553" spans="19:34">
      <c r="S2553" s="273"/>
      <c r="T2553" s="273"/>
      <c r="U2553" s="273"/>
      <c r="AG2553" s="273"/>
      <c r="AH2553" s="273"/>
    </row>
    <row r="2554" spans="19:34">
      <c r="S2554" s="273"/>
      <c r="T2554" s="273"/>
      <c r="U2554" s="273"/>
      <c r="AG2554" s="273"/>
      <c r="AH2554" s="273"/>
    </row>
    <row r="2555" spans="19:34">
      <c r="S2555" s="273"/>
      <c r="T2555" s="273"/>
      <c r="U2555" s="273"/>
      <c r="AG2555" s="273"/>
      <c r="AH2555" s="273"/>
    </row>
    <row r="2556" spans="19:34">
      <c r="S2556" s="273"/>
      <c r="T2556" s="273"/>
      <c r="U2556" s="273"/>
      <c r="AG2556" s="273"/>
      <c r="AH2556" s="273"/>
    </row>
    <row r="2557" spans="19:34">
      <c r="S2557" s="273"/>
      <c r="T2557" s="273"/>
      <c r="U2557" s="273"/>
      <c r="AG2557" s="273"/>
      <c r="AH2557" s="273"/>
    </row>
    <row r="2558" spans="19:34">
      <c r="S2558" s="273"/>
      <c r="T2558" s="273"/>
      <c r="U2558" s="273"/>
      <c r="AG2558" s="273"/>
      <c r="AH2558" s="273"/>
    </row>
    <row r="2559" spans="19:34">
      <c r="S2559" s="273"/>
      <c r="T2559" s="273"/>
      <c r="U2559" s="273"/>
      <c r="AG2559" s="273"/>
      <c r="AH2559" s="273"/>
    </row>
    <row r="2560" spans="19:34">
      <c r="S2560" s="273"/>
      <c r="T2560" s="273"/>
      <c r="U2560" s="273"/>
      <c r="AG2560" s="273"/>
      <c r="AH2560" s="273"/>
    </row>
    <row r="2561" spans="19:34">
      <c r="S2561" s="273"/>
      <c r="T2561" s="273"/>
      <c r="U2561" s="273"/>
      <c r="AG2561" s="273"/>
      <c r="AH2561" s="273"/>
    </row>
    <row r="2562" spans="19:34">
      <c r="S2562" s="273"/>
      <c r="T2562" s="273"/>
      <c r="U2562" s="273"/>
      <c r="AG2562" s="273"/>
      <c r="AH2562" s="273"/>
    </row>
    <row r="2563" spans="19:34">
      <c r="S2563" s="273"/>
      <c r="T2563" s="273"/>
      <c r="U2563" s="273"/>
      <c r="AG2563" s="273"/>
      <c r="AH2563" s="273"/>
    </row>
    <row r="2564" spans="19:34">
      <c r="S2564" s="273"/>
      <c r="T2564" s="273"/>
      <c r="U2564" s="273"/>
      <c r="AG2564" s="273"/>
      <c r="AH2564" s="273"/>
    </row>
    <row r="2565" spans="19:34">
      <c r="S2565" s="273"/>
      <c r="T2565" s="273"/>
      <c r="U2565" s="273"/>
      <c r="AG2565" s="273"/>
      <c r="AH2565" s="273"/>
    </row>
    <row r="2566" spans="19:34">
      <c r="S2566" s="273"/>
      <c r="T2566" s="273"/>
      <c r="U2566" s="273"/>
      <c r="AG2566" s="273"/>
      <c r="AH2566" s="273"/>
    </row>
    <row r="2567" spans="19:34">
      <c r="S2567" s="273"/>
      <c r="T2567" s="273"/>
      <c r="U2567" s="273"/>
      <c r="AG2567" s="273"/>
      <c r="AH2567" s="273"/>
    </row>
    <row r="2568" spans="19:34">
      <c r="S2568" s="273"/>
      <c r="T2568" s="273"/>
      <c r="U2568" s="273"/>
      <c r="AG2568" s="273"/>
      <c r="AH2568" s="273"/>
    </row>
    <row r="2569" spans="19:34">
      <c r="S2569" s="273"/>
      <c r="T2569" s="273"/>
      <c r="U2569" s="273"/>
      <c r="AG2569" s="273"/>
      <c r="AH2569" s="273"/>
    </row>
    <row r="2570" spans="19:34">
      <c r="S2570" s="273"/>
      <c r="T2570" s="273"/>
      <c r="U2570" s="273"/>
      <c r="AG2570" s="273"/>
      <c r="AH2570" s="273"/>
    </row>
    <row r="2571" spans="19:34">
      <c r="S2571" s="273"/>
      <c r="T2571" s="273"/>
      <c r="U2571" s="273"/>
      <c r="AG2571" s="273"/>
      <c r="AH2571" s="273"/>
    </row>
    <row r="2572" spans="19:34">
      <c r="S2572" s="273"/>
      <c r="T2572" s="273"/>
      <c r="U2572" s="273"/>
      <c r="AG2572" s="273"/>
      <c r="AH2572" s="273"/>
    </row>
    <row r="2573" spans="19:34">
      <c r="S2573" s="273"/>
      <c r="T2573" s="273"/>
      <c r="U2573" s="273"/>
      <c r="AG2573" s="273"/>
      <c r="AH2573" s="273"/>
    </row>
    <row r="2574" spans="19:34">
      <c r="S2574" s="273"/>
      <c r="T2574" s="273"/>
      <c r="U2574" s="273"/>
      <c r="AG2574" s="273"/>
      <c r="AH2574" s="273"/>
    </row>
    <row r="2575" spans="19:34">
      <c r="S2575" s="273"/>
      <c r="T2575" s="273"/>
      <c r="U2575" s="273"/>
      <c r="AG2575" s="273"/>
      <c r="AH2575" s="273"/>
    </row>
    <row r="2576" spans="19:34">
      <c r="S2576" s="273"/>
      <c r="T2576" s="273"/>
      <c r="U2576" s="273"/>
      <c r="AG2576" s="273"/>
      <c r="AH2576" s="273"/>
    </row>
    <row r="2577" spans="19:34">
      <c r="S2577" s="273"/>
      <c r="T2577" s="273"/>
      <c r="U2577" s="273"/>
      <c r="AG2577" s="273"/>
      <c r="AH2577" s="273"/>
    </row>
    <row r="2578" spans="19:34">
      <c r="S2578" s="273"/>
      <c r="T2578" s="273"/>
      <c r="U2578" s="273"/>
      <c r="AG2578" s="273"/>
      <c r="AH2578" s="273"/>
    </row>
    <row r="2579" spans="19:34">
      <c r="S2579" s="273"/>
      <c r="T2579" s="273"/>
      <c r="U2579" s="273"/>
      <c r="AG2579" s="273"/>
      <c r="AH2579" s="273"/>
    </row>
    <row r="2580" spans="19:34">
      <c r="S2580" s="273"/>
      <c r="T2580" s="273"/>
      <c r="U2580" s="273"/>
      <c r="AG2580" s="273"/>
      <c r="AH2580" s="273"/>
    </row>
    <row r="2581" spans="19:34">
      <c r="S2581" s="273"/>
      <c r="T2581" s="273"/>
      <c r="U2581" s="273"/>
      <c r="AG2581" s="273"/>
      <c r="AH2581" s="273"/>
    </row>
    <row r="2582" spans="19:34">
      <c r="S2582" s="273"/>
      <c r="T2582" s="273"/>
      <c r="U2582" s="273"/>
      <c r="AG2582" s="273"/>
      <c r="AH2582" s="273"/>
    </row>
    <row r="2583" spans="19:34">
      <c r="S2583" s="273"/>
      <c r="T2583" s="273"/>
      <c r="U2583" s="273"/>
      <c r="AG2583" s="273"/>
      <c r="AH2583" s="273"/>
    </row>
    <row r="2584" spans="19:34">
      <c r="S2584" s="273"/>
      <c r="T2584" s="273"/>
      <c r="U2584" s="273"/>
      <c r="AG2584" s="273"/>
      <c r="AH2584" s="273"/>
    </row>
    <row r="2585" spans="19:34">
      <c r="S2585" s="273"/>
      <c r="T2585" s="273"/>
      <c r="U2585" s="273"/>
      <c r="AG2585" s="273"/>
      <c r="AH2585" s="273"/>
    </row>
    <row r="2586" spans="19:34">
      <c r="S2586" s="273"/>
      <c r="T2586" s="273"/>
      <c r="U2586" s="273"/>
      <c r="AG2586" s="273"/>
      <c r="AH2586" s="273"/>
    </row>
    <row r="2587" spans="19:34">
      <c r="S2587" s="273"/>
      <c r="T2587" s="273"/>
      <c r="U2587" s="273"/>
      <c r="AG2587" s="273"/>
      <c r="AH2587" s="273"/>
    </row>
    <row r="2588" spans="19:34">
      <c r="S2588" s="273"/>
      <c r="T2588" s="273"/>
      <c r="U2588" s="273"/>
      <c r="AG2588" s="273"/>
      <c r="AH2588" s="273"/>
    </row>
    <row r="2589" spans="19:34">
      <c r="S2589" s="273"/>
      <c r="T2589" s="273"/>
      <c r="U2589" s="273"/>
      <c r="AG2589" s="273"/>
      <c r="AH2589" s="273"/>
    </row>
    <row r="2590" spans="19:34">
      <c r="S2590" s="273"/>
      <c r="T2590" s="273"/>
      <c r="U2590" s="273"/>
      <c r="AG2590" s="273"/>
      <c r="AH2590" s="273"/>
    </row>
    <row r="2591" spans="19:34">
      <c r="S2591" s="273"/>
      <c r="T2591" s="273"/>
      <c r="U2591" s="273"/>
      <c r="AG2591" s="273"/>
      <c r="AH2591" s="273"/>
    </row>
    <row r="2592" spans="19:34">
      <c r="S2592" s="273"/>
      <c r="T2592" s="273"/>
      <c r="U2592" s="273"/>
      <c r="AG2592" s="273"/>
      <c r="AH2592" s="273"/>
    </row>
    <row r="2593" spans="19:34">
      <c r="S2593" s="273"/>
      <c r="T2593" s="273"/>
      <c r="U2593" s="273"/>
      <c r="AG2593" s="273"/>
      <c r="AH2593" s="273"/>
    </row>
    <row r="2594" spans="19:34">
      <c r="S2594" s="273"/>
      <c r="T2594" s="273"/>
      <c r="U2594" s="273"/>
      <c r="AG2594" s="273"/>
      <c r="AH2594" s="273"/>
    </row>
    <row r="2595" spans="19:34">
      <c r="S2595" s="273"/>
      <c r="T2595" s="273"/>
      <c r="U2595" s="273"/>
      <c r="AG2595" s="273"/>
      <c r="AH2595" s="273"/>
    </row>
    <row r="2596" spans="19:34">
      <c r="S2596" s="273"/>
      <c r="T2596" s="273"/>
      <c r="U2596" s="273"/>
      <c r="AG2596" s="273"/>
      <c r="AH2596" s="273"/>
    </row>
    <row r="2597" spans="19:34">
      <c r="S2597" s="273"/>
      <c r="T2597" s="273"/>
      <c r="U2597" s="273"/>
      <c r="AG2597" s="273"/>
      <c r="AH2597" s="273"/>
    </row>
    <row r="2598" spans="19:34">
      <c r="S2598" s="273"/>
      <c r="T2598" s="273"/>
      <c r="U2598" s="273"/>
      <c r="AG2598" s="273"/>
      <c r="AH2598" s="273"/>
    </row>
    <row r="2599" spans="19:34">
      <c r="S2599" s="273"/>
      <c r="T2599" s="273"/>
      <c r="U2599" s="273"/>
      <c r="AG2599" s="273"/>
      <c r="AH2599" s="273"/>
    </row>
    <row r="2600" spans="19:34">
      <c r="S2600" s="273"/>
      <c r="T2600" s="273"/>
      <c r="U2600" s="273"/>
      <c r="AG2600" s="273"/>
      <c r="AH2600" s="273"/>
    </row>
    <row r="2601" spans="19:34">
      <c r="S2601" s="273"/>
      <c r="T2601" s="273"/>
      <c r="U2601" s="273"/>
      <c r="AG2601" s="273"/>
      <c r="AH2601" s="273"/>
    </row>
    <row r="2602" spans="19:34">
      <c r="S2602" s="273"/>
      <c r="T2602" s="273"/>
      <c r="U2602" s="273"/>
      <c r="AG2602" s="273"/>
      <c r="AH2602" s="273"/>
    </row>
    <row r="2603" spans="19:34">
      <c r="S2603" s="273"/>
      <c r="T2603" s="273"/>
      <c r="U2603" s="273"/>
      <c r="AG2603" s="273"/>
      <c r="AH2603" s="273"/>
    </row>
    <row r="2604" spans="19:34">
      <c r="S2604" s="273"/>
      <c r="T2604" s="273"/>
      <c r="U2604" s="273"/>
      <c r="AG2604" s="273"/>
      <c r="AH2604" s="273"/>
    </row>
    <row r="2605" spans="19:34">
      <c r="S2605" s="273"/>
      <c r="T2605" s="273"/>
      <c r="U2605" s="273"/>
      <c r="AG2605" s="273"/>
      <c r="AH2605" s="273"/>
    </row>
    <row r="2606" spans="19:34">
      <c r="S2606" s="273"/>
      <c r="T2606" s="273"/>
      <c r="U2606" s="273"/>
      <c r="AG2606" s="273"/>
      <c r="AH2606" s="273"/>
    </row>
    <row r="2607" spans="19:34">
      <c r="S2607" s="273"/>
      <c r="T2607" s="273"/>
      <c r="U2607" s="273"/>
      <c r="AG2607" s="273"/>
      <c r="AH2607" s="273"/>
    </row>
    <row r="2608" spans="19:34">
      <c r="S2608" s="273"/>
      <c r="T2608" s="273"/>
      <c r="U2608" s="273"/>
      <c r="AG2608" s="273"/>
      <c r="AH2608" s="273"/>
    </row>
    <row r="2609" spans="19:34">
      <c r="S2609" s="273"/>
      <c r="T2609" s="273"/>
      <c r="U2609" s="273"/>
      <c r="AG2609" s="273"/>
      <c r="AH2609" s="273"/>
    </row>
    <row r="2610" spans="19:34">
      <c r="S2610" s="273"/>
      <c r="T2610" s="273"/>
      <c r="U2610" s="273"/>
      <c r="AG2610" s="273"/>
      <c r="AH2610" s="273"/>
    </row>
    <row r="2611" spans="19:34">
      <c r="S2611" s="273"/>
      <c r="T2611" s="273"/>
      <c r="U2611" s="273"/>
      <c r="AG2611" s="273"/>
      <c r="AH2611" s="273"/>
    </row>
    <row r="2612" spans="19:34">
      <c r="S2612" s="273"/>
      <c r="T2612" s="273"/>
      <c r="U2612" s="273"/>
      <c r="AG2612" s="273"/>
      <c r="AH2612" s="273"/>
    </row>
    <row r="2613" spans="19:34">
      <c r="S2613" s="273"/>
      <c r="T2613" s="273"/>
      <c r="U2613" s="273"/>
      <c r="AG2613" s="273"/>
      <c r="AH2613" s="273"/>
    </row>
    <row r="2614" spans="19:34">
      <c r="S2614" s="273"/>
      <c r="T2614" s="273"/>
      <c r="U2614" s="273"/>
      <c r="AG2614" s="273"/>
      <c r="AH2614" s="273"/>
    </row>
    <row r="2615" spans="19:34">
      <c r="S2615" s="273"/>
      <c r="T2615" s="273"/>
      <c r="U2615" s="273"/>
      <c r="AG2615" s="273"/>
      <c r="AH2615" s="273"/>
    </row>
    <row r="2616" spans="19:34">
      <c r="S2616" s="273"/>
      <c r="T2616" s="273"/>
      <c r="U2616" s="273"/>
      <c r="AG2616" s="273"/>
      <c r="AH2616" s="273"/>
    </row>
    <row r="2617" spans="19:34">
      <c r="S2617" s="273"/>
      <c r="T2617" s="273"/>
      <c r="U2617" s="273"/>
      <c r="AG2617" s="273"/>
      <c r="AH2617" s="273"/>
    </row>
    <row r="2618" spans="19:34">
      <c r="S2618" s="273"/>
      <c r="T2618" s="273"/>
      <c r="U2618" s="273"/>
      <c r="AG2618" s="273"/>
      <c r="AH2618" s="273"/>
    </row>
    <row r="2619" spans="19:34">
      <c r="S2619" s="273"/>
      <c r="T2619" s="273"/>
      <c r="U2619" s="273"/>
      <c r="AG2619" s="273"/>
      <c r="AH2619" s="273"/>
    </row>
    <row r="2620" spans="19:34">
      <c r="S2620" s="273"/>
      <c r="T2620" s="273"/>
      <c r="U2620" s="273"/>
      <c r="AG2620" s="273"/>
      <c r="AH2620" s="273"/>
    </row>
    <row r="2621" spans="19:34">
      <c r="S2621" s="273"/>
      <c r="T2621" s="273"/>
      <c r="U2621" s="273"/>
      <c r="AG2621" s="273"/>
      <c r="AH2621" s="273"/>
    </row>
    <row r="2622" spans="19:34">
      <c r="S2622" s="273"/>
      <c r="T2622" s="273"/>
      <c r="U2622" s="273"/>
      <c r="AG2622" s="273"/>
      <c r="AH2622" s="273"/>
    </row>
    <row r="2623" spans="19:34">
      <c r="S2623" s="273"/>
      <c r="T2623" s="273"/>
      <c r="U2623" s="273"/>
      <c r="AG2623" s="273"/>
      <c r="AH2623" s="273"/>
    </row>
    <row r="2624" spans="19:34">
      <c r="S2624" s="273"/>
      <c r="T2624" s="273"/>
      <c r="U2624" s="273"/>
      <c r="AG2624" s="273"/>
      <c r="AH2624" s="273"/>
    </row>
    <row r="2625" spans="19:34">
      <c r="S2625" s="273"/>
      <c r="T2625" s="273"/>
      <c r="U2625" s="273"/>
      <c r="AG2625" s="273"/>
      <c r="AH2625" s="273"/>
    </row>
    <row r="2626" spans="19:34">
      <c r="S2626" s="273"/>
      <c r="T2626" s="273"/>
      <c r="U2626" s="273"/>
      <c r="AG2626" s="273"/>
      <c r="AH2626" s="273"/>
    </row>
    <row r="2627" spans="19:34">
      <c r="S2627" s="273"/>
      <c r="T2627" s="273"/>
      <c r="U2627" s="273"/>
      <c r="AG2627" s="273"/>
      <c r="AH2627" s="273"/>
    </row>
    <row r="2628" spans="19:34">
      <c r="S2628" s="273"/>
      <c r="T2628" s="273"/>
      <c r="U2628" s="273"/>
      <c r="AG2628" s="273"/>
      <c r="AH2628" s="273"/>
    </row>
    <row r="2629" spans="19:34">
      <c r="S2629" s="273"/>
      <c r="T2629" s="273"/>
      <c r="U2629" s="273"/>
      <c r="AG2629" s="273"/>
      <c r="AH2629" s="273"/>
    </row>
    <row r="2630" spans="19:34">
      <c r="S2630" s="273"/>
      <c r="T2630" s="273"/>
      <c r="U2630" s="273"/>
      <c r="AG2630" s="273"/>
      <c r="AH2630" s="273"/>
    </row>
    <row r="2631" spans="19:34">
      <c r="S2631" s="273"/>
      <c r="T2631" s="273"/>
      <c r="U2631" s="273"/>
      <c r="AG2631" s="273"/>
      <c r="AH2631" s="273"/>
    </row>
    <row r="2632" spans="19:34">
      <c r="S2632" s="273"/>
      <c r="T2632" s="273"/>
      <c r="U2632" s="273"/>
      <c r="AG2632" s="273"/>
      <c r="AH2632" s="273"/>
    </row>
    <row r="2633" spans="19:34">
      <c r="S2633" s="273"/>
      <c r="T2633" s="273"/>
      <c r="U2633" s="273"/>
      <c r="AG2633" s="273"/>
      <c r="AH2633" s="273"/>
    </row>
    <row r="2634" spans="19:34">
      <c r="AG2634" s="273"/>
      <c r="AH2634" s="273"/>
    </row>
    <row r="2635" spans="19:34">
      <c r="AG2635" s="273"/>
      <c r="AH2635" s="273"/>
    </row>
    <row r="2636" spans="19:34">
      <c r="AG2636" s="273"/>
      <c r="AH2636" s="273"/>
    </row>
    <row r="2637" spans="19:34">
      <c r="AG2637" s="273"/>
      <c r="AH2637" s="273"/>
    </row>
    <row r="2638" spans="19:34">
      <c r="AG2638" s="273"/>
      <c r="AH2638" s="273"/>
    </row>
    <row r="2639" spans="19:34">
      <c r="AG2639" s="273"/>
      <c r="AH2639" s="273"/>
    </row>
    <row r="2640" spans="19:34">
      <c r="AG2640" s="273"/>
      <c r="AH2640" s="273"/>
    </row>
    <row r="2641" spans="33:34">
      <c r="AG2641" s="273"/>
      <c r="AH2641" s="273"/>
    </row>
    <row r="2642" spans="33:34">
      <c r="AG2642" s="273"/>
      <c r="AH2642" s="273"/>
    </row>
    <row r="2643" spans="33:34">
      <c r="AG2643" s="273"/>
      <c r="AH2643" s="273"/>
    </row>
    <row r="2644" spans="33:34">
      <c r="AG2644" s="273"/>
      <c r="AH2644" s="273"/>
    </row>
    <row r="2645" spans="33:34">
      <c r="AG2645" s="273"/>
      <c r="AH2645" s="273"/>
    </row>
    <row r="2646" spans="33:34">
      <c r="AG2646" s="273"/>
      <c r="AH2646" s="273"/>
    </row>
    <row r="2647" spans="33:34">
      <c r="AG2647" s="273"/>
      <c r="AH2647" s="273"/>
    </row>
    <row r="2648" spans="33:34">
      <c r="AG2648" s="273"/>
      <c r="AH2648" s="273"/>
    </row>
    <row r="2649" spans="33:34">
      <c r="AG2649" s="273"/>
      <c r="AH2649" s="273"/>
    </row>
    <row r="2650" spans="33:34">
      <c r="AG2650" s="273"/>
      <c r="AH2650" s="273"/>
    </row>
    <row r="2651" spans="33:34">
      <c r="AG2651" s="273"/>
      <c r="AH2651" s="273"/>
    </row>
    <row r="2652" spans="33:34">
      <c r="AG2652" s="273"/>
      <c r="AH2652" s="273"/>
    </row>
    <row r="2653" spans="33:34">
      <c r="AG2653" s="273"/>
      <c r="AH2653" s="273"/>
    </row>
    <row r="2654" spans="33:34">
      <c r="AG2654" s="273"/>
      <c r="AH2654" s="273"/>
    </row>
    <row r="2655" spans="33:34">
      <c r="AG2655" s="273"/>
      <c r="AH2655" s="273"/>
    </row>
    <row r="2656" spans="33:34">
      <c r="AG2656" s="273"/>
      <c r="AH2656" s="273"/>
    </row>
    <row r="2657" spans="33:34">
      <c r="AG2657" s="273"/>
      <c r="AH2657" s="273"/>
    </row>
    <row r="2658" spans="33:34">
      <c r="AG2658" s="273"/>
      <c r="AH2658" s="273"/>
    </row>
    <row r="2659" spans="33:34">
      <c r="AG2659" s="273"/>
      <c r="AH2659" s="273"/>
    </row>
    <row r="2660" spans="33:34">
      <c r="AG2660" s="273"/>
      <c r="AH2660" s="273"/>
    </row>
    <row r="2661" spans="33:34">
      <c r="AG2661" s="273"/>
      <c r="AH2661" s="273"/>
    </row>
    <row r="2662" spans="33:34">
      <c r="AG2662" s="273"/>
      <c r="AH2662" s="273"/>
    </row>
    <row r="2663" spans="33:34">
      <c r="AG2663" s="273"/>
      <c r="AH2663" s="273"/>
    </row>
    <row r="2664" spans="33:34">
      <c r="AG2664" s="273"/>
      <c r="AH2664" s="273"/>
    </row>
    <row r="2665" spans="33:34">
      <c r="AG2665" s="273"/>
      <c r="AH2665" s="273"/>
    </row>
    <row r="2666" spans="33:34">
      <c r="AG2666" s="273"/>
      <c r="AH2666" s="273"/>
    </row>
    <row r="2667" spans="33:34">
      <c r="AG2667" s="273"/>
      <c r="AH2667" s="273"/>
    </row>
    <row r="2668" spans="33:34">
      <c r="AG2668" s="273"/>
      <c r="AH2668" s="273"/>
    </row>
    <row r="2669" spans="33:34">
      <c r="AG2669" s="273"/>
      <c r="AH2669" s="273"/>
    </row>
    <row r="2670" spans="33:34">
      <c r="AG2670" s="273"/>
      <c r="AH2670" s="273"/>
    </row>
    <row r="2671" spans="33:34">
      <c r="AG2671" s="273"/>
      <c r="AH2671" s="273"/>
    </row>
    <row r="2672" spans="33:34">
      <c r="AG2672" s="273"/>
      <c r="AH2672" s="273"/>
    </row>
    <row r="2673" spans="33:34">
      <c r="AG2673" s="273"/>
      <c r="AH2673" s="273"/>
    </row>
    <row r="2674" spans="33:34">
      <c r="AG2674" s="273"/>
      <c r="AH2674" s="273"/>
    </row>
    <row r="2675" spans="33:34">
      <c r="AG2675" s="273"/>
      <c r="AH2675" s="273"/>
    </row>
    <row r="2676" spans="33:34">
      <c r="AG2676" s="273"/>
      <c r="AH2676" s="273"/>
    </row>
    <row r="2677" spans="33:34">
      <c r="AG2677" s="273"/>
      <c r="AH2677" s="273"/>
    </row>
    <row r="2678" spans="33:34">
      <c r="AG2678" s="273"/>
      <c r="AH2678" s="273"/>
    </row>
    <row r="2679" spans="33:34">
      <c r="AG2679" s="273"/>
      <c r="AH2679" s="273"/>
    </row>
    <row r="2680" spans="33:34">
      <c r="AG2680" s="273"/>
      <c r="AH2680" s="273"/>
    </row>
    <row r="2681" spans="33:34">
      <c r="AG2681" s="273"/>
      <c r="AH2681" s="273"/>
    </row>
    <row r="2682" spans="33:34">
      <c r="AG2682" s="273"/>
      <c r="AH2682" s="273"/>
    </row>
    <row r="2683" spans="33:34">
      <c r="AG2683" s="273"/>
      <c r="AH2683" s="273"/>
    </row>
    <row r="2684" spans="33:34">
      <c r="AG2684" s="273"/>
      <c r="AH2684" s="273"/>
    </row>
    <row r="2685" spans="33:34">
      <c r="AG2685" s="273"/>
      <c r="AH2685" s="273"/>
    </row>
    <row r="2686" spans="33:34">
      <c r="AG2686" s="273"/>
      <c r="AH2686" s="273"/>
    </row>
    <row r="2687" spans="33:34">
      <c r="AG2687" s="273"/>
      <c r="AH2687" s="273"/>
    </row>
    <row r="2688" spans="33:34">
      <c r="AG2688" s="273"/>
      <c r="AH2688" s="273"/>
    </row>
    <row r="2689" spans="33:34">
      <c r="AG2689" s="273"/>
      <c r="AH2689" s="273"/>
    </row>
    <row r="2690" spans="33:34">
      <c r="AG2690" s="273"/>
      <c r="AH2690" s="273"/>
    </row>
    <row r="2691" spans="33:34">
      <c r="AG2691" s="273"/>
      <c r="AH2691" s="273"/>
    </row>
    <row r="2692" spans="33:34">
      <c r="AG2692" s="273"/>
      <c r="AH2692" s="273"/>
    </row>
    <row r="2693" spans="33:34">
      <c r="AG2693" s="273"/>
      <c r="AH2693" s="273"/>
    </row>
    <row r="2694" spans="33:34">
      <c r="AG2694" s="273"/>
      <c r="AH2694" s="273"/>
    </row>
    <row r="2695" spans="33:34">
      <c r="AG2695" s="273"/>
      <c r="AH2695" s="273"/>
    </row>
    <row r="2696" spans="33:34">
      <c r="AG2696" s="273"/>
      <c r="AH2696" s="273"/>
    </row>
    <row r="2697" spans="33:34">
      <c r="AG2697" s="273"/>
      <c r="AH2697" s="273"/>
    </row>
    <row r="2698" spans="33:34">
      <c r="AG2698" s="273"/>
      <c r="AH2698" s="273"/>
    </row>
    <row r="2699" spans="33:34">
      <c r="AG2699" s="273"/>
      <c r="AH2699" s="273"/>
    </row>
    <row r="2700" spans="33:34">
      <c r="AG2700" s="273"/>
      <c r="AH2700" s="273"/>
    </row>
    <row r="2701" spans="33:34">
      <c r="AG2701" s="273"/>
      <c r="AH2701" s="273"/>
    </row>
    <row r="2702" spans="33:34">
      <c r="AG2702" s="273"/>
      <c r="AH2702" s="273"/>
    </row>
    <row r="2703" spans="33:34">
      <c r="AG2703" s="273"/>
      <c r="AH2703" s="273"/>
    </row>
    <row r="2704" spans="33:34">
      <c r="AG2704" s="273"/>
      <c r="AH2704" s="273"/>
    </row>
    <row r="2705" spans="33:34">
      <c r="AG2705" s="273"/>
      <c r="AH2705" s="273"/>
    </row>
    <row r="2706" spans="33:34">
      <c r="AG2706" s="273"/>
      <c r="AH2706" s="273"/>
    </row>
    <row r="2707" spans="33:34">
      <c r="AG2707" s="273"/>
      <c r="AH2707" s="273"/>
    </row>
    <row r="2708" spans="33:34">
      <c r="AG2708" s="273"/>
      <c r="AH2708" s="273"/>
    </row>
    <row r="2709" spans="33:34">
      <c r="AG2709" s="273"/>
      <c r="AH2709" s="273"/>
    </row>
    <row r="2710" spans="33:34">
      <c r="AG2710" s="273"/>
      <c r="AH2710" s="273"/>
    </row>
    <row r="2711" spans="33:34">
      <c r="AG2711" s="273"/>
      <c r="AH2711" s="273"/>
    </row>
    <row r="2712" spans="33:34">
      <c r="AG2712" s="273"/>
      <c r="AH2712" s="273"/>
    </row>
    <row r="2713" spans="33:34">
      <c r="AG2713" s="273"/>
      <c r="AH2713" s="273"/>
    </row>
    <row r="2714" spans="33:34">
      <c r="AG2714" s="273"/>
      <c r="AH2714" s="273"/>
    </row>
    <row r="2715" spans="33:34">
      <c r="AG2715" s="273"/>
      <c r="AH2715" s="273"/>
    </row>
    <row r="2716" spans="33:34">
      <c r="AG2716" s="273"/>
      <c r="AH2716" s="273"/>
    </row>
    <row r="2717" spans="33:34">
      <c r="AG2717" s="273"/>
      <c r="AH2717" s="273"/>
    </row>
    <row r="2718" spans="33:34">
      <c r="AG2718" s="273"/>
      <c r="AH2718" s="273"/>
    </row>
    <row r="2719" spans="33:34">
      <c r="AG2719" s="273"/>
      <c r="AH2719" s="273"/>
    </row>
    <row r="2720" spans="33:34">
      <c r="AG2720" s="273"/>
      <c r="AH2720" s="273"/>
    </row>
    <row r="2721" spans="33:34">
      <c r="AG2721" s="273"/>
      <c r="AH2721" s="273"/>
    </row>
    <row r="2722" spans="33:34">
      <c r="AG2722" s="273"/>
      <c r="AH2722" s="273"/>
    </row>
    <row r="2723" spans="33:34">
      <c r="AG2723" s="273"/>
      <c r="AH2723" s="273"/>
    </row>
    <row r="2724" spans="33:34">
      <c r="AG2724" s="273"/>
      <c r="AH2724" s="273"/>
    </row>
    <row r="2725" spans="33:34">
      <c r="AG2725" s="273"/>
      <c r="AH2725" s="273"/>
    </row>
    <row r="2726" spans="33:34">
      <c r="AG2726" s="273"/>
      <c r="AH2726" s="273"/>
    </row>
    <row r="2727" spans="33:34">
      <c r="AG2727" s="273"/>
      <c r="AH2727" s="273"/>
    </row>
    <row r="2728" spans="33:34">
      <c r="AG2728" s="273"/>
      <c r="AH2728" s="273"/>
    </row>
    <row r="2729" spans="33:34">
      <c r="AG2729" s="273"/>
      <c r="AH2729" s="273"/>
    </row>
    <row r="2730" spans="33:34">
      <c r="AG2730" s="273"/>
      <c r="AH2730" s="273"/>
    </row>
    <row r="2731" spans="33:34">
      <c r="AG2731" s="273"/>
      <c r="AH2731" s="273"/>
    </row>
    <row r="2732" spans="33:34">
      <c r="AG2732" s="273"/>
      <c r="AH2732" s="273"/>
    </row>
    <row r="2733" spans="33:34">
      <c r="AG2733" s="273"/>
      <c r="AH2733" s="273"/>
    </row>
    <row r="2734" spans="33:34">
      <c r="AG2734" s="273"/>
      <c r="AH2734" s="273"/>
    </row>
    <row r="2735" spans="33:34">
      <c r="AG2735" s="273"/>
      <c r="AH2735" s="273"/>
    </row>
    <row r="2736" spans="33:34">
      <c r="AG2736" s="273"/>
      <c r="AH2736" s="273"/>
    </row>
    <row r="2737" spans="33:34">
      <c r="AG2737" s="273"/>
      <c r="AH2737" s="273"/>
    </row>
    <row r="2738" spans="33:34">
      <c r="AG2738" s="273"/>
      <c r="AH2738" s="273"/>
    </row>
    <row r="2739" spans="33:34">
      <c r="AG2739" s="273"/>
      <c r="AH2739" s="273"/>
    </row>
    <row r="2740" spans="33:34">
      <c r="AG2740" s="273"/>
      <c r="AH2740" s="273"/>
    </row>
    <row r="2741" spans="33:34">
      <c r="AG2741" s="273"/>
      <c r="AH2741" s="273"/>
    </row>
    <row r="2742" spans="33:34">
      <c r="AG2742" s="273"/>
      <c r="AH2742" s="273"/>
    </row>
    <row r="2743" spans="33:34">
      <c r="AG2743" s="273"/>
      <c r="AH2743" s="273"/>
    </row>
    <row r="2744" spans="33:34">
      <c r="AG2744" s="273"/>
      <c r="AH2744" s="273"/>
    </row>
    <row r="2745" spans="33:34">
      <c r="AG2745" s="273"/>
      <c r="AH2745" s="273"/>
    </row>
    <row r="2746" spans="33:34">
      <c r="AG2746" s="273"/>
      <c r="AH2746" s="273"/>
    </row>
    <row r="2747" spans="33:34">
      <c r="AG2747" s="273"/>
      <c r="AH2747" s="273"/>
    </row>
    <row r="2748" spans="33:34">
      <c r="AG2748" s="273"/>
      <c r="AH2748" s="273"/>
    </row>
    <row r="2749" spans="33:34">
      <c r="AG2749" s="273"/>
      <c r="AH2749" s="273"/>
    </row>
    <row r="2750" spans="33:34">
      <c r="AG2750" s="273"/>
      <c r="AH2750" s="273"/>
    </row>
    <row r="2751" spans="33:34">
      <c r="AG2751" s="273"/>
      <c r="AH2751" s="273"/>
    </row>
    <row r="2752" spans="33:34">
      <c r="AG2752" s="273"/>
      <c r="AH2752" s="273"/>
    </row>
    <row r="2753" spans="33:34">
      <c r="AG2753" s="273"/>
      <c r="AH2753" s="273"/>
    </row>
    <row r="2754" spans="33:34">
      <c r="AG2754" s="273"/>
      <c r="AH2754" s="273"/>
    </row>
    <row r="2755" spans="33:34">
      <c r="AG2755" s="273"/>
      <c r="AH2755" s="273"/>
    </row>
    <row r="2756" spans="33:34">
      <c r="AG2756" s="273"/>
      <c r="AH2756" s="273"/>
    </row>
    <row r="2757" spans="33:34">
      <c r="AG2757" s="273"/>
      <c r="AH2757" s="273"/>
    </row>
    <row r="2758" spans="33:34">
      <c r="AG2758" s="273"/>
      <c r="AH2758" s="273"/>
    </row>
    <row r="2759" spans="33:34">
      <c r="AG2759" s="273"/>
      <c r="AH2759" s="273"/>
    </row>
    <row r="2760" spans="33:34">
      <c r="AG2760" s="273"/>
      <c r="AH2760" s="273"/>
    </row>
    <row r="2761" spans="33:34">
      <c r="AG2761" s="273"/>
      <c r="AH2761" s="273"/>
    </row>
    <row r="2762" spans="33:34">
      <c r="AG2762" s="273"/>
      <c r="AH2762" s="273"/>
    </row>
    <row r="2763" spans="33:34">
      <c r="AG2763" s="273"/>
      <c r="AH2763" s="273"/>
    </row>
    <row r="2764" spans="33:34">
      <c r="AG2764" s="273"/>
      <c r="AH2764" s="273"/>
    </row>
    <row r="2765" spans="33:34">
      <c r="AG2765" s="273"/>
      <c r="AH2765" s="273"/>
    </row>
    <row r="2766" spans="33:34">
      <c r="AG2766" s="273"/>
      <c r="AH2766" s="273"/>
    </row>
    <row r="2767" spans="33:34">
      <c r="AG2767" s="273"/>
      <c r="AH2767" s="273"/>
    </row>
    <row r="2768" spans="33:34">
      <c r="AG2768" s="273"/>
      <c r="AH2768" s="273"/>
    </row>
    <row r="2769" spans="33:34">
      <c r="AG2769" s="273"/>
      <c r="AH2769" s="273"/>
    </row>
    <row r="2770" spans="33:34">
      <c r="AG2770" s="273"/>
      <c r="AH2770" s="273"/>
    </row>
    <row r="2771" spans="33:34">
      <c r="AG2771" s="273"/>
      <c r="AH2771" s="273"/>
    </row>
    <row r="2772" spans="33:34">
      <c r="AG2772" s="273"/>
      <c r="AH2772" s="273"/>
    </row>
    <row r="2773" spans="33:34">
      <c r="AG2773" s="273"/>
      <c r="AH2773" s="273"/>
    </row>
    <row r="2774" spans="33:34">
      <c r="AG2774" s="273"/>
      <c r="AH2774" s="273"/>
    </row>
    <row r="2775" spans="33:34">
      <c r="AG2775" s="273"/>
      <c r="AH2775" s="273"/>
    </row>
    <row r="2776" spans="33:34">
      <c r="AG2776" s="273"/>
      <c r="AH2776" s="273"/>
    </row>
    <row r="2777" spans="33:34">
      <c r="AG2777" s="273"/>
      <c r="AH2777" s="273"/>
    </row>
    <row r="2778" spans="33:34">
      <c r="AG2778" s="273"/>
      <c r="AH2778" s="273"/>
    </row>
    <row r="2779" spans="33:34">
      <c r="AG2779" s="273"/>
      <c r="AH2779" s="273"/>
    </row>
    <row r="2780" spans="33:34">
      <c r="AG2780" s="273"/>
      <c r="AH2780" s="273"/>
    </row>
    <row r="2781" spans="33:34">
      <c r="AG2781" s="273"/>
      <c r="AH2781" s="273"/>
    </row>
    <row r="2782" spans="33:34">
      <c r="AG2782" s="273"/>
      <c r="AH2782" s="273"/>
    </row>
    <row r="2783" spans="33:34">
      <c r="AG2783" s="273"/>
      <c r="AH2783" s="273"/>
    </row>
    <row r="2784" spans="33:34">
      <c r="AG2784" s="273"/>
      <c r="AH2784" s="273"/>
    </row>
    <row r="2785" spans="33:34">
      <c r="AG2785" s="273"/>
      <c r="AH2785" s="273"/>
    </row>
    <row r="2786" spans="33:34">
      <c r="AG2786" s="273"/>
      <c r="AH2786" s="273"/>
    </row>
    <row r="2787" spans="33:34">
      <c r="AG2787" s="273"/>
      <c r="AH2787" s="273"/>
    </row>
    <row r="2788" spans="33:34">
      <c r="AG2788" s="273"/>
      <c r="AH2788" s="273"/>
    </row>
    <row r="2789" spans="33:34">
      <c r="AG2789" s="273"/>
      <c r="AH2789" s="273"/>
    </row>
    <row r="2790" spans="33:34">
      <c r="AG2790" s="273"/>
      <c r="AH2790" s="273"/>
    </row>
    <row r="2791" spans="33:34">
      <c r="AG2791" s="273"/>
      <c r="AH2791" s="273"/>
    </row>
    <row r="2792" spans="33:34">
      <c r="AG2792" s="273"/>
      <c r="AH2792" s="273"/>
    </row>
    <row r="2793" spans="33:34">
      <c r="AG2793" s="273"/>
      <c r="AH2793" s="273"/>
    </row>
    <row r="2794" spans="33:34">
      <c r="AG2794" s="273"/>
      <c r="AH2794" s="273"/>
    </row>
    <row r="2795" spans="33:34">
      <c r="AG2795" s="273"/>
      <c r="AH2795" s="273"/>
    </row>
    <row r="2796" spans="33:34">
      <c r="AG2796" s="273"/>
      <c r="AH2796" s="273"/>
    </row>
    <row r="2797" spans="33:34">
      <c r="AG2797" s="273"/>
      <c r="AH2797" s="273"/>
    </row>
    <row r="2798" spans="33:34">
      <c r="AG2798" s="273"/>
      <c r="AH2798" s="273"/>
    </row>
    <row r="2799" spans="33:34">
      <c r="AG2799" s="273"/>
      <c r="AH2799" s="273"/>
    </row>
    <row r="2800" spans="33:34">
      <c r="AG2800" s="273"/>
      <c r="AH2800" s="273"/>
    </row>
    <row r="2801" spans="33:34">
      <c r="AG2801" s="273"/>
      <c r="AH2801" s="273"/>
    </row>
    <row r="2802" spans="33:34">
      <c r="AG2802" s="273"/>
      <c r="AH2802" s="273"/>
    </row>
    <row r="2803" spans="33:34">
      <c r="AG2803" s="273"/>
      <c r="AH2803" s="273"/>
    </row>
    <row r="2804" spans="33:34">
      <c r="AG2804" s="273"/>
      <c r="AH2804" s="273"/>
    </row>
    <row r="2805" spans="33:34">
      <c r="AG2805" s="273"/>
      <c r="AH2805" s="273"/>
    </row>
    <row r="2806" spans="33:34">
      <c r="AG2806" s="273"/>
      <c r="AH2806" s="273"/>
    </row>
    <row r="2807" spans="33:34">
      <c r="AG2807" s="273"/>
      <c r="AH2807" s="273"/>
    </row>
    <row r="2808" spans="33:34">
      <c r="AG2808" s="273"/>
      <c r="AH2808" s="273"/>
    </row>
    <row r="2809" spans="33:34">
      <c r="AG2809" s="273"/>
      <c r="AH2809" s="273"/>
    </row>
    <row r="2810" spans="33:34">
      <c r="AG2810" s="273"/>
      <c r="AH2810" s="273"/>
    </row>
    <row r="2811" spans="33:34">
      <c r="AG2811" s="273"/>
      <c r="AH2811" s="273"/>
    </row>
    <row r="2812" spans="33:34">
      <c r="AG2812" s="273"/>
      <c r="AH2812" s="273"/>
    </row>
    <row r="2813" spans="33:34">
      <c r="AG2813" s="273"/>
      <c r="AH2813" s="273"/>
    </row>
    <row r="2814" spans="33:34">
      <c r="AG2814" s="273"/>
      <c r="AH2814" s="273"/>
    </row>
    <row r="2815" spans="33:34">
      <c r="AG2815" s="273"/>
      <c r="AH2815" s="273"/>
    </row>
    <row r="2816" spans="33:34">
      <c r="AG2816" s="273"/>
      <c r="AH2816" s="273"/>
    </row>
    <row r="2817" spans="33:34">
      <c r="AG2817" s="273"/>
      <c r="AH2817" s="273"/>
    </row>
    <row r="2818" spans="33:34">
      <c r="AG2818" s="273"/>
      <c r="AH2818" s="273"/>
    </row>
    <row r="2819" spans="33:34">
      <c r="AG2819" s="273"/>
      <c r="AH2819" s="273"/>
    </row>
    <row r="2820" spans="33:34">
      <c r="AG2820" s="273"/>
      <c r="AH2820" s="273"/>
    </row>
    <row r="2821" spans="33:34">
      <c r="AG2821" s="273"/>
      <c r="AH2821" s="273"/>
    </row>
    <row r="2822" spans="33:34">
      <c r="AG2822" s="273"/>
      <c r="AH2822" s="273"/>
    </row>
    <row r="2823" spans="33:34">
      <c r="AG2823" s="273"/>
      <c r="AH2823" s="273"/>
    </row>
    <row r="2824" spans="33:34">
      <c r="AG2824" s="273"/>
      <c r="AH2824" s="273"/>
    </row>
    <row r="2825" spans="33:34">
      <c r="AG2825" s="273"/>
      <c r="AH2825" s="273"/>
    </row>
    <row r="2826" spans="33:34">
      <c r="AG2826" s="273"/>
      <c r="AH2826" s="273"/>
    </row>
    <row r="2827" spans="33:34">
      <c r="AG2827" s="273"/>
      <c r="AH2827" s="273"/>
    </row>
    <row r="2828" spans="33:34">
      <c r="AG2828" s="273"/>
      <c r="AH2828" s="273"/>
    </row>
    <row r="2829" spans="33:34">
      <c r="AG2829" s="273"/>
      <c r="AH2829" s="273"/>
    </row>
    <row r="2830" spans="33:34">
      <c r="AG2830" s="273"/>
      <c r="AH2830" s="273"/>
    </row>
    <row r="2831" spans="33:34">
      <c r="AG2831" s="273"/>
      <c r="AH2831" s="273"/>
    </row>
    <row r="2832" spans="33:34">
      <c r="AG2832" s="273"/>
      <c r="AH2832" s="273"/>
    </row>
    <row r="2833" spans="33:34">
      <c r="AG2833" s="273"/>
      <c r="AH2833" s="273"/>
    </row>
    <row r="2834" spans="33:34">
      <c r="AG2834" s="273"/>
      <c r="AH2834" s="273"/>
    </row>
    <row r="2835" spans="33:34">
      <c r="AG2835" s="273"/>
      <c r="AH2835" s="273"/>
    </row>
    <row r="2836" spans="33:34">
      <c r="AG2836" s="273"/>
      <c r="AH2836" s="273"/>
    </row>
    <row r="2837" spans="33:34">
      <c r="AG2837" s="273"/>
      <c r="AH2837" s="273"/>
    </row>
    <row r="2838" spans="33:34">
      <c r="AG2838" s="273"/>
      <c r="AH2838" s="273"/>
    </row>
    <row r="2839" spans="33:34">
      <c r="AG2839" s="273"/>
      <c r="AH2839" s="273"/>
    </row>
    <row r="2840" spans="33:34">
      <c r="AG2840" s="273"/>
      <c r="AH2840" s="273"/>
    </row>
    <row r="2841" spans="33:34">
      <c r="AG2841" s="273"/>
      <c r="AH2841" s="273"/>
    </row>
    <row r="2842" spans="33:34">
      <c r="AG2842" s="273"/>
      <c r="AH2842" s="273"/>
    </row>
    <row r="2843" spans="33:34">
      <c r="AG2843" s="273"/>
      <c r="AH2843" s="273"/>
    </row>
    <row r="2844" spans="33:34">
      <c r="AG2844" s="273"/>
      <c r="AH2844" s="273"/>
    </row>
    <row r="2845" spans="33:34">
      <c r="AG2845" s="273"/>
      <c r="AH2845" s="273"/>
    </row>
    <row r="2846" spans="33:34">
      <c r="AG2846" s="273"/>
      <c r="AH2846" s="273"/>
    </row>
    <row r="2847" spans="33:34">
      <c r="AG2847" s="273"/>
      <c r="AH2847" s="273"/>
    </row>
    <row r="2848" spans="33:34">
      <c r="AG2848" s="273"/>
      <c r="AH2848" s="273"/>
    </row>
    <row r="2849" spans="33:34">
      <c r="AG2849" s="273"/>
      <c r="AH2849" s="273"/>
    </row>
    <row r="2850" spans="33:34">
      <c r="AG2850" s="273"/>
      <c r="AH2850" s="273"/>
    </row>
    <row r="2851" spans="33:34">
      <c r="AG2851" s="273"/>
      <c r="AH2851" s="273"/>
    </row>
    <row r="2852" spans="33:34">
      <c r="AG2852" s="273"/>
      <c r="AH2852" s="273"/>
    </row>
    <row r="2853" spans="33:34">
      <c r="AG2853" s="273"/>
      <c r="AH2853" s="273"/>
    </row>
    <row r="2854" spans="33:34">
      <c r="AG2854" s="273"/>
      <c r="AH2854" s="273"/>
    </row>
    <row r="2855" spans="33:34">
      <c r="AG2855" s="273"/>
      <c r="AH2855" s="273"/>
    </row>
    <row r="2856" spans="33:34">
      <c r="AG2856" s="273"/>
      <c r="AH2856" s="273"/>
    </row>
    <row r="2857" spans="33:34">
      <c r="AG2857" s="273"/>
      <c r="AH2857" s="273"/>
    </row>
    <row r="2858" spans="33:34">
      <c r="AG2858" s="273"/>
      <c r="AH2858" s="273"/>
    </row>
    <row r="2859" spans="33:34">
      <c r="AG2859" s="273"/>
      <c r="AH2859" s="273"/>
    </row>
    <row r="2860" spans="33:34">
      <c r="AG2860" s="273"/>
      <c r="AH2860" s="273"/>
    </row>
    <row r="2861" spans="33:34">
      <c r="AG2861" s="273"/>
      <c r="AH2861" s="273"/>
    </row>
    <row r="2862" spans="33:34">
      <c r="AG2862" s="273"/>
      <c r="AH2862" s="273"/>
    </row>
    <row r="2863" spans="33:34">
      <c r="AG2863" s="273"/>
      <c r="AH2863" s="273"/>
    </row>
    <row r="2864" spans="33:34">
      <c r="AG2864" s="273"/>
      <c r="AH2864" s="273"/>
    </row>
    <row r="2865" spans="33:34">
      <c r="AG2865" s="273"/>
      <c r="AH2865" s="273"/>
    </row>
    <row r="2866" spans="33:34">
      <c r="AG2866" s="273"/>
      <c r="AH2866" s="273"/>
    </row>
    <row r="2867" spans="33:34">
      <c r="AG2867" s="273"/>
      <c r="AH2867" s="273"/>
    </row>
    <row r="2868" spans="33:34">
      <c r="AG2868" s="273"/>
      <c r="AH2868" s="273"/>
    </row>
    <row r="2869" spans="33:34">
      <c r="AG2869" s="273"/>
      <c r="AH2869" s="273"/>
    </row>
    <row r="2870" spans="33:34">
      <c r="AG2870" s="273"/>
      <c r="AH2870" s="273"/>
    </row>
    <row r="2871" spans="33:34">
      <c r="AG2871" s="273"/>
      <c r="AH2871" s="273"/>
    </row>
    <row r="2872" spans="33:34">
      <c r="AG2872" s="273"/>
      <c r="AH2872" s="273"/>
    </row>
    <row r="2873" spans="33:34">
      <c r="AG2873" s="273"/>
      <c r="AH2873" s="273"/>
    </row>
    <row r="2874" spans="33:34">
      <c r="AG2874" s="273"/>
      <c r="AH2874" s="273"/>
    </row>
    <row r="2875" spans="33:34">
      <c r="AG2875" s="273"/>
      <c r="AH2875" s="273"/>
    </row>
    <row r="2876" spans="33:34">
      <c r="AG2876" s="273"/>
      <c r="AH2876" s="273"/>
    </row>
    <row r="2877" spans="33:34">
      <c r="AG2877" s="273"/>
      <c r="AH2877" s="273"/>
    </row>
    <row r="2878" spans="33:34">
      <c r="AG2878" s="273"/>
      <c r="AH2878" s="273"/>
    </row>
    <row r="2879" spans="33:34">
      <c r="AG2879" s="273"/>
      <c r="AH2879" s="273"/>
    </row>
    <row r="2880" spans="33:34">
      <c r="AG2880" s="273"/>
      <c r="AH2880" s="273"/>
    </row>
    <row r="2881" spans="33:34">
      <c r="AG2881" s="273"/>
      <c r="AH2881" s="273"/>
    </row>
    <row r="2882" spans="33:34">
      <c r="AG2882" s="273"/>
      <c r="AH2882" s="273"/>
    </row>
    <row r="2883" spans="33:34">
      <c r="AG2883" s="273"/>
      <c r="AH2883" s="273"/>
    </row>
    <row r="2884" spans="33:34">
      <c r="AG2884" s="273"/>
      <c r="AH2884" s="273"/>
    </row>
    <row r="2885" spans="33:34">
      <c r="AG2885" s="273"/>
      <c r="AH2885" s="273"/>
    </row>
    <row r="2886" spans="33:34">
      <c r="AG2886" s="273"/>
      <c r="AH2886" s="273"/>
    </row>
    <row r="2887" spans="33:34">
      <c r="AG2887" s="273"/>
      <c r="AH2887" s="273"/>
    </row>
    <row r="2888" spans="33:34">
      <c r="AG2888" s="273"/>
      <c r="AH2888" s="273"/>
    </row>
    <row r="2889" spans="33:34">
      <c r="AG2889" s="273"/>
      <c r="AH2889" s="273"/>
    </row>
    <row r="2890" spans="33:34">
      <c r="AG2890" s="273"/>
      <c r="AH2890" s="273"/>
    </row>
    <row r="2891" spans="33:34">
      <c r="AG2891" s="273"/>
      <c r="AH2891" s="273"/>
    </row>
    <row r="2892" spans="33:34">
      <c r="AG2892" s="273"/>
      <c r="AH2892" s="273"/>
    </row>
    <row r="2893" spans="33:34">
      <c r="AG2893" s="273"/>
      <c r="AH2893" s="273"/>
    </row>
    <row r="2894" spans="33:34">
      <c r="AG2894" s="273"/>
      <c r="AH2894" s="273"/>
    </row>
    <row r="2895" spans="33:34">
      <c r="AG2895" s="273"/>
      <c r="AH2895" s="273"/>
    </row>
    <row r="2896" spans="33:34">
      <c r="AG2896" s="273"/>
      <c r="AH2896" s="273"/>
    </row>
    <row r="2897" spans="33:34">
      <c r="AG2897" s="273"/>
      <c r="AH2897" s="273"/>
    </row>
    <row r="2898" spans="33:34">
      <c r="AG2898" s="273"/>
      <c r="AH2898" s="273"/>
    </row>
    <row r="2899" spans="33:34">
      <c r="AG2899" s="273"/>
      <c r="AH2899" s="273"/>
    </row>
    <row r="2900" spans="33:34">
      <c r="AG2900" s="273"/>
      <c r="AH2900" s="273"/>
    </row>
    <row r="2901" spans="33:34">
      <c r="AG2901" s="273"/>
      <c r="AH2901" s="273"/>
    </row>
    <row r="2902" spans="33:34">
      <c r="AG2902" s="273"/>
      <c r="AH2902" s="273"/>
    </row>
    <row r="2903" spans="33:34">
      <c r="AG2903" s="273"/>
      <c r="AH2903" s="273"/>
    </row>
    <row r="2904" spans="33:34">
      <c r="AG2904" s="273"/>
      <c r="AH2904" s="273"/>
    </row>
    <row r="2905" spans="33:34">
      <c r="AG2905" s="273"/>
      <c r="AH2905" s="273"/>
    </row>
    <row r="2906" spans="33:34">
      <c r="AG2906" s="273"/>
      <c r="AH2906" s="273"/>
    </row>
    <row r="2907" spans="33:34">
      <c r="AG2907" s="273"/>
      <c r="AH2907" s="273"/>
    </row>
    <row r="2908" spans="33:34">
      <c r="AG2908" s="273"/>
      <c r="AH2908" s="273"/>
    </row>
    <row r="2909" spans="33:34">
      <c r="AG2909" s="273"/>
      <c r="AH2909" s="273"/>
    </row>
    <row r="2910" spans="33:34">
      <c r="AG2910" s="273"/>
      <c r="AH2910" s="273"/>
    </row>
    <row r="2911" spans="33:34">
      <c r="AG2911" s="273"/>
      <c r="AH2911" s="273"/>
    </row>
    <row r="2912" spans="33:34">
      <c r="AG2912" s="273"/>
      <c r="AH2912" s="273"/>
    </row>
    <row r="2913" spans="33:34">
      <c r="AG2913" s="273"/>
      <c r="AH2913" s="273"/>
    </row>
    <row r="2914" spans="33:34">
      <c r="AG2914" s="273"/>
      <c r="AH2914" s="273"/>
    </row>
    <row r="2915" spans="33:34">
      <c r="AG2915" s="273"/>
      <c r="AH2915" s="273"/>
    </row>
    <row r="2916" spans="33:34">
      <c r="AG2916" s="273"/>
      <c r="AH2916" s="273"/>
    </row>
    <row r="2917" spans="33:34">
      <c r="AG2917" s="273"/>
      <c r="AH2917" s="273"/>
    </row>
    <row r="2918" spans="33:34">
      <c r="AG2918" s="273"/>
      <c r="AH2918" s="273"/>
    </row>
    <row r="2919" spans="33:34">
      <c r="AG2919" s="273"/>
      <c r="AH2919" s="273"/>
    </row>
    <row r="2920" spans="33:34">
      <c r="AG2920" s="273"/>
      <c r="AH2920" s="273"/>
    </row>
    <row r="2921" spans="33:34">
      <c r="AG2921" s="273"/>
      <c r="AH2921" s="273"/>
    </row>
    <row r="2922" spans="33:34">
      <c r="AG2922" s="273"/>
      <c r="AH2922" s="273"/>
    </row>
    <row r="2923" spans="33:34">
      <c r="AG2923" s="273"/>
      <c r="AH2923" s="273"/>
    </row>
    <row r="2924" spans="33:34">
      <c r="AG2924" s="273"/>
      <c r="AH2924" s="273"/>
    </row>
    <row r="2925" spans="33:34">
      <c r="AG2925" s="273"/>
      <c r="AH2925" s="273"/>
    </row>
    <row r="2926" spans="33:34">
      <c r="AG2926" s="273"/>
      <c r="AH2926" s="273"/>
    </row>
    <row r="2927" spans="33:34">
      <c r="AG2927" s="273"/>
      <c r="AH2927" s="273"/>
    </row>
    <row r="2928" spans="33:34">
      <c r="AG2928" s="273"/>
      <c r="AH2928" s="273"/>
    </row>
    <row r="2929" spans="33:34">
      <c r="AG2929" s="273"/>
      <c r="AH2929" s="273"/>
    </row>
    <row r="2930" spans="33:34">
      <c r="AG2930" s="273"/>
      <c r="AH2930" s="273"/>
    </row>
    <row r="2931" spans="33:34">
      <c r="AG2931" s="273"/>
      <c r="AH2931" s="273"/>
    </row>
    <row r="2932" spans="33:34">
      <c r="AG2932" s="273"/>
      <c r="AH2932" s="273"/>
    </row>
    <row r="2933" spans="33:34">
      <c r="AG2933" s="273"/>
      <c r="AH2933" s="273"/>
    </row>
    <row r="2934" spans="33:34">
      <c r="AG2934" s="273"/>
      <c r="AH2934" s="273"/>
    </row>
    <row r="2935" spans="33:34">
      <c r="AG2935" s="273"/>
      <c r="AH2935" s="273"/>
    </row>
    <row r="2936" spans="33:34">
      <c r="AG2936" s="273"/>
      <c r="AH2936" s="273"/>
    </row>
    <row r="2937" spans="33:34">
      <c r="AG2937" s="273"/>
      <c r="AH2937" s="273"/>
    </row>
    <row r="2938" spans="33:34">
      <c r="AG2938" s="273"/>
      <c r="AH2938" s="273"/>
    </row>
    <row r="2939" spans="33:34">
      <c r="AG2939" s="273"/>
      <c r="AH2939" s="273"/>
    </row>
    <row r="2940" spans="33:34">
      <c r="AG2940" s="273"/>
      <c r="AH2940" s="273"/>
    </row>
    <row r="2941" spans="33:34">
      <c r="AG2941" s="273"/>
      <c r="AH2941" s="273"/>
    </row>
    <row r="2942" spans="33:34">
      <c r="AG2942" s="273"/>
      <c r="AH2942" s="273"/>
    </row>
    <row r="2943" spans="33:34">
      <c r="AG2943" s="273"/>
      <c r="AH2943" s="273"/>
    </row>
    <row r="2944" spans="33:34">
      <c r="AG2944" s="273"/>
      <c r="AH2944" s="273"/>
    </row>
    <row r="2945" spans="33:34">
      <c r="AG2945" s="273"/>
      <c r="AH2945" s="273"/>
    </row>
    <row r="2946" spans="33:34">
      <c r="AG2946" s="273"/>
      <c r="AH2946" s="273"/>
    </row>
    <row r="2947" spans="33:34">
      <c r="AG2947" s="273"/>
      <c r="AH2947" s="273"/>
    </row>
    <row r="2948" spans="33:34">
      <c r="AG2948" s="273"/>
      <c r="AH2948" s="273"/>
    </row>
    <row r="2949" spans="33:34">
      <c r="AG2949" s="273"/>
      <c r="AH2949" s="273"/>
    </row>
    <row r="2950" spans="33:34">
      <c r="AG2950" s="273"/>
      <c r="AH2950" s="273"/>
    </row>
    <row r="2951" spans="33:34">
      <c r="AG2951" s="273"/>
      <c r="AH2951" s="273"/>
    </row>
    <row r="2952" spans="33:34">
      <c r="AG2952" s="273"/>
      <c r="AH2952" s="273"/>
    </row>
    <row r="2953" spans="33:34">
      <c r="AG2953" s="273"/>
      <c r="AH2953" s="273"/>
    </row>
    <row r="2954" spans="33:34">
      <c r="AG2954" s="273"/>
      <c r="AH2954" s="273"/>
    </row>
    <row r="2955" spans="33:34">
      <c r="AG2955" s="273"/>
      <c r="AH2955" s="273"/>
    </row>
    <row r="2956" spans="33:34">
      <c r="AG2956" s="273"/>
      <c r="AH2956" s="273"/>
    </row>
    <row r="2957" spans="33:34">
      <c r="AG2957" s="273"/>
      <c r="AH2957" s="273"/>
    </row>
    <row r="2958" spans="33:34">
      <c r="AG2958" s="273"/>
      <c r="AH2958" s="273"/>
    </row>
    <row r="2959" spans="33:34">
      <c r="AG2959" s="273"/>
      <c r="AH2959" s="273"/>
    </row>
    <row r="2960" spans="33:34">
      <c r="AG2960" s="273"/>
      <c r="AH2960" s="273"/>
    </row>
    <row r="2961" spans="33:34">
      <c r="AG2961" s="273"/>
      <c r="AH2961" s="273"/>
    </row>
    <row r="2962" spans="33:34">
      <c r="AG2962" s="273"/>
      <c r="AH2962" s="273"/>
    </row>
    <row r="2963" spans="33:34">
      <c r="AG2963" s="273"/>
      <c r="AH2963" s="273"/>
    </row>
    <row r="2964" spans="33:34">
      <c r="AG2964" s="273"/>
      <c r="AH2964" s="273"/>
    </row>
    <row r="2965" spans="33:34">
      <c r="AG2965" s="273"/>
      <c r="AH2965" s="273"/>
    </row>
    <row r="2966" spans="33:34">
      <c r="AG2966" s="273"/>
      <c r="AH2966" s="273"/>
    </row>
    <row r="2967" spans="33:34">
      <c r="AG2967" s="273"/>
      <c r="AH2967" s="273"/>
    </row>
    <row r="2968" spans="33:34">
      <c r="AG2968" s="273"/>
      <c r="AH2968" s="273"/>
    </row>
    <row r="2969" spans="33:34">
      <c r="AG2969" s="273"/>
      <c r="AH2969" s="273"/>
    </row>
    <row r="2970" spans="33:34">
      <c r="AG2970" s="273"/>
      <c r="AH2970" s="273"/>
    </row>
    <row r="2971" spans="33:34">
      <c r="AG2971" s="273"/>
      <c r="AH2971" s="273"/>
    </row>
    <row r="2972" spans="33:34">
      <c r="AG2972" s="273"/>
      <c r="AH2972" s="273"/>
    </row>
    <row r="2973" spans="33:34">
      <c r="AG2973" s="273"/>
      <c r="AH2973" s="273"/>
    </row>
    <row r="2974" spans="33:34">
      <c r="AG2974" s="273"/>
      <c r="AH2974" s="273"/>
    </row>
    <row r="2975" spans="33:34">
      <c r="AG2975" s="273"/>
      <c r="AH2975" s="273"/>
    </row>
    <row r="2976" spans="33:34">
      <c r="AG2976" s="273"/>
      <c r="AH2976" s="273"/>
    </row>
    <row r="2977" spans="33:34">
      <c r="AG2977" s="273"/>
      <c r="AH2977" s="273"/>
    </row>
    <row r="2978" spans="33:34">
      <c r="AG2978" s="273"/>
      <c r="AH2978" s="273"/>
    </row>
    <row r="2979" spans="33:34">
      <c r="AG2979" s="273"/>
      <c r="AH2979" s="273"/>
    </row>
    <row r="2980" spans="33:34">
      <c r="AG2980" s="273"/>
      <c r="AH2980" s="273"/>
    </row>
    <row r="2981" spans="33:34">
      <c r="AG2981" s="273"/>
      <c r="AH2981" s="273"/>
    </row>
    <row r="2982" spans="33:34">
      <c r="AG2982" s="273"/>
      <c r="AH2982" s="273"/>
    </row>
    <row r="2983" spans="33:34">
      <c r="AG2983" s="273"/>
      <c r="AH2983" s="273"/>
    </row>
    <row r="2984" spans="33:34">
      <c r="AG2984" s="273"/>
      <c r="AH2984" s="273"/>
    </row>
    <row r="2985" spans="33:34">
      <c r="AG2985" s="273"/>
      <c r="AH2985" s="273"/>
    </row>
    <row r="2986" spans="33:34">
      <c r="AG2986" s="273"/>
      <c r="AH2986" s="273"/>
    </row>
    <row r="2987" spans="33:34">
      <c r="AG2987" s="273"/>
      <c r="AH2987" s="273"/>
    </row>
    <row r="2988" spans="33:34">
      <c r="AG2988" s="273"/>
      <c r="AH2988" s="273"/>
    </row>
    <row r="2989" spans="33:34">
      <c r="AG2989" s="273"/>
      <c r="AH2989" s="273"/>
    </row>
    <row r="2990" spans="33:34">
      <c r="AG2990" s="273"/>
      <c r="AH2990" s="273"/>
    </row>
    <row r="2991" spans="33:34">
      <c r="AG2991" s="273"/>
      <c r="AH2991" s="273"/>
    </row>
    <row r="2992" spans="33:34">
      <c r="AG2992" s="273"/>
      <c r="AH2992" s="273"/>
    </row>
    <row r="2993" spans="33:34">
      <c r="AG2993" s="273"/>
      <c r="AH2993" s="273"/>
    </row>
    <row r="2994" spans="33:34">
      <c r="AG2994" s="273"/>
      <c r="AH2994" s="273"/>
    </row>
    <row r="2995" spans="33:34">
      <c r="AG2995" s="273"/>
      <c r="AH2995" s="273"/>
    </row>
    <row r="2996" spans="33:34">
      <c r="AG2996" s="273"/>
      <c r="AH2996" s="273"/>
    </row>
    <row r="2997" spans="33:34">
      <c r="AG2997" s="273"/>
      <c r="AH2997" s="273"/>
    </row>
    <row r="2998" spans="33:34">
      <c r="AG2998" s="273"/>
      <c r="AH2998" s="273"/>
    </row>
    <row r="2999" spans="33:34">
      <c r="AG2999" s="273"/>
      <c r="AH2999" s="273"/>
    </row>
    <row r="3000" spans="33:34">
      <c r="AG3000" s="273"/>
      <c r="AH3000" s="273"/>
    </row>
    <row r="3001" spans="33:34">
      <c r="AG3001" s="273"/>
      <c r="AH3001" s="273"/>
    </row>
    <row r="3002" spans="33:34">
      <c r="AG3002" s="273"/>
      <c r="AH3002" s="273"/>
    </row>
    <row r="3003" spans="33:34">
      <c r="AG3003" s="273"/>
      <c r="AH3003" s="273"/>
    </row>
    <row r="3004" spans="33:34">
      <c r="AG3004" s="273"/>
      <c r="AH3004" s="273"/>
    </row>
    <row r="3005" spans="33:34">
      <c r="AG3005" s="273"/>
      <c r="AH3005" s="273"/>
    </row>
    <row r="3006" spans="33:34">
      <c r="AG3006" s="273"/>
      <c r="AH3006" s="273"/>
    </row>
    <row r="3007" spans="33:34">
      <c r="AG3007" s="273"/>
      <c r="AH3007" s="273"/>
    </row>
    <row r="3008" spans="33:34">
      <c r="AG3008" s="273"/>
      <c r="AH3008" s="273"/>
    </row>
    <row r="3009" spans="33:34">
      <c r="AG3009" s="273"/>
      <c r="AH3009" s="273"/>
    </row>
    <row r="3010" spans="33:34">
      <c r="AG3010" s="273"/>
      <c r="AH3010" s="273"/>
    </row>
    <row r="3011" spans="33:34">
      <c r="AG3011" s="273"/>
      <c r="AH3011" s="273"/>
    </row>
    <row r="3012" spans="33:34">
      <c r="AG3012" s="273"/>
      <c r="AH3012" s="273"/>
    </row>
    <row r="3013" spans="33:34">
      <c r="AG3013" s="273"/>
      <c r="AH3013" s="273"/>
    </row>
    <row r="3014" spans="33:34">
      <c r="AG3014" s="273"/>
      <c r="AH3014" s="273"/>
    </row>
    <row r="3015" spans="33:34">
      <c r="AG3015" s="273"/>
      <c r="AH3015" s="273"/>
    </row>
    <row r="3016" spans="33:34">
      <c r="AG3016" s="273"/>
      <c r="AH3016" s="273"/>
    </row>
    <row r="3017" spans="33:34">
      <c r="AG3017" s="273"/>
      <c r="AH3017" s="273"/>
    </row>
    <row r="3018" spans="33:34">
      <c r="AG3018" s="273"/>
      <c r="AH3018" s="273"/>
    </row>
    <row r="3019" spans="33:34">
      <c r="AG3019" s="273"/>
      <c r="AH3019" s="273"/>
    </row>
    <row r="3020" spans="33:34">
      <c r="AG3020" s="273"/>
      <c r="AH3020" s="273"/>
    </row>
    <row r="3021" spans="33:34">
      <c r="AG3021" s="273"/>
      <c r="AH3021" s="273"/>
    </row>
    <row r="3022" spans="33:34">
      <c r="AG3022" s="273"/>
      <c r="AH3022" s="273"/>
    </row>
    <row r="3023" spans="33:34">
      <c r="AG3023" s="273"/>
      <c r="AH3023" s="273"/>
    </row>
    <row r="3024" spans="33:34">
      <c r="AG3024" s="273"/>
      <c r="AH3024" s="273"/>
    </row>
    <row r="3025" spans="33:34">
      <c r="AG3025" s="273"/>
      <c r="AH3025" s="273"/>
    </row>
    <row r="3026" spans="33:34">
      <c r="AG3026" s="273"/>
      <c r="AH3026" s="273"/>
    </row>
    <row r="3027" spans="33:34">
      <c r="AG3027" s="273"/>
      <c r="AH3027" s="273"/>
    </row>
    <row r="3028" spans="33:34">
      <c r="AG3028" s="273"/>
      <c r="AH3028" s="273"/>
    </row>
    <row r="3029" spans="33:34">
      <c r="AG3029" s="273"/>
      <c r="AH3029" s="273"/>
    </row>
    <row r="3030" spans="33:34">
      <c r="AG3030" s="273"/>
      <c r="AH3030" s="273"/>
    </row>
    <row r="3031" spans="33:34">
      <c r="AG3031" s="273"/>
      <c r="AH3031" s="273"/>
    </row>
    <row r="3032" spans="33:34">
      <c r="AG3032" s="273"/>
      <c r="AH3032" s="273"/>
    </row>
    <row r="3033" spans="33:34">
      <c r="AG3033" s="273"/>
      <c r="AH3033" s="273"/>
    </row>
    <row r="3034" spans="33:34">
      <c r="AG3034" s="273"/>
      <c r="AH3034" s="273"/>
    </row>
    <row r="3035" spans="33:34">
      <c r="AG3035" s="273"/>
      <c r="AH3035" s="273"/>
    </row>
    <row r="3036" spans="33:34">
      <c r="AG3036" s="273"/>
      <c r="AH3036" s="273"/>
    </row>
    <row r="3037" spans="33:34">
      <c r="AG3037" s="273"/>
      <c r="AH3037" s="273"/>
    </row>
    <row r="3038" spans="33:34">
      <c r="AG3038" s="273"/>
      <c r="AH3038" s="273"/>
    </row>
    <row r="3039" spans="33:34">
      <c r="AG3039" s="273"/>
      <c r="AH3039" s="273"/>
    </row>
    <row r="3040" spans="33:34">
      <c r="AG3040" s="273"/>
      <c r="AH3040" s="273"/>
    </row>
    <row r="3041" spans="33:34">
      <c r="AG3041" s="273"/>
      <c r="AH3041" s="273"/>
    </row>
    <row r="3042" spans="33:34">
      <c r="AG3042" s="273"/>
      <c r="AH3042" s="273"/>
    </row>
    <row r="3043" spans="33:34">
      <c r="AG3043" s="273"/>
      <c r="AH3043" s="273"/>
    </row>
    <row r="3044" spans="33:34">
      <c r="AG3044" s="273"/>
      <c r="AH3044" s="273"/>
    </row>
    <row r="3045" spans="33:34">
      <c r="AG3045" s="273"/>
      <c r="AH3045" s="273"/>
    </row>
    <row r="3046" spans="33:34">
      <c r="AG3046" s="273"/>
      <c r="AH3046" s="273"/>
    </row>
    <row r="3047" spans="33:34">
      <c r="AG3047" s="273"/>
      <c r="AH3047" s="273"/>
    </row>
    <row r="3048" spans="33:34">
      <c r="AG3048" s="273"/>
      <c r="AH3048" s="273"/>
    </row>
    <row r="3049" spans="33:34">
      <c r="AG3049" s="273"/>
      <c r="AH3049" s="273"/>
    </row>
    <row r="3050" spans="33:34">
      <c r="AG3050" s="273"/>
      <c r="AH3050" s="273"/>
    </row>
    <row r="3051" spans="33:34">
      <c r="AG3051" s="273"/>
      <c r="AH3051" s="273"/>
    </row>
    <row r="3052" spans="33:34">
      <c r="AG3052" s="273"/>
      <c r="AH3052" s="273"/>
    </row>
    <row r="3053" spans="33:34">
      <c r="AG3053" s="273"/>
      <c r="AH3053" s="273"/>
    </row>
    <row r="3054" spans="33:34">
      <c r="AG3054" s="273"/>
      <c r="AH3054" s="273"/>
    </row>
    <row r="3055" spans="33:34">
      <c r="AG3055" s="273"/>
      <c r="AH3055" s="273"/>
    </row>
    <row r="3056" spans="33:34">
      <c r="AG3056" s="273"/>
      <c r="AH3056" s="273"/>
    </row>
    <row r="3057" spans="33:34">
      <c r="AG3057" s="273"/>
      <c r="AH3057" s="273"/>
    </row>
    <row r="3058" spans="33:34">
      <c r="AG3058" s="273"/>
      <c r="AH3058" s="273"/>
    </row>
    <row r="3059" spans="33:34">
      <c r="AG3059" s="273"/>
      <c r="AH3059" s="273"/>
    </row>
    <row r="3060" spans="33:34">
      <c r="AG3060" s="273"/>
      <c r="AH3060" s="273"/>
    </row>
    <row r="3061" spans="33:34">
      <c r="AG3061" s="273"/>
      <c r="AH3061" s="273"/>
    </row>
    <row r="3062" spans="33:34">
      <c r="AG3062" s="273"/>
      <c r="AH3062" s="273"/>
    </row>
    <row r="3063" spans="33:34">
      <c r="AG3063" s="273"/>
      <c r="AH3063" s="273"/>
    </row>
    <row r="3064" spans="33:34">
      <c r="AG3064" s="273"/>
      <c r="AH3064" s="273"/>
    </row>
    <row r="3065" spans="33:34">
      <c r="AG3065" s="273"/>
      <c r="AH3065" s="273"/>
    </row>
    <row r="3066" spans="33:34">
      <c r="AG3066" s="273"/>
      <c r="AH3066" s="273"/>
    </row>
    <row r="3067" spans="33:34">
      <c r="AG3067" s="273"/>
      <c r="AH3067" s="273"/>
    </row>
    <row r="3068" spans="33:34">
      <c r="AG3068" s="273"/>
      <c r="AH3068" s="273"/>
    </row>
    <row r="3069" spans="33:34">
      <c r="AG3069" s="273"/>
      <c r="AH3069" s="273"/>
    </row>
    <row r="3070" spans="33:34">
      <c r="AG3070" s="273"/>
      <c r="AH3070" s="273"/>
    </row>
    <row r="3071" spans="33:34">
      <c r="AG3071" s="273"/>
      <c r="AH3071" s="273"/>
    </row>
    <row r="3072" spans="33:34">
      <c r="AG3072" s="273"/>
      <c r="AH3072" s="273"/>
    </row>
    <row r="3073" spans="33:34">
      <c r="AG3073" s="273"/>
      <c r="AH3073" s="273"/>
    </row>
    <row r="3074" spans="33:34">
      <c r="AG3074" s="273"/>
      <c r="AH3074" s="273"/>
    </row>
    <row r="3075" spans="33:34">
      <c r="AG3075" s="273"/>
      <c r="AH3075" s="273"/>
    </row>
    <row r="3076" spans="33:34">
      <c r="AG3076" s="273"/>
      <c r="AH3076" s="273"/>
    </row>
    <row r="3077" spans="33:34">
      <c r="AG3077" s="273"/>
      <c r="AH3077" s="273"/>
    </row>
    <row r="3078" spans="33:34">
      <c r="AG3078" s="273"/>
      <c r="AH3078" s="273"/>
    </row>
    <row r="3079" spans="33:34">
      <c r="AG3079" s="273"/>
      <c r="AH3079" s="273"/>
    </row>
    <row r="3080" spans="33:34">
      <c r="AG3080" s="273"/>
      <c r="AH3080" s="273"/>
    </row>
    <row r="3081" spans="33:34">
      <c r="AG3081" s="273"/>
      <c r="AH3081" s="273"/>
    </row>
    <row r="3082" spans="33:34">
      <c r="AG3082" s="273"/>
      <c r="AH3082" s="273"/>
    </row>
    <row r="3083" spans="33:34">
      <c r="AG3083" s="273"/>
      <c r="AH3083" s="273"/>
    </row>
    <row r="3084" spans="33:34">
      <c r="AG3084" s="273"/>
      <c r="AH3084" s="273"/>
    </row>
    <row r="3085" spans="33:34">
      <c r="AG3085" s="273"/>
      <c r="AH3085" s="273"/>
    </row>
    <row r="3086" spans="33:34">
      <c r="AG3086" s="273"/>
      <c r="AH3086" s="273"/>
    </row>
    <row r="3087" spans="33:34">
      <c r="AG3087" s="273"/>
      <c r="AH3087" s="273"/>
    </row>
    <row r="3088" spans="33:34">
      <c r="AG3088" s="273"/>
      <c r="AH3088" s="273"/>
    </row>
    <row r="3089" spans="33:34">
      <c r="AG3089" s="273"/>
      <c r="AH3089" s="273"/>
    </row>
    <row r="3090" spans="33:34">
      <c r="AG3090" s="273"/>
      <c r="AH3090" s="273"/>
    </row>
    <row r="3091" spans="33:34">
      <c r="AG3091" s="273"/>
      <c r="AH3091" s="273"/>
    </row>
    <row r="3092" spans="33:34">
      <c r="AG3092" s="273"/>
      <c r="AH3092" s="273"/>
    </row>
    <row r="3093" spans="33:34">
      <c r="AG3093" s="273"/>
      <c r="AH3093" s="273"/>
    </row>
    <row r="3094" spans="33:34">
      <c r="AG3094" s="273"/>
      <c r="AH3094" s="273"/>
    </row>
    <row r="3095" spans="33:34">
      <c r="AG3095" s="273"/>
      <c r="AH3095" s="273"/>
    </row>
    <row r="3096" spans="33:34">
      <c r="AG3096" s="273"/>
      <c r="AH3096" s="273"/>
    </row>
    <row r="3097" spans="33:34">
      <c r="AG3097" s="273"/>
      <c r="AH3097" s="273"/>
    </row>
    <row r="3098" spans="33:34">
      <c r="AG3098" s="273"/>
      <c r="AH3098" s="273"/>
    </row>
    <row r="3099" spans="33:34">
      <c r="AG3099" s="273"/>
      <c r="AH3099" s="273"/>
    </row>
    <row r="3100" spans="33:34">
      <c r="AG3100" s="273"/>
      <c r="AH3100" s="273"/>
    </row>
    <row r="3101" spans="33:34">
      <c r="AG3101" s="273"/>
      <c r="AH3101" s="273"/>
    </row>
    <row r="3102" spans="33:34">
      <c r="AG3102" s="273"/>
      <c r="AH3102" s="273"/>
    </row>
    <row r="3103" spans="33:34">
      <c r="AG3103" s="273"/>
      <c r="AH3103" s="273"/>
    </row>
    <row r="3104" spans="33:34">
      <c r="AG3104" s="273"/>
      <c r="AH3104" s="273"/>
    </row>
    <row r="3105" spans="33:34">
      <c r="AG3105" s="273"/>
      <c r="AH3105" s="273"/>
    </row>
    <row r="3106" spans="33:34">
      <c r="AG3106" s="273"/>
      <c r="AH3106" s="273"/>
    </row>
    <row r="3107" spans="33:34">
      <c r="AG3107" s="273"/>
      <c r="AH3107" s="273"/>
    </row>
    <row r="3108" spans="33:34">
      <c r="AG3108" s="273"/>
      <c r="AH3108" s="273"/>
    </row>
    <row r="3109" spans="33:34">
      <c r="AG3109" s="273"/>
      <c r="AH3109" s="273"/>
    </row>
    <row r="3110" spans="33:34">
      <c r="AG3110" s="273"/>
      <c r="AH3110" s="273"/>
    </row>
    <row r="3111" spans="33:34">
      <c r="AG3111" s="273"/>
      <c r="AH3111" s="273"/>
    </row>
    <row r="3112" spans="33:34">
      <c r="AG3112" s="273"/>
      <c r="AH3112" s="273"/>
    </row>
    <row r="3113" spans="33:34">
      <c r="AG3113" s="273"/>
      <c r="AH3113" s="273"/>
    </row>
    <row r="3114" spans="33:34">
      <c r="AG3114" s="273"/>
      <c r="AH3114" s="273"/>
    </row>
    <row r="3115" spans="33:34">
      <c r="AG3115" s="273"/>
      <c r="AH3115" s="273"/>
    </row>
    <row r="3116" spans="33:34">
      <c r="AG3116" s="273"/>
      <c r="AH3116" s="273"/>
    </row>
    <row r="3117" spans="33:34">
      <c r="AG3117" s="273"/>
      <c r="AH3117" s="273"/>
    </row>
    <row r="3118" spans="33:34">
      <c r="AG3118" s="273"/>
      <c r="AH3118" s="273"/>
    </row>
    <row r="3119" spans="33:34">
      <c r="AG3119" s="273"/>
      <c r="AH3119" s="273"/>
    </row>
    <row r="3120" spans="33:34">
      <c r="AG3120" s="273"/>
      <c r="AH3120" s="273"/>
    </row>
    <row r="3121" spans="33:34">
      <c r="AG3121" s="273"/>
      <c r="AH3121" s="273"/>
    </row>
    <row r="3122" spans="33:34">
      <c r="AG3122" s="273"/>
      <c r="AH3122" s="273"/>
    </row>
    <row r="3123" spans="33:34">
      <c r="AG3123" s="273"/>
      <c r="AH3123" s="273"/>
    </row>
    <row r="3124" spans="33:34">
      <c r="AG3124" s="273"/>
      <c r="AH3124" s="273"/>
    </row>
    <row r="3125" spans="33:34">
      <c r="AG3125" s="273"/>
      <c r="AH3125" s="273"/>
    </row>
    <row r="3126" spans="33:34">
      <c r="AG3126" s="273"/>
      <c r="AH3126" s="273"/>
    </row>
    <row r="3127" spans="33:34">
      <c r="AG3127" s="273"/>
      <c r="AH3127" s="273"/>
    </row>
    <row r="3128" spans="33:34">
      <c r="AG3128" s="273"/>
      <c r="AH3128" s="273"/>
    </row>
    <row r="3129" spans="33:34">
      <c r="AG3129" s="273"/>
      <c r="AH3129" s="273"/>
    </row>
    <row r="3130" spans="33:34">
      <c r="AG3130" s="273"/>
      <c r="AH3130" s="273"/>
    </row>
    <row r="3131" spans="33:34">
      <c r="AG3131" s="273"/>
      <c r="AH3131" s="273"/>
    </row>
    <row r="3132" spans="33:34">
      <c r="AG3132" s="273"/>
      <c r="AH3132" s="273"/>
    </row>
    <row r="3133" spans="33:34">
      <c r="AG3133" s="273"/>
      <c r="AH3133" s="273"/>
    </row>
    <row r="3134" spans="33:34">
      <c r="AG3134" s="273"/>
      <c r="AH3134" s="273"/>
    </row>
    <row r="3135" spans="33:34">
      <c r="AG3135" s="273"/>
      <c r="AH3135" s="273"/>
    </row>
    <row r="3136" spans="33:34">
      <c r="AG3136" s="273"/>
      <c r="AH3136" s="273"/>
    </row>
    <row r="3137" spans="33:34">
      <c r="AG3137" s="273"/>
      <c r="AH3137" s="273"/>
    </row>
    <row r="3138" spans="33:34">
      <c r="AG3138" s="273"/>
      <c r="AH3138" s="273"/>
    </row>
    <row r="3139" spans="33:34">
      <c r="AG3139" s="273"/>
      <c r="AH3139" s="273"/>
    </row>
    <row r="3140" spans="33:34">
      <c r="AG3140" s="273"/>
      <c r="AH3140" s="273"/>
    </row>
    <row r="3141" spans="33:34">
      <c r="AG3141" s="273"/>
      <c r="AH3141" s="273"/>
    </row>
    <row r="3142" spans="33:34">
      <c r="AG3142" s="273"/>
      <c r="AH3142" s="273"/>
    </row>
    <row r="3143" spans="33:34">
      <c r="AG3143" s="273"/>
      <c r="AH3143" s="273"/>
    </row>
    <row r="3144" spans="33:34">
      <c r="AG3144" s="273"/>
      <c r="AH3144" s="273"/>
    </row>
    <row r="3145" spans="33:34">
      <c r="AG3145" s="273"/>
      <c r="AH3145" s="273"/>
    </row>
    <row r="3146" spans="33:34">
      <c r="AG3146" s="273"/>
      <c r="AH3146" s="273"/>
    </row>
    <row r="3147" spans="33:34">
      <c r="AG3147" s="273"/>
      <c r="AH3147" s="273"/>
    </row>
    <row r="3148" spans="33:34">
      <c r="AG3148" s="273"/>
      <c r="AH3148" s="273"/>
    </row>
    <row r="3149" spans="33:34">
      <c r="AG3149" s="273"/>
      <c r="AH3149" s="273"/>
    </row>
    <row r="3150" spans="33:34">
      <c r="AG3150" s="273"/>
      <c r="AH3150" s="273"/>
    </row>
    <row r="3151" spans="33:34">
      <c r="AG3151" s="273"/>
      <c r="AH3151" s="273"/>
    </row>
    <row r="3152" spans="33:34">
      <c r="AG3152" s="273"/>
      <c r="AH3152" s="273"/>
    </row>
    <row r="3153" spans="33:34">
      <c r="AG3153" s="273"/>
      <c r="AH3153" s="273"/>
    </row>
    <row r="3154" spans="33:34">
      <c r="AG3154" s="273"/>
      <c r="AH3154" s="273"/>
    </row>
    <row r="3155" spans="33:34">
      <c r="AG3155" s="273"/>
      <c r="AH3155" s="273"/>
    </row>
    <row r="3156" spans="33:34">
      <c r="AG3156" s="273"/>
      <c r="AH3156" s="273"/>
    </row>
    <row r="3157" spans="33:34">
      <c r="AG3157" s="273"/>
      <c r="AH3157" s="273"/>
    </row>
    <row r="3158" spans="33:34">
      <c r="AG3158" s="273"/>
      <c r="AH3158" s="273"/>
    </row>
    <row r="3159" spans="33:34">
      <c r="AG3159" s="273"/>
      <c r="AH3159" s="273"/>
    </row>
    <row r="3160" spans="33:34">
      <c r="AG3160" s="273"/>
      <c r="AH3160" s="273"/>
    </row>
    <row r="3161" spans="33:34">
      <c r="AG3161" s="273"/>
      <c r="AH3161" s="273"/>
    </row>
    <row r="3162" spans="33:34">
      <c r="AG3162" s="273"/>
      <c r="AH3162" s="273"/>
    </row>
    <row r="3163" spans="33:34">
      <c r="AG3163" s="273"/>
      <c r="AH3163" s="273"/>
    </row>
    <row r="3164" spans="33:34">
      <c r="AG3164" s="273"/>
      <c r="AH3164" s="273"/>
    </row>
    <row r="3165" spans="33:34">
      <c r="AG3165" s="273"/>
      <c r="AH3165" s="273"/>
    </row>
    <row r="3166" spans="33:34">
      <c r="AG3166" s="273"/>
      <c r="AH3166" s="273"/>
    </row>
    <row r="3167" spans="33:34">
      <c r="AG3167" s="273"/>
      <c r="AH3167" s="273"/>
    </row>
    <row r="3168" spans="33:34">
      <c r="AG3168" s="273"/>
      <c r="AH3168" s="273"/>
    </row>
    <row r="3169" spans="33:34">
      <c r="AG3169" s="273"/>
      <c r="AH3169" s="273"/>
    </row>
    <row r="3170" spans="33:34">
      <c r="AG3170" s="273"/>
      <c r="AH3170" s="273"/>
    </row>
    <row r="3171" spans="33:34">
      <c r="AG3171" s="273"/>
      <c r="AH3171" s="273"/>
    </row>
    <row r="3172" spans="33:34">
      <c r="AG3172" s="273"/>
      <c r="AH3172" s="273"/>
    </row>
    <row r="3173" spans="33:34">
      <c r="AG3173" s="273"/>
      <c r="AH3173" s="273"/>
    </row>
    <row r="3174" spans="33:34">
      <c r="AG3174" s="273"/>
      <c r="AH3174" s="273"/>
    </row>
    <row r="3175" spans="33:34">
      <c r="AG3175" s="273"/>
      <c r="AH3175" s="273"/>
    </row>
    <row r="3176" spans="33:34">
      <c r="AG3176" s="273"/>
      <c r="AH3176" s="273"/>
    </row>
    <row r="3177" spans="33:34">
      <c r="AG3177" s="273"/>
      <c r="AH3177" s="273"/>
    </row>
    <row r="3178" spans="33:34">
      <c r="AG3178" s="273"/>
      <c r="AH3178" s="273"/>
    </row>
    <row r="3179" spans="33:34">
      <c r="AG3179" s="273"/>
      <c r="AH3179" s="273"/>
    </row>
    <row r="3180" spans="33:34">
      <c r="AG3180" s="273"/>
      <c r="AH3180" s="273"/>
    </row>
    <row r="3181" spans="33:34">
      <c r="AG3181" s="273"/>
      <c r="AH3181" s="273"/>
    </row>
    <row r="3182" spans="33:34">
      <c r="AG3182" s="273"/>
      <c r="AH3182" s="273"/>
    </row>
    <row r="3183" spans="33:34">
      <c r="AG3183" s="273"/>
      <c r="AH3183" s="273"/>
    </row>
    <row r="3184" spans="33:34">
      <c r="AG3184" s="273"/>
      <c r="AH3184" s="273"/>
    </row>
    <row r="3185" spans="33:34">
      <c r="AG3185" s="273"/>
      <c r="AH3185" s="273"/>
    </row>
    <row r="3186" spans="33:34">
      <c r="AG3186" s="273"/>
      <c r="AH3186" s="273"/>
    </row>
    <row r="3187" spans="33:34">
      <c r="AG3187" s="273"/>
      <c r="AH3187" s="273"/>
    </row>
    <row r="3188" spans="33:34">
      <c r="AG3188" s="273"/>
      <c r="AH3188" s="273"/>
    </row>
    <row r="3189" spans="33:34">
      <c r="AG3189" s="273"/>
      <c r="AH3189" s="273"/>
    </row>
    <row r="3190" spans="33:34">
      <c r="AG3190" s="273"/>
      <c r="AH3190" s="273"/>
    </row>
    <row r="3191" spans="33:34">
      <c r="AG3191" s="273"/>
      <c r="AH3191" s="273"/>
    </row>
    <row r="3192" spans="33:34">
      <c r="AG3192" s="273"/>
      <c r="AH3192" s="273"/>
    </row>
    <row r="3193" spans="33:34">
      <c r="AG3193" s="273"/>
      <c r="AH3193" s="273"/>
    </row>
    <row r="3194" spans="33:34">
      <c r="AG3194" s="273"/>
      <c r="AH3194" s="273"/>
    </row>
    <row r="3195" spans="33:34">
      <c r="AG3195" s="273"/>
      <c r="AH3195" s="273"/>
    </row>
    <row r="3196" spans="33:34">
      <c r="AG3196" s="273"/>
      <c r="AH3196" s="273"/>
    </row>
    <row r="3197" spans="33:34">
      <c r="AG3197" s="273"/>
      <c r="AH3197" s="273"/>
    </row>
    <row r="3198" spans="33:34">
      <c r="AG3198" s="273"/>
      <c r="AH3198" s="273"/>
    </row>
    <row r="3199" spans="33:34">
      <c r="AG3199" s="273"/>
      <c r="AH3199" s="273"/>
    </row>
    <row r="3200" spans="33:34">
      <c r="AG3200" s="273"/>
      <c r="AH3200" s="273"/>
    </row>
    <row r="3201" spans="33:34">
      <c r="AG3201" s="273"/>
      <c r="AH3201" s="273"/>
    </row>
    <row r="3202" spans="33:34">
      <c r="AG3202" s="273"/>
      <c r="AH3202" s="273"/>
    </row>
    <row r="3203" spans="33:34">
      <c r="AG3203" s="273"/>
      <c r="AH3203" s="273"/>
    </row>
    <row r="3204" spans="33:34">
      <c r="AG3204" s="273"/>
      <c r="AH3204" s="273"/>
    </row>
    <row r="3205" spans="33:34">
      <c r="AG3205" s="273"/>
      <c r="AH3205" s="273"/>
    </row>
    <row r="3206" spans="33:34">
      <c r="AG3206" s="273"/>
      <c r="AH3206" s="273"/>
    </row>
    <row r="3207" spans="33:34">
      <c r="AG3207" s="273"/>
      <c r="AH3207" s="273"/>
    </row>
    <row r="3208" spans="33:34">
      <c r="AG3208" s="273"/>
      <c r="AH3208" s="273"/>
    </row>
    <row r="3209" spans="33:34">
      <c r="AG3209" s="273"/>
      <c r="AH3209" s="273"/>
    </row>
    <row r="3210" spans="33:34">
      <c r="AG3210" s="273"/>
      <c r="AH3210" s="273"/>
    </row>
    <row r="3211" spans="33:34">
      <c r="AG3211" s="273"/>
      <c r="AH3211" s="273"/>
    </row>
    <row r="3212" spans="33:34">
      <c r="AG3212" s="273"/>
      <c r="AH3212" s="273"/>
    </row>
    <row r="3213" spans="33:34">
      <c r="AG3213" s="273"/>
      <c r="AH3213" s="273"/>
    </row>
    <row r="3214" spans="33:34">
      <c r="AG3214" s="273"/>
      <c r="AH3214" s="273"/>
    </row>
    <row r="3215" spans="33:34">
      <c r="AG3215" s="273"/>
      <c r="AH3215" s="273"/>
    </row>
    <row r="3216" spans="33:34">
      <c r="AG3216" s="273"/>
      <c r="AH3216" s="273"/>
    </row>
    <row r="3217" spans="33:34">
      <c r="AG3217" s="273"/>
      <c r="AH3217" s="273"/>
    </row>
    <row r="3218" spans="33:34">
      <c r="AG3218" s="273"/>
      <c r="AH3218" s="273"/>
    </row>
    <row r="3219" spans="33:34">
      <c r="AG3219" s="273"/>
      <c r="AH3219" s="273"/>
    </row>
    <row r="3220" spans="33:34">
      <c r="AG3220" s="273"/>
      <c r="AH3220" s="273"/>
    </row>
    <row r="3221" spans="33:34">
      <c r="AG3221" s="273"/>
      <c r="AH3221" s="273"/>
    </row>
    <row r="3222" spans="33:34">
      <c r="AG3222" s="273"/>
      <c r="AH3222" s="273"/>
    </row>
    <row r="3223" spans="33:34">
      <c r="AG3223" s="273"/>
      <c r="AH3223" s="273"/>
    </row>
    <row r="3224" spans="33:34">
      <c r="AG3224" s="273"/>
      <c r="AH3224" s="273"/>
    </row>
    <row r="3225" spans="33:34">
      <c r="AG3225" s="273"/>
      <c r="AH3225" s="273"/>
    </row>
    <row r="3226" spans="33:34">
      <c r="AG3226" s="273"/>
      <c r="AH3226" s="273"/>
    </row>
    <row r="3227" spans="33:34">
      <c r="AG3227" s="273"/>
      <c r="AH3227" s="273"/>
    </row>
    <row r="3228" spans="33:34">
      <c r="AG3228" s="273"/>
      <c r="AH3228" s="273"/>
    </row>
    <row r="3229" spans="33:34">
      <c r="AG3229" s="273"/>
      <c r="AH3229" s="273"/>
    </row>
    <row r="3230" spans="33:34">
      <c r="AG3230" s="273"/>
      <c r="AH3230" s="273"/>
    </row>
    <row r="3231" spans="33:34">
      <c r="AG3231" s="273"/>
      <c r="AH3231" s="273"/>
    </row>
    <row r="3232" spans="33:34">
      <c r="AG3232" s="273"/>
      <c r="AH3232" s="273"/>
    </row>
    <row r="3233" spans="33:34">
      <c r="AG3233" s="273"/>
      <c r="AH3233" s="273"/>
    </row>
    <row r="3234" spans="33:34">
      <c r="AG3234" s="273"/>
      <c r="AH3234" s="273"/>
    </row>
    <row r="3235" spans="33:34">
      <c r="AG3235" s="273"/>
      <c r="AH3235" s="273"/>
    </row>
    <row r="3236" spans="33:34">
      <c r="AG3236" s="273"/>
      <c r="AH3236" s="273"/>
    </row>
    <row r="3237" spans="33:34">
      <c r="AG3237" s="273"/>
      <c r="AH3237" s="273"/>
    </row>
    <row r="3238" spans="33:34">
      <c r="AG3238" s="273"/>
      <c r="AH3238" s="273"/>
    </row>
    <row r="3239" spans="33:34">
      <c r="AG3239" s="273"/>
      <c r="AH3239" s="273"/>
    </row>
    <row r="3240" spans="33:34">
      <c r="AG3240" s="273"/>
      <c r="AH3240" s="273"/>
    </row>
    <row r="3241" spans="33:34">
      <c r="AG3241" s="273"/>
      <c r="AH3241" s="273"/>
    </row>
    <row r="3242" spans="33:34">
      <c r="AG3242" s="273"/>
      <c r="AH3242" s="273"/>
    </row>
    <row r="3243" spans="33:34">
      <c r="AG3243" s="273"/>
      <c r="AH3243" s="273"/>
    </row>
    <row r="3244" spans="33:34">
      <c r="AG3244" s="273"/>
      <c r="AH3244" s="273"/>
    </row>
    <row r="3245" spans="33:34">
      <c r="AG3245" s="273"/>
      <c r="AH3245" s="273"/>
    </row>
    <row r="3246" spans="33:34">
      <c r="AG3246" s="273"/>
      <c r="AH3246" s="273"/>
    </row>
    <row r="3247" spans="33:34">
      <c r="AG3247" s="273"/>
      <c r="AH3247" s="273"/>
    </row>
    <row r="3248" spans="33:34">
      <c r="AG3248" s="273"/>
      <c r="AH3248" s="273"/>
    </row>
    <row r="3249" spans="33:34">
      <c r="AG3249" s="273"/>
      <c r="AH3249" s="273"/>
    </row>
    <row r="3250" spans="33:34">
      <c r="AG3250" s="273"/>
      <c r="AH3250" s="273"/>
    </row>
    <row r="3251" spans="33:34">
      <c r="AG3251" s="273"/>
      <c r="AH3251" s="273"/>
    </row>
    <row r="3252" spans="33:34">
      <c r="AG3252" s="273"/>
      <c r="AH3252" s="273"/>
    </row>
    <row r="3253" spans="33:34">
      <c r="AG3253" s="273"/>
      <c r="AH3253" s="273"/>
    </row>
    <row r="3254" spans="33:34">
      <c r="AG3254" s="273"/>
      <c r="AH3254" s="273"/>
    </row>
    <row r="3255" spans="33:34">
      <c r="AG3255" s="273"/>
      <c r="AH3255" s="273"/>
    </row>
    <row r="3256" spans="33:34">
      <c r="AG3256" s="273"/>
      <c r="AH3256" s="273"/>
    </row>
    <row r="3257" spans="33:34">
      <c r="AG3257" s="273"/>
      <c r="AH3257" s="273"/>
    </row>
    <row r="3258" spans="33:34">
      <c r="AG3258" s="273"/>
      <c r="AH3258" s="273"/>
    </row>
    <row r="3259" spans="33:34">
      <c r="AG3259" s="273"/>
      <c r="AH3259" s="273"/>
    </row>
    <row r="3260" spans="33:34">
      <c r="AG3260" s="273"/>
      <c r="AH3260" s="273"/>
    </row>
    <row r="3261" spans="33:34">
      <c r="AG3261" s="273"/>
      <c r="AH3261" s="273"/>
    </row>
    <row r="3262" spans="33:34">
      <c r="AG3262" s="273"/>
      <c r="AH3262" s="273"/>
    </row>
    <row r="3263" spans="33:34">
      <c r="AG3263" s="273"/>
      <c r="AH3263" s="273"/>
    </row>
    <row r="3264" spans="33:34">
      <c r="AG3264" s="273"/>
      <c r="AH3264" s="273"/>
    </row>
    <row r="3265" spans="33:34">
      <c r="AG3265" s="273"/>
      <c r="AH3265" s="273"/>
    </row>
    <row r="3266" spans="33:34">
      <c r="AG3266" s="273"/>
      <c r="AH3266" s="273"/>
    </row>
    <row r="3267" spans="33:34">
      <c r="AG3267" s="273"/>
      <c r="AH3267" s="273"/>
    </row>
    <row r="3268" spans="33:34">
      <c r="AG3268" s="273"/>
      <c r="AH3268" s="273"/>
    </row>
    <row r="3269" spans="33:34">
      <c r="AG3269" s="273"/>
      <c r="AH3269" s="273"/>
    </row>
    <row r="3270" spans="33:34">
      <c r="AG3270" s="273"/>
      <c r="AH3270" s="273"/>
    </row>
    <row r="3271" spans="33:34">
      <c r="AG3271" s="273"/>
      <c r="AH3271" s="273"/>
    </row>
    <row r="3272" spans="33:34">
      <c r="AG3272" s="273"/>
      <c r="AH3272" s="273"/>
    </row>
    <row r="3273" spans="33:34">
      <c r="AG3273" s="273"/>
      <c r="AH3273" s="273"/>
    </row>
    <row r="3274" spans="33:34">
      <c r="AG3274" s="273"/>
      <c r="AH3274" s="273"/>
    </row>
    <row r="3275" spans="33:34">
      <c r="AG3275" s="273"/>
      <c r="AH3275" s="273"/>
    </row>
    <row r="3276" spans="33:34">
      <c r="AG3276" s="273"/>
      <c r="AH3276" s="273"/>
    </row>
    <row r="3277" spans="33:34">
      <c r="AG3277" s="273"/>
      <c r="AH3277" s="273"/>
    </row>
    <row r="3278" spans="33:34">
      <c r="AG3278" s="273"/>
      <c r="AH3278" s="273"/>
    </row>
    <row r="3279" spans="33:34">
      <c r="AG3279" s="273"/>
      <c r="AH3279" s="273"/>
    </row>
    <row r="3280" spans="33:34">
      <c r="AG3280" s="273"/>
      <c r="AH3280" s="273"/>
    </row>
    <row r="3281" spans="33:34">
      <c r="AG3281" s="273"/>
      <c r="AH3281" s="273"/>
    </row>
    <row r="3282" spans="33:34">
      <c r="AG3282" s="273"/>
      <c r="AH3282" s="273"/>
    </row>
    <row r="3283" spans="33:34">
      <c r="AG3283" s="273"/>
      <c r="AH3283" s="273"/>
    </row>
    <row r="3284" spans="33:34">
      <c r="AG3284" s="273"/>
      <c r="AH3284" s="273"/>
    </row>
    <row r="3285" spans="33:34">
      <c r="AG3285" s="273"/>
      <c r="AH3285" s="273"/>
    </row>
    <row r="3286" spans="33:34">
      <c r="AG3286" s="273"/>
      <c r="AH3286" s="273"/>
    </row>
    <row r="3287" spans="33:34">
      <c r="AG3287" s="273"/>
      <c r="AH3287" s="273"/>
    </row>
    <row r="3288" spans="33:34">
      <c r="AG3288" s="273"/>
      <c r="AH3288" s="273"/>
    </row>
    <row r="3289" spans="33:34">
      <c r="AG3289" s="273"/>
      <c r="AH3289" s="273"/>
    </row>
    <row r="3290" spans="33:34">
      <c r="AG3290" s="273"/>
      <c r="AH3290" s="273"/>
    </row>
    <row r="3291" spans="33:34">
      <c r="AG3291" s="273"/>
      <c r="AH3291" s="273"/>
    </row>
    <row r="3292" spans="33:34">
      <c r="AG3292" s="273"/>
      <c r="AH3292" s="273"/>
    </row>
    <row r="3293" spans="33:34">
      <c r="AG3293" s="273"/>
      <c r="AH3293" s="273"/>
    </row>
    <row r="3294" spans="33:34">
      <c r="AG3294" s="273"/>
      <c r="AH3294" s="273"/>
    </row>
    <row r="3295" spans="33:34">
      <c r="AG3295" s="273"/>
      <c r="AH3295" s="273"/>
    </row>
    <row r="3296" spans="33:34">
      <c r="AG3296" s="273"/>
      <c r="AH3296" s="273"/>
    </row>
    <row r="3297" spans="33:34">
      <c r="AG3297" s="273"/>
      <c r="AH3297" s="273"/>
    </row>
    <row r="3298" spans="33:34">
      <c r="AG3298" s="273"/>
      <c r="AH3298" s="273"/>
    </row>
    <row r="3299" spans="33:34">
      <c r="AG3299" s="273"/>
      <c r="AH3299" s="273"/>
    </row>
    <row r="3300" spans="33:34">
      <c r="AG3300" s="273"/>
      <c r="AH3300" s="273"/>
    </row>
    <row r="3301" spans="33:34">
      <c r="AG3301" s="273"/>
      <c r="AH3301" s="273"/>
    </row>
    <row r="3302" spans="33:34">
      <c r="AG3302" s="273"/>
      <c r="AH3302" s="273"/>
    </row>
    <row r="3303" spans="33:34">
      <c r="AG3303" s="273"/>
      <c r="AH3303" s="273"/>
    </row>
    <row r="3304" spans="33:34">
      <c r="AG3304" s="273"/>
      <c r="AH3304" s="273"/>
    </row>
    <row r="3305" spans="33:34">
      <c r="AG3305" s="273"/>
      <c r="AH3305" s="273"/>
    </row>
    <row r="3306" spans="33:34">
      <c r="AG3306" s="273"/>
      <c r="AH3306" s="273"/>
    </row>
    <row r="3307" spans="33:34">
      <c r="AG3307" s="273"/>
      <c r="AH3307" s="273"/>
    </row>
    <row r="3308" spans="33:34">
      <c r="AG3308" s="273"/>
      <c r="AH3308" s="273"/>
    </row>
    <row r="3309" spans="33:34">
      <c r="AG3309" s="273"/>
      <c r="AH3309" s="273"/>
    </row>
    <row r="3310" spans="33:34">
      <c r="AG3310" s="273"/>
      <c r="AH3310" s="273"/>
    </row>
    <row r="3311" spans="33:34">
      <c r="AG3311" s="273"/>
      <c r="AH3311" s="273"/>
    </row>
    <row r="3312" spans="33:34">
      <c r="AG3312" s="273"/>
      <c r="AH3312" s="273"/>
    </row>
    <row r="3313" spans="33:34">
      <c r="AG3313" s="273"/>
      <c r="AH3313" s="273"/>
    </row>
    <row r="3314" spans="33:34">
      <c r="AG3314" s="273"/>
      <c r="AH3314" s="273"/>
    </row>
    <row r="3315" spans="33:34">
      <c r="AG3315" s="273"/>
      <c r="AH3315" s="273"/>
    </row>
    <row r="3316" spans="33:34">
      <c r="AG3316" s="273"/>
      <c r="AH3316" s="273"/>
    </row>
    <row r="3317" spans="33:34">
      <c r="AG3317" s="273"/>
      <c r="AH3317" s="273"/>
    </row>
    <row r="3318" spans="33:34">
      <c r="AG3318" s="273"/>
      <c r="AH3318" s="273"/>
    </row>
    <row r="3319" spans="33:34">
      <c r="AG3319" s="273"/>
      <c r="AH3319" s="273"/>
    </row>
    <row r="3320" spans="33:34">
      <c r="AG3320" s="273"/>
      <c r="AH3320" s="273"/>
    </row>
    <row r="3321" spans="33:34">
      <c r="AG3321" s="273"/>
      <c r="AH3321" s="273"/>
    </row>
    <row r="3322" spans="33:34">
      <c r="AG3322" s="273"/>
      <c r="AH3322" s="273"/>
    </row>
    <row r="3323" spans="33:34">
      <c r="AG3323" s="273"/>
      <c r="AH3323" s="273"/>
    </row>
    <row r="3324" spans="33:34">
      <c r="AG3324" s="273"/>
      <c r="AH3324" s="273"/>
    </row>
    <row r="3325" spans="33:34">
      <c r="AG3325" s="273"/>
      <c r="AH3325" s="273"/>
    </row>
    <row r="3326" spans="33:34">
      <c r="AG3326" s="273"/>
      <c r="AH3326" s="273"/>
    </row>
    <row r="3327" spans="33:34">
      <c r="AG3327" s="273"/>
      <c r="AH3327" s="273"/>
    </row>
    <row r="3328" spans="33:34">
      <c r="AG3328" s="273"/>
      <c r="AH3328" s="273"/>
    </row>
    <row r="3329" spans="33:34">
      <c r="AG3329" s="273"/>
      <c r="AH3329" s="273"/>
    </row>
    <row r="3330" spans="33:34">
      <c r="AG3330" s="273"/>
      <c r="AH3330" s="273"/>
    </row>
    <row r="3331" spans="33:34">
      <c r="AG3331" s="273"/>
      <c r="AH3331" s="273"/>
    </row>
    <row r="3332" spans="33:34">
      <c r="AG3332" s="273"/>
      <c r="AH3332" s="273"/>
    </row>
    <row r="3333" spans="33:34">
      <c r="AG3333" s="273"/>
      <c r="AH3333" s="273"/>
    </row>
    <row r="3334" spans="33:34">
      <c r="AG3334" s="273"/>
      <c r="AH3334" s="273"/>
    </row>
    <row r="3335" spans="33:34">
      <c r="AG3335" s="273"/>
      <c r="AH3335" s="273"/>
    </row>
    <row r="3336" spans="33:34">
      <c r="AG3336" s="273"/>
      <c r="AH3336" s="273"/>
    </row>
    <row r="3337" spans="33:34">
      <c r="AG3337" s="273"/>
      <c r="AH3337" s="273"/>
    </row>
    <row r="3338" spans="33:34">
      <c r="AG3338" s="273"/>
      <c r="AH3338" s="273"/>
    </row>
    <row r="3339" spans="33:34">
      <c r="AG3339" s="273"/>
      <c r="AH3339" s="273"/>
    </row>
    <row r="3340" spans="33:34">
      <c r="AG3340" s="273"/>
      <c r="AH3340" s="273"/>
    </row>
    <row r="3341" spans="33:34">
      <c r="AG3341" s="273"/>
      <c r="AH3341" s="273"/>
    </row>
    <row r="3342" spans="33:34">
      <c r="AG3342" s="273"/>
      <c r="AH3342" s="273"/>
    </row>
    <row r="3343" spans="33:34">
      <c r="AG3343" s="273"/>
      <c r="AH3343" s="273"/>
    </row>
    <row r="3344" spans="33:34">
      <c r="AG3344" s="273"/>
      <c r="AH3344" s="273"/>
    </row>
    <row r="3345" spans="33:34">
      <c r="AG3345" s="273"/>
      <c r="AH3345" s="273"/>
    </row>
    <row r="3346" spans="33:34">
      <c r="AG3346" s="273"/>
      <c r="AH3346" s="273"/>
    </row>
    <row r="3347" spans="33:34">
      <c r="AG3347" s="273"/>
      <c r="AH3347" s="273"/>
    </row>
    <row r="3348" spans="33:34">
      <c r="AG3348" s="273"/>
      <c r="AH3348" s="273"/>
    </row>
    <row r="3349" spans="33:34">
      <c r="AG3349" s="273"/>
      <c r="AH3349" s="273"/>
    </row>
    <row r="3350" spans="33:34">
      <c r="AG3350" s="273"/>
      <c r="AH3350" s="273"/>
    </row>
    <row r="3351" spans="33:34">
      <c r="AG3351" s="273"/>
      <c r="AH3351" s="273"/>
    </row>
    <row r="3352" spans="33:34">
      <c r="AG3352" s="273"/>
      <c r="AH3352" s="273"/>
    </row>
    <row r="3353" spans="33:34">
      <c r="AG3353" s="273"/>
      <c r="AH3353" s="273"/>
    </row>
    <row r="3354" spans="33:34">
      <c r="AG3354" s="273"/>
      <c r="AH3354" s="273"/>
    </row>
    <row r="3355" spans="33:34">
      <c r="AG3355" s="273"/>
      <c r="AH3355" s="273"/>
    </row>
    <row r="3356" spans="33:34">
      <c r="AG3356" s="273"/>
      <c r="AH3356" s="273"/>
    </row>
    <row r="3357" spans="33:34">
      <c r="AG3357" s="273"/>
      <c r="AH3357" s="273"/>
    </row>
    <row r="3358" spans="33:34">
      <c r="AG3358" s="273"/>
      <c r="AH3358" s="273"/>
    </row>
    <row r="3359" spans="33:34">
      <c r="AG3359" s="273"/>
      <c r="AH3359" s="273"/>
    </row>
    <row r="3360" spans="33:34">
      <c r="AG3360" s="273"/>
      <c r="AH3360" s="273"/>
    </row>
    <row r="3361" spans="33:34">
      <c r="AG3361" s="273"/>
      <c r="AH3361" s="273"/>
    </row>
    <row r="3362" spans="33:34">
      <c r="AG3362" s="273"/>
      <c r="AH3362" s="273"/>
    </row>
    <row r="3363" spans="33:34">
      <c r="AG3363" s="273"/>
      <c r="AH3363" s="273"/>
    </row>
    <row r="3364" spans="33:34">
      <c r="AG3364" s="273"/>
      <c r="AH3364" s="273"/>
    </row>
    <row r="3365" spans="33:34">
      <c r="AG3365" s="273"/>
      <c r="AH3365" s="273"/>
    </row>
    <row r="3366" spans="33:34">
      <c r="AG3366" s="273"/>
      <c r="AH3366" s="273"/>
    </row>
    <row r="3367" spans="33:34">
      <c r="AG3367" s="273"/>
      <c r="AH3367" s="273"/>
    </row>
    <row r="3368" spans="33:34">
      <c r="AG3368" s="273"/>
      <c r="AH3368" s="273"/>
    </row>
    <row r="3369" spans="33:34">
      <c r="AG3369" s="273"/>
      <c r="AH3369" s="273"/>
    </row>
    <row r="3370" spans="33:34">
      <c r="AG3370" s="273"/>
      <c r="AH3370" s="273"/>
    </row>
    <row r="3371" spans="33:34">
      <c r="AG3371" s="273"/>
      <c r="AH3371" s="273"/>
    </row>
    <row r="3372" spans="33:34">
      <c r="AG3372" s="273"/>
      <c r="AH3372" s="273"/>
    </row>
    <row r="3373" spans="33:34">
      <c r="AG3373" s="273"/>
      <c r="AH3373" s="273"/>
    </row>
    <row r="3374" spans="33:34">
      <c r="AG3374" s="273"/>
      <c r="AH3374" s="273"/>
    </row>
    <row r="3375" spans="33:34">
      <c r="AG3375" s="273"/>
      <c r="AH3375" s="273"/>
    </row>
    <row r="3376" spans="33:34">
      <c r="AG3376" s="273"/>
      <c r="AH3376" s="273"/>
    </row>
    <row r="3377" spans="33:34">
      <c r="AG3377" s="273"/>
      <c r="AH3377" s="273"/>
    </row>
    <row r="3378" spans="33:34">
      <c r="AG3378" s="273"/>
      <c r="AH3378" s="273"/>
    </row>
    <row r="3379" spans="33:34">
      <c r="AG3379" s="273"/>
      <c r="AH3379" s="273"/>
    </row>
    <row r="3380" spans="33:34">
      <c r="AG3380" s="273"/>
      <c r="AH3380" s="273"/>
    </row>
    <row r="3381" spans="33:34">
      <c r="AG3381" s="273"/>
      <c r="AH3381" s="273"/>
    </row>
    <row r="3382" spans="33:34">
      <c r="AG3382" s="273"/>
      <c r="AH3382" s="273"/>
    </row>
    <row r="3383" spans="33:34">
      <c r="AG3383" s="273"/>
      <c r="AH3383" s="273"/>
    </row>
    <row r="3384" spans="33:34">
      <c r="AG3384" s="273"/>
      <c r="AH3384" s="273"/>
    </row>
    <row r="3385" spans="33:34">
      <c r="AG3385" s="273"/>
      <c r="AH3385" s="273"/>
    </row>
    <row r="3386" spans="33:34">
      <c r="AG3386" s="273"/>
      <c r="AH3386" s="273"/>
    </row>
    <row r="3387" spans="33:34">
      <c r="AG3387" s="273"/>
      <c r="AH3387" s="273"/>
    </row>
    <row r="3388" spans="33:34">
      <c r="AG3388" s="273"/>
      <c r="AH3388" s="273"/>
    </row>
    <row r="3389" spans="33:34">
      <c r="AG3389" s="273"/>
      <c r="AH3389" s="273"/>
    </row>
    <row r="3390" spans="33:34">
      <c r="AG3390" s="273"/>
      <c r="AH3390" s="273"/>
    </row>
    <row r="3391" spans="33:34">
      <c r="AG3391" s="273"/>
      <c r="AH3391" s="273"/>
    </row>
    <row r="3392" spans="33:34">
      <c r="AG3392" s="273"/>
      <c r="AH3392" s="273"/>
    </row>
    <row r="3393" spans="33:34">
      <c r="AG3393" s="273"/>
      <c r="AH3393" s="273"/>
    </row>
    <row r="3394" spans="33:34">
      <c r="AG3394" s="273"/>
      <c r="AH3394" s="273"/>
    </row>
    <row r="3395" spans="33:34">
      <c r="AG3395" s="273"/>
      <c r="AH3395" s="273"/>
    </row>
    <row r="3396" spans="33:34">
      <c r="AG3396" s="273"/>
      <c r="AH3396" s="273"/>
    </row>
    <row r="3397" spans="33:34">
      <c r="AG3397" s="273"/>
      <c r="AH3397" s="273"/>
    </row>
    <row r="3398" spans="33:34">
      <c r="AG3398" s="273"/>
      <c r="AH3398" s="273"/>
    </row>
    <row r="3399" spans="33:34">
      <c r="AG3399" s="273"/>
      <c r="AH3399" s="273"/>
    </row>
    <row r="3400" spans="33:34">
      <c r="AG3400" s="273"/>
      <c r="AH3400" s="273"/>
    </row>
    <row r="3401" spans="33:34">
      <c r="AG3401" s="273"/>
      <c r="AH3401" s="273"/>
    </row>
    <row r="3402" spans="33:34">
      <c r="AG3402" s="273"/>
      <c r="AH3402" s="273"/>
    </row>
    <row r="3403" spans="33:34">
      <c r="AG3403" s="273"/>
      <c r="AH3403" s="273"/>
    </row>
    <row r="3404" spans="33:34">
      <c r="AG3404" s="273"/>
      <c r="AH3404" s="273"/>
    </row>
    <row r="3405" spans="33:34">
      <c r="AG3405" s="273"/>
      <c r="AH3405" s="273"/>
    </row>
    <row r="3406" spans="33:34">
      <c r="AG3406" s="273"/>
      <c r="AH3406" s="273"/>
    </row>
    <row r="3407" spans="33:34">
      <c r="AG3407" s="273"/>
      <c r="AH3407" s="273"/>
    </row>
    <row r="3408" spans="33:34">
      <c r="AG3408" s="273"/>
      <c r="AH3408" s="273"/>
    </row>
    <row r="3409" spans="33:34">
      <c r="AG3409" s="273"/>
      <c r="AH3409" s="273"/>
    </row>
    <row r="3410" spans="33:34">
      <c r="AG3410" s="273"/>
      <c r="AH3410" s="273"/>
    </row>
    <row r="3411" spans="33:34">
      <c r="AG3411" s="273"/>
      <c r="AH3411" s="273"/>
    </row>
    <row r="3412" spans="33:34">
      <c r="AG3412" s="273"/>
      <c r="AH3412" s="273"/>
    </row>
    <row r="3413" spans="33:34">
      <c r="AG3413" s="273"/>
      <c r="AH3413" s="273"/>
    </row>
    <row r="3414" spans="33:34">
      <c r="AG3414" s="273"/>
      <c r="AH3414" s="273"/>
    </row>
    <row r="3415" spans="33:34">
      <c r="AG3415" s="273"/>
      <c r="AH3415" s="273"/>
    </row>
    <row r="3416" spans="33:34">
      <c r="AG3416" s="273"/>
      <c r="AH3416" s="273"/>
    </row>
    <row r="3417" spans="33:34">
      <c r="AG3417" s="273"/>
      <c r="AH3417" s="273"/>
    </row>
    <row r="3418" spans="33:34">
      <c r="AG3418" s="273"/>
      <c r="AH3418" s="273"/>
    </row>
    <row r="3419" spans="33:34">
      <c r="AG3419" s="273"/>
      <c r="AH3419" s="273"/>
    </row>
    <row r="3420" spans="33:34">
      <c r="AG3420" s="273"/>
      <c r="AH3420" s="273"/>
    </row>
    <row r="3421" spans="33:34">
      <c r="AG3421" s="273"/>
      <c r="AH3421" s="273"/>
    </row>
    <row r="3422" spans="33:34">
      <c r="AG3422" s="273"/>
      <c r="AH3422" s="273"/>
    </row>
    <row r="3423" spans="33:34">
      <c r="AG3423" s="273"/>
      <c r="AH3423" s="273"/>
    </row>
    <row r="3424" spans="33:34">
      <c r="AG3424" s="273"/>
      <c r="AH3424" s="273"/>
    </row>
    <row r="3425" spans="33:34">
      <c r="AG3425" s="273"/>
      <c r="AH3425" s="273"/>
    </row>
  </sheetData>
  <sortState ref="BF8:BG20">
    <sortCondition ref="BF8:BF20"/>
  </sortState>
  <mergeCells count="36">
    <mergeCell ref="Y2:AA2"/>
    <mergeCell ref="B2:C2"/>
    <mergeCell ref="B6:C6"/>
    <mergeCell ref="AL6:AT6"/>
    <mergeCell ref="E2:F2"/>
    <mergeCell ref="B4:C4"/>
    <mergeCell ref="E4:K4"/>
    <mergeCell ref="M4:U4"/>
    <mergeCell ref="W4:AI4"/>
    <mergeCell ref="BB4:BI4"/>
    <mergeCell ref="BF6:BG6"/>
    <mergeCell ref="AS56:AT56"/>
    <mergeCell ref="AS57:AT57"/>
    <mergeCell ref="AL16:AT16"/>
    <mergeCell ref="AK4:AT4"/>
    <mergeCell ref="AZ43:BA43"/>
    <mergeCell ref="AY42:BB42"/>
    <mergeCell ref="AV4:AZ4"/>
    <mergeCell ref="AV6:AY6"/>
    <mergeCell ref="AK33:AL33"/>
    <mergeCell ref="AK26:AT26"/>
    <mergeCell ref="AK30:AT30"/>
    <mergeCell ref="AS55:AT55"/>
    <mergeCell ref="AP42:AX42"/>
    <mergeCell ref="AK36:AO36"/>
    <mergeCell ref="B56:C56"/>
    <mergeCell ref="AH7:AI7"/>
    <mergeCell ref="T7:U7"/>
    <mergeCell ref="BH6:BI6"/>
    <mergeCell ref="BH7:BI7"/>
    <mergeCell ref="B21:C21"/>
    <mergeCell ref="B30:C30"/>
    <mergeCell ref="AL42:AO42"/>
    <mergeCell ref="AK40:BB40"/>
    <mergeCell ref="B41:C41"/>
    <mergeCell ref="B43:C43"/>
  </mergeCells>
  <pageMargins left="0.75" right="0.75" top="1" bottom="1" header="0.5" footer="0.5"/>
  <pageSetup orientation="portrait" horizontalDpi="300" verticalDpi="300" r:id="rId1"/>
  <headerFooter alignWithMargins="0"/>
  <legacyDrawing r:id="rId2"/>
</worksheet>
</file>

<file path=xl/worksheets/sheet13.xml><?xml version="1.0" encoding="utf-8"?>
<worksheet xmlns="http://schemas.openxmlformats.org/spreadsheetml/2006/main" xmlns:r="http://schemas.openxmlformats.org/officeDocument/2006/relationships">
  <sheetPr codeName="Sheet27"/>
  <dimension ref="A1:T337"/>
  <sheetViews>
    <sheetView topLeftCell="D1" zoomScale="75" zoomScaleNormal="75" workbookViewId="0">
      <selection activeCell="P6" sqref="P6"/>
    </sheetView>
  </sheetViews>
  <sheetFormatPr defaultRowHeight="12.75"/>
  <cols>
    <col min="1" max="1" width="7.42578125" style="855" customWidth="1"/>
    <col min="2" max="8" width="7.28515625" style="855" customWidth="1"/>
    <col min="9" max="9" width="2.5703125" style="855" customWidth="1"/>
    <col min="10" max="10" width="10.85546875" style="855" customWidth="1"/>
    <col min="11" max="13" width="9.140625" style="855"/>
    <col min="14" max="14" width="10.28515625" style="855" customWidth="1"/>
    <col min="15" max="15" width="4.85546875" style="855" customWidth="1"/>
    <col min="16" max="19" width="9.140625" style="855"/>
    <col min="20" max="20" width="10.7109375" style="855" customWidth="1"/>
    <col min="21" max="16384" width="9.140625" style="855"/>
  </cols>
  <sheetData>
    <row r="1" spans="1:17" ht="21.75" customHeight="1">
      <c r="A1" s="1248" t="s">
        <v>1723</v>
      </c>
    </row>
    <row r="2" spans="1:17" ht="21" customHeight="1">
      <c r="A2" s="1249" t="s">
        <v>1724</v>
      </c>
      <c r="P2" s="1300" t="s">
        <v>1894</v>
      </c>
    </row>
    <row r="3" spans="1:17" s="1250" customFormat="1" ht="13.5" thickBot="1">
      <c r="A3" s="1250" t="s">
        <v>1725</v>
      </c>
      <c r="J3" s="1250" t="s">
        <v>1726</v>
      </c>
    </row>
    <row r="4" spans="1:17" s="1250" customFormat="1" ht="13.5" thickBot="1">
      <c r="A4" s="1251" t="s">
        <v>1185</v>
      </c>
      <c r="B4" s="1647" t="s">
        <v>948</v>
      </c>
      <c r="C4" s="1648"/>
      <c r="D4" s="1649"/>
      <c r="E4" s="1647" t="s">
        <v>55</v>
      </c>
      <c r="F4" s="1649"/>
      <c r="G4" s="1647" t="s">
        <v>893</v>
      </c>
      <c r="H4" s="1649"/>
      <c r="J4" s="1252" t="s">
        <v>1728</v>
      </c>
      <c r="K4" s="970">
        <f>COUNT(K7:K356)</f>
        <v>255</v>
      </c>
      <c r="L4" s="970"/>
      <c r="M4" s="970">
        <f>COUNT(M7:M356)</f>
        <v>248</v>
      </c>
      <c r="N4" s="970">
        <f>COUNT(N7:N356)</f>
        <v>246</v>
      </c>
      <c r="P4" s="486" t="s">
        <v>1812</v>
      </c>
      <c r="Q4" s="1250" t="s">
        <v>1727</v>
      </c>
    </row>
    <row r="5" spans="1:17" s="970" customFormat="1" ht="13.5" thickBot="1">
      <c r="A5" s="1253" t="s">
        <v>1186</v>
      </c>
      <c r="B5" s="1254" t="s">
        <v>1729</v>
      </c>
      <c r="C5" s="1255" t="s">
        <v>1730</v>
      </c>
      <c r="D5" s="1256" t="s">
        <v>1731</v>
      </c>
      <c r="E5" s="1254" t="s">
        <v>1732</v>
      </c>
      <c r="F5" s="1256" t="s">
        <v>1731</v>
      </c>
      <c r="G5" s="1254" t="s">
        <v>1732</v>
      </c>
      <c r="H5" s="1256" t="s">
        <v>1731</v>
      </c>
      <c r="J5" s="970" t="s">
        <v>1733</v>
      </c>
      <c r="K5" s="970" t="s">
        <v>948</v>
      </c>
      <c r="L5" s="970" t="s">
        <v>1734</v>
      </c>
      <c r="M5" s="970" t="s">
        <v>55</v>
      </c>
      <c r="N5" s="970" t="s">
        <v>893</v>
      </c>
      <c r="P5" s="486" t="s">
        <v>1812</v>
      </c>
      <c r="Q5" s="1250" t="s">
        <v>1742</v>
      </c>
    </row>
    <row r="6" spans="1:17" ht="13.5" thickBot="1">
      <c r="A6" s="1257">
        <v>1</v>
      </c>
      <c r="B6" s="224">
        <v>1</v>
      </c>
      <c r="C6" s="1270">
        <f>VLOOKUP(B6,$J$6:$L$26,2)</f>
        <v>10.5</v>
      </c>
      <c r="D6" s="1271">
        <f>IF(B6&gt;0,VLOOKUP(B6,$J$7:$L$26,2)/VLOOKUP(B6,$J$7:$L$26,3)*100000,0)</f>
        <v>677.41935483870964</v>
      </c>
      <c r="E6" s="224">
        <v>3</v>
      </c>
      <c r="F6" s="1270">
        <f>VLOOKUP(E6,$J$6:$N$26,4)</f>
        <v>600</v>
      </c>
      <c r="G6" s="224">
        <v>1</v>
      </c>
      <c r="H6" s="1272">
        <f>VLOOKUP(G6,$J$6:$N$26,5)</f>
        <v>200</v>
      </c>
      <c r="J6" s="1258">
        <v>0</v>
      </c>
      <c r="K6" s="1266">
        <v>0</v>
      </c>
      <c r="L6" s="223">
        <v>0</v>
      </c>
      <c r="M6" s="223">
        <v>0</v>
      </c>
      <c r="N6" s="223">
        <v>0</v>
      </c>
      <c r="P6" s="486" t="s">
        <v>1812</v>
      </c>
      <c r="Q6" s="1250" t="s">
        <v>1885</v>
      </c>
    </row>
    <row r="7" spans="1:17">
      <c r="A7" s="1257">
        <v>2</v>
      </c>
      <c r="B7" s="223">
        <v>1</v>
      </c>
      <c r="C7" s="1270">
        <f t="shared" ref="C7:C69" si="0">VLOOKUP(B7,$J$6:$L$26,2)</f>
        <v>10.5</v>
      </c>
      <c r="D7" s="1271">
        <f t="shared" ref="D7:D69" si="1">IF(B7&gt;0,VLOOKUP(B7,$J$7:$L$26,2)/VLOOKUP(B7,$J$7:$L$26,3)*100000,0)</f>
        <v>677.41935483870964</v>
      </c>
      <c r="E7" s="223">
        <v>2</v>
      </c>
      <c r="F7" s="1270">
        <f t="shared" ref="F7:F69" si="2">VLOOKUP(E7,$J$6:$N$26,4)</f>
        <v>400</v>
      </c>
      <c r="G7" s="223">
        <v>1</v>
      </c>
      <c r="H7" s="1272">
        <f t="shared" ref="H7:H69" si="3">VLOOKUP(G7,$J$6:$N$26,5)</f>
        <v>200</v>
      </c>
      <c r="J7" s="1258">
        <v>1</v>
      </c>
      <c r="K7" s="1266">
        <v>10.5</v>
      </c>
      <c r="L7" s="223">
        <v>1550</v>
      </c>
      <c r="M7" s="223">
        <v>200</v>
      </c>
      <c r="N7" s="223">
        <v>200</v>
      </c>
      <c r="P7" s="486">
        <v>1001</v>
      </c>
      <c r="Q7" s="1250" t="s">
        <v>1752</v>
      </c>
    </row>
    <row r="8" spans="1:17">
      <c r="A8" s="1257">
        <v>3</v>
      </c>
      <c r="B8" s="223">
        <v>1</v>
      </c>
      <c r="C8" s="1270">
        <f t="shared" si="0"/>
        <v>10.5</v>
      </c>
      <c r="D8" s="1271">
        <f t="shared" si="1"/>
        <v>677.41935483870964</v>
      </c>
      <c r="E8" s="223">
        <v>1</v>
      </c>
      <c r="F8" s="1270">
        <f t="shared" si="2"/>
        <v>200</v>
      </c>
      <c r="G8" s="223">
        <v>1</v>
      </c>
      <c r="H8" s="1272">
        <f t="shared" si="3"/>
        <v>200</v>
      </c>
      <c r="J8" s="1260">
        <v>2</v>
      </c>
      <c r="K8" s="1266">
        <v>10.199999999999999</v>
      </c>
      <c r="L8" s="223">
        <v>1550</v>
      </c>
      <c r="M8" s="223">
        <v>400</v>
      </c>
      <c r="N8" s="223">
        <v>400</v>
      </c>
    </row>
    <row r="9" spans="1:17">
      <c r="A9" s="1257">
        <v>4</v>
      </c>
      <c r="B9" s="223">
        <v>1</v>
      </c>
      <c r="C9" s="1270">
        <f t="shared" si="0"/>
        <v>10.5</v>
      </c>
      <c r="D9" s="1271">
        <f t="shared" si="1"/>
        <v>677.41935483870964</v>
      </c>
      <c r="E9" s="223">
        <v>0</v>
      </c>
      <c r="F9" s="1270">
        <f t="shared" si="2"/>
        <v>0</v>
      </c>
      <c r="G9" s="223">
        <v>1</v>
      </c>
      <c r="H9" s="1272">
        <f t="shared" si="3"/>
        <v>200</v>
      </c>
      <c r="J9" s="1260">
        <v>3</v>
      </c>
      <c r="K9" s="1266">
        <v>9.6</v>
      </c>
      <c r="L9" s="223">
        <v>1550</v>
      </c>
      <c r="M9" s="223">
        <v>600</v>
      </c>
      <c r="N9" s="223"/>
    </row>
    <row r="10" spans="1:17">
      <c r="A10" s="1257">
        <v>5</v>
      </c>
      <c r="B10" s="223">
        <v>1</v>
      </c>
      <c r="C10" s="1270">
        <f t="shared" si="0"/>
        <v>10.5</v>
      </c>
      <c r="D10" s="1271">
        <f t="shared" si="1"/>
        <v>677.41935483870964</v>
      </c>
      <c r="E10" s="223">
        <v>3</v>
      </c>
      <c r="F10" s="1270">
        <f t="shared" si="2"/>
        <v>600</v>
      </c>
      <c r="G10" s="223">
        <v>0</v>
      </c>
      <c r="H10" s="1272">
        <f t="shared" si="3"/>
        <v>0</v>
      </c>
      <c r="J10" s="1260">
        <v>4</v>
      </c>
      <c r="K10" s="1266">
        <v>8.1</v>
      </c>
      <c r="L10" s="223">
        <v>1550</v>
      </c>
      <c r="M10" s="223"/>
      <c r="N10" s="223"/>
    </row>
    <row r="11" spans="1:17">
      <c r="A11" s="1257">
        <v>6</v>
      </c>
      <c r="B11" s="223">
        <v>1</v>
      </c>
      <c r="C11" s="1270">
        <f t="shared" si="0"/>
        <v>10.5</v>
      </c>
      <c r="D11" s="1271">
        <f t="shared" si="1"/>
        <v>677.41935483870964</v>
      </c>
      <c r="E11" s="223">
        <v>2</v>
      </c>
      <c r="F11" s="1270">
        <f t="shared" si="2"/>
        <v>400</v>
      </c>
      <c r="G11" s="223">
        <v>0</v>
      </c>
      <c r="H11" s="1272">
        <f t="shared" si="3"/>
        <v>0</v>
      </c>
      <c r="J11" s="1260">
        <v>5</v>
      </c>
      <c r="K11" s="1266">
        <v>7.3</v>
      </c>
      <c r="L11" s="223">
        <v>1550</v>
      </c>
      <c r="M11" s="223"/>
      <c r="N11" s="223"/>
    </row>
    <row r="12" spans="1:17">
      <c r="A12" s="1257">
        <v>7</v>
      </c>
      <c r="B12" s="223">
        <v>1</v>
      </c>
      <c r="C12" s="1270">
        <f t="shared" si="0"/>
        <v>10.5</v>
      </c>
      <c r="D12" s="1271">
        <f t="shared" si="1"/>
        <v>677.41935483870964</v>
      </c>
      <c r="E12" s="223">
        <v>1</v>
      </c>
      <c r="F12" s="1270">
        <f t="shared" si="2"/>
        <v>200</v>
      </c>
      <c r="G12" s="223">
        <v>0</v>
      </c>
      <c r="H12" s="1272">
        <f t="shared" si="3"/>
        <v>0</v>
      </c>
      <c r="J12" s="1260">
        <v>6</v>
      </c>
      <c r="K12" s="1266">
        <v>7.1</v>
      </c>
      <c r="L12" s="223">
        <v>1550</v>
      </c>
      <c r="M12" s="223"/>
      <c r="N12" s="223"/>
    </row>
    <row r="13" spans="1:17">
      <c r="A13" s="1257">
        <v>8</v>
      </c>
      <c r="B13" s="223">
        <v>1</v>
      </c>
      <c r="C13" s="1270">
        <f t="shared" si="0"/>
        <v>10.5</v>
      </c>
      <c r="D13" s="1271">
        <f t="shared" si="1"/>
        <v>677.41935483870964</v>
      </c>
      <c r="E13" s="223">
        <v>0</v>
      </c>
      <c r="F13" s="1270">
        <f t="shared" si="2"/>
        <v>0</v>
      </c>
      <c r="G13" s="223">
        <v>0</v>
      </c>
      <c r="H13" s="1272">
        <f t="shared" si="3"/>
        <v>0</v>
      </c>
      <c r="J13" s="1260">
        <v>7</v>
      </c>
      <c r="K13" s="1266">
        <v>4</v>
      </c>
      <c r="L13" s="223">
        <v>1550</v>
      </c>
      <c r="M13" s="223"/>
      <c r="N13" s="223"/>
    </row>
    <row r="14" spans="1:17">
      <c r="A14" s="1257">
        <v>9</v>
      </c>
      <c r="B14" s="223">
        <v>2</v>
      </c>
      <c r="C14" s="1270">
        <f t="shared" si="0"/>
        <v>10.199999999999999</v>
      </c>
      <c r="D14" s="1271">
        <f t="shared" si="1"/>
        <v>658.0645161290322</v>
      </c>
      <c r="E14" s="223">
        <v>3</v>
      </c>
      <c r="F14" s="1270">
        <f t="shared" si="2"/>
        <v>600</v>
      </c>
      <c r="G14" s="223">
        <v>1</v>
      </c>
      <c r="H14" s="1272">
        <f t="shared" si="3"/>
        <v>200</v>
      </c>
      <c r="J14" s="1260">
        <v>8</v>
      </c>
      <c r="K14" s="1259"/>
      <c r="L14" s="223"/>
      <c r="M14" s="223"/>
      <c r="N14" s="223"/>
    </row>
    <row r="15" spans="1:17">
      <c r="A15" s="1257">
        <v>10</v>
      </c>
      <c r="B15" s="223">
        <v>2</v>
      </c>
      <c r="C15" s="1270">
        <f t="shared" si="0"/>
        <v>10.199999999999999</v>
      </c>
      <c r="D15" s="1271">
        <f t="shared" si="1"/>
        <v>658.0645161290322</v>
      </c>
      <c r="E15" s="223">
        <v>2</v>
      </c>
      <c r="F15" s="1270">
        <f t="shared" si="2"/>
        <v>400</v>
      </c>
      <c r="G15" s="223">
        <v>1</v>
      </c>
      <c r="H15" s="1272">
        <f t="shared" si="3"/>
        <v>200</v>
      </c>
      <c r="J15" s="1260">
        <v>9</v>
      </c>
      <c r="K15" s="1259"/>
      <c r="L15" s="223"/>
      <c r="M15" s="223"/>
      <c r="N15" s="223"/>
    </row>
    <row r="16" spans="1:17">
      <c r="A16" s="1257">
        <v>11</v>
      </c>
      <c r="B16" s="223">
        <v>2</v>
      </c>
      <c r="C16" s="1270">
        <f t="shared" si="0"/>
        <v>10.199999999999999</v>
      </c>
      <c r="D16" s="1271">
        <f t="shared" si="1"/>
        <v>658.0645161290322</v>
      </c>
      <c r="E16" s="223">
        <v>1</v>
      </c>
      <c r="F16" s="1270">
        <f t="shared" si="2"/>
        <v>200</v>
      </c>
      <c r="G16" s="223">
        <v>1</v>
      </c>
      <c r="H16" s="1272">
        <f t="shared" si="3"/>
        <v>200</v>
      </c>
      <c r="J16" s="1260">
        <v>10</v>
      </c>
      <c r="K16" s="1259"/>
      <c r="L16" s="223"/>
      <c r="M16" s="223"/>
      <c r="N16" s="223"/>
    </row>
    <row r="17" spans="1:14">
      <c r="A17" s="1257">
        <v>12</v>
      </c>
      <c r="B17" s="223">
        <v>2</v>
      </c>
      <c r="C17" s="1270">
        <f t="shared" si="0"/>
        <v>10.199999999999999</v>
      </c>
      <c r="D17" s="1271">
        <f t="shared" si="1"/>
        <v>658.0645161290322</v>
      </c>
      <c r="E17" s="223">
        <v>0</v>
      </c>
      <c r="F17" s="1270">
        <f t="shared" si="2"/>
        <v>0</v>
      </c>
      <c r="G17" s="223">
        <v>1</v>
      </c>
      <c r="H17" s="1272">
        <f t="shared" si="3"/>
        <v>200</v>
      </c>
      <c r="J17" s="1260">
        <v>11</v>
      </c>
      <c r="K17" s="1259"/>
      <c r="L17" s="223"/>
      <c r="M17" s="223"/>
      <c r="N17" s="223"/>
    </row>
    <row r="18" spans="1:14">
      <c r="A18" s="1257">
        <v>13</v>
      </c>
      <c r="B18" s="223">
        <v>2</v>
      </c>
      <c r="C18" s="1270">
        <f t="shared" si="0"/>
        <v>10.199999999999999</v>
      </c>
      <c r="D18" s="1271">
        <f t="shared" si="1"/>
        <v>658.0645161290322</v>
      </c>
      <c r="E18" s="223">
        <v>3</v>
      </c>
      <c r="F18" s="1270">
        <f t="shared" si="2"/>
        <v>600</v>
      </c>
      <c r="G18" s="223">
        <v>0</v>
      </c>
      <c r="H18" s="1272">
        <f t="shared" si="3"/>
        <v>0</v>
      </c>
      <c r="J18" s="1260">
        <v>12</v>
      </c>
      <c r="K18" s="1259"/>
      <c r="L18" s="223"/>
      <c r="M18" s="223"/>
      <c r="N18" s="223"/>
    </row>
    <row r="19" spans="1:14">
      <c r="A19" s="1257">
        <v>14</v>
      </c>
      <c r="B19" s="223">
        <v>2</v>
      </c>
      <c r="C19" s="1270">
        <f t="shared" si="0"/>
        <v>10.199999999999999</v>
      </c>
      <c r="D19" s="1271">
        <f t="shared" si="1"/>
        <v>658.0645161290322</v>
      </c>
      <c r="E19" s="223">
        <v>2</v>
      </c>
      <c r="F19" s="1270">
        <f t="shared" si="2"/>
        <v>400</v>
      </c>
      <c r="G19" s="223">
        <v>0</v>
      </c>
      <c r="H19" s="1272">
        <f t="shared" si="3"/>
        <v>0</v>
      </c>
      <c r="J19" s="1260">
        <v>13</v>
      </c>
      <c r="K19" s="1259"/>
      <c r="L19" s="223"/>
      <c r="M19" s="223"/>
      <c r="N19" s="223"/>
    </row>
    <row r="20" spans="1:14">
      <c r="A20" s="1257">
        <v>15</v>
      </c>
      <c r="B20" s="223">
        <v>2</v>
      </c>
      <c r="C20" s="1270">
        <f t="shared" si="0"/>
        <v>10.199999999999999</v>
      </c>
      <c r="D20" s="1271">
        <f t="shared" si="1"/>
        <v>658.0645161290322</v>
      </c>
      <c r="E20" s="223">
        <v>1</v>
      </c>
      <c r="F20" s="1270">
        <f t="shared" si="2"/>
        <v>200</v>
      </c>
      <c r="G20" s="223">
        <v>0</v>
      </c>
      <c r="H20" s="1272">
        <f t="shared" si="3"/>
        <v>0</v>
      </c>
      <c r="J20" s="1260">
        <v>14</v>
      </c>
      <c r="K20" s="1259"/>
      <c r="L20" s="223"/>
      <c r="M20" s="223"/>
      <c r="N20" s="223"/>
    </row>
    <row r="21" spans="1:14">
      <c r="A21" s="1257">
        <v>16</v>
      </c>
      <c r="B21" s="223">
        <v>2</v>
      </c>
      <c r="C21" s="1270">
        <f t="shared" si="0"/>
        <v>10.199999999999999</v>
      </c>
      <c r="D21" s="1271">
        <f t="shared" si="1"/>
        <v>658.0645161290322</v>
      </c>
      <c r="E21" s="223">
        <v>0</v>
      </c>
      <c r="F21" s="1270">
        <f t="shared" si="2"/>
        <v>0</v>
      </c>
      <c r="G21" s="223">
        <v>0</v>
      </c>
      <c r="H21" s="1272">
        <f t="shared" si="3"/>
        <v>0</v>
      </c>
      <c r="J21" s="1260">
        <v>15</v>
      </c>
      <c r="K21" s="1259"/>
      <c r="L21" s="223"/>
      <c r="M21" s="223"/>
      <c r="N21" s="223"/>
    </row>
    <row r="22" spans="1:14">
      <c r="A22" s="1257">
        <v>17</v>
      </c>
      <c r="B22" s="223">
        <v>3</v>
      </c>
      <c r="C22" s="1270">
        <f t="shared" si="0"/>
        <v>9.6</v>
      </c>
      <c r="D22" s="1271">
        <f t="shared" si="1"/>
        <v>619.35483870967744</v>
      </c>
      <c r="E22" s="223">
        <v>3</v>
      </c>
      <c r="F22" s="1270">
        <f t="shared" si="2"/>
        <v>600</v>
      </c>
      <c r="G22" s="223">
        <v>1</v>
      </c>
      <c r="H22" s="1272">
        <f t="shared" si="3"/>
        <v>200</v>
      </c>
      <c r="J22" s="1260">
        <v>16</v>
      </c>
      <c r="K22" s="1259"/>
      <c r="L22" s="223"/>
      <c r="M22" s="223"/>
      <c r="N22" s="223"/>
    </row>
    <row r="23" spans="1:14">
      <c r="A23" s="1257">
        <v>18</v>
      </c>
      <c r="B23" s="223">
        <v>3</v>
      </c>
      <c r="C23" s="1270">
        <f t="shared" si="0"/>
        <v>9.6</v>
      </c>
      <c r="D23" s="1271">
        <f t="shared" si="1"/>
        <v>619.35483870967744</v>
      </c>
      <c r="E23" s="223">
        <v>2</v>
      </c>
      <c r="F23" s="1270">
        <f t="shared" si="2"/>
        <v>400</v>
      </c>
      <c r="G23" s="223">
        <v>1</v>
      </c>
      <c r="H23" s="1272">
        <f t="shared" si="3"/>
        <v>200</v>
      </c>
      <c r="J23" s="1260">
        <v>17</v>
      </c>
      <c r="K23" s="1259"/>
      <c r="L23" s="223"/>
      <c r="M23" s="223"/>
      <c r="N23" s="223"/>
    </row>
    <row r="24" spans="1:14">
      <c r="A24" s="1257">
        <v>19</v>
      </c>
      <c r="B24" s="223">
        <v>3</v>
      </c>
      <c r="C24" s="1270">
        <f t="shared" si="0"/>
        <v>9.6</v>
      </c>
      <c r="D24" s="1271">
        <f t="shared" si="1"/>
        <v>619.35483870967744</v>
      </c>
      <c r="E24" s="223">
        <v>1</v>
      </c>
      <c r="F24" s="1270">
        <f t="shared" si="2"/>
        <v>200</v>
      </c>
      <c r="G24" s="223">
        <v>1</v>
      </c>
      <c r="H24" s="1272">
        <f t="shared" si="3"/>
        <v>200</v>
      </c>
      <c r="J24" s="1260">
        <v>18</v>
      </c>
      <c r="K24" s="1259"/>
      <c r="L24" s="223"/>
      <c r="M24" s="223"/>
      <c r="N24" s="223"/>
    </row>
    <row r="25" spans="1:14">
      <c r="A25" s="1257">
        <v>20</v>
      </c>
      <c r="B25" s="223">
        <v>3</v>
      </c>
      <c r="C25" s="1270">
        <f t="shared" si="0"/>
        <v>9.6</v>
      </c>
      <c r="D25" s="1271">
        <f t="shared" si="1"/>
        <v>619.35483870967744</v>
      </c>
      <c r="E25" s="223">
        <v>0</v>
      </c>
      <c r="F25" s="1270">
        <f t="shared" si="2"/>
        <v>0</v>
      </c>
      <c r="G25" s="223">
        <v>1</v>
      </c>
      <c r="H25" s="1272">
        <f t="shared" si="3"/>
        <v>200</v>
      </c>
      <c r="J25" s="1260">
        <v>19</v>
      </c>
      <c r="K25" s="1259"/>
      <c r="L25" s="223"/>
      <c r="M25" s="223"/>
      <c r="N25" s="223"/>
    </row>
    <row r="26" spans="1:14">
      <c r="A26" s="1257">
        <v>21</v>
      </c>
      <c r="B26" s="223">
        <v>3</v>
      </c>
      <c r="C26" s="1270">
        <f t="shared" si="0"/>
        <v>9.6</v>
      </c>
      <c r="D26" s="1271">
        <f t="shared" si="1"/>
        <v>619.35483870967744</v>
      </c>
      <c r="E26" s="223">
        <v>3</v>
      </c>
      <c r="F26" s="1270">
        <f t="shared" si="2"/>
        <v>600</v>
      </c>
      <c r="G26" s="223">
        <v>0</v>
      </c>
      <c r="H26" s="1272">
        <f t="shared" si="3"/>
        <v>0</v>
      </c>
      <c r="J26" s="1261">
        <v>20</v>
      </c>
      <c r="K26" s="1259"/>
      <c r="L26" s="223"/>
      <c r="M26" s="223"/>
      <c r="N26" s="223"/>
    </row>
    <row r="27" spans="1:14">
      <c r="A27" s="1257">
        <v>22</v>
      </c>
      <c r="B27" s="223">
        <v>3</v>
      </c>
      <c r="C27" s="1270">
        <f t="shared" si="0"/>
        <v>9.6</v>
      </c>
      <c r="D27" s="1271">
        <f t="shared" si="1"/>
        <v>619.35483870967744</v>
      </c>
      <c r="E27" s="223">
        <v>2</v>
      </c>
      <c r="F27" s="1270">
        <f t="shared" si="2"/>
        <v>400</v>
      </c>
      <c r="G27" s="223">
        <v>0</v>
      </c>
      <c r="H27" s="1272">
        <f t="shared" si="3"/>
        <v>0</v>
      </c>
      <c r="J27" s="1262"/>
    </row>
    <row r="28" spans="1:14">
      <c r="A28" s="1257">
        <v>23</v>
      </c>
      <c r="B28" s="223">
        <v>3</v>
      </c>
      <c r="C28" s="1270">
        <f t="shared" si="0"/>
        <v>9.6</v>
      </c>
      <c r="D28" s="1271">
        <f t="shared" si="1"/>
        <v>619.35483870967744</v>
      </c>
      <c r="E28" s="223">
        <v>1</v>
      </c>
      <c r="F28" s="1270">
        <f t="shared" si="2"/>
        <v>200</v>
      </c>
      <c r="G28" s="223">
        <v>0</v>
      </c>
      <c r="H28" s="1272">
        <f t="shared" si="3"/>
        <v>0</v>
      </c>
    </row>
    <row r="29" spans="1:14">
      <c r="A29" s="1257">
        <v>24</v>
      </c>
      <c r="B29" s="223">
        <v>3</v>
      </c>
      <c r="C29" s="1270">
        <f t="shared" si="0"/>
        <v>9.6</v>
      </c>
      <c r="D29" s="1271">
        <f t="shared" si="1"/>
        <v>619.35483870967744</v>
      </c>
      <c r="E29" s="223">
        <v>0</v>
      </c>
      <c r="F29" s="1270">
        <f t="shared" si="2"/>
        <v>0</v>
      </c>
      <c r="G29" s="223">
        <v>0</v>
      </c>
      <c r="H29" s="1272">
        <f t="shared" si="3"/>
        <v>0</v>
      </c>
    </row>
    <row r="30" spans="1:14">
      <c r="A30" s="1257">
        <v>25</v>
      </c>
      <c r="B30" s="223">
        <v>4</v>
      </c>
      <c r="C30" s="1270">
        <f t="shared" si="0"/>
        <v>8.1</v>
      </c>
      <c r="D30" s="1271">
        <f t="shared" si="1"/>
        <v>522.58064516129025</v>
      </c>
      <c r="E30" s="223">
        <v>3</v>
      </c>
      <c r="F30" s="1270">
        <f t="shared" si="2"/>
        <v>600</v>
      </c>
      <c r="G30" s="223">
        <v>1</v>
      </c>
      <c r="H30" s="1272">
        <f t="shared" si="3"/>
        <v>200</v>
      </c>
      <c r="J30" s="1287" t="s">
        <v>1754</v>
      </c>
    </row>
    <row r="31" spans="1:14">
      <c r="A31" s="1257">
        <v>26</v>
      </c>
      <c r="B31" s="223">
        <v>4</v>
      </c>
      <c r="C31" s="1270">
        <f t="shared" si="0"/>
        <v>8.1</v>
      </c>
      <c r="D31" s="1271">
        <f t="shared" si="1"/>
        <v>522.58064516129025</v>
      </c>
      <c r="E31" s="223">
        <v>2</v>
      </c>
      <c r="F31" s="1270">
        <f t="shared" si="2"/>
        <v>400</v>
      </c>
      <c r="G31" s="223">
        <v>1</v>
      </c>
      <c r="H31" s="1272">
        <f t="shared" si="3"/>
        <v>200</v>
      </c>
      <c r="K31" s="970" t="s">
        <v>1730</v>
      </c>
      <c r="L31" s="970" t="s">
        <v>1734</v>
      </c>
      <c r="M31" s="970" t="s">
        <v>1740</v>
      </c>
      <c r="N31" s="970" t="s">
        <v>1741</v>
      </c>
    </row>
    <row r="32" spans="1:14">
      <c r="A32" s="1257">
        <v>27</v>
      </c>
      <c r="B32" s="223">
        <v>4</v>
      </c>
      <c r="C32" s="1270">
        <f t="shared" si="0"/>
        <v>8.1</v>
      </c>
      <c r="D32" s="1271">
        <f t="shared" si="1"/>
        <v>522.58064516129025</v>
      </c>
      <c r="E32" s="223">
        <v>1</v>
      </c>
      <c r="F32" s="1270">
        <f t="shared" si="2"/>
        <v>200</v>
      </c>
      <c r="G32" s="223">
        <v>1</v>
      </c>
      <c r="H32" s="1272">
        <f t="shared" si="3"/>
        <v>200</v>
      </c>
      <c r="J32" s="1258" t="s">
        <v>1738</v>
      </c>
      <c r="K32" s="1283">
        <v>11</v>
      </c>
      <c r="L32" s="223">
        <v>1550</v>
      </c>
      <c r="M32" s="223">
        <v>3</v>
      </c>
      <c r="N32" s="223">
        <v>1</v>
      </c>
    </row>
    <row r="33" spans="1:20">
      <c r="A33" s="1257">
        <v>28</v>
      </c>
      <c r="B33" s="223">
        <v>4</v>
      </c>
      <c r="C33" s="1270">
        <f t="shared" si="0"/>
        <v>8.1</v>
      </c>
      <c r="D33" s="1271">
        <f t="shared" si="1"/>
        <v>522.58064516129025</v>
      </c>
      <c r="E33" s="223">
        <v>0</v>
      </c>
      <c r="F33" s="1270">
        <f t="shared" si="2"/>
        <v>0</v>
      </c>
      <c r="G33" s="223">
        <v>1</v>
      </c>
      <c r="H33" s="1272">
        <f t="shared" si="3"/>
        <v>200</v>
      </c>
      <c r="J33" s="1260" t="s">
        <v>1737</v>
      </c>
      <c r="K33" s="1283">
        <v>3.8</v>
      </c>
      <c r="L33" s="1267"/>
      <c r="M33" s="223">
        <v>1</v>
      </c>
      <c r="N33" s="223">
        <v>1</v>
      </c>
    </row>
    <row r="34" spans="1:20">
      <c r="A34" s="1257">
        <v>29</v>
      </c>
      <c r="B34" s="223">
        <v>4</v>
      </c>
      <c r="C34" s="1270">
        <f t="shared" si="0"/>
        <v>8.1</v>
      </c>
      <c r="D34" s="1271">
        <f t="shared" si="1"/>
        <v>522.58064516129025</v>
      </c>
      <c r="E34" s="223">
        <v>3</v>
      </c>
      <c r="F34" s="1270">
        <f t="shared" si="2"/>
        <v>600</v>
      </c>
      <c r="G34" s="223">
        <v>0</v>
      </c>
      <c r="H34" s="1272">
        <f t="shared" si="3"/>
        <v>0</v>
      </c>
      <c r="J34" s="1261" t="s">
        <v>1739</v>
      </c>
      <c r="K34" s="1266">
        <v>0.2</v>
      </c>
      <c r="L34" s="1267"/>
      <c r="M34" s="223">
        <v>1</v>
      </c>
      <c r="N34" s="223">
        <v>1</v>
      </c>
    </row>
    <row r="35" spans="1:20">
      <c r="A35" s="1257">
        <v>30</v>
      </c>
      <c r="B35" s="223">
        <v>4</v>
      </c>
      <c r="C35" s="1270">
        <f t="shared" si="0"/>
        <v>8.1</v>
      </c>
      <c r="D35" s="1271">
        <f t="shared" si="1"/>
        <v>522.58064516129025</v>
      </c>
      <c r="E35" s="223">
        <v>2</v>
      </c>
      <c r="F35" s="1270">
        <f t="shared" si="2"/>
        <v>400</v>
      </c>
      <c r="G35" s="223">
        <v>0</v>
      </c>
      <c r="H35" s="1272">
        <f t="shared" si="3"/>
        <v>0</v>
      </c>
      <c r="J35" s="1268" t="s">
        <v>947</v>
      </c>
      <c r="K35" s="1269">
        <v>1</v>
      </c>
      <c r="L35" s="1273"/>
      <c r="M35" s="223">
        <v>0</v>
      </c>
      <c r="N35" s="223">
        <v>0</v>
      </c>
      <c r="O35" s="1262" t="s">
        <v>1924</v>
      </c>
    </row>
    <row r="36" spans="1:20">
      <c r="A36" s="1257">
        <v>31</v>
      </c>
      <c r="B36" s="223">
        <v>4</v>
      </c>
      <c r="C36" s="1270">
        <f t="shared" si="0"/>
        <v>8.1</v>
      </c>
      <c r="D36" s="1271">
        <f t="shared" si="1"/>
        <v>522.58064516129025</v>
      </c>
      <c r="E36" s="223">
        <v>1</v>
      </c>
      <c r="F36" s="1270">
        <f t="shared" si="2"/>
        <v>200</v>
      </c>
      <c r="G36" s="223">
        <v>0</v>
      </c>
      <c r="H36" s="1272">
        <f t="shared" si="3"/>
        <v>0</v>
      </c>
      <c r="J36" s="1268" t="s">
        <v>1743</v>
      </c>
      <c r="K36" s="1269">
        <f>IF(prPlt=0,1,M43+1)</f>
        <v>29</v>
      </c>
      <c r="L36" s="1273"/>
      <c r="M36" s="1269">
        <f>IF(prPls=0,1,(M32-M33)/M34+2)</f>
        <v>1</v>
      </c>
      <c r="N36" s="1269">
        <f>IF(prRBC=0,1,(N32-N33)/N34+2)</f>
        <v>1</v>
      </c>
    </row>
    <row r="37" spans="1:20">
      <c r="A37" s="1257">
        <v>32</v>
      </c>
      <c r="B37" s="223">
        <v>4</v>
      </c>
      <c r="C37" s="1270">
        <f t="shared" si="0"/>
        <v>8.1</v>
      </c>
      <c r="D37" s="1271">
        <f t="shared" si="1"/>
        <v>522.58064516129025</v>
      </c>
      <c r="E37" s="223">
        <v>0</v>
      </c>
      <c r="F37" s="1270">
        <f t="shared" si="2"/>
        <v>0</v>
      </c>
      <c r="G37" s="223">
        <v>0</v>
      </c>
      <c r="H37" s="1272">
        <f t="shared" si="3"/>
        <v>0</v>
      </c>
      <c r="J37" s="1268" t="s">
        <v>1744</v>
      </c>
      <c r="K37" s="1269">
        <f>K36*M36*N36</f>
        <v>29</v>
      </c>
    </row>
    <row r="38" spans="1:20">
      <c r="A38" s="1257">
        <v>33</v>
      </c>
      <c r="B38" s="223">
        <v>5</v>
      </c>
      <c r="C38" s="1270">
        <f t="shared" si="0"/>
        <v>7.3</v>
      </c>
      <c r="D38" s="1271">
        <f t="shared" si="1"/>
        <v>470.9677419354839</v>
      </c>
      <c r="E38" s="223">
        <v>3</v>
      </c>
      <c r="F38" s="1270">
        <f t="shared" si="2"/>
        <v>600</v>
      </c>
      <c r="G38" s="223">
        <v>1</v>
      </c>
      <c r="H38" s="1272">
        <f t="shared" si="3"/>
        <v>200</v>
      </c>
    </row>
    <row r="39" spans="1:20">
      <c r="A39" s="1257">
        <v>34</v>
      </c>
      <c r="B39" s="223">
        <v>5</v>
      </c>
      <c r="C39" s="1270">
        <f t="shared" si="0"/>
        <v>7.3</v>
      </c>
      <c r="D39" s="1271">
        <f t="shared" si="1"/>
        <v>470.9677419354839</v>
      </c>
      <c r="E39" s="223">
        <v>2</v>
      </c>
      <c r="F39" s="1270">
        <f t="shared" si="2"/>
        <v>400</v>
      </c>
      <c r="G39" s="223">
        <v>1</v>
      </c>
      <c r="H39" s="1272">
        <f t="shared" si="3"/>
        <v>200</v>
      </c>
      <c r="J39" s="1250" t="s">
        <v>1747</v>
      </c>
    </row>
    <row r="40" spans="1:20">
      <c r="A40" s="1257">
        <v>35</v>
      </c>
      <c r="B40" s="223">
        <v>5</v>
      </c>
      <c r="C40" s="1270">
        <f t="shared" si="0"/>
        <v>7.3</v>
      </c>
      <c r="D40" s="1271">
        <f t="shared" si="1"/>
        <v>470.9677419354839</v>
      </c>
      <c r="E40" s="223">
        <v>1</v>
      </c>
      <c r="F40" s="1270">
        <f t="shared" si="2"/>
        <v>200</v>
      </c>
      <c r="G40" s="223">
        <v>1</v>
      </c>
      <c r="H40" s="1272">
        <f t="shared" si="3"/>
        <v>200</v>
      </c>
      <c r="K40" s="970" t="s">
        <v>1737</v>
      </c>
      <c r="L40" s="970" t="s">
        <v>1738</v>
      </c>
    </row>
    <row r="41" spans="1:20">
      <c r="A41" s="1257">
        <v>36</v>
      </c>
      <c r="B41" s="223">
        <v>5</v>
      </c>
      <c r="C41" s="1270">
        <f t="shared" si="0"/>
        <v>7.3</v>
      </c>
      <c r="D41" s="1271">
        <f t="shared" si="1"/>
        <v>470.9677419354839</v>
      </c>
      <c r="E41" s="223">
        <v>0</v>
      </c>
      <c r="F41" s="1270">
        <f t="shared" si="2"/>
        <v>0</v>
      </c>
      <c r="G41" s="223">
        <v>1</v>
      </c>
      <c r="H41" s="1272">
        <f t="shared" si="3"/>
        <v>200</v>
      </c>
      <c r="J41" s="1258" t="s">
        <v>1123</v>
      </c>
      <c r="K41" s="1282">
        <v>3</v>
      </c>
      <c r="L41" s="1282">
        <v>4.2</v>
      </c>
      <c r="M41" s="1284"/>
    </row>
    <row r="42" spans="1:20">
      <c r="A42" s="1257">
        <v>37</v>
      </c>
      <c r="B42" s="223">
        <v>5</v>
      </c>
      <c r="C42" s="1270">
        <f t="shared" si="0"/>
        <v>7.3</v>
      </c>
      <c r="D42" s="1271">
        <f t="shared" si="1"/>
        <v>470.9677419354839</v>
      </c>
      <c r="E42" s="223">
        <v>3</v>
      </c>
      <c r="F42" s="1270">
        <f t="shared" si="2"/>
        <v>600</v>
      </c>
      <c r="G42" s="223">
        <v>0</v>
      </c>
      <c r="H42" s="1272">
        <f t="shared" si="3"/>
        <v>0</v>
      </c>
      <c r="J42" s="1260" t="s">
        <v>1748</v>
      </c>
      <c r="K42" s="1282">
        <v>6.2</v>
      </c>
      <c r="L42" s="1282">
        <v>8</v>
      </c>
      <c r="M42" s="1285" t="s">
        <v>1750</v>
      </c>
    </row>
    <row r="43" spans="1:20">
      <c r="A43" s="1257">
        <v>38</v>
      </c>
      <c r="B43" s="223">
        <v>5</v>
      </c>
      <c r="C43" s="1270">
        <f t="shared" si="0"/>
        <v>7.3</v>
      </c>
      <c r="D43" s="1271">
        <f t="shared" si="1"/>
        <v>470.9677419354839</v>
      </c>
      <c r="E43" s="223">
        <v>2</v>
      </c>
      <c r="F43" s="1270">
        <f t="shared" si="2"/>
        <v>400</v>
      </c>
      <c r="G43" s="223">
        <v>0</v>
      </c>
      <c r="H43" s="1272">
        <f t="shared" si="3"/>
        <v>0</v>
      </c>
      <c r="J43" s="1261" t="s">
        <v>1749</v>
      </c>
      <c r="K43" s="1282">
        <v>9.4</v>
      </c>
      <c r="L43" s="1282">
        <v>11.4</v>
      </c>
      <c r="M43" s="1269">
        <f>SUM(L41-K41,L42-K42,L43-K43)/stepPlt+3</f>
        <v>28</v>
      </c>
    </row>
    <row r="44" spans="1:20">
      <c r="A44" s="1257">
        <v>39</v>
      </c>
      <c r="B44" s="223">
        <v>5</v>
      </c>
      <c r="C44" s="1270">
        <f t="shared" si="0"/>
        <v>7.3</v>
      </c>
      <c r="D44" s="1271">
        <f t="shared" si="1"/>
        <v>470.9677419354839</v>
      </c>
      <c r="E44" s="223">
        <v>1</v>
      </c>
      <c r="F44" s="1270">
        <f t="shared" si="2"/>
        <v>200</v>
      </c>
      <c r="G44" s="223">
        <v>0</v>
      </c>
      <c r="H44" s="1272">
        <f t="shared" si="3"/>
        <v>0</v>
      </c>
      <c r="M44" s="1284"/>
    </row>
    <row r="45" spans="1:20">
      <c r="A45" s="1257">
        <v>40</v>
      </c>
      <c r="B45" s="223">
        <v>5</v>
      </c>
      <c r="C45" s="1270">
        <f t="shared" si="0"/>
        <v>7.3</v>
      </c>
      <c r="D45" s="1271">
        <f t="shared" si="1"/>
        <v>470.9677419354839</v>
      </c>
      <c r="E45" s="223">
        <v>0</v>
      </c>
      <c r="F45" s="1270">
        <f t="shared" si="2"/>
        <v>0</v>
      </c>
      <c r="G45" s="223">
        <v>0</v>
      </c>
      <c r="H45" s="1272">
        <f t="shared" si="3"/>
        <v>0</v>
      </c>
    </row>
    <row r="46" spans="1:20" ht="13.5" thickBot="1">
      <c r="A46" s="1257">
        <v>41</v>
      </c>
      <c r="B46" s="223">
        <v>6</v>
      </c>
      <c r="C46" s="1270">
        <f t="shared" si="0"/>
        <v>7.1</v>
      </c>
      <c r="D46" s="1271">
        <f t="shared" si="1"/>
        <v>458.06451612903226</v>
      </c>
      <c r="E46" s="223">
        <v>3</v>
      </c>
      <c r="F46" s="1270">
        <f t="shared" si="2"/>
        <v>600</v>
      </c>
      <c r="G46" s="223">
        <v>1</v>
      </c>
      <c r="H46" s="1272">
        <f t="shared" si="3"/>
        <v>200</v>
      </c>
      <c r="J46" s="1250" t="s">
        <v>1751</v>
      </c>
      <c r="Q46" s="855" t="s">
        <v>1753</v>
      </c>
    </row>
    <row r="47" spans="1:20" ht="13.5" thickBot="1">
      <c r="A47" s="1257">
        <v>42</v>
      </c>
      <c r="B47" s="223">
        <v>6</v>
      </c>
      <c r="C47" s="1270">
        <f t="shared" si="0"/>
        <v>7.1</v>
      </c>
      <c r="D47" s="1271">
        <f t="shared" si="1"/>
        <v>458.06451612903226</v>
      </c>
      <c r="E47" s="223">
        <v>2</v>
      </c>
      <c r="F47" s="1270">
        <f t="shared" si="2"/>
        <v>400</v>
      </c>
      <c r="G47" s="223">
        <v>1</v>
      </c>
      <c r="H47" s="1272">
        <f t="shared" si="3"/>
        <v>200</v>
      </c>
      <c r="J47" s="1279" t="s">
        <v>1745</v>
      </c>
      <c r="K47" s="1280" t="s">
        <v>1730</v>
      </c>
      <c r="L47" s="1280" t="s">
        <v>1731</v>
      </c>
      <c r="M47" s="1280" t="s">
        <v>1746</v>
      </c>
      <c r="N47" s="1281" t="s">
        <v>893</v>
      </c>
      <c r="Q47" s="550" t="s">
        <v>19</v>
      </c>
      <c r="R47" s="554" t="s">
        <v>1067</v>
      </c>
      <c r="S47" s="551" t="s">
        <v>1068</v>
      </c>
      <c r="T47" s="553" t="s">
        <v>21</v>
      </c>
    </row>
    <row r="48" spans="1:20">
      <c r="A48" s="1257">
        <v>43</v>
      </c>
      <c r="B48" s="223">
        <v>6</v>
      </c>
      <c r="C48" s="1270">
        <f t="shared" si="0"/>
        <v>7.1</v>
      </c>
      <c r="D48" s="1271">
        <f t="shared" si="1"/>
        <v>458.06451612903226</v>
      </c>
      <c r="E48" s="223">
        <v>1</v>
      </c>
      <c r="F48" s="1270">
        <f t="shared" si="2"/>
        <v>200</v>
      </c>
      <c r="G48" s="223">
        <v>1</v>
      </c>
      <c r="H48" s="1272">
        <f t="shared" si="3"/>
        <v>200</v>
      </c>
      <c r="J48" s="1257">
        <v>0</v>
      </c>
      <c r="K48" s="1274">
        <v>11.399999618530273</v>
      </c>
      <c r="L48" s="1274">
        <v>735.48382568359375</v>
      </c>
      <c r="M48" s="1274">
        <v>3</v>
      </c>
      <c r="N48" s="1275">
        <v>1</v>
      </c>
      <c r="P48" s="1274"/>
      <c r="Q48" s="763">
        <v>3.7999999523162842</v>
      </c>
      <c r="R48" s="761">
        <v>248.89250183105469</v>
      </c>
      <c r="S48" s="417">
        <v>0</v>
      </c>
      <c r="T48" s="414">
        <v>250</v>
      </c>
    </row>
    <row r="49" spans="1:20">
      <c r="A49" s="1257">
        <v>44</v>
      </c>
      <c r="B49" s="223">
        <v>6</v>
      </c>
      <c r="C49" s="1270">
        <f t="shared" si="0"/>
        <v>7.1</v>
      </c>
      <c r="D49" s="1271">
        <f t="shared" si="1"/>
        <v>458.06451612903226</v>
      </c>
      <c r="E49" s="223">
        <v>0</v>
      </c>
      <c r="F49" s="1270">
        <f t="shared" si="2"/>
        <v>0</v>
      </c>
      <c r="G49" s="223">
        <v>1</v>
      </c>
      <c r="H49" s="1272">
        <f t="shared" si="3"/>
        <v>200</v>
      </c>
      <c r="J49" s="1257">
        <v>1</v>
      </c>
      <c r="K49" s="1274">
        <v>11.399999618530273</v>
      </c>
      <c r="L49" s="1274">
        <v>735.48382568359375</v>
      </c>
      <c r="M49" s="1274">
        <v>2</v>
      </c>
      <c r="N49" s="1275">
        <v>1</v>
      </c>
      <c r="P49" s="1274"/>
      <c r="Q49" s="574">
        <v>4</v>
      </c>
      <c r="R49" s="573">
        <v>260.32882690429687</v>
      </c>
      <c r="S49" s="307">
        <v>200</v>
      </c>
      <c r="T49" s="292">
        <v>250</v>
      </c>
    </row>
    <row r="50" spans="1:20">
      <c r="A50" s="1257">
        <v>45</v>
      </c>
      <c r="B50" s="223">
        <v>6</v>
      </c>
      <c r="C50" s="1270">
        <f t="shared" si="0"/>
        <v>7.1</v>
      </c>
      <c r="D50" s="1271">
        <f t="shared" si="1"/>
        <v>458.06451612903226</v>
      </c>
      <c r="E50" s="223">
        <v>3</v>
      </c>
      <c r="F50" s="1270">
        <f t="shared" si="2"/>
        <v>600</v>
      </c>
      <c r="G50" s="223">
        <v>0</v>
      </c>
      <c r="H50" s="1272">
        <f t="shared" si="3"/>
        <v>0</v>
      </c>
      <c r="J50" s="1257">
        <v>2</v>
      </c>
      <c r="K50" s="1274">
        <v>11.399999618530273</v>
      </c>
      <c r="L50" s="1274">
        <v>735.48382568359375</v>
      </c>
      <c r="M50" s="1274">
        <v>1</v>
      </c>
      <c r="N50" s="1275">
        <v>1</v>
      </c>
      <c r="P50" s="1274"/>
      <c r="Q50" s="574">
        <v>4.1999998092651367</v>
      </c>
      <c r="R50" s="573">
        <v>270.96774291992187</v>
      </c>
      <c r="S50" s="307">
        <v>0</v>
      </c>
      <c r="T50" s="292">
        <v>250</v>
      </c>
    </row>
    <row r="51" spans="1:20">
      <c r="A51" s="1257">
        <v>46</v>
      </c>
      <c r="B51" s="223">
        <v>6</v>
      </c>
      <c r="C51" s="1270">
        <f t="shared" si="0"/>
        <v>7.1</v>
      </c>
      <c r="D51" s="1271">
        <f t="shared" si="1"/>
        <v>458.06451612903226</v>
      </c>
      <c r="E51" s="223">
        <v>2</v>
      </c>
      <c r="F51" s="1270">
        <f t="shared" si="2"/>
        <v>400</v>
      </c>
      <c r="G51" s="223">
        <v>0</v>
      </c>
      <c r="H51" s="1272">
        <f t="shared" si="3"/>
        <v>0</v>
      </c>
      <c r="J51" s="1257">
        <v>3</v>
      </c>
      <c r="K51" s="1274">
        <v>11.399999618530273</v>
      </c>
      <c r="L51" s="1274">
        <v>735.48382568359375</v>
      </c>
      <c r="M51" s="1274">
        <v>0</v>
      </c>
      <c r="N51" s="1275">
        <v>1</v>
      </c>
      <c r="P51" s="1274"/>
      <c r="Q51" s="574">
        <v>4.1999998092651367</v>
      </c>
      <c r="R51" s="573">
        <v>270.87261962890625</v>
      </c>
      <c r="S51" s="307">
        <v>200</v>
      </c>
      <c r="T51" s="292">
        <v>250</v>
      </c>
    </row>
    <row r="52" spans="1:20">
      <c r="A52" s="1257">
        <v>47</v>
      </c>
      <c r="B52" s="223">
        <v>6</v>
      </c>
      <c r="C52" s="1270">
        <f t="shared" si="0"/>
        <v>7.1</v>
      </c>
      <c r="D52" s="1271">
        <f t="shared" si="1"/>
        <v>458.06451612903226</v>
      </c>
      <c r="E52" s="223">
        <v>1</v>
      </c>
      <c r="F52" s="1270">
        <f t="shared" si="2"/>
        <v>200</v>
      </c>
      <c r="G52" s="223">
        <v>0</v>
      </c>
      <c r="H52" s="1272">
        <f t="shared" si="3"/>
        <v>0</v>
      </c>
      <c r="J52" s="1257">
        <v>4</v>
      </c>
      <c r="K52" s="1274">
        <v>11.399999618530273</v>
      </c>
      <c r="L52" s="1274">
        <v>735.48382568359375</v>
      </c>
      <c r="M52" s="1274">
        <v>3</v>
      </c>
      <c r="N52" s="1275">
        <v>0</v>
      </c>
      <c r="P52" s="1274"/>
      <c r="Q52" s="574">
        <v>4.1999998092651367</v>
      </c>
      <c r="R52" s="573">
        <v>270.779296875</v>
      </c>
      <c r="S52" s="307">
        <v>200</v>
      </c>
      <c r="T52" s="292">
        <v>250</v>
      </c>
    </row>
    <row r="53" spans="1:20" ht="13.5" thickBot="1">
      <c r="A53" s="1257">
        <v>48</v>
      </c>
      <c r="B53" s="223">
        <v>6</v>
      </c>
      <c r="C53" s="1270">
        <f t="shared" si="0"/>
        <v>7.1</v>
      </c>
      <c r="D53" s="1271">
        <f t="shared" si="1"/>
        <v>458.06451612903226</v>
      </c>
      <c r="E53" s="223">
        <v>0</v>
      </c>
      <c r="F53" s="1270">
        <f t="shared" si="2"/>
        <v>0</v>
      </c>
      <c r="G53" s="223">
        <v>0</v>
      </c>
      <c r="H53" s="1272">
        <f t="shared" si="3"/>
        <v>0</v>
      </c>
      <c r="J53" s="1257">
        <v>5</v>
      </c>
      <c r="K53" s="1274">
        <v>11.399999618530273</v>
      </c>
      <c r="L53" s="1274">
        <v>735.48382568359375</v>
      </c>
      <c r="M53" s="1274">
        <v>2</v>
      </c>
      <c r="N53" s="1275">
        <v>0</v>
      </c>
      <c r="P53" s="1274"/>
      <c r="Q53" s="1286"/>
      <c r="R53" s="1274"/>
      <c r="S53" s="1274"/>
    </row>
    <row r="54" spans="1:20" ht="13.5" thickBot="1">
      <c r="A54" s="1257">
        <v>49</v>
      </c>
      <c r="B54" s="223">
        <v>7</v>
      </c>
      <c r="C54" s="1270">
        <f t="shared" si="0"/>
        <v>4</v>
      </c>
      <c r="D54" s="1271">
        <f t="shared" si="1"/>
        <v>258.06451612903226</v>
      </c>
      <c r="E54" s="223">
        <v>3</v>
      </c>
      <c r="F54" s="1270">
        <f t="shared" si="2"/>
        <v>600</v>
      </c>
      <c r="G54" s="223">
        <v>1</v>
      </c>
      <c r="H54" s="1272">
        <f t="shared" si="3"/>
        <v>200</v>
      </c>
      <c r="J54" s="1257">
        <v>6</v>
      </c>
      <c r="K54" s="1274">
        <v>11.399999618530273</v>
      </c>
      <c r="L54" s="1274">
        <v>735.48382568359375</v>
      </c>
      <c r="M54" s="1274">
        <v>1</v>
      </c>
      <c r="N54" s="1275">
        <v>0</v>
      </c>
      <c r="P54" s="1274"/>
      <c r="Q54" s="550" t="s">
        <v>19</v>
      </c>
      <c r="R54" s="554" t="s">
        <v>1067</v>
      </c>
      <c r="S54" s="551" t="s">
        <v>1068</v>
      </c>
      <c r="T54" s="553" t="s">
        <v>21</v>
      </c>
    </row>
    <row r="55" spans="1:20">
      <c r="A55" s="1257">
        <v>50</v>
      </c>
      <c r="B55" s="223">
        <v>7</v>
      </c>
      <c r="C55" s="1270">
        <f t="shared" si="0"/>
        <v>4</v>
      </c>
      <c r="D55" s="1271">
        <f t="shared" si="1"/>
        <v>258.06451612903226</v>
      </c>
      <c r="E55" s="223">
        <v>2</v>
      </c>
      <c r="F55" s="1270">
        <f t="shared" si="2"/>
        <v>400</v>
      </c>
      <c r="G55" s="223">
        <v>1</v>
      </c>
      <c r="H55" s="1272">
        <f t="shared" si="3"/>
        <v>200</v>
      </c>
      <c r="J55" s="1257">
        <v>7</v>
      </c>
      <c r="K55" s="1274">
        <v>11.399999618530273</v>
      </c>
      <c r="L55" s="1274">
        <v>735.48382568359375</v>
      </c>
      <c r="M55" s="1274">
        <v>0</v>
      </c>
      <c r="N55" s="1275">
        <v>0</v>
      </c>
      <c r="P55" s="1274"/>
      <c r="Q55" s="763">
        <v>4.1999998092651367</v>
      </c>
      <c r="R55" s="761">
        <v>275.0308837890625</v>
      </c>
      <c r="S55" s="417">
        <v>200</v>
      </c>
      <c r="T55" s="414" t="s">
        <v>1285</v>
      </c>
    </row>
    <row r="56" spans="1:20">
      <c r="A56" s="1257">
        <v>51</v>
      </c>
      <c r="B56" s="223">
        <v>7</v>
      </c>
      <c r="C56" s="1270">
        <f t="shared" si="0"/>
        <v>4</v>
      </c>
      <c r="D56" s="1271">
        <f t="shared" si="1"/>
        <v>258.06451612903226</v>
      </c>
      <c r="E56" s="223">
        <v>1</v>
      </c>
      <c r="F56" s="1270">
        <f t="shared" si="2"/>
        <v>200</v>
      </c>
      <c r="G56" s="223">
        <v>1</v>
      </c>
      <c r="H56" s="1272">
        <f t="shared" si="3"/>
        <v>200</v>
      </c>
      <c r="J56" s="1257">
        <v>8</v>
      </c>
      <c r="K56" s="1274">
        <v>11.199999809265137</v>
      </c>
      <c r="L56" s="1274">
        <v>722.58062744140625</v>
      </c>
      <c r="M56" s="1274">
        <v>3</v>
      </c>
      <c r="N56" s="1275">
        <v>1</v>
      </c>
      <c r="Q56" s="574">
        <v>4.1999998092651367</v>
      </c>
      <c r="R56" s="573">
        <v>273.14309692382812</v>
      </c>
      <c r="S56" s="307">
        <v>200</v>
      </c>
      <c r="T56" s="292">
        <v>250</v>
      </c>
    </row>
    <row r="57" spans="1:20">
      <c r="A57" s="1257">
        <v>52</v>
      </c>
      <c r="B57" s="223">
        <v>7</v>
      </c>
      <c r="C57" s="1270">
        <f t="shared" si="0"/>
        <v>4</v>
      </c>
      <c r="D57" s="1271">
        <f t="shared" si="1"/>
        <v>258.06451612903226</v>
      </c>
      <c r="E57" s="223">
        <v>0</v>
      </c>
      <c r="F57" s="1270">
        <f t="shared" si="2"/>
        <v>0</v>
      </c>
      <c r="G57" s="223">
        <v>1</v>
      </c>
      <c r="H57" s="1272">
        <f t="shared" si="3"/>
        <v>200</v>
      </c>
      <c r="J57" s="1257">
        <v>9</v>
      </c>
      <c r="K57" s="1274">
        <v>11.199999809265137</v>
      </c>
      <c r="L57" s="1274">
        <v>722.58062744140625</v>
      </c>
      <c r="M57" s="1274">
        <v>2</v>
      </c>
      <c r="N57" s="1275">
        <v>1</v>
      </c>
      <c r="Q57" s="574">
        <v>6.1999998092651367</v>
      </c>
      <c r="R57" s="573">
        <v>406.09097290039062</v>
      </c>
      <c r="S57" s="307">
        <v>0</v>
      </c>
      <c r="T57" s="292" t="s">
        <v>1285</v>
      </c>
    </row>
    <row r="58" spans="1:20">
      <c r="A58" s="1257">
        <v>53</v>
      </c>
      <c r="B58" s="223">
        <v>7</v>
      </c>
      <c r="C58" s="1270">
        <f t="shared" si="0"/>
        <v>4</v>
      </c>
      <c r="D58" s="1271">
        <f t="shared" si="1"/>
        <v>258.06451612903226</v>
      </c>
      <c r="E58" s="223">
        <v>3</v>
      </c>
      <c r="F58" s="1270">
        <f t="shared" si="2"/>
        <v>600</v>
      </c>
      <c r="G58" s="223">
        <v>0</v>
      </c>
      <c r="H58" s="1272">
        <f t="shared" si="3"/>
        <v>0</v>
      </c>
      <c r="J58" s="1257">
        <v>10</v>
      </c>
      <c r="K58" s="1274">
        <v>11.199999809265137</v>
      </c>
      <c r="L58" s="1274">
        <v>722.58062744140625</v>
      </c>
      <c r="M58" s="1274">
        <v>1</v>
      </c>
      <c r="N58" s="1275">
        <v>1</v>
      </c>
      <c r="Q58" s="574">
        <v>7</v>
      </c>
      <c r="R58" s="573">
        <v>455.17315673828125</v>
      </c>
      <c r="S58" s="307">
        <v>400</v>
      </c>
      <c r="T58" s="292" t="s">
        <v>1285</v>
      </c>
    </row>
    <row r="59" spans="1:20">
      <c r="A59" s="1257">
        <v>54</v>
      </c>
      <c r="B59" s="223">
        <v>7</v>
      </c>
      <c r="C59" s="1270">
        <f t="shared" si="0"/>
        <v>4</v>
      </c>
      <c r="D59" s="1271">
        <f t="shared" si="1"/>
        <v>258.06451612903226</v>
      </c>
      <c r="E59" s="223">
        <v>2</v>
      </c>
      <c r="F59" s="1270">
        <f t="shared" si="2"/>
        <v>400</v>
      </c>
      <c r="G59" s="223">
        <v>0</v>
      </c>
      <c r="H59" s="1272">
        <f t="shared" si="3"/>
        <v>0</v>
      </c>
      <c r="J59" s="1257">
        <v>11</v>
      </c>
      <c r="K59" s="1274">
        <v>11.199999809265137</v>
      </c>
      <c r="L59" s="1274">
        <v>722.58062744140625</v>
      </c>
      <c r="M59" s="1274">
        <v>0</v>
      </c>
      <c r="N59" s="1275">
        <v>1</v>
      </c>
      <c r="Q59" s="574">
        <v>6.4000000953674316</v>
      </c>
      <c r="R59" s="573">
        <v>416.27203369140625</v>
      </c>
      <c r="S59" s="307">
        <v>200</v>
      </c>
      <c r="T59" s="292" t="s">
        <v>1285</v>
      </c>
    </row>
    <row r="60" spans="1:20">
      <c r="A60" s="1257">
        <v>55</v>
      </c>
      <c r="B60" s="223">
        <v>7</v>
      </c>
      <c r="C60" s="1270">
        <f t="shared" si="0"/>
        <v>4</v>
      </c>
      <c r="D60" s="1271">
        <f t="shared" si="1"/>
        <v>258.06451612903226</v>
      </c>
      <c r="E60" s="223">
        <v>1</v>
      </c>
      <c r="F60" s="1270">
        <f t="shared" si="2"/>
        <v>200</v>
      </c>
      <c r="G60" s="223">
        <v>0</v>
      </c>
      <c r="H60" s="1272">
        <f t="shared" si="3"/>
        <v>0</v>
      </c>
      <c r="J60" s="1257">
        <v>12</v>
      </c>
      <c r="K60" s="1274">
        <v>11.199999809265137</v>
      </c>
      <c r="L60" s="1274">
        <v>722.58062744140625</v>
      </c>
      <c r="M60" s="1274">
        <v>3</v>
      </c>
      <c r="N60" s="1275">
        <v>0</v>
      </c>
    </row>
    <row r="61" spans="1:20">
      <c r="A61" s="1257">
        <v>56</v>
      </c>
      <c r="B61" s="223">
        <v>7</v>
      </c>
      <c r="C61" s="1270">
        <f t="shared" si="0"/>
        <v>4</v>
      </c>
      <c r="D61" s="1271">
        <f t="shared" si="1"/>
        <v>258.06451612903226</v>
      </c>
      <c r="E61" s="223">
        <v>0</v>
      </c>
      <c r="F61" s="1270">
        <f t="shared" si="2"/>
        <v>0</v>
      </c>
      <c r="G61" s="223">
        <v>0</v>
      </c>
      <c r="H61" s="1272">
        <f t="shared" si="3"/>
        <v>0</v>
      </c>
      <c r="J61" s="1257">
        <v>13</v>
      </c>
      <c r="K61" s="1274">
        <v>11.199999809265137</v>
      </c>
      <c r="L61" s="1274">
        <v>722.58062744140625</v>
      </c>
      <c r="M61" s="1274">
        <v>2</v>
      </c>
      <c r="N61" s="1275">
        <v>0</v>
      </c>
    </row>
    <row r="62" spans="1:20">
      <c r="A62" s="1257">
        <v>57</v>
      </c>
      <c r="B62" s="223">
        <v>0</v>
      </c>
      <c r="C62" s="1270">
        <f t="shared" si="0"/>
        <v>0</v>
      </c>
      <c r="D62" s="1271">
        <f t="shared" si="1"/>
        <v>0</v>
      </c>
      <c r="E62" s="223">
        <v>3</v>
      </c>
      <c r="F62" s="1270">
        <f t="shared" si="2"/>
        <v>600</v>
      </c>
      <c r="G62" s="223">
        <v>1</v>
      </c>
      <c r="H62" s="1272">
        <f t="shared" si="3"/>
        <v>200</v>
      </c>
      <c r="J62" s="1257">
        <v>14</v>
      </c>
      <c r="K62" s="1274">
        <v>11.199999809265137</v>
      </c>
      <c r="L62" s="1274">
        <v>722.58062744140625</v>
      </c>
      <c r="M62" s="1274">
        <v>1</v>
      </c>
      <c r="N62" s="1275">
        <v>0</v>
      </c>
    </row>
    <row r="63" spans="1:20">
      <c r="A63" s="1257">
        <v>58</v>
      </c>
      <c r="B63" s="223">
        <v>0</v>
      </c>
      <c r="C63" s="1270">
        <f t="shared" si="0"/>
        <v>0</v>
      </c>
      <c r="D63" s="1271">
        <f t="shared" si="1"/>
        <v>0</v>
      </c>
      <c r="E63" s="223">
        <v>2</v>
      </c>
      <c r="F63" s="1270">
        <f t="shared" si="2"/>
        <v>400</v>
      </c>
      <c r="G63" s="223">
        <v>1</v>
      </c>
      <c r="H63" s="1272">
        <f t="shared" si="3"/>
        <v>200</v>
      </c>
      <c r="J63" s="1257">
        <v>15</v>
      </c>
      <c r="K63" s="1274">
        <v>11.199999809265137</v>
      </c>
      <c r="L63" s="1274">
        <v>722.58062744140625</v>
      </c>
      <c r="M63" s="1274">
        <v>0</v>
      </c>
      <c r="N63" s="1275">
        <v>0</v>
      </c>
    </row>
    <row r="64" spans="1:20">
      <c r="A64" s="1257">
        <v>59</v>
      </c>
      <c r="B64" s="223">
        <v>0</v>
      </c>
      <c r="C64" s="1270">
        <f t="shared" si="0"/>
        <v>0</v>
      </c>
      <c r="D64" s="1271">
        <f t="shared" si="1"/>
        <v>0</v>
      </c>
      <c r="E64" s="223">
        <v>1</v>
      </c>
      <c r="F64" s="1270">
        <f t="shared" si="2"/>
        <v>200</v>
      </c>
      <c r="G64" s="223">
        <v>1</v>
      </c>
      <c r="H64" s="1272">
        <f t="shared" si="3"/>
        <v>200</v>
      </c>
      <c r="J64" s="1257">
        <v>16</v>
      </c>
      <c r="K64" s="1274">
        <v>11</v>
      </c>
      <c r="L64" s="1274">
        <v>709.67742919921875</v>
      </c>
      <c r="M64" s="1274">
        <v>3</v>
      </c>
      <c r="N64" s="1275">
        <v>1</v>
      </c>
    </row>
    <row r="65" spans="1:14">
      <c r="A65" s="1257">
        <v>60</v>
      </c>
      <c r="B65" s="223">
        <v>0</v>
      </c>
      <c r="C65" s="1270">
        <f t="shared" si="0"/>
        <v>0</v>
      </c>
      <c r="D65" s="1271">
        <f t="shared" si="1"/>
        <v>0</v>
      </c>
      <c r="E65" s="223">
        <v>0</v>
      </c>
      <c r="F65" s="1270">
        <f t="shared" si="2"/>
        <v>0</v>
      </c>
      <c r="G65" s="223">
        <v>2</v>
      </c>
      <c r="H65" s="1272">
        <f t="shared" si="3"/>
        <v>400</v>
      </c>
      <c r="J65" s="1257">
        <v>17</v>
      </c>
      <c r="K65" s="1274">
        <v>11</v>
      </c>
      <c r="L65" s="1274">
        <v>709.67742919921875</v>
      </c>
      <c r="M65" s="1274">
        <v>2</v>
      </c>
      <c r="N65" s="1275">
        <v>1</v>
      </c>
    </row>
    <row r="66" spans="1:14">
      <c r="A66" s="1257">
        <v>61</v>
      </c>
      <c r="B66" s="223">
        <v>0</v>
      </c>
      <c r="C66" s="1270">
        <f t="shared" si="0"/>
        <v>0</v>
      </c>
      <c r="D66" s="1271">
        <f t="shared" si="1"/>
        <v>0</v>
      </c>
      <c r="E66" s="223">
        <v>0</v>
      </c>
      <c r="F66" s="1270">
        <f t="shared" si="2"/>
        <v>0</v>
      </c>
      <c r="G66" s="223">
        <v>1</v>
      </c>
      <c r="H66" s="1272">
        <f t="shared" si="3"/>
        <v>200</v>
      </c>
      <c r="J66" s="1257">
        <v>18</v>
      </c>
      <c r="K66" s="1274">
        <v>11</v>
      </c>
      <c r="L66" s="1274">
        <v>709.67742919921875</v>
      </c>
      <c r="M66" s="1274">
        <v>1</v>
      </c>
      <c r="N66" s="1275">
        <v>1</v>
      </c>
    </row>
    <row r="67" spans="1:14">
      <c r="A67" s="1257">
        <v>62</v>
      </c>
      <c r="B67" s="223">
        <v>0</v>
      </c>
      <c r="C67" s="1270">
        <f t="shared" si="0"/>
        <v>0</v>
      </c>
      <c r="D67" s="1271">
        <f t="shared" si="1"/>
        <v>0</v>
      </c>
      <c r="E67" s="223">
        <v>3</v>
      </c>
      <c r="F67" s="1270">
        <f t="shared" si="2"/>
        <v>600</v>
      </c>
      <c r="G67" s="223">
        <v>0</v>
      </c>
      <c r="H67" s="1272">
        <f t="shared" si="3"/>
        <v>0</v>
      </c>
      <c r="J67" s="1257">
        <v>19</v>
      </c>
      <c r="K67" s="1274">
        <v>11</v>
      </c>
      <c r="L67" s="1274">
        <v>709.67742919921875</v>
      </c>
      <c r="M67" s="1274">
        <v>0</v>
      </c>
      <c r="N67" s="1275">
        <v>1</v>
      </c>
    </row>
    <row r="68" spans="1:14">
      <c r="A68" s="1257">
        <v>63</v>
      </c>
      <c r="B68" s="223">
        <v>0</v>
      </c>
      <c r="C68" s="1270">
        <f t="shared" si="0"/>
        <v>0</v>
      </c>
      <c r="D68" s="1271">
        <f t="shared" si="1"/>
        <v>0</v>
      </c>
      <c r="E68" s="223">
        <v>2</v>
      </c>
      <c r="F68" s="1270">
        <f t="shared" si="2"/>
        <v>400</v>
      </c>
      <c r="G68" s="223">
        <v>0</v>
      </c>
      <c r="H68" s="1272">
        <f t="shared" si="3"/>
        <v>0</v>
      </c>
      <c r="J68" s="1257">
        <v>20</v>
      </c>
      <c r="K68" s="1274">
        <v>11</v>
      </c>
      <c r="L68" s="1274">
        <v>709.67742919921875</v>
      </c>
      <c r="M68" s="1274">
        <v>3</v>
      </c>
      <c r="N68" s="1275">
        <v>0</v>
      </c>
    </row>
    <row r="69" spans="1:14">
      <c r="A69" s="1257">
        <v>64</v>
      </c>
      <c r="B69" s="1263">
        <v>0</v>
      </c>
      <c r="C69" s="1270">
        <f t="shared" si="0"/>
        <v>0</v>
      </c>
      <c r="D69" s="1271">
        <f t="shared" si="1"/>
        <v>0</v>
      </c>
      <c r="E69" s="1263">
        <v>1</v>
      </c>
      <c r="F69" s="1270">
        <f t="shared" si="2"/>
        <v>200</v>
      </c>
      <c r="G69" s="1263">
        <v>0</v>
      </c>
      <c r="H69" s="1272">
        <f t="shared" si="3"/>
        <v>0</v>
      </c>
      <c r="J69" s="1257">
        <v>21</v>
      </c>
      <c r="K69" s="1274">
        <v>11</v>
      </c>
      <c r="L69" s="1274">
        <v>709.67742919921875</v>
      </c>
      <c r="M69" s="1274">
        <v>2</v>
      </c>
      <c r="N69" s="1275">
        <v>0</v>
      </c>
    </row>
    <row r="70" spans="1:14">
      <c r="A70" s="1264"/>
      <c r="B70" s="1264"/>
      <c r="C70" s="1264"/>
      <c r="D70" s="1264"/>
      <c r="E70" s="1264"/>
      <c r="F70" s="1264"/>
      <c r="G70" s="1264"/>
      <c r="H70" s="1264"/>
      <c r="J70" s="1257">
        <v>22</v>
      </c>
      <c r="K70" s="1274">
        <v>11</v>
      </c>
      <c r="L70" s="1274">
        <v>709.67742919921875</v>
      </c>
      <c r="M70" s="1274">
        <v>1</v>
      </c>
      <c r="N70" s="1275">
        <v>0</v>
      </c>
    </row>
    <row r="71" spans="1:14">
      <c r="A71" s="1264"/>
      <c r="B71" s="1264"/>
      <c r="C71" s="1264"/>
      <c r="D71" s="1264"/>
      <c r="E71" s="1264"/>
      <c r="F71" s="1264"/>
      <c r="G71" s="1264"/>
      <c r="H71" s="1264"/>
      <c r="J71" s="1257">
        <v>23</v>
      </c>
      <c r="K71" s="1274">
        <v>11</v>
      </c>
      <c r="L71" s="1274">
        <v>709.67742919921875</v>
      </c>
      <c r="M71" s="1274">
        <v>0</v>
      </c>
      <c r="N71" s="1275">
        <v>0</v>
      </c>
    </row>
    <row r="72" spans="1:14">
      <c r="A72" s="1264"/>
      <c r="B72" s="1264"/>
      <c r="C72" s="1264"/>
      <c r="D72" s="1264"/>
      <c r="E72" s="1264"/>
      <c r="F72" s="1264"/>
      <c r="G72" s="1264"/>
      <c r="H72" s="1264"/>
      <c r="J72" s="1257">
        <v>24</v>
      </c>
      <c r="K72" s="1274">
        <v>10.800000190734863</v>
      </c>
      <c r="L72" s="1274">
        <v>696.77423095703125</v>
      </c>
      <c r="M72" s="1274">
        <v>3</v>
      </c>
      <c r="N72" s="1275">
        <v>1</v>
      </c>
    </row>
    <row r="73" spans="1:14">
      <c r="A73" s="1264"/>
      <c r="B73" s="1264"/>
      <c r="C73" s="1264"/>
      <c r="D73" s="1264"/>
      <c r="E73" s="1264"/>
      <c r="F73" s="1264"/>
      <c r="G73" s="1264"/>
      <c r="H73" s="1264"/>
      <c r="J73" s="1257">
        <v>25</v>
      </c>
      <c r="K73" s="1274">
        <v>10.800000190734863</v>
      </c>
      <c r="L73" s="1274">
        <v>696.77423095703125</v>
      </c>
      <c r="M73" s="1274">
        <v>2</v>
      </c>
      <c r="N73" s="1275">
        <v>1</v>
      </c>
    </row>
    <row r="74" spans="1:14">
      <c r="J74" s="1257">
        <v>26</v>
      </c>
      <c r="K74" s="1274">
        <v>10.800000190734863</v>
      </c>
      <c r="L74" s="1274">
        <v>696.77423095703125</v>
      </c>
      <c r="M74" s="1274">
        <v>1</v>
      </c>
      <c r="N74" s="1275">
        <v>1</v>
      </c>
    </row>
    <row r="75" spans="1:14">
      <c r="J75" s="1257">
        <v>27</v>
      </c>
      <c r="K75" s="1274">
        <v>10.800000190734863</v>
      </c>
      <c r="L75" s="1274">
        <v>696.77423095703125</v>
      </c>
      <c r="M75" s="1274">
        <v>0</v>
      </c>
      <c r="N75" s="1275">
        <v>1</v>
      </c>
    </row>
    <row r="76" spans="1:14">
      <c r="J76" s="1257">
        <v>28</v>
      </c>
      <c r="K76" s="1274">
        <v>10.800000190734863</v>
      </c>
      <c r="L76" s="1274">
        <v>696.77423095703125</v>
      </c>
      <c r="M76" s="1274">
        <v>3</v>
      </c>
      <c r="N76" s="1275">
        <v>0</v>
      </c>
    </row>
    <row r="77" spans="1:14">
      <c r="J77" s="1257">
        <v>29</v>
      </c>
      <c r="K77" s="1274">
        <v>10.800000190734863</v>
      </c>
      <c r="L77" s="1274">
        <v>696.77423095703125</v>
      </c>
      <c r="M77" s="1274">
        <v>2</v>
      </c>
      <c r="N77" s="1275">
        <v>0</v>
      </c>
    </row>
    <row r="78" spans="1:14">
      <c r="J78" s="1257">
        <v>30</v>
      </c>
      <c r="K78" s="1274">
        <v>10.800000190734863</v>
      </c>
      <c r="L78" s="1274">
        <v>696.77423095703125</v>
      </c>
      <c r="M78" s="1274">
        <v>1</v>
      </c>
      <c r="N78" s="1275">
        <v>0</v>
      </c>
    </row>
    <row r="79" spans="1:14">
      <c r="J79" s="1257">
        <v>31</v>
      </c>
      <c r="K79" s="1274">
        <v>10.800000190734863</v>
      </c>
      <c r="L79" s="1274">
        <v>696.77423095703125</v>
      </c>
      <c r="M79" s="1274">
        <v>0</v>
      </c>
      <c r="N79" s="1275">
        <v>0</v>
      </c>
    </row>
    <row r="80" spans="1:14">
      <c r="J80" s="1257">
        <v>32</v>
      </c>
      <c r="K80" s="1274">
        <v>10.600000381469727</v>
      </c>
      <c r="L80" s="1274">
        <v>683.8709716796875</v>
      </c>
      <c r="M80" s="1274">
        <v>3</v>
      </c>
      <c r="N80" s="1275">
        <v>1</v>
      </c>
    </row>
    <row r="81" spans="10:14">
      <c r="J81" s="1257">
        <v>33</v>
      </c>
      <c r="K81" s="1274">
        <v>10.600000381469727</v>
      </c>
      <c r="L81" s="1274">
        <v>683.8709716796875</v>
      </c>
      <c r="M81" s="1274">
        <v>2</v>
      </c>
      <c r="N81" s="1275">
        <v>1</v>
      </c>
    </row>
    <row r="82" spans="10:14">
      <c r="J82" s="1257">
        <v>34</v>
      </c>
      <c r="K82" s="1274">
        <v>10.600000381469727</v>
      </c>
      <c r="L82" s="1274">
        <v>683.8709716796875</v>
      </c>
      <c r="M82" s="1274">
        <v>1</v>
      </c>
      <c r="N82" s="1275">
        <v>1</v>
      </c>
    </row>
    <row r="83" spans="10:14">
      <c r="J83" s="1257">
        <v>35</v>
      </c>
      <c r="K83" s="1274">
        <v>10.600000381469727</v>
      </c>
      <c r="L83" s="1274">
        <v>683.8709716796875</v>
      </c>
      <c r="M83" s="1274">
        <v>0</v>
      </c>
      <c r="N83" s="1275">
        <v>1</v>
      </c>
    </row>
    <row r="84" spans="10:14">
      <c r="J84" s="1257">
        <v>36</v>
      </c>
      <c r="K84" s="1274">
        <v>10.600000381469727</v>
      </c>
      <c r="L84" s="1274">
        <v>683.8709716796875</v>
      </c>
      <c r="M84" s="1274">
        <v>3</v>
      </c>
      <c r="N84" s="1275">
        <v>0</v>
      </c>
    </row>
    <row r="85" spans="10:14">
      <c r="J85" s="1257">
        <v>37</v>
      </c>
      <c r="K85" s="1274">
        <v>10.600000381469727</v>
      </c>
      <c r="L85" s="1274">
        <v>683.8709716796875</v>
      </c>
      <c r="M85" s="1274">
        <v>2</v>
      </c>
      <c r="N85" s="1275">
        <v>0</v>
      </c>
    </row>
    <row r="86" spans="10:14">
      <c r="J86" s="1257">
        <v>38</v>
      </c>
      <c r="K86" s="1274">
        <v>10.600000381469727</v>
      </c>
      <c r="L86" s="1274">
        <v>683.8709716796875</v>
      </c>
      <c r="M86" s="1274">
        <v>1</v>
      </c>
      <c r="N86" s="1275">
        <v>0</v>
      </c>
    </row>
    <row r="87" spans="10:14">
      <c r="J87" s="1257">
        <v>39</v>
      </c>
      <c r="K87" s="1274">
        <v>10.600000381469727</v>
      </c>
      <c r="L87" s="1274">
        <v>683.8709716796875</v>
      </c>
      <c r="M87" s="1274">
        <v>0</v>
      </c>
      <c r="N87" s="1275">
        <v>0</v>
      </c>
    </row>
    <row r="88" spans="10:14">
      <c r="J88" s="1257">
        <v>40</v>
      </c>
      <c r="K88" s="1274">
        <v>10.399999618530273</v>
      </c>
      <c r="L88" s="1274">
        <v>670.96771240234375</v>
      </c>
      <c r="M88" s="1274">
        <v>3</v>
      </c>
      <c r="N88" s="1275">
        <v>1</v>
      </c>
    </row>
    <row r="89" spans="10:14">
      <c r="J89" s="1257">
        <v>41</v>
      </c>
      <c r="K89" s="1274">
        <v>10.399999618530273</v>
      </c>
      <c r="L89" s="1274">
        <v>670.96771240234375</v>
      </c>
      <c r="M89" s="1274">
        <v>2</v>
      </c>
      <c r="N89" s="1275">
        <v>1</v>
      </c>
    </row>
    <row r="90" spans="10:14">
      <c r="J90" s="1257">
        <v>42</v>
      </c>
      <c r="K90" s="1274">
        <v>10.399999618530273</v>
      </c>
      <c r="L90" s="1274">
        <v>670.96771240234375</v>
      </c>
      <c r="M90" s="1274">
        <v>1</v>
      </c>
      <c r="N90" s="1275">
        <v>1</v>
      </c>
    </row>
    <row r="91" spans="10:14">
      <c r="J91" s="1257">
        <v>43</v>
      </c>
      <c r="K91" s="1274">
        <v>10.399999618530273</v>
      </c>
      <c r="L91" s="1274">
        <v>670.96771240234375</v>
      </c>
      <c r="M91" s="1274">
        <v>0</v>
      </c>
      <c r="N91" s="1275">
        <v>1</v>
      </c>
    </row>
    <row r="92" spans="10:14">
      <c r="J92" s="1257">
        <v>44</v>
      </c>
      <c r="K92" s="1274">
        <v>10.399999618530273</v>
      </c>
      <c r="L92" s="1274">
        <v>670.96771240234375</v>
      </c>
      <c r="M92" s="1274">
        <v>3</v>
      </c>
      <c r="N92" s="1275">
        <v>0</v>
      </c>
    </row>
    <row r="93" spans="10:14">
      <c r="J93" s="1257">
        <v>45</v>
      </c>
      <c r="K93" s="1274">
        <v>10.399999618530273</v>
      </c>
      <c r="L93" s="1274">
        <v>670.96771240234375</v>
      </c>
      <c r="M93" s="1274">
        <v>2</v>
      </c>
      <c r="N93" s="1275">
        <v>0</v>
      </c>
    </row>
    <row r="94" spans="10:14">
      <c r="J94" s="1257">
        <v>46</v>
      </c>
      <c r="K94" s="1274">
        <v>10.399999618530273</v>
      </c>
      <c r="L94" s="1274">
        <v>670.96771240234375</v>
      </c>
      <c r="M94" s="1274">
        <v>1</v>
      </c>
      <c r="N94" s="1275">
        <v>0</v>
      </c>
    </row>
    <row r="95" spans="10:14">
      <c r="J95" s="1257">
        <v>47</v>
      </c>
      <c r="K95" s="1274">
        <v>10.399999618530273</v>
      </c>
      <c r="L95" s="1274">
        <v>670.96771240234375</v>
      </c>
      <c r="M95" s="1274">
        <v>0</v>
      </c>
      <c r="N95" s="1275">
        <v>0</v>
      </c>
    </row>
    <row r="96" spans="10:14">
      <c r="J96" s="1257">
        <v>48</v>
      </c>
      <c r="K96" s="1274">
        <v>10.199999809265137</v>
      </c>
      <c r="L96" s="1274">
        <v>658.06451416015625</v>
      </c>
      <c r="M96" s="1274">
        <v>3</v>
      </c>
      <c r="N96" s="1275">
        <v>1</v>
      </c>
    </row>
    <row r="97" spans="10:14">
      <c r="J97" s="1257">
        <v>49</v>
      </c>
      <c r="K97" s="1274">
        <v>10.199999809265137</v>
      </c>
      <c r="L97" s="1274">
        <v>658.06451416015625</v>
      </c>
      <c r="M97" s="1274">
        <v>2</v>
      </c>
      <c r="N97" s="1275">
        <v>1</v>
      </c>
    </row>
    <row r="98" spans="10:14">
      <c r="J98" s="1257">
        <v>50</v>
      </c>
      <c r="K98" s="1274">
        <v>10.199999809265137</v>
      </c>
      <c r="L98" s="1274">
        <v>658.06451416015625</v>
      </c>
      <c r="M98" s="1274">
        <v>1</v>
      </c>
      <c r="N98" s="1275">
        <v>1</v>
      </c>
    </row>
    <row r="99" spans="10:14">
      <c r="J99" s="1257">
        <v>51</v>
      </c>
      <c r="K99" s="1274">
        <v>10.199999809265137</v>
      </c>
      <c r="L99" s="1274">
        <v>658.06451416015625</v>
      </c>
      <c r="M99" s="1274">
        <v>0</v>
      </c>
      <c r="N99" s="1275">
        <v>1</v>
      </c>
    </row>
    <row r="100" spans="10:14">
      <c r="J100" s="1257">
        <v>52</v>
      </c>
      <c r="K100" s="1274">
        <v>10.199999809265137</v>
      </c>
      <c r="L100" s="1274">
        <v>658.06451416015625</v>
      </c>
      <c r="M100" s="1274">
        <v>3</v>
      </c>
      <c r="N100" s="1275">
        <v>0</v>
      </c>
    </row>
    <row r="101" spans="10:14">
      <c r="J101" s="1257">
        <v>53</v>
      </c>
      <c r="K101" s="1274">
        <v>10.199999809265137</v>
      </c>
      <c r="L101" s="1274">
        <v>658.06451416015625</v>
      </c>
      <c r="M101" s="1274">
        <v>2</v>
      </c>
      <c r="N101" s="1275">
        <v>0</v>
      </c>
    </row>
    <row r="102" spans="10:14">
      <c r="J102" s="1257">
        <v>54</v>
      </c>
      <c r="K102" s="1274">
        <v>10.199999809265137</v>
      </c>
      <c r="L102" s="1274">
        <v>658.06451416015625</v>
      </c>
      <c r="M102" s="1274">
        <v>1</v>
      </c>
      <c r="N102" s="1275">
        <v>0</v>
      </c>
    </row>
    <row r="103" spans="10:14">
      <c r="J103" s="1257">
        <v>55</v>
      </c>
      <c r="K103" s="1274">
        <v>10.199999809265137</v>
      </c>
      <c r="L103" s="1274">
        <v>658.06451416015625</v>
      </c>
      <c r="M103" s="1274">
        <v>0</v>
      </c>
      <c r="N103" s="1275">
        <v>0</v>
      </c>
    </row>
    <row r="104" spans="10:14">
      <c r="J104" s="1257">
        <v>56</v>
      </c>
      <c r="K104" s="1274">
        <v>10</v>
      </c>
      <c r="L104" s="1274">
        <v>645.16131591796875</v>
      </c>
      <c r="M104" s="1274">
        <v>3</v>
      </c>
      <c r="N104" s="1275">
        <v>1</v>
      </c>
    </row>
    <row r="105" spans="10:14">
      <c r="J105" s="1257">
        <v>57</v>
      </c>
      <c r="K105" s="1274">
        <v>10</v>
      </c>
      <c r="L105" s="1274">
        <v>645.16131591796875</v>
      </c>
      <c r="M105" s="1274">
        <v>2</v>
      </c>
      <c r="N105" s="1275">
        <v>1</v>
      </c>
    </row>
    <row r="106" spans="10:14">
      <c r="J106" s="1257">
        <v>58</v>
      </c>
      <c r="K106" s="1274">
        <v>10</v>
      </c>
      <c r="L106" s="1274">
        <v>645.16131591796875</v>
      </c>
      <c r="M106" s="1274">
        <v>1</v>
      </c>
      <c r="N106" s="1275">
        <v>1</v>
      </c>
    </row>
    <row r="107" spans="10:14">
      <c r="J107" s="1257">
        <v>59</v>
      </c>
      <c r="K107" s="1274">
        <v>10</v>
      </c>
      <c r="L107" s="1274">
        <v>645.16131591796875</v>
      </c>
      <c r="M107" s="1274">
        <v>0</v>
      </c>
      <c r="N107" s="1275">
        <v>1</v>
      </c>
    </row>
    <row r="108" spans="10:14">
      <c r="J108" s="1257">
        <v>60</v>
      </c>
      <c r="K108" s="1274">
        <v>10</v>
      </c>
      <c r="L108" s="1274">
        <v>645.16131591796875</v>
      </c>
      <c r="M108" s="1274">
        <v>3</v>
      </c>
      <c r="N108" s="1275">
        <v>0</v>
      </c>
    </row>
    <row r="109" spans="10:14">
      <c r="J109" s="1257">
        <v>61</v>
      </c>
      <c r="K109" s="1274">
        <v>10</v>
      </c>
      <c r="L109" s="1274">
        <v>645.16131591796875</v>
      </c>
      <c r="M109" s="1274">
        <v>2</v>
      </c>
      <c r="N109" s="1275">
        <v>0</v>
      </c>
    </row>
    <row r="110" spans="10:14">
      <c r="J110" s="1257">
        <v>62</v>
      </c>
      <c r="K110" s="1274">
        <v>10</v>
      </c>
      <c r="L110" s="1274">
        <v>645.16131591796875</v>
      </c>
      <c r="M110" s="1274">
        <v>1</v>
      </c>
      <c r="N110" s="1275">
        <v>0</v>
      </c>
    </row>
    <row r="111" spans="10:14">
      <c r="J111" s="1257">
        <v>63</v>
      </c>
      <c r="K111" s="1274">
        <v>10</v>
      </c>
      <c r="L111" s="1274">
        <v>645.16131591796875</v>
      </c>
      <c r="M111" s="1274">
        <v>0</v>
      </c>
      <c r="N111" s="1275">
        <v>0</v>
      </c>
    </row>
    <row r="112" spans="10:14">
      <c r="J112" s="1276">
        <v>64</v>
      </c>
      <c r="K112" s="1277">
        <v>9.8000001907348633</v>
      </c>
      <c r="L112" s="1277">
        <v>632.258056640625</v>
      </c>
      <c r="M112" s="1277">
        <v>3</v>
      </c>
      <c r="N112" s="1278">
        <v>1</v>
      </c>
    </row>
    <row r="113" spans="10:14">
      <c r="J113" s="1264">
        <v>65</v>
      </c>
      <c r="K113" s="1264">
        <v>9.8000001907348633</v>
      </c>
      <c r="L113" s="1264">
        <v>632.258056640625</v>
      </c>
      <c r="M113" s="1264">
        <v>2</v>
      </c>
      <c r="N113" s="1264">
        <v>1</v>
      </c>
    </row>
    <row r="114" spans="10:14">
      <c r="J114" s="1264">
        <v>66</v>
      </c>
      <c r="K114" s="1264">
        <v>9.8000001907348633</v>
      </c>
      <c r="L114" s="1264">
        <v>632.258056640625</v>
      </c>
      <c r="M114" s="1264">
        <v>1</v>
      </c>
      <c r="N114" s="1264">
        <v>1</v>
      </c>
    </row>
    <row r="115" spans="10:14">
      <c r="J115" s="1264">
        <v>67</v>
      </c>
      <c r="K115" s="1264">
        <v>9.8000001907348633</v>
      </c>
      <c r="L115" s="1264">
        <v>632.258056640625</v>
      </c>
      <c r="M115" s="1264">
        <v>0</v>
      </c>
      <c r="N115" s="1264">
        <v>1</v>
      </c>
    </row>
    <row r="116" spans="10:14">
      <c r="J116" s="1264">
        <v>68</v>
      </c>
      <c r="K116" s="1264">
        <v>9.8000001907348633</v>
      </c>
      <c r="L116" s="1264">
        <v>632.258056640625</v>
      </c>
      <c r="M116" s="1264">
        <v>3</v>
      </c>
      <c r="N116" s="1264">
        <v>0</v>
      </c>
    </row>
    <row r="117" spans="10:14">
      <c r="J117" s="1264">
        <v>69</v>
      </c>
      <c r="K117" s="1264">
        <v>9.8000001907348633</v>
      </c>
      <c r="L117" s="1264">
        <v>632.258056640625</v>
      </c>
      <c r="M117" s="1264">
        <v>2</v>
      </c>
      <c r="N117" s="1264">
        <v>0</v>
      </c>
    </row>
    <row r="118" spans="10:14">
      <c r="J118" s="1264">
        <v>70</v>
      </c>
      <c r="K118" s="1264">
        <v>9.8000001907348633</v>
      </c>
      <c r="L118" s="1264">
        <v>632.258056640625</v>
      </c>
      <c r="M118" s="1264">
        <v>1</v>
      </c>
      <c r="N118" s="1264">
        <v>0</v>
      </c>
    </row>
    <row r="119" spans="10:14">
      <c r="J119" s="1264">
        <v>71</v>
      </c>
      <c r="K119" s="1264">
        <v>9.8000001907348633</v>
      </c>
      <c r="L119" s="1264">
        <v>632.258056640625</v>
      </c>
      <c r="M119" s="1264">
        <v>0</v>
      </c>
      <c r="N119" s="1264">
        <v>0</v>
      </c>
    </row>
    <row r="120" spans="10:14">
      <c r="J120" s="1264">
        <v>72</v>
      </c>
      <c r="K120" s="1264">
        <v>9.6000003814697266</v>
      </c>
      <c r="L120" s="1264">
        <v>619.3548583984375</v>
      </c>
      <c r="M120" s="1264">
        <v>3</v>
      </c>
      <c r="N120" s="1264">
        <v>1</v>
      </c>
    </row>
    <row r="121" spans="10:14">
      <c r="J121" s="1264">
        <v>73</v>
      </c>
      <c r="K121" s="1264">
        <v>9.6000003814697266</v>
      </c>
      <c r="L121" s="1264">
        <v>619.3548583984375</v>
      </c>
      <c r="M121" s="1264">
        <v>2</v>
      </c>
      <c r="N121" s="1264">
        <v>1</v>
      </c>
    </row>
    <row r="122" spans="10:14">
      <c r="J122" s="1264">
        <v>74</v>
      </c>
      <c r="K122" s="1264">
        <v>9.6000003814697266</v>
      </c>
      <c r="L122" s="1264">
        <v>619.3548583984375</v>
      </c>
      <c r="M122" s="1264">
        <v>1</v>
      </c>
      <c r="N122" s="1264">
        <v>1</v>
      </c>
    </row>
    <row r="123" spans="10:14">
      <c r="J123" s="1264">
        <v>75</v>
      </c>
      <c r="K123" s="1264">
        <v>9.6000003814697266</v>
      </c>
      <c r="L123" s="1264">
        <v>619.3548583984375</v>
      </c>
      <c r="M123" s="1264">
        <v>0</v>
      </c>
      <c r="N123" s="1264">
        <v>1</v>
      </c>
    </row>
    <row r="124" spans="10:14">
      <c r="J124" s="1264">
        <v>76</v>
      </c>
      <c r="K124" s="1264">
        <v>9.6000003814697266</v>
      </c>
      <c r="L124" s="1264">
        <v>619.3548583984375</v>
      </c>
      <c r="M124" s="1264">
        <v>3</v>
      </c>
      <c r="N124" s="1264">
        <v>0</v>
      </c>
    </row>
    <row r="125" spans="10:14">
      <c r="J125" s="1264">
        <v>77</v>
      </c>
      <c r="K125" s="1264">
        <v>9.6000003814697266</v>
      </c>
      <c r="L125" s="1264">
        <v>619.3548583984375</v>
      </c>
      <c r="M125" s="1264">
        <v>2</v>
      </c>
      <c r="N125" s="1264">
        <v>0</v>
      </c>
    </row>
    <row r="126" spans="10:14">
      <c r="J126" s="1264">
        <v>78</v>
      </c>
      <c r="K126" s="1264">
        <v>9.6000003814697266</v>
      </c>
      <c r="L126" s="1264">
        <v>619.3548583984375</v>
      </c>
      <c r="M126" s="1264">
        <v>1</v>
      </c>
      <c r="N126" s="1264">
        <v>0</v>
      </c>
    </row>
    <row r="127" spans="10:14">
      <c r="J127" s="1264">
        <v>79</v>
      </c>
      <c r="K127" s="1264">
        <v>9.6000003814697266</v>
      </c>
      <c r="L127" s="1264">
        <v>619.3548583984375</v>
      </c>
      <c r="M127" s="1264">
        <v>0</v>
      </c>
      <c r="N127" s="1264">
        <v>0</v>
      </c>
    </row>
    <row r="128" spans="10:14">
      <c r="J128" s="1264">
        <v>80</v>
      </c>
      <c r="K128" s="1264">
        <v>9.3999996185302734</v>
      </c>
      <c r="L128" s="1264">
        <v>606.45159912109375</v>
      </c>
      <c r="M128" s="1264">
        <v>3</v>
      </c>
      <c r="N128" s="1264">
        <v>1</v>
      </c>
    </row>
    <row r="129" spans="10:14">
      <c r="J129" s="1264">
        <v>81</v>
      </c>
      <c r="K129" s="1264">
        <v>9.3999996185302734</v>
      </c>
      <c r="L129" s="1264">
        <v>606.45159912109375</v>
      </c>
      <c r="M129" s="1264">
        <v>2</v>
      </c>
      <c r="N129" s="1264">
        <v>1</v>
      </c>
    </row>
    <row r="130" spans="10:14">
      <c r="J130" s="1264">
        <v>82</v>
      </c>
      <c r="K130" s="1264">
        <v>9.3999996185302734</v>
      </c>
      <c r="L130" s="1264">
        <v>606.45159912109375</v>
      </c>
      <c r="M130" s="1264">
        <v>1</v>
      </c>
      <c r="N130" s="1264">
        <v>1</v>
      </c>
    </row>
    <row r="131" spans="10:14">
      <c r="J131" s="1264">
        <v>83</v>
      </c>
      <c r="K131" s="1264">
        <v>9.3999996185302734</v>
      </c>
      <c r="L131" s="1264">
        <v>606.45159912109375</v>
      </c>
      <c r="M131" s="1264">
        <v>0</v>
      </c>
      <c r="N131" s="1264">
        <v>1</v>
      </c>
    </row>
    <row r="132" spans="10:14">
      <c r="J132" s="1264">
        <v>84</v>
      </c>
      <c r="K132" s="1264">
        <v>9.3999996185302734</v>
      </c>
      <c r="L132" s="1264">
        <v>606.45159912109375</v>
      </c>
      <c r="M132" s="1264">
        <v>3</v>
      </c>
      <c r="N132" s="1264">
        <v>0</v>
      </c>
    </row>
    <row r="133" spans="10:14">
      <c r="J133" s="1264">
        <v>85</v>
      </c>
      <c r="K133" s="1264">
        <v>9.3999996185302734</v>
      </c>
      <c r="L133" s="1264">
        <v>606.45159912109375</v>
      </c>
      <c r="M133" s="1264">
        <v>2</v>
      </c>
      <c r="N133" s="1264">
        <v>0</v>
      </c>
    </row>
    <row r="134" spans="10:14">
      <c r="J134" s="1264">
        <v>86</v>
      </c>
      <c r="K134" s="1264">
        <v>9.3999996185302734</v>
      </c>
      <c r="L134" s="1264">
        <v>606.45159912109375</v>
      </c>
      <c r="M134" s="1264">
        <v>1</v>
      </c>
      <c r="N134" s="1264">
        <v>0</v>
      </c>
    </row>
    <row r="135" spans="10:14">
      <c r="J135" s="1264">
        <v>87</v>
      </c>
      <c r="K135" s="1264">
        <v>9.3999996185302734</v>
      </c>
      <c r="L135" s="1264">
        <v>606.45159912109375</v>
      </c>
      <c r="M135" s="1264">
        <v>0</v>
      </c>
      <c r="N135" s="1264">
        <v>0</v>
      </c>
    </row>
    <row r="136" spans="10:14">
      <c r="J136" s="1264">
        <v>88</v>
      </c>
      <c r="K136" s="1264">
        <v>8</v>
      </c>
      <c r="L136" s="1264">
        <v>516.1290283203125</v>
      </c>
      <c r="M136" s="1264">
        <v>3</v>
      </c>
      <c r="N136" s="1264">
        <v>1</v>
      </c>
    </row>
    <row r="137" spans="10:14">
      <c r="J137" s="1264">
        <v>89</v>
      </c>
      <c r="K137" s="1264">
        <v>8</v>
      </c>
      <c r="L137" s="1264">
        <v>516.1290283203125</v>
      </c>
      <c r="M137" s="1264">
        <v>2</v>
      </c>
      <c r="N137" s="1264">
        <v>1</v>
      </c>
    </row>
    <row r="138" spans="10:14">
      <c r="J138" s="1264">
        <v>90</v>
      </c>
      <c r="K138" s="1264">
        <v>8</v>
      </c>
      <c r="L138" s="1264">
        <v>516.1290283203125</v>
      </c>
      <c r="M138" s="1264">
        <v>1</v>
      </c>
      <c r="N138" s="1264">
        <v>1</v>
      </c>
    </row>
    <row r="139" spans="10:14">
      <c r="J139" s="1264">
        <v>91</v>
      </c>
      <c r="K139" s="1264">
        <v>8</v>
      </c>
      <c r="L139" s="1264">
        <v>516.1290283203125</v>
      </c>
      <c r="M139" s="1264">
        <v>0</v>
      </c>
      <c r="N139" s="1264">
        <v>1</v>
      </c>
    </row>
    <row r="140" spans="10:14">
      <c r="J140" s="1264">
        <v>92</v>
      </c>
      <c r="K140" s="1264">
        <v>8</v>
      </c>
      <c r="L140" s="1264">
        <v>516.1290283203125</v>
      </c>
      <c r="M140" s="1264">
        <v>3</v>
      </c>
      <c r="N140" s="1264">
        <v>0</v>
      </c>
    </row>
    <row r="141" spans="10:14">
      <c r="J141" s="1264">
        <v>93</v>
      </c>
      <c r="K141" s="1264">
        <v>8</v>
      </c>
      <c r="L141" s="1264">
        <v>516.1290283203125</v>
      </c>
      <c r="M141" s="1264">
        <v>2</v>
      </c>
      <c r="N141" s="1264">
        <v>0</v>
      </c>
    </row>
    <row r="142" spans="10:14">
      <c r="J142" s="1264">
        <v>94</v>
      </c>
      <c r="K142" s="1264">
        <v>8</v>
      </c>
      <c r="L142" s="1264">
        <v>516.1290283203125</v>
      </c>
      <c r="M142" s="1264">
        <v>1</v>
      </c>
      <c r="N142" s="1264">
        <v>0</v>
      </c>
    </row>
    <row r="143" spans="10:14">
      <c r="J143" s="1264">
        <v>95</v>
      </c>
      <c r="K143" s="1264">
        <v>8</v>
      </c>
      <c r="L143" s="1264">
        <v>516.1290283203125</v>
      </c>
      <c r="M143" s="1264">
        <v>0</v>
      </c>
      <c r="N143" s="1264">
        <v>0</v>
      </c>
    </row>
    <row r="144" spans="10:14">
      <c r="J144" s="1264">
        <v>96</v>
      </c>
      <c r="K144" s="1264">
        <v>7.8000001907348633</v>
      </c>
      <c r="L144" s="1264">
        <v>503.225830078125</v>
      </c>
      <c r="M144" s="1264">
        <v>3</v>
      </c>
      <c r="N144" s="1264">
        <v>1</v>
      </c>
    </row>
    <row r="145" spans="10:14">
      <c r="J145" s="1264">
        <v>97</v>
      </c>
      <c r="K145" s="1264">
        <v>7.8000001907348633</v>
      </c>
      <c r="L145" s="1264">
        <v>503.225830078125</v>
      </c>
      <c r="M145" s="1264">
        <v>2</v>
      </c>
      <c r="N145" s="1264">
        <v>1</v>
      </c>
    </row>
    <row r="146" spans="10:14">
      <c r="J146" s="1264">
        <v>98</v>
      </c>
      <c r="K146" s="1264">
        <v>7.8000001907348633</v>
      </c>
      <c r="L146" s="1264">
        <v>503.225830078125</v>
      </c>
      <c r="M146" s="1264">
        <v>1</v>
      </c>
      <c r="N146" s="1264">
        <v>1</v>
      </c>
    </row>
    <row r="147" spans="10:14">
      <c r="J147" s="1264">
        <v>99</v>
      </c>
      <c r="K147" s="1264">
        <v>7.8000001907348633</v>
      </c>
      <c r="L147" s="1264">
        <v>503.225830078125</v>
      </c>
      <c r="M147" s="1264">
        <v>0</v>
      </c>
      <c r="N147" s="1264">
        <v>1</v>
      </c>
    </row>
    <row r="148" spans="10:14">
      <c r="J148" s="1264">
        <v>100</v>
      </c>
      <c r="K148" s="1264">
        <v>7.8000001907348633</v>
      </c>
      <c r="L148" s="1264">
        <v>503.225830078125</v>
      </c>
      <c r="M148" s="1264">
        <v>3</v>
      </c>
      <c r="N148" s="1264">
        <v>0</v>
      </c>
    </row>
    <row r="149" spans="10:14">
      <c r="J149" s="1264">
        <v>101</v>
      </c>
      <c r="K149" s="1264">
        <v>7.8000001907348633</v>
      </c>
      <c r="L149" s="1264">
        <v>503.225830078125</v>
      </c>
      <c r="M149" s="1264">
        <v>2</v>
      </c>
      <c r="N149" s="1264">
        <v>0</v>
      </c>
    </row>
    <row r="150" spans="10:14">
      <c r="J150" s="1264">
        <v>102</v>
      </c>
      <c r="K150" s="1264">
        <v>7.8000001907348633</v>
      </c>
      <c r="L150" s="1264">
        <v>503.225830078125</v>
      </c>
      <c r="M150" s="1264">
        <v>1</v>
      </c>
      <c r="N150" s="1264">
        <v>0</v>
      </c>
    </row>
    <row r="151" spans="10:14">
      <c r="J151" s="1264">
        <v>103</v>
      </c>
      <c r="K151" s="1264">
        <v>7.8000001907348633</v>
      </c>
      <c r="L151" s="1264">
        <v>503.225830078125</v>
      </c>
      <c r="M151" s="1264">
        <v>0</v>
      </c>
      <c r="N151" s="1264">
        <v>0</v>
      </c>
    </row>
    <row r="152" spans="10:14">
      <c r="J152" s="1264">
        <v>104</v>
      </c>
      <c r="K152" s="1264">
        <v>7.5999999046325684</v>
      </c>
      <c r="L152" s="1264">
        <v>490.32257080078125</v>
      </c>
      <c r="M152" s="1264">
        <v>3</v>
      </c>
      <c r="N152" s="1264">
        <v>1</v>
      </c>
    </row>
    <row r="153" spans="10:14">
      <c r="J153" s="1264">
        <v>105</v>
      </c>
      <c r="K153" s="1264">
        <v>7.5999999046325684</v>
      </c>
      <c r="L153" s="1264">
        <v>490.32257080078125</v>
      </c>
      <c r="M153" s="1264">
        <v>2</v>
      </c>
      <c r="N153" s="1264">
        <v>1</v>
      </c>
    </row>
    <row r="154" spans="10:14">
      <c r="J154" s="1264">
        <v>106</v>
      </c>
      <c r="K154" s="1264">
        <v>7.5999999046325684</v>
      </c>
      <c r="L154" s="1264">
        <v>490.32257080078125</v>
      </c>
      <c r="M154" s="1264">
        <v>1</v>
      </c>
      <c r="N154" s="1264">
        <v>1</v>
      </c>
    </row>
    <row r="155" spans="10:14">
      <c r="J155" s="1264">
        <v>107</v>
      </c>
      <c r="K155" s="1264">
        <v>7.5999999046325684</v>
      </c>
      <c r="L155" s="1264">
        <v>490.32257080078125</v>
      </c>
      <c r="M155" s="1264">
        <v>0</v>
      </c>
      <c r="N155" s="1264">
        <v>1</v>
      </c>
    </row>
    <row r="156" spans="10:14">
      <c r="J156" s="1264">
        <v>108</v>
      </c>
      <c r="K156" s="1264">
        <v>7.5999999046325684</v>
      </c>
      <c r="L156" s="1264">
        <v>490.32257080078125</v>
      </c>
      <c r="M156" s="1264">
        <v>3</v>
      </c>
      <c r="N156" s="1264">
        <v>0</v>
      </c>
    </row>
    <row r="157" spans="10:14">
      <c r="J157" s="1264">
        <v>109</v>
      </c>
      <c r="K157" s="1264">
        <v>7.5999999046325684</v>
      </c>
      <c r="L157" s="1264">
        <v>490.32257080078125</v>
      </c>
      <c r="M157" s="1264">
        <v>2</v>
      </c>
      <c r="N157" s="1264">
        <v>0</v>
      </c>
    </row>
    <row r="158" spans="10:14">
      <c r="J158" s="1264">
        <v>110</v>
      </c>
      <c r="K158" s="1264">
        <v>7.5999999046325684</v>
      </c>
      <c r="L158" s="1264">
        <v>490.32257080078125</v>
      </c>
      <c r="M158" s="1264">
        <v>1</v>
      </c>
      <c r="N158" s="1264">
        <v>0</v>
      </c>
    </row>
    <row r="159" spans="10:14">
      <c r="J159" s="1264">
        <v>111</v>
      </c>
      <c r="K159" s="1264">
        <v>7.5999999046325684</v>
      </c>
      <c r="L159" s="1264">
        <v>490.32257080078125</v>
      </c>
      <c r="M159" s="1264">
        <v>0</v>
      </c>
      <c r="N159" s="1264">
        <v>0</v>
      </c>
    </row>
    <row r="160" spans="10:14">
      <c r="J160" s="1264">
        <v>112</v>
      </c>
      <c r="K160" s="1264">
        <v>7.4000000953674316</v>
      </c>
      <c r="L160" s="1264">
        <v>477.41937255859375</v>
      </c>
      <c r="M160" s="1264">
        <v>3</v>
      </c>
      <c r="N160" s="1264">
        <v>1</v>
      </c>
    </row>
    <row r="161" spans="10:14">
      <c r="J161" s="1264">
        <v>113</v>
      </c>
      <c r="K161" s="1264">
        <v>7.4000000953674316</v>
      </c>
      <c r="L161" s="1264">
        <v>477.41937255859375</v>
      </c>
      <c r="M161" s="1264">
        <v>2</v>
      </c>
      <c r="N161" s="1264">
        <v>1</v>
      </c>
    </row>
    <row r="162" spans="10:14">
      <c r="J162" s="1264">
        <v>114</v>
      </c>
      <c r="K162" s="1264">
        <v>7.4000000953674316</v>
      </c>
      <c r="L162" s="1264">
        <v>477.41937255859375</v>
      </c>
      <c r="M162" s="1264">
        <v>1</v>
      </c>
      <c r="N162" s="1264">
        <v>1</v>
      </c>
    </row>
    <row r="163" spans="10:14">
      <c r="J163" s="1264">
        <v>115</v>
      </c>
      <c r="K163" s="1264">
        <v>7.4000000953674316</v>
      </c>
      <c r="L163" s="1264">
        <v>477.41937255859375</v>
      </c>
      <c r="M163" s="1264">
        <v>0</v>
      </c>
      <c r="N163" s="1264">
        <v>1</v>
      </c>
    </row>
    <row r="164" spans="10:14">
      <c r="J164" s="1264">
        <v>116</v>
      </c>
      <c r="K164" s="1264">
        <v>7.4000000953674316</v>
      </c>
      <c r="L164" s="1264">
        <v>477.41937255859375</v>
      </c>
      <c r="M164" s="1264">
        <v>3</v>
      </c>
      <c r="N164" s="1264">
        <v>0</v>
      </c>
    </row>
    <row r="165" spans="10:14">
      <c r="J165" s="1264">
        <v>117</v>
      </c>
      <c r="K165" s="1264">
        <v>7.4000000953674316</v>
      </c>
      <c r="L165" s="1264">
        <v>477.41937255859375</v>
      </c>
      <c r="M165" s="1264">
        <v>2</v>
      </c>
      <c r="N165" s="1264">
        <v>0</v>
      </c>
    </row>
    <row r="166" spans="10:14">
      <c r="J166" s="1264">
        <v>118</v>
      </c>
      <c r="K166" s="1264">
        <v>7.4000000953674316</v>
      </c>
      <c r="L166" s="1264">
        <v>477.41937255859375</v>
      </c>
      <c r="M166" s="1264">
        <v>1</v>
      </c>
      <c r="N166" s="1264">
        <v>0</v>
      </c>
    </row>
    <row r="167" spans="10:14">
      <c r="J167" s="1264">
        <v>119</v>
      </c>
      <c r="K167" s="1264">
        <v>7.4000000953674316</v>
      </c>
      <c r="L167" s="1264">
        <v>477.41937255859375</v>
      </c>
      <c r="M167" s="1264">
        <v>0</v>
      </c>
      <c r="N167" s="1264">
        <v>0</v>
      </c>
    </row>
    <row r="168" spans="10:14">
      <c r="J168" s="1264">
        <v>120</v>
      </c>
      <c r="K168" s="1264">
        <v>7.1999998092651367</v>
      </c>
      <c r="L168" s="1264">
        <v>464.51611328125</v>
      </c>
      <c r="M168" s="1264">
        <v>3</v>
      </c>
      <c r="N168" s="1264">
        <v>1</v>
      </c>
    </row>
    <row r="169" spans="10:14">
      <c r="J169" s="1264">
        <v>121</v>
      </c>
      <c r="K169" s="1264">
        <v>7.1999998092651367</v>
      </c>
      <c r="L169" s="1264">
        <v>464.51611328125</v>
      </c>
      <c r="M169" s="1264">
        <v>2</v>
      </c>
      <c r="N169" s="1264">
        <v>1</v>
      </c>
    </row>
    <row r="170" spans="10:14">
      <c r="J170" s="1264">
        <v>122</v>
      </c>
      <c r="K170" s="1264">
        <v>7.1999998092651367</v>
      </c>
      <c r="L170" s="1264">
        <v>464.51611328125</v>
      </c>
      <c r="M170" s="1264">
        <v>1</v>
      </c>
      <c r="N170" s="1264">
        <v>1</v>
      </c>
    </row>
    <row r="171" spans="10:14">
      <c r="J171" s="1264">
        <v>123</v>
      </c>
      <c r="K171" s="1264">
        <v>7.1999998092651367</v>
      </c>
      <c r="L171" s="1264">
        <v>464.51611328125</v>
      </c>
      <c r="M171" s="1264">
        <v>0</v>
      </c>
      <c r="N171" s="1264">
        <v>1</v>
      </c>
    </row>
    <row r="172" spans="10:14">
      <c r="J172" s="1264">
        <v>124</v>
      </c>
      <c r="K172" s="1264">
        <v>7.1999998092651367</v>
      </c>
      <c r="L172" s="1264">
        <v>464.51611328125</v>
      </c>
      <c r="M172" s="1264">
        <v>3</v>
      </c>
      <c r="N172" s="1264">
        <v>0</v>
      </c>
    </row>
    <row r="173" spans="10:14">
      <c r="J173" s="1264">
        <v>125</v>
      </c>
      <c r="K173" s="1264">
        <v>7.1999998092651367</v>
      </c>
      <c r="L173" s="1264">
        <v>464.51611328125</v>
      </c>
      <c r="M173" s="1264">
        <v>2</v>
      </c>
      <c r="N173" s="1264">
        <v>0</v>
      </c>
    </row>
    <row r="174" spans="10:14">
      <c r="J174" s="1264">
        <v>126</v>
      </c>
      <c r="K174" s="1264">
        <v>7.1999998092651367</v>
      </c>
      <c r="L174" s="1264">
        <v>464.51611328125</v>
      </c>
      <c r="M174" s="1264">
        <v>1</v>
      </c>
      <c r="N174" s="1264">
        <v>0</v>
      </c>
    </row>
    <row r="175" spans="10:14">
      <c r="J175" s="1264">
        <v>127</v>
      </c>
      <c r="K175" s="1264">
        <v>7.1999998092651367</v>
      </c>
      <c r="L175" s="1264">
        <v>464.51611328125</v>
      </c>
      <c r="M175" s="1264">
        <v>0</v>
      </c>
      <c r="N175" s="1264">
        <v>0</v>
      </c>
    </row>
    <row r="176" spans="10:14">
      <c r="J176" s="1264">
        <v>128</v>
      </c>
      <c r="K176" s="1264">
        <v>7</v>
      </c>
      <c r="L176" s="1264">
        <v>451.6129150390625</v>
      </c>
      <c r="M176" s="1264">
        <v>3</v>
      </c>
      <c r="N176" s="1264">
        <v>1</v>
      </c>
    </row>
    <row r="177" spans="10:14">
      <c r="J177" s="1264">
        <v>129</v>
      </c>
      <c r="K177" s="1264">
        <v>7</v>
      </c>
      <c r="L177" s="1264">
        <v>451.6129150390625</v>
      </c>
      <c r="M177" s="1264">
        <v>2</v>
      </c>
      <c r="N177" s="1264">
        <v>1</v>
      </c>
    </row>
    <row r="178" spans="10:14">
      <c r="J178" s="1264">
        <v>130</v>
      </c>
      <c r="K178" s="1264">
        <v>7</v>
      </c>
      <c r="L178" s="1264">
        <v>451.6129150390625</v>
      </c>
      <c r="M178" s="1264">
        <v>1</v>
      </c>
      <c r="N178" s="1264">
        <v>1</v>
      </c>
    </row>
    <row r="179" spans="10:14">
      <c r="J179" s="1264">
        <v>131</v>
      </c>
      <c r="K179" s="1264">
        <v>7</v>
      </c>
      <c r="L179" s="1264">
        <v>451.6129150390625</v>
      </c>
      <c r="M179" s="1264">
        <v>0</v>
      </c>
      <c r="N179" s="1264">
        <v>1</v>
      </c>
    </row>
    <row r="180" spans="10:14">
      <c r="J180" s="1264">
        <v>132</v>
      </c>
      <c r="K180" s="1264">
        <v>7</v>
      </c>
      <c r="L180" s="1264">
        <v>451.6129150390625</v>
      </c>
      <c r="M180" s="1264">
        <v>3</v>
      </c>
      <c r="N180" s="1264">
        <v>0</v>
      </c>
    </row>
    <row r="181" spans="10:14">
      <c r="J181" s="1264">
        <v>133</v>
      </c>
      <c r="K181" s="1264">
        <v>7</v>
      </c>
      <c r="L181" s="1264">
        <v>451.6129150390625</v>
      </c>
      <c r="M181" s="1264">
        <v>2</v>
      </c>
      <c r="N181" s="1264">
        <v>0</v>
      </c>
    </row>
    <row r="182" spans="10:14">
      <c r="J182" s="1264">
        <v>134</v>
      </c>
      <c r="K182" s="1264">
        <v>7</v>
      </c>
      <c r="L182" s="1264">
        <v>451.6129150390625</v>
      </c>
      <c r="M182" s="1264">
        <v>1</v>
      </c>
      <c r="N182" s="1264">
        <v>0</v>
      </c>
    </row>
    <row r="183" spans="10:14">
      <c r="J183" s="1264">
        <v>135</v>
      </c>
      <c r="K183" s="1264">
        <v>7</v>
      </c>
      <c r="L183" s="1264">
        <v>451.6129150390625</v>
      </c>
      <c r="M183" s="1264">
        <v>0</v>
      </c>
      <c r="N183" s="1264">
        <v>0</v>
      </c>
    </row>
    <row r="184" spans="10:14">
      <c r="J184" s="1264">
        <v>136</v>
      </c>
      <c r="K184" s="1264">
        <v>6.8000001907348633</v>
      </c>
      <c r="L184" s="1264">
        <v>438.70968627929687</v>
      </c>
      <c r="M184" s="1264">
        <v>3</v>
      </c>
      <c r="N184" s="1264">
        <v>1</v>
      </c>
    </row>
    <row r="185" spans="10:14">
      <c r="J185" s="1264">
        <v>137</v>
      </c>
      <c r="K185" s="1264">
        <v>6.8000001907348633</v>
      </c>
      <c r="L185" s="1264">
        <v>438.70968627929687</v>
      </c>
      <c r="M185" s="1264">
        <v>2</v>
      </c>
      <c r="N185" s="1264">
        <v>1</v>
      </c>
    </row>
    <row r="186" spans="10:14">
      <c r="J186" s="1264">
        <v>138</v>
      </c>
      <c r="K186" s="1264">
        <v>6.8000001907348633</v>
      </c>
      <c r="L186" s="1264">
        <v>438.70968627929687</v>
      </c>
      <c r="M186" s="1264">
        <v>1</v>
      </c>
      <c r="N186" s="1264">
        <v>1</v>
      </c>
    </row>
    <row r="187" spans="10:14">
      <c r="J187" s="1264">
        <v>139</v>
      </c>
      <c r="K187" s="1264">
        <v>6.8000001907348633</v>
      </c>
      <c r="L187" s="1264">
        <v>438.70968627929687</v>
      </c>
      <c r="M187" s="1264">
        <v>0</v>
      </c>
      <c r="N187" s="1264">
        <v>1</v>
      </c>
    </row>
    <row r="188" spans="10:14">
      <c r="J188" s="1264">
        <v>140</v>
      </c>
      <c r="K188" s="1264">
        <v>6.8000001907348633</v>
      </c>
      <c r="L188" s="1264">
        <v>438.70968627929687</v>
      </c>
      <c r="M188" s="1264">
        <v>3</v>
      </c>
      <c r="N188" s="1264">
        <v>0</v>
      </c>
    </row>
    <row r="189" spans="10:14">
      <c r="J189" s="1264">
        <v>141</v>
      </c>
      <c r="K189" s="1264">
        <v>6.8000001907348633</v>
      </c>
      <c r="L189" s="1264">
        <v>438.70968627929687</v>
      </c>
      <c r="M189" s="1264">
        <v>2</v>
      </c>
      <c r="N189" s="1264">
        <v>0</v>
      </c>
    </row>
    <row r="190" spans="10:14">
      <c r="J190" s="1264">
        <v>142</v>
      </c>
      <c r="K190" s="1264">
        <v>6.8000001907348633</v>
      </c>
      <c r="L190" s="1264">
        <v>438.70968627929687</v>
      </c>
      <c r="M190" s="1264">
        <v>1</v>
      </c>
      <c r="N190" s="1264">
        <v>0</v>
      </c>
    </row>
    <row r="191" spans="10:14">
      <c r="J191" s="1264">
        <v>143</v>
      </c>
      <c r="K191" s="1264">
        <v>6.8000001907348633</v>
      </c>
      <c r="L191" s="1264">
        <v>438.70968627929687</v>
      </c>
      <c r="M191" s="1264">
        <v>0</v>
      </c>
      <c r="N191" s="1264">
        <v>0</v>
      </c>
    </row>
    <row r="192" spans="10:14">
      <c r="J192" s="1264">
        <v>144</v>
      </c>
      <c r="K192" s="1264">
        <v>6.5999999046325684</v>
      </c>
      <c r="L192" s="1264">
        <v>425.80645751953125</v>
      </c>
      <c r="M192" s="1264">
        <v>3</v>
      </c>
      <c r="N192" s="1264">
        <v>1</v>
      </c>
    </row>
    <row r="193" spans="10:14">
      <c r="J193" s="1264">
        <v>145</v>
      </c>
      <c r="K193" s="1264">
        <v>6.5999999046325684</v>
      </c>
      <c r="L193" s="1264">
        <v>425.80645751953125</v>
      </c>
      <c r="M193" s="1264">
        <v>2</v>
      </c>
      <c r="N193" s="1264">
        <v>1</v>
      </c>
    </row>
    <row r="194" spans="10:14">
      <c r="J194" s="1264">
        <v>146</v>
      </c>
      <c r="K194" s="1264">
        <v>6.5999999046325684</v>
      </c>
      <c r="L194" s="1264">
        <v>425.80645751953125</v>
      </c>
      <c r="M194" s="1264">
        <v>1</v>
      </c>
      <c r="N194" s="1264">
        <v>1</v>
      </c>
    </row>
    <row r="195" spans="10:14">
      <c r="J195" s="1264">
        <v>147</v>
      </c>
      <c r="K195" s="1264">
        <v>6.5999999046325684</v>
      </c>
      <c r="L195" s="1264">
        <v>425.80645751953125</v>
      </c>
      <c r="M195" s="1264">
        <v>0</v>
      </c>
      <c r="N195" s="1264">
        <v>1</v>
      </c>
    </row>
    <row r="196" spans="10:14">
      <c r="J196" s="1264">
        <v>148</v>
      </c>
      <c r="K196" s="1264">
        <v>6.5999999046325684</v>
      </c>
      <c r="L196" s="1264">
        <v>425.80645751953125</v>
      </c>
      <c r="M196" s="1264">
        <v>3</v>
      </c>
      <c r="N196" s="1264">
        <v>0</v>
      </c>
    </row>
    <row r="197" spans="10:14">
      <c r="J197" s="1264">
        <v>149</v>
      </c>
      <c r="K197" s="1264">
        <v>6.5999999046325684</v>
      </c>
      <c r="L197" s="1264">
        <v>425.80645751953125</v>
      </c>
      <c r="M197" s="1264">
        <v>2</v>
      </c>
      <c r="N197" s="1264">
        <v>0</v>
      </c>
    </row>
    <row r="198" spans="10:14">
      <c r="J198" s="1264">
        <v>150</v>
      </c>
      <c r="K198" s="1264">
        <v>6.5999999046325684</v>
      </c>
      <c r="L198" s="1264">
        <v>425.80645751953125</v>
      </c>
      <c r="M198" s="1264">
        <v>1</v>
      </c>
      <c r="N198" s="1264">
        <v>0</v>
      </c>
    </row>
    <row r="199" spans="10:14">
      <c r="J199" s="1264">
        <v>151</v>
      </c>
      <c r="K199" s="1264">
        <v>6.5999999046325684</v>
      </c>
      <c r="L199" s="1264">
        <v>425.80645751953125</v>
      </c>
      <c r="M199" s="1264">
        <v>0</v>
      </c>
      <c r="N199" s="1264">
        <v>0</v>
      </c>
    </row>
    <row r="200" spans="10:14">
      <c r="J200" s="1264">
        <v>152</v>
      </c>
      <c r="K200" s="1264">
        <v>6.4000000953674316</v>
      </c>
      <c r="L200" s="1264">
        <v>412.90322875976562</v>
      </c>
      <c r="M200" s="1264">
        <v>3</v>
      </c>
      <c r="N200" s="1264">
        <v>1</v>
      </c>
    </row>
    <row r="201" spans="10:14">
      <c r="J201" s="1264">
        <v>153</v>
      </c>
      <c r="K201" s="1264">
        <v>6.4000000953674316</v>
      </c>
      <c r="L201" s="1264">
        <v>412.90322875976562</v>
      </c>
      <c r="M201" s="1264">
        <v>2</v>
      </c>
      <c r="N201" s="1264">
        <v>1</v>
      </c>
    </row>
    <row r="202" spans="10:14">
      <c r="J202" s="1264">
        <v>154</v>
      </c>
      <c r="K202" s="1264">
        <v>6.4000000953674316</v>
      </c>
      <c r="L202" s="1264">
        <v>412.90322875976562</v>
      </c>
      <c r="M202" s="1264">
        <v>1</v>
      </c>
      <c r="N202" s="1264">
        <v>1</v>
      </c>
    </row>
    <row r="203" spans="10:14">
      <c r="J203" s="1264">
        <v>155</v>
      </c>
      <c r="K203" s="1264">
        <v>6.4000000953674316</v>
      </c>
      <c r="L203" s="1264">
        <v>412.90322875976562</v>
      </c>
      <c r="M203" s="1264">
        <v>0</v>
      </c>
      <c r="N203" s="1264">
        <v>1</v>
      </c>
    </row>
    <row r="204" spans="10:14">
      <c r="J204" s="1264">
        <v>156</v>
      </c>
      <c r="K204" s="1264">
        <v>6.4000000953674316</v>
      </c>
      <c r="L204" s="1264">
        <v>412.90322875976562</v>
      </c>
      <c r="M204" s="1264">
        <v>3</v>
      </c>
      <c r="N204" s="1264">
        <v>0</v>
      </c>
    </row>
    <row r="205" spans="10:14">
      <c r="J205" s="1264">
        <v>157</v>
      </c>
      <c r="K205" s="1264">
        <v>6.4000000953674316</v>
      </c>
      <c r="L205" s="1264">
        <v>412.90322875976562</v>
      </c>
      <c r="M205" s="1264">
        <v>2</v>
      </c>
      <c r="N205" s="1264">
        <v>0</v>
      </c>
    </row>
    <row r="206" spans="10:14">
      <c r="J206" s="1264">
        <v>158</v>
      </c>
      <c r="K206" s="1264">
        <v>6.4000000953674316</v>
      </c>
      <c r="L206" s="1264">
        <v>412.90322875976562</v>
      </c>
      <c r="M206" s="1264">
        <v>1</v>
      </c>
      <c r="N206" s="1264">
        <v>0</v>
      </c>
    </row>
    <row r="207" spans="10:14">
      <c r="J207" s="1264">
        <v>159</v>
      </c>
      <c r="K207" s="1264">
        <v>6.4000000953674316</v>
      </c>
      <c r="L207" s="1264">
        <v>412.90322875976562</v>
      </c>
      <c r="M207" s="1264">
        <v>0</v>
      </c>
      <c r="N207" s="1264">
        <v>0</v>
      </c>
    </row>
    <row r="208" spans="10:14">
      <c r="J208" s="1264">
        <v>160</v>
      </c>
      <c r="K208" s="1264">
        <v>6.1999998092651367</v>
      </c>
      <c r="L208" s="1264">
        <v>400</v>
      </c>
      <c r="M208" s="1264">
        <v>3</v>
      </c>
      <c r="N208" s="1264">
        <v>1</v>
      </c>
    </row>
    <row r="209" spans="10:14">
      <c r="J209" s="1264">
        <v>161</v>
      </c>
      <c r="K209" s="1264">
        <v>6.1999998092651367</v>
      </c>
      <c r="L209" s="1264">
        <v>400</v>
      </c>
      <c r="M209" s="1264">
        <v>2</v>
      </c>
      <c r="N209" s="1264">
        <v>1</v>
      </c>
    </row>
    <row r="210" spans="10:14">
      <c r="J210" s="1264">
        <v>162</v>
      </c>
      <c r="K210" s="1264">
        <v>6.1999998092651367</v>
      </c>
      <c r="L210" s="1264">
        <v>400</v>
      </c>
      <c r="M210" s="1264">
        <v>1</v>
      </c>
      <c r="N210" s="1264">
        <v>1</v>
      </c>
    </row>
    <row r="211" spans="10:14">
      <c r="J211" s="1264">
        <v>163</v>
      </c>
      <c r="K211" s="1264">
        <v>6.1999998092651367</v>
      </c>
      <c r="L211" s="1264">
        <v>400</v>
      </c>
      <c r="M211" s="1264">
        <v>0</v>
      </c>
      <c r="N211" s="1264">
        <v>1</v>
      </c>
    </row>
    <row r="212" spans="10:14">
      <c r="J212" s="1264">
        <v>164</v>
      </c>
      <c r="K212" s="1264">
        <v>6.1999998092651367</v>
      </c>
      <c r="L212" s="1264">
        <v>400</v>
      </c>
      <c r="M212" s="1264">
        <v>3</v>
      </c>
      <c r="N212" s="1264">
        <v>0</v>
      </c>
    </row>
    <row r="213" spans="10:14">
      <c r="J213" s="1264">
        <v>165</v>
      </c>
      <c r="K213" s="1264">
        <v>6.1999998092651367</v>
      </c>
      <c r="L213" s="1264">
        <v>400</v>
      </c>
      <c r="M213" s="1264">
        <v>2</v>
      </c>
      <c r="N213" s="1264">
        <v>0</v>
      </c>
    </row>
    <row r="214" spans="10:14">
      <c r="J214" s="1264">
        <v>166</v>
      </c>
      <c r="K214" s="1264">
        <v>6.1999998092651367</v>
      </c>
      <c r="L214" s="1264">
        <v>400</v>
      </c>
      <c r="M214" s="1264">
        <v>1</v>
      </c>
      <c r="N214" s="1264">
        <v>0</v>
      </c>
    </row>
    <row r="215" spans="10:14">
      <c r="J215" s="1264">
        <v>167</v>
      </c>
      <c r="K215" s="1264">
        <v>6.1999998092651367</v>
      </c>
      <c r="L215" s="1264">
        <v>400</v>
      </c>
      <c r="M215" s="1264">
        <v>0</v>
      </c>
      <c r="N215" s="1264">
        <v>0</v>
      </c>
    </row>
    <row r="216" spans="10:14">
      <c r="J216" s="1264">
        <v>168</v>
      </c>
      <c r="K216" s="1264">
        <v>4.1999998092651367</v>
      </c>
      <c r="L216" s="1264">
        <v>270.96774291992187</v>
      </c>
      <c r="M216" s="1264">
        <v>3</v>
      </c>
      <c r="N216" s="1264">
        <v>1</v>
      </c>
    </row>
    <row r="217" spans="10:14">
      <c r="J217" s="1264">
        <v>169</v>
      </c>
      <c r="K217" s="1264">
        <v>4.1999998092651367</v>
      </c>
      <c r="L217" s="1264">
        <v>270.96774291992187</v>
      </c>
      <c r="M217" s="1264">
        <v>2</v>
      </c>
      <c r="N217" s="1264">
        <v>1</v>
      </c>
    </row>
    <row r="218" spans="10:14">
      <c r="J218" s="1264">
        <v>170</v>
      </c>
      <c r="K218" s="1264">
        <v>4.1999998092651367</v>
      </c>
      <c r="L218" s="1264">
        <v>270.96774291992187</v>
      </c>
      <c r="M218" s="1264">
        <v>1</v>
      </c>
      <c r="N218" s="1264">
        <v>1</v>
      </c>
    </row>
    <row r="219" spans="10:14">
      <c r="J219" s="1264">
        <v>171</v>
      </c>
      <c r="K219" s="1264">
        <v>4.1999998092651367</v>
      </c>
      <c r="L219" s="1264">
        <v>270.96774291992187</v>
      </c>
      <c r="M219" s="1264">
        <v>0</v>
      </c>
      <c r="N219" s="1264">
        <v>1</v>
      </c>
    </row>
    <row r="220" spans="10:14">
      <c r="J220" s="1264">
        <v>172</v>
      </c>
      <c r="K220" s="1264">
        <v>4.1999998092651367</v>
      </c>
      <c r="L220" s="1264">
        <v>270.96774291992187</v>
      </c>
      <c r="M220" s="1264">
        <v>3</v>
      </c>
      <c r="N220" s="1264">
        <v>0</v>
      </c>
    </row>
    <row r="221" spans="10:14">
      <c r="J221" s="1264">
        <v>173</v>
      </c>
      <c r="K221" s="1264">
        <v>4.1999998092651367</v>
      </c>
      <c r="L221" s="1264">
        <v>270.96774291992187</v>
      </c>
      <c r="M221" s="1264">
        <v>2</v>
      </c>
      <c r="N221" s="1264">
        <v>0</v>
      </c>
    </row>
    <row r="222" spans="10:14">
      <c r="J222" s="1264">
        <v>174</v>
      </c>
      <c r="K222" s="1264">
        <v>4.1999998092651367</v>
      </c>
      <c r="L222" s="1264">
        <v>270.96774291992187</v>
      </c>
      <c r="M222" s="1264">
        <v>1</v>
      </c>
      <c r="N222" s="1264">
        <v>0</v>
      </c>
    </row>
    <row r="223" spans="10:14">
      <c r="J223" s="1264">
        <v>175</v>
      </c>
      <c r="K223" s="1264">
        <v>4.1999998092651367</v>
      </c>
      <c r="L223" s="1264">
        <v>270.96774291992187</v>
      </c>
      <c r="M223" s="1264">
        <v>0</v>
      </c>
      <c r="N223" s="1264">
        <v>0</v>
      </c>
    </row>
    <row r="224" spans="10:14">
      <c r="J224" s="1264">
        <v>176</v>
      </c>
      <c r="K224" s="1264">
        <v>4</v>
      </c>
      <c r="L224" s="1264">
        <v>258.06451416015625</v>
      </c>
      <c r="M224" s="1264">
        <v>3</v>
      </c>
      <c r="N224" s="1264">
        <v>1</v>
      </c>
    </row>
    <row r="225" spans="10:14">
      <c r="J225" s="1264">
        <v>177</v>
      </c>
      <c r="K225" s="1264">
        <v>4</v>
      </c>
      <c r="L225" s="1264">
        <v>258.06451416015625</v>
      </c>
      <c r="M225" s="1264">
        <v>2</v>
      </c>
      <c r="N225" s="1264">
        <v>1</v>
      </c>
    </row>
    <row r="226" spans="10:14">
      <c r="J226" s="1264">
        <v>178</v>
      </c>
      <c r="K226" s="1264">
        <v>4</v>
      </c>
      <c r="L226" s="1264">
        <v>258.06451416015625</v>
      </c>
      <c r="M226" s="1264">
        <v>1</v>
      </c>
      <c r="N226" s="1264">
        <v>1</v>
      </c>
    </row>
    <row r="227" spans="10:14">
      <c r="J227" s="1264">
        <v>179</v>
      </c>
      <c r="K227" s="1264">
        <v>4</v>
      </c>
      <c r="L227" s="1264">
        <v>258.06451416015625</v>
      </c>
      <c r="M227" s="1264">
        <v>0</v>
      </c>
      <c r="N227" s="1264">
        <v>1</v>
      </c>
    </row>
    <row r="228" spans="10:14">
      <c r="J228" s="1264">
        <v>180</v>
      </c>
      <c r="K228" s="1264">
        <v>4</v>
      </c>
      <c r="L228" s="1264">
        <v>258.06451416015625</v>
      </c>
      <c r="M228" s="1264">
        <v>3</v>
      </c>
      <c r="N228" s="1264">
        <v>0</v>
      </c>
    </row>
    <row r="229" spans="10:14">
      <c r="J229" s="1264">
        <v>181</v>
      </c>
      <c r="K229" s="1264">
        <v>4</v>
      </c>
      <c r="L229" s="1264">
        <v>258.06451416015625</v>
      </c>
      <c r="M229" s="1264">
        <v>2</v>
      </c>
      <c r="N229" s="1264">
        <v>0</v>
      </c>
    </row>
    <row r="230" spans="10:14">
      <c r="J230" s="1264">
        <v>182</v>
      </c>
      <c r="K230" s="1264">
        <v>4</v>
      </c>
      <c r="L230" s="1264">
        <v>258.06451416015625</v>
      </c>
      <c r="M230" s="1264">
        <v>1</v>
      </c>
      <c r="N230" s="1264">
        <v>0</v>
      </c>
    </row>
    <row r="231" spans="10:14">
      <c r="J231" s="1264">
        <v>183</v>
      </c>
      <c r="K231" s="1264">
        <v>4</v>
      </c>
      <c r="L231" s="1264">
        <v>258.06451416015625</v>
      </c>
      <c r="M231" s="1264">
        <v>0</v>
      </c>
      <c r="N231" s="1264">
        <v>0</v>
      </c>
    </row>
    <row r="232" spans="10:14">
      <c r="J232" s="1264">
        <v>184</v>
      </c>
      <c r="K232" s="1264">
        <v>3.7999999523162842</v>
      </c>
      <c r="L232" s="1264">
        <v>245.16128540039063</v>
      </c>
      <c r="M232" s="1264">
        <v>3</v>
      </c>
      <c r="N232" s="1264">
        <v>1</v>
      </c>
    </row>
    <row r="233" spans="10:14">
      <c r="J233" s="1264">
        <v>185</v>
      </c>
      <c r="K233" s="1264">
        <v>3.7999999523162842</v>
      </c>
      <c r="L233" s="1264">
        <v>245.16128540039063</v>
      </c>
      <c r="M233" s="1264">
        <v>2</v>
      </c>
      <c r="N233" s="1264">
        <v>1</v>
      </c>
    </row>
    <row r="234" spans="10:14">
      <c r="J234" s="1264">
        <v>186</v>
      </c>
      <c r="K234" s="1264">
        <v>3.7999999523162842</v>
      </c>
      <c r="L234" s="1264">
        <v>245.16128540039063</v>
      </c>
      <c r="M234" s="1264">
        <v>1</v>
      </c>
      <c r="N234" s="1264">
        <v>1</v>
      </c>
    </row>
    <row r="235" spans="10:14">
      <c r="J235" s="1264">
        <v>187</v>
      </c>
      <c r="K235" s="1264">
        <v>3.7999999523162842</v>
      </c>
      <c r="L235" s="1264">
        <v>245.16128540039063</v>
      </c>
      <c r="M235" s="1264">
        <v>0</v>
      </c>
      <c r="N235" s="1264">
        <v>1</v>
      </c>
    </row>
    <row r="236" spans="10:14">
      <c r="J236" s="1264">
        <v>188</v>
      </c>
      <c r="K236" s="1264">
        <v>3.7999999523162842</v>
      </c>
      <c r="L236" s="1264">
        <v>245.16128540039063</v>
      </c>
      <c r="M236" s="1264">
        <v>3</v>
      </c>
      <c r="N236" s="1264">
        <v>0</v>
      </c>
    </row>
    <row r="237" spans="10:14">
      <c r="J237" s="1264">
        <v>189</v>
      </c>
      <c r="K237" s="1264">
        <v>3.7999999523162842</v>
      </c>
      <c r="L237" s="1264">
        <v>245.16128540039063</v>
      </c>
      <c r="M237" s="1264">
        <v>2</v>
      </c>
      <c r="N237" s="1264">
        <v>0</v>
      </c>
    </row>
    <row r="238" spans="10:14">
      <c r="J238" s="1264">
        <v>190</v>
      </c>
      <c r="K238" s="1264">
        <v>3.7999999523162842</v>
      </c>
      <c r="L238" s="1264">
        <v>245.16128540039063</v>
      </c>
      <c r="M238" s="1264">
        <v>1</v>
      </c>
      <c r="N238" s="1264">
        <v>0</v>
      </c>
    </row>
    <row r="239" spans="10:14">
      <c r="J239" s="1264">
        <v>191</v>
      </c>
      <c r="K239" s="1264">
        <v>3.7999999523162842</v>
      </c>
      <c r="L239" s="1264">
        <v>245.16128540039063</v>
      </c>
      <c r="M239" s="1264">
        <v>0</v>
      </c>
      <c r="N239" s="1264">
        <v>0</v>
      </c>
    </row>
    <row r="240" spans="10:14">
      <c r="J240" s="1264">
        <v>192</v>
      </c>
      <c r="K240" s="1264">
        <v>3.5999999046325684</v>
      </c>
      <c r="L240" s="1264">
        <v>232.258056640625</v>
      </c>
      <c r="M240" s="1264">
        <v>3</v>
      </c>
      <c r="N240" s="1264">
        <v>1</v>
      </c>
    </row>
    <row r="241" spans="10:14">
      <c r="J241" s="1264">
        <v>193</v>
      </c>
      <c r="K241" s="1264">
        <v>3.5999999046325684</v>
      </c>
      <c r="L241" s="1264">
        <v>232.258056640625</v>
      </c>
      <c r="M241" s="1264">
        <v>2</v>
      </c>
      <c r="N241" s="1264">
        <v>1</v>
      </c>
    </row>
    <row r="242" spans="10:14">
      <c r="J242" s="1264">
        <v>194</v>
      </c>
      <c r="K242" s="1264">
        <v>3.5999999046325684</v>
      </c>
      <c r="L242" s="1264">
        <v>232.258056640625</v>
      </c>
      <c r="M242" s="1264">
        <v>1</v>
      </c>
      <c r="N242" s="1264">
        <v>1</v>
      </c>
    </row>
    <row r="243" spans="10:14">
      <c r="J243" s="1264">
        <v>195</v>
      </c>
      <c r="K243" s="1264">
        <v>3.5999999046325684</v>
      </c>
      <c r="L243" s="1264">
        <v>232.258056640625</v>
      </c>
      <c r="M243" s="1264">
        <v>0</v>
      </c>
      <c r="N243" s="1264">
        <v>1</v>
      </c>
    </row>
    <row r="244" spans="10:14">
      <c r="J244" s="1264">
        <v>196</v>
      </c>
      <c r="K244" s="1264">
        <v>3.5999999046325684</v>
      </c>
      <c r="L244" s="1264">
        <v>232.258056640625</v>
      </c>
      <c r="M244" s="1264">
        <v>3</v>
      </c>
      <c r="N244" s="1264">
        <v>0</v>
      </c>
    </row>
    <row r="245" spans="10:14">
      <c r="J245" s="1264">
        <v>197</v>
      </c>
      <c r="K245" s="1264">
        <v>3.5999999046325684</v>
      </c>
      <c r="L245" s="1264">
        <v>232.258056640625</v>
      </c>
      <c r="M245" s="1264">
        <v>2</v>
      </c>
      <c r="N245" s="1264">
        <v>0</v>
      </c>
    </row>
    <row r="246" spans="10:14">
      <c r="J246" s="1264">
        <v>198</v>
      </c>
      <c r="K246" s="1264">
        <v>3.5999999046325684</v>
      </c>
      <c r="L246" s="1264">
        <v>232.258056640625</v>
      </c>
      <c r="M246" s="1264">
        <v>1</v>
      </c>
      <c r="N246" s="1264">
        <v>0</v>
      </c>
    </row>
    <row r="247" spans="10:14">
      <c r="J247" s="1264">
        <v>199</v>
      </c>
      <c r="K247" s="1264">
        <v>3.5999999046325684</v>
      </c>
      <c r="L247" s="1264">
        <v>232.258056640625</v>
      </c>
      <c r="M247" s="1264">
        <v>0</v>
      </c>
      <c r="N247" s="1264">
        <v>0</v>
      </c>
    </row>
    <row r="248" spans="10:14">
      <c r="J248" s="1264">
        <v>200</v>
      </c>
      <c r="K248" s="1264">
        <v>3.4000000953674316</v>
      </c>
      <c r="L248" s="1264">
        <v>219.35484313964844</v>
      </c>
      <c r="M248" s="1264">
        <v>3</v>
      </c>
      <c r="N248" s="1264">
        <v>1</v>
      </c>
    </row>
    <row r="249" spans="10:14">
      <c r="J249" s="1264">
        <v>201</v>
      </c>
      <c r="K249" s="1264">
        <v>3.4000000953674316</v>
      </c>
      <c r="L249" s="1264">
        <v>219.35484313964844</v>
      </c>
      <c r="M249" s="1264">
        <v>2</v>
      </c>
      <c r="N249" s="1264">
        <v>1</v>
      </c>
    </row>
    <row r="250" spans="10:14">
      <c r="J250" s="1264">
        <v>202</v>
      </c>
      <c r="K250" s="1264">
        <v>3.4000000953674316</v>
      </c>
      <c r="L250" s="1264">
        <v>219.35484313964844</v>
      </c>
      <c r="M250" s="1264">
        <v>1</v>
      </c>
      <c r="N250" s="1264">
        <v>1</v>
      </c>
    </row>
    <row r="251" spans="10:14">
      <c r="J251" s="1264">
        <v>203</v>
      </c>
      <c r="K251" s="1264">
        <v>3.4000000953674316</v>
      </c>
      <c r="L251" s="1264">
        <v>219.35484313964844</v>
      </c>
      <c r="M251" s="1264">
        <v>0</v>
      </c>
      <c r="N251" s="1264">
        <v>1</v>
      </c>
    </row>
    <row r="252" spans="10:14">
      <c r="J252" s="1264">
        <v>204</v>
      </c>
      <c r="K252" s="1264">
        <v>3.4000000953674316</v>
      </c>
      <c r="L252" s="1264">
        <v>219.35484313964844</v>
      </c>
      <c r="M252" s="1264">
        <v>3</v>
      </c>
      <c r="N252" s="1264">
        <v>0</v>
      </c>
    </row>
    <row r="253" spans="10:14">
      <c r="J253" s="1264">
        <v>205</v>
      </c>
      <c r="K253" s="1264">
        <v>3.4000000953674316</v>
      </c>
      <c r="L253" s="1264">
        <v>219.35484313964844</v>
      </c>
      <c r="M253" s="1264">
        <v>2</v>
      </c>
      <c r="N253" s="1264">
        <v>0</v>
      </c>
    </row>
    <row r="254" spans="10:14">
      <c r="J254" s="1264">
        <v>206</v>
      </c>
      <c r="K254" s="1264">
        <v>3.4000000953674316</v>
      </c>
      <c r="L254" s="1264">
        <v>219.35484313964844</v>
      </c>
      <c r="M254" s="1264">
        <v>1</v>
      </c>
      <c r="N254" s="1264">
        <v>0</v>
      </c>
    </row>
    <row r="255" spans="10:14">
      <c r="J255" s="1264">
        <v>207</v>
      </c>
      <c r="K255" s="1264">
        <v>3.4000000953674316</v>
      </c>
      <c r="L255" s="1264">
        <v>219.35484313964844</v>
      </c>
      <c r="M255" s="1264">
        <v>0</v>
      </c>
      <c r="N255" s="1264">
        <v>0</v>
      </c>
    </row>
    <row r="256" spans="10:14">
      <c r="J256" s="1264">
        <v>208</v>
      </c>
      <c r="K256" s="1264">
        <v>3.2000000476837158</v>
      </c>
      <c r="L256" s="1264">
        <v>206.45161437988281</v>
      </c>
      <c r="M256" s="1264">
        <v>3</v>
      </c>
      <c r="N256" s="1264">
        <v>1</v>
      </c>
    </row>
    <row r="257" spans="10:14">
      <c r="J257" s="1264">
        <v>209</v>
      </c>
      <c r="K257" s="1264">
        <v>3.2000000476837158</v>
      </c>
      <c r="L257" s="1264">
        <v>206.45161437988281</v>
      </c>
      <c r="M257" s="1264">
        <v>2</v>
      </c>
      <c r="N257" s="1264">
        <v>1</v>
      </c>
    </row>
    <row r="258" spans="10:14">
      <c r="J258" s="1264">
        <v>210</v>
      </c>
      <c r="K258" s="1264">
        <v>3.2000000476837158</v>
      </c>
      <c r="L258" s="1264">
        <v>206.45161437988281</v>
      </c>
      <c r="M258" s="1264">
        <v>1</v>
      </c>
      <c r="N258" s="1264">
        <v>1</v>
      </c>
    </row>
    <row r="259" spans="10:14">
      <c r="J259" s="1264">
        <v>211</v>
      </c>
      <c r="K259" s="1264">
        <v>3.2000000476837158</v>
      </c>
      <c r="L259" s="1264">
        <v>206.45161437988281</v>
      </c>
      <c r="M259" s="1264">
        <v>0</v>
      </c>
      <c r="N259" s="1264">
        <v>1</v>
      </c>
    </row>
    <row r="260" spans="10:14">
      <c r="J260" s="1264">
        <v>212</v>
      </c>
      <c r="K260" s="1264">
        <v>3.2000000476837158</v>
      </c>
      <c r="L260" s="1264">
        <v>206.45161437988281</v>
      </c>
      <c r="M260" s="1264">
        <v>3</v>
      </c>
      <c r="N260" s="1264">
        <v>0</v>
      </c>
    </row>
    <row r="261" spans="10:14">
      <c r="J261" s="1264">
        <v>213</v>
      </c>
      <c r="K261" s="1264">
        <v>3.2000000476837158</v>
      </c>
      <c r="L261" s="1264">
        <v>206.45161437988281</v>
      </c>
      <c r="M261" s="1264">
        <v>2</v>
      </c>
      <c r="N261" s="1264">
        <v>0</v>
      </c>
    </row>
    <row r="262" spans="10:14">
      <c r="J262" s="1264">
        <v>214</v>
      </c>
      <c r="K262" s="1264">
        <v>3.2000000476837158</v>
      </c>
      <c r="L262" s="1264">
        <v>206.45161437988281</v>
      </c>
      <c r="M262" s="1264">
        <v>1</v>
      </c>
      <c r="N262" s="1264">
        <v>0</v>
      </c>
    </row>
    <row r="263" spans="10:14">
      <c r="J263" s="1264">
        <v>215</v>
      </c>
      <c r="K263" s="1264">
        <v>3.2000000476837158</v>
      </c>
      <c r="L263" s="1264">
        <v>206.45161437988281</v>
      </c>
      <c r="M263" s="1264">
        <v>0</v>
      </c>
      <c r="N263" s="1264">
        <v>0</v>
      </c>
    </row>
    <row r="264" spans="10:14">
      <c r="J264" s="1264">
        <v>216</v>
      </c>
      <c r="K264" s="1264">
        <v>3</v>
      </c>
      <c r="L264" s="1264">
        <v>193.54838562011719</v>
      </c>
      <c r="M264" s="1264">
        <v>3</v>
      </c>
      <c r="N264" s="1264">
        <v>1</v>
      </c>
    </row>
    <row r="265" spans="10:14">
      <c r="J265" s="1264">
        <v>217</v>
      </c>
      <c r="K265" s="1264">
        <v>3</v>
      </c>
      <c r="L265" s="1264">
        <v>193.54838562011719</v>
      </c>
      <c r="M265" s="1264">
        <v>2</v>
      </c>
      <c r="N265" s="1264">
        <v>1</v>
      </c>
    </row>
    <row r="266" spans="10:14">
      <c r="J266" s="1264">
        <v>218</v>
      </c>
      <c r="K266" s="1264">
        <v>3</v>
      </c>
      <c r="L266" s="1264">
        <v>193.54838562011719</v>
      </c>
      <c r="M266" s="1264">
        <v>1</v>
      </c>
      <c r="N266" s="1264">
        <v>1</v>
      </c>
    </row>
    <row r="267" spans="10:14">
      <c r="J267" s="1264">
        <v>219</v>
      </c>
      <c r="K267" s="1264">
        <v>3</v>
      </c>
      <c r="L267" s="1264">
        <v>193.54838562011719</v>
      </c>
      <c r="M267" s="1264">
        <v>0</v>
      </c>
      <c r="N267" s="1264">
        <v>1</v>
      </c>
    </row>
    <row r="268" spans="10:14">
      <c r="J268" s="1264">
        <v>220</v>
      </c>
      <c r="K268" s="1264">
        <v>3</v>
      </c>
      <c r="L268" s="1264">
        <v>193.54838562011719</v>
      </c>
      <c r="M268" s="1264">
        <v>3</v>
      </c>
      <c r="N268" s="1264">
        <v>0</v>
      </c>
    </row>
    <row r="269" spans="10:14">
      <c r="J269" s="1264">
        <v>221</v>
      </c>
      <c r="K269" s="1264">
        <v>3</v>
      </c>
      <c r="L269" s="1264">
        <v>193.54838562011719</v>
      </c>
      <c r="M269" s="1264">
        <v>2</v>
      </c>
      <c r="N269" s="1264">
        <v>0</v>
      </c>
    </row>
    <row r="270" spans="10:14">
      <c r="J270" s="1264">
        <v>222</v>
      </c>
      <c r="K270" s="1264">
        <v>3</v>
      </c>
      <c r="L270" s="1264">
        <v>193.54838562011719</v>
      </c>
      <c r="M270" s="1264">
        <v>1</v>
      </c>
      <c r="N270" s="1264">
        <v>0</v>
      </c>
    </row>
    <row r="271" spans="10:14">
      <c r="J271" s="1264">
        <v>223</v>
      </c>
      <c r="K271" s="1264">
        <v>3</v>
      </c>
      <c r="L271" s="1264">
        <v>193.54838562011719</v>
      </c>
      <c r="M271" s="1264">
        <v>0</v>
      </c>
      <c r="N271" s="1264">
        <v>0</v>
      </c>
    </row>
    <row r="272" spans="10:14">
      <c r="J272" s="1264">
        <v>224</v>
      </c>
      <c r="K272" s="1264">
        <v>0</v>
      </c>
      <c r="L272" s="1264">
        <v>0</v>
      </c>
      <c r="M272" s="1264">
        <v>3</v>
      </c>
      <c r="N272" s="1264">
        <v>1</v>
      </c>
    </row>
    <row r="273" spans="10:14">
      <c r="J273" s="1264">
        <v>225</v>
      </c>
      <c r="K273" s="1264">
        <v>0</v>
      </c>
      <c r="L273" s="1264">
        <v>0</v>
      </c>
      <c r="M273" s="1264">
        <v>2</v>
      </c>
      <c r="N273" s="1264">
        <v>1</v>
      </c>
    </row>
    <row r="274" spans="10:14">
      <c r="J274" s="1264">
        <v>226</v>
      </c>
      <c r="K274" s="1264">
        <v>0</v>
      </c>
      <c r="L274" s="1264">
        <v>0</v>
      </c>
      <c r="M274" s="1264">
        <v>1</v>
      </c>
      <c r="N274" s="1264">
        <v>1</v>
      </c>
    </row>
    <row r="275" spans="10:14">
      <c r="J275" s="1264">
        <v>227</v>
      </c>
      <c r="K275" s="1264">
        <v>0</v>
      </c>
      <c r="L275" s="1264">
        <v>0</v>
      </c>
      <c r="M275" s="1264">
        <v>0</v>
      </c>
      <c r="N275" s="1264">
        <v>1</v>
      </c>
    </row>
    <row r="276" spans="10:14">
      <c r="J276" s="1264">
        <v>228</v>
      </c>
      <c r="K276" s="1264">
        <v>0</v>
      </c>
      <c r="L276" s="1264">
        <v>0</v>
      </c>
      <c r="M276" s="1264">
        <v>3</v>
      </c>
      <c r="N276" s="1264">
        <v>0</v>
      </c>
    </row>
    <row r="277" spans="10:14">
      <c r="J277" s="1264">
        <v>229</v>
      </c>
      <c r="K277" s="1264">
        <v>0</v>
      </c>
      <c r="L277" s="1264">
        <v>0</v>
      </c>
      <c r="M277" s="1264">
        <v>2</v>
      </c>
      <c r="N277" s="1264">
        <v>0</v>
      </c>
    </row>
    <row r="278" spans="10:14">
      <c r="J278" s="1264">
        <v>230</v>
      </c>
      <c r="K278" s="1264">
        <v>0</v>
      </c>
      <c r="L278" s="1264">
        <v>0</v>
      </c>
      <c r="M278" s="1264">
        <v>1</v>
      </c>
      <c r="N278" s="1264">
        <v>0</v>
      </c>
    </row>
    <row r="279" spans="10:14">
      <c r="J279" s="1264">
        <v>231</v>
      </c>
      <c r="K279" s="1264">
        <v>0</v>
      </c>
      <c r="L279" s="1264">
        <v>0</v>
      </c>
      <c r="M279" s="1264">
        <v>0</v>
      </c>
      <c r="N279" s="1264">
        <v>0</v>
      </c>
    </row>
    <row r="280" spans="10:14">
      <c r="J280" s="1264">
        <v>225</v>
      </c>
      <c r="K280" s="1264">
        <v>0</v>
      </c>
      <c r="L280" s="1264">
        <v>0</v>
      </c>
      <c r="M280" s="1264">
        <v>3</v>
      </c>
      <c r="N280" s="1264">
        <v>0</v>
      </c>
    </row>
    <row r="281" spans="10:14">
      <c r="J281" s="1264">
        <v>226</v>
      </c>
      <c r="K281" s="1264">
        <v>0</v>
      </c>
      <c r="L281" s="1264">
        <v>0</v>
      </c>
      <c r="M281" s="1264">
        <v>2</v>
      </c>
      <c r="N281" s="1264">
        <v>1</v>
      </c>
    </row>
    <row r="282" spans="10:14">
      <c r="J282" s="1264">
        <v>227</v>
      </c>
      <c r="K282" s="1264">
        <v>0</v>
      </c>
      <c r="L282" s="1264">
        <v>0</v>
      </c>
      <c r="M282" s="1264">
        <v>2</v>
      </c>
      <c r="N282" s="1264">
        <v>0</v>
      </c>
    </row>
    <row r="283" spans="10:14">
      <c r="J283" s="1264">
        <v>228</v>
      </c>
      <c r="K283" s="1264">
        <v>0</v>
      </c>
      <c r="L283" s="1264">
        <v>0</v>
      </c>
      <c r="M283" s="1264">
        <v>1</v>
      </c>
      <c r="N283" s="1264">
        <v>1</v>
      </c>
    </row>
    <row r="284" spans="10:14">
      <c r="J284" s="1264">
        <v>229</v>
      </c>
      <c r="K284" s="1264">
        <v>0</v>
      </c>
      <c r="L284" s="1264">
        <v>0</v>
      </c>
      <c r="M284" s="1264">
        <v>1</v>
      </c>
      <c r="N284" s="1264">
        <v>0</v>
      </c>
    </row>
    <row r="285" spans="10:14">
      <c r="J285" s="1264">
        <v>230</v>
      </c>
      <c r="K285" s="1264">
        <v>0</v>
      </c>
      <c r="L285" s="1264">
        <v>0</v>
      </c>
      <c r="M285" s="1264">
        <v>0</v>
      </c>
      <c r="N285" s="1264">
        <v>1</v>
      </c>
    </row>
    <row r="286" spans="10:14">
      <c r="J286" s="1264">
        <v>231</v>
      </c>
      <c r="K286" s="1264">
        <v>0</v>
      </c>
      <c r="L286" s="1264">
        <v>0</v>
      </c>
      <c r="M286" s="1264">
        <v>0</v>
      </c>
      <c r="N286" s="1264">
        <v>0</v>
      </c>
    </row>
    <row r="287" spans="10:14">
      <c r="J287" s="1264"/>
      <c r="K287" s="1264"/>
      <c r="L287" s="1264"/>
      <c r="M287" s="1264"/>
      <c r="N287" s="1264"/>
    </row>
    <row r="288" spans="10:14">
      <c r="J288" s="1264"/>
      <c r="K288" s="1264"/>
      <c r="L288" s="1264"/>
      <c r="M288" s="1264"/>
      <c r="N288" s="1264"/>
    </row>
    <row r="289" spans="10:14">
      <c r="J289" s="1264"/>
      <c r="K289" s="1264"/>
      <c r="L289" s="1264"/>
      <c r="M289" s="1264"/>
      <c r="N289" s="1264"/>
    </row>
    <row r="290" spans="10:14">
      <c r="J290" s="1264"/>
      <c r="K290" s="1264"/>
      <c r="L290" s="1264"/>
      <c r="M290" s="1264"/>
      <c r="N290" s="1264"/>
    </row>
    <row r="291" spans="10:14">
      <c r="J291" s="1264"/>
      <c r="K291" s="1264"/>
      <c r="L291" s="1264"/>
      <c r="M291" s="1264"/>
      <c r="N291" s="1264"/>
    </row>
    <row r="292" spans="10:14">
      <c r="J292" s="1264"/>
      <c r="K292" s="1264"/>
      <c r="L292" s="1264"/>
      <c r="M292" s="1264"/>
      <c r="N292" s="1264"/>
    </row>
    <row r="293" spans="10:14">
      <c r="J293" s="1264"/>
      <c r="K293" s="1264"/>
      <c r="L293" s="1264"/>
      <c r="M293" s="1264"/>
      <c r="N293" s="1264"/>
    </row>
    <row r="294" spans="10:14">
      <c r="J294" s="1264"/>
      <c r="K294" s="1264"/>
      <c r="L294" s="1264"/>
      <c r="M294" s="1264"/>
      <c r="N294" s="1264"/>
    </row>
    <row r="295" spans="10:14">
      <c r="J295" s="1264"/>
      <c r="K295" s="1264"/>
      <c r="L295" s="1264"/>
      <c r="M295" s="1264"/>
      <c r="N295" s="1264"/>
    </row>
    <row r="296" spans="10:14">
      <c r="J296" s="1264"/>
      <c r="K296" s="1264"/>
      <c r="L296" s="1264"/>
      <c r="M296" s="1264"/>
      <c r="N296" s="1264"/>
    </row>
    <row r="297" spans="10:14">
      <c r="J297" s="1264"/>
      <c r="K297" s="1264"/>
      <c r="L297" s="1264"/>
      <c r="M297" s="1264"/>
      <c r="N297" s="1264"/>
    </row>
    <row r="298" spans="10:14">
      <c r="J298" s="1264"/>
      <c r="K298" s="1264"/>
      <c r="L298" s="1264"/>
      <c r="M298" s="1264"/>
      <c r="N298" s="1264"/>
    </row>
    <row r="299" spans="10:14">
      <c r="J299" s="1264"/>
      <c r="K299" s="1264"/>
      <c r="L299" s="1264"/>
      <c r="M299" s="1264"/>
      <c r="N299" s="1264"/>
    </row>
    <row r="300" spans="10:14">
      <c r="J300" s="1264"/>
      <c r="K300" s="1264"/>
      <c r="L300" s="1264"/>
      <c r="M300" s="1264"/>
      <c r="N300" s="1264"/>
    </row>
    <row r="301" spans="10:14">
      <c r="J301" s="1264"/>
      <c r="K301" s="1264"/>
      <c r="L301" s="1264"/>
      <c r="M301" s="1264"/>
      <c r="N301" s="1264"/>
    </row>
    <row r="302" spans="10:14">
      <c r="J302" s="1264"/>
      <c r="K302" s="1264"/>
      <c r="L302" s="1264"/>
      <c r="M302" s="1264"/>
      <c r="N302" s="1264"/>
    </row>
    <row r="303" spans="10:14">
      <c r="J303" s="1264"/>
      <c r="K303" s="1264"/>
      <c r="L303" s="1264"/>
      <c r="M303" s="1264"/>
      <c r="N303" s="1264"/>
    </row>
    <row r="304" spans="10:14">
      <c r="J304" s="1264"/>
      <c r="K304" s="1264"/>
      <c r="L304" s="1264"/>
      <c r="M304" s="1264"/>
      <c r="N304" s="1264"/>
    </row>
    <row r="305" spans="10:14">
      <c r="J305" s="1264"/>
      <c r="K305" s="1264"/>
      <c r="L305" s="1264"/>
      <c r="M305" s="1264"/>
      <c r="N305" s="1264"/>
    </row>
    <row r="306" spans="10:14">
      <c r="J306" s="1264"/>
      <c r="K306" s="1264"/>
      <c r="L306" s="1264"/>
      <c r="M306" s="1264"/>
      <c r="N306" s="1264"/>
    </row>
    <row r="307" spans="10:14">
      <c r="J307" s="1264"/>
      <c r="K307" s="1264"/>
      <c r="L307" s="1264"/>
      <c r="M307" s="1264"/>
      <c r="N307" s="1264"/>
    </row>
    <row r="308" spans="10:14">
      <c r="J308" s="1264"/>
      <c r="K308" s="1264"/>
      <c r="L308" s="1264"/>
      <c r="M308" s="1264"/>
      <c r="N308" s="1264"/>
    </row>
    <row r="309" spans="10:14">
      <c r="J309" s="1264"/>
      <c r="K309" s="1264"/>
      <c r="L309" s="1264"/>
      <c r="M309" s="1264"/>
      <c r="N309" s="1264"/>
    </row>
    <row r="310" spans="10:14">
      <c r="J310" s="1264"/>
      <c r="K310" s="1264"/>
      <c r="L310" s="1264"/>
      <c r="M310" s="1264"/>
      <c r="N310" s="1264"/>
    </row>
    <row r="311" spans="10:14">
      <c r="J311" s="1264"/>
      <c r="K311" s="1264"/>
      <c r="L311" s="1264"/>
      <c r="M311" s="1264"/>
      <c r="N311" s="1264"/>
    </row>
    <row r="312" spans="10:14">
      <c r="J312" s="1264"/>
      <c r="K312" s="1264"/>
      <c r="L312" s="1264"/>
      <c r="M312" s="1264"/>
      <c r="N312" s="1264"/>
    </row>
    <row r="313" spans="10:14">
      <c r="J313" s="1264"/>
      <c r="K313" s="1264"/>
      <c r="L313" s="1264"/>
      <c r="M313" s="1264"/>
      <c r="N313" s="1264"/>
    </row>
    <row r="314" spans="10:14">
      <c r="J314" s="1264"/>
      <c r="K314" s="1264"/>
      <c r="L314" s="1264"/>
      <c r="M314" s="1264"/>
      <c r="N314" s="1264"/>
    </row>
    <row r="315" spans="10:14">
      <c r="J315" s="1264"/>
      <c r="K315" s="1264"/>
      <c r="L315" s="1264"/>
      <c r="M315" s="1264"/>
      <c r="N315" s="1264"/>
    </row>
    <row r="316" spans="10:14">
      <c r="J316" s="1264"/>
      <c r="K316" s="1264"/>
      <c r="L316" s="1264"/>
      <c r="M316" s="1264"/>
      <c r="N316" s="1264"/>
    </row>
    <row r="317" spans="10:14">
      <c r="J317" s="1264"/>
      <c r="K317" s="1264"/>
      <c r="L317" s="1264"/>
      <c r="M317" s="1264"/>
      <c r="N317" s="1264"/>
    </row>
    <row r="318" spans="10:14">
      <c r="J318" s="1264"/>
      <c r="K318" s="1264"/>
      <c r="L318" s="1264"/>
      <c r="M318" s="1264"/>
      <c r="N318" s="1264"/>
    </row>
    <row r="319" spans="10:14">
      <c r="J319" s="1264"/>
      <c r="K319" s="1264"/>
      <c r="L319" s="1264"/>
      <c r="M319" s="1264"/>
      <c r="N319" s="1264"/>
    </row>
    <row r="320" spans="10:14">
      <c r="J320" s="1264"/>
      <c r="K320" s="1264"/>
      <c r="L320" s="1264"/>
      <c r="M320" s="1264"/>
      <c r="N320" s="1264"/>
    </row>
    <row r="321" spans="10:14">
      <c r="J321" s="1264"/>
      <c r="K321" s="1264"/>
      <c r="L321" s="1264"/>
      <c r="M321" s="1264"/>
      <c r="N321" s="1264"/>
    </row>
    <row r="322" spans="10:14">
      <c r="J322" s="1264"/>
      <c r="K322" s="1264"/>
      <c r="L322" s="1264"/>
      <c r="M322" s="1264"/>
      <c r="N322" s="1264"/>
    </row>
    <row r="323" spans="10:14">
      <c r="J323" s="1264"/>
      <c r="K323" s="1264"/>
      <c r="L323" s="1264"/>
      <c r="M323" s="1264"/>
      <c r="N323" s="1264"/>
    </row>
    <row r="324" spans="10:14">
      <c r="J324" s="1264"/>
      <c r="K324" s="1264"/>
      <c r="L324" s="1264"/>
      <c r="M324" s="1264"/>
      <c r="N324" s="1264"/>
    </row>
    <row r="325" spans="10:14">
      <c r="J325" s="1264"/>
      <c r="K325" s="1264"/>
      <c r="L325" s="1264"/>
      <c r="M325" s="1264"/>
      <c r="N325" s="1264"/>
    </row>
    <row r="326" spans="10:14">
      <c r="J326" s="1264"/>
      <c r="K326" s="1264"/>
      <c r="L326" s="1264"/>
      <c r="M326" s="1264"/>
      <c r="N326" s="1264"/>
    </row>
    <row r="327" spans="10:14">
      <c r="J327" s="1264"/>
      <c r="K327" s="1264"/>
      <c r="L327" s="1264"/>
      <c r="M327" s="1264"/>
      <c r="N327" s="1264"/>
    </row>
    <row r="328" spans="10:14">
      <c r="J328" s="1264"/>
      <c r="K328" s="1264"/>
      <c r="L328" s="1264"/>
      <c r="M328" s="1264"/>
      <c r="N328" s="1264"/>
    </row>
    <row r="329" spans="10:14">
      <c r="J329" s="1264"/>
      <c r="K329" s="1264"/>
      <c r="L329" s="1264"/>
      <c r="M329" s="1264"/>
      <c r="N329" s="1264"/>
    </row>
    <row r="330" spans="10:14">
      <c r="J330" s="1264"/>
      <c r="K330" s="1264"/>
      <c r="L330" s="1264"/>
      <c r="M330" s="1264"/>
      <c r="N330" s="1264"/>
    </row>
    <row r="331" spans="10:14">
      <c r="J331" s="1264"/>
      <c r="K331" s="1264"/>
      <c r="L331" s="1264"/>
      <c r="M331" s="1264"/>
      <c r="N331" s="1264"/>
    </row>
    <row r="332" spans="10:14">
      <c r="J332" s="1264"/>
      <c r="K332" s="1264"/>
      <c r="L332" s="1264"/>
      <c r="M332" s="1264"/>
      <c r="N332" s="1264"/>
    </row>
    <row r="333" spans="10:14">
      <c r="J333" s="1264"/>
      <c r="K333" s="1264"/>
      <c r="L333" s="1264"/>
      <c r="M333" s="1264"/>
      <c r="N333" s="1264"/>
    </row>
    <row r="334" spans="10:14">
      <c r="J334" s="1264"/>
      <c r="K334" s="1264"/>
      <c r="L334" s="1264"/>
      <c r="M334" s="1264"/>
      <c r="N334" s="1264"/>
    </row>
    <row r="335" spans="10:14">
      <c r="J335" s="1264"/>
      <c r="K335" s="1264"/>
      <c r="L335" s="1264"/>
      <c r="M335" s="1264"/>
      <c r="N335" s="1264"/>
    </row>
    <row r="336" spans="10:14">
      <c r="J336" s="1264"/>
      <c r="K336" s="1264"/>
      <c r="L336" s="1264"/>
      <c r="M336" s="1264"/>
      <c r="N336" s="1264"/>
    </row>
    <row r="337" spans="10:14">
      <c r="J337" s="1264"/>
      <c r="K337" s="1264"/>
      <c r="L337" s="1264"/>
      <c r="M337" s="1264"/>
      <c r="N337" s="1264"/>
    </row>
  </sheetData>
  <mergeCells count="3">
    <mergeCell ref="B4:D4"/>
    <mergeCell ref="E4:F4"/>
    <mergeCell ref="G4:H4"/>
  </mergeCells>
  <conditionalFormatting sqref="S49:S52 S56:S59">
    <cfRule type="cellIs" dxfId="0" priority="2" operator="equal">
      <formula>0</formula>
    </cfRule>
  </conditionalFormatting>
  <dataValidations count="3">
    <dataValidation type="list" allowBlank="1" showInputMessage="1" showErrorMessage="1" sqref="P4:P6">
      <formula1>"Yes,No"</formula1>
    </dataValidation>
    <dataValidation type="whole" allowBlank="1" showInputMessage="1" showErrorMessage="1" sqref="M34:N34">
      <formula1>-20</formula1>
      <formula2>20</formula2>
    </dataValidation>
    <dataValidation type="list" allowBlank="1" showInputMessage="1" showErrorMessage="1" sqref="M35:N35">
      <formula1>"0,2,3"</formula1>
    </dataValidation>
  </dataValidations>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sheetPr codeName="Sheet6"/>
  <dimension ref="A1:A641"/>
  <sheetViews>
    <sheetView workbookViewId="0"/>
  </sheetViews>
  <sheetFormatPr defaultColWidth="8.5703125" defaultRowHeight="15"/>
  <cols>
    <col min="1" max="1" width="73.42578125" customWidth="1"/>
  </cols>
  <sheetData>
    <row r="1" spans="1:1">
      <c r="A1" s="1310" t="s">
        <v>167</v>
      </c>
    </row>
    <row r="2" spans="1:1">
      <c r="A2" s="1310" t="s">
        <v>168</v>
      </c>
    </row>
    <row r="3" spans="1:1">
      <c r="A3" s="1310" t="s">
        <v>150</v>
      </c>
    </row>
    <row r="4" spans="1:1">
      <c r="A4" s="1310" t="s">
        <v>169</v>
      </c>
    </row>
    <row r="5" spans="1:1">
      <c r="A5" s="1310" t="s">
        <v>170</v>
      </c>
    </row>
    <row r="6" spans="1:1">
      <c r="A6" s="1310" t="s">
        <v>150</v>
      </c>
    </row>
    <row r="7" spans="1:1">
      <c r="A7" s="1310" t="s">
        <v>171</v>
      </c>
    </row>
    <row r="8" spans="1:1">
      <c r="A8" s="1310" t="s">
        <v>172</v>
      </c>
    </row>
    <row r="9" spans="1:1">
      <c r="A9" s="1310" t="s">
        <v>173</v>
      </c>
    </row>
    <row r="10" spans="1:1">
      <c r="A10" s="1310" t="s">
        <v>174</v>
      </c>
    </row>
    <row r="11" spans="1:1">
      <c r="A11" s="1310" t="s">
        <v>175</v>
      </c>
    </row>
    <row r="12" spans="1:1">
      <c r="A12" s="1310" t="s">
        <v>176</v>
      </c>
    </row>
    <row r="13" spans="1:1">
      <c r="A13" s="1310" t="s">
        <v>172</v>
      </c>
    </row>
    <row r="14" spans="1:1">
      <c r="A14" s="1310" t="s">
        <v>175</v>
      </c>
    </row>
    <row r="15" spans="1:1">
      <c r="A15" s="1310"/>
    </row>
    <row r="16" spans="1:1">
      <c r="A16" s="1310" t="s">
        <v>177</v>
      </c>
    </row>
    <row r="17" spans="1:1">
      <c r="A17" s="1310" t="s">
        <v>178</v>
      </c>
    </row>
    <row r="18" spans="1:1">
      <c r="A18" s="1310" t="s">
        <v>179</v>
      </c>
    </row>
    <row r="19" spans="1:1">
      <c r="A19" s="1310"/>
    </row>
    <row r="20" spans="1:1">
      <c r="A20" s="1310" t="s">
        <v>180</v>
      </c>
    </row>
    <row r="21" spans="1:1">
      <c r="A21" s="1310"/>
    </row>
    <row r="22" spans="1:1">
      <c r="A22" s="1310" t="s">
        <v>181</v>
      </c>
    </row>
    <row r="23" spans="1:1">
      <c r="A23" s="1310"/>
    </row>
    <row r="24" spans="1:1">
      <c r="A24" s="1310" t="s">
        <v>150</v>
      </c>
    </row>
    <row r="25" spans="1:1">
      <c r="A25" s="1310" t="s">
        <v>182</v>
      </c>
    </row>
    <row r="26" spans="1:1">
      <c r="A26" s="1310" t="s">
        <v>150</v>
      </c>
    </row>
    <row r="27" spans="1:1">
      <c r="A27" s="1310" t="s">
        <v>183</v>
      </c>
    </row>
    <row r="28" spans="1:1">
      <c r="A28" s="1310" t="s">
        <v>184</v>
      </c>
    </row>
    <row r="29" spans="1:1">
      <c r="A29" s="1310" t="s">
        <v>185</v>
      </c>
    </row>
    <row r="30" spans="1:1">
      <c r="A30" s="1310" t="s">
        <v>186</v>
      </c>
    </row>
    <row r="31" spans="1:1">
      <c r="A31" s="1310" t="s">
        <v>187</v>
      </c>
    </row>
    <row r="32" spans="1:1">
      <c r="A32" s="1310" t="s">
        <v>150</v>
      </c>
    </row>
    <row r="33" spans="1:1">
      <c r="A33" s="1310" t="s">
        <v>188</v>
      </c>
    </row>
    <row r="34" spans="1:1">
      <c r="A34" s="1310" t="s">
        <v>189</v>
      </c>
    </row>
    <row r="35" spans="1:1">
      <c r="A35" s="1310" t="s">
        <v>190</v>
      </c>
    </row>
    <row r="36" spans="1:1">
      <c r="A36" s="1310" t="s">
        <v>191</v>
      </c>
    </row>
    <row r="37" spans="1:1">
      <c r="A37" s="1310" t="s">
        <v>192</v>
      </c>
    </row>
    <row r="38" spans="1:1">
      <c r="A38" s="1310"/>
    </row>
    <row r="39" spans="1:1">
      <c r="A39" s="1310" t="s">
        <v>150</v>
      </c>
    </row>
    <row r="40" spans="1:1">
      <c r="A40" s="1310" t="s">
        <v>150</v>
      </c>
    </row>
    <row r="41" spans="1:1">
      <c r="A41" s="1310" t="s">
        <v>193</v>
      </c>
    </row>
    <row r="42" spans="1:1">
      <c r="A42" s="1310" t="s">
        <v>150</v>
      </c>
    </row>
    <row r="43" spans="1:1">
      <c r="A43" s="1310" t="s">
        <v>194</v>
      </c>
    </row>
    <row r="44" spans="1:1">
      <c r="A44" s="1310" t="s">
        <v>195</v>
      </c>
    </row>
    <row r="45" spans="1:1">
      <c r="A45" s="1310" t="s">
        <v>196</v>
      </c>
    </row>
    <row r="46" spans="1:1">
      <c r="A46" s="1310" t="s">
        <v>197</v>
      </c>
    </row>
    <row r="47" spans="1:1">
      <c r="A47" s="1310" t="s">
        <v>198</v>
      </c>
    </row>
    <row r="48" spans="1:1">
      <c r="A48" s="1310" t="s">
        <v>199</v>
      </c>
    </row>
    <row r="49" spans="1:1">
      <c r="A49" s="1310" t="s">
        <v>200</v>
      </c>
    </row>
    <row r="50" spans="1:1">
      <c r="A50" s="1310" t="s">
        <v>201</v>
      </c>
    </row>
    <row r="51" spans="1:1">
      <c r="A51" s="1310"/>
    </row>
    <row r="52" spans="1:1">
      <c r="A52" s="1310" t="s">
        <v>150</v>
      </c>
    </row>
    <row r="53" spans="1:1">
      <c r="A53" s="1310" t="s">
        <v>150</v>
      </c>
    </row>
    <row r="54" spans="1:1">
      <c r="A54" s="1310" t="s">
        <v>202</v>
      </c>
    </row>
    <row r="55" spans="1:1">
      <c r="A55" s="1310" t="s">
        <v>150</v>
      </c>
    </row>
    <row r="56" spans="1:1">
      <c r="A56" s="1310" t="s">
        <v>203</v>
      </c>
    </row>
    <row r="57" spans="1:1">
      <c r="A57" s="1310" t="s">
        <v>204</v>
      </c>
    </row>
    <row r="58" spans="1:1">
      <c r="A58" s="1310" t="s">
        <v>150</v>
      </c>
    </row>
    <row r="59" spans="1:1">
      <c r="A59" s="1310" t="s">
        <v>205</v>
      </c>
    </row>
    <row r="60" spans="1:1">
      <c r="A60" s="1310" t="s">
        <v>206</v>
      </c>
    </row>
    <row r="61" spans="1:1">
      <c r="A61" s="1310" t="s">
        <v>207</v>
      </c>
    </row>
    <row r="62" spans="1:1">
      <c r="A62" s="1310" t="s">
        <v>208</v>
      </c>
    </row>
    <row r="63" spans="1:1">
      <c r="A63" s="1310"/>
    </row>
    <row r="64" spans="1:1">
      <c r="A64" s="1310" t="s">
        <v>209</v>
      </c>
    </row>
    <row r="65" spans="1:1">
      <c r="A65" s="1310" t="s">
        <v>210</v>
      </c>
    </row>
    <row r="66" spans="1:1">
      <c r="A66" s="1310" t="s">
        <v>211</v>
      </c>
    </row>
    <row r="67" spans="1:1">
      <c r="A67" s="1310" t="s">
        <v>212</v>
      </c>
    </row>
    <row r="68" spans="1:1">
      <c r="A68" s="1310"/>
    </row>
    <row r="69" spans="1:1">
      <c r="A69" s="1310" t="s">
        <v>1682</v>
      </c>
    </row>
    <row r="70" spans="1:1">
      <c r="A70" s="1310" t="s">
        <v>1683</v>
      </c>
    </row>
    <row r="71" spans="1:1">
      <c r="A71" s="1310"/>
    </row>
    <row r="72" spans="1:1">
      <c r="A72" s="1310" t="s">
        <v>1684</v>
      </c>
    </row>
    <row r="73" spans="1:1">
      <c r="A73" s="1310" t="s">
        <v>1685</v>
      </c>
    </row>
    <row r="74" spans="1:1">
      <c r="A74" s="1310"/>
    </row>
    <row r="75" spans="1:1">
      <c r="A75" s="1310" t="s">
        <v>150</v>
      </c>
    </row>
    <row r="76" spans="1:1">
      <c r="A76" s="1310" t="s">
        <v>213</v>
      </c>
    </row>
    <row r="77" spans="1:1">
      <c r="A77" s="1310" t="s">
        <v>150</v>
      </c>
    </row>
    <row r="78" spans="1:1">
      <c r="A78" s="1310" t="s">
        <v>214</v>
      </c>
    </row>
    <row r="79" spans="1:1">
      <c r="A79" s="1310" t="s">
        <v>215</v>
      </c>
    </row>
    <row r="80" spans="1:1">
      <c r="A80" s="1310" t="s">
        <v>216</v>
      </c>
    </row>
    <row r="81" spans="1:1">
      <c r="A81" s="1310" t="s">
        <v>217</v>
      </c>
    </row>
    <row r="82" spans="1:1">
      <c r="A82" s="1310" t="s">
        <v>218</v>
      </c>
    </row>
    <row r="83" spans="1:1">
      <c r="A83" s="1310" t="s">
        <v>219</v>
      </c>
    </row>
    <row r="84" spans="1:1">
      <c r="A84" s="1310" t="s">
        <v>220</v>
      </c>
    </row>
    <row r="85" spans="1:1">
      <c r="A85" s="1310"/>
    </row>
    <row r="86" spans="1:1">
      <c r="A86" s="1310" t="s">
        <v>222</v>
      </c>
    </row>
    <row r="87" spans="1:1">
      <c r="A87" s="1310" t="s">
        <v>150</v>
      </c>
    </row>
    <row r="88" spans="1:1">
      <c r="A88" s="1310" t="s">
        <v>223</v>
      </c>
    </row>
    <row r="89" spans="1:1">
      <c r="A89" s="1310" t="s">
        <v>224</v>
      </c>
    </row>
    <row r="90" spans="1:1">
      <c r="A90" s="1310" t="s">
        <v>875</v>
      </c>
    </row>
    <row r="91" spans="1:1">
      <c r="A91" s="1310" t="s">
        <v>876</v>
      </c>
    </row>
    <row r="92" spans="1:1">
      <c r="A92" s="1310"/>
    </row>
    <row r="93" spans="1:1">
      <c r="A93" s="1310" t="s">
        <v>150</v>
      </c>
    </row>
    <row r="94" spans="1:1">
      <c r="A94" s="1310" t="s">
        <v>225</v>
      </c>
    </row>
    <row r="95" spans="1:1">
      <c r="A95" s="1310" t="s">
        <v>226</v>
      </c>
    </row>
    <row r="96" spans="1:1">
      <c r="A96" s="1310" t="s">
        <v>227</v>
      </c>
    </row>
    <row r="97" spans="1:1">
      <c r="A97" s="1310" t="s">
        <v>228</v>
      </c>
    </row>
    <row r="98" spans="1:1">
      <c r="A98" s="1310" t="s">
        <v>229</v>
      </c>
    </row>
    <row r="99" spans="1:1">
      <c r="A99" s="1310" t="s">
        <v>230</v>
      </c>
    </row>
    <row r="100" spans="1:1">
      <c r="A100" s="1310" t="s">
        <v>231</v>
      </c>
    </row>
    <row r="101" spans="1:1">
      <c r="A101" s="1310" t="s">
        <v>232</v>
      </c>
    </row>
    <row r="102" spans="1:1">
      <c r="A102" s="1310" t="s">
        <v>233</v>
      </c>
    </row>
    <row r="103" spans="1:1">
      <c r="A103" s="1310" t="s">
        <v>150</v>
      </c>
    </row>
    <row r="104" spans="1:1">
      <c r="A104" s="1310" t="s">
        <v>234</v>
      </c>
    </row>
    <row r="105" spans="1:1">
      <c r="A105" s="1310" t="s">
        <v>235</v>
      </c>
    </row>
    <row r="106" spans="1:1">
      <c r="A106" s="1310" t="s">
        <v>236</v>
      </c>
    </row>
    <row r="107" spans="1:1">
      <c r="A107" s="1310"/>
    </row>
    <row r="108" spans="1:1">
      <c r="A108" s="1310" t="s">
        <v>150</v>
      </c>
    </row>
    <row r="109" spans="1:1">
      <c r="A109" s="1310" t="s">
        <v>237</v>
      </c>
    </row>
    <row r="110" spans="1:1">
      <c r="A110" s="1310" t="s">
        <v>238</v>
      </c>
    </row>
    <row r="111" spans="1:1">
      <c r="A111" s="1310" t="s">
        <v>239</v>
      </c>
    </row>
    <row r="112" spans="1:1">
      <c r="A112" s="1310" t="s">
        <v>240</v>
      </c>
    </row>
    <row r="113" spans="1:1">
      <c r="A113" s="1310" t="s">
        <v>241</v>
      </c>
    </row>
    <row r="114" spans="1:1">
      <c r="A114" s="1310" t="s">
        <v>242</v>
      </c>
    </row>
    <row r="115" spans="1:1">
      <c r="A115" s="1310" t="s">
        <v>150</v>
      </c>
    </row>
    <row r="116" spans="1:1">
      <c r="A116" s="1310" t="s">
        <v>243</v>
      </c>
    </row>
    <row r="117" spans="1:1">
      <c r="A117" s="1310"/>
    </row>
    <row r="118" spans="1:1">
      <c r="A118" s="1310" t="s">
        <v>244</v>
      </c>
    </row>
    <row r="119" spans="1:1">
      <c r="A119" s="1310" t="s">
        <v>245</v>
      </c>
    </row>
    <row r="120" spans="1:1">
      <c r="A120" s="1310" t="s">
        <v>246</v>
      </c>
    </row>
    <row r="121" spans="1:1">
      <c r="A121" s="1310" t="s">
        <v>247</v>
      </c>
    </row>
    <row r="122" spans="1:1">
      <c r="A122" s="1310" t="s">
        <v>248</v>
      </c>
    </row>
    <row r="123" spans="1:1">
      <c r="A123" s="1310" t="s">
        <v>150</v>
      </c>
    </row>
    <row r="124" spans="1:1">
      <c r="A124" s="1310" t="s">
        <v>249</v>
      </c>
    </row>
    <row r="125" spans="1:1">
      <c r="A125" s="1310"/>
    </row>
    <row r="126" spans="1:1">
      <c r="A126" s="1310" t="s">
        <v>150</v>
      </c>
    </row>
    <row r="127" spans="1:1">
      <c r="A127" s="1310" t="s">
        <v>250</v>
      </c>
    </row>
    <row r="128" spans="1:1">
      <c r="A128" s="1310" t="s">
        <v>150</v>
      </c>
    </row>
    <row r="129" spans="1:1">
      <c r="A129" s="1310" t="s">
        <v>251</v>
      </c>
    </row>
    <row r="130" spans="1:1">
      <c r="A130" s="1310" t="s">
        <v>252</v>
      </c>
    </row>
    <row r="131" spans="1:1">
      <c r="A131" s="1310" t="s">
        <v>253</v>
      </c>
    </row>
    <row r="132" spans="1:1">
      <c r="A132" s="1310" t="s">
        <v>254</v>
      </c>
    </row>
    <row r="133" spans="1:1">
      <c r="A133" s="1310" t="s">
        <v>150</v>
      </c>
    </row>
    <row r="134" spans="1:1">
      <c r="A134" s="1310" t="s">
        <v>150</v>
      </c>
    </row>
    <row r="135" spans="1:1">
      <c r="A135" s="1310" t="s">
        <v>255</v>
      </c>
    </row>
    <row r="136" spans="1:1">
      <c r="A136" s="1310" t="s">
        <v>150</v>
      </c>
    </row>
    <row r="137" spans="1:1">
      <c r="A137" s="1310" t="s">
        <v>256</v>
      </c>
    </row>
    <row r="138" spans="1:1">
      <c r="A138" s="1310"/>
    </row>
    <row r="139" spans="1:1">
      <c r="A139" s="1310" t="s">
        <v>257</v>
      </c>
    </row>
    <row r="140" spans="1:1">
      <c r="A140" s="1310" t="s">
        <v>258</v>
      </c>
    </row>
    <row r="141" spans="1:1">
      <c r="A141" s="1310" t="s">
        <v>877</v>
      </c>
    </row>
    <row r="142" spans="1:1">
      <c r="A142" s="1310" t="s">
        <v>259</v>
      </c>
    </row>
    <row r="143" spans="1:1">
      <c r="A143" s="1310" t="s">
        <v>878</v>
      </c>
    </row>
    <row r="144" spans="1:1">
      <c r="A144" s="1310" t="s">
        <v>879</v>
      </c>
    </row>
    <row r="145" spans="1:1">
      <c r="A145" s="1310" t="s">
        <v>880</v>
      </c>
    </row>
    <row r="146" spans="1:1">
      <c r="A146" s="1310" t="s">
        <v>270</v>
      </c>
    </row>
    <row r="147" spans="1:1">
      <c r="A147" s="1310" t="s">
        <v>271</v>
      </c>
    </row>
    <row r="148" spans="1:1">
      <c r="A148" s="1310" t="s">
        <v>272</v>
      </c>
    </row>
    <row r="149" spans="1:1">
      <c r="A149" s="1310" t="s">
        <v>273</v>
      </c>
    </row>
    <row r="150" spans="1:1">
      <c r="A150" s="1310" t="s">
        <v>274</v>
      </c>
    </row>
    <row r="151" spans="1:1">
      <c r="A151" s="1310"/>
    </row>
    <row r="152" spans="1:1">
      <c r="A152" s="1310" t="s">
        <v>275</v>
      </c>
    </row>
    <row r="153" spans="1:1">
      <c r="A153" s="1310" t="s">
        <v>276</v>
      </c>
    </row>
    <row r="154" spans="1:1">
      <c r="A154" s="1310" t="s">
        <v>277</v>
      </c>
    </row>
    <row r="155" spans="1:1">
      <c r="A155" s="1310" t="s">
        <v>278</v>
      </c>
    </row>
    <row r="156" spans="1:1">
      <c r="A156" s="1310" t="s">
        <v>279</v>
      </c>
    </row>
    <row r="157" spans="1:1">
      <c r="A157" s="1310" t="s">
        <v>280</v>
      </c>
    </row>
    <row r="158" spans="1:1">
      <c r="A158" s="1310" t="s">
        <v>281</v>
      </c>
    </row>
    <row r="159" spans="1:1">
      <c r="A159" s="1310" t="s">
        <v>282</v>
      </c>
    </row>
    <row r="160" spans="1:1">
      <c r="A160" s="1310" t="s">
        <v>283</v>
      </c>
    </row>
    <row r="161" spans="1:1">
      <c r="A161" s="1310" t="s">
        <v>284</v>
      </c>
    </row>
    <row r="162" spans="1:1">
      <c r="A162" s="1310" t="s">
        <v>285</v>
      </c>
    </row>
    <row r="163" spans="1:1">
      <c r="A163" s="1310" t="s">
        <v>286</v>
      </c>
    </row>
    <row r="164" spans="1:1">
      <c r="A164" s="1310" t="s">
        <v>287</v>
      </c>
    </row>
    <row r="165" spans="1:1">
      <c r="A165" s="1310" t="s">
        <v>288</v>
      </c>
    </row>
    <row r="166" spans="1:1">
      <c r="A166" s="1310" t="s">
        <v>289</v>
      </c>
    </row>
    <row r="167" spans="1:1">
      <c r="A167" s="1310" t="s">
        <v>290</v>
      </c>
    </row>
    <row r="168" spans="1:1">
      <c r="A168" s="1310" t="s">
        <v>291</v>
      </c>
    </row>
    <row r="169" spans="1:1">
      <c r="A169" s="1310" t="s">
        <v>292</v>
      </c>
    </row>
    <row r="170" spans="1:1">
      <c r="A170" s="1310"/>
    </row>
    <row r="171" spans="1:1">
      <c r="A171" s="1310" t="s">
        <v>293</v>
      </c>
    </row>
    <row r="172" spans="1:1">
      <c r="A172" s="1310" t="s">
        <v>294</v>
      </c>
    </row>
    <row r="173" spans="1:1">
      <c r="A173" s="1310" t="s">
        <v>295</v>
      </c>
    </row>
    <row r="174" spans="1:1">
      <c r="A174" s="1310" t="s">
        <v>296</v>
      </c>
    </row>
    <row r="175" spans="1:1">
      <c r="A175" s="1310" t="s">
        <v>297</v>
      </c>
    </row>
    <row r="176" spans="1:1">
      <c r="A176" s="1310" t="s">
        <v>298</v>
      </c>
    </row>
    <row r="177" spans="1:1">
      <c r="A177" s="1310" t="s">
        <v>299</v>
      </c>
    </row>
    <row r="178" spans="1:1">
      <c r="A178" s="1310" t="s">
        <v>300</v>
      </c>
    </row>
    <row r="179" spans="1:1">
      <c r="A179" s="1310" t="s">
        <v>301</v>
      </c>
    </row>
    <row r="180" spans="1:1">
      <c r="A180" s="1310"/>
    </row>
    <row r="181" spans="1:1">
      <c r="A181" s="1310" t="s">
        <v>150</v>
      </c>
    </row>
    <row r="182" spans="1:1">
      <c r="A182" s="1310" t="s">
        <v>302</v>
      </c>
    </row>
    <row r="183" spans="1:1">
      <c r="A183" s="1310" t="s">
        <v>303</v>
      </c>
    </row>
    <row r="184" spans="1:1">
      <c r="A184" s="1310" t="s">
        <v>150</v>
      </c>
    </row>
    <row r="185" spans="1:1">
      <c r="A185" s="1310" t="s">
        <v>304</v>
      </c>
    </row>
    <row r="186" spans="1:1">
      <c r="A186" s="1310" t="s">
        <v>305</v>
      </c>
    </row>
    <row r="187" spans="1:1">
      <c r="A187" s="1310" t="s">
        <v>306</v>
      </c>
    </row>
    <row r="188" spans="1:1">
      <c r="A188" s="1310" t="s">
        <v>307</v>
      </c>
    </row>
    <row r="189" spans="1:1">
      <c r="A189" s="1310" t="s">
        <v>308</v>
      </c>
    </row>
    <row r="190" spans="1:1">
      <c r="A190" s="1310" t="s">
        <v>309</v>
      </c>
    </row>
    <row r="191" spans="1:1">
      <c r="A191" s="1310" t="s">
        <v>310</v>
      </c>
    </row>
    <row r="192" spans="1:1">
      <c r="A192" s="1310" t="s">
        <v>881</v>
      </c>
    </row>
    <row r="193" spans="1:1">
      <c r="A193" s="1310" t="s">
        <v>312</v>
      </c>
    </row>
    <row r="194" spans="1:1">
      <c r="A194" s="1310" t="s">
        <v>313</v>
      </c>
    </row>
    <row r="195" spans="1:1">
      <c r="A195" s="1310"/>
    </row>
    <row r="196" spans="1:1">
      <c r="A196" s="1310" t="s">
        <v>315</v>
      </c>
    </row>
    <row r="197" spans="1:1">
      <c r="A197" s="1310" t="s">
        <v>316</v>
      </c>
    </row>
    <row r="198" spans="1:1">
      <c r="A198" s="1310" t="s">
        <v>317</v>
      </c>
    </row>
    <row r="199" spans="1:1">
      <c r="A199" s="1310" t="s">
        <v>318</v>
      </c>
    </row>
    <row r="200" spans="1:1">
      <c r="A200" s="1310" t="s">
        <v>319</v>
      </c>
    </row>
    <row r="201" spans="1:1">
      <c r="A201" s="1310"/>
    </row>
    <row r="202" spans="1:1">
      <c r="A202" s="1310" t="s">
        <v>320</v>
      </c>
    </row>
    <row r="203" spans="1:1">
      <c r="A203" s="1310" t="s">
        <v>321</v>
      </c>
    </row>
    <row r="204" spans="1:1">
      <c r="A204" s="1310"/>
    </row>
    <row r="205" spans="1:1">
      <c r="A205" s="1310" t="s">
        <v>322</v>
      </c>
    </row>
    <row r="206" spans="1:1">
      <c r="A206" s="1310" t="s">
        <v>323</v>
      </c>
    </row>
    <row r="207" spans="1:1">
      <c r="A207" s="1310" t="s">
        <v>324</v>
      </c>
    </row>
    <row r="208" spans="1:1">
      <c r="A208" s="1310"/>
    </row>
    <row r="209" spans="1:1">
      <c r="A209" s="1310" t="s">
        <v>325</v>
      </c>
    </row>
    <row r="210" spans="1:1">
      <c r="A210" s="1310" t="s">
        <v>326</v>
      </c>
    </row>
    <row r="211" spans="1:1">
      <c r="A211" s="1310" t="s">
        <v>327</v>
      </c>
    </row>
    <row r="212" spans="1:1">
      <c r="A212" s="1310" t="s">
        <v>328</v>
      </c>
    </row>
    <row r="213" spans="1:1">
      <c r="A213" s="1310" t="s">
        <v>329</v>
      </c>
    </row>
    <row r="214" spans="1:1">
      <c r="A214" s="1310" t="s">
        <v>330</v>
      </c>
    </row>
    <row r="215" spans="1:1">
      <c r="A215" s="1310"/>
    </row>
    <row r="216" spans="1:1">
      <c r="A216" s="1310" t="s">
        <v>331</v>
      </c>
    </row>
    <row r="217" spans="1:1">
      <c r="A217" s="1310" t="s">
        <v>332</v>
      </c>
    </row>
    <row r="218" spans="1:1">
      <c r="A218" s="1310" t="s">
        <v>333</v>
      </c>
    </row>
    <row r="219" spans="1:1">
      <c r="A219" s="1310" t="s">
        <v>334</v>
      </c>
    </row>
    <row r="220" spans="1:1">
      <c r="A220" s="1310"/>
    </row>
    <row r="221" spans="1:1">
      <c r="A221" s="1310" t="s">
        <v>335</v>
      </c>
    </row>
    <row r="222" spans="1:1">
      <c r="A222" s="1310" t="s">
        <v>336</v>
      </c>
    </row>
    <row r="223" spans="1:1">
      <c r="A223" s="1310" t="s">
        <v>337</v>
      </c>
    </row>
    <row r="224" spans="1:1">
      <c r="A224" s="1310" t="s">
        <v>338</v>
      </c>
    </row>
    <row r="225" spans="1:1">
      <c r="A225" s="1310" t="s">
        <v>339</v>
      </c>
    </row>
    <row r="226" spans="1:1">
      <c r="A226" s="1310"/>
    </row>
    <row r="227" spans="1:1">
      <c r="A227" s="1310" t="s">
        <v>340</v>
      </c>
    </row>
    <row r="228" spans="1:1">
      <c r="A228" s="1310" t="s">
        <v>341</v>
      </c>
    </row>
    <row r="229" spans="1:1">
      <c r="A229" s="1310" t="s">
        <v>342</v>
      </c>
    </row>
    <row r="230" spans="1:1">
      <c r="A230" s="1310" t="s">
        <v>343</v>
      </c>
    </row>
    <row r="231" spans="1:1">
      <c r="A231" s="1310" t="s">
        <v>344</v>
      </c>
    </row>
    <row r="232" spans="1:1">
      <c r="A232" s="1310" t="s">
        <v>345</v>
      </c>
    </row>
    <row r="233" spans="1:1">
      <c r="A233" s="1310" t="s">
        <v>346</v>
      </c>
    </row>
    <row r="234" spans="1:1">
      <c r="A234" s="1310"/>
    </row>
    <row r="235" spans="1:1">
      <c r="A235" s="1310" t="s">
        <v>347</v>
      </c>
    </row>
    <row r="236" spans="1:1">
      <c r="A236" s="1310" t="s">
        <v>348</v>
      </c>
    </row>
    <row r="237" spans="1:1">
      <c r="A237" s="1310" t="s">
        <v>349</v>
      </c>
    </row>
    <row r="238" spans="1:1">
      <c r="A238" s="1310" t="s">
        <v>350</v>
      </c>
    </row>
    <row r="239" spans="1:1">
      <c r="A239" s="1310" t="s">
        <v>351</v>
      </c>
    </row>
    <row r="240" spans="1:1">
      <c r="A240" s="1310"/>
    </row>
    <row r="241" spans="1:1">
      <c r="A241" s="1310" t="s">
        <v>352</v>
      </c>
    </row>
    <row r="242" spans="1:1">
      <c r="A242" s="1310" t="s">
        <v>353</v>
      </c>
    </row>
    <row r="243" spans="1:1">
      <c r="A243" s="1310"/>
    </row>
    <row r="244" spans="1:1">
      <c r="A244" s="1310" t="s">
        <v>354</v>
      </c>
    </row>
    <row r="245" spans="1:1">
      <c r="A245" s="1310" t="s">
        <v>355</v>
      </c>
    </row>
    <row r="246" spans="1:1">
      <c r="A246" s="1310" t="s">
        <v>356</v>
      </c>
    </row>
    <row r="247" spans="1:1">
      <c r="A247" s="1310"/>
    </row>
    <row r="248" spans="1:1">
      <c r="A248" s="1310"/>
    </row>
    <row r="249" spans="1:1">
      <c r="A249" s="1310" t="s">
        <v>150</v>
      </c>
    </row>
    <row r="250" spans="1:1">
      <c r="A250" s="1310" t="s">
        <v>357</v>
      </c>
    </row>
    <row r="251" spans="1:1">
      <c r="A251" s="1310" t="s">
        <v>150</v>
      </c>
    </row>
    <row r="252" spans="1:1">
      <c r="A252" s="1310" t="s">
        <v>358</v>
      </c>
    </row>
    <row r="253" spans="1:1">
      <c r="A253" s="1310" t="s">
        <v>359</v>
      </c>
    </row>
    <row r="254" spans="1:1">
      <c r="A254" s="1310" t="s">
        <v>360</v>
      </c>
    </row>
    <row r="255" spans="1:1">
      <c r="A255" s="1310" t="s">
        <v>363</v>
      </c>
    </row>
    <row r="256" spans="1:1">
      <c r="A256" s="1310" t="s">
        <v>364</v>
      </c>
    </row>
    <row r="257" spans="1:1">
      <c r="A257" s="1310" t="s">
        <v>365</v>
      </c>
    </row>
    <row r="258" spans="1:1">
      <c r="A258" s="1310" t="s">
        <v>366</v>
      </c>
    </row>
    <row r="259" spans="1:1">
      <c r="A259" s="1310"/>
    </row>
    <row r="260" spans="1:1">
      <c r="A260" s="1310" t="s">
        <v>150</v>
      </c>
    </row>
    <row r="261" spans="1:1">
      <c r="A261" s="1310" t="s">
        <v>150</v>
      </c>
    </row>
    <row r="262" spans="1:1">
      <c r="A262" s="1310" t="s">
        <v>367</v>
      </c>
    </row>
    <row r="263" spans="1:1">
      <c r="A263" s="1310" t="s">
        <v>150</v>
      </c>
    </row>
    <row r="264" spans="1:1">
      <c r="A264" s="1310" t="s">
        <v>368</v>
      </c>
    </row>
    <row r="265" spans="1:1">
      <c r="A265" s="1310" t="s">
        <v>369</v>
      </c>
    </row>
    <row r="266" spans="1:1">
      <c r="A266" s="1310" t="s">
        <v>370</v>
      </c>
    </row>
    <row r="267" spans="1:1">
      <c r="A267" s="1310" t="s">
        <v>371</v>
      </c>
    </row>
    <row r="268" spans="1:1">
      <c r="A268" s="1310" t="s">
        <v>372</v>
      </c>
    </row>
    <row r="269" spans="1:1">
      <c r="A269" s="1310" t="s">
        <v>373</v>
      </c>
    </row>
    <row r="270" spans="1:1">
      <c r="A270" s="1310"/>
    </row>
    <row r="271" spans="1:1">
      <c r="A271" s="1310" t="s">
        <v>383</v>
      </c>
    </row>
    <row r="272" spans="1:1">
      <c r="A272" s="1310" t="s">
        <v>882</v>
      </c>
    </row>
    <row r="273" spans="1:1">
      <c r="A273" s="1310" t="s">
        <v>385</v>
      </c>
    </row>
    <row r="274" spans="1:1">
      <c r="A274" s="1310" t="s">
        <v>386</v>
      </c>
    </row>
    <row r="275" spans="1:1">
      <c r="A275" s="1310"/>
    </row>
    <row r="276" spans="1:1">
      <c r="A276" s="1310" t="s">
        <v>387</v>
      </c>
    </row>
    <row r="277" spans="1:1">
      <c r="A277" s="1310" t="s">
        <v>388</v>
      </c>
    </row>
    <row r="278" spans="1:1">
      <c r="A278" s="1310" t="s">
        <v>389</v>
      </c>
    </row>
    <row r="279" spans="1:1">
      <c r="A279" s="1310" t="s">
        <v>390</v>
      </c>
    </row>
    <row r="280" spans="1:1">
      <c r="A280" s="1310"/>
    </row>
    <row r="281" spans="1:1">
      <c r="A281" s="1310" t="s">
        <v>391</v>
      </c>
    </row>
    <row r="282" spans="1:1">
      <c r="A282" s="1310" t="s">
        <v>392</v>
      </c>
    </row>
    <row r="283" spans="1:1">
      <c r="A283" s="1310" t="s">
        <v>393</v>
      </c>
    </row>
    <row r="284" spans="1:1">
      <c r="A284" s="1310" t="s">
        <v>394</v>
      </c>
    </row>
    <row r="285" spans="1:1">
      <c r="A285" s="1310"/>
    </row>
    <row r="286" spans="1:1">
      <c r="A286" s="1310" t="s">
        <v>395</v>
      </c>
    </row>
    <row r="287" spans="1:1">
      <c r="A287" s="1310" t="s">
        <v>396</v>
      </c>
    </row>
    <row r="288" spans="1:1">
      <c r="A288" s="1310"/>
    </row>
    <row r="289" spans="1:1">
      <c r="A289" s="1310" t="s">
        <v>397</v>
      </c>
    </row>
    <row r="290" spans="1:1">
      <c r="A290" s="1310" t="s">
        <v>398</v>
      </c>
    </row>
    <row r="291" spans="1:1">
      <c r="A291" s="1310" t="s">
        <v>399</v>
      </c>
    </row>
    <row r="292" spans="1:1">
      <c r="A292" s="1310" t="s">
        <v>400</v>
      </c>
    </row>
    <row r="293" spans="1:1">
      <c r="A293" s="1310" t="s">
        <v>401</v>
      </c>
    </row>
    <row r="294" spans="1:1">
      <c r="A294" s="1310" t="s">
        <v>402</v>
      </c>
    </row>
    <row r="295" spans="1:1">
      <c r="A295" s="1310" t="s">
        <v>403</v>
      </c>
    </row>
    <row r="296" spans="1:1">
      <c r="A296" s="1310" t="s">
        <v>404</v>
      </c>
    </row>
    <row r="297" spans="1:1">
      <c r="A297" s="1310" t="s">
        <v>405</v>
      </c>
    </row>
    <row r="298" spans="1:1">
      <c r="A298" s="1310" t="s">
        <v>406</v>
      </c>
    </row>
    <row r="299" spans="1:1">
      <c r="A299" s="1310" t="s">
        <v>407</v>
      </c>
    </row>
    <row r="300" spans="1:1">
      <c r="A300" s="1310" t="s">
        <v>408</v>
      </c>
    </row>
    <row r="301" spans="1:1">
      <c r="A301" s="1310" t="s">
        <v>409</v>
      </c>
    </row>
    <row r="302" spans="1:1">
      <c r="A302" s="1310"/>
    </row>
    <row r="303" spans="1:1">
      <c r="A303" s="1310" t="s">
        <v>410</v>
      </c>
    </row>
    <row r="304" spans="1:1">
      <c r="A304" s="1310" t="s">
        <v>150</v>
      </c>
    </row>
    <row r="305" spans="1:1">
      <c r="A305" s="1310" t="s">
        <v>150</v>
      </c>
    </row>
    <row r="306" spans="1:1">
      <c r="A306" s="1310" t="s">
        <v>411</v>
      </c>
    </row>
    <row r="307" spans="1:1">
      <c r="A307" s="1310" t="s">
        <v>412</v>
      </c>
    </row>
    <row r="308" spans="1:1">
      <c r="A308" s="1310" t="s">
        <v>150</v>
      </c>
    </row>
    <row r="309" spans="1:1">
      <c r="A309" s="1310" t="s">
        <v>413</v>
      </c>
    </row>
    <row r="310" spans="1:1">
      <c r="A310" s="1310" t="s">
        <v>414</v>
      </c>
    </row>
    <row r="311" spans="1:1">
      <c r="A311" s="1310" t="s">
        <v>415</v>
      </c>
    </row>
    <row r="312" spans="1:1">
      <c r="A312" s="1310" t="s">
        <v>416</v>
      </c>
    </row>
    <row r="313" spans="1:1">
      <c r="A313" s="1310" t="s">
        <v>150</v>
      </c>
    </row>
    <row r="314" spans="1:1">
      <c r="A314" s="1310" t="s">
        <v>150</v>
      </c>
    </row>
    <row r="315" spans="1:1">
      <c r="A315" s="1310" t="s">
        <v>417</v>
      </c>
    </row>
    <row r="316" spans="1:1">
      <c r="A316" s="1310" t="s">
        <v>418</v>
      </c>
    </row>
    <row r="317" spans="1:1">
      <c r="A317" s="1310" t="s">
        <v>150</v>
      </c>
    </row>
    <row r="318" spans="1:1">
      <c r="A318" s="1310" t="s">
        <v>419</v>
      </c>
    </row>
    <row r="319" spans="1:1">
      <c r="A319" s="1310" t="s">
        <v>150</v>
      </c>
    </row>
    <row r="320" spans="1:1">
      <c r="A320" s="1310" t="s">
        <v>420</v>
      </c>
    </row>
    <row r="321" spans="1:1">
      <c r="A321" s="1310" t="s">
        <v>421</v>
      </c>
    </row>
    <row r="322" spans="1:1">
      <c r="A322" s="1310" t="s">
        <v>422</v>
      </c>
    </row>
    <row r="323" spans="1:1">
      <c r="A323" s="1310" t="s">
        <v>423</v>
      </c>
    </row>
    <row r="324" spans="1:1">
      <c r="A324" s="1310" t="s">
        <v>150</v>
      </c>
    </row>
    <row r="325" spans="1:1">
      <c r="A325" s="1310" t="s">
        <v>424</v>
      </c>
    </row>
    <row r="326" spans="1:1">
      <c r="A326" s="1310" t="s">
        <v>425</v>
      </c>
    </row>
    <row r="327" spans="1:1">
      <c r="A327" s="1310" t="s">
        <v>426</v>
      </c>
    </row>
    <row r="328" spans="1:1">
      <c r="A328" s="1310" t="s">
        <v>427</v>
      </c>
    </row>
    <row r="329" spans="1:1">
      <c r="A329" s="1310" t="s">
        <v>428</v>
      </c>
    </row>
    <row r="330" spans="1:1">
      <c r="A330" s="1310" t="s">
        <v>429</v>
      </c>
    </row>
    <row r="331" spans="1:1">
      <c r="A331" s="1310" t="s">
        <v>150</v>
      </c>
    </row>
    <row r="332" spans="1:1">
      <c r="A332" s="1310" t="s">
        <v>430</v>
      </c>
    </row>
    <row r="333" spans="1:1">
      <c r="A333" s="1310" t="s">
        <v>150</v>
      </c>
    </row>
    <row r="334" spans="1:1">
      <c r="A334" s="1310" t="s">
        <v>431</v>
      </c>
    </row>
    <row r="335" spans="1:1">
      <c r="A335" s="1310" t="s">
        <v>432</v>
      </c>
    </row>
    <row r="336" spans="1:1">
      <c r="A336" s="1310" t="s">
        <v>433</v>
      </c>
    </row>
    <row r="337" spans="1:1">
      <c r="A337" s="1310"/>
    </row>
    <row r="338" spans="1:1">
      <c r="A338" s="1310" t="s">
        <v>437</v>
      </c>
    </row>
    <row r="339" spans="1:1">
      <c r="A339" s="1310" t="s">
        <v>150</v>
      </c>
    </row>
    <row r="340" spans="1:1">
      <c r="A340" s="1310" t="s">
        <v>438</v>
      </c>
    </row>
    <row r="341" spans="1:1">
      <c r="A341" s="1310" t="s">
        <v>439</v>
      </c>
    </row>
    <row r="342" spans="1:1">
      <c r="A342" s="1310" t="s">
        <v>440</v>
      </c>
    </row>
    <row r="343" spans="1:1">
      <c r="A343" s="1310" t="s">
        <v>441</v>
      </c>
    </row>
    <row r="344" spans="1:1">
      <c r="A344" s="1310" t="s">
        <v>442</v>
      </c>
    </row>
    <row r="345" spans="1:1">
      <c r="A345" s="1310" t="s">
        <v>443</v>
      </c>
    </row>
    <row r="346" spans="1:1">
      <c r="A346" s="1310" t="s">
        <v>444</v>
      </c>
    </row>
    <row r="347" spans="1:1">
      <c r="A347" s="1310" t="s">
        <v>445</v>
      </c>
    </row>
    <row r="348" spans="1:1">
      <c r="A348" s="1310" t="s">
        <v>446</v>
      </c>
    </row>
    <row r="349" spans="1:1">
      <c r="A349" s="1310" t="s">
        <v>150</v>
      </c>
    </row>
    <row r="350" spans="1:1">
      <c r="A350" s="1310" t="s">
        <v>447</v>
      </c>
    </row>
    <row r="351" spans="1:1">
      <c r="A351" s="1310" t="s">
        <v>448</v>
      </c>
    </row>
    <row r="352" spans="1:1">
      <c r="A352" s="1310" t="s">
        <v>150</v>
      </c>
    </row>
    <row r="353" spans="1:1">
      <c r="A353" s="1310" t="s">
        <v>449</v>
      </c>
    </row>
    <row r="354" spans="1:1">
      <c r="A354" s="1310" t="s">
        <v>450</v>
      </c>
    </row>
    <row r="355" spans="1:1">
      <c r="A355" s="1310" t="s">
        <v>451</v>
      </c>
    </row>
    <row r="356" spans="1:1">
      <c r="A356" s="1310" t="s">
        <v>452</v>
      </c>
    </row>
    <row r="357" spans="1:1">
      <c r="A357" s="1310" t="s">
        <v>453</v>
      </c>
    </row>
    <row r="358" spans="1:1">
      <c r="A358" s="1310" t="s">
        <v>454</v>
      </c>
    </row>
    <row r="359" spans="1:1">
      <c r="A359" s="1310"/>
    </row>
    <row r="360" spans="1:1">
      <c r="A360" s="1310" t="s">
        <v>150</v>
      </c>
    </row>
    <row r="361" spans="1:1">
      <c r="A361" s="1310" t="s">
        <v>455</v>
      </c>
    </row>
    <row r="362" spans="1:1">
      <c r="A362" s="1310" t="s">
        <v>150</v>
      </c>
    </row>
    <row r="363" spans="1:1">
      <c r="A363" s="1310" t="s">
        <v>456</v>
      </c>
    </row>
    <row r="364" spans="1:1">
      <c r="A364" s="1310" t="s">
        <v>457</v>
      </c>
    </row>
    <row r="365" spans="1:1">
      <c r="A365" s="1310" t="s">
        <v>458</v>
      </c>
    </row>
    <row r="366" spans="1:1">
      <c r="A366" s="1310" t="s">
        <v>459</v>
      </c>
    </row>
    <row r="367" spans="1:1">
      <c r="A367" s="1310"/>
    </row>
    <row r="368" spans="1:1">
      <c r="A368" s="1310" t="s">
        <v>469</v>
      </c>
    </row>
    <row r="369" spans="1:1">
      <c r="A369" s="1310" t="s">
        <v>150</v>
      </c>
    </row>
    <row r="370" spans="1:1">
      <c r="A370" s="1310" t="s">
        <v>470</v>
      </c>
    </row>
    <row r="371" spans="1:1">
      <c r="A371" s="1310" t="s">
        <v>150</v>
      </c>
    </row>
    <row r="372" spans="1:1">
      <c r="A372" s="1310" t="s">
        <v>471</v>
      </c>
    </row>
    <row r="373" spans="1:1">
      <c r="A373" s="1310" t="s">
        <v>472</v>
      </c>
    </row>
    <row r="374" spans="1:1">
      <c r="A374" s="1310"/>
    </row>
    <row r="375" spans="1:1">
      <c r="A375" s="1310" t="s">
        <v>473</v>
      </c>
    </row>
    <row r="376" spans="1:1">
      <c r="A376" s="1310" t="s">
        <v>474</v>
      </c>
    </row>
    <row r="377" spans="1:1">
      <c r="A377" s="1310" t="s">
        <v>475</v>
      </c>
    </row>
    <row r="378" spans="1:1">
      <c r="A378" s="1310" t="s">
        <v>476</v>
      </c>
    </row>
    <row r="379" spans="1:1">
      <c r="A379" s="1310" t="s">
        <v>477</v>
      </c>
    </row>
    <row r="380" spans="1:1">
      <c r="A380" s="1310" t="s">
        <v>150</v>
      </c>
    </row>
    <row r="381" spans="1:1">
      <c r="A381" s="1310" t="s">
        <v>478</v>
      </c>
    </row>
    <row r="382" spans="1:1">
      <c r="A382" s="1310" t="s">
        <v>479</v>
      </c>
    </row>
    <row r="383" spans="1:1">
      <c r="A383" s="1310" t="s">
        <v>480</v>
      </c>
    </row>
    <row r="384" spans="1:1">
      <c r="A384" s="1310" t="s">
        <v>481</v>
      </c>
    </row>
    <row r="385" spans="1:1">
      <c r="A385" s="1310"/>
    </row>
    <row r="386" spans="1:1">
      <c r="A386" s="1310" t="s">
        <v>482</v>
      </c>
    </row>
    <row r="387" spans="1:1">
      <c r="A387" s="1310" t="s">
        <v>483</v>
      </c>
    </row>
    <row r="388" spans="1:1">
      <c r="A388" s="1310" t="s">
        <v>150</v>
      </c>
    </row>
    <row r="389" spans="1:1">
      <c r="A389" s="1310" t="s">
        <v>150</v>
      </c>
    </row>
    <row r="390" spans="1:1">
      <c r="A390" s="1310" t="s">
        <v>484</v>
      </c>
    </row>
    <row r="391" spans="1:1">
      <c r="A391" s="1310" t="s">
        <v>485</v>
      </c>
    </row>
    <row r="392" spans="1:1">
      <c r="A392" s="1310" t="s">
        <v>150</v>
      </c>
    </row>
    <row r="393" spans="1:1">
      <c r="A393" s="1310" t="s">
        <v>486</v>
      </c>
    </row>
    <row r="394" spans="1:1">
      <c r="A394" s="1310"/>
    </row>
    <row r="395" spans="1:1">
      <c r="A395" s="1310" t="s">
        <v>487</v>
      </c>
    </row>
    <row r="396" spans="1:1">
      <c r="A396" s="1310" t="s">
        <v>488</v>
      </c>
    </row>
    <row r="397" spans="1:1">
      <c r="A397" s="1310" t="s">
        <v>489</v>
      </c>
    </row>
    <row r="398" spans="1:1">
      <c r="A398" s="1310" t="s">
        <v>490</v>
      </c>
    </row>
    <row r="399" spans="1:1">
      <c r="A399" s="1310" t="s">
        <v>491</v>
      </c>
    </row>
    <row r="400" spans="1:1">
      <c r="A400" s="1310" t="s">
        <v>492</v>
      </c>
    </row>
    <row r="401" spans="1:1">
      <c r="A401" s="1310"/>
    </row>
    <row r="402" spans="1:1">
      <c r="A402" s="1310" t="s">
        <v>493</v>
      </c>
    </row>
    <row r="403" spans="1:1">
      <c r="A403" s="1310" t="s">
        <v>494</v>
      </c>
    </row>
    <row r="404" spans="1:1">
      <c r="A404" s="1310" t="s">
        <v>495</v>
      </c>
    </row>
    <row r="405" spans="1:1">
      <c r="A405" s="1310" t="s">
        <v>496</v>
      </c>
    </row>
    <row r="406" spans="1:1">
      <c r="A406" s="1310" t="s">
        <v>497</v>
      </c>
    </row>
    <row r="407" spans="1:1">
      <c r="A407" s="1310"/>
    </row>
    <row r="408" spans="1:1">
      <c r="A408" s="1310" t="s">
        <v>498</v>
      </c>
    </row>
    <row r="409" spans="1:1">
      <c r="A409" s="1310" t="s">
        <v>499</v>
      </c>
    </row>
    <row r="410" spans="1:1">
      <c r="A410" s="1310" t="s">
        <v>500</v>
      </c>
    </row>
    <row r="411" spans="1:1">
      <c r="A411" s="1310" t="s">
        <v>501</v>
      </c>
    </row>
    <row r="412" spans="1:1">
      <c r="A412" s="1310" t="s">
        <v>502</v>
      </c>
    </row>
    <row r="413" spans="1:1">
      <c r="A413" s="1310" t="s">
        <v>503</v>
      </c>
    </row>
    <row r="414" spans="1:1">
      <c r="A414" s="1310"/>
    </row>
    <row r="415" spans="1:1">
      <c r="A415" s="1310" t="s">
        <v>504</v>
      </c>
    </row>
    <row r="416" spans="1:1">
      <c r="A416" s="1310" t="s">
        <v>505</v>
      </c>
    </row>
    <row r="417" spans="1:1">
      <c r="A417" s="1310" t="s">
        <v>506</v>
      </c>
    </row>
    <row r="418" spans="1:1">
      <c r="A418" s="1310" t="s">
        <v>507</v>
      </c>
    </row>
    <row r="419" spans="1:1">
      <c r="A419" s="1310" t="s">
        <v>508</v>
      </c>
    </row>
    <row r="420" spans="1:1">
      <c r="A420" s="1310"/>
    </row>
    <row r="421" spans="1:1">
      <c r="A421" s="1310" t="s">
        <v>509</v>
      </c>
    </row>
    <row r="422" spans="1:1">
      <c r="A422" s="1310" t="s">
        <v>510</v>
      </c>
    </row>
    <row r="423" spans="1:1">
      <c r="A423" s="1310" t="s">
        <v>511</v>
      </c>
    </row>
    <row r="424" spans="1:1">
      <c r="A424" s="1310" t="s">
        <v>512</v>
      </c>
    </row>
    <row r="425" spans="1:1">
      <c r="A425" s="1310" t="s">
        <v>513</v>
      </c>
    </row>
    <row r="426" spans="1:1">
      <c r="A426" s="1310"/>
    </row>
    <row r="427" spans="1:1">
      <c r="A427" s="1310" t="s">
        <v>514</v>
      </c>
    </row>
    <row r="428" spans="1:1">
      <c r="A428" s="1310" t="s">
        <v>515</v>
      </c>
    </row>
    <row r="429" spans="1:1">
      <c r="A429" s="1310" t="s">
        <v>516</v>
      </c>
    </row>
    <row r="430" spans="1:1">
      <c r="A430" s="1310" t="s">
        <v>517</v>
      </c>
    </row>
    <row r="431" spans="1:1">
      <c r="A431" s="1310" t="s">
        <v>518</v>
      </c>
    </row>
    <row r="432" spans="1:1">
      <c r="A432" s="1310"/>
    </row>
    <row r="433" spans="1:1">
      <c r="A433" s="1310" t="s">
        <v>150</v>
      </c>
    </row>
    <row r="434" spans="1:1">
      <c r="A434" s="1310" t="s">
        <v>150</v>
      </c>
    </row>
    <row r="435" spans="1:1">
      <c r="A435" s="1310" t="s">
        <v>519</v>
      </c>
    </row>
    <row r="436" spans="1:1">
      <c r="A436" s="1310" t="s">
        <v>520</v>
      </c>
    </row>
    <row r="437" spans="1:1">
      <c r="A437" s="1310" t="s">
        <v>521</v>
      </c>
    </row>
    <row r="438" spans="1:1">
      <c r="A438" s="1310" t="s">
        <v>150</v>
      </c>
    </row>
    <row r="439" spans="1:1">
      <c r="A439" s="1310" t="s">
        <v>522</v>
      </c>
    </row>
    <row r="440" spans="1:1">
      <c r="A440" s="1310" t="s">
        <v>523</v>
      </c>
    </row>
    <row r="441" spans="1:1">
      <c r="A441" s="1310" t="s">
        <v>524</v>
      </c>
    </row>
    <row r="442" spans="1:1">
      <c r="A442" s="1310" t="s">
        <v>525</v>
      </c>
    </row>
    <row r="443" spans="1:1">
      <c r="A443" s="1310"/>
    </row>
    <row r="444" spans="1:1">
      <c r="A444" s="1310" t="s">
        <v>526</v>
      </c>
    </row>
    <row r="445" spans="1:1">
      <c r="A445" s="1310" t="s">
        <v>527</v>
      </c>
    </row>
    <row r="446" spans="1:1">
      <c r="A446" s="1310" t="s">
        <v>528</v>
      </c>
    </row>
    <row r="447" spans="1:1">
      <c r="A447" s="1310" t="s">
        <v>529</v>
      </c>
    </row>
    <row r="448" spans="1:1">
      <c r="A448" s="1310"/>
    </row>
    <row r="449" spans="1:1">
      <c r="A449" s="1310" t="s">
        <v>530</v>
      </c>
    </row>
    <row r="450" spans="1:1">
      <c r="A450" s="1310" t="s">
        <v>531</v>
      </c>
    </row>
    <row r="451" spans="1:1">
      <c r="A451" s="1310" t="s">
        <v>532</v>
      </c>
    </row>
    <row r="452" spans="1:1">
      <c r="A452" s="1310" t="s">
        <v>533</v>
      </c>
    </row>
    <row r="453" spans="1:1">
      <c r="A453" s="1310" t="s">
        <v>534</v>
      </c>
    </row>
    <row r="454" spans="1:1">
      <c r="A454" s="1310" t="s">
        <v>535</v>
      </c>
    </row>
    <row r="455" spans="1:1">
      <c r="A455" s="1310"/>
    </row>
    <row r="456" spans="1:1">
      <c r="A456" s="1310" t="s">
        <v>541</v>
      </c>
    </row>
    <row r="457" spans="1:1">
      <c r="A457" s="1310" t="s">
        <v>542</v>
      </c>
    </row>
    <row r="458" spans="1:1">
      <c r="A458" s="1310" t="s">
        <v>543</v>
      </c>
    </row>
    <row r="459" spans="1:1">
      <c r="A459" s="1310" t="s">
        <v>545</v>
      </c>
    </row>
    <row r="460" spans="1:1">
      <c r="A460" s="1310"/>
    </row>
    <row r="461" spans="1:1">
      <c r="A461" s="1310"/>
    </row>
    <row r="462" spans="1:1">
      <c r="A462" s="1310" t="s">
        <v>546</v>
      </c>
    </row>
    <row r="463" spans="1:1">
      <c r="A463" s="1310" t="s">
        <v>547</v>
      </c>
    </row>
    <row r="464" spans="1:1">
      <c r="A464" s="1310" t="s">
        <v>548</v>
      </c>
    </row>
    <row r="465" spans="1:1">
      <c r="A465" s="1310" t="s">
        <v>549</v>
      </c>
    </row>
    <row r="466" spans="1:1">
      <c r="A466" s="1310" t="s">
        <v>550</v>
      </c>
    </row>
    <row r="467" spans="1:1">
      <c r="A467" s="1310" t="s">
        <v>551</v>
      </c>
    </row>
    <row r="468" spans="1:1">
      <c r="A468" s="1310" t="s">
        <v>552</v>
      </c>
    </row>
    <row r="469" spans="1:1">
      <c r="A469" s="1310" t="s">
        <v>553</v>
      </c>
    </row>
    <row r="470" spans="1:1">
      <c r="A470" s="1310" t="s">
        <v>554</v>
      </c>
    </row>
    <row r="471" spans="1:1">
      <c r="A471" s="1310" t="s">
        <v>555</v>
      </c>
    </row>
    <row r="472" spans="1:1">
      <c r="A472" s="1310" t="s">
        <v>556</v>
      </c>
    </row>
    <row r="473" spans="1:1">
      <c r="A473" s="1310" t="s">
        <v>557</v>
      </c>
    </row>
    <row r="474" spans="1:1">
      <c r="A474" s="1310" t="s">
        <v>558</v>
      </c>
    </row>
    <row r="475" spans="1:1">
      <c r="A475" s="1310" t="s">
        <v>559</v>
      </c>
    </row>
    <row r="476" spans="1:1">
      <c r="A476" s="1310" t="s">
        <v>560</v>
      </c>
    </row>
    <row r="477" spans="1:1">
      <c r="A477" s="1310" t="s">
        <v>561</v>
      </c>
    </row>
    <row r="478" spans="1:1">
      <c r="A478" s="1310" t="s">
        <v>562</v>
      </c>
    </row>
    <row r="479" spans="1:1">
      <c r="A479" s="1310" t="s">
        <v>563</v>
      </c>
    </row>
    <row r="480" spans="1:1">
      <c r="A480" s="1310" t="s">
        <v>564</v>
      </c>
    </row>
    <row r="481" spans="1:1">
      <c r="A481" s="1310" t="s">
        <v>565</v>
      </c>
    </row>
    <row r="482" spans="1:1">
      <c r="A482" s="1310" t="s">
        <v>566</v>
      </c>
    </row>
    <row r="483" spans="1:1">
      <c r="A483" s="1310" t="s">
        <v>567</v>
      </c>
    </row>
    <row r="484" spans="1:1">
      <c r="A484" s="1310" t="s">
        <v>568</v>
      </c>
    </row>
    <row r="485" spans="1:1">
      <c r="A485" s="1310" t="s">
        <v>569</v>
      </c>
    </row>
    <row r="486" spans="1:1">
      <c r="A486" s="1310" t="s">
        <v>570</v>
      </c>
    </row>
    <row r="487" spans="1:1">
      <c r="A487" s="1310" t="s">
        <v>571</v>
      </c>
    </row>
    <row r="488" spans="1:1">
      <c r="A488" s="1310" t="s">
        <v>572</v>
      </c>
    </row>
    <row r="489" spans="1:1">
      <c r="A489" s="1310" t="s">
        <v>573</v>
      </c>
    </row>
    <row r="490" spans="1:1">
      <c r="A490" s="1310" t="s">
        <v>574</v>
      </c>
    </row>
    <row r="491" spans="1:1">
      <c r="A491" s="1310" t="s">
        <v>575</v>
      </c>
    </row>
    <row r="492" spans="1:1">
      <c r="A492" s="1310" t="s">
        <v>576</v>
      </c>
    </row>
    <row r="493" spans="1:1">
      <c r="A493" s="1310" t="s">
        <v>577</v>
      </c>
    </row>
    <row r="494" spans="1:1">
      <c r="A494" s="1310"/>
    </row>
    <row r="495" spans="1:1">
      <c r="A495" s="1310" t="s">
        <v>578</v>
      </c>
    </row>
    <row r="496" spans="1:1">
      <c r="A496" s="1310" t="s">
        <v>579</v>
      </c>
    </row>
    <row r="497" spans="1:1">
      <c r="A497" s="1310" t="s">
        <v>580</v>
      </c>
    </row>
    <row r="498" spans="1:1">
      <c r="A498" s="1310" t="s">
        <v>581</v>
      </c>
    </row>
    <row r="499" spans="1:1">
      <c r="A499" s="1310" t="s">
        <v>582</v>
      </c>
    </row>
    <row r="500" spans="1:1">
      <c r="A500" s="1310" t="s">
        <v>583</v>
      </c>
    </row>
    <row r="501" spans="1:1">
      <c r="A501" s="1310" t="s">
        <v>584</v>
      </c>
    </row>
    <row r="502" spans="1:1">
      <c r="A502" s="1310" t="s">
        <v>585</v>
      </c>
    </row>
    <row r="503" spans="1:1">
      <c r="A503" s="1310" t="s">
        <v>586</v>
      </c>
    </row>
    <row r="504" spans="1:1">
      <c r="A504" s="1310" t="s">
        <v>578</v>
      </c>
    </row>
    <row r="505" spans="1:1">
      <c r="A505" s="1310"/>
    </row>
    <row r="506" spans="1:1">
      <c r="A506" s="1310" t="s">
        <v>150</v>
      </c>
    </row>
    <row r="507" spans="1:1">
      <c r="A507" s="1310" t="s">
        <v>587</v>
      </c>
    </row>
    <row r="508" spans="1:1">
      <c r="A508" s="1310" t="s">
        <v>588</v>
      </c>
    </row>
    <row r="509" spans="1:1">
      <c r="A509" s="1310" t="s">
        <v>589</v>
      </c>
    </row>
    <row r="510" spans="1:1">
      <c r="A510" s="1310" t="s">
        <v>590</v>
      </c>
    </row>
    <row r="511" spans="1:1">
      <c r="A511" s="1310" t="s">
        <v>591</v>
      </c>
    </row>
    <row r="512" spans="1:1">
      <c r="A512" s="1310" t="s">
        <v>592</v>
      </c>
    </row>
    <row r="513" spans="1:1">
      <c r="A513" s="1310" t="s">
        <v>150</v>
      </c>
    </row>
    <row r="514" spans="1:1">
      <c r="A514" s="1310" t="s">
        <v>593</v>
      </c>
    </row>
    <row r="515" spans="1:1">
      <c r="A515" s="1310" t="s">
        <v>594</v>
      </c>
    </row>
    <row r="516" spans="1:1">
      <c r="A516" s="1310" t="s">
        <v>150</v>
      </c>
    </row>
    <row r="517" spans="1:1">
      <c r="A517" s="1310" t="s">
        <v>150</v>
      </c>
    </row>
    <row r="518" spans="1:1">
      <c r="A518" s="1310" t="s">
        <v>595</v>
      </c>
    </row>
    <row r="519" spans="1:1">
      <c r="A519" s="1310" t="s">
        <v>596</v>
      </c>
    </row>
    <row r="520" spans="1:1">
      <c r="A520" s="1310" t="s">
        <v>597</v>
      </c>
    </row>
    <row r="521" spans="1:1">
      <c r="A521" s="1310" t="s">
        <v>598</v>
      </c>
    </row>
    <row r="522" spans="1:1">
      <c r="A522" s="1310" t="s">
        <v>150</v>
      </c>
    </row>
    <row r="523" spans="1:1">
      <c r="A523" s="1310" t="s">
        <v>599</v>
      </c>
    </row>
    <row r="524" spans="1:1">
      <c r="A524" s="1310"/>
    </row>
    <row r="525" spans="1:1">
      <c r="A525" s="1310" t="s">
        <v>600</v>
      </c>
    </row>
    <row r="526" spans="1:1">
      <c r="A526" s="1310" t="s">
        <v>601</v>
      </c>
    </row>
    <row r="527" spans="1:1">
      <c r="A527" s="1310" t="s">
        <v>602</v>
      </c>
    </row>
    <row r="528" spans="1:1">
      <c r="A528" s="1310" t="s">
        <v>603</v>
      </c>
    </row>
    <row r="529" spans="1:1">
      <c r="A529" s="1310" t="s">
        <v>604</v>
      </c>
    </row>
    <row r="530" spans="1:1">
      <c r="A530" s="1310"/>
    </row>
    <row r="531" spans="1:1">
      <c r="A531" s="1310" t="s">
        <v>605</v>
      </c>
    </row>
    <row r="532" spans="1:1">
      <c r="A532" s="1310" t="s">
        <v>606</v>
      </c>
    </row>
    <row r="533" spans="1:1">
      <c r="A533" s="1310" t="s">
        <v>607</v>
      </c>
    </row>
    <row r="534" spans="1:1">
      <c r="A534" s="1310" t="s">
        <v>608</v>
      </c>
    </row>
    <row r="535" spans="1:1">
      <c r="A535" s="1310" t="s">
        <v>150</v>
      </c>
    </row>
    <row r="536" spans="1:1">
      <c r="A536" s="1310" t="s">
        <v>150</v>
      </c>
    </row>
    <row r="537" spans="1:1">
      <c r="A537" s="1310" t="s">
        <v>609</v>
      </c>
    </row>
    <row r="538" spans="1:1">
      <c r="A538" s="1310" t="s">
        <v>610</v>
      </c>
    </row>
    <row r="539" spans="1:1">
      <c r="A539" s="1310" t="s">
        <v>611</v>
      </c>
    </row>
    <row r="540" spans="1:1">
      <c r="A540" s="1310" t="s">
        <v>612</v>
      </c>
    </row>
    <row r="541" spans="1:1">
      <c r="A541" s="1310" t="s">
        <v>150</v>
      </c>
    </row>
    <row r="542" spans="1:1">
      <c r="A542" s="1310" t="s">
        <v>613</v>
      </c>
    </row>
    <row r="543" spans="1:1">
      <c r="A543" s="1310" t="s">
        <v>614</v>
      </c>
    </row>
    <row r="544" spans="1:1">
      <c r="A544" s="1310" t="s">
        <v>150</v>
      </c>
    </row>
    <row r="545" spans="1:1">
      <c r="A545" s="1310" t="s">
        <v>150</v>
      </c>
    </row>
    <row r="546" spans="1:1">
      <c r="A546" s="1310" t="s">
        <v>150</v>
      </c>
    </row>
    <row r="547" spans="1:1">
      <c r="A547" s="1310" t="s">
        <v>615</v>
      </c>
    </row>
    <row r="548" spans="1:1">
      <c r="A548" s="1310" t="s">
        <v>616</v>
      </c>
    </row>
    <row r="549" spans="1:1">
      <c r="A549" s="1310" t="s">
        <v>617</v>
      </c>
    </row>
    <row r="550" spans="1:1">
      <c r="A550" s="1310" t="s">
        <v>618</v>
      </c>
    </row>
    <row r="551" spans="1:1">
      <c r="A551" s="1310" t="s">
        <v>150</v>
      </c>
    </row>
    <row r="552" spans="1:1">
      <c r="A552" s="1310" t="s">
        <v>619</v>
      </c>
    </row>
    <row r="553" spans="1:1">
      <c r="A553" s="1310" t="s">
        <v>150</v>
      </c>
    </row>
    <row r="554" spans="1:1">
      <c r="A554" s="1310" t="s">
        <v>150</v>
      </c>
    </row>
    <row r="555" spans="1:1">
      <c r="A555" s="1310" t="s">
        <v>620</v>
      </c>
    </row>
    <row r="556" spans="1:1">
      <c r="A556" s="1310" t="s">
        <v>621</v>
      </c>
    </row>
    <row r="557" spans="1:1">
      <c r="A557" s="1310" t="s">
        <v>622</v>
      </c>
    </row>
    <row r="558" spans="1:1">
      <c r="A558" s="1310" t="s">
        <v>623</v>
      </c>
    </row>
    <row r="559" spans="1:1">
      <c r="A559" s="1310" t="s">
        <v>624</v>
      </c>
    </row>
    <row r="560" spans="1:1">
      <c r="A560" s="1310" t="s">
        <v>625</v>
      </c>
    </row>
    <row r="561" spans="1:1">
      <c r="A561" s="1310" t="s">
        <v>150</v>
      </c>
    </row>
    <row r="562" spans="1:1">
      <c r="A562" s="1310" t="s">
        <v>626</v>
      </c>
    </row>
    <row r="563" spans="1:1">
      <c r="A563" s="1310" t="s">
        <v>627</v>
      </c>
    </row>
    <row r="564" spans="1:1">
      <c r="A564" s="1310" t="s">
        <v>150</v>
      </c>
    </row>
    <row r="565" spans="1:1">
      <c r="A565" s="1310" t="s">
        <v>150</v>
      </c>
    </row>
    <row r="566" spans="1:1">
      <c r="A566" s="1310" t="s">
        <v>628</v>
      </c>
    </row>
    <row r="567" spans="1:1">
      <c r="A567" s="1310" t="s">
        <v>629</v>
      </c>
    </row>
    <row r="568" spans="1:1">
      <c r="A568" s="1310" t="s">
        <v>150</v>
      </c>
    </row>
    <row r="569" spans="1:1">
      <c r="A569" s="1310" t="s">
        <v>630</v>
      </c>
    </row>
    <row r="570" spans="1:1">
      <c r="A570" s="1310"/>
    </row>
    <row r="571" spans="1:1">
      <c r="A571" s="1310" t="s">
        <v>636</v>
      </c>
    </row>
    <row r="572" spans="1:1">
      <c r="A572" s="1310"/>
    </row>
    <row r="573" spans="1:1">
      <c r="A573" s="1310"/>
    </row>
    <row r="574" spans="1:1">
      <c r="A574" s="1310" t="s">
        <v>637</v>
      </c>
    </row>
    <row r="575" spans="1:1">
      <c r="A575" s="1310" t="s">
        <v>638</v>
      </c>
    </row>
    <row r="576" spans="1:1">
      <c r="A576" s="1310" t="s">
        <v>639</v>
      </c>
    </row>
    <row r="577" spans="1:1">
      <c r="A577" s="1310" t="s">
        <v>640</v>
      </c>
    </row>
    <row r="578" spans="1:1">
      <c r="A578" s="1310" t="s">
        <v>641</v>
      </c>
    </row>
    <row r="579" spans="1:1">
      <c r="A579" s="1310" t="s">
        <v>642</v>
      </c>
    </row>
    <row r="580" spans="1:1">
      <c r="A580" s="1310" t="s">
        <v>643</v>
      </c>
    </row>
    <row r="581" spans="1:1">
      <c r="A581" s="1310" t="s">
        <v>644</v>
      </c>
    </row>
    <row r="582" spans="1:1">
      <c r="A582" s="1310" t="s">
        <v>645</v>
      </c>
    </row>
    <row r="583" spans="1:1">
      <c r="A583" s="1310" t="s">
        <v>883</v>
      </c>
    </row>
    <row r="584" spans="1:1">
      <c r="A584" s="1310" t="s">
        <v>656</v>
      </c>
    </row>
    <row r="585" spans="1:1">
      <c r="A585" s="1310" t="s">
        <v>884</v>
      </c>
    </row>
    <row r="586" spans="1:1">
      <c r="A586" s="1310" t="s">
        <v>646</v>
      </c>
    </row>
    <row r="587" spans="1:1">
      <c r="A587" s="1310" t="s">
        <v>647</v>
      </c>
    </row>
    <row r="588" spans="1:1">
      <c r="A588" s="1310" t="s">
        <v>648</v>
      </c>
    </row>
    <row r="589" spans="1:1">
      <c r="A589" s="1310" t="s">
        <v>649</v>
      </c>
    </row>
    <row r="590" spans="1:1">
      <c r="A590" s="1310" t="s">
        <v>650</v>
      </c>
    </row>
    <row r="591" spans="1:1">
      <c r="A591" s="1310" t="s">
        <v>651</v>
      </c>
    </row>
    <row r="592" spans="1:1">
      <c r="A592" s="1310" t="s">
        <v>885</v>
      </c>
    </row>
    <row r="593" spans="1:1">
      <c r="A593" s="1310" t="s">
        <v>653</v>
      </c>
    </row>
    <row r="594" spans="1:1">
      <c r="A594" s="1310" t="s">
        <v>654</v>
      </c>
    </row>
    <row r="595" spans="1:1">
      <c r="A595" s="1310" t="s">
        <v>886</v>
      </c>
    </row>
    <row r="596" spans="1:1">
      <c r="A596" s="1310" t="s">
        <v>659</v>
      </c>
    </row>
    <row r="597" spans="1:1">
      <c r="A597" s="1310" t="s">
        <v>660</v>
      </c>
    </row>
    <row r="598" spans="1:1">
      <c r="A598" s="1310" t="s">
        <v>887</v>
      </c>
    </row>
    <row r="599" spans="1:1">
      <c r="A599" s="1310" t="s">
        <v>662</v>
      </c>
    </row>
    <row r="600" spans="1:1">
      <c r="A600" s="1310" t="s">
        <v>663</v>
      </c>
    </row>
    <row r="601" spans="1:1">
      <c r="A601" s="1310"/>
    </row>
    <row r="602" spans="1:1">
      <c r="A602" s="1310" t="s">
        <v>664</v>
      </c>
    </row>
    <row r="603" spans="1:1">
      <c r="A603" s="1310" t="s">
        <v>150</v>
      </c>
    </row>
    <row r="604" spans="1:1">
      <c r="A604" s="1310" t="s">
        <v>665</v>
      </c>
    </row>
    <row r="605" spans="1:1">
      <c r="A605" s="1310" t="s">
        <v>150</v>
      </c>
    </row>
    <row r="606" spans="1:1">
      <c r="A606" s="1310" t="s">
        <v>666</v>
      </c>
    </row>
    <row r="607" spans="1:1">
      <c r="A607" s="1310" t="s">
        <v>667</v>
      </c>
    </row>
    <row r="608" spans="1:1">
      <c r="A608" s="1310" t="s">
        <v>668</v>
      </c>
    </row>
    <row r="609" spans="1:1">
      <c r="A609" s="1310" t="s">
        <v>150</v>
      </c>
    </row>
    <row r="610" spans="1:1">
      <c r="A610" s="1310" t="s">
        <v>669</v>
      </c>
    </row>
    <row r="611" spans="1:1">
      <c r="A611" s="1310" t="s">
        <v>670</v>
      </c>
    </row>
    <row r="612" spans="1:1">
      <c r="A612" s="1310" t="s">
        <v>671</v>
      </c>
    </row>
    <row r="613" spans="1:1">
      <c r="A613" s="1310" t="s">
        <v>150</v>
      </c>
    </row>
    <row r="614" spans="1:1">
      <c r="A614" s="1310" t="s">
        <v>672</v>
      </c>
    </row>
    <row r="615" spans="1:1">
      <c r="A615" s="1310" t="s">
        <v>673</v>
      </c>
    </row>
    <row r="616" spans="1:1">
      <c r="A616" s="1310" t="s">
        <v>150</v>
      </c>
    </row>
    <row r="617" spans="1:1">
      <c r="A617" s="1310" t="s">
        <v>674</v>
      </c>
    </row>
    <row r="618" spans="1:1">
      <c r="A618" s="1310" t="s">
        <v>675</v>
      </c>
    </row>
    <row r="619" spans="1:1">
      <c r="A619" s="1310" t="s">
        <v>676</v>
      </c>
    </row>
    <row r="620" spans="1:1">
      <c r="A620" s="1310" t="s">
        <v>677</v>
      </c>
    </row>
    <row r="621" spans="1:1">
      <c r="A621" s="1310" t="s">
        <v>150</v>
      </c>
    </row>
    <row r="622" spans="1:1">
      <c r="A622" s="1310" t="s">
        <v>678</v>
      </c>
    </row>
    <row r="623" spans="1:1">
      <c r="A623" s="1310" t="s">
        <v>679</v>
      </c>
    </row>
    <row r="624" spans="1:1">
      <c r="A624" s="1310" t="s">
        <v>680</v>
      </c>
    </row>
    <row r="625" spans="1:1">
      <c r="A625" s="1310" t="s">
        <v>681</v>
      </c>
    </row>
    <row r="626" spans="1:1">
      <c r="A626" s="1310" t="s">
        <v>682</v>
      </c>
    </row>
    <row r="627" spans="1:1">
      <c r="A627" s="1310"/>
    </row>
    <row r="628" spans="1:1">
      <c r="A628" s="1310" t="s">
        <v>683</v>
      </c>
    </row>
    <row r="629" spans="1:1">
      <c r="A629" s="1310" t="s">
        <v>684</v>
      </c>
    </row>
    <row r="630" spans="1:1">
      <c r="A630" s="1310" t="s">
        <v>685</v>
      </c>
    </row>
    <row r="631" spans="1:1">
      <c r="A631" s="1310" t="s">
        <v>686</v>
      </c>
    </row>
    <row r="632" spans="1:1">
      <c r="A632" s="1310" t="s">
        <v>687</v>
      </c>
    </row>
    <row r="633" spans="1:1">
      <c r="A633" s="1310" t="s">
        <v>688</v>
      </c>
    </row>
    <row r="634" spans="1:1">
      <c r="A634" s="1310" t="s">
        <v>689</v>
      </c>
    </row>
    <row r="635" spans="1:1">
      <c r="A635" s="1310" t="s">
        <v>690</v>
      </c>
    </row>
    <row r="636" spans="1:1">
      <c r="A636" s="1310" t="s">
        <v>691</v>
      </c>
    </row>
    <row r="637" spans="1:1">
      <c r="A637" s="1310" t="s">
        <v>692</v>
      </c>
    </row>
    <row r="638" spans="1:1">
      <c r="A638" s="1310" t="s">
        <v>693</v>
      </c>
    </row>
    <row r="639" spans="1:1">
      <c r="A639" s="1310" t="s">
        <v>694</v>
      </c>
    </row>
    <row r="640" spans="1:1">
      <c r="A640" s="1310" t="s">
        <v>695</v>
      </c>
    </row>
    <row r="641" spans="1:1">
      <c r="A641" s="1310" t="s">
        <v>696</v>
      </c>
    </row>
  </sheetData>
  <sheetProtection password="C2EC"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3"/>
  <dimension ref="A1:A180"/>
  <sheetViews>
    <sheetView zoomScale="110" zoomScaleNormal="110" workbookViewId="0">
      <selection activeCell="A16" sqref="A16"/>
    </sheetView>
  </sheetViews>
  <sheetFormatPr defaultRowHeight="15"/>
  <cols>
    <col min="1" max="1" width="47.28515625" customWidth="1"/>
  </cols>
  <sheetData>
    <row r="1" spans="1:1">
      <c r="A1" t="s">
        <v>100</v>
      </c>
    </row>
    <row r="2" spans="1:1">
      <c r="A2" t="s">
        <v>101</v>
      </c>
    </row>
    <row r="3" spans="1:1">
      <c r="A3" t="s">
        <v>102</v>
      </c>
    </row>
    <row r="4" spans="1:1">
      <c r="A4" t="s">
        <v>103</v>
      </c>
    </row>
    <row r="5" spans="1:1">
      <c r="A5" t="s">
        <v>104</v>
      </c>
    </row>
    <row r="6" spans="1:1">
      <c r="A6" t="s">
        <v>105</v>
      </c>
    </row>
    <row r="7" spans="1:1">
      <c r="A7" t="s">
        <v>106</v>
      </c>
    </row>
    <row r="9" spans="1:1">
      <c r="A9" t="s">
        <v>108</v>
      </c>
    </row>
    <row r="10" spans="1:1">
      <c r="A10" s="124" t="str">
        <f>"key_proc_time=" &amp;'Configs &amp; Procedures'!$H$20</f>
        <v>key_proc_time=150</v>
      </c>
    </row>
    <row r="11" spans="1:1">
      <c r="A11" t="s">
        <v>109</v>
      </c>
    </row>
    <row r="12" spans="1:1">
      <c r="A12" t="s">
        <v>110</v>
      </c>
    </row>
    <row r="13" spans="1:1">
      <c r="A13" s="124" t="str">
        <f>"key_custom_ratio="&amp;'Configs &amp; Procedures'!$H$26</f>
        <v>key_custom_ratio=13</v>
      </c>
    </row>
    <row r="14" spans="1:1">
      <c r="A14" s="124" t="str">
        <f>"key_ac_rate=" &amp;'Configs &amp; Procedures'!$H$25</f>
        <v>key_ac_rate=1</v>
      </c>
    </row>
    <row r="15" spans="1:1">
      <c r="A15" s="124" t="str">
        <f>"key_post_crit=" &amp;'Configs &amp; Procedures'!$H$16</f>
        <v>key_post_crit=32</v>
      </c>
    </row>
    <row r="16" spans="1:1">
      <c r="A16" s="124" t="str">
        <f>"key_tbv_vol_setting="&amp;IF('Configs &amp; Procedures'!$L$11="YES",1)+IF('Configs &amp; Procedures'!$L$13="YES",4)+IF('Configs &amp; Procedures'!$L$15&lt;&gt;"NO",2)+IF('Configs &amp; Procedures'!$L$32="YES",8)</f>
        <v>key_tbv_vol_setting=1</v>
      </c>
    </row>
    <row r="17" spans="1:1">
      <c r="A17" s="124" t="str">
        <f>"key_tbv_percent="&amp;'Configs &amp; Procedures'!$L$12</f>
        <v>key_tbv_percent=12</v>
      </c>
    </row>
    <row r="18" spans="1:1">
      <c r="A18" s="124" t="str">
        <f>"key_weight_1_setting="&amp;IF('Configs &amp; Procedures'!$L$15="YES-JAPAN",'Configs &amp; Procedures'!$AG$11*2.20462262,'Configs &amp; Procedures'!$AC$22)</f>
        <v>key_weight_1_setting=385.8089585</v>
      </c>
    </row>
    <row r="19" spans="1:1">
      <c r="A19" s="124" t="str">
        <f>"key_weight_2_setting="&amp;IF('Configs &amp; Procedures'!$L$15="YES-JAPAN",'Configs &amp; Procedures'!$AG$13*2.20462262,'Configs &amp; Procedures'!$AC$22)</f>
        <v>key_weight_2_setting=385.8089585</v>
      </c>
    </row>
    <row r="20" spans="1:1">
      <c r="A20" s="124" t="str">
        <f>"key_weight_3_setting="&amp;IF('Configs &amp; Procedures'!$L$15="YES-JAPAN",'Configs &amp; Procedures'!$AG$15*2.20462262,'Configs &amp; Procedures'!$AC$22)</f>
        <v>key_weight_3_setting=385.8089585</v>
      </c>
    </row>
    <row r="21" spans="1:1">
      <c r="A21" s="124" t="str">
        <f>"key_weight_1_less_than_vol="&amp;IF('Configs &amp; Procedures'!$L$15="YES-JAPAN",'Configs &amp; Procedures'!$AH$10,'Configs &amp; Procedures'!$L$16)</f>
        <v>key_weight_1_less_than_vol=500</v>
      </c>
    </row>
    <row r="22" spans="1:1">
      <c r="A22" s="124" t="str">
        <f>"key_weight_2_less_than_vol="&amp;IF('Configs &amp; Procedures'!$L$15="YES-JAPAN",'Configs &amp; Procedures'!$AH$12,'Configs &amp; Procedures'!$L$16)</f>
        <v>key_weight_2_less_than_vol=500</v>
      </c>
    </row>
    <row r="23" spans="1:1">
      <c r="A23" s="124" t="str">
        <f>"key_weight_3_less_than_vol="&amp;IF('Configs &amp; Procedures'!$L$15="YES-JAPAN",'Configs &amp; Procedures'!$AH$14,'Configs &amp; Procedures'!$L$16)</f>
        <v>key_weight_3_less_than_vol=500</v>
      </c>
    </row>
    <row r="24" spans="1:1">
      <c r="A24" s="124" t="str">
        <f>"key_weight_3_greater_than_vol="&amp;IF('Configs &amp; Procedures'!$L$15="YES-JAPAN",'Configs &amp; Procedures'!$AH$16,'Configs &amp; Procedures'!$L$17)</f>
        <v>key_weight_3_greater_than_vol=600</v>
      </c>
    </row>
    <row r="25" spans="1:1">
      <c r="A25" s="124" t="str">
        <f>"key_ml_per_kg="&amp;'Configs &amp; Procedures'!$L$14</f>
        <v>key_ml_per_kg=10.5</v>
      </c>
    </row>
    <row r="26" spans="1:1">
      <c r="A26" s="124" t="str">
        <f>"key_post_plat=" &amp;'Configs &amp; Procedures'!H14* 1000</f>
        <v>key_post_plat=100000</v>
      </c>
    </row>
    <row r="27" spans="1:1">
      <c r="A27" s="124" t="str">
        <f>"key_max_draw_flow="&amp;IF('Configs &amp; Procedures'!$H$28="FAST",2,IF('Configs &amp; Procedures'!$H$28="MODERATE",1,IF('Configs &amp; Procedures'!$H$28="SLOW",0)))</f>
        <v>key_max_draw_flow=0</v>
      </c>
    </row>
    <row r="28" spans="1:1">
      <c r="A28" t="s">
        <v>111</v>
      </c>
    </row>
    <row r="29" spans="1:1">
      <c r="A29" t="s">
        <v>165</v>
      </c>
    </row>
    <row r="30" spans="1:1">
      <c r="A30" t="s">
        <v>166</v>
      </c>
    </row>
    <row r="31" spans="1:1">
      <c r="A31" t="s">
        <v>116</v>
      </c>
    </row>
    <row r="33" spans="1:1">
      <c r="A33" t="s">
        <v>122</v>
      </c>
    </row>
    <row r="34" spans="1:1">
      <c r="A34" s="124" t="str">
        <f>"key_rbc_ratio=" &amp;IF('Configs &amp; Procedures'!$H$27=11,1,IF('Configs &amp; Procedures'!$H$27=8.14,0,IF('Configs &amp; Procedures'!$H$27=13.7,2,"")))</f>
        <v>key_rbc_ratio=1</v>
      </c>
    </row>
    <row r="35" spans="1:1">
      <c r="A35" s="124" t="str">
        <f>"key_rbc_replace_fluid="&amp; IF('Configs &amp; Procedures'!$H$17="YES",1,0)</f>
        <v>key_rbc_replace_fluid=0</v>
      </c>
    </row>
    <row r="36" spans="1:1">
      <c r="A36" s="124" t="str">
        <f>"key_rbc_fluid_percent=" &amp;'Configs &amp; Procedures'!$H$18</f>
        <v>key_rbc_fluid_percent=100</v>
      </c>
    </row>
    <row r="37" spans="1:1">
      <c r="A37" s="124" t="str">
        <f>"key_pls_amap_minimum="&amp;'Configs &amp; Procedures'!$L$23</f>
        <v>key_pls_amap_minimum=200</v>
      </c>
    </row>
    <row r="38" spans="1:1">
      <c r="A38" s="124" t="str">
        <f>"key_pls_amap_maximum="&amp; 'Configs &amp; Procedures'!$M$23</f>
        <v>key_pls_amap_maximum=1000</v>
      </c>
    </row>
    <row r="39" spans="1:1">
      <c r="A39" s="124" t="str">
        <f>"key_ysf=" &amp; 'Configs &amp; Procedures'!L24</f>
        <v>key_ysf=1</v>
      </c>
    </row>
    <row r="40" spans="1:1">
      <c r="A40" t="s">
        <v>123</v>
      </c>
    </row>
    <row r="41" spans="1:1">
      <c r="A41" t="s">
        <v>124</v>
      </c>
    </row>
    <row r="42" spans="1:1">
      <c r="A42" t="s">
        <v>125</v>
      </c>
    </row>
    <row r="43" spans="1:1">
      <c r="A43" s="124" t="str">
        <f>"key_inlet_flow_ramp="&amp;IF('Configs &amp; Procedures'!$H$31="YES",1,0)</f>
        <v>key_inlet_flow_ramp=1</v>
      </c>
    </row>
    <row r="44" spans="1:1">
      <c r="A44" s="124" t="str">
        <f>"key_inlet_management="&amp;'Configs &amp; Procedures'!$H$29</f>
        <v>key_inlet_management=1</v>
      </c>
    </row>
    <row r="45" spans="1:1">
      <c r="A45" s="124" t="str">
        <f>"key_return_management="&amp;'Configs &amp; Procedures'!$H$30</f>
        <v>key_return_management=1</v>
      </c>
    </row>
    <row r="46" spans="1:1">
      <c r="A46" s="124" t="str">
        <f>"key_rsf="&amp;'Configs &amp; Procedures'!$L$26</f>
        <v>key_rsf=1</v>
      </c>
    </row>
    <row r="48" spans="1:1">
      <c r="A48" t="s">
        <v>126</v>
      </c>
    </row>
    <row r="49" spans="1:1">
      <c r="A49" s="124" t="str">
        <f>"key_rbc_crit_1="&amp;'Configs &amp; Procedures'!$L$22</f>
        <v>key_rbc_crit_1=80</v>
      </c>
    </row>
    <row r="50" spans="1:1">
      <c r="A50" s="124" t="str">
        <f>"key_rbc_dose_1="&amp;IF(INT('DS Analysis'!$AX$44)&lt;35,35,'DS Analysis'!$AX$44)</f>
        <v>key_rbc_dose_1=180</v>
      </c>
    </row>
    <row r="51" spans="1:1">
      <c r="A51" s="124" t="str">
        <f>"key_rbc_crit_2="&amp;'Configs &amp; Procedures'!$L$22</f>
        <v>key_rbc_crit_2=80</v>
      </c>
    </row>
    <row r="52" spans="1:1">
      <c r="A52" s="124" t="str">
        <f>"key_rbc_dose_2="&amp;IF(INT('DS Analysis'!$AX$45)&lt;35,35,'DS Analysis'!$AX$45)</f>
        <v>key_rbc_dose_2=360</v>
      </c>
    </row>
    <row r="53" spans="1:1">
      <c r="A53" s="124" t="str">
        <f>"key_rbc_crit_3="&amp;'Configs &amp; Procedures'!$L$22</f>
        <v>key_rbc_crit_3=80</v>
      </c>
    </row>
    <row r="54" spans="1:1">
      <c r="A54" s="124" t="str">
        <f>"key_rbc_dose_3="&amp; IF(INT('DS Analysis'!$AX$46)&lt;35,35,'DS Analysis'!$AX$46)</f>
        <v>key_rbc_dose_3=35</v>
      </c>
    </row>
    <row r="55" spans="1:1">
      <c r="A55" s="124" t="str">
        <f>"key_plt_yield_1="&amp;'DS Analysis'!$AU$44</f>
        <v>key_plt_yield_1=2.5</v>
      </c>
    </row>
    <row r="56" spans="1:1">
      <c r="A56" s="124" t="str">
        <f>"key_plt_volume_1="&amp;'DS Analysis'!$AV$44</f>
        <v>key_plt_volume_1=161</v>
      </c>
    </row>
    <row r="57" spans="1:1">
      <c r="A57" s="124" t="str">
        <f>"key_plt_yield_2="&amp;'DS Analysis'!$AU$45</f>
        <v>key_plt_yield_2=3.2</v>
      </c>
    </row>
    <row r="58" spans="1:1">
      <c r="A58" s="124" t="str">
        <f>"key_plt_volume_2="&amp;'DS Analysis'!$AV$45</f>
        <v>key_plt_volume_2=206</v>
      </c>
    </row>
    <row r="59" spans="1:1">
      <c r="A59" s="124" t="str">
        <f>"key_plt_yield_3="&amp;'DS Analysis'!$AU$46</f>
        <v>key_plt_yield_3=4</v>
      </c>
    </row>
    <row r="60" spans="1:1">
      <c r="A60" s="124" t="str">
        <f>"key_plt_volume_3="&amp;'DS Analysis'!$AV$46</f>
        <v>key_plt_volume_3=258</v>
      </c>
    </row>
    <row r="61" spans="1:1">
      <c r="A61" s="124" t="str">
        <f>"key_plt_yield_4="&amp;'DS Analysis'!$AU$47</f>
        <v>key_plt_yield_4=5.5</v>
      </c>
    </row>
    <row r="62" spans="1:1">
      <c r="A62" s="124" t="str">
        <f>"key_plt_volume_4="&amp;'DS Analysis'!$AV$47</f>
        <v>key_plt_volume_4=355</v>
      </c>
    </row>
    <row r="63" spans="1:1">
      <c r="A63" s="124" t="str">
        <f>"key_plt_yield_5="&amp;'DS Analysis'!$AU$48</f>
        <v>key_plt_yield_5=9.6</v>
      </c>
    </row>
    <row r="64" spans="1:1">
      <c r="A64" s="124" t="str">
        <f>"key_plt_volume_5="&amp;'DS Analysis'!$AV$48</f>
        <v>key_plt_volume_5=619</v>
      </c>
    </row>
    <row r="65" spans="1:1">
      <c r="A65" s="124" t="str">
        <f>"key_plt_yield_6="&amp;'DS Analysis'!$AU$49</f>
        <v>key_plt_yield_6=11</v>
      </c>
    </row>
    <row r="66" spans="1:1">
      <c r="A66" s="124" t="str">
        <f>"key_plt_volume_6="&amp;'DS Analysis'!$AV$49</f>
        <v>key_plt_volume_6=710</v>
      </c>
    </row>
    <row r="67" spans="1:1">
      <c r="A67" s="124" t="str">
        <f>"key_pls_volume_1="&amp;'DS Analysis'!$AW$44</f>
        <v>key_pls_volume_1=250</v>
      </c>
    </row>
    <row r="68" spans="1:1">
      <c r="A68" s="124" t="str">
        <f>"key_pls_volume_2="&amp;'DS Analysis'!$AW$45</f>
        <v>key_pls_volume_2=300</v>
      </c>
    </row>
    <row r="69" spans="1:1">
      <c r="A69" s="124" t="str">
        <f>"key_pls_volume_3="&amp;'DS Analysis'!$AW$46</f>
        <v>key_pls_volume_3=350</v>
      </c>
    </row>
    <row r="70" spans="1:1">
      <c r="A70" s="124" t="str">
        <f>"key_pls_volume_4="&amp;'DS Analysis'!$AW$47</f>
        <v>key_pls_volume_4=400</v>
      </c>
    </row>
    <row r="71" spans="1:1">
      <c r="A71" s="124" t="str">
        <f>"key_pls_volume_5="&amp;'DS Analysis'!$AW$48</f>
        <v>key_pls_volume_5=450</v>
      </c>
    </row>
    <row r="72" spans="1:1">
      <c r="A72" s="124" t="str">
        <f>"key_pls_volume_6="&amp;'DS Analysis'!$AW$49</f>
        <v>key_pls_volume_6=500</v>
      </c>
    </row>
    <row r="74" spans="1:1">
      <c r="A74" t="s">
        <v>150</v>
      </c>
    </row>
    <row r="75" spans="1:1">
      <c r="A75" t="s">
        <v>150</v>
      </c>
    </row>
    <row r="76" spans="1:1">
      <c r="A76" t="s">
        <v>151</v>
      </c>
    </row>
    <row r="77" spans="1:1">
      <c r="A77" t="s">
        <v>152</v>
      </c>
    </row>
    <row r="78" spans="1:1">
      <c r="A78" t="s">
        <v>153</v>
      </c>
    </row>
    <row r="79" spans="1:1">
      <c r="A79" t="s">
        <v>154</v>
      </c>
    </row>
    <row r="80" spans="1:1">
      <c r="A80" t="s">
        <v>155</v>
      </c>
    </row>
    <row r="81" spans="1:1">
      <c r="A81" t="s">
        <v>156</v>
      </c>
    </row>
    <row r="82" spans="1:1">
      <c r="A82" t="s">
        <v>157</v>
      </c>
    </row>
    <row r="83" spans="1:1">
      <c r="A83" t="s">
        <v>158</v>
      </c>
    </row>
    <row r="84" spans="1:1">
      <c r="A84" t="s">
        <v>150</v>
      </c>
    </row>
    <row r="85" spans="1:1">
      <c r="A85" t="s">
        <v>159</v>
      </c>
    </row>
    <row r="86" spans="1:1">
      <c r="A86" s="124" t="str">
        <f>"key_platelet_a="&amp;'DS Analysis'!$AP$44</f>
        <v>key_platelet_a=0</v>
      </c>
    </row>
    <row r="87" spans="1:1">
      <c r="A87" s="124" t="str">
        <f>"key_plasma_a="&amp;'DS Analysis'!$AQ$44</f>
        <v>key_plasma_a=7</v>
      </c>
    </row>
    <row r="88" spans="1:1">
      <c r="A88" s="124" t="str">
        <f>"key_rbc_a="&amp;'DS Analysis'!$AR$44</f>
        <v>key_rbc_a=0</v>
      </c>
    </row>
    <row r="89" spans="1:1">
      <c r="A89" s="1194" t="str">
        <f>'DS Analysis'!$BI$8</f>
        <v>key_blood_type_a=0</v>
      </c>
    </row>
    <row r="90" spans="1:1">
      <c r="A90" s="124" t="str">
        <f>"key_time_a="&amp;MIN('Configs &amp; Procedures'!$G44,'Configs &amp; Procedures'!$H$20)</f>
        <v>key_time_a=120</v>
      </c>
    </row>
    <row r="92" spans="1:1">
      <c r="A92" s="124" t="str">
        <f>"key_platelet_b="&amp;'DS Analysis'!$AP$45</f>
        <v>key_platelet_b=0</v>
      </c>
    </row>
    <row r="93" spans="1:1">
      <c r="A93" s="124" t="str">
        <f>"key_plasma_b="&amp;'DS Analysis'!$AQ$45</f>
        <v>key_plasma_b=0</v>
      </c>
    </row>
    <row r="94" spans="1:1">
      <c r="A94" s="124" t="str">
        <f>"key_rbc_b="&amp;'DS Analysis'!$AR$45</f>
        <v>key_rbc_b=0</v>
      </c>
    </row>
    <row r="95" spans="1:1">
      <c r="A95" s="1194" t="str">
        <f>'DS Analysis'!$BI$9</f>
        <v>key_blood_type_b=0</v>
      </c>
    </row>
    <row r="96" spans="1:1">
      <c r="A96" s="124" t="str">
        <f>"key_time_b="&amp;MIN('Configs &amp; Procedures'!$G45,'Configs &amp; Procedures'!$H$20)</f>
        <v>key_time_b=150</v>
      </c>
    </row>
    <row r="98" spans="1:1">
      <c r="A98" s="124" t="str">
        <f>"key_platelet_c="&amp;'DS Analysis'!$AP$46</f>
        <v>key_platelet_c=0</v>
      </c>
    </row>
    <row r="99" spans="1:1">
      <c r="A99" s="124" t="str">
        <f>"key_plasma_c="&amp;'DS Analysis'!$AQ$46</f>
        <v>key_plasma_c=0</v>
      </c>
    </row>
    <row r="100" spans="1:1">
      <c r="A100" s="124" t="str">
        <f>"key_rbc_c="&amp;'DS Analysis'!$AR$46</f>
        <v>key_rbc_c=0</v>
      </c>
    </row>
    <row r="101" spans="1:1">
      <c r="A101" s="1194" t="str">
        <f>'DS Analysis'!$BI$10</f>
        <v>key_blood_type_c=0</v>
      </c>
    </row>
    <row r="102" spans="1:1">
      <c r="A102" s="124" t="str">
        <f>"key_time_c="&amp;MIN('Configs &amp; Procedures'!$G46,'Configs &amp; Procedures'!$H$20)</f>
        <v>key_time_c=150</v>
      </c>
    </row>
    <row r="104" spans="1:1">
      <c r="A104" s="124" t="str">
        <f>"key_platelet_d="&amp;'DS Analysis'!$AP$47</f>
        <v>key_platelet_d=0</v>
      </c>
    </row>
    <row r="105" spans="1:1">
      <c r="A105" s="124" t="str">
        <f>"key_plasma_d="&amp;'DS Analysis'!$AQ$47</f>
        <v>key_plasma_d=0</v>
      </c>
    </row>
    <row r="106" spans="1:1">
      <c r="A106" s="124" t="str">
        <f>"key_rbc_d="&amp;'DS Analysis'!$AR$47</f>
        <v>key_rbc_d=0</v>
      </c>
    </row>
    <row r="107" spans="1:1">
      <c r="A107" s="1194" t="str">
        <f>'DS Analysis'!$BI$11</f>
        <v>key_blood_type_d=0</v>
      </c>
    </row>
    <row r="108" spans="1:1">
      <c r="A108" s="124" t="str">
        <f>"key_time_d="&amp;MIN('Configs &amp; Procedures'!$G47,'Configs &amp; Procedures'!$H$20)</f>
        <v>key_time_d=150</v>
      </c>
    </row>
    <row r="110" spans="1:1">
      <c r="A110" s="124" t="str">
        <f>"key_platelet_e="&amp;'DS Analysis'!$AP$48</f>
        <v>key_platelet_e=0</v>
      </c>
    </row>
    <row r="111" spans="1:1">
      <c r="A111" s="124" t="str">
        <f>"key_plasma_e="&amp;'DS Analysis'!$AQ$48</f>
        <v>key_plasma_e=0</v>
      </c>
    </row>
    <row r="112" spans="1:1">
      <c r="A112" s="124" t="str">
        <f>"key_rbc_e="&amp;'DS Analysis'!$AR$48</f>
        <v>key_rbc_e=0</v>
      </c>
    </row>
    <row r="113" spans="1:1">
      <c r="A113" s="1194" t="str">
        <f>'DS Analysis'!$BI$12</f>
        <v>key_blood_type_e=0</v>
      </c>
    </row>
    <row r="114" spans="1:1">
      <c r="A114" s="124" t="str">
        <f>"key_time_e="&amp;MIN('Configs &amp; Procedures'!$G48,'Configs &amp; Procedures'!$H$20)</f>
        <v>key_time_e=150</v>
      </c>
    </row>
    <row r="116" spans="1:1">
      <c r="A116" s="124" t="str">
        <f>"key_platelet_f="&amp;'DS Analysis'!$AP$49</f>
        <v>key_platelet_f=0</v>
      </c>
    </row>
    <row r="117" spans="1:1">
      <c r="A117" s="124" t="str">
        <f>"key_plasma_f="&amp;'DS Analysis'!$AQ$49</f>
        <v>key_plasma_f=0</v>
      </c>
    </row>
    <row r="118" spans="1:1">
      <c r="A118" s="124" t="str">
        <f>"key_rbc_f="&amp;'DS Analysis'!$AR$49</f>
        <v>key_rbc_f=0</v>
      </c>
    </row>
    <row r="119" spans="1:1">
      <c r="A119" s="1194" t="str">
        <f>'DS Analysis'!$BI$13</f>
        <v>key_blood_type_f=0</v>
      </c>
    </row>
    <row r="120" spans="1:1">
      <c r="A120" s="124" t="str">
        <f>"key_time_f="&amp;MIN('Configs &amp; Procedures'!$G49,'Configs &amp; Procedures'!$H$20)</f>
        <v>key_time_f=150</v>
      </c>
    </row>
    <row r="122" spans="1:1">
      <c r="A122" s="124" t="str">
        <f>"key_platelet_g="&amp;'DS Analysis'!$AP$50</f>
        <v>key_platelet_g=0</v>
      </c>
    </row>
    <row r="123" spans="1:1">
      <c r="A123" s="124" t="str">
        <f>"key_plasma_g="&amp;'DS Analysis'!$AQ$50</f>
        <v>key_plasma_g=0</v>
      </c>
    </row>
    <row r="124" spans="1:1">
      <c r="A124" s="124" t="str">
        <f>"key_rbc_g="&amp;'DS Analysis'!$AR$50</f>
        <v>key_rbc_g=0</v>
      </c>
    </row>
    <row r="125" spans="1:1">
      <c r="A125" s="1194" t="str">
        <f>'DS Analysis'!$BI$14</f>
        <v>key_blood_type_g=0</v>
      </c>
    </row>
    <row r="126" spans="1:1">
      <c r="A126" s="124" t="str">
        <f>"key_time_g="&amp;MIN('Configs &amp; Procedures'!$G50,'Configs &amp; Procedures'!$H$20)</f>
        <v>key_time_g=150</v>
      </c>
    </row>
    <row r="128" spans="1:1">
      <c r="A128" s="124" t="str">
        <f>"key_platelet_h="&amp;'DS Analysis'!$AP$51</f>
        <v>key_platelet_h=0</v>
      </c>
    </row>
    <row r="129" spans="1:1">
      <c r="A129" s="124" t="str">
        <f>"key_plasma_h="&amp;'DS Analysis'!$AQ$51</f>
        <v>key_plasma_h=0</v>
      </c>
    </row>
    <row r="130" spans="1:1">
      <c r="A130" s="124" t="str">
        <f>"key_rbc_h="&amp;'DS Analysis'!$AR$51</f>
        <v>key_rbc_h=0</v>
      </c>
    </row>
    <row r="131" spans="1:1">
      <c r="A131" s="1194" t="str">
        <f>'DS Analysis'!$BI$15</f>
        <v>key_blood_type_h=0</v>
      </c>
    </row>
    <row r="132" spans="1:1">
      <c r="A132" s="124" t="str">
        <f>"key_time_h="&amp;MIN('Configs &amp; Procedures'!$G51,'Configs &amp; Procedures'!$H$20)</f>
        <v>key_time_h=150</v>
      </c>
    </row>
    <row r="134" spans="1:1">
      <c r="A134" s="124" t="str">
        <f>"key_platelet_i="&amp;'DS Analysis'!$AP$52</f>
        <v>key_platelet_i=0</v>
      </c>
    </row>
    <row r="135" spans="1:1">
      <c r="A135" s="124" t="str">
        <f>"key_plasma_i="&amp;'DS Analysis'!$AQ$52</f>
        <v>key_plasma_i=0</v>
      </c>
    </row>
    <row r="136" spans="1:1">
      <c r="A136" s="124" t="str">
        <f>"key_rbc_i="&amp;'DS Analysis'!$AR$52</f>
        <v>key_rbc_i=0</v>
      </c>
    </row>
    <row r="137" spans="1:1">
      <c r="A137" s="1194" t="str">
        <f>'DS Analysis'!$BI$16</f>
        <v>key_blood_type_i=0</v>
      </c>
    </row>
    <row r="138" spans="1:1">
      <c r="A138" s="124" t="str">
        <f>"key_time_i="&amp;MIN('Configs &amp; Procedures'!$G52,'Configs &amp; Procedures'!$H$20)</f>
        <v>key_time_i=150</v>
      </c>
    </row>
    <row r="140" spans="1:1">
      <c r="A140" s="124" t="str">
        <f>"key_platelet_j="&amp;'DS Analysis'!$AP$53</f>
        <v>key_platelet_j=0</v>
      </c>
    </row>
    <row r="141" spans="1:1">
      <c r="A141" s="124" t="str">
        <f>"key_plasma_j="&amp;'DS Analysis'!$AQ$53</f>
        <v>key_plasma_j=0</v>
      </c>
    </row>
    <row r="142" spans="1:1">
      <c r="A142" s="124" t="str">
        <f>"key_rbc_j="&amp;'DS Analysis'!$AR$53</f>
        <v>key_rbc_j=0</v>
      </c>
    </row>
    <row r="143" spans="1:1">
      <c r="A143" s="1194" t="str">
        <f>'DS Analysis'!$BI$17</f>
        <v>key_blood_type_j=0</v>
      </c>
    </row>
    <row r="144" spans="1:1">
      <c r="A144" s="124" t="str">
        <f>"key_time_j="&amp;MIN('Configs &amp; Procedures'!$G53,'Configs &amp; Procedures'!$H$20)</f>
        <v>key_time_j=150</v>
      </c>
    </row>
    <row r="146" spans="1:1">
      <c r="A146" s="124" t="str">
        <f>"key_platelet_k="&amp;'DS Analysis'!$AP$54</f>
        <v>key_platelet_k=0</v>
      </c>
    </row>
    <row r="147" spans="1:1">
      <c r="A147" s="124" t="str">
        <f>"key_plasma_k="&amp;'DS Analysis'!$AQ$54</f>
        <v>key_plasma_k=0</v>
      </c>
    </row>
    <row r="148" spans="1:1">
      <c r="A148" s="124" t="str">
        <f>"key_rbc_k="&amp;'DS Analysis'!$AR$54</f>
        <v>key_rbc_k=0</v>
      </c>
    </row>
    <row r="149" spans="1:1">
      <c r="A149" s="1194" t="str">
        <f>'DS Analysis'!$BI$18</f>
        <v>key_blood_type_k=0</v>
      </c>
    </row>
    <row r="150" spans="1:1">
      <c r="A150" s="124" t="str">
        <f>"key_time_k="&amp;MIN('Configs &amp; Procedures'!$G54,'Configs &amp; Procedures'!$H$20)</f>
        <v>key_time_k=150</v>
      </c>
    </row>
    <row r="152" spans="1:1">
      <c r="A152" s="124" t="str">
        <f>"key_platelet_l="&amp;'DS Analysis'!$AP$55</f>
        <v>key_platelet_l=0</v>
      </c>
    </row>
    <row r="153" spans="1:1">
      <c r="A153" s="124" t="str">
        <f>"key_plasma_l="&amp;'DS Analysis'!$AQ$55</f>
        <v>key_plasma_l=0</v>
      </c>
    </row>
    <row r="154" spans="1:1">
      <c r="A154" s="124" t="str">
        <f>"key_rbc_l="&amp;'DS Analysis'!$AR$55</f>
        <v>key_rbc_l=0</v>
      </c>
    </row>
    <row r="155" spans="1:1">
      <c r="A155" s="1194" t="str">
        <f>'DS Analysis'!$BI$19</f>
        <v>key_blood_type_l=0</v>
      </c>
    </row>
    <row r="156" spans="1:1">
      <c r="A156" s="124" t="str">
        <f>"key_time_l="&amp;MIN('Configs &amp; Procedures'!$G55,'Configs &amp; Procedures'!$H$20)</f>
        <v>key_time_l=150</v>
      </c>
    </row>
    <row r="158" spans="1:1">
      <c r="A158" s="124" t="str">
        <f>"key_platelet_m="&amp;'DS Analysis'!$AP$56</f>
        <v>key_platelet_m=0</v>
      </c>
    </row>
    <row r="159" spans="1:1">
      <c r="A159" s="124" t="str">
        <f>"key_plasma_m="&amp;'DS Analysis'!$AQ$56</f>
        <v>key_plasma_m=0</v>
      </c>
    </row>
    <row r="160" spans="1:1">
      <c r="A160" s="124" t="str">
        <f>"key_rbc_m="&amp;'DS Analysis'!$AR$56</f>
        <v>key_rbc_m=0</v>
      </c>
    </row>
    <row r="161" spans="1:1">
      <c r="A161" s="1194" t="str">
        <f>'DS Analysis'!$BI$20</f>
        <v>key_blood_type_m=0</v>
      </c>
    </row>
    <row r="162" spans="1:1">
      <c r="A162" s="124" t="str">
        <f>"key_time_m="&amp;MIN('Configs &amp; Procedures'!$G56,'Configs &amp; Procedures'!$H$20)</f>
        <v>key_time_m=150</v>
      </c>
    </row>
    <row r="164" spans="1:1">
      <c r="A164" s="124" t="str">
        <f>"key_platelet_n="&amp;'DS Analysis'!$AP$57</f>
        <v>key_platelet_n=0</v>
      </c>
    </row>
    <row r="165" spans="1:1">
      <c r="A165" s="124" t="str">
        <f>"key_plasma_n="&amp;'DS Analysis'!$AQ$57</f>
        <v>key_plasma_n=0</v>
      </c>
    </row>
    <row r="166" spans="1:1">
      <c r="A166" s="124" t="str">
        <f>"key_rbc_n="&amp;'DS Analysis'!$AR$57</f>
        <v>key_rbc_n=0</v>
      </c>
    </row>
    <row r="167" spans="1:1">
      <c r="A167" s="1194" t="str">
        <f>'DS Analysis'!$BI$21</f>
        <v>key_blood_type_n=0</v>
      </c>
    </row>
    <row r="168" spans="1:1">
      <c r="A168" s="124" t="str">
        <f>"key_time_n="&amp;MIN('Configs &amp; Procedures'!$G57,'Configs &amp; Procedures'!$H$20)</f>
        <v>key_time_n=150</v>
      </c>
    </row>
    <row r="170" spans="1:1">
      <c r="A170" s="124" t="str">
        <f>"key_platelet_o="&amp;'DS Analysis'!$AP$58</f>
        <v>key_platelet_o=0</v>
      </c>
    </row>
    <row r="171" spans="1:1">
      <c r="A171" s="124" t="str">
        <f>"key_plasma_o="&amp;'DS Analysis'!$AQ$58</f>
        <v>key_plasma_o=0</v>
      </c>
    </row>
    <row r="172" spans="1:1">
      <c r="A172" s="124" t="str">
        <f>"key_rbc_o="&amp;'DS Analysis'!$AR$58</f>
        <v>key_rbc_o=0</v>
      </c>
    </row>
    <row r="173" spans="1:1">
      <c r="A173" s="1194" t="str">
        <f>'DS Analysis'!$BI$22</f>
        <v>key_blood_type_o=0</v>
      </c>
    </row>
    <row r="174" spans="1:1">
      <c r="A174" s="124" t="str">
        <f>"key_time_o="&amp;MIN('Configs &amp; Procedures'!$G58,'Configs &amp; Procedures'!$H$20)</f>
        <v>key_time_o=150</v>
      </c>
    </row>
    <row r="176" spans="1:1">
      <c r="A176" t="s">
        <v>160</v>
      </c>
    </row>
    <row r="177" spans="1:1">
      <c r="A177" t="s">
        <v>161</v>
      </c>
    </row>
    <row r="178" spans="1:1">
      <c r="A178" t="s">
        <v>162</v>
      </c>
    </row>
    <row r="179" spans="1:1">
      <c r="A179" t="s">
        <v>163</v>
      </c>
    </row>
    <row r="180" spans="1:1">
      <c r="A180" t="s">
        <v>164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Sheet21"/>
  <dimension ref="A1:A206"/>
  <sheetViews>
    <sheetView zoomScale="110" zoomScaleNormal="110" workbookViewId="0">
      <selection activeCell="A20" sqref="A20"/>
    </sheetView>
  </sheetViews>
  <sheetFormatPr defaultRowHeight="15"/>
  <cols>
    <col min="1" max="1" width="36.140625" customWidth="1"/>
    <col min="2" max="2" width="21.85546875" bestFit="1" customWidth="1"/>
  </cols>
  <sheetData>
    <row r="1" spans="1:1">
      <c r="A1" t="s">
        <v>100</v>
      </c>
    </row>
    <row r="2" spans="1:1">
      <c r="A2" t="s">
        <v>101</v>
      </c>
    </row>
    <row r="3" spans="1:1">
      <c r="A3" t="s">
        <v>102</v>
      </c>
    </row>
    <row r="4" spans="1:1">
      <c r="A4" t="s">
        <v>103</v>
      </c>
    </row>
    <row r="5" spans="1:1">
      <c r="A5" t="s">
        <v>104</v>
      </c>
    </row>
    <row r="6" spans="1:1">
      <c r="A6" t="s">
        <v>105</v>
      </c>
    </row>
    <row r="7" spans="1:1">
      <c r="A7" t="s">
        <v>106</v>
      </c>
    </row>
    <row r="9" spans="1:1">
      <c r="A9" t="s">
        <v>108</v>
      </c>
    </row>
    <row r="10" spans="1:1">
      <c r="A10" s="124" t="str">
        <f>"key_proc_time=" &amp;'Configs &amp; Procedures'!$H$20</f>
        <v>key_proc_time=150</v>
      </c>
    </row>
    <row r="11" spans="1:1">
      <c r="A11" t="s">
        <v>109</v>
      </c>
    </row>
    <row r="12" spans="1:1">
      <c r="A12" t="s">
        <v>110</v>
      </c>
    </row>
    <row r="13" spans="1:1">
      <c r="A13" s="124" t="str">
        <f>"key_custom_ratio="&amp;'Configs &amp; Procedures'!$H$26</f>
        <v>key_custom_ratio=13</v>
      </c>
    </row>
    <row r="14" spans="1:1">
      <c r="A14" s="124" t="str">
        <f>"key_ac_rate=" &amp;'Configs &amp; Procedures'!$H$25</f>
        <v>key_ac_rate=1</v>
      </c>
    </row>
    <row r="15" spans="1:1">
      <c r="A15" s="124" t="str">
        <f>"key_post_crit=" &amp;'Configs &amp; Procedures'!$H$16</f>
        <v>key_post_crit=32</v>
      </c>
    </row>
    <row r="16" spans="1:1">
      <c r="A16" s="124" t="str">
        <f>"key_tbv_vol_setting="&amp;IF('Configs &amp; Procedures'!$L$11="YES",1)+IF('Configs &amp; Procedures'!$L$13="YES",4)+IF('Configs &amp; Procedures'!$L$15="YES",2)+IF('Configs &amp; Procedures'!$L$32="YES",8)</f>
        <v>key_tbv_vol_setting=1</v>
      </c>
    </row>
    <row r="17" spans="1:1">
      <c r="A17" s="124" t="str">
        <f>"key_tbv_percent="&amp;'Configs &amp; Procedures'!$L$12</f>
        <v>key_tbv_percent=12</v>
      </c>
    </row>
    <row r="18" spans="1:1">
      <c r="A18" s="124" t="str">
        <f>"key_weight_1_setting="&amp;'Configs &amp; Procedures'!$AC$22</f>
        <v>key_weight_1_setting=385.8089585</v>
      </c>
    </row>
    <row r="19" spans="1:1">
      <c r="A19" s="124" t="str">
        <f>"key_weight_2_setting="&amp;'Configs &amp; Procedures'!$AC$22</f>
        <v>key_weight_2_setting=385.8089585</v>
      </c>
    </row>
    <row r="20" spans="1:1">
      <c r="A20" s="124" t="str">
        <f>"key_weight_3_setting="&amp;'Configs &amp; Procedures'!$AC$22</f>
        <v>key_weight_3_setting=385.8089585</v>
      </c>
    </row>
    <row r="21" spans="1:1">
      <c r="A21" s="124" t="str">
        <f>"key_weight_1_less_than_vol="&amp;'Configs &amp; Procedures'!$L$16</f>
        <v>key_weight_1_less_than_vol=500</v>
      </c>
    </row>
    <row r="22" spans="1:1">
      <c r="A22" s="124" t="str">
        <f>"key_weight_2_less_than_vol="&amp;'Configs &amp; Procedures'!$L$16</f>
        <v>key_weight_2_less_than_vol=500</v>
      </c>
    </row>
    <row r="23" spans="1:1">
      <c r="A23" s="124" t="str">
        <f>"key_weight_3_less_than_vol="&amp;'Configs &amp; Procedures'!$L$16</f>
        <v>key_weight_3_less_than_vol=500</v>
      </c>
    </row>
    <row r="24" spans="1:1">
      <c r="A24" s="124" t="str">
        <f>"key_weight_3_greater_than_vol="&amp;'Configs &amp; Procedures'!$L$17</f>
        <v>key_weight_3_greater_than_vol=600</v>
      </c>
    </row>
    <row r="25" spans="1:1">
      <c r="A25" s="124" t="str">
        <f>"key_ml_per_kg="&amp;'Configs &amp; Procedures'!$L$14</f>
        <v>key_ml_per_kg=10.5</v>
      </c>
    </row>
    <row r="26" spans="1:1">
      <c r="A26" s="124" t="str">
        <f>"key_post_plat=" &amp;'Configs &amp; Procedures'!H14* 1000</f>
        <v>key_post_plat=100000</v>
      </c>
    </row>
    <row r="27" spans="1:1">
      <c r="A27" s="124" t="str">
        <f>"key_max_draw_flow="&amp;IF('Configs &amp; Procedures'!$H$28="FAST",2,IF('Configs &amp; Procedures'!$H$28="MODERATE",1,IF('Configs &amp; Procedures'!$H$28="SLOW",0)))</f>
        <v>key_max_draw_flow=0</v>
      </c>
    </row>
    <row r="28" spans="1:1">
      <c r="A28" t="s">
        <v>111</v>
      </c>
    </row>
    <row r="29" spans="1:1">
      <c r="A29" t="s">
        <v>112</v>
      </c>
    </row>
    <row r="30" spans="1:1">
      <c r="A30" t="s">
        <v>114</v>
      </c>
    </row>
    <row r="31" spans="1:1">
      <c r="A31" t="s">
        <v>165</v>
      </c>
    </row>
    <row r="32" spans="1:1">
      <c r="A32" t="s">
        <v>166</v>
      </c>
    </row>
    <row r="33" spans="1:1">
      <c r="A33" t="s">
        <v>116</v>
      </c>
    </row>
    <row r="34" spans="1:1">
      <c r="A34" t="s">
        <v>118</v>
      </c>
    </row>
    <row r="35" spans="1:1">
      <c r="A35" t="s">
        <v>1510</v>
      </c>
    </row>
    <row r="36" spans="1:1">
      <c r="A36" t="s">
        <v>1511</v>
      </c>
    </row>
    <row r="38" spans="1:1">
      <c r="A38" t="s">
        <v>122</v>
      </c>
    </row>
    <row r="39" spans="1:1">
      <c r="A39" s="124" t="str">
        <f>"key_rbc_ratio=" &amp;IF('Configs &amp; Procedures'!$H$27=11,1,IF('Configs &amp; Procedures'!$H$27=8.14,0,IF('Configs &amp; Procedures'!$H$27=13.7,2,"")))</f>
        <v>key_rbc_ratio=1</v>
      </c>
    </row>
    <row r="40" spans="1:1">
      <c r="A40" s="124" t="str">
        <f>"key_rbc_replace_fluid="&amp; IF('Configs &amp; Procedures'!$H$17="YES",1,0)</f>
        <v>key_rbc_replace_fluid=0</v>
      </c>
    </row>
    <row r="41" spans="1:1">
      <c r="A41" s="124" t="str">
        <f>"key_rbc_fluid_percent=" &amp;'Configs &amp; Procedures'!$H$18</f>
        <v>key_rbc_fluid_percent=100</v>
      </c>
    </row>
    <row r="42" spans="1:1">
      <c r="A42" s="124" t="str">
        <f>"key_pls_amap_minimum="&amp;'Configs &amp; Procedures'!$L$23</f>
        <v>key_pls_amap_minimum=200</v>
      </c>
    </row>
    <row r="43" spans="1:1">
      <c r="A43" s="124" t="str">
        <f>"key_pls_amap_maximum="&amp; 'Configs &amp; Procedures'!$M$23</f>
        <v>key_pls_amap_maximum=1000</v>
      </c>
    </row>
    <row r="44" spans="1:1">
      <c r="A44" s="124" t="str">
        <f>"key_ysf=" &amp; 'Configs &amp; Procedures'!L24</f>
        <v>key_ysf=1</v>
      </c>
    </row>
    <row r="45" spans="1:1">
      <c r="A45" t="s">
        <v>123</v>
      </c>
    </row>
    <row r="46" spans="1:1">
      <c r="A46" t="s">
        <v>124</v>
      </c>
    </row>
    <row r="47" spans="1:1">
      <c r="A47" t="s">
        <v>125</v>
      </c>
    </row>
    <row r="48" spans="1:1">
      <c r="A48" s="124" t="str">
        <f>"key_inlet_flow_ramp="&amp;IF('Configs &amp; Procedures'!$H$31="YES",1,0)</f>
        <v>key_inlet_flow_ramp=1</v>
      </c>
    </row>
    <row r="49" spans="1:1">
      <c r="A49" s="124" t="str">
        <f>"key_inlet_management="&amp;'Configs &amp; Procedures'!$H$29</f>
        <v>key_inlet_management=1</v>
      </c>
    </row>
    <row r="50" spans="1:1">
      <c r="A50" s="124" t="str">
        <f>"key_return_management="&amp;'Configs &amp; Procedures'!$H$30</f>
        <v>key_return_management=1</v>
      </c>
    </row>
    <row r="51" spans="1:1">
      <c r="A51" s="124" t="str">
        <f>"key_rsf="&amp;'Configs &amp; Procedures'!$L$26</f>
        <v>key_rsf=1</v>
      </c>
    </row>
    <row r="53" spans="1:1">
      <c r="A53" t="s">
        <v>126</v>
      </c>
    </row>
    <row r="54" spans="1:1">
      <c r="A54" s="124" t="str">
        <f>"key_rbc_crit_1="&amp;'Configs &amp; Procedures'!$L$22</f>
        <v>key_rbc_crit_1=80</v>
      </c>
    </row>
    <row r="55" spans="1:1">
      <c r="A55" s="124" t="str">
        <f>"key_rbc_dose_1="&amp;'DS Analysis'!$AX$44</f>
        <v>key_rbc_dose_1=180</v>
      </c>
    </row>
    <row r="57" spans="1:1">
      <c r="A57" s="124" t="str">
        <f>"key_rbc_crit_2="&amp;'Configs &amp; Procedures'!$L$22</f>
        <v>key_rbc_crit_2=80</v>
      </c>
    </row>
    <row r="58" spans="1:1">
      <c r="A58" s="124" t="str">
        <f>"key_rbc_dose_2="&amp;'DS Analysis'!$AX$45</f>
        <v>key_rbc_dose_2=360</v>
      </c>
    </row>
    <row r="60" spans="1:1">
      <c r="A60" s="124" t="str">
        <f>"key_rbc_crit_3="&amp;'Configs &amp; Procedures'!$L$22</f>
        <v>key_rbc_crit_3=80</v>
      </c>
    </row>
    <row r="61" spans="1:1">
      <c r="A61" s="124" t="str">
        <f>"key_rbc_dose_3="&amp;'DS Analysis'!$AX$46</f>
        <v>key_rbc_dose_3=0</v>
      </c>
    </row>
    <row r="63" spans="1:1">
      <c r="A63" s="124" t="str">
        <f>"key_plt_yield_1="&amp;'DS Analysis'!$AU$44</f>
        <v>key_plt_yield_1=2.5</v>
      </c>
    </row>
    <row r="64" spans="1:1">
      <c r="A64" s="124" t="str">
        <f>"key_plt_volume_1="&amp;'DS Analysis'!$AV$44</f>
        <v>key_plt_volume_1=161</v>
      </c>
    </row>
    <row r="65" spans="1:1">
      <c r="A65" t="s">
        <v>130</v>
      </c>
    </row>
    <row r="66" spans="1:1">
      <c r="A66" t="s">
        <v>131</v>
      </c>
    </row>
    <row r="68" spans="1:1">
      <c r="A68" s="124" t="str">
        <f>"key_plt_yield_2="&amp;'DS Analysis'!$AU$45</f>
        <v>key_plt_yield_2=3.2</v>
      </c>
    </row>
    <row r="69" spans="1:1">
      <c r="A69" s="124" t="str">
        <f>"key_plt_volume_2="&amp;'DS Analysis'!$AV$45</f>
        <v>key_plt_volume_2=206</v>
      </c>
    </row>
    <row r="70" spans="1:1">
      <c r="A70" t="s">
        <v>132</v>
      </c>
    </row>
    <row r="71" spans="1:1">
      <c r="A71" t="s">
        <v>133</v>
      </c>
    </row>
    <row r="73" spans="1:1">
      <c r="A73" s="124" t="str">
        <f>"key_plt_yield_3="&amp;'DS Analysis'!$AU$46</f>
        <v>key_plt_yield_3=4</v>
      </c>
    </row>
    <row r="74" spans="1:1">
      <c r="A74" s="124" t="str">
        <f>"key_plt_volume_3="&amp;'DS Analysis'!$AV$46</f>
        <v>key_plt_volume_3=258</v>
      </c>
    </row>
    <row r="75" spans="1:1">
      <c r="A75" t="s">
        <v>134</v>
      </c>
    </row>
    <row r="76" spans="1:1">
      <c r="A76" t="s">
        <v>135</v>
      </c>
    </row>
    <row r="78" spans="1:1">
      <c r="A78" s="124" t="str">
        <f>"key_plt_yield_4="&amp;'DS Analysis'!$AU$47</f>
        <v>key_plt_yield_4=5.5</v>
      </c>
    </row>
    <row r="79" spans="1:1">
      <c r="A79" s="124" t="str">
        <f>"key_plt_volume_4="&amp;'DS Analysis'!$AV$47</f>
        <v>key_plt_volume_4=355</v>
      </c>
    </row>
    <row r="80" spans="1:1">
      <c r="A80" t="s">
        <v>136</v>
      </c>
    </row>
    <row r="81" spans="1:1">
      <c r="A81" t="s">
        <v>137</v>
      </c>
    </row>
    <row r="83" spans="1:1">
      <c r="A83" s="124" t="str">
        <f>"key_plt_yield_5="&amp;'DS Analysis'!$AU$48</f>
        <v>key_plt_yield_5=9.6</v>
      </c>
    </row>
    <row r="84" spans="1:1">
      <c r="A84" s="124" t="str">
        <f>"key_plt_volume_5="&amp;'DS Analysis'!$AV$48</f>
        <v>key_plt_volume_5=619</v>
      </c>
    </row>
    <row r="85" spans="1:1">
      <c r="A85" t="s">
        <v>138</v>
      </c>
    </row>
    <row r="86" spans="1:1">
      <c r="A86" t="s">
        <v>139</v>
      </c>
    </row>
    <row r="88" spans="1:1">
      <c r="A88" s="124" t="str">
        <f>"key_plt_yield_6="&amp;'DS Analysis'!$AU$49</f>
        <v>key_plt_yield_6=11</v>
      </c>
    </row>
    <row r="89" spans="1:1">
      <c r="A89" s="124" t="str">
        <f>"key_plt_volume_6="&amp;'DS Analysis'!$AV$49</f>
        <v>key_plt_volume_6=710</v>
      </c>
    </row>
    <row r="90" spans="1:1">
      <c r="A90" t="s">
        <v>140</v>
      </c>
    </row>
    <row r="91" spans="1:1">
      <c r="A91" t="s">
        <v>141</v>
      </c>
    </row>
    <row r="93" spans="1:1">
      <c r="A93" s="124" t="str">
        <f>"key_pls_volume_1="&amp;'DS Analysis'!$AW$44</f>
        <v>key_pls_volume_1=250</v>
      </c>
    </row>
    <row r="94" spans="1:1">
      <c r="A94" s="124" t="str">
        <f>"key_pls_volume_2="&amp;'DS Analysis'!$AW$45</f>
        <v>key_pls_volume_2=300</v>
      </c>
    </row>
    <row r="95" spans="1:1">
      <c r="A95" s="124" t="str">
        <f>"key_pls_volume_3="&amp;'DS Analysis'!$AW$46</f>
        <v>key_pls_volume_3=350</v>
      </c>
    </row>
    <row r="96" spans="1:1">
      <c r="A96" s="124" t="str">
        <f>"key_pls_volume_4="&amp;'DS Analysis'!$AW$47</f>
        <v>key_pls_volume_4=400</v>
      </c>
    </row>
    <row r="97" spans="1:1">
      <c r="A97" s="124" t="str">
        <f>"key_pls_volume_5="&amp;'DS Analysis'!$AW$48</f>
        <v>key_pls_volume_5=450</v>
      </c>
    </row>
    <row r="98" spans="1:1">
      <c r="A98" s="124" t="str">
        <f>"key_pls_volume_6="&amp;'DS Analysis'!$AW$49</f>
        <v>key_pls_volume_6=500</v>
      </c>
    </row>
    <row r="100" spans="1:1">
      <c r="A100" t="s">
        <v>150</v>
      </c>
    </row>
    <row r="101" spans="1:1">
      <c r="A101" t="s">
        <v>150</v>
      </c>
    </row>
    <row r="102" spans="1:1">
      <c r="A102" t="s">
        <v>151</v>
      </c>
    </row>
    <row r="103" spans="1:1">
      <c r="A103" t="s">
        <v>152</v>
      </c>
    </row>
    <row r="104" spans="1:1">
      <c r="A104" t="s">
        <v>153</v>
      </c>
    </row>
    <row r="105" spans="1:1">
      <c r="A105" t="s">
        <v>154</v>
      </c>
    </row>
    <row r="106" spans="1:1">
      <c r="A106" t="s">
        <v>155</v>
      </c>
    </row>
    <row r="107" spans="1:1">
      <c r="A107" t="s">
        <v>156</v>
      </c>
    </row>
    <row r="108" spans="1:1">
      <c r="A108" t="s">
        <v>157</v>
      </c>
    </row>
    <row r="109" spans="1:1">
      <c r="A109" t="s">
        <v>158</v>
      </c>
    </row>
    <row r="110" spans="1:1">
      <c r="A110" t="s">
        <v>150</v>
      </c>
    </row>
    <row r="111" spans="1:1">
      <c r="A111" t="s">
        <v>159</v>
      </c>
    </row>
    <row r="112" spans="1:1">
      <c r="A112" s="124" t="str">
        <f>"key_platelet_a="&amp;'DS Analysis'!$AP$44</f>
        <v>key_platelet_a=0</v>
      </c>
    </row>
    <row r="113" spans="1:1">
      <c r="A113" s="124" t="str">
        <f>"key_plasma_a="&amp;'DS Analysis'!$AQ$44</f>
        <v>key_plasma_a=7</v>
      </c>
    </row>
    <row r="114" spans="1:1">
      <c r="A114" s="124" t="str">
        <f>"key_rbc_a="&amp;'DS Analysis'!$AR$44</f>
        <v>key_rbc_a=0</v>
      </c>
    </row>
    <row r="115" spans="1:1">
      <c r="A115" s="124" t="str">
        <f>'DS Analysis'!BI8</f>
        <v>key_blood_type_a=0</v>
      </c>
    </row>
    <row r="116" spans="1:1">
      <c r="A116" s="124" t="str">
        <f>"key_time_a="&amp;MIN('Configs &amp; Procedures'!$G70,'Configs &amp; Procedures'!$H$20)</f>
        <v>key_time_a=150</v>
      </c>
    </row>
    <row r="117" spans="1:1">
      <c r="A117" s="1170"/>
    </row>
    <row r="118" spans="1:1">
      <c r="A118" s="124" t="str">
        <f>"key_platelet_b="&amp;'DS Analysis'!$AP$45</f>
        <v>key_platelet_b=0</v>
      </c>
    </row>
    <row r="119" spans="1:1">
      <c r="A119" s="124" t="str">
        <f>"key_plasma_b="&amp;'DS Analysis'!$AQ$45</f>
        <v>key_plasma_b=0</v>
      </c>
    </row>
    <row r="120" spans="1:1">
      <c r="A120" s="124" t="str">
        <f>"key_rbc_b="&amp;'DS Analysis'!$AR$45</f>
        <v>key_rbc_b=0</v>
      </c>
    </row>
    <row r="121" spans="1:1">
      <c r="A121" s="124" t="str">
        <f>'DS Analysis'!BI9</f>
        <v>key_blood_type_b=0</v>
      </c>
    </row>
    <row r="122" spans="1:1">
      <c r="A122" s="124" t="str">
        <f>"key_time_b="&amp;MIN('Configs &amp; Procedures'!$G71,'Configs &amp; Procedures'!$H$20)</f>
        <v>key_time_b=150</v>
      </c>
    </row>
    <row r="123" spans="1:1">
      <c r="A123" s="1170"/>
    </row>
    <row r="124" spans="1:1">
      <c r="A124" s="124" t="str">
        <f>"key_platelet_c="&amp;'DS Analysis'!$AP$46</f>
        <v>key_platelet_c=0</v>
      </c>
    </row>
    <row r="125" spans="1:1">
      <c r="A125" s="124" t="str">
        <f>"key_plasma_c="&amp;'DS Analysis'!$AQ$46</f>
        <v>key_plasma_c=0</v>
      </c>
    </row>
    <row r="126" spans="1:1">
      <c r="A126" s="124" t="str">
        <f>"key_rbc_c="&amp;'DS Analysis'!$AR$46</f>
        <v>key_rbc_c=0</v>
      </c>
    </row>
    <row r="127" spans="1:1">
      <c r="A127" s="124" t="str">
        <f>'DS Analysis'!BI10</f>
        <v>key_blood_type_c=0</v>
      </c>
    </row>
    <row r="128" spans="1:1">
      <c r="A128" s="124" t="str">
        <f>"key_time_c="&amp;MIN('Configs &amp; Procedures'!$G72,'Configs &amp; Procedures'!$H$20)</f>
        <v>key_time_c=150</v>
      </c>
    </row>
    <row r="129" spans="1:1">
      <c r="A129" s="1170"/>
    </row>
    <row r="130" spans="1:1">
      <c r="A130" s="124" t="str">
        <f>"key_platelet_d="&amp;'DS Analysis'!$AP$47</f>
        <v>key_platelet_d=0</v>
      </c>
    </row>
    <row r="131" spans="1:1">
      <c r="A131" s="124" t="str">
        <f>"key_plasma_d="&amp;'DS Analysis'!$AQ$47</f>
        <v>key_plasma_d=0</v>
      </c>
    </row>
    <row r="132" spans="1:1">
      <c r="A132" s="124" t="str">
        <f>"key_rbc_d="&amp;'DS Analysis'!$AR$47</f>
        <v>key_rbc_d=0</v>
      </c>
    </row>
    <row r="133" spans="1:1">
      <c r="A133" s="124" t="str">
        <f>'DS Analysis'!BI11</f>
        <v>key_blood_type_d=0</v>
      </c>
    </row>
    <row r="134" spans="1:1">
      <c r="A134" s="124" t="str">
        <f>"key_time_d="&amp;MIN('Configs &amp; Procedures'!$G73,'Configs &amp; Procedures'!$H$20)</f>
        <v>key_time_d=150</v>
      </c>
    </row>
    <row r="135" spans="1:1">
      <c r="A135" s="1170"/>
    </row>
    <row r="136" spans="1:1">
      <c r="A136" s="124" t="str">
        <f>"key_platelet_e="&amp;'DS Analysis'!$AP$48</f>
        <v>key_platelet_e=0</v>
      </c>
    </row>
    <row r="137" spans="1:1">
      <c r="A137" s="124" t="str">
        <f>"key_plasma_e="&amp;'DS Analysis'!$AQ$48</f>
        <v>key_plasma_e=0</v>
      </c>
    </row>
    <row r="138" spans="1:1">
      <c r="A138" s="124" t="str">
        <f>"key_rbc_e="&amp;'DS Analysis'!$AR$48</f>
        <v>key_rbc_e=0</v>
      </c>
    </row>
    <row r="139" spans="1:1">
      <c r="A139" s="124" t="str">
        <f>'DS Analysis'!BI12</f>
        <v>key_blood_type_e=0</v>
      </c>
    </row>
    <row r="140" spans="1:1">
      <c r="A140" s="124" t="str">
        <f>"key_time_e="&amp;MIN('Configs &amp; Procedures'!$G74,'Configs &amp; Procedures'!$H$20)</f>
        <v>key_time_e=150</v>
      </c>
    </row>
    <row r="141" spans="1:1">
      <c r="A141" s="1170"/>
    </row>
    <row r="142" spans="1:1">
      <c r="A142" s="124" t="str">
        <f>"key_platelet_f="&amp;'DS Analysis'!$AP$49</f>
        <v>key_platelet_f=0</v>
      </c>
    </row>
    <row r="143" spans="1:1">
      <c r="A143" s="124" t="str">
        <f>"key_plasma_f="&amp;'DS Analysis'!$AQ$49</f>
        <v>key_plasma_f=0</v>
      </c>
    </row>
    <row r="144" spans="1:1">
      <c r="A144" s="124" t="str">
        <f>"key_rbc_f="&amp;'DS Analysis'!$AR$49</f>
        <v>key_rbc_f=0</v>
      </c>
    </row>
    <row r="145" spans="1:1">
      <c r="A145" s="124" t="str">
        <f>'DS Analysis'!BI13</f>
        <v>key_blood_type_f=0</v>
      </c>
    </row>
    <row r="146" spans="1:1">
      <c r="A146" s="124" t="str">
        <f>"key_time_f="&amp;MIN('Configs &amp; Procedures'!$G75,'Configs &amp; Procedures'!$H$20)</f>
        <v>key_time_f=150</v>
      </c>
    </row>
    <row r="147" spans="1:1">
      <c r="A147" s="1170"/>
    </row>
    <row r="148" spans="1:1">
      <c r="A148" s="124" t="str">
        <f>"key_platelet_g="&amp;'DS Analysis'!$AP$50</f>
        <v>key_platelet_g=0</v>
      </c>
    </row>
    <row r="149" spans="1:1">
      <c r="A149" s="124" t="str">
        <f>"key_plasma_g="&amp;'DS Analysis'!$AQ$50</f>
        <v>key_plasma_g=0</v>
      </c>
    </row>
    <row r="150" spans="1:1">
      <c r="A150" s="124" t="str">
        <f>"key_rbc_g="&amp;'DS Analysis'!$AR$50</f>
        <v>key_rbc_g=0</v>
      </c>
    </row>
    <row r="151" spans="1:1">
      <c r="A151" s="124" t="str">
        <f>'DS Analysis'!BI14</f>
        <v>key_blood_type_g=0</v>
      </c>
    </row>
    <row r="152" spans="1:1">
      <c r="A152" s="124" t="str">
        <f>"key_time_g="&amp;MIN('Configs &amp; Procedures'!$G76,'Configs &amp; Procedures'!$H$20)</f>
        <v>key_time_g=150</v>
      </c>
    </row>
    <row r="153" spans="1:1">
      <c r="A153" s="1170"/>
    </row>
    <row r="154" spans="1:1">
      <c r="A154" s="124" t="str">
        <f>"key_platelet_h="&amp;'DS Analysis'!$AP$51</f>
        <v>key_platelet_h=0</v>
      </c>
    </row>
    <row r="155" spans="1:1">
      <c r="A155" s="124" t="str">
        <f>"key_plasma_h="&amp;'DS Analysis'!$AQ$51</f>
        <v>key_plasma_h=0</v>
      </c>
    </row>
    <row r="156" spans="1:1">
      <c r="A156" s="124" t="str">
        <f>"key_rbc_h="&amp;'DS Analysis'!$AR$51</f>
        <v>key_rbc_h=0</v>
      </c>
    </row>
    <row r="157" spans="1:1">
      <c r="A157" s="124" t="str">
        <f>'DS Analysis'!BI15</f>
        <v>key_blood_type_h=0</v>
      </c>
    </row>
    <row r="158" spans="1:1">
      <c r="A158" s="124" t="str">
        <f>"key_time_h="&amp;MIN('Configs &amp; Procedures'!$G77,'Configs &amp; Procedures'!$H$20)</f>
        <v>key_time_h=150</v>
      </c>
    </row>
    <row r="159" spans="1:1">
      <c r="A159" s="1170"/>
    </row>
    <row r="160" spans="1:1">
      <c r="A160" s="124" t="str">
        <f>"key_platelet_i="&amp;'DS Analysis'!$AP$52</f>
        <v>key_platelet_i=0</v>
      </c>
    </row>
    <row r="161" spans="1:1">
      <c r="A161" s="124" t="str">
        <f>"key_plasma_i="&amp;'DS Analysis'!$AQ$52</f>
        <v>key_plasma_i=0</v>
      </c>
    </row>
    <row r="162" spans="1:1">
      <c r="A162" s="124" t="str">
        <f>"key_rbc_i="&amp;'DS Analysis'!$AR$52</f>
        <v>key_rbc_i=0</v>
      </c>
    </row>
    <row r="163" spans="1:1">
      <c r="A163" s="124" t="str">
        <f>'DS Analysis'!BI16</f>
        <v>key_blood_type_i=0</v>
      </c>
    </row>
    <row r="164" spans="1:1">
      <c r="A164" s="124" t="str">
        <f>"key_time_i="&amp;MIN('Configs &amp; Procedures'!$G78,'Configs &amp; Procedures'!$H$20)</f>
        <v>key_time_i=150</v>
      </c>
    </row>
    <row r="165" spans="1:1">
      <c r="A165" s="1170"/>
    </row>
    <row r="166" spans="1:1">
      <c r="A166" s="124" t="str">
        <f>"key_platelet_j="&amp;'DS Analysis'!$AP$53</f>
        <v>key_platelet_j=0</v>
      </c>
    </row>
    <row r="167" spans="1:1">
      <c r="A167" s="124" t="str">
        <f>"key_plasma_j="&amp;'DS Analysis'!$AQ$53</f>
        <v>key_plasma_j=0</v>
      </c>
    </row>
    <row r="168" spans="1:1">
      <c r="A168" s="124" t="str">
        <f>"key_rbc_j="&amp;'DS Analysis'!$AR$53</f>
        <v>key_rbc_j=0</v>
      </c>
    </row>
    <row r="169" spans="1:1">
      <c r="A169" s="124" t="str">
        <f>'DS Analysis'!BI17</f>
        <v>key_blood_type_j=0</v>
      </c>
    </row>
    <row r="170" spans="1:1">
      <c r="A170" s="124" t="str">
        <f>"key_time_j="&amp;MIN('Configs &amp; Procedures'!$G79,'Configs &amp; Procedures'!$H$20)</f>
        <v>key_time_j=150</v>
      </c>
    </row>
    <row r="171" spans="1:1">
      <c r="A171" s="1170"/>
    </row>
    <row r="172" spans="1:1">
      <c r="A172" s="124" t="str">
        <f>"key_platelet_k="&amp;'DS Analysis'!$AP$54</f>
        <v>key_platelet_k=0</v>
      </c>
    </row>
    <row r="173" spans="1:1">
      <c r="A173" s="124" t="str">
        <f>"key_plasma_k="&amp;'DS Analysis'!$AQ$54</f>
        <v>key_plasma_k=0</v>
      </c>
    </row>
    <row r="174" spans="1:1">
      <c r="A174" s="124" t="str">
        <f>"key_rbc_k="&amp;'DS Analysis'!$AR$54</f>
        <v>key_rbc_k=0</v>
      </c>
    </row>
    <row r="175" spans="1:1">
      <c r="A175" s="124" t="str">
        <f>'DS Analysis'!BI18</f>
        <v>key_blood_type_k=0</v>
      </c>
    </row>
    <row r="176" spans="1:1">
      <c r="A176" s="124" t="str">
        <f>"key_time_k="&amp;MIN('Configs &amp; Procedures'!$G80,'Configs &amp; Procedures'!$H$20)</f>
        <v>key_time_k=150</v>
      </c>
    </row>
    <row r="177" spans="1:1">
      <c r="A177" s="1170"/>
    </row>
    <row r="178" spans="1:1">
      <c r="A178" s="124" t="str">
        <f>"key_platelet_l="&amp;'DS Analysis'!$AP$55</f>
        <v>key_platelet_l=0</v>
      </c>
    </row>
    <row r="179" spans="1:1">
      <c r="A179" s="124" t="str">
        <f>"key_plasma_l="&amp;'DS Analysis'!$AQ$55</f>
        <v>key_plasma_l=0</v>
      </c>
    </row>
    <row r="180" spans="1:1">
      <c r="A180" s="124" t="str">
        <f>"key_rbc_l="&amp;'DS Analysis'!$AR$55</f>
        <v>key_rbc_l=0</v>
      </c>
    </row>
    <row r="181" spans="1:1">
      <c r="A181" s="124" t="str">
        <f>'DS Analysis'!BI19</f>
        <v>key_blood_type_l=0</v>
      </c>
    </row>
    <row r="182" spans="1:1">
      <c r="A182" s="124" t="str">
        <f>"key_time_l="&amp;MIN('Configs &amp; Procedures'!$G81,'Configs &amp; Procedures'!$H$20)</f>
        <v>key_time_l=150</v>
      </c>
    </row>
    <row r="183" spans="1:1">
      <c r="A183" s="1170"/>
    </row>
    <row r="184" spans="1:1">
      <c r="A184" s="124" t="str">
        <f>"key_platelet_m="&amp;'DS Analysis'!$AP$56</f>
        <v>key_platelet_m=0</v>
      </c>
    </row>
    <row r="185" spans="1:1">
      <c r="A185" s="124" t="str">
        <f>"key_plasma_m="&amp;'DS Analysis'!$AQ$56</f>
        <v>key_plasma_m=0</v>
      </c>
    </row>
    <row r="186" spans="1:1">
      <c r="A186" s="124" t="str">
        <f>"key_rbc_m="&amp;'DS Analysis'!$AR$56</f>
        <v>key_rbc_m=0</v>
      </c>
    </row>
    <row r="187" spans="1:1">
      <c r="A187" s="124" t="str">
        <f>'DS Analysis'!BI20</f>
        <v>key_blood_type_m=0</v>
      </c>
    </row>
    <row r="188" spans="1:1">
      <c r="A188" s="124" t="str">
        <f>"key_time_m="&amp;MIN('Configs &amp; Procedures'!$G82,'Configs &amp; Procedures'!$H$20)</f>
        <v>key_time_m=150</v>
      </c>
    </row>
    <row r="189" spans="1:1">
      <c r="A189" s="1170"/>
    </row>
    <row r="190" spans="1:1">
      <c r="A190" s="124" t="str">
        <f>"key_platelet_n="&amp;'DS Analysis'!$AP$57</f>
        <v>key_platelet_n=0</v>
      </c>
    </row>
    <row r="191" spans="1:1">
      <c r="A191" s="124" t="str">
        <f>"key_plasma_n="&amp;'DS Analysis'!$AQ$57</f>
        <v>key_plasma_n=0</v>
      </c>
    </row>
    <row r="192" spans="1:1">
      <c r="A192" s="124" t="str">
        <f>"key_rbc_n="&amp;'DS Analysis'!$AR$57</f>
        <v>key_rbc_n=0</v>
      </c>
    </row>
    <row r="193" spans="1:1">
      <c r="A193" s="124" t="str">
        <f>'DS Analysis'!BI21</f>
        <v>key_blood_type_n=0</v>
      </c>
    </row>
    <row r="194" spans="1:1">
      <c r="A194" s="124" t="str">
        <f>"key_time_n="&amp;MIN('Configs &amp; Procedures'!$G83,'Configs &amp; Procedures'!$H$20)</f>
        <v>key_time_n=150</v>
      </c>
    </row>
    <row r="195" spans="1:1">
      <c r="A195" s="1170"/>
    </row>
    <row r="196" spans="1:1">
      <c r="A196" s="124" t="str">
        <f>"key_platelet_o="&amp;'DS Analysis'!$AP$58</f>
        <v>key_platelet_o=0</v>
      </c>
    </row>
    <row r="197" spans="1:1">
      <c r="A197" s="124" t="str">
        <f>"key_plasma_o="&amp;'DS Analysis'!$AQ$58</f>
        <v>key_plasma_o=0</v>
      </c>
    </row>
    <row r="198" spans="1:1">
      <c r="A198" s="124" t="str">
        <f>"key_rbc_o="&amp;'DS Analysis'!$AR$58</f>
        <v>key_rbc_o=0</v>
      </c>
    </row>
    <row r="199" spans="1:1">
      <c r="A199" s="124" t="str">
        <f>'DS Analysis'!BI22</f>
        <v>key_blood_type_o=0</v>
      </c>
    </row>
    <row r="200" spans="1:1">
      <c r="A200" s="124" t="str">
        <f>"key_time_o="&amp;MIN('Configs &amp; Procedures'!$G84,'Configs &amp; Procedures'!$H$20)</f>
        <v>key_time_o=150</v>
      </c>
    </row>
    <row r="202" spans="1:1">
      <c r="A202" t="s">
        <v>160</v>
      </c>
    </row>
    <row r="203" spans="1:1">
      <c r="A203" t="s">
        <v>161</v>
      </c>
    </row>
    <row r="204" spans="1:1">
      <c r="A204" t="s">
        <v>162</v>
      </c>
    </row>
    <row r="205" spans="1:1">
      <c r="A205" t="s">
        <v>163</v>
      </c>
    </row>
    <row r="206" spans="1:1">
      <c r="A206" t="s">
        <v>164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Sheet22"/>
  <dimension ref="A1:A701"/>
  <sheetViews>
    <sheetView workbookViewId="0"/>
  </sheetViews>
  <sheetFormatPr defaultRowHeight="15"/>
  <cols>
    <col min="1" max="1" width="84.42578125" style="1170" bestFit="1" customWidth="1"/>
    <col min="2" max="16384" width="9.140625" style="1170"/>
  </cols>
  <sheetData>
    <row r="1" spans="1:1">
      <c r="A1" s="1310" t="s">
        <v>167</v>
      </c>
    </row>
    <row r="2" spans="1:1">
      <c r="A2" s="1310" t="s">
        <v>168</v>
      </c>
    </row>
    <row r="3" spans="1:1">
      <c r="A3" s="1310" t="s">
        <v>150</v>
      </c>
    </row>
    <row r="4" spans="1:1">
      <c r="A4" s="1310" t="s">
        <v>169</v>
      </c>
    </row>
    <row r="5" spans="1:1">
      <c r="A5" s="1310" t="s">
        <v>170</v>
      </c>
    </row>
    <row r="6" spans="1:1">
      <c r="A6" s="1310" t="s">
        <v>150</v>
      </c>
    </row>
    <row r="7" spans="1:1">
      <c r="A7" s="1310" t="s">
        <v>171</v>
      </c>
    </row>
    <row r="8" spans="1:1">
      <c r="A8" s="1310" t="s">
        <v>172</v>
      </c>
    </row>
    <row r="9" spans="1:1">
      <c r="A9" s="1310" t="s">
        <v>173</v>
      </c>
    </row>
    <row r="10" spans="1:1">
      <c r="A10" s="1310" t="s">
        <v>174</v>
      </c>
    </row>
    <row r="11" spans="1:1">
      <c r="A11" s="1310" t="s">
        <v>175</v>
      </c>
    </row>
    <row r="12" spans="1:1">
      <c r="A12" s="1310" t="s">
        <v>176</v>
      </c>
    </row>
    <row r="13" spans="1:1">
      <c r="A13" s="1310" t="s">
        <v>172</v>
      </c>
    </row>
    <row r="14" spans="1:1">
      <c r="A14" s="1310" t="s">
        <v>175</v>
      </c>
    </row>
    <row r="15" spans="1:1">
      <c r="A15" s="1310"/>
    </row>
    <row r="16" spans="1:1">
      <c r="A16" s="1310" t="s">
        <v>177</v>
      </c>
    </row>
    <row r="17" spans="1:1">
      <c r="A17" s="1310" t="s">
        <v>178</v>
      </c>
    </row>
    <row r="18" spans="1:1">
      <c r="A18" s="1310" t="s">
        <v>179</v>
      </c>
    </row>
    <row r="19" spans="1:1">
      <c r="A19" s="1310"/>
    </row>
    <row r="20" spans="1:1">
      <c r="A20" s="1310" t="s">
        <v>180</v>
      </c>
    </row>
    <row r="21" spans="1:1">
      <c r="A21" s="1310"/>
    </row>
    <row r="22" spans="1:1">
      <c r="A22" s="1310" t="s">
        <v>181</v>
      </c>
    </row>
    <row r="23" spans="1:1">
      <c r="A23" s="1310"/>
    </row>
    <row r="24" spans="1:1">
      <c r="A24" s="1310" t="s">
        <v>150</v>
      </c>
    </row>
    <row r="25" spans="1:1">
      <c r="A25" s="1310" t="s">
        <v>182</v>
      </c>
    </row>
    <row r="26" spans="1:1">
      <c r="A26" s="1310" t="s">
        <v>150</v>
      </c>
    </row>
    <row r="27" spans="1:1">
      <c r="A27" s="1310" t="s">
        <v>183</v>
      </c>
    </row>
    <row r="28" spans="1:1">
      <c r="A28" s="1310" t="s">
        <v>184</v>
      </c>
    </row>
    <row r="29" spans="1:1">
      <c r="A29" s="1310" t="s">
        <v>185</v>
      </c>
    </row>
    <row r="30" spans="1:1">
      <c r="A30" s="1310" t="s">
        <v>186</v>
      </c>
    </row>
    <row r="31" spans="1:1">
      <c r="A31" s="1310" t="s">
        <v>187</v>
      </c>
    </row>
    <row r="32" spans="1:1">
      <c r="A32" s="1310" t="s">
        <v>150</v>
      </c>
    </row>
    <row r="33" spans="1:1">
      <c r="A33" s="1310" t="s">
        <v>188</v>
      </c>
    </row>
    <row r="34" spans="1:1">
      <c r="A34" s="1310" t="s">
        <v>189</v>
      </c>
    </row>
    <row r="35" spans="1:1">
      <c r="A35" s="1310" t="s">
        <v>190</v>
      </c>
    </row>
    <row r="36" spans="1:1">
      <c r="A36" s="1310" t="s">
        <v>191</v>
      </c>
    </row>
    <row r="37" spans="1:1">
      <c r="A37" s="1310" t="s">
        <v>192</v>
      </c>
    </row>
    <row r="38" spans="1:1">
      <c r="A38" s="1310"/>
    </row>
    <row r="39" spans="1:1">
      <c r="A39" s="1310" t="s">
        <v>150</v>
      </c>
    </row>
    <row r="40" spans="1:1">
      <c r="A40" s="1310" t="s">
        <v>150</v>
      </c>
    </row>
    <row r="41" spans="1:1">
      <c r="A41" s="1310" t="s">
        <v>193</v>
      </c>
    </row>
    <row r="42" spans="1:1">
      <c r="A42" s="1310" t="s">
        <v>150</v>
      </c>
    </row>
    <row r="43" spans="1:1">
      <c r="A43" s="1310" t="s">
        <v>194</v>
      </c>
    </row>
    <row r="44" spans="1:1">
      <c r="A44" s="1310" t="s">
        <v>195</v>
      </c>
    </row>
    <row r="45" spans="1:1">
      <c r="A45" s="1310" t="s">
        <v>196</v>
      </c>
    </row>
    <row r="46" spans="1:1">
      <c r="A46" s="1310" t="s">
        <v>197</v>
      </c>
    </row>
    <row r="47" spans="1:1">
      <c r="A47" s="1310" t="s">
        <v>198</v>
      </c>
    </row>
    <row r="48" spans="1:1">
      <c r="A48" s="1310" t="s">
        <v>199</v>
      </c>
    </row>
    <row r="49" spans="1:1">
      <c r="A49" s="1310" t="s">
        <v>200</v>
      </c>
    </row>
    <row r="50" spans="1:1">
      <c r="A50" s="1310" t="s">
        <v>201</v>
      </c>
    </row>
    <row r="51" spans="1:1">
      <c r="A51" s="1310"/>
    </row>
    <row r="52" spans="1:1">
      <c r="A52" s="1310" t="s">
        <v>150</v>
      </c>
    </row>
    <row r="53" spans="1:1">
      <c r="A53" s="1310" t="s">
        <v>150</v>
      </c>
    </row>
    <row r="54" spans="1:1">
      <c r="A54" s="1310" t="s">
        <v>202</v>
      </c>
    </row>
    <row r="55" spans="1:1">
      <c r="A55" s="1310" t="s">
        <v>150</v>
      </c>
    </row>
    <row r="56" spans="1:1">
      <c r="A56" s="1310" t="s">
        <v>203</v>
      </c>
    </row>
    <row r="57" spans="1:1">
      <c r="A57" s="1310" t="s">
        <v>204</v>
      </c>
    </row>
    <row r="58" spans="1:1">
      <c r="A58" s="1310" t="s">
        <v>150</v>
      </c>
    </row>
    <row r="59" spans="1:1">
      <c r="A59" s="1310" t="s">
        <v>205</v>
      </c>
    </row>
    <row r="60" spans="1:1">
      <c r="A60" s="1310" t="s">
        <v>206</v>
      </c>
    </row>
    <row r="61" spans="1:1">
      <c r="A61" s="1310" t="s">
        <v>207</v>
      </c>
    </row>
    <row r="62" spans="1:1">
      <c r="A62" s="1310" t="s">
        <v>208</v>
      </c>
    </row>
    <row r="63" spans="1:1">
      <c r="A63" s="1310"/>
    </row>
    <row r="64" spans="1:1">
      <c r="A64" s="1310" t="s">
        <v>209</v>
      </c>
    </row>
    <row r="65" spans="1:1">
      <c r="A65" s="1310" t="s">
        <v>210</v>
      </c>
    </row>
    <row r="66" spans="1:1">
      <c r="A66" s="1310" t="s">
        <v>211</v>
      </c>
    </row>
    <row r="67" spans="1:1">
      <c r="A67" s="1310" t="s">
        <v>212</v>
      </c>
    </row>
    <row r="68" spans="1:1">
      <c r="A68" s="1310"/>
    </row>
    <row r="69" spans="1:1">
      <c r="A69" s="1310" t="s">
        <v>150</v>
      </c>
    </row>
    <row r="70" spans="1:1">
      <c r="A70" s="1310" t="s">
        <v>150</v>
      </c>
    </row>
    <row r="71" spans="1:1">
      <c r="A71" s="1310" t="s">
        <v>213</v>
      </c>
    </row>
    <row r="72" spans="1:1">
      <c r="A72" s="1310" t="s">
        <v>150</v>
      </c>
    </row>
    <row r="73" spans="1:1">
      <c r="A73" s="1310" t="s">
        <v>214</v>
      </c>
    </row>
    <row r="74" spans="1:1">
      <c r="A74" s="1310" t="s">
        <v>215</v>
      </c>
    </row>
    <row r="75" spans="1:1">
      <c r="A75" s="1310" t="s">
        <v>216</v>
      </c>
    </row>
    <row r="76" spans="1:1">
      <c r="A76" s="1310" t="s">
        <v>217</v>
      </c>
    </row>
    <row r="77" spans="1:1">
      <c r="A77" s="1310" t="s">
        <v>218</v>
      </c>
    </row>
    <row r="78" spans="1:1">
      <c r="A78" s="1310" t="s">
        <v>219</v>
      </c>
    </row>
    <row r="79" spans="1:1">
      <c r="A79" s="1310" t="s">
        <v>220</v>
      </c>
    </row>
    <row r="80" spans="1:1">
      <c r="A80" s="1310"/>
    </row>
    <row r="81" spans="1:1">
      <c r="A81" s="1310" t="s">
        <v>222</v>
      </c>
    </row>
    <row r="82" spans="1:1">
      <c r="A82" s="1310" t="s">
        <v>150</v>
      </c>
    </row>
    <row r="83" spans="1:1">
      <c r="A83" s="1310" t="s">
        <v>223</v>
      </c>
    </row>
    <row r="84" spans="1:1">
      <c r="A84" s="1310" t="s">
        <v>224</v>
      </c>
    </row>
    <row r="85" spans="1:1">
      <c r="A85" s="1310" t="s">
        <v>875</v>
      </c>
    </row>
    <row r="86" spans="1:1">
      <c r="A86" s="1310" t="s">
        <v>876</v>
      </c>
    </row>
    <row r="87" spans="1:1">
      <c r="A87" s="1310"/>
    </row>
    <row r="88" spans="1:1">
      <c r="A88" s="1310" t="s">
        <v>150</v>
      </c>
    </row>
    <row r="89" spans="1:1">
      <c r="A89" s="1310" t="s">
        <v>225</v>
      </c>
    </row>
    <row r="90" spans="1:1">
      <c r="A90" s="1310" t="s">
        <v>226</v>
      </c>
    </row>
    <row r="91" spans="1:1">
      <c r="A91" s="1310" t="s">
        <v>227</v>
      </c>
    </row>
    <row r="92" spans="1:1">
      <c r="A92" s="1310" t="s">
        <v>228</v>
      </c>
    </row>
    <row r="93" spans="1:1">
      <c r="A93" s="1310" t="s">
        <v>229</v>
      </c>
    </row>
    <row r="94" spans="1:1">
      <c r="A94" s="1310" t="s">
        <v>230</v>
      </c>
    </row>
    <row r="95" spans="1:1">
      <c r="A95" s="1310" t="s">
        <v>231</v>
      </c>
    </row>
    <row r="96" spans="1:1">
      <c r="A96" s="1310" t="s">
        <v>232</v>
      </c>
    </row>
    <row r="97" spans="1:1">
      <c r="A97" s="1310" t="s">
        <v>233</v>
      </c>
    </row>
    <row r="98" spans="1:1">
      <c r="A98" s="1310" t="s">
        <v>150</v>
      </c>
    </row>
    <row r="99" spans="1:1">
      <c r="A99" s="1310" t="s">
        <v>234</v>
      </c>
    </row>
    <row r="100" spans="1:1">
      <c r="A100" s="1310" t="s">
        <v>235</v>
      </c>
    </row>
    <row r="101" spans="1:1">
      <c r="A101" s="1310" t="s">
        <v>236</v>
      </c>
    </row>
    <row r="102" spans="1:1">
      <c r="A102" s="1310"/>
    </row>
    <row r="103" spans="1:1">
      <c r="A103" s="1310" t="s">
        <v>150</v>
      </c>
    </row>
    <row r="104" spans="1:1">
      <c r="A104" s="1310" t="s">
        <v>237</v>
      </c>
    </row>
    <row r="105" spans="1:1">
      <c r="A105" s="1310" t="s">
        <v>238</v>
      </c>
    </row>
    <row r="106" spans="1:1">
      <c r="A106" s="1310" t="s">
        <v>239</v>
      </c>
    </row>
    <row r="107" spans="1:1">
      <c r="A107" s="1310" t="s">
        <v>240</v>
      </c>
    </row>
    <row r="108" spans="1:1">
      <c r="A108" s="1310" t="s">
        <v>241</v>
      </c>
    </row>
    <row r="109" spans="1:1">
      <c r="A109" s="1310" t="s">
        <v>242</v>
      </c>
    </row>
    <row r="110" spans="1:1">
      <c r="A110" s="1310" t="s">
        <v>150</v>
      </c>
    </row>
    <row r="111" spans="1:1">
      <c r="A111" s="1310" t="s">
        <v>243</v>
      </c>
    </row>
    <row r="112" spans="1:1">
      <c r="A112" s="1310"/>
    </row>
    <row r="113" spans="1:1">
      <c r="A113" s="1310" t="s">
        <v>244</v>
      </c>
    </row>
    <row r="114" spans="1:1">
      <c r="A114" s="1310" t="s">
        <v>245</v>
      </c>
    </row>
    <row r="115" spans="1:1">
      <c r="A115" s="1310" t="s">
        <v>246</v>
      </c>
    </row>
    <row r="116" spans="1:1">
      <c r="A116" s="1310" t="s">
        <v>247</v>
      </c>
    </row>
    <row r="117" spans="1:1">
      <c r="A117" s="1310" t="s">
        <v>248</v>
      </c>
    </row>
    <row r="118" spans="1:1">
      <c r="A118" s="1310" t="s">
        <v>150</v>
      </c>
    </row>
    <row r="119" spans="1:1">
      <c r="A119" s="1310" t="s">
        <v>249</v>
      </c>
    </row>
    <row r="120" spans="1:1">
      <c r="A120" s="1310"/>
    </row>
    <row r="121" spans="1:1">
      <c r="A121" s="1310" t="s">
        <v>150</v>
      </c>
    </row>
    <row r="122" spans="1:1">
      <c r="A122" s="1310" t="s">
        <v>250</v>
      </c>
    </row>
    <row r="123" spans="1:1">
      <c r="A123" s="1310" t="s">
        <v>150</v>
      </c>
    </row>
    <row r="124" spans="1:1">
      <c r="A124" s="1310" t="s">
        <v>251</v>
      </c>
    </row>
    <row r="125" spans="1:1">
      <c r="A125" s="1310" t="s">
        <v>252</v>
      </c>
    </row>
    <row r="126" spans="1:1">
      <c r="A126" s="1310" t="s">
        <v>253</v>
      </c>
    </row>
    <row r="127" spans="1:1">
      <c r="A127" s="1310" t="s">
        <v>254</v>
      </c>
    </row>
    <row r="128" spans="1:1">
      <c r="A128" s="1310" t="s">
        <v>150</v>
      </c>
    </row>
    <row r="129" spans="1:1">
      <c r="A129" s="1310" t="s">
        <v>150</v>
      </c>
    </row>
    <row r="130" spans="1:1">
      <c r="A130" s="1310" t="s">
        <v>255</v>
      </c>
    </row>
    <row r="131" spans="1:1">
      <c r="A131" s="1310" t="s">
        <v>150</v>
      </c>
    </row>
    <row r="132" spans="1:1">
      <c r="A132" s="1310" t="s">
        <v>256</v>
      </c>
    </row>
    <row r="133" spans="1:1">
      <c r="A133" s="1310"/>
    </row>
    <row r="134" spans="1:1">
      <c r="A134" s="1310" t="s">
        <v>257</v>
      </c>
    </row>
    <row r="135" spans="1:1">
      <c r="A135" s="1310" t="s">
        <v>258</v>
      </c>
    </row>
    <row r="136" spans="1:1">
      <c r="A136" s="1310" t="s">
        <v>259</v>
      </c>
    </row>
    <row r="137" spans="1:1">
      <c r="A137" s="1310"/>
    </row>
    <row r="138" spans="1:1">
      <c r="A138" s="1310" t="s">
        <v>260</v>
      </c>
    </row>
    <row r="139" spans="1:1">
      <c r="A139" s="1310" t="s">
        <v>261</v>
      </c>
    </row>
    <row r="140" spans="1:1">
      <c r="A140" s="1310" t="s">
        <v>262</v>
      </c>
    </row>
    <row r="141" spans="1:1">
      <c r="A141" s="1310" t="s">
        <v>263</v>
      </c>
    </row>
    <row r="142" spans="1:1">
      <c r="A142" s="1310" t="s">
        <v>264</v>
      </c>
    </row>
    <row r="143" spans="1:1">
      <c r="A143" s="1310" t="s">
        <v>265</v>
      </c>
    </row>
    <row r="144" spans="1:1">
      <c r="A144" s="1310" t="s">
        <v>266</v>
      </c>
    </row>
    <row r="145" spans="1:1">
      <c r="A145" s="1310" t="s">
        <v>267</v>
      </c>
    </row>
    <row r="146" spans="1:1">
      <c r="A146" s="1310" t="s">
        <v>268</v>
      </c>
    </row>
    <row r="147" spans="1:1">
      <c r="A147" s="1310" t="s">
        <v>269</v>
      </c>
    </row>
    <row r="148" spans="1:1">
      <c r="A148" s="1310"/>
    </row>
    <row r="149" spans="1:1">
      <c r="A149" s="1310" t="s">
        <v>270</v>
      </c>
    </row>
    <row r="150" spans="1:1">
      <c r="A150" s="1310" t="s">
        <v>271</v>
      </c>
    </row>
    <row r="151" spans="1:1">
      <c r="A151" s="1310" t="s">
        <v>272</v>
      </c>
    </row>
    <row r="152" spans="1:1">
      <c r="A152" s="1310" t="s">
        <v>273</v>
      </c>
    </row>
    <row r="153" spans="1:1">
      <c r="A153" s="1310" t="s">
        <v>274</v>
      </c>
    </row>
    <row r="154" spans="1:1">
      <c r="A154" s="1310"/>
    </row>
    <row r="155" spans="1:1">
      <c r="A155" s="1310" t="s">
        <v>275</v>
      </c>
    </row>
    <row r="156" spans="1:1">
      <c r="A156" s="1310" t="s">
        <v>276</v>
      </c>
    </row>
    <row r="157" spans="1:1">
      <c r="A157" s="1310" t="s">
        <v>277</v>
      </c>
    </row>
    <row r="158" spans="1:1">
      <c r="A158" s="1310" t="s">
        <v>278</v>
      </c>
    </row>
    <row r="159" spans="1:1">
      <c r="A159" s="1310" t="s">
        <v>279</v>
      </c>
    </row>
    <row r="160" spans="1:1">
      <c r="A160" s="1310" t="s">
        <v>280</v>
      </c>
    </row>
    <row r="161" spans="1:1">
      <c r="A161" s="1310" t="s">
        <v>281</v>
      </c>
    </row>
    <row r="162" spans="1:1">
      <c r="A162" s="1310" t="s">
        <v>282</v>
      </c>
    </row>
    <row r="163" spans="1:1">
      <c r="A163" s="1310" t="s">
        <v>283</v>
      </c>
    </row>
    <row r="164" spans="1:1">
      <c r="A164" s="1310" t="s">
        <v>284</v>
      </c>
    </row>
    <row r="165" spans="1:1">
      <c r="A165" s="1310" t="s">
        <v>285</v>
      </c>
    </row>
    <row r="166" spans="1:1">
      <c r="A166" s="1310" t="s">
        <v>286</v>
      </c>
    </row>
    <row r="167" spans="1:1">
      <c r="A167" s="1310" t="s">
        <v>287</v>
      </c>
    </row>
    <row r="168" spans="1:1">
      <c r="A168" s="1310" t="s">
        <v>288</v>
      </c>
    </row>
    <row r="169" spans="1:1">
      <c r="A169" s="1310" t="s">
        <v>289</v>
      </c>
    </row>
    <row r="170" spans="1:1">
      <c r="A170" s="1310" t="s">
        <v>290</v>
      </c>
    </row>
    <row r="171" spans="1:1">
      <c r="A171" s="1310" t="s">
        <v>291</v>
      </c>
    </row>
    <row r="172" spans="1:1">
      <c r="A172" s="1310" t="s">
        <v>292</v>
      </c>
    </row>
    <row r="173" spans="1:1">
      <c r="A173" s="1310"/>
    </row>
    <row r="174" spans="1:1">
      <c r="A174" s="1310" t="s">
        <v>293</v>
      </c>
    </row>
    <row r="175" spans="1:1">
      <c r="A175" s="1310" t="s">
        <v>294</v>
      </c>
    </row>
    <row r="176" spans="1:1">
      <c r="A176" s="1310" t="s">
        <v>295</v>
      </c>
    </row>
    <row r="177" spans="1:1">
      <c r="A177" s="1310" t="s">
        <v>296</v>
      </c>
    </row>
    <row r="178" spans="1:1">
      <c r="A178" s="1310" t="s">
        <v>297</v>
      </c>
    </row>
    <row r="179" spans="1:1">
      <c r="A179" s="1310" t="s">
        <v>298</v>
      </c>
    </row>
    <row r="180" spans="1:1">
      <c r="A180" s="1310" t="s">
        <v>299</v>
      </c>
    </row>
    <row r="181" spans="1:1">
      <c r="A181" s="1310" t="s">
        <v>300</v>
      </c>
    </row>
    <row r="182" spans="1:1">
      <c r="A182" s="1310" t="s">
        <v>301</v>
      </c>
    </row>
    <row r="183" spans="1:1">
      <c r="A183" s="1310"/>
    </row>
    <row r="184" spans="1:1">
      <c r="A184" s="1310" t="s">
        <v>150</v>
      </c>
    </row>
    <row r="185" spans="1:1">
      <c r="A185" s="1310" t="s">
        <v>302</v>
      </c>
    </row>
    <row r="186" spans="1:1">
      <c r="A186" s="1310" t="s">
        <v>303</v>
      </c>
    </row>
    <row r="187" spans="1:1">
      <c r="A187" s="1310" t="s">
        <v>150</v>
      </c>
    </row>
    <row r="188" spans="1:1">
      <c r="A188" s="1310" t="s">
        <v>304</v>
      </c>
    </row>
    <row r="189" spans="1:1">
      <c r="A189" s="1310" t="s">
        <v>305</v>
      </c>
    </row>
    <row r="190" spans="1:1">
      <c r="A190" s="1310" t="s">
        <v>306</v>
      </c>
    </row>
    <row r="191" spans="1:1">
      <c r="A191" s="1310" t="s">
        <v>307</v>
      </c>
    </row>
    <row r="192" spans="1:1">
      <c r="A192" s="1310" t="s">
        <v>308</v>
      </c>
    </row>
    <row r="193" spans="1:1">
      <c r="A193" s="1310" t="s">
        <v>309</v>
      </c>
    </row>
    <row r="194" spans="1:1">
      <c r="A194" s="1310" t="s">
        <v>310</v>
      </c>
    </row>
    <row r="195" spans="1:1">
      <c r="A195" s="1310" t="s">
        <v>311</v>
      </c>
    </row>
    <row r="196" spans="1:1">
      <c r="A196" s="1310" t="s">
        <v>312</v>
      </c>
    </row>
    <row r="197" spans="1:1">
      <c r="A197" s="1310" t="s">
        <v>313</v>
      </c>
    </row>
    <row r="198" spans="1:1">
      <c r="A198" s="1310"/>
    </row>
    <row r="199" spans="1:1">
      <c r="A199" s="1310" t="s">
        <v>315</v>
      </c>
    </row>
    <row r="200" spans="1:1">
      <c r="A200" s="1310" t="s">
        <v>321</v>
      </c>
    </row>
    <row r="201" spans="1:1">
      <c r="A201" s="1310" t="s">
        <v>322</v>
      </c>
    </row>
    <row r="202" spans="1:1">
      <c r="A202" s="1310" t="s">
        <v>323</v>
      </c>
    </row>
    <row r="203" spans="1:1">
      <c r="A203" s="1310" t="s">
        <v>324</v>
      </c>
    </row>
    <row r="204" spans="1:1">
      <c r="A204" s="1310"/>
    </row>
    <row r="205" spans="1:1">
      <c r="A205" s="1310" t="s">
        <v>325</v>
      </c>
    </row>
    <row r="206" spans="1:1">
      <c r="A206" s="1310" t="s">
        <v>326</v>
      </c>
    </row>
    <row r="207" spans="1:1">
      <c r="A207" s="1310" t="s">
        <v>327</v>
      </c>
    </row>
    <row r="208" spans="1:1">
      <c r="A208" s="1310" t="s">
        <v>328</v>
      </c>
    </row>
    <row r="209" spans="1:1">
      <c r="A209" s="1310" t="s">
        <v>329</v>
      </c>
    </row>
    <row r="210" spans="1:1">
      <c r="A210" s="1310" t="s">
        <v>330</v>
      </c>
    </row>
    <row r="211" spans="1:1">
      <c r="A211" s="1310"/>
    </row>
    <row r="212" spans="1:1">
      <c r="A212" s="1310" t="s">
        <v>331</v>
      </c>
    </row>
    <row r="213" spans="1:1">
      <c r="A213" s="1310" t="s">
        <v>332</v>
      </c>
    </row>
    <row r="214" spans="1:1">
      <c r="A214" s="1310" t="s">
        <v>333</v>
      </c>
    </row>
    <row r="215" spans="1:1">
      <c r="A215" s="1310" t="s">
        <v>334</v>
      </c>
    </row>
    <row r="216" spans="1:1">
      <c r="A216" s="1310"/>
    </row>
    <row r="217" spans="1:1">
      <c r="A217" s="1310" t="s">
        <v>335</v>
      </c>
    </row>
    <row r="218" spans="1:1">
      <c r="A218" s="1310" t="s">
        <v>336</v>
      </c>
    </row>
    <row r="219" spans="1:1">
      <c r="A219" s="1310" t="s">
        <v>337</v>
      </c>
    </row>
    <row r="220" spans="1:1">
      <c r="A220" s="1310" t="s">
        <v>338</v>
      </c>
    </row>
    <row r="221" spans="1:1">
      <c r="A221" s="1310" t="s">
        <v>339</v>
      </c>
    </row>
    <row r="222" spans="1:1">
      <c r="A222" s="1310"/>
    </row>
    <row r="223" spans="1:1">
      <c r="A223" s="1310" t="s">
        <v>340</v>
      </c>
    </row>
    <row r="224" spans="1:1">
      <c r="A224" s="1310" t="s">
        <v>341</v>
      </c>
    </row>
    <row r="225" spans="1:1">
      <c r="A225" s="1310" t="s">
        <v>342</v>
      </c>
    </row>
    <row r="226" spans="1:1">
      <c r="A226" s="1310" t="s">
        <v>343</v>
      </c>
    </row>
    <row r="227" spans="1:1">
      <c r="A227" s="1310" t="s">
        <v>344</v>
      </c>
    </row>
    <row r="228" spans="1:1">
      <c r="A228" s="1310" t="s">
        <v>345</v>
      </c>
    </row>
    <row r="229" spans="1:1">
      <c r="A229" s="1310" t="s">
        <v>346</v>
      </c>
    </row>
    <row r="230" spans="1:1">
      <c r="A230" s="1310"/>
    </row>
    <row r="231" spans="1:1">
      <c r="A231" s="1310" t="s">
        <v>347</v>
      </c>
    </row>
    <row r="232" spans="1:1">
      <c r="A232" s="1310" t="s">
        <v>348</v>
      </c>
    </row>
    <row r="233" spans="1:1">
      <c r="A233" s="1310" t="s">
        <v>349</v>
      </c>
    </row>
    <row r="234" spans="1:1">
      <c r="A234" s="1310" t="s">
        <v>350</v>
      </c>
    </row>
    <row r="235" spans="1:1">
      <c r="A235" s="1310" t="s">
        <v>351</v>
      </c>
    </row>
    <row r="236" spans="1:1">
      <c r="A236" s="1310"/>
    </row>
    <row r="237" spans="1:1">
      <c r="A237" s="1310" t="s">
        <v>352</v>
      </c>
    </row>
    <row r="238" spans="1:1">
      <c r="A238" s="1310" t="s">
        <v>353</v>
      </c>
    </row>
    <row r="239" spans="1:1">
      <c r="A239" s="1310"/>
    </row>
    <row r="240" spans="1:1">
      <c r="A240" s="1310" t="s">
        <v>354</v>
      </c>
    </row>
    <row r="241" spans="1:1">
      <c r="A241" s="1310" t="s">
        <v>355</v>
      </c>
    </row>
    <row r="242" spans="1:1">
      <c r="A242" s="1310" t="s">
        <v>356</v>
      </c>
    </row>
    <row r="243" spans="1:1">
      <c r="A243" s="1310"/>
    </row>
    <row r="244" spans="1:1">
      <c r="A244" s="1310"/>
    </row>
    <row r="245" spans="1:1">
      <c r="A245" s="1310" t="s">
        <v>150</v>
      </c>
    </row>
    <row r="246" spans="1:1">
      <c r="A246" s="1310" t="s">
        <v>357</v>
      </c>
    </row>
    <row r="247" spans="1:1">
      <c r="A247" s="1310" t="s">
        <v>150</v>
      </c>
    </row>
    <row r="248" spans="1:1">
      <c r="A248" s="1310" t="s">
        <v>358</v>
      </c>
    </row>
    <row r="249" spans="1:1">
      <c r="A249" s="1310" t="s">
        <v>359</v>
      </c>
    </row>
    <row r="250" spans="1:1">
      <c r="A250" s="1310" t="s">
        <v>360</v>
      </c>
    </row>
    <row r="251" spans="1:1">
      <c r="A251" s="1310" t="s">
        <v>363</v>
      </c>
    </row>
    <row r="252" spans="1:1">
      <c r="A252" s="1310" t="s">
        <v>364</v>
      </c>
    </row>
    <row r="253" spans="1:1">
      <c r="A253" s="1310" t="s">
        <v>365</v>
      </c>
    </row>
    <row r="254" spans="1:1">
      <c r="A254" s="1310" t="s">
        <v>366</v>
      </c>
    </row>
    <row r="255" spans="1:1">
      <c r="A255" s="1310"/>
    </row>
    <row r="256" spans="1:1">
      <c r="A256" s="1310" t="s">
        <v>150</v>
      </c>
    </row>
    <row r="257" spans="1:1">
      <c r="A257" s="1310" t="s">
        <v>150</v>
      </c>
    </row>
    <row r="258" spans="1:1">
      <c r="A258" s="1310" t="s">
        <v>367</v>
      </c>
    </row>
    <row r="259" spans="1:1">
      <c r="A259" s="1310" t="s">
        <v>150</v>
      </c>
    </row>
    <row r="260" spans="1:1">
      <c r="A260" s="1310" t="s">
        <v>368</v>
      </c>
    </row>
    <row r="261" spans="1:1">
      <c r="A261" s="1310" t="s">
        <v>369</v>
      </c>
    </row>
    <row r="262" spans="1:1">
      <c r="A262" s="1310" t="s">
        <v>370</v>
      </c>
    </row>
    <row r="263" spans="1:1">
      <c r="A263" s="1310" t="s">
        <v>371</v>
      </c>
    </row>
    <row r="264" spans="1:1">
      <c r="A264" s="1310" t="s">
        <v>372</v>
      </c>
    </row>
    <row r="265" spans="1:1">
      <c r="A265" s="1310" t="s">
        <v>373</v>
      </c>
    </row>
    <row r="266" spans="1:1">
      <c r="A266" s="1310"/>
    </row>
    <row r="267" spans="1:1">
      <c r="A267" s="1310" t="s">
        <v>383</v>
      </c>
    </row>
    <row r="268" spans="1:1">
      <c r="A268" s="1310" t="s">
        <v>385</v>
      </c>
    </row>
    <row r="269" spans="1:1">
      <c r="A269" s="1310" t="s">
        <v>386</v>
      </c>
    </row>
    <row r="270" spans="1:1">
      <c r="A270" s="1310"/>
    </row>
    <row r="271" spans="1:1">
      <c r="A271" s="1310" t="s">
        <v>387</v>
      </c>
    </row>
    <row r="272" spans="1:1">
      <c r="A272" s="1310" t="s">
        <v>388</v>
      </c>
    </row>
    <row r="273" spans="1:1">
      <c r="A273" s="1310" t="s">
        <v>389</v>
      </c>
    </row>
    <row r="274" spans="1:1">
      <c r="A274" s="1310" t="s">
        <v>390</v>
      </c>
    </row>
    <row r="275" spans="1:1">
      <c r="A275" s="1310"/>
    </row>
    <row r="276" spans="1:1">
      <c r="A276" s="1310" t="s">
        <v>391</v>
      </c>
    </row>
    <row r="277" spans="1:1">
      <c r="A277" s="1310" t="s">
        <v>392</v>
      </c>
    </row>
    <row r="278" spans="1:1">
      <c r="A278" s="1310" t="s">
        <v>393</v>
      </c>
    </row>
    <row r="279" spans="1:1">
      <c r="A279" s="1310" t="s">
        <v>394</v>
      </c>
    </row>
    <row r="280" spans="1:1">
      <c r="A280" s="1310"/>
    </row>
    <row r="281" spans="1:1">
      <c r="A281" s="1310" t="s">
        <v>395</v>
      </c>
    </row>
    <row r="282" spans="1:1">
      <c r="A282" s="1310" t="s">
        <v>396</v>
      </c>
    </row>
    <row r="283" spans="1:1">
      <c r="A283" s="1310"/>
    </row>
    <row r="284" spans="1:1">
      <c r="A284" s="1310" t="s">
        <v>397</v>
      </c>
    </row>
    <row r="285" spans="1:1">
      <c r="A285" s="1310" t="s">
        <v>398</v>
      </c>
    </row>
    <row r="286" spans="1:1">
      <c r="A286" s="1310" t="s">
        <v>399</v>
      </c>
    </row>
    <row r="287" spans="1:1">
      <c r="A287" s="1310" t="s">
        <v>400</v>
      </c>
    </row>
    <row r="288" spans="1:1">
      <c r="A288" s="1310" t="s">
        <v>401</v>
      </c>
    </row>
    <row r="289" spans="1:1">
      <c r="A289" s="1310" t="s">
        <v>402</v>
      </c>
    </row>
    <row r="290" spans="1:1">
      <c r="A290" s="1310" t="s">
        <v>403</v>
      </c>
    </row>
    <row r="291" spans="1:1">
      <c r="A291" s="1310" t="s">
        <v>404</v>
      </c>
    </row>
    <row r="292" spans="1:1">
      <c r="A292" s="1310" t="s">
        <v>405</v>
      </c>
    </row>
    <row r="293" spans="1:1">
      <c r="A293" s="1310" t="s">
        <v>406</v>
      </c>
    </row>
    <row r="294" spans="1:1">
      <c r="A294" s="1310" t="s">
        <v>407</v>
      </c>
    </row>
    <row r="295" spans="1:1">
      <c r="A295" s="1310" t="s">
        <v>408</v>
      </c>
    </row>
    <row r="296" spans="1:1">
      <c r="A296" s="1310"/>
    </row>
    <row r="297" spans="1:1">
      <c r="A297" s="1310" t="s">
        <v>410</v>
      </c>
    </row>
    <row r="298" spans="1:1">
      <c r="A298" s="1310" t="s">
        <v>150</v>
      </c>
    </row>
    <row r="299" spans="1:1">
      <c r="A299" s="1310" t="s">
        <v>150</v>
      </c>
    </row>
    <row r="300" spans="1:1">
      <c r="A300" s="1310" t="s">
        <v>411</v>
      </c>
    </row>
    <row r="301" spans="1:1">
      <c r="A301" s="1310" t="s">
        <v>412</v>
      </c>
    </row>
    <row r="302" spans="1:1">
      <c r="A302" s="1310" t="s">
        <v>150</v>
      </c>
    </row>
    <row r="303" spans="1:1">
      <c r="A303" s="1310" t="s">
        <v>413</v>
      </c>
    </row>
    <row r="304" spans="1:1">
      <c r="A304" s="1310" t="s">
        <v>414</v>
      </c>
    </row>
    <row r="305" spans="1:1">
      <c r="A305" s="1310" t="s">
        <v>415</v>
      </c>
    </row>
    <row r="306" spans="1:1">
      <c r="A306" s="1310" t="s">
        <v>416</v>
      </c>
    </row>
    <row r="307" spans="1:1">
      <c r="A307" s="1310" t="s">
        <v>150</v>
      </c>
    </row>
    <row r="308" spans="1:1">
      <c r="A308" s="1310" t="s">
        <v>150</v>
      </c>
    </row>
    <row r="309" spans="1:1">
      <c r="A309" s="1310" t="s">
        <v>417</v>
      </c>
    </row>
    <row r="310" spans="1:1">
      <c r="A310" s="1310" t="s">
        <v>418</v>
      </c>
    </row>
    <row r="311" spans="1:1">
      <c r="A311" s="1310" t="s">
        <v>150</v>
      </c>
    </row>
    <row r="312" spans="1:1">
      <c r="A312" s="1310" t="s">
        <v>419</v>
      </c>
    </row>
    <row r="313" spans="1:1">
      <c r="A313" s="1310" t="s">
        <v>150</v>
      </c>
    </row>
    <row r="314" spans="1:1">
      <c r="A314" s="1310" t="s">
        <v>420</v>
      </c>
    </row>
    <row r="315" spans="1:1">
      <c r="A315" s="1310" t="s">
        <v>421</v>
      </c>
    </row>
    <row r="316" spans="1:1">
      <c r="A316" s="1310" t="s">
        <v>422</v>
      </c>
    </row>
    <row r="317" spans="1:1">
      <c r="A317" s="1310" t="s">
        <v>423</v>
      </c>
    </row>
    <row r="318" spans="1:1">
      <c r="A318" s="1310" t="s">
        <v>150</v>
      </c>
    </row>
    <row r="319" spans="1:1">
      <c r="A319" s="1310" t="s">
        <v>424</v>
      </c>
    </row>
    <row r="320" spans="1:1">
      <c r="A320" s="1310" t="s">
        <v>425</v>
      </c>
    </row>
    <row r="321" spans="1:1">
      <c r="A321" s="1310" t="s">
        <v>426</v>
      </c>
    </row>
    <row r="322" spans="1:1">
      <c r="A322" s="1310" t="s">
        <v>427</v>
      </c>
    </row>
    <row r="323" spans="1:1">
      <c r="A323" s="1310" t="s">
        <v>428</v>
      </c>
    </row>
    <row r="324" spans="1:1">
      <c r="A324" s="1310" t="s">
        <v>429</v>
      </c>
    </row>
    <row r="325" spans="1:1">
      <c r="A325" s="1310" t="s">
        <v>150</v>
      </c>
    </row>
    <row r="326" spans="1:1">
      <c r="A326" s="1310" t="s">
        <v>430</v>
      </c>
    </row>
    <row r="327" spans="1:1">
      <c r="A327" s="1310" t="s">
        <v>150</v>
      </c>
    </row>
    <row r="328" spans="1:1">
      <c r="A328" s="1310" t="s">
        <v>431</v>
      </c>
    </row>
    <row r="329" spans="1:1">
      <c r="A329" s="1310" t="s">
        <v>432</v>
      </c>
    </row>
    <row r="330" spans="1:1">
      <c r="A330" s="1310" t="s">
        <v>433</v>
      </c>
    </row>
    <row r="331" spans="1:1">
      <c r="A331" s="1310"/>
    </row>
    <row r="332" spans="1:1">
      <c r="A332" s="1310" t="s">
        <v>437</v>
      </c>
    </row>
    <row r="333" spans="1:1">
      <c r="A333" s="1310" t="s">
        <v>150</v>
      </c>
    </row>
    <row r="334" spans="1:1">
      <c r="A334" s="1310" t="s">
        <v>438</v>
      </c>
    </row>
    <row r="335" spans="1:1">
      <c r="A335" s="1310" t="s">
        <v>439</v>
      </c>
    </row>
    <row r="336" spans="1:1">
      <c r="A336" s="1310" t="s">
        <v>440</v>
      </c>
    </row>
    <row r="337" spans="1:1">
      <c r="A337" s="1310" t="s">
        <v>441</v>
      </c>
    </row>
    <row r="338" spans="1:1">
      <c r="A338" s="1310" t="s">
        <v>442</v>
      </c>
    </row>
    <row r="339" spans="1:1">
      <c r="A339" s="1310" t="s">
        <v>443</v>
      </c>
    </row>
    <row r="340" spans="1:1">
      <c r="A340" s="1310" t="s">
        <v>444</v>
      </c>
    </row>
    <row r="341" spans="1:1">
      <c r="A341" s="1310" t="s">
        <v>445</v>
      </c>
    </row>
    <row r="342" spans="1:1">
      <c r="A342" s="1310" t="s">
        <v>446</v>
      </c>
    </row>
    <row r="343" spans="1:1">
      <c r="A343" s="1310" t="s">
        <v>150</v>
      </c>
    </row>
    <row r="344" spans="1:1">
      <c r="A344" s="1310" t="s">
        <v>447</v>
      </c>
    </row>
    <row r="345" spans="1:1">
      <c r="A345" s="1310" t="s">
        <v>448</v>
      </c>
    </row>
    <row r="346" spans="1:1">
      <c r="A346" s="1310" t="s">
        <v>150</v>
      </c>
    </row>
    <row r="347" spans="1:1">
      <c r="A347" s="1310" t="s">
        <v>449</v>
      </c>
    </row>
    <row r="348" spans="1:1">
      <c r="A348" s="1310" t="s">
        <v>450</v>
      </c>
    </row>
    <row r="349" spans="1:1">
      <c r="A349" s="1310" t="s">
        <v>451</v>
      </c>
    </row>
    <row r="350" spans="1:1">
      <c r="A350" s="1310" t="s">
        <v>452</v>
      </c>
    </row>
    <row r="351" spans="1:1">
      <c r="A351" s="1310" t="s">
        <v>453</v>
      </c>
    </row>
    <row r="352" spans="1:1">
      <c r="A352" s="1310" t="s">
        <v>454</v>
      </c>
    </row>
    <row r="353" spans="1:1">
      <c r="A353" s="1310"/>
    </row>
    <row r="354" spans="1:1">
      <c r="A354" s="1310" t="s">
        <v>150</v>
      </c>
    </row>
    <row r="355" spans="1:1">
      <c r="A355" s="1310" t="s">
        <v>455</v>
      </c>
    </row>
    <row r="356" spans="1:1">
      <c r="A356" s="1310" t="s">
        <v>150</v>
      </c>
    </row>
    <row r="357" spans="1:1">
      <c r="A357" s="1310" t="s">
        <v>456</v>
      </c>
    </row>
    <row r="358" spans="1:1">
      <c r="A358" s="1310" t="s">
        <v>457</v>
      </c>
    </row>
    <row r="359" spans="1:1">
      <c r="A359" s="1310" t="s">
        <v>458</v>
      </c>
    </row>
    <row r="360" spans="1:1">
      <c r="A360" s="1310" t="s">
        <v>459</v>
      </c>
    </row>
    <row r="361" spans="1:1">
      <c r="A361" s="1310"/>
    </row>
    <row r="362" spans="1:1">
      <c r="A362" s="1310" t="s">
        <v>469</v>
      </c>
    </row>
    <row r="363" spans="1:1">
      <c r="A363" s="1310" t="s">
        <v>150</v>
      </c>
    </row>
    <row r="364" spans="1:1">
      <c r="A364" s="1310" t="s">
        <v>470</v>
      </c>
    </row>
    <row r="365" spans="1:1">
      <c r="A365" s="1310" t="s">
        <v>150</v>
      </c>
    </row>
    <row r="366" spans="1:1">
      <c r="A366" s="1310" t="s">
        <v>471</v>
      </c>
    </row>
    <row r="367" spans="1:1">
      <c r="A367" s="1310" t="s">
        <v>472</v>
      </c>
    </row>
    <row r="368" spans="1:1">
      <c r="A368" s="1310"/>
    </row>
    <row r="369" spans="1:1">
      <c r="A369" s="1310" t="s">
        <v>473</v>
      </c>
    </row>
    <row r="370" spans="1:1">
      <c r="A370" s="1310" t="s">
        <v>474</v>
      </c>
    </row>
    <row r="371" spans="1:1">
      <c r="A371" s="1310" t="s">
        <v>475</v>
      </c>
    </row>
    <row r="372" spans="1:1">
      <c r="A372" s="1310" t="s">
        <v>476</v>
      </c>
    </row>
    <row r="373" spans="1:1">
      <c r="A373" s="1310" t="s">
        <v>477</v>
      </c>
    </row>
    <row r="374" spans="1:1">
      <c r="A374" s="1310" t="s">
        <v>150</v>
      </c>
    </row>
    <row r="375" spans="1:1">
      <c r="A375" s="1310" t="s">
        <v>478</v>
      </c>
    </row>
    <row r="376" spans="1:1">
      <c r="A376" s="1310" t="s">
        <v>479</v>
      </c>
    </row>
    <row r="377" spans="1:1">
      <c r="A377" s="1310" t="s">
        <v>1501</v>
      </c>
    </row>
    <row r="378" spans="1:1">
      <c r="A378" s="1310" t="s">
        <v>481</v>
      </c>
    </row>
    <row r="379" spans="1:1">
      <c r="A379" s="1310"/>
    </row>
    <row r="380" spans="1:1">
      <c r="A380" s="1310" t="s">
        <v>482</v>
      </c>
    </row>
    <row r="381" spans="1:1">
      <c r="A381" s="1310" t="s">
        <v>483</v>
      </c>
    </row>
    <row r="382" spans="1:1">
      <c r="A382" s="1310" t="s">
        <v>150</v>
      </c>
    </row>
    <row r="383" spans="1:1">
      <c r="A383" s="1310" t="s">
        <v>150</v>
      </c>
    </row>
    <row r="384" spans="1:1">
      <c r="A384" s="1310" t="s">
        <v>484</v>
      </c>
    </row>
    <row r="385" spans="1:1">
      <c r="A385" s="1310" t="s">
        <v>485</v>
      </c>
    </row>
    <row r="386" spans="1:1">
      <c r="A386" s="1310" t="s">
        <v>150</v>
      </c>
    </row>
    <row r="387" spans="1:1">
      <c r="A387" s="1310" t="s">
        <v>486</v>
      </c>
    </row>
    <row r="388" spans="1:1">
      <c r="A388" s="1310"/>
    </row>
    <row r="389" spans="1:1">
      <c r="A389" s="1310" t="s">
        <v>487</v>
      </c>
    </row>
    <row r="390" spans="1:1">
      <c r="A390" s="1310" t="s">
        <v>488</v>
      </c>
    </row>
    <row r="391" spans="1:1">
      <c r="A391" s="1310" t="s">
        <v>489</v>
      </c>
    </row>
    <row r="392" spans="1:1">
      <c r="A392" s="1310" t="s">
        <v>490</v>
      </c>
    </row>
    <row r="393" spans="1:1">
      <c r="A393" s="1310" t="s">
        <v>491</v>
      </c>
    </row>
    <row r="394" spans="1:1">
      <c r="A394" s="1310" t="s">
        <v>492</v>
      </c>
    </row>
    <row r="395" spans="1:1">
      <c r="A395" s="1310"/>
    </row>
    <row r="396" spans="1:1">
      <c r="A396" s="1310" t="s">
        <v>493</v>
      </c>
    </row>
    <row r="397" spans="1:1">
      <c r="A397" s="1310" t="s">
        <v>494</v>
      </c>
    </row>
    <row r="398" spans="1:1">
      <c r="A398" s="1310" t="s">
        <v>495</v>
      </c>
    </row>
    <row r="399" spans="1:1">
      <c r="A399" s="1310" t="s">
        <v>496</v>
      </c>
    </row>
    <row r="400" spans="1:1">
      <c r="A400" s="1310" t="s">
        <v>497</v>
      </c>
    </row>
    <row r="401" spans="1:1">
      <c r="A401" s="1310"/>
    </row>
    <row r="402" spans="1:1">
      <c r="A402" s="1310" t="s">
        <v>498</v>
      </c>
    </row>
    <row r="403" spans="1:1">
      <c r="A403" s="1310" t="s">
        <v>499</v>
      </c>
    </row>
    <row r="404" spans="1:1">
      <c r="A404" s="1310" t="s">
        <v>500</v>
      </c>
    </row>
    <row r="405" spans="1:1">
      <c r="A405" s="1310" t="s">
        <v>501</v>
      </c>
    </row>
    <row r="406" spans="1:1">
      <c r="A406" s="1310" t="s">
        <v>502</v>
      </c>
    </row>
    <row r="407" spans="1:1">
      <c r="A407" s="1310" t="s">
        <v>503</v>
      </c>
    </row>
    <row r="408" spans="1:1">
      <c r="A408" s="1310"/>
    </row>
    <row r="409" spans="1:1">
      <c r="A409" s="1310" t="s">
        <v>504</v>
      </c>
    </row>
    <row r="410" spans="1:1">
      <c r="A410" s="1310" t="s">
        <v>505</v>
      </c>
    </row>
    <row r="411" spans="1:1">
      <c r="A411" s="1310" t="s">
        <v>506</v>
      </c>
    </row>
    <row r="412" spans="1:1">
      <c r="A412" s="1310" t="s">
        <v>507</v>
      </c>
    </row>
    <row r="413" spans="1:1">
      <c r="A413" s="1310" t="s">
        <v>508</v>
      </c>
    </row>
    <row r="414" spans="1:1">
      <c r="A414" s="1310"/>
    </row>
    <row r="415" spans="1:1">
      <c r="A415" s="1310" t="s">
        <v>509</v>
      </c>
    </row>
    <row r="416" spans="1:1">
      <c r="A416" s="1310" t="s">
        <v>510</v>
      </c>
    </row>
    <row r="417" spans="1:1">
      <c r="A417" s="1310" t="s">
        <v>511</v>
      </c>
    </row>
    <row r="418" spans="1:1">
      <c r="A418" s="1310" t="s">
        <v>512</v>
      </c>
    </row>
    <row r="419" spans="1:1">
      <c r="A419" s="1310" t="s">
        <v>513</v>
      </c>
    </row>
    <row r="420" spans="1:1">
      <c r="A420" s="1310"/>
    </row>
    <row r="421" spans="1:1">
      <c r="A421" s="1310" t="s">
        <v>514</v>
      </c>
    </row>
    <row r="422" spans="1:1">
      <c r="A422" s="1310" t="s">
        <v>515</v>
      </c>
    </row>
    <row r="423" spans="1:1">
      <c r="A423" s="1310" t="s">
        <v>516</v>
      </c>
    </row>
    <row r="424" spans="1:1">
      <c r="A424" s="1310" t="s">
        <v>517</v>
      </c>
    </row>
    <row r="425" spans="1:1">
      <c r="A425" s="1310" t="s">
        <v>518</v>
      </c>
    </row>
    <row r="426" spans="1:1">
      <c r="A426" s="1310"/>
    </row>
    <row r="427" spans="1:1">
      <c r="A427" s="1310" t="s">
        <v>150</v>
      </c>
    </row>
    <row r="428" spans="1:1">
      <c r="A428" s="1310" t="s">
        <v>150</v>
      </c>
    </row>
    <row r="429" spans="1:1">
      <c r="A429" s="1310" t="s">
        <v>519</v>
      </c>
    </row>
    <row r="430" spans="1:1">
      <c r="A430" s="1310" t="s">
        <v>520</v>
      </c>
    </row>
    <row r="431" spans="1:1">
      <c r="A431" s="1310" t="s">
        <v>521</v>
      </c>
    </row>
    <row r="432" spans="1:1">
      <c r="A432" s="1310" t="s">
        <v>150</v>
      </c>
    </row>
    <row r="433" spans="1:1">
      <c r="A433" s="1310" t="s">
        <v>522</v>
      </c>
    </row>
    <row r="434" spans="1:1">
      <c r="A434" s="1310" t="s">
        <v>523</v>
      </c>
    </row>
    <row r="435" spans="1:1">
      <c r="A435" s="1310" t="s">
        <v>524</v>
      </c>
    </row>
    <row r="436" spans="1:1">
      <c r="A436" s="1310" t="s">
        <v>525</v>
      </c>
    </row>
    <row r="437" spans="1:1">
      <c r="A437" s="1310"/>
    </row>
    <row r="438" spans="1:1">
      <c r="A438" s="1310" t="s">
        <v>526</v>
      </c>
    </row>
    <row r="439" spans="1:1">
      <c r="A439" s="1310" t="s">
        <v>527</v>
      </c>
    </row>
    <row r="440" spans="1:1">
      <c r="A440" s="1310" t="s">
        <v>528</v>
      </c>
    </row>
    <row r="441" spans="1:1">
      <c r="A441" s="1310" t="s">
        <v>529</v>
      </c>
    </row>
    <row r="442" spans="1:1">
      <c r="A442" s="1310"/>
    </row>
    <row r="443" spans="1:1">
      <c r="A443" s="1310" t="s">
        <v>530</v>
      </c>
    </row>
    <row r="444" spans="1:1">
      <c r="A444" s="1310" t="s">
        <v>531</v>
      </c>
    </row>
    <row r="445" spans="1:1">
      <c r="A445" s="1310" t="s">
        <v>532</v>
      </c>
    </row>
    <row r="446" spans="1:1">
      <c r="A446" s="1310" t="s">
        <v>533</v>
      </c>
    </row>
    <row r="447" spans="1:1">
      <c r="A447" s="1310" t="s">
        <v>534</v>
      </c>
    </row>
    <row r="448" spans="1:1">
      <c r="A448" s="1310" t="s">
        <v>535</v>
      </c>
    </row>
    <row r="449" spans="1:1">
      <c r="A449" s="1310"/>
    </row>
    <row r="450" spans="1:1">
      <c r="A450" s="1310" t="s">
        <v>536</v>
      </c>
    </row>
    <row r="451" spans="1:1">
      <c r="A451" s="1310" t="s">
        <v>537</v>
      </c>
    </row>
    <row r="452" spans="1:1">
      <c r="A452" s="1310" t="s">
        <v>538</v>
      </c>
    </row>
    <row r="453" spans="1:1">
      <c r="A453" s="1310"/>
    </row>
    <row r="454" spans="1:1">
      <c r="A454" s="1310" t="s">
        <v>541</v>
      </c>
    </row>
    <row r="455" spans="1:1">
      <c r="A455" s="1310" t="s">
        <v>542</v>
      </c>
    </row>
    <row r="456" spans="1:1">
      <c r="A456" s="1310" t="s">
        <v>543</v>
      </c>
    </row>
    <row r="457" spans="1:1">
      <c r="A457" s="1310" t="s">
        <v>545</v>
      </c>
    </row>
    <row r="458" spans="1:1">
      <c r="A458" s="1310"/>
    </row>
    <row r="459" spans="1:1">
      <c r="A459" s="1310"/>
    </row>
    <row r="460" spans="1:1">
      <c r="A460" s="1310" t="s">
        <v>546</v>
      </c>
    </row>
    <row r="461" spans="1:1">
      <c r="A461" s="1310" t="s">
        <v>547</v>
      </c>
    </row>
    <row r="462" spans="1:1">
      <c r="A462" s="1310" t="s">
        <v>548</v>
      </c>
    </row>
    <row r="463" spans="1:1">
      <c r="A463" s="1310" t="s">
        <v>549</v>
      </c>
    </row>
    <row r="464" spans="1:1">
      <c r="A464" s="1310" t="s">
        <v>550</v>
      </c>
    </row>
    <row r="465" spans="1:1">
      <c r="A465" s="1310" t="s">
        <v>551</v>
      </c>
    </row>
    <row r="466" spans="1:1">
      <c r="A466" s="1310" t="s">
        <v>552</v>
      </c>
    </row>
    <row r="467" spans="1:1">
      <c r="A467" s="1310" t="s">
        <v>553</v>
      </c>
    </row>
    <row r="468" spans="1:1">
      <c r="A468" s="1310" t="s">
        <v>554</v>
      </c>
    </row>
    <row r="469" spans="1:1">
      <c r="A469" s="1310" t="s">
        <v>555</v>
      </c>
    </row>
    <row r="470" spans="1:1">
      <c r="A470" s="1310" t="s">
        <v>556</v>
      </c>
    </row>
    <row r="471" spans="1:1">
      <c r="A471" s="1310" t="s">
        <v>557</v>
      </c>
    </row>
    <row r="472" spans="1:1">
      <c r="A472" s="1310" t="s">
        <v>558</v>
      </c>
    </row>
    <row r="473" spans="1:1">
      <c r="A473" s="1310" t="s">
        <v>559</v>
      </c>
    </row>
    <row r="474" spans="1:1">
      <c r="A474" s="1310" t="s">
        <v>560</v>
      </c>
    </row>
    <row r="475" spans="1:1">
      <c r="A475" s="1310" t="s">
        <v>561</v>
      </c>
    </row>
    <row r="476" spans="1:1">
      <c r="A476" s="1310" t="s">
        <v>562</v>
      </c>
    </row>
    <row r="477" spans="1:1">
      <c r="A477" s="1310" t="s">
        <v>563</v>
      </c>
    </row>
    <row r="478" spans="1:1">
      <c r="A478" s="1310" t="s">
        <v>564</v>
      </c>
    </row>
    <row r="479" spans="1:1">
      <c r="A479" s="1310" t="s">
        <v>565</v>
      </c>
    </row>
    <row r="480" spans="1:1">
      <c r="A480" s="1310" t="s">
        <v>566</v>
      </c>
    </row>
    <row r="481" spans="1:1">
      <c r="A481" s="1310" t="s">
        <v>567</v>
      </c>
    </row>
    <row r="482" spans="1:1">
      <c r="A482" s="1310" t="s">
        <v>568</v>
      </c>
    </row>
    <row r="483" spans="1:1">
      <c r="A483" s="1310" t="s">
        <v>569</v>
      </c>
    </row>
    <row r="484" spans="1:1">
      <c r="A484" s="1310" t="s">
        <v>570</v>
      </c>
    </row>
    <row r="485" spans="1:1">
      <c r="A485" s="1310" t="s">
        <v>571</v>
      </c>
    </row>
    <row r="486" spans="1:1">
      <c r="A486" s="1310" t="s">
        <v>572</v>
      </c>
    </row>
    <row r="487" spans="1:1">
      <c r="A487" s="1310" t="s">
        <v>573</v>
      </c>
    </row>
    <row r="488" spans="1:1">
      <c r="A488" s="1310" t="s">
        <v>574</v>
      </c>
    </row>
    <row r="489" spans="1:1">
      <c r="A489" s="1310" t="s">
        <v>575</v>
      </c>
    </row>
    <row r="490" spans="1:1">
      <c r="A490" s="1310" t="s">
        <v>576</v>
      </c>
    </row>
    <row r="491" spans="1:1">
      <c r="A491" s="1310" t="s">
        <v>577</v>
      </c>
    </row>
    <row r="492" spans="1:1">
      <c r="A492" s="1310"/>
    </row>
    <row r="493" spans="1:1">
      <c r="A493" s="1310" t="s">
        <v>578</v>
      </c>
    </row>
    <row r="494" spans="1:1">
      <c r="A494" s="1310" t="s">
        <v>579</v>
      </c>
    </row>
    <row r="495" spans="1:1">
      <c r="A495" s="1310" t="s">
        <v>580</v>
      </c>
    </row>
    <row r="496" spans="1:1">
      <c r="A496" s="1310" t="s">
        <v>581</v>
      </c>
    </row>
    <row r="497" spans="1:1">
      <c r="A497" s="1310" t="s">
        <v>582</v>
      </c>
    </row>
    <row r="498" spans="1:1">
      <c r="A498" s="1310" t="s">
        <v>583</v>
      </c>
    </row>
    <row r="499" spans="1:1">
      <c r="A499" s="1310" t="s">
        <v>584</v>
      </c>
    </row>
    <row r="500" spans="1:1">
      <c r="A500" s="1310" t="s">
        <v>585</v>
      </c>
    </row>
    <row r="501" spans="1:1">
      <c r="A501" s="1310" t="s">
        <v>586</v>
      </c>
    </row>
    <row r="502" spans="1:1">
      <c r="A502" s="1310" t="s">
        <v>578</v>
      </c>
    </row>
    <row r="503" spans="1:1">
      <c r="A503" s="1310"/>
    </row>
    <row r="504" spans="1:1">
      <c r="A504" s="1310" t="s">
        <v>150</v>
      </c>
    </row>
    <row r="505" spans="1:1">
      <c r="A505" s="1310" t="s">
        <v>587</v>
      </c>
    </row>
    <row r="506" spans="1:1">
      <c r="A506" s="1310" t="s">
        <v>588</v>
      </c>
    </row>
    <row r="507" spans="1:1">
      <c r="A507" s="1310" t="s">
        <v>589</v>
      </c>
    </row>
    <row r="508" spans="1:1">
      <c r="A508" s="1310" t="s">
        <v>590</v>
      </c>
    </row>
    <row r="509" spans="1:1">
      <c r="A509" s="1310" t="s">
        <v>591</v>
      </c>
    </row>
    <row r="510" spans="1:1">
      <c r="A510" s="1310" t="s">
        <v>592</v>
      </c>
    </row>
    <row r="511" spans="1:1">
      <c r="A511" s="1310" t="s">
        <v>150</v>
      </c>
    </row>
    <row r="512" spans="1:1">
      <c r="A512" s="1310" t="s">
        <v>593</v>
      </c>
    </row>
    <row r="513" spans="1:1">
      <c r="A513" s="1310" t="s">
        <v>594</v>
      </c>
    </row>
    <row r="514" spans="1:1">
      <c r="A514" s="1310" t="s">
        <v>150</v>
      </c>
    </row>
    <row r="515" spans="1:1">
      <c r="A515" s="1310" t="s">
        <v>150</v>
      </c>
    </row>
    <row r="516" spans="1:1">
      <c r="A516" s="1310" t="s">
        <v>595</v>
      </c>
    </row>
    <row r="517" spans="1:1">
      <c r="A517" s="1310" t="s">
        <v>596</v>
      </c>
    </row>
    <row r="518" spans="1:1">
      <c r="A518" s="1310" t="s">
        <v>597</v>
      </c>
    </row>
    <row r="519" spans="1:1">
      <c r="A519" s="1310" t="s">
        <v>598</v>
      </c>
    </row>
    <row r="520" spans="1:1">
      <c r="A520" s="1310" t="s">
        <v>150</v>
      </c>
    </row>
    <row r="521" spans="1:1">
      <c r="A521" s="1310" t="s">
        <v>599</v>
      </c>
    </row>
    <row r="522" spans="1:1">
      <c r="A522" s="1310"/>
    </row>
    <row r="523" spans="1:1">
      <c r="A523" s="1310" t="s">
        <v>600</v>
      </c>
    </row>
    <row r="524" spans="1:1">
      <c r="A524" s="1310" t="s">
        <v>601</v>
      </c>
    </row>
    <row r="525" spans="1:1">
      <c r="A525" s="1310" t="s">
        <v>602</v>
      </c>
    </row>
    <row r="526" spans="1:1">
      <c r="A526" s="1310" t="s">
        <v>603</v>
      </c>
    </row>
    <row r="527" spans="1:1">
      <c r="A527" s="1310" t="s">
        <v>604</v>
      </c>
    </row>
    <row r="528" spans="1:1">
      <c r="A528" s="1310"/>
    </row>
    <row r="529" spans="1:1">
      <c r="A529" s="1310" t="s">
        <v>605</v>
      </c>
    </row>
    <row r="530" spans="1:1">
      <c r="A530" s="1310" t="s">
        <v>606</v>
      </c>
    </row>
    <row r="531" spans="1:1">
      <c r="A531" s="1310" t="s">
        <v>607</v>
      </c>
    </row>
    <row r="532" spans="1:1">
      <c r="A532" s="1310" t="s">
        <v>608</v>
      </c>
    </row>
    <row r="533" spans="1:1">
      <c r="A533" s="1310" t="s">
        <v>150</v>
      </c>
    </row>
    <row r="534" spans="1:1">
      <c r="A534" s="1310" t="s">
        <v>150</v>
      </c>
    </row>
    <row r="535" spans="1:1">
      <c r="A535" s="1310" t="s">
        <v>609</v>
      </c>
    </row>
    <row r="536" spans="1:1">
      <c r="A536" s="1310" t="s">
        <v>610</v>
      </c>
    </row>
    <row r="537" spans="1:1">
      <c r="A537" s="1310" t="s">
        <v>611</v>
      </c>
    </row>
    <row r="538" spans="1:1">
      <c r="A538" s="1310" t="s">
        <v>612</v>
      </c>
    </row>
    <row r="539" spans="1:1">
      <c r="A539" s="1310" t="s">
        <v>150</v>
      </c>
    </row>
    <row r="540" spans="1:1">
      <c r="A540" s="1310" t="s">
        <v>613</v>
      </c>
    </row>
    <row r="541" spans="1:1">
      <c r="A541" s="1310" t="s">
        <v>614</v>
      </c>
    </row>
    <row r="542" spans="1:1">
      <c r="A542" s="1310" t="s">
        <v>150</v>
      </c>
    </row>
    <row r="543" spans="1:1">
      <c r="A543" s="1310" t="s">
        <v>150</v>
      </c>
    </row>
    <row r="544" spans="1:1">
      <c r="A544" s="1310" t="s">
        <v>150</v>
      </c>
    </row>
    <row r="545" spans="1:1">
      <c r="A545" s="1310" t="s">
        <v>615</v>
      </c>
    </row>
    <row r="546" spans="1:1">
      <c r="A546" s="1310" t="s">
        <v>616</v>
      </c>
    </row>
    <row r="547" spans="1:1">
      <c r="A547" s="1310" t="s">
        <v>617</v>
      </c>
    </row>
    <row r="548" spans="1:1">
      <c r="A548" s="1310" t="s">
        <v>618</v>
      </c>
    </row>
    <row r="549" spans="1:1">
      <c r="A549" s="1310" t="s">
        <v>150</v>
      </c>
    </row>
    <row r="550" spans="1:1">
      <c r="A550" s="1310" t="s">
        <v>619</v>
      </c>
    </row>
    <row r="551" spans="1:1">
      <c r="A551" s="1310" t="s">
        <v>150</v>
      </c>
    </row>
    <row r="552" spans="1:1">
      <c r="A552" s="1310" t="s">
        <v>150</v>
      </c>
    </row>
    <row r="553" spans="1:1">
      <c r="A553" s="1310" t="s">
        <v>620</v>
      </c>
    </row>
    <row r="554" spans="1:1">
      <c r="A554" s="1310" t="s">
        <v>621</v>
      </c>
    </row>
    <row r="555" spans="1:1">
      <c r="A555" s="1310" t="s">
        <v>622</v>
      </c>
    </row>
    <row r="556" spans="1:1">
      <c r="A556" s="1310" t="s">
        <v>623</v>
      </c>
    </row>
    <row r="557" spans="1:1">
      <c r="A557" s="1310" t="s">
        <v>624</v>
      </c>
    </row>
    <row r="558" spans="1:1">
      <c r="A558" s="1310" t="s">
        <v>625</v>
      </c>
    </row>
    <row r="559" spans="1:1">
      <c r="A559" s="1310" t="s">
        <v>150</v>
      </c>
    </row>
    <row r="560" spans="1:1">
      <c r="A560" s="1310" t="s">
        <v>626</v>
      </c>
    </row>
    <row r="561" spans="1:1">
      <c r="A561" s="1310" t="s">
        <v>627</v>
      </c>
    </row>
    <row r="562" spans="1:1">
      <c r="A562" s="1310" t="s">
        <v>150</v>
      </c>
    </row>
    <row r="563" spans="1:1">
      <c r="A563" s="1310" t="s">
        <v>150</v>
      </c>
    </row>
    <row r="564" spans="1:1">
      <c r="A564" s="1310" t="s">
        <v>628</v>
      </c>
    </row>
    <row r="565" spans="1:1">
      <c r="A565" s="1310" t="s">
        <v>629</v>
      </c>
    </row>
    <row r="566" spans="1:1">
      <c r="A566" s="1310" t="s">
        <v>150</v>
      </c>
    </row>
    <row r="567" spans="1:1">
      <c r="A567" s="1310" t="s">
        <v>630</v>
      </c>
    </row>
    <row r="568" spans="1:1">
      <c r="A568" s="1310" t="s">
        <v>636</v>
      </c>
    </row>
    <row r="569" spans="1:1">
      <c r="A569" s="1310"/>
    </row>
    <row r="570" spans="1:1">
      <c r="A570" s="1310"/>
    </row>
    <row r="571" spans="1:1">
      <c r="A571" s="1310" t="s">
        <v>637</v>
      </c>
    </row>
    <row r="572" spans="1:1">
      <c r="A572" s="1310" t="s">
        <v>638</v>
      </c>
    </row>
    <row r="573" spans="1:1">
      <c r="A573" s="1310" t="s">
        <v>639</v>
      </c>
    </row>
    <row r="574" spans="1:1">
      <c r="A574" s="1310" t="s">
        <v>640</v>
      </c>
    </row>
    <row r="575" spans="1:1">
      <c r="A575" s="1310" t="s">
        <v>641</v>
      </c>
    </row>
    <row r="576" spans="1:1">
      <c r="A576" s="1310" t="s">
        <v>642</v>
      </c>
    </row>
    <row r="577" spans="1:1">
      <c r="A577" s="1310" t="s">
        <v>643</v>
      </c>
    </row>
    <row r="578" spans="1:1">
      <c r="A578" s="1310" t="s">
        <v>644</v>
      </c>
    </row>
    <row r="579" spans="1:1">
      <c r="A579" s="1310" t="s">
        <v>645</v>
      </c>
    </row>
    <row r="580" spans="1:1">
      <c r="A580" s="1310" t="s">
        <v>883</v>
      </c>
    </row>
    <row r="581" spans="1:1">
      <c r="A581" s="1310" t="s">
        <v>656</v>
      </c>
    </row>
    <row r="582" spans="1:1">
      <c r="A582" s="1310" t="s">
        <v>884</v>
      </c>
    </row>
    <row r="583" spans="1:1">
      <c r="A583" s="1310" t="s">
        <v>646</v>
      </c>
    </row>
    <row r="584" spans="1:1">
      <c r="A584" s="1310" t="s">
        <v>647</v>
      </c>
    </row>
    <row r="585" spans="1:1">
      <c r="A585" s="1310" t="s">
        <v>648</v>
      </c>
    </row>
    <row r="586" spans="1:1">
      <c r="A586" s="1310" t="s">
        <v>649</v>
      </c>
    </row>
    <row r="587" spans="1:1">
      <c r="A587" s="1310" t="s">
        <v>650</v>
      </c>
    </row>
    <row r="588" spans="1:1">
      <c r="A588" s="1310" t="s">
        <v>651</v>
      </c>
    </row>
    <row r="589" spans="1:1">
      <c r="A589" s="1310" t="s">
        <v>652</v>
      </c>
    </row>
    <row r="590" spans="1:1">
      <c r="A590" s="1310" t="s">
        <v>653</v>
      </c>
    </row>
    <row r="591" spans="1:1">
      <c r="A591" s="1310" t="s">
        <v>654</v>
      </c>
    </row>
    <row r="592" spans="1:1">
      <c r="A592" s="1310" t="s">
        <v>655</v>
      </c>
    </row>
    <row r="593" spans="1:1">
      <c r="A593" s="1310" t="s">
        <v>656</v>
      </c>
    </row>
    <row r="594" spans="1:1">
      <c r="A594" s="1310" t="s">
        <v>657</v>
      </c>
    </row>
    <row r="595" spans="1:1">
      <c r="A595" s="1310" t="s">
        <v>886</v>
      </c>
    </row>
    <row r="596" spans="1:1">
      <c r="A596" s="1310" t="s">
        <v>659</v>
      </c>
    </row>
    <row r="597" spans="1:1">
      <c r="A597" s="1310" t="s">
        <v>660</v>
      </c>
    </row>
    <row r="598" spans="1:1">
      <c r="A598" s="1310" t="s">
        <v>887</v>
      </c>
    </row>
    <row r="599" spans="1:1">
      <c r="A599" s="1310" t="s">
        <v>662</v>
      </c>
    </row>
    <row r="600" spans="1:1">
      <c r="A600" s="1310" t="s">
        <v>663</v>
      </c>
    </row>
    <row r="601" spans="1:1">
      <c r="A601" s="1310"/>
    </row>
    <row r="602" spans="1:1">
      <c r="A602" s="1310" t="s">
        <v>664</v>
      </c>
    </row>
    <row r="603" spans="1:1">
      <c r="A603" s="1310" t="s">
        <v>150</v>
      </c>
    </row>
    <row r="604" spans="1:1">
      <c r="A604" s="1310" t="s">
        <v>665</v>
      </c>
    </row>
    <row r="605" spans="1:1">
      <c r="A605" s="1310" t="s">
        <v>150</v>
      </c>
    </row>
    <row r="606" spans="1:1">
      <c r="A606" s="1310" t="s">
        <v>666</v>
      </c>
    </row>
    <row r="607" spans="1:1">
      <c r="A607" s="1310" t="s">
        <v>667</v>
      </c>
    </row>
    <row r="608" spans="1:1">
      <c r="A608" s="1310" t="s">
        <v>668</v>
      </c>
    </row>
    <row r="609" spans="1:1">
      <c r="A609" s="1310" t="s">
        <v>150</v>
      </c>
    </row>
    <row r="610" spans="1:1">
      <c r="A610" s="1310" t="s">
        <v>669</v>
      </c>
    </row>
    <row r="611" spans="1:1">
      <c r="A611" s="1310" t="s">
        <v>670</v>
      </c>
    </row>
    <row r="612" spans="1:1">
      <c r="A612" s="1310" t="s">
        <v>671</v>
      </c>
    </row>
    <row r="613" spans="1:1">
      <c r="A613" s="1310" t="s">
        <v>150</v>
      </c>
    </row>
    <row r="614" spans="1:1">
      <c r="A614" s="1310" t="s">
        <v>672</v>
      </c>
    </row>
    <row r="615" spans="1:1">
      <c r="A615" s="1310" t="s">
        <v>673</v>
      </c>
    </row>
    <row r="616" spans="1:1">
      <c r="A616" s="1310" t="s">
        <v>150</v>
      </c>
    </row>
    <row r="617" spans="1:1">
      <c r="A617" s="1310" t="s">
        <v>674</v>
      </c>
    </row>
    <row r="618" spans="1:1">
      <c r="A618" s="1310" t="s">
        <v>675</v>
      </c>
    </row>
    <row r="619" spans="1:1">
      <c r="A619" s="1310" t="s">
        <v>676</v>
      </c>
    </row>
    <row r="620" spans="1:1">
      <c r="A620" s="1310" t="s">
        <v>677</v>
      </c>
    </row>
    <row r="621" spans="1:1">
      <c r="A621" s="1310" t="s">
        <v>150</v>
      </c>
    </row>
    <row r="622" spans="1:1">
      <c r="A622" s="1310" t="s">
        <v>678</v>
      </c>
    </row>
    <row r="623" spans="1:1">
      <c r="A623" s="1310" t="s">
        <v>679</v>
      </c>
    </row>
    <row r="624" spans="1:1">
      <c r="A624" s="1310" t="s">
        <v>680</v>
      </c>
    </row>
    <row r="625" spans="1:1">
      <c r="A625" s="1310" t="s">
        <v>681</v>
      </c>
    </row>
    <row r="626" spans="1:1">
      <c r="A626" s="1310" t="s">
        <v>682</v>
      </c>
    </row>
    <row r="627" spans="1:1">
      <c r="A627" s="1310"/>
    </row>
    <row r="628" spans="1:1">
      <c r="A628" s="1310" t="s">
        <v>683</v>
      </c>
    </row>
    <row r="629" spans="1:1">
      <c r="A629" s="1310" t="s">
        <v>684</v>
      </c>
    </row>
    <row r="630" spans="1:1">
      <c r="A630" s="1310" t="s">
        <v>685</v>
      </c>
    </row>
    <row r="631" spans="1:1">
      <c r="A631" s="1310" t="s">
        <v>686</v>
      </c>
    </row>
    <row r="632" spans="1:1">
      <c r="A632" s="1310" t="s">
        <v>687</v>
      </c>
    </row>
    <row r="633" spans="1:1">
      <c r="A633" s="1310" t="s">
        <v>688</v>
      </c>
    </row>
    <row r="634" spans="1:1">
      <c r="A634" s="1310" t="s">
        <v>689</v>
      </c>
    </row>
    <row r="635" spans="1:1">
      <c r="A635" s="1310" t="s">
        <v>690</v>
      </c>
    </row>
    <row r="636" spans="1:1">
      <c r="A636" s="1310" t="s">
        <v>691</v>
      </c>
    </row>
    <row r="637" spans="1:1">
      <c r="A637" s="1310" t="s">
        <v>692</v>
      </c>
    </row>
    <row r="638" spans="1:1">
      <c r="A638" s="1310" t="s">
        <v>693</v>
      </c>
    </row>
    <row r="639" spans="1:1">
      <c r="A639" s="1310" t="s">
        <v>694</v>
      </c>
    </row>
    <row r="640" spans="1:1">
      <c r="A640" s="1310" t="s">
        <v>695</v>
      </c>
    </row>
    <row r="641" spans="1:1">
      <c r="A641" s="1310" t="s">
        <v>696</v>
      </c>
    </row>
    <row r="642" spans="1:1">
      <c r="A642" s="1310"/>
    </row>
    <row r="643" spans="1:1">
      <c r="A643" s="1310"/>
    </row>
    <row r="644" spans="1:1">
      <c r="A644" s="1310" t="s">
        <v>739</v>
      </c>
    </row>
    <row r="645" spans="1:1">
      <c r="A645" s="1310" t="s">
        <v>744</v>
      </c>
    </row>
    <row r="646" spans="1:1">
      <c r="A646" s="1310" t="s">
        <v>746</v>
      </c>
    </row>
    <row r="647" spans="1:1">
      <c r="A647" s="1310" t="s">
        <v>747</v>
      </c>
    </row>
    <row r="648" spans="1:1">
      <c r="A648" s="1310" t="s">
        <v>748</v>
      </c>
    </row>
    <row r="649" spans="1:1">
      <c r="A649" s="1310" t="s">
        <v>1502</v>
      </c>
    </row>
    <row r="650" spans="1:1">
      <c r="A650" s="1310" t="s">
        <v>750</v>
      </c>
    </row>
    <row r="651" spans="1:1">
      <c r="A651" s="1310" t="s">
        <v>751</v>
      </c>
    </row>
    <row r="652" spans="1:1">
      <c r="A652" s="1310" t="s">
        <v>1503</v>
      </c>
    </row>
    <row r="653" spans="1:1">
      <c r="A653" s="1310" t="s">
        <v>753</v>
      </c>
    </row>
    <row r="654" spans="1:1">
      <c r="A654" s="1310" t="s">
        <v>754</v>
      </c>
    </row>
    <row r="655" spans="1:1">
      <c r="A655" s="1310" t="s">
        <v>755</v>
      </c>
    </row>
    <row r="656" spans="1:1">
      <c r="A656" s="1310" t="s">
        <v>756</v>
      </c>
    </row>
    <row r="657" spans="1:1">
      <c r="A657" s="1310" t="s">
        <v>757</v>
      </c>
    </row>
    <row r="658" spans="1:1">
      <c r="A658" s="1310" t="s">
        <v>758</v>
      </c>
    </row>
    <row r="659" spans="1:1">
      <c r="A659" s="1310" t="s">
        <v>759</v>
      </c>
    </row>
    <row r="660" spans="1:1">
      <c r="A660" s="1310" t="s">
        <v>760</v>
      </c>
    </row>
    <row r="661" spans="1:1">
      <c r="A661" s="1310" t="s">
        <v>761</v>
      </c>
    </row>
    <row r="662" spans="1:1">
      <c r="A662" s="1310" t="s">
        <v>762</v>
      </c>
    </row>
    <row r="663" spans="1:1">
      <c r="A663" s="1310" t="s">
        <v>763</v>
      </c>
    </row>
    <row r="664" spans="1:1">
      <c r="A664" s="1310" t="s">
        <v>764</v>
      </c>
    </row>
    <row r="665" spans="1:1">
      <c r="A665" s="1310" t="s">
        <v>765</v>
      </c>
    </row>
    <row r="666" spans="1:1">
      <c r="A666" s="1310" t="s">
        <v>766</v>
      </c>
    </row>
    <row r="667" spans="1:1">
      <c r="A667" s="1310" t="s">
        <v>767</v>
      </c>
    </row>
    <row r="668" spans="1:1">
      <c r="A668" s="1310" t="s">
        <v>768</v>
      </c>
    </row>
    <row r="669" spans="1:1">
      <c r="A669" s="1310" t="s">
        <v>769</v>
      </c>
    </row>
    <row r="670" spans="1:1">
      <c r="A670" s="1310" t="s">
        <v>770</v>
      </c>
    </row>
    <row r="671" spans="1:1">
      <c r="A671" s="1310" t="s">
        <v>771</v>
      </c>
    </row>
    <row r="672" spans="1:1">
      <c r="A672" s="1310" t="s">
        <v>772</v>
      </c>
    </row>
    <row r="673" spans="1:1">
      <c r="A673" s="1310" t="s">
        <v>773</v>
      </c>
    </row>
    <row r="674" spans="1:1">
      <c r="A674" s="1310" t="s">
        <v>774</v>
      </c>
    </row>
    <row r="675" spans="1:1">
      <c r="A675" s="1310" t="s">
        <v>775</v>
      </c>
    </row>
    <row r="676" spans="1:1">
      <c r="A676" s="1310" t="s">
        <v>776</v>
      </c>
    </row>
    <row r="677" spans="1:1">
      <c r="A677" s="1310" t="s">
        <v>777</v>
      </c>
    </row>
    <row r="678" spans="1:1">
      <c r="A678" s="1310" t="s">
        <v>778</v>
      </c>
    </row>
    <row r="679" spans="1:1">
      <c r="A679" s="1310" t="s">
        <v>779</v>
      </c>
    </row>
    <row r="680" spans="1:1">
      <c r="A680" s="1310" t="s">
        <v>780</v>
      </c>
    </row>
    <row r="681" spans="1:1">
      <c r="A681" s="1310" t="s">
        <v>781</v>
      </c>
    </row>
    <row r="682" spans="1:1">
      <c r="A682" s="1310" t="s">
        <v>782</v>
      </c>
    </row>
    <row r="683" spans="1:1">
      <c r="A683" s="1310" t="s">
        <v>783</v>
      </c>
    </row>
    <row r="684" spans="1:1">
      <c r="A684" s="1310" t="s">
        <v>784</v>
      </c>
    </row>
    <row r="685" spans="1:1">
      <c r="A685" s="1310" t="s">
        <v>785</v>
      </c>
    </row>
    <row r="686" spans="1:1">
      <c r="A686" s="1310" t="s">
        <v>786</v>
      </c>
    </row>
    <row r="687" spans="1:1">
      <c r="A687" s="1310" t="s">
        <v>787</v>
      </c>
    </row>
    <row r="688" spans="1:1">
      <c r="A688" s="1310" t="s">
        <v>788</v>
      </c>
    </row>
    <row r="689" spans="1:1">
      <c r="A689" s="1310" t="s">
        <v>1504</v>
      </c>
    </row>
    <row r="690" spans="1:1">
      <c r="A690" s="1310"/>
    </row>
    <row r="691" spans="1:1">
      <c r="A691" s="1310"/>
    </row>
    <row r="692" spans="1:1">
      <c r="A692" s="1310" t="s">
        <v>795</v>
      </c>
    </row>
    <row r="693" spans="1:1">
      <c r="A693" s="1310" t="s">
        <v>796</v>
      </c>
    </row>
    <row r="694" spans="1:1">
      <c r="A694" s="1310" t="s">
        <v>797</v>
      </c>
    </row>
    <row r="695" spans="1:1">
      <c r="A695" s="1310"/>
    </row>
    <row r="696" spans="1:1">
      <c r="A696" s="1310" t="s">
        <v>1505</v>
      </c>
    </row>
    <row r="697" spans="1:1">
      <c r="A697" s="1310" t="s">
        <v>1506</v>
      </c>
    </row>
    <row r="698" spans="1:1">
      <c r="A698" s="1310"/>
    </row>
    <row r="699" spans="1:1">
      <c r="A699" s="1310" t="s">
        <v>1507</v>
      </c>
    </row>
    <row r="700" spans="1:1">
      <c r="A700" s="1310" t="s">
        <v>1508</v>
      </c>
    </row>
    <row r="701" spans="1:1">
      <c r="A701" s="1310" t="s">
        <v>1509</v>
      </c>
    </row>
  </sheetData>
  <sheetProtection password="C2EC"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5"/>
  <dimension ref="A1:A965"/>
  <sheetViews>
    <sheetView workbookViewId="0"/>
  </sheetViews>
  <sheetFormatPr defaultRowHeight="15"/>
  <cols>
    <col min="1" max="1" width="54.42578125" customWidth="1"/>
  </cols>
  <sheetData>
    <row r="1" spans="1:1">
      <c r="A1" s="1310" t="s">
        <v>167</v>
      </c>
    </row>
    <row r="2" spans="1:1">
      <c r="A2" s="1310" t="s">
        <v>168</v>
      </c>
    </row>
    <row r="3" spans="1:1">
      <c r="A3" s="1310" t="s">
        <v>150</v>
      </c>
    </row>
    <row r="4" spans="1:1">
      <c r="A4" s="1310" t="s">
        <v>169</v>
      </c>
    </row>
    <row r="5" spans="1:1">
      <c r="A5" s="1310" t="s">
        <v>170</v>
      </c>
    </row>
    <row r="6" spans="1:1">
      <c r="A6" s="1310" t="s">
        <v>150</v>
      </c>
    </row>
    <row r="7" spans="1:1">
      <c r="A7" s="1310" t="s">
        <v>171</v>
      </c>
    </row>
    <row r="8" spans="1:1">
      <c r="A8" s="1310" t="s">
        <v>172</v>
      </c>
    </row>
    <row r="9" spans="1:1">
      <c r="A9" s="1310" t="s">
        <v>173</v>
      </c>
    </row>
    <row r="10" spans="1:1">
      <c r="A10" s="1310" t="s">
        <v>174</v>
      </c>
    </row>
    <row r="11" spans="1:1">
      <c r="A11" s="1310" t="s">
        <v>175</v>
      </c>
    </row>
    <row r="12" spans="1:1">
      <c r="A12" s="1310" t="s">
        <v>176</v>
      </c>
    </row>
    <row r="13" spans="1:1">
      <c r="A13" s="1310" t="s">
        <v>172</v>
      </c>
    </row>
    <row r="14" spans="1:1">
      <c r="A14" s="1310" t="s">
        <v>175</v>
      </c>
    </row>
    <row r="15" spans="1:1">
      <c r="A15" s="1310"/>
    </row>
    <row r="16" spans="1:1">
      <c r="A16" s="1310" t="s">
        <v>177</v>
      </c>
    </row>
    <row r="17" spans="1:1">
      <c r="A17" s="1310" t="s">
        <v>178</v>
      </c>
    </row>
    <row r="18" spans="1:1">
      <c r="A18" s="1310" t="s">
        <v>179</v>
      </c>
    </row>
    <row r="19" spans="1:1">
      <c r="A19" s="1310"/>
    </row>
    <row r="20" spans="1:1">
      <c r="A20" s="1310" t="s">
        <v>180</v>
      </c>
    </row>
    <row r="21" spans="1:1">
      <c r="A21" s="1310"/>
    </row>
    <row r="22" spans="1:1">
      <c r="A22" s="1310" t="s">
        <v>181</v>
      </c>
    </row>
    <row r="23" spans="1:1">
      <c r="A23" s="1310"/>
    </row>
    <row r="24" spans="1:1">
      <c r="A24" s="1310" t="s">
        <v>150</v>
      </c>
    </row>
    <row r="25" spans="1:1">
      <c r="A25" s="1310" t="s">
        <v>182</v>
      </c>
    </row>
    <row r="26" spans="1:1">
      <c r="A26" s="1310" t="s">
        <v>150</v>
      </c>
    </row>
    <row r="27" spans="1:1">
      <c r="A27" s="1310" t="s">
        <v>183</v>
      </c>
    </row>
    <row r="28" spans="1:1">
      <c r="A28" s="1310" t="s">
        <v>184</v>
      </c>
    </row>
    <row r="29" spans="1:1">
      <c r="A29" s="1310" t="s">
        <v>185</v>
      </c>
    </row>
    <row r="30" spans="1:1">
      <c r="A30" s="1310" t="s">
        <v>186</v>
      </c>
    </row>
    <row r="31" spans="1:1">
      <c r="A31" s="1310" t="s">
        <v>187</v>
      </c>
    </row>
    <row r="32" spans="1:1">
      <c r="A32" s="1310" t="s">
        <v>150</v>
      </c>
    </row>
    <row r="33" spans="1:1">
      <c r="A33" s="1310" t="s">
        <v>188</v>
      </c>
    </row>
    <row r="34" spans="1:1">
      <c r="A34" s="1310" t="s">
        <v>189</v>
      </c>
    </row>
    <row r="35" spans="1:1">
      <c r="A35" s="1310" t="s">
        <v>190</v>
      </c>
    </row>
    <row r="36" spans="1:1">
      <c r="A36" s="1310" t="s">
        <v>191</v>
      </c>
    </row>
    <row r="37" spans="1:1">
      <c r="A37" s="1310" t="s">
        <v>192</v>
      </c>
    </row>
    <row r="38" spans="1:1">
      <c r="A38" s="1310"/>
    </row>
    <row r="39" spans="1:1">
      <c r="A39" s="1310" t="s">
        <v>150</v>
      </c>
    </row>
    <row r="40" spans="1:1">
      <c r="A40" s="1310" t="s">
        <v>150</v>
      </c>
    </row>
    <row r="41" spans="1:1">
      <c r="A41" s="1310" t="s">
        <v>193</v>
      </c>
    </row>
    <row r="42" spans="1:1">
      <c r="A42" s="1310" t="s">
        <v>150</v>
      </c>
    </row>
    <row r="43" spans="1:1">
      <c r="A43" s="1310" t="s">
        <v>194</v>
      </c>
    </row>
    <row r="44" spans="1:1">
      <c r="A44" s="1310" t="s">
        <v>195</v>
      </c>
    </row>
    <row r="45" spans="1:1">
      <c r="A45" s="1310" t="s">
        <v>196</v>
      </c>
    </row>
    <row r="46" spans="1:1">
      <c r="A46" s="1310" t="s">
        <v>197</v>
      </c>
    </row>
    <row r="47" spans="1:1">
      <c r="A47" s="1310" t="s">
        <v>198</v>
      </c>
    </row>
    <row r="48" spans="1:1">
      <c r="A48" s="1310" t="s">
        <v>199</v>
      </c>
    </row>
    <row r="49" spans="1:1">
      <c r="A49" s="1310" t="s">
        <v>200</v>
      </c>
    </row>
    <row r="50" spans="1:1">
      <c r="A50" s="1310" t="s">
        <v>201</v>
      </c>
    </row>
    <row r="51" spans="1:1">
      <c r="A51" s="1310"/>
    </row>
    <row r="52" spans="1:1">
      <c r="A52" s="1310" t="s">
        <v>150</v>
      </c>
    </row>
    <row r="53" spans="1:1">
      <c r="A53" s="1310" t="s">
        <v>150</v>
      </c>
    </row>
    <row r="54" spans="1:1">
      <c r="A54" s="1310" t="s">
        <v>202</v>
      </c>
    </row>
    <row r="55" spans="1:1">
      <c r="A55" s="1310" t="s">
        <v>150</v>
      </c>
    </row>
    <row r="56" spans="1:1">
      <c r="A56" s="1310" t="s">
        <v>203</v>
      </c>
    </row>
    <row r="57" spans="1:1">
      <c r="A57" s="1310" t="s">
        <v>204</v>
      </c>
    </row>
    <row r="58" spans="1:1">
      <c r="A58" s="1310" t="s">
        <v>150</v>
      </c>
    </row>
    <row r="59" spans="1:1">
      <c r="A59" s="1310" t="s">
        <v>205</v>
      </c>
    </row>
    <row r="60" spans="1:1">
      <c r="A60" s="1310" t="s">
        <v>206</v>
      </c>
    </row>
    <row r="61" spans="1:1">
      <c r="A61" s="1310" t="s">
        <v>207</v>
      </c>
    </row>
    <row r="62" spans="1:1">
      <c r="A62" s="1310" t="s">
        <v>208</v>
      </c>
    </row>
    <row r="63" spans="1:1">
      <c r="A63" s="1310"/>
    </row>
    <row r="64" spans="1:1">
      <c r="A64" s="1310" t="s">
        <v>209</v>
      </c>
    </row>
    <row r="65" spans="1:1">
      <c r="A65" s="1310" t="s">
        <v>210</v>
      </c>
    </row>
    <row r="66" spans="1:1">
      <c r="A66" s="1310" t="s">
        <v>211</v>
      </c>
    </row>
    <row r="67" spans="1:1">
      <c r="A67" s="1310" t="s">
        <v>212</v>
      </c>
    </row>
    <row r="68" spans="1:1">
      <c r="A68" s="1310"/>
    </row>
    <row r="69" spans="1:1">
      <c r="A69" s="1310"/>
    </row>
    <row r="70" spans="1:1">
      <c r="A70" s="1310" t="s">
        <v>1682</v>
      </c>
    </row>
    <row r="71" spans="1:1">
      <c r="A71" s="1310" t="s">
        <v>1683</v>
      </c>
    </row>
    <row r="72" spans="1:1">
      <c r="A72" s="1310"/>
    </row>
    <row r="73" spans="1:1">
      <c r="A73" s="1310" t="s">
        <v>1684</v>
      </c>
    </row>
    <row r="74" spans="1:1">
      <c r="A74" s="1310" t="s">
        <v>1685</v>
      </c>
    </row>
    <row r="75" spans="1:1">
      <c r="A75" s="1310"/>
    </row>
    <row r="76" spans="1:1">
      <c r="A76" s="1310" t="s">
        <v>150</v>
      </c>
    </row>
    <row r="77" spans="1:1">
      <c r="A77" s="1310" t="s">
        <v>150</v>
      </c>
    </row>
    <row r="78" spans="1:1">
      <c r="A78" s="1310" t="s">
        <v>213</v>
      </c>
    </row>
    <row r="79" spans="1:1">
      <c r="A79" s="1310" t="s">
        <v>150</v>
      </c>
    </row>
    <row r="80" spans="1:1">
      <c r="A80" s="1310" t="s">
        <v>214</v>
      </c>
    </row>
    <row r="81" spans="1:1">
      <c r="A81" s="1310" t="s">
        <v>215</v>
      </c>
    </row>
    <row r="82" spans="1:1">
      <c r="A82" s="1310" t="s">
        <v>216</v>
      </c>
    </row>
    <row r="83" spans="1:1">
      <c r="A83" s="1310" t="s">
        <v>217</v>
      </c>
    </row>
    <row r="84" spans="1:1">
      <c r="A84" s="1310" t="s">
        <v>218</v>
      </c>
    </row>
    <row r="85" spans="1:1">
      <c r="A85" s="1310" t="s">
        <v>219</v>
      </c>
    </row>
    <row r="86" spans="1:1">
      <c r="A86" s="1310" t="s">
        <v>220</v>
      </c>
    </row>
    <row r="87" spans="1:1">
      <c r="A87" s="1310"/>
    </row>
    <row r="88" spans="1:1">
      <c r="A88" s="1310" t="s">
        <v>221</v>
      </c>
    </row>
    <row r="89" spans="1:1">
      <c r="A89" s="1310"/>
    </row>
    <row r="90" spans="1:1">
      <c r="A90" s="1310" t="s">
        <v>222</v>
      </c>
    </row>
    <row r="91" spans="1:1">
      <c r="A91" s="1310" t="s">
        <v>150</v>
      </c>
    </row>
    <row r="92" spans="1:1">
      <c r="A92" s="1310" t="s">
        <v>223</v>
      </c>
    </row>
    <row r="93" spans="1:1">
      <c r="A93" s="1310" t="s">
        <v>224</v>
      </c>
    </row>
    <row r="94" spans="1:1">
      <c r="A94" s="1310"/>
    </row>
    <row r="95" spans="1:1">
      <c r="A95" s="1310" t="s">
        <v>150</v>
      </c>
    </row>
    <row r="96" spans="1:1">
      <c r="A96" s="1310" t="s">
        <v>225</v>
      </c>
    </row>
    <row r="97" spans="1:1">
      <c r="A97" s="1310" t="s">
        <v>226</v>
      </c>
    </row>
    <row r="98" spans="1:1">
      <c r="A98" s="1310" t="s">
        <v>227</v>
      </c>
    </row>
    <row r="99" spans="1:1">
      <c r="A99" s="1310" t="s">
        <v>228</v>
      </c>
    </row>
    <row r="100" spans="1:1">
      <c r="A100" s="1310" t="s">
        <v>229</v>
      </c>
    </row>
    <row r="101" spans="1:1">
      <c r="A101" s="1310" t="s">
        <v>230</v>
      </c>
    </row>
    <row r="102" spans="1:1">
      <c r="A102" s="1310" t="s">
        <v>231</v>
      </c>
    </row>
    <row r="103" spans="1:1">
      <c r="A103" s="1310" t="s">
        <v>232</v>
      </c>
    </row>
    <row r="104" spans="1:1">
      <c r="A104" s="1310" t="s">
        <v>233</v>
      </c>
    </row>
    <row r="105" spans="1:1">
      <c r="A105" s="1310" t="s">
        <v>150</v>
      </c>
    </row>
    <row r="106" spans="1:1">
      <c r="A106" s="1310" t="s">
        <v>234</v>
      </c>
    </row>
    <row r="107" spans="1:1">
      <c r="A107" s="1310" t="s">
        <v>235</v>
      </c>
    </row>
    <row r="108" spans="1:1">
      <c r="A108" s="1310" t="s">
        <v>236</v>
      </c>
    </row>
    <row r="109" spans="1:1">
      <c r="A109" s="1310"/>
    </row>
    <row r="110" spans="1:1">
      <c r="A110" s="1310" t="s">
        <v>150</v>
      </c>
    </row>
    <row r="111" spans="1:1">
      <c r="A111" s="1310" t="s">
        <v>237</v>
      </c>
    </row>
    <row r="112" spans="1:1">
      <c r="A112" s="1310" t="s">
        <v>238</v>
      </c>
    </row>
    <row r="113" spans="1:1">
      <c r="A113" s="1310" t="s">
        <v>239</v>
      </c>
    </row>
    <row r="114" spans="1:1">
      <c r="A114" s="1310" t="s">
        <v>240</v>
      </c>
    </row>
    <row r="115" spans="1:1">
      <c r="A115" s="1310" t="s">
        <v>241</v>
      </c>
    </row>
    <row r="116" spans="1:1">
      <c r="A116" s="1310" t="s">
        <v>242</v>
      </c>
    </row>
    <row r="117" spans="1:1">
      <c r="A117" s="1310" t="s">
        <v>150</v>
      </c>
    </row>
    <row r="118" spans="1:1">
      <c r="A118" s="1310" t="s">
        <v>243</v>
      </c>
    </row>
    <row r="119" spans="1:1">
      <c r="A119" s="1310"/>
    </row>
    <row r="120" spans="1:1">
      <c r="A120" s="1310" t="s">
        <v>244</v>
      </c>
    </row>
    <row r="121" spans="1:1">
      <c r="A121" s="1310" t="s">
        <v>245</v>
      </c>
    </row>
    <row r="122" spans="1:1">
      <c r="A122" s="1310" t="s">
        <v>246</v>
      </c>
    </row>
    <row r="123" spans="1:1">
      <c r="A123" s="1310" t="s">
        <v>247</v>
      </c>
    </row>
    <row r="124" spans="1:1">
      <c r="A124" s="1310" t="s">
        <v>248</v>
      </c>
    </row>
    <row r="125" spans="1:1">
      <c r="A125" s="1310" t="s">
        <v>150</v>
      </c>
    </row>
    <row r="126" spans="1:1">
      <c r="A126" s="1310" t="s">
        <v>249</v>
      </c>
    </row>
    <row r="127" spans="1:1">
      <c r="A127" s="1310"/>
    </row>
    <row r="128" spans="1:1">
      <c r="A128" s="1310" t="s">
        <v>150</v>
      </c>
    </row>
    <row r="129" spans="1:1">
      <c r="A129" s="1310" t="s">
        <v>250</v>
      </c>
    </row>
    <row r="130" spans="1:1">
      <c r="A130" s="1310" t="s">
        <v>150</v>
      </c>
    </row>
    <row r="131" spans="1:1">
      <c r="A131" s="1310" t="s">
        <v>251</v>
      </c>
    </row>
    <row r="132" spans="1:1">
      <c r="A132" s="1310" t="s">
        <v>252</v>
      </c>
    </row>
    <row r="133" spans="1:1">
      <c r="A133" s="1310" t="s">
        <v>253</v>
      </c>
    </row>
    <row r="134" spans="1:1">
      <c r="A134" s="1310" t="s">
        <v>254</v>
      </c>
    </row>
    <row r="135" spans="1:1">
      <c r="A135" s="1310" t="s">
        <v>150</v>
      </c>
    </row>
    <row r="136" spans="1:1">
      <c r="A136" s="1310" t="s">
        <v>150</v>
      </c>
    </row>
    <row r="137" spans="1:1">
      <c r="A137" s="1310" t="s">
        <v>255</v>
      </c>
    </row>
    <row r="138" spans="1:1">
      <c r="A138" s="1310" t="s">
        <v>150</v>
      </c>
    </row>
    <row r="139" spans="1:1">
      <c r="A139" s="1310" t="s">
        <v>256</v>
      </c>
    </row>
    <row r="140" spans="1:1">
      <c r="A140" s="1310"/>
    </row>
    <row r="141" spans="1:1">
      <c r="A141" s="1310"/>
    </row>
    <row r="142" spans="1:1">
      <c r="A142" s="1310" t="s">
        <v>257</v>
      </c>
    </row>
    <row r="143" spans="1:1">
      <c r="A143" s="1310" t="s">
        <v>258</v>
      </c>
    </row>
    <row r="144" spans="1:1">
      <c r="A144" s="1310" t="s">
        <v>259</v>
      </c>
    </row>
    <row r="145" spans="1:1">
      <c r="A145" s="1310"/>
    </row>
    <row r="146" spans="1:1">
      <c r="A146" s="1310" t="s">
        <v>260</v>
      </c>
    </row>
    <row r="147" spans="1:1">
      <c r="A147" s="1310" t="s">
        <v>261</v>
      </c>
    </row>
    <row r="148" spans="1:1">
      <c r="A148" s="1310" t="s">
        <v>262</v>
      </c>
    </row>
    <row r="149" spans="1:1">
      <c r="A149" s="1310" t="s">
        <v>263</v>
      </c>
    </row>
    <row r="150" spans="1:1">
      <c r="A150" s="1310" t="s">
        <v>264</v>
      </c>
    </row>
    <row r="151" spans="1:1">
      <c r="A151" s="1310" t="s">
        <v>265</v>
      </c>
    </row>
    <row r="152" spans="1:1">
      <c r="A152" s="1310" t="s">
        <v>266</v>
      </c>
    </row>
    <row r="153" spans="1:1">
      <c r="A153" s="1310" t="s">
        <v>267</v>
      </c>
    </row>
    <row r="154" spans="1:1">
      <c r="A154" s="1310" t="s">
        <v>268</v>
      </c>
    </row>
    <row r="155" spans="1:1">
      <c r="A155" s="1310" t="s">
        <v>269</v>
      </c>
    </row>
    <row r="156" spans="1:1">
      <c r="A156" s="1310"/>
    </row>
    <row r="157" spans="1:1">
      <c r="A157" s="1310" t="s">
        <v>270</v>
      </c>
    </row>
    <row r="158" spans="1:1">
      <c r="A158" s="1310" t="s">
        <v>271</v>
      </c>
    </row>
    <row r="159" spans="1:1">
      <c r="A159" s="1310" t="s">
        <v>272</v>
      </c>
    </row>
    <row r="160" spans="1:1">
      <c r="A160" s="1310" t="s">
        <v>273</v>
      </c>
    </row>
    <row r="161" spans="1:1">
      <c r="A161" s="1310" t="s">
        <v>274</v>
      </c>
    </row>
    <row r="162" spans="1:1">
      <c r="A162" s="1310"/>
    </row>
    <row r="163" spans="1:1">
      <c r="A163" s="1310" t="s">
        <v>275</v>
      </c>
    </row>
    <row r="164" spans="1:1">
      <c r="A164" s="1310" t="s">
        <v>276</v>
      </c>
    </row>
    <row r="165" spans="1:1">
      <c r="A165" s="1310" t="s">
        <v>277</v>
      </c>
    </row>
    <row r="166" spans="1:1">
      <c r="A166" s="1310" t="s">
        <v>278</v>
      </c>
    </row>
    <row r="167" spans="1:1">
      <c r="A167" s="1310" t="s">
        <v>279</v>
      </c>
    </row>
    <row r="168" spans="1:1">
      <c r="A168" s="1310" t="s">
        <v>280</v>
      </c>
    </row>
    <row r="169" spans="1:1">
      <c r="A169" s="1310" t="s">
        <v>281</v>
      </c>
    </row>
    <row r="170" spans="1:1">
      <c r="A170" s="1310" t="s">
        <v>282</v>
      </c>
    </row>
    <row r="171" spans="1:1">
      <c r="A171" s="1310" t="s">
        <v>283</v>
      </c>
    </row>
    <row r="172" spans="1:1">
      <c r="A172" s="1310" t="s">
        <v>284</v>
      </c>
    </row>
    <row r="173" spans="1:1">
      <c r="A173" s="1310" t="s">
        <v>285</v>
      </c>
    </row>
    <row r="174" spans="1:1">
      <c r="A174" s="1310" t="s">
        <v>286</v>
      </c>
    </row>
    <row r="175" spans="1:1">
      <c r="A175" s="1310" t="s">
        <v>287</v>
      </c>
    </row>
    <row r="176" spans="1:1">
      <c r="A176" s="1310" t="s">
        <v>288</v>
      </c>
    </row>
    <row r="177" spans="1:1">
      <c r="A177" s="1310" t="s">
        <v>289</v>
      </c>
    </row>
    <row r="178" spans="1:1">
      <c r="A178" s="1310" t="s">
        <v>290</v>
      </c>
    </row>
    <row r="179" spans="1:1">
      <c r="A179" s="1310" t="s">
        <v>291</v>
      </c>
    </row>
    <row r="180" spans="1:1">
      <c r="A180" s="1310" t="s">
        <v>292</v>
      </c>
    </row>
    <row r="181" spans="1:1">
      <c r="A181" s="1310" t="s">
        <v>1826</v>
      </c>
    </row>
    <row r="182" spans="1:1">
      <c r="A182" s="1310" t="s">
        <v>1827</v>
      </c>
    </row>
    <row r="183" spans="1:1">
      <c r="A183" s="1310" t="s">
        <v>1828</v>
      </c>
    </row>
    <row r="184" spans="1:1">
      <c r="A184" s="1310" t="s">
        <v>1829</v>
      </c>
    </row>
    <row r="185" spans="1:1">
      <c r="A185" s="1310"/>
    </row>
    <row r="186" spans="1:1">
      <c r="A186" s="1310"/>
    </row>
    <row r="187" spans="1:1">
      <c r="A187" s="1310"/>
    </row>
    <row r="188" spans="1:1">
      <c r="A188" s="1310"/>
    </row>
    <row r="189" spans="1:1">
      <c r="A189" s="1310" t="s">
        <v>293</v>
      </c>
    </row>
    <row r="190" spans="1:1">
      <c r="A190" s="1310" t="s">
        <v>294</v>
      </c>
    </row>
    <row r="191" spans="1:1">
      <c r="A191" s="1310" t="s">
        <v>295</v>
      </c>
    </row>
    <row r="192" spans="1:1">
      <c r="A192" s="1310" t="s">
        <v>296</v>
      </c>
    </row>
    <row r="193" spans="1:1">
      <c r="A193" s="1310" t="s">
        <v>297</v>
      </c>
    </row>
    <row r="194" spans="1:1">
      <c r="A194" s="1310" t="s">
        <v>298</v>
      </c>
    </row>
    <row r="195" spans="1:1">
      <c r="A195" s="1310" t="s">
        <v>299</v>
      </c>
    </row>
    <row r="196" spans="1:1">
      <c r="A196" s="1310" t="s">
        <v>300</v>
      </c>
    </row>
    <row r="197" spans="1:1">
      <c r="A197" s="1310" t="s">
        <v>301</v>
      </c>
    </row>
    <row r="198" spans="1:1">
      <c r="A198" s="1310"/>
    </row>
    <row r="199" spans="1:1">
      <c r="A199" s="1310" t="s">
        <v>150</v>
      </c>
    </row>
    <row r="200" spans="1:1">
      <c r="A200" s="1310" t="s">
        <v>302</v>
      </c>
    </row>
    <row r="201" spans="1:1">
      <c r="A201" s="1310" t="s">
        <v>303</v>
      </c>
    </row>
    <row r="202" spans="1:1">
      <c r="A202" s="1310" t="s">
        <v>150</v>
      </c>
    </row>
    <row r="203" spans="1:1">
      <c r="A203" s="1310" t="s">
        <v>304</v>
      </c>
    </row>
    <row r="204" spans="1:1">
      <c r="A204" s="1310" t="s">
        <v>305</v>
      </c>
    </row>
    <row r="205" spans="1:1">
      <c r="A205" s="1310" t="s">
        <v>306</v>
      </c>
    </row>
    <row r="206" spans="1:1">
      <c r="A206" s="1310" t="s">
        <v>307</v>
      </c>
    </row>
    <row r="207" spans="1:1">
      <c r="A207" s="1310" t="s">
        <v>308</v>
      </c>
    </row>
    <row r="208" spans="1:1">
      <c r="A208" s="1310" t="s">
        <v>309</v>
      </c>
    </row>
    <row r="209" spans="1:1">
      <c r="A209" s="1310" t="s">
        <v>310</v>
      </c>
    </row>
    <row r="210" spans="1:1">
      <c r="A210" s="1310" t="s">
        <v>311</v>
      </c>
    </row>
    <row r="211" spans="1:1">
      <c r="A211" s="1310" t="s">
        <v>312</v>
      </c>
    </row>
    <row r="212" spans="1:1">
      <c r="A212" s="1310" t="s">
        <v>313</v>
      </c>
    </row>
    <row r="213" spans="1:1">
      <c r="A213" s="1310" t="s">
        <v>1767</v>
      </c>
    </row>
    <row r="214" spans="1:1" s="1170" customFormat="1">
      <c r="A214" s="1310" t="s">
        <v>1766</v>
      </c>
    </row>
    <row r="215" spans="1:1">
      <c r="A215" s="1310"/>
    </row>
    <row r="216" spans="1:1">
      <c r="A216" s="1310" t="s">
        <v>315</v>
      </c>
    </row>
    <row r="217" spans="1:1">
      <c r="A217" s="1310" t="s">
        <v>316</v>
      </c>
    </row>
    <row r="218" spans="1:1">
      <c r="A218" s="1310" t="s">
        <v>317</v>
      </c>
    </row>
    <row r="219" spans="1:1">
      <c r="A219" s="1310" t="s">
        <v>318</v>
      </c>
    </row>
    <row r="220" spans="1:1">
      <c r="A220" s="1310" t="s">
        <v>319</v>
      </c>
    </row>
    <row r="221" spans="1:1">
      <c r="A221" s="1310"/>
    </row>
    <row r="222" spans="1:1">
      <c r="A222" s="1310" t="s">
        <v>320</v>
      </c>
    </row>
    <row r="223" spans="1:1">
      <c r="A223" s="1310" t="s">
        <v>321</v>
      </c>
    </row>
    <row r="224" spans="1:1">
      <c r="A224" s="1310"/>
    </row>
    <row r="225" spans="1:1">
      <c r="A225" s="1310" t="s">
        <v>322</v>
      </c>
    </row>
    <row r="226" spans="1:1">
      <c r="A226" s="1310" t="s">
        <v>323</v>
      </c>
    </row>
    <row r="227" spans="1:1">
      <c r="A227" s="1310" t="s">
        <v>324</v>
      </c>
    </row>
    <row r="228" spans="1:1">
      <c r="A228" s="1310"/>
    </row>
    <row r="229" spans="1:1">
      <c r="A229" s="1310" t="s">
        <v>325</v>
      </c>
    </row>
    <row r="230" spans="1:1">
      <c r="A230" s="1310" t="s">
        <v>326</v>
      </c>
    </row>
    <row r="231" spans="1:1">
      <c r="A231" s="1310" t="s">
        <v>327</v>
      </c>
    </row>
    <row r="232" spans="1:1">
      <c r="A232" s="1310" t="s">
        <v>328</v>
      </c>
    </row>
    <row r="233" spans="1:1">
      <c r="A233" s="1310" t="s">
        <v>329</v>
      </c>
    </row>
    <row r="234" spans="1:1">
      <c r="A234" s="1310" t="s">
        <v>330</v>
      </c>
    </row>
    <row r="235" spans="1:1">
      <c r="A235" s="1310"/>
    </row>
    <row r="236" spans="1:1">
      <c r="A236" s="1310" t="s">
        <v>331</v>
      </c>
    </row>
    <row r="237" spans="1:1">
      <c r="A237" s="1310" t="s">
        <v>332</v>
      </c>
    </row>
    <row r="238" spans="1:1">
      <c r="A238" s="1310" t="s">
        <v>333</v>
      </c>
    </row>
    <row r="239" spans="1:1">
      <c r="A239" s="1310" t="s">
        <v>334</v>
      </c>
    </row>
    <row r="240" spans="1:1">
      <c r="A240" s="1310"/>
    </row>
    <row r="241" spans="1:1">
      <c r="A241" s="1310" t="s">
        <v>335</v>
      </c>
    </row>
    <row r="242" spans="1:1">
      <c r="A242" s="1310" t="s">
        <v>336</v>
      </c>
    </row>
    <row r="243" spans="1:1">
      <c r="A243" s="1310" t="s">
        <v>337</v>
      </c>
    </row>
    <row r="244" spans="1:1">
      <c r="A244" s="1310" t="s">
        <v>338</v>
      </c>
    </row>
    <row r="245" spans="1:1">
      <c r="A245" s="1310" t="s">
        <v>339</v>
      </c>
    </row>
    <row r="246" spans="1:1">
      <c r="A246" s="1310"/>
    </row>
    <row r="247" spans="1:1">
      <c r="A247" s="1310" t="s">
        <v>340</v>
      </c>
    </row>
    <row r="248" spans="1:1">
      <c r="A248" s="1310" t="s">
        <v>341</v>
      </c>
    </row>
    <row r="249" spans="1:1">
      <c r="A249" s="1310" t="s">
        <v>342</v>
      </c>
    </row>
    <row r="250" spans="1:1">
      <c r="A250" s="1310" t="s">
        <v>343</v>
      </c>
    </row>
    <row r="251" spans="1:1">
      <c r="A251" s="1310" t="s">
        <v>344</v>
      </c>
    </row>
    <row r="252" spans="1:1">
      <c r="A252" s="1310" t="s">
        <v>345</v>
      </c>
    </row>
    <row r="253" spans="1:1">
      <c r="A253" s="1310" t="s">
        <v>346</v>
      </c>
    </row>
    <row r="254" spans="1:1">
      <c r="A254" s="1310"/>
    </row>
    <row r="255" spans="1:1">
      <c r="A255" s="1310" t="s">
        <v>347</v>
      </c>
    </row>
    <row r="256" spans="1:1">
      <c r="A256" s="1310" t="s">
        <v>348</v>
      </c>
    </row>
    <row r="257" spans="1:1">
      <c r="A257" s="1310" t="s">
        <v>349</v>
      </c>
    </row>
    <row r="258" spans="1:1">
      <c r="A258" s="1310" t="s">
        <v>350</v>
      </c>
    </row>
    <row r="259" spans="1:1">
      <c r="A259" s="1310" t="s">
        <v>351</v>
      </c>
    </row>
    <row r="260" spans="1:1">
      <c r="A260" s="1310"/>
    </row>
    <row r="261" spans="1:1">
      <c r="A261" s="1310" t="s">
        <v>352</v>
      </c>
    </row>
    <row r="262" spans="1:1">
      <c r="A262" s="1310" t="s">
        <v>353</v>
      </c>
    </row>
    <row r="263" spans="1:1">
      <c r="A263" s="1310"/>
    </row>
    <row r="264" spans="1:1">
      <c r="A264" s="1310" t="s">
        <v>354</v>
      </c>
    </row>
    <row r="265" spans="1:1">
      <c r="A265" s="1310" t="s">
        <v>355</v>
      </c>
    </row>
    <row r="266" spans="1:1">
      <c r="A266" s="1310" t="s">
        <v>356</v>
      </c>
    </row>
    <row r="267" spans="1:1">
      <c r="A267" s="1310"/>
    </row>
    <row r="268" spans="1:1">
      <c r="A268" s="1310"/>
    </row>
    <row r="269" spans="1:1">
      <c r="A269" s="1310" t="s">
        <v>150</v>
      </c>
    </row>
    <row r="270" spans="1:1">
      <c r="A270" s="1310" t="s">
        <v>357</v>
      </c>
    </row>
    <row r="271" spans="1:1">
      <c r="A271" s="1310" t="s">
        <v>150</v>
      </c>
    </row>
    <row r="272" spans="1:1">
      <c r="A272" s="1310" t="s">
        <v>358</v>
      </c>
    </row>
    <row r="273" spans="1:1">
      <c r="A273" s="1310" t="s">
        <v>359</v>
      </c>
    </row>
    <row r="274" spans="1:1">
      <c r="A274" s="1310" t="s">
        <v>360</v>
      </c>
    </row>
    <row r="275" spans="1:1">
      <c r="A275" s="1310" t="s">
        <v>361</v>
      </c>
    </row>
    <row r="276" spans="1:1">
      <c r="A276" s="1310" t="s">
        <v>362</v>
      </c>
    </row>
    <row r="277" spans="1:1">
      <c r="A277" s="1310" t="s">
        <v>363</v>
      </c>
    </row>
    <row r="278" spans="1:1">
      <c r="A278" s="1310" t="s">
        <v>364</v>
      </c>
    </row>
    <row r="279" spans="1:1">
      <c r="A279" s="1310" t="s">
        <v>365</v>
      </c>
    </row>
    <row r="280" spans="1:1">
      <c r="A280" s="1310" t="s">
        <v>366</v>
      </c>
    </row>
    <row r="281" spans="1:1">
      <c r="A281" s="1310"/>
    </row>
    <row r="282" spans="1:1">
      <c r="A282" s="1310" t="s">
        <v>150</v>
      </c>
    </row>
    <row r="283" spans="1:1">
      <c r="A283" s="1310" t="s">
        <v>150</v>
      </c>
    </row>
    <row r="284" spans="1:1">
      <c r="A284" s="1310" t="s">
        <v>367</v>
      </c>
    </row>
    <row r="285" spans="1:1">
      <c r="A285" s="1310" t="s">
        <v>150</v>
      </c>
    </row>
    <row r="286" spans="1:1">
      <c r="A286" s="1310" t="s">
        <v>368</v>
      </c>
    </row>
    <row r="287" spans="1:1">
      <c r="A287" s="1310" t="s">
        <v>369</v>
      </c>
    </row>
    <row r="288" spans="1:1">
      <c r="A288" s="1310" t="s">
        <v>370</v>
      </c>
    </row>
    <row r="289" spans="1:1">
      <c r="A289" s="1310" t="s">
        <v>371</v>
      </c>
    </row>
    <row r="290" spans="1:1">
      <c r="A290" s="1310" t="s">
        <v>372</v>
      </c>
    </row>
    <row r="291" spans="1:1">
      <c r="A291" s="1310" t="s">
        <v>373</v>
      </c>
    </row>
    <row r="292" spans="1:1">
      <c r="A292" s="1310" t="s">
        <v>374</v>
      </c>
    </row>
    <row r="293" spans="1:1">
      <c r="A293" s="1310"/>
    </row>
    <row r="294" spans="1:1">
      <c r="A294" s="1310" t="s">
        <v>375</v>
      </c>
    </row>
    <row r="295" spans="1:1">
      <c r="A295" s="1310" t="s">
        <v>376</v>
      </c>
    </row>
    <row r="296" spans="1:1">
      <c r="A296" s="1310" t="s">
        <v>377</v>
      </c>
    </row>
    <row r="297" spans="1:1">
      <c r="A297" s="1310" t="s">
        <v>378</v>
      </c>
    </row>
    <row r="298" spans="1:1">
      <c r="A298" s="1310" t="s">
        <v>379</v>
      </c>
    </row>
    <row r="299" spans="1:1">
      <c r="A299" s="1310" t="s">
        <v>380</v>
      </c>
    </row>
    <row r="300" spans="1:1">
      <c r="A300" s="1310" t="s">
        <v>381</v>
      </c>
    </row>
    <row r="301" spans="1:1">
      <c r="A301" s="1310" t="s">
        <v>382</v>
      </c>
    </row>
    <row r="302" spans="1:1">
      <c r="A302" s="1310"/>
    </row>
    <row r="303" spans="1:1">
      <c r="A303" s="1310"/>
    </row>
    <row r="304" spans="1:1">
      <c r="A304" s="1310" t="s">
        <v>383</v>
      </c>
    </row>
    <row r="305" spans="1:1">
      <c r="A305" s="1310" t="s">
        <v>384</v>
      </c>
    </row>
    <row r="306" spans="1:1">
      <c r="A306" s="1310"/>
    </row>
    <row r="307" spans="1:1">
      <c r="A307" s="1310" t="s">
        <v>385</v>
      </c>
    </row>
    <row r="308" spans="1:1">
      <c r="A308" s="1310" t="s">
        <v>386</v>
      </c>
    </row>
    <row r="309" spans="1:1">
      <c r="A309" s="1310"/>
    </row>
    <row r="310" spans="1:1">
      <c r="A310" s="1310" t="s">
        <v>387</v>
      </c>
    </row>
    <row r="311" spans="1:1">
      <c r="A311" s="1310" t="s">
        <v>388</v>
      </c>
    </row>
    <row r="312" spans="1:1">
      <c r="A312" s="1310" t="s">
        <v>389</v>
      </c>
    </row>
    <row r="313" spans="1:1">
      <c r="A313" s="1310" t="s">
        <v>390</v>
      </c>
    </row>
    <row r="314" spans="1:1">
      <c r="A314" s="1310"/>
    </row>
    <row r="315" spans="1:1">
      <c r="A315" s="1310" t="s">
        <v>391</v>
      </c>
    </row>
    <row r="316" spans="1:1">
      <c r="A316" s="1310" t="s">
        <v>392</v>
      </c>
    </row>
    <row r="317" spans="1:1">
      <c r="A317" s="1310" t="s">
        <v>393</v>
      </c>
    </row>
    <row r="318" spans="1:1">
      <c r="A318" s="1310" t="s">
        <v>394</v>
      </c>
    </row>
    <row r="319" spans="1:1">
      <c r="A319" s="1310"/>
    </row>
    <row r="320" spans="1:1">
      <c r="A320" s="1310" t="s">
        <v>395</v>
      </c>
    </row>
    <row r="321" spans="1:1">
      <c r="A321" s="1310" t="s">
        <v>396</v>
      </c>
    </row>
    <row r="322" spans="1:1">
      <c r="A322" s="1310"/>
    </row>
    <row r="323" spans="1:1">
      <c r="A323" s="1310" t="s">
        <v>397</v>
      </c>
    </row>
    <row r="324" spans="1:1">
      <c r="A324" s="1310" t="s">
        <v>398</v>
      </c>
    </row>
    <row r="325" spans="1:1">
      <c r="A325" s="1310" t="s">
        <v>399</v>
      </c>
    </row>
    <row r="326" spans="1:1">
      <c r="A326" s="1310" t="s">
        <v>400</v>
      </c>
    </row>
    <row r="327" spans="1:1">
      <c r="A327" s="1310" t="s">
        <v>401</v>
      </c>
    </row>
    <row r="328" spans="1:1">
      <c r="A328" s="1310" t="s">
        <v>402</v>
      </c>
    </row>
    <row r="329" spans="1:1">
      <c r="A329" s="1310" t="s">
        <v>403</v>
      </c>
    </row>
    <row r="330" spans="1:1">
      <c r="A330" s="1310" t="s">
        <v>404</v>
      </c>
    </row>
    <row r="331" spans="1:1">
      <c r="A331" s="1310" t="s">
        <v>405</v>
      </c>
    </row>
    <row r="332" spans="1:1">
      <c r="A332" s="1310" t="s">
        <v>406</v>
      </c>
    </row>
    <row r="333" spans="1:1">
      <c r="A333" s="1310" t="s">
        <v>407</v>
      </c>
    </row>
    <row r="334" spans="1:1">
      <c r="A334" s="1310" t="s">
        <v>408</v>
      </c>
    </row>
    <row r="335" spans="1:1">
      <c r="A335" s="1311" t="str">
        <f>"platelet_mobilization_factor=" &amp; IF('Configs &amp; Procedures'!$H$15="YES","0.80","1.00")</f>
        <v>platelet_mobilization_factor=1.00</v>
      </c>
    </row>
    <row r="336" spans="1:1">
      <c r="A336" s="1310"/>
    </row>
    <row r="337" spans="1:1">
      <c r="A337" s="1310" t="s">
        <v>410</v>
      </c>
    </row>
    <row r="338" spans="1:1">
      <c r="A338" s="1310" t="s">
        <v>150</v>
      </c>
    </row>
    <row r="339" spans="1:1">
      <c r="A339" s="1310" t="s">
        <v>150</v>
      </c>
    </row>
    <row r="340" spans="1:1">
      <c r="A340" s="1310" t="s">
        <v>411</v>
      </c>
    </row>
    <row r="341" spans="1:1">
      <c r="A341" s="1310" t="s">
        <v>412</v>
      </c>
    </row>
    <row r="342" spans="1:1">
      <c r="A342" s="1310" t="s">
        <v>150</v>
      </c>
    </row>
    <row r="343" spans="1:1">
      <c r="A343" s="1310" t="s">
        <v>413</v>
      </c>
    </row>
    <row r="344" spans="1:1">
      <c r="A344" s="1310" t="s">
        <v>414</v>
      </c>
    </row>
    <row r="345" spans="1:1">
      <c r="A345" s="1310" t="s">
        <v>415</v>
      </c>
    </row>
    <row r="346" spans="1:1">
      <c r="A346" s="1310" t="s">
        <v>416</v>
      </c>
    </row>
    <row r="347" spans="1:1">
      <c r="A347" s="1310" t="s">
        <v>150</v>
      </c>
    </row>
    <row r="348" spans="1:1">
      <c r="A348" s="1310" t="s">
        <v>150</v>
      </c>
    </row>
    <row r="349" spans="1:1">
      <c r="A349" s="1310" t="s">
        <v>417</v>
      </c>
    </row>
    <row r="350" spans="1:1">
      <c r="A350" s="1310" t="s">
        <v>418</v>
      </c>
    </row>
    <row r="351" spans="1:1">
      <c r="A351" s="1310" t="s">
        <v>150</v>
      </c>
    </row>
    <row r="352" spans="1:1">
      <c r="A352" s="1310" t="s">
        <v>419</v>
      </c>
    </row>
    <row r="353" spans="1:1">
      <c r="A353" s="1310" t="s">
        <v>150</v>
      </c>
    </row>
    <row r="354" spans="1:1">
      <c r="A354" s="1310" t="s">
        <v>420</v>
      </c>
    </row>
    <row r="355" spans="1:1">
      <c r="A355" s="1310" t="s">
        <v>421</v>
      </c>
    </row>
    <row r="356" spans="1:1">
      <c r="A356" s="1310" t="s">
        <v>422</v>
      </c>
    </row>
    <row r="357" spans="1:1">
      <c r="A357" s="1310" t="s">
        <v>423</v>
      </c>
    </row>
    <row r="358" spans="1:1">
      <c r="A358" s="1310" t="s">
        <v>150</v>
      </c>
    </row>
    <row r="359" spans="1:1">
      <c r="A359" s="1310" t="s">
        <v>424</v>
      </c>
    </row>
    <row r="360" spans="1:1">
      <c r="A360" s="1310" t="s">
        <v>425</v>
      </c>
    </row>
    <row r="361" spans="1:1">
      <c r="A361" s="1310" t="s">
        <v>426</v>
      </c>
    </row>
    <row r="362" spans="1:1">
      <c r="A362" s="1310" t="s">
        <v>427</v>
      </c>
    </row>
    <row r="363" spans="1:1">
      <c r="A363" s="1310" t="s">
        <v>428</v>
      </c>
    </row>
    <row r="364" spans="1:1">
      <c r="A364" s="1310" t="s">
        <v>429</v>
      </c>
    </row>
    <row r="365" spans="1:1">
      <c r="A365" s="1310" t="s">
        <v>150</v>
      </c>
    </row>
    <row r="366" spans="1:1">
      <c r="A366" s="1310" t="s">
        <v>430</v>
      </c>
    </row>
    <row r="367" spans="1:1">
      <c r="A367" s="1310" t="s">
        <v>150</v>
      </c>
    </row>
    <row r="368" spans="1:1">
      <c r="A368" s="1310" t="s">
        <v>431</v>
      </c>
    </row>
    <row r="369" spans="1:1">
      <c r="A369" s="1310" t="s">
        <v>432</v>
      </c>
    </row>
    <row r="370" spans="1:1">
      <c r="A370" s="1310" t="s">
        <v>433</v>
      </c>
    </row>
    <row r="371" spans="1:1">
      <c r="A371" s="1310" t="s">
        <v>150</v>
      </c>
    </row>
    <row r="372" spans="1:1">
      <c r="A372" s="1310" t="s">
        <v>434</v>
      </c>
    </row>
    <row r="373" spans="1:1">
      <c r="A373" s="1310" t="s">
        <v>435</v>
      </c>
    </row>
    <row r="374" spans="1:1">
      <c r="A374" s="1310" t="s">
        <v>150</v>
      </c>
    </row>
    <row r="375" spans="1:1">
      <c r="A375" s="1310" t="s">
        <v>436</v>
      </c>
    </row>
    <row r="376" spans="1:1">
      <c r="A376" s="1310"/>
    </row>
    <row r="377" spans="1:1">
      <c r="A377" s="1310"/>
    </row>
    <row r="378" spans="1:1">
      <c r="A378" s="1310"/>
    </row>
    <row r="379" spans="1:1">
      <c r="A379" s="1310" t="s">
        <v>437</v>
      </c>
    </row>
    <row r="380" spans="1:1">
      <c r="A380" s="1310" t="s">
        <v>150</v>
      </c>
    </row>
    <row r="381" spans="1:1">
      <c r="A381" s="1310" t="s">
        <v>438</v>
      </c>
    </row>
    <row r="382" spans="1:1">
      <c r="A382" s="1310" t="s">
        <v>439</v>
      </c>
    </row>
    <row r="383" spans="1:1">
      <c r="A383" s="1310" t="s">
        <v>440</v>
      </c>
    </row>
    <row r="384" spans="1:1">
      <c r="A384" s="1310" t="s">
        <v>441</v>
      </c>
    </row>
    <row r="385" spans="1:1">
      <c r="A385" s="1310" t="s">
        <v>442</v>
      </c>
    </row>
    <row r="386" spans="1:1">
      <c r="A386" s="1310" t="s">
        <v>443</v>
      </c>
    </row>
    <row r="387" spans="1:1">
      <c r="A387" s="1310" t="s">
        <v>444</v>
      </c>
    </row>
    <row r="388" spans="1:1">
      <c r="A388" s="1310" t="s">
        <v>445</v>
      </c>
    </row>
    <row r="389" spans="1:1">
      <c r="A389" s="1310" t="s">
        <v>446</v>
      </c>
    </row>
    <row r="390" spans="1:1">
      <c r="A390" s="1310" t="s">
        <v>1566</v>
      </c>
    </row>
    <row r="391" spans="1:1">
      <c r="A391" s="1310" t="s">
        <v>1567</v>
      </c>
    </row>
    <row r="392" spans="1:1">
      <c r="A392" s="1310" t="s">
        <v>150</v>
      </c>
    </row>
    <row r="393" spans="1:1">
      <c r="A393" s="1310" t="s">
        <v>447</v>
      </c>
    </row>
    <row r="394" spans="1:1">
      <c r="A394" s="1310" t="s">
        <v>448</v>
      </c>
    </row>
    <row r="395" spans="1:1">
      <c r="A395" s="1310" t="s">
        <v>150</v>
      </c>
    </row>
    <row r="396" spans="1:1">
      <c r="A396" s="1310" t="s">
        <v>449</v>
      </c>
    </row>
    <row r="397" spans="1:1">
      <c r="A397" s="1310" t="s">
        <v>450</v>
      </c>
    </row>
    <row r="398" spans="1:1">
      <c r="A398" s="1310" t="s">
        <v>451</v>
      </c>
    </row>
    <row r="399" spans="1:1">
      <c r="A399" s="1310" t="s">
        <v>452</v>
      </c>
    </row>
    <row r="400" spans="1:1">
      <c r="A400" s="1310" t="s">
        <v>453</v>
      </c>
    </row>
    <row r="401" spans="1:1">
      <c r="A401" s="1310" t="s">
        <v>454</v>
      </c>
    </row>
    <row r="402" spans="1:1">
      <c r="A402" s="1310" t="s">
        <v>1568</v>
      </c>
    </row>
    <row r="403" spans="1:1">
      <c r="A403" s="1310" t="s">
        <v>1569</v>
      </c>
    </row>
    <row r="404" spans="1:1">
      <c r="A404" s="1310"/>
    </row>
    <row r="405" spans="1:1">
      <c r="A405" s="1310"/>
    </row>
    <row r="406" spans="1:1">
      <c r="A406" s="1310" t="s">
        <v>150</v>
      </c>
    </row>
    <row r="407" spans="1:1">
      <c r="A407" s="1310" t="s">
        <v>455</v>
      </c>
    </row>
    <row r="408" spans="1:1">
      <c r="A408" s="1310" t="s">
        <v>150</v>
      </c>
    </row>
    <row r="409" spans="1:1">
      <c r="A409" s="1310" t="s">
        <v>456</v>
      </c>
    </row>
    <row r="410" spans="1:1">
      <c r="A410" s="1310" t="s">
        <v>457</v>
      </c>
    </row>
    <row r="411" spans="1:1">
      <c r="A411" s="1310" t="s">
        <v>458</v>
      </c>
    </row>
    <row r="412" spans="1:1">
      <c r="A412" s="1310" t="s">
        <v>459</v>
      </c>
    </row>
    <row r="413" spans="1:1">
      <c r="A413" s="1310" t="s">
        <v>460</v>
      </c>
    </row>
    <row r="414" spans="1:1">
      <c r="A414" s="1310" t="s">
        <v>461</v>
      </c>
    </row>
    <row r="415" spans="1:1">
      <c r="A415" s="1310" t="s">
        <v>462</v>
      </c>
    </row>
    <row r="416" spans="1:1">
      <c r="A416" s="1310" t="s">
        <v>463</v>
      </c>
    </row>
    <row r="417" spans="1:1">
      <c r="A417" s="1310" t="s">
        <v>464</v>
      </c>
    </row>
    <row r="418" spans="1:1">
      <c r="A418" s="1310" t="s">
        <v>465</v>
      </c>
    </row>
    <row r="419" spans="1:1">
      <c r="A419" s="1310" t="s">
        <v>466</v>
      </c>
    </row>
    <row r="420" spans="1:1">
      <c r="A420" s="1310" t="s">
        <v>467</v>
      </c>
    </row>
    <row r="421" spans="1:1">
      <c r="A421" s="1310" t="s">
        <v>468</v>
      </c>
    </row>
    <row r="422" spans="1:1">
      <c r="A422" s="1310"/>
    </row>
    <row r="423" spans="1:1">
      <c r="A423" s="1310"/>
    </row>
    <row r="424" spans="1:1">
      <c r="A424" s="1310"/>
    </row>
    <row r="425" spans="1:1">
      <c r="A425" s="1310"/>
    </row>
    <row r="426" spans="1:1">
      <c r="A426" s="1310" t="s">
        <v>469</v>
      </c>
    </row>
    <row r="427" spans="1:1">
      <c r="A427" s="1310" t="s">
        <v>150</v>
      </c>
    </row>
    <row r="428" spans="1:1">
      <c r="A428" s="1310" t="s">
        <v>470</v>
      </c>
    </row>
    <row r="429" spans="1:1">
      <c r="A429" s="1310" t="s">
        <v>150</v>
      </c>
    </row>
    <row r="430" spans="1:1">
      <c r="A430" s="1310" t="s">
        <v>471</v>
      </c>
    </row>
    <row r="431" spans="1:1">
      <c r="A431" s="1310" t="s">
        <v>472</v>
      </c>
    </row>
    <row r="432" spans="1:1">
      <c r="A432" s="1310"/>
    </row>
    <row r="433" spans="1:1">
      <c r="A433" s="1310" t="s">
        <v>473</v>
      </c>
    </row>
    <row r="434" spans="1:1">
      <c r="A434" s="1310" t="s">
        <v>474</v>
      </c>
    </row>
    <row r="435" spans="1:1">
      <c r="A435" s="1310" t="s">
        <v>475</v>
      </c>
    </row>
    <row r="436" spans="1:1">
      <c r="A436" s="1310" t="s">
        <v>476</v>
      </c>
    </row>
    <row r="437" spans="1:1">
      <c r="A437" s="1310" t="s">
        <v>477</v>
      </c>
    </row>
    <row r="438" spans="1:1">
      <c r="A438" s="1310" t="s">
        <v>150</v>
      </c>
    </row>
    <row r="439" spans="1:1">
      <c r="A439" s="1310" t="s">
        <v>478</v>
      </c>
    </row>
    <row r="440" spans="1:1">
      <c r="A440" s="1310" t="s">
        <v>479</v>
      </c>
    </row>
    <row r="441" spans="1:1">
      <c r="A441" s="1310" t="s">
        <v>480</v>
      </c>
    </row>
    <row r="442" spans="1:1">
      <c r="A442" s="1310" t="s">
        <v>481</v>
      </c>
    </row>
    <row r="443" spans="1:1">
      <c r="A443" s="1310"/>
    </row>
    <row r="444" spans="1:1">
      <c r="A444" s="1310" t="s">
        <v>482</v>
      </c>
    </row>
    <row r="445" spans="1:1">
      <c r="A445" s="1310" t="s">
        <v>483</v>
      </c>
    </row>
    <row r="446" spans="1:1">
      <c r="A446" s="1310" t="s">
        <v>150</v>
      </c>
    </row>
    <row r="447" spans="1:1">
      <c r="A447" s="1310" t="s">
        <v>150</v>
      </c>
    </row>
    <row r="448" spans="1:1">
      <c r="A448" s="1310" t="s">
        <v>484</v>
      </c>
    </row>
    <row r="449" spans="1:1">
      <c r="A449" s="1310" t="s">
        <v>485</v>
      </c>
    </row>
    <row r="450" spans="1:1">
      <c r="A450" s="1310" t="s">
        <v>150</v>
      </c>
    </row>
    <row r="451" spans="1:1">
      <c r="A451" s="1310" t="s">
        <v>486</v>
      </c>
    </row>
    <row r="452" spans="1:1">
      <c r="A452" s="1310"/>
    </row>
    <row r="453" spans="1:1">
      <c r="A453" s="1310" t="s">
        <v>487</v>
      </c>
    </row>
    <row r="454" spans="1:1">
      <c r="A454" s="1310" t="s">
        <v>488</v>
      </c>
    </row>
    <row r="455" spans="1:1">
      <c r="A455" s="1310" t="s">
        <v>489</v>
      </c>
    </row>
    <row r="456" spans="1:1">
      <c r="A456" s="1310" t="s">
        <v>490</v>
      </c>
    </row>
    <row r="457" spans="1:1">
      <c r="A457" s="1310" t="s">
        <v>491</v>
      </c>
    </row>
    <row r="458" spans="1:1">
      <c r="A458" s="1310" t="s">
        <v>492</v>
      </c>
    </row>
    <row r="459" spans="1:1">
      <c r="A459" s="1310"/>
    </row>
    <row r="460" spans="1:1">
      <c r="A460" s="1310" t="s">
        <v>493</v>
      </c>
    </row>
    <row r="461" spans="1:1">
      <c r="A461" s="1310" t="s">
        <v>494</v>
      </c>
    </row>
    <row r="462" spans="1:1">
      <c r="A462" s="1310" t="s">
        <v>495</v>
      </c>
    </row>
    <row r="463" spans="1:1">
      <c r="A463" s="1310" t="s">
        <v>496</v>
      </c>
    </row>
    <row r="464" spans="1:1">
      <c r="A464" s="1310" t="s">
        <v>497</v>
      </c>
    </row>
    <row r="465" spans="1:1">
      <c r="A465" s="1310"/>
    </row>
    <row r="466" spans="1:1">
      <c r="A466" s="1310" t="s">
        <v>498</v>
      </c>
    </row>
    <row r="467" spans="1:1">
      <c r="A467" s="1310" t="s">
        <v>499</v>
      </c>
    </row>
    <row r="468" spans="1:1">
      <c r="A468" s="1310" t="s">
        <v>500</v>
      </c>
    </row>
    <row r="469" spans="1:1">
      <c r="A469" s="1310" t="s">
        <v>501</v>
      </c>
    </row>
    <row r="470" spans="1:1">
      <c r="A470" s="1310" t="s">
        <v>502</v>
      </c>
    </row>
    <row r="471" spans="1:1">
      <c r="A471" s="1310" t="s">
        <v>503</v>
      </c>
    </row>
    <row r="472" spans="1:1">
      <c r="A472" s="1310"/>
    </row>
    <row r="473" spans="1:1">
      <c r="A473" s="1310" t="s">
        <v>504</v>
      </c>
    </row>
    <row r="474" spans="1:1">
      <c r="A474" s="1310" t="s">
        <v>505</v>
      </c>
    </row>
    <row r="475" spans="1:1">
      <c r="A475" s="1310" t="s">
        <v>506</v>
      </c>
    </row>
    <row r="476" spans="1:1">
      <c r="A476" s="1310" t="s">
        <v>507</v>
      </c>
    </row>
    <row r="477" spans="1:1">
      <c r="A477" s="1310" t="s">
        <v>508</v>
      </c>
    </row>
    <row r="478" spans="1:1">
      <c r="A478" s="1310"/>
    </row>
    <row r="479" spans="1:1">
      <c r="A479" s="1310" t="s">
        <v>509</v>
      </c>
    </row>
    <row r="480" spans="1:1">
      <c r="A480" s="1310" t="s">
        <v>510</v>
      </c>
    </row>
    <row r="481" spans="1:1">
      <c r="A481" s="1310" t="s">
        <v>511</v>
      </c>
    </row>
    <row r="482" spans="1:1">
      <c r="A482" s="1310" t="s">
        <v>512</v>
      </c>
    </row>
    <row r="483" spans="1:1">
      <c r="A483" s="1310" t="s">
        <v>513</v>
      </c>
    </row>
    <row r="484" spans="1:1">
      <c r="A484" s="1310"/>
    </row>
    <row r="485" spans="1:1">
      <c r="A485" s="1310" t="s">
        <v>514</v>
      </c>
    </row>
    <row r="486" spans="1:1">
      <c r="A486" s="1310" t="s">
        <v>515</v>
      </c>
    </row>
    <row r="487" spans="1:1">
      <c r="A487" s="1310" t="s">
        <v>516</v>
      </c>
    </row>
    <row r="488" spans="1:1">
      <c r="A488" s="1310" t="s">
        <v>517</v>
      </c>
    </row>
    <row r="489" spans="1:1">
      <c r="A489" s="1310" t="s">
        <v>518</v>
      </c>
    </row>
    <row r="490" spans="1:1">
      <c r="A490" s="1310"/>
    </row>
    <row r="491" spans="1:1">
      <c r="A491" s="1310" t="s">
        <v>150</v>
      </c>
    </row>
    <row r="492" spans="1:1">
      <c r="A492" s="1310" t="s">
        <v>150</v>
      </c>
    </row>
    <row r="493" spans="1:1">
      <c r="A493" s="1310" t="s">
        <v>519</v>
      </c>
    </row>
    <row r="494" spans="1:1">
      <c r="A494" s="1310" t="s">
        <v>520</v>
      </c>
    </row>
    <row r="495" spans="1:1">
      <c r="A495" s="1310" t="s">
        <v>521</v>
      </c>
    </row>
    <row r="496" spans="1:1">
      <c r="A496" s="1310" t="s">
        <v>150</v>
      </c>
    </row>
    <row r="497" spans="1:1">
      <c r="A497" s="1310" t="s">
        <v>522</v>
      </c>
    </row>
    <row r="498" spans="1:1">
      <c r="A498" s="1310" t="s">
        <v>523</v>
      </c>
    </row>
    <row r="499" spans="1:1">
      <c r="A499" s="1310" t="s">
        <v>524</v>
      </c>
    </row>
    <row r="500" spans="1:1">
      <c r="A500" s="1310" t="s">
        <v>525</v>
      </c>
    </row>
    <row r="501" spans="1:1">
      <c r="A501" s="1310"/>
    </row>
    <row r="502" spans="1:1">
      <c r="A502" s="1310" t="s">
        <v>526</v>
      </c>
    </row>
    <row r="503" spans="1:1">
      <c r="A503" s="1310" t="s">
        <v>527</v>
      </c>
    </row>
    <row r="504" spans="1:1">
      <c r="A504" s="1310" t="s">
        <v>528</v>
      </c>
    </row>
    <row r="505" spans="1:1">
      <c r="A505" s="1310" t="s">
        <v>529</v>
      </c>
    </row>
    <row r="506" spans="1:1">
      <c r="A506" s="1310"/>
    </row>
    <row r="507" spans="1:1">
      <c r="A507" s="1310" t="s">
        <v>530</v>
      </c>
    </row>
    <row r="508" spans="1:1">
      <c r="A508" s="1310" t="s">
        <v>531</v>
      </c>
    </row>
    <row r="509" spans="1:1">
      <c r="A509" s="1310" t="s">
        <v>532</v>
      </c>
    </row>
    <row r="510" spans="1:1">
      <c r="A510" s="1310" t="s">
        <v>533</v>
      </c>
    </row>
    <row r="511" spans="1:1">
      <c r="A511" s="1310" t="s">
        <v>534</v>
      </c>
    </row>
    <row r="512" spans="1:1">
      <c r="A512" s="1310" t="s">
        <v>535</v>
      </c>
    </row>
    <row r="513" spans="1:1">
      <c r="A513" s="1310"/>
    </row>
    <row r="514" spans="1:1">
      <c r="A514" s="1310" t="s">
        <v>536</v>
      </c>
    </row>
    <row r="515" spans="1:1">
      <c r="A515" s="1310" t="s">
        <v>537</v>
      </c>
    </row>
    <row r="516" spans="1:1">
      <c r="A516" s="1310" t="s">
        <v>538</v>
      </c>
    </row>
    <row r="517" spans="1:1">
      <c r="A517" s="1310" t="s">
        <v>539</v>
      </c>
    </row>
    <row r="518" spans="1:1">
      <c r="A518" s="1310" t="s">
        <v>540</v>
      </c>
    </row>
    <row r="519" spans="1:1">
      <c r="A519" s="1310"/>
    </row>
    <row r="520" spans="1:1">
      <c r="A520" s="1310" t="s">
        <v>541</v>
      </c>
    </row>
    <row r="521" spans="1:1">
      <c r="A521" s="1310" t="s">
        <v>542</v>
      </c>
    </row>
    <row r="522" spans="1:1">
      <c r="A522" s="1310" t="s">
        <v>543</v>
      </c>
    </row>
    <row r="523" spans="1:1">
      <c r="A523" s="1310" t="s">
        <v>544</v>
      </c>
    </row>
    <row r="524" spans="1:1">
      <c r="A524" s="1310" t="s">
        <v>545</v>
      </c>
    </row>
    <row r="525" spans="1:1">
      <c r="A525" s="1310"/>
    </row>
    <row r="526" spans="1:1">
      <c r="A526" s="1310"/>
    </row>
    <row r="527" spans="1:1">
      <c r="A527" s="1310" t="s">
        <v>546</v>
      </c>
    </row>
    <row r="528" spans="1:1">
      <c r="A528" s="1310" t="s">
        <v>547</v>
      </c>
    </row>
    <row r="529" spans="1:1">
      <c r="A529" s="1310" t="s">
        <v>548</v>
      </c>
    </row>
    <row r="530" spans="1:1">
      <c r="A530" s="1310" t="s">
        <v>549</v>
      </c>
    </row>
    <row r="531" spans="1:1">
      <c r="A531" s="1310" t="s">
        <v>550</v>
      </c>
    </row>
    <row r="532" spans="1:1">
      <c r="A532" s="1310" t="s">
        <v>551</v>
      </c>
    </row>
    <row r="533" spans="1:1">
      <c r="A533" s="1310" t="s">
        <v>552</v>
      </c>
    </row>
    <row r="534" spans="1:1">
      <c r="A534" s="1310" t="s">
        <v>553</v>
      </c>
    </row>
    <row r="535" spans="1:1">
      <c r="A535" s="1310" t="s">
        <v>554</v>
      </c>
    </row>
    <row r="536" spans="1:1">
      <c r="A536" s="1310" t="s">
        <v>555</v>
      </c>
    </row>
    <row r="537" spans="1:1">
      <c r="A537" s="1310" t="s">
        <v>556</v>
      </c>
    </row>
    <row r="538" spans="1:1">
      <c r="A538" s="1310" t="s">
        <v>557</v>
      </c>
    </row>
    <row r="539" spans="1:1">
      <c r="A539" s="1310" t="s">
        <v>558</v>
      </c>
    </row>
    <row r="540" spans="1:1">
      <c r="A540" s="1310" t="s">
        <v>559</v>
      </c>
    </row>
    <row r="541" spans="1:1">
      <c r="A541" s="1310" t="s">
        <v>560</v>
      </c>
    </row>
    <row r="542" spans="1:1">
      <c r="A542" s="1310" t="s">
        <v>561</v>
      </c>
    </row>
    <row r="543" spans="1:1">
      <c r="A543" s="1310" t="s">
        <v>562</v>
      </c>
    </row>
    <row r="544" spans="1:1">
      <c r="A544" s="1310" t="s">
        <v>563</v>
      </c>
    </row>
    <row r="545" spans="1:1">
      <c r="A545" s="1310" t="s">
        <v>564</v>
      </c>
    </row>
    <row r="546" spans="1:1">
      <c r="A546" s="1310" t="s">
        <v>565</v>
      </c>
    </row>
    <row r="547" spans="1:1">
      <c r="A547" s="1310" t="s">
        <v>566</v>
      </c>
    </row>
    <row r="548" spans="1:1">
      <c r="A548" s="1310" t="s">
        <v>567</v>
      </c>
    </row>
    <row r="549" spans="1:1">
      <c r="A549" s="1310" t="s">
        <v>568</v>
      </c>
    </row>
    <row r="550" spans="1:1">
      <c r="A550" s="1310" t="s">
        <v>569</v>
      </c>
    </row>
    <row r="551" spans="1:1">
      <c r="A551" s="1310" t="s">
        <v>570</v>
      </c>
    </row>
    <row r="552" spans="1:1">
      <c r="A552" s="1310" t="s">
        <v>571</v>
      </c>
    </row>
    <row r="553" spans="1:1">
      <c r="A553" s="1310" t="s">
        <v>572</v>
      </c>
    </row>
    <row r="554" spans="1:1">
      <c r="A554" s="1310" t="s">
        <v>573</v>
      </c>
    </row>
    <row r="555" spans="1:1">
      <c r="A555" s="1310" t="s">
        <v>574</v>
      </c>
    </row>
    <row r="556" spans="1:1">
      <c r="A556" s="1310" t="s">
        <v>575</v>
      </c>
    </row>
    <row r="557" spans="1:1">
      <c r="A557" s="1310" t="s">
        <v>576</v>
      </c>
    </row>
    <row r="558" spans="1:1">
      <c r="A558" s="1310" t="s">
        <v>577</v>
      </c>
    </row>
    <row r="559" spans="1:1">
      <c r="A559" s="1310"/>
    </row>
    <row r="560" spans="1:1">
      <c r="A560" s="1310" t="s">
        <v>578</v>
      </c>
    </row>
    <row r="561" spans="1:1">
      <c r="A561" s="1310" t="s">
        <v>579</v>
      </c>
    </row>
    <row r="562" spans="1:1">
      <c r="A562" s="1310" t="s">
        <v>580</v>
      </c>
    </row>
    <row r="563" spans="1:1">
      <c r="A563" s="1310" t="s">
        <v>581</v>
      </c>
    </row>
    <row r="564" spans="1:1">
      <c r="A564" s="1310" t="s">
        <v>582</v>
      </c>
    </row>
    <row r="565" spans="1:1">
      <c r="A565" s="1310" t="s">
        <v>583</v>
      </c>
    </row>
    <row r="566" spans="1:1">
      <c r="A566" s="1310" t="s">
        <v>584</v>
      </c>
    </row>
    <row r="567" spans="1:1">
      <c r="A567" s="1310" t="s">
        <v>585</v>
      </c>
    </row>
    <row r="568" spans="1:1">
      <c r="A568" s="1310" t="s">
        <v>586</v>
      </c>
    </row>
    <row r="569" spans="1:1">
      <c r="A569" s="1310" t="s">
        <v>578</v>
      </c>
    </row>
    <row r="570" spans="1:1">
      <c r="A570" s="1310"/>
    </row>
    <row r="571" spans="1:1">
      <c r="A571" s="1310" t="s">
        <v>150</v>
      </c>
    </row>
    <row r="572" spans="1:1">
      <c r="A572" s="1310" t="s">
        <v>587</v>
      </c>
    </row>
    <row r="573" spans="1:1">
      <c r="A573" s="1310" t="s">
        <v>588</v>
      </c>
    </row>
    <row r="574" spans="1:1">
      <c r="A574" s="1310" t="s">
        <v>589</v>
      </c>
    </row>
    <row r="575" spans="1:1">
      <c r="A575" s="1310" t="s">
        <v>590</v>
      </c>
    </row>
    <row r="576" spans="1:1">
      <c r="A576" s="1310" t="s">
        <v>591</v>
      </c>
    </row>
    <row r="577" spans="1:1">
      <c r="A577" s="1310" t="s">
        <v>592</v>
      </c>
    </row>
    <row r="578" spans="1:1">
      <c r="A578" s="1310" t="s">
        <v>150</v>
      </c>
    </row>
    <row r="579" spans="1:1">
      <c r="A579" s="1310" t="s">
        <v>593</v>
      </c>
    </row>
    <row r="580" spans="1:1">
      <c r="A580" s="1310" t="s">
        <v>594</v>
      </c>
    </row>
    <row r="581" spans="1:1">
      <c r="A581" s="1310" t="s">
        <v>150</v>
      </c>
    </row>
    <row r="582" spans="1:1">
      <c r="A582" s="1310" t="s">
        <v>150</v>
      </c>
    </row>
    <row r="583" spans="1:1">
      <c r="A583" s="1310" t="s">
        <v>595</v>
      </c>
    </row>
    <row r="584" spans="1:1">
      <c r="A584" s="1310" t="s">
        <v>596</v>
      </c>
    </row>
    <row r="585" spans="1:1">
      <c r="A585" s="1310" t="s">
        <v>597</v>
      </c>
    </row>
    <row r="586" spans="1:1">
      <c r="A586" s="1310" t="s">
        <v>598</v>
      </c>
    </row>
    <row r="587" spans="1:1">
      <c r="A587" s="1310" t="s">
        <v>150</v>
      </c>
    </row>
    <row r="588" spans="1:1">
      <c r="A588" s="1310" t="s">
        <v>599</v>
      </c>
    </row>
    <row r="589" spans="1:1">
      <c r="A589" s="1310"/>
    </row>
    <row r="590" spans="1:1">
      <c r="A590" s="1310" t="s">
        <v>600</v>
      </c>
    </row>
    <row r="591" spans="1:1">
      <c r="A591" s="1310" t="s">
        <v>601</v>
      </c>
    </row>
    <row r="592" spans="1:1">
      <c r="A592" s="1310" t="s">
        <v>602</v>
      </c>
    </row>
    <row r="593" spans="1:1">
      <c r="A593" s="1310" t="s">
        <v>603</v>
      </c>
    </row>
    <row r="594" spans="1:1">
      <c r="A594" s="1310" t="s">
        <v>604</v>
      </c>
    </row>
    <row r="595" spans="1:1">
      <c r="A595" s="1310"/>
    </row>
    <row r="596" spans="1:1">
      <c r="A596" s="1310" t="s">
        <v>605</v>
      </c>
    </row>
    <row r="597" spans="1:1">
      <c r="A597" s="1310" t="s">
        <v>606</v>
      </c>
    </row>
    <row r="598" spans="1:1">
      <c r="A598" s="1310" t="s">
        <v>607</v>
      </c>
    </row>
    <row r="599" spans="1:1">
      <c r="A599" s="1310" t="s">
        <v>608</v>
      </c>
    </row>
    <row r="600" spans="1:1">
      <c r="A600" s="1310" t="s">
        <v>150</v>
      </c>
    </row>
    <row r="601" spans="1:1">
      <c r="A601" s="1310" t="s">
        <v>150</v>
      </c>
    </row>
    <row r="602" spans="1:1">
      <c r="A602" s="1310" t="s">
        <v>609</v>
      </c>
    </row>
    <row r="603" spans="1:1">
      <c r="A603" s="1310" t="s">
        <v>610</v>
      </c>
    </row>
    <row r="604" spans="1:1">
      <c r="A604" s="1310" t="s">
        <v>611</v>
      </c>
    </row>
    <row r="605" spans="1:1">
      <c r="A605" s="1310" t="s">
        <v>612</v>
      </c>
    </row>
    <row r="606" spans="1:1">
      <c r="A606" s="1310" t="s">
        <v>150</v>
      </c>
    </row>
    <row r="607" spans="1:1">
      <c r="A607" s="1310" t="s">
        <v>613</v>
      </c>
    </row>
    <row r="608" spans="1:1">
      <c r="A608" s="1310" t="s">
        <v>614</v>
      </c>
    </row>
    <row r="609" spans="1:1">
      <c r="A609" s="1310" t="s">
        <v>150</v>
      </c>
    </row>
    <row r="610" spans="1:1">
      <c r="A610" s="1310" t="s">
        <v>150</v>
      </c>
    </row>
    <row r="611" spans="1:1">
      <c r="A611" s="1310" t="s">
        <v>150</v>
      </c>
    </row>
    <row r="612" spans="1:1">
      <c r="A612" s="1310" t="s">
        <v>615</v>
      </c>
    </row>
    <row r="613" spans="1:1">
      <c r="A613" s="1310" t="s">
        <v>616</v>
      </c>
    </row>
    <row r="614" spans="1:1">
      <c r="A614" s="1310" t="s">
        <v>617</v>
      </c>
    </row>
    <row r="615" spans="1:1">
      <c r="A615" s="1310" t="s">
        <v>618</v>
      </c>
    </row>
    <row r="616" spans="1:1">
      <c r="A616" s="1310" t="s">
        <v>150</v>
      </c>
    </row>
    <row r="617" spans="1:1">
      <c r="A617" s="1310" t="s">
        <v>619</v>
      </c>
    </row>
    <row r="618" spans="1:1">
      <c r="A618" s="1310" t="s">
        <v>150</v>
      </c>
    </row>
    <row r="619" spans="1:1">
      <c r="A619" s="1310" t="s">
        <v>150</v>
      </c>
    </row>
    <row r="620" spans="1:1">
      <c r="A620" s="1310" t="s">
        <v>620</v>
      </c>
    </row>
    <row r="621" spans="1:1">
      <c r="A621" s="1310" t="s">
        <v>621</v>
      </c>
    </row>
    <row r="622" spans="1:1">
      <c r="A622" s="1310" t="s">
        <v>622</v>
      </c>
    </row>
    <row r="623" spans="1:1">
      <c r="A623" s="1310" t="s">
        <v>623</v>
      </c>
    </row>
    <row r="624" spans="1:1">
      <c r="A624" s="1310" t="s">
        <v>624</v>
      </c>
    </row>
    <row r="625" spans="1:1">
      <c r="A625" s="1310" t="s">
        <v>625</v>
      </c>
    </row>
    <row r="626" spans="1:1">
      <c r="A626" s="1310" t="s">
        <v>150</v>
      </c>
    </row>
    <row r="627" spans="1:1">
      <c r="A627" s="1310" t="s">
        <v>626</v>
      </c>
    </row>
    <row r="628" spans="1:1">
      <c r="A628" s="1310" t="s">
        <v>627</v>
      </c>
    </row>
    <row r="629" spans="1:1">
      <c r="A629" s="1310" t="s">
        <v>150</v>
      </c>
    </row>
    <row r="630" spans="1:1">
      <c r="A630" s="1310" t="s">
        <v>150</v>
      </c>
    </row>
    <row r="631" spans="1:1">
      <c r="A631" s="1310" t="s">
        <v>628</v>
      </c>
    </row>
    <row r="632" spans="1:1">
      <c r="A632" s="1310" t="s">
        <v>629</v>
      </c>
    </row>
    <row r="633" spans="1:1">
      <c r="A633" s="1310" t="s">
        <v>150</v>
      </c>
    </row>
    <row r="634" spans="1:1">
      <c r="A634" s="1310" t="s">
        <v>630</v>
      </c>
    </row>
    <row r="635" spans="1:1">
      <c r="A635" s="1310"/>
    </row>
    <row r="636" spans="1:1">
      <c r="A636" s="1310" t="s">
        <v>631</v>
      </c>
    </row>
    <row r="637" spans="1:1">
      <c r="A637" s="1310" t="s">
        <v>632</v>
      </c>
    </row>
    <row r="638" spans="1:1">
      <c r="A638" s="1310" t="s">
        <v>633</v>
      </c>
    </row>
    <row r="639" spans="1:1">
      <c r="A639" s="1310" t="s">
        <v>634</v>
      </c>
    </row>
    <row r="640" spans="1:1">
      <c r="A640" s="1310" t="s">
        <v>635</v>
      </c>
    </row>
    <row r="641" spans="1:1">
      <c r="A641" s="1310" t="s">
        <v>636</v>
      </c>
    </row>
    <row r="642" spans="1:1">
      <c r="A642" s="1310"/>
    </row>
    <row r="643" spans="1:1">
      <c r="A643" s="1310"/>
    </row>
    <row r="644" spans="1:1">
      <c r="A644" s="1310" t="s">
        <v>637</v>
      </c>
    </row>
    <row r="645" spans="1:1">
      <c r="A645" s="1310" t="s">
        <v>638</v>
      </c>
    </row>
    <row r="646" spans="1:1">
      <c r="A646" s="1310" t="s">
        <v>639</v>
      </c>
    </row>
    <row r="647" spans="1:1">
      <c r="A647" s="1310" t="s">
        <v>640</v>
      </c>
    </row>
    <row r="648" spans="1:1">
      <c r="A648" s="1310"/>
    </row>
    <row r="649" spans="1:1">
      <c r="A649" s="1310" t="s">
        <v>641</v>
      </c>
    </row>
    <row r="650" spans="1:1">
      <c r="A650" s="1310" t="s">
        <v>642</v>
      </c>
    </row>
    <row r="651" spans="1:1">
      <c r="A651" s="1310" t="s">
        <v>643</v>
      </c>
    </row>
    <row r="652" spans="1:1">
      <c r="A652" s="1310"/>
    </row>
    <row r="653" spans="1:1">
      <c r="A653" s="1310" t="s">
        <v>644</v>
      </c>
    </row>
    <row r="654" spans="1:1">
      <c r="A654" s="1310" t="s">
        <v>645</v>
      </c>
    </row>
    <row r="655" spans="1:1">
      <c r="A655" s="1310"/>
    </row>
    <row r="656" spans="1:1">
      <c r="A656" s="1310" t="s">
        <v>646</v>
      </c>
    </row>
    <row r="657" spans="1:1">
      <c r="A657" s="1310" t="s">
        <v>647</v>
      </c>
    </row>
    <row r="658" spans="1:1">
      <c r="A658" s="1310" t="s">
        <v>648</v>
      </c>
    </row>
    <row r="659" spans="1:1">
      <c r="A659" s="1310"/>
    </row>
    <row r="660" spans="1:1">
      <c r="A660" s="1310" t="s">
        <v>649</v>
      </c>
    </row>
    <row r="661" spans="1:1">
      <c r="A661" s="1310" t="s">
        <v>650</v>
      </c>
    </row>
    <row r="662" spans="1:1">
      <c r="A662" s="1310" t="s">
        <v>651</v>
      </c>
    </row>
    <row r="663" spans="1:1">
      <c r="A663" s="1310"/>
    </row>
    <row r="664" spans="1:1">
      <c r="A664" s="1310" t="s">
        <v>652</v>
      </c>
    </row>
    <row r="665" spans="1:1">
      <c r="A665" s="1310" t="s">
        <v>653</v>
      </c>
    </row>
    <row r="666" spans="1:1">
      <c r="A666" s="1310" t="s">
        <v>654</v>
      </c>
    </row>
    <row r="667" spans="1:1">
      <c r="A667" s="1310"/>
    </row>
    <row r="668" spans="1:1">
      <c r="A668" s="1310" t="s">
        <v>655</v>
      </c>
    </row>
    <row r="669" spans="1:1">
      <c r="A669" s="1310" t="s">
        <v>656</v>
      </c>
    </row>
    <row r="670" spans="1:1">
      <c r="A670" s="1310" t="s">
        <v>657</v>
      </c>
    </row>
    <row r="671" spans="1:1">
      <c r="A671" s="1310"/>
    </row>
    <row r="672" spans="1:1">
      <c r="A672" s="1310" t="s">
        <v>658</v>
      </c>
    </row>
    <row r="673" spans="1:1">
      <c r="A673" s="1310" t="s">
        <v>659</v>
      </c>
    </row>
    <row r="674" spans="1:1">
      <c r="A674" s="1310" t="s">
        <v>660</v>
      </c>
    </row>
    <row r="675" spans="1:1">
      <c r="A675" s="1310"/>
    </row>
    <row r="676" spans="1:1">
      <c r="A676" s="1310" t="s">
        <v>661</v>
      </c>
    </row>
    <row r="677" spans="1:1">
      <c r="A677" s="1310" t="s">
        <v>662</v>
      </c>
    </row>
    <row r="678" spans="1:1">
      <c r="A678" s="1310" t="s">
        <v>663</v>
      </c>
    </row>
    <row r="679" spans="1:1">
      <c r="A679" s="1310"/>
    </row>
    <row r="680" spans="1:1">
      <c r="A680" s="1310" t="s">
        <v>664</v>
      </c>
    </row>
    <row r="681" spans="1:1">
      <c r="A681" s="1310" t="s">
        <v>150</v>
      </c>
    </row>
    <row r="682" spans="1:1">
      <c r="A682" s="1310" t="s">
        <v>665</v>
      </c>
    </row>
    <row r="683" spans="1:1">
      <c r="A683" s="1310" t="s">
        <v>150</v>
      </c>
    </row>
    <row r="684" spans="1:1">
      <c r="A684" s="1310" t="s">
        <v>666</v>
      </c>
    </row>
    <row r="685" spans="1:1">
      <c r="A685" s="1310" t="s">
        <v>667</v>
      </c>
    </row>
    <row r="686" spans="1:1">
      <c r="A686" s="1310" t="s">
        <v>668</v>
      </c>
    </row>
    <row r="687" spans="1:1">
      <c r="A687" s="1310" t="s">
        <v>150</v>
      </c>
    </row>
    <row r="688" spans="1:1">
      <c r="A688" s="1310" t="s">
        <v>669</v>
      </c>
    </row>
    <row r="689" spans="1:1">
      <c r="A689" s="1310" t="s">
        <v>670</v>
      </c>
    </row>
    <row r="690" spans="1:1">
      <c r="A690" s="1310" t="s">
        <v>671</v>
      </c>
    </row>
    <row r="691" spans="1:1">
      <c r="A691" s="1310" t="s">
        <v>150</v>
      </c>
    </row>
    <row r="692" spans="1:1">
      <c r="A692" s="1310" t="s">
        <v>672</v>
      </c>
    </row>
    <row r="693" spans="1:1">
      <c r="A693" s="1310" t="s">
        <v>673</v>
      </c>
    </row>
    <row r="694" spans="1:1">
      <c r="A694" s="1310" t="s">
        <v>150</v>
      </c>
    </row>
    <row r="695" spans="1:1">
      <c r="A695" s="1310" t="s">
        <v>674</v>
      </c>
    </row>
    <row r="696" spans="1:1">
      <c r="A696" s="1310" t="s">
        <v>675</v>
      </c>
    </row>
    <row r="697" spans="1:1">
      <c r="A697" s="1310" t="s">
        <v>676</v>
      </c>
    </row>
    <row r="698" spans="1:1">
      <c r="A698" s="1310" t="s">
        <v>677</v>
      </c>
    </row>
    <row r="699" spans="1:1">
      <c r="A699" s="1310" t="s">
        <v>150</v>
      </c>
    </row>
    <row r="700" spans="1:1">
      <c r="A700" s="1310" t="s">
        <v>678</v>
      </c>
    </row>
    <row r="701" spans="1:1">
      <c r="A701" s="1310" t="s">
        <v>679</v>
      </c>
    </row>
    <row r="702" spans="1:1">
      <c r="A702" s="1310" t="s">
        <v>680</v>
      </c>
    </row>
    <row r="703" spans="1:1">
      <c r="A703" s="1310" t="s">
        <v>681</v>
      </c>
    </row>
    <row r="704" spans="1:1">
      <c r="A704" s="1310" t="s">
        <v>682</v>
      </c>
    </row>
    <row r="705" spans="1:1">
      <c r="A705" s="1310"/>
    </row>
    <row r="706" spans="1:1">
      <c r="A706" s="1310" t="s">
        <v>683</v>
      </c>
    </row>
    <row r="707" spans="1:1">
      <c r="A707" s="1310" t="s">
        <v>684</v>
      </c>
    </row>
    <row r="708" spans="1:1">
      <c r="A708" s="1310" t="s">
        <v>685</v>
      </c>
    </row>
    <row r="709" spans="1:1">
      <c r="A709" s="1310" t="s">
        <v>686</v>
      </c>
    </row>
    <row r="710" spans="1:1">
      <c r="A710" s="1310" t="s">
        <v>687</v>
      </c>
    </row>
    <row r="711" spans="1:1">
      <c r="A711" s="1310" t="s">
        <v>688</v>
      </c>
    </row>
    <row r="712" spans="1:1">
      <c r="A712" s="1310" t="s">
        <v>689</v>
      </c>
    </row>
    <row r="713" spans="1:1">
      <c r="A713" s="1310" t="s">
        <v>690</v>
      </c>
    </row>
    <row r="714" spans="1:1">
      <c r="A714" s="1310" t="s">
        <v>691</v>
      </c>
    </row>
    <row r="715" spans="1:1">
      <c r="A715" s="1310" t="s">
        <v>692</v>
      </c>
    </row>
    <row r="716" spans="1:1">
      <c r="A716" s="1310" t="s">
        <v>693</v>
      </c>
    </row>
    <row r="717" spans="1:1">
      <c r="A717" s="1310" t="s">
        <v>694</v>
      </c>
    </row>
    <row r="718" spans="1:1">
      <c r="A718" s="1310" t="s">
        <v>695</v>
      </c>
    </row>
    <row r="719" spans="1:1">
      <c r="A719" s="1310" t="s">
        <v>696</v>
      </c>
    </row>
    <row r="720" spans="1:1" s="1170" customFormat="1">
      <c r="A720" s="1310"/>
    </row>
    <row r="721" spans="1:1" s="1170" customFormat="1">
      <c r="A721" s="1310" t="s">
        <v>1870</v>
      </c>
    </row>
    <row r="722" spans="1:1" s="1170" customFormat="1">
      <c r="A722" s="1310" t="s">
        <v>1871</v>
      </c>
    </row>
    <row r="723" spans="1:1" s="1170" customFormat="1">
      <c r="A723" s="1310" t="s">
        <v>1872</v>
      </c>
    </row>
    <row r="724" spans="1:1" s="1170" customFormat="1">
      <c r="A724" s="1310" t="s">
        <v>1873</v>
      </c>
    </row>
    <row r="725" spans="1:1">
      <c r="A725" s="1310"/>
    </row>
    <row r="726" spans="1:1">
      <c r="A726" s="1310" t="s">
        <v>697</v>
      </c>
    </row>
    <row r="727" spans="1:1">
      <c r="A727" s="1310" t="s">
        <v>698</v>
      </c>
    </row>
    <row r="728" spans="1:1">
      <c r="A728" s="1310" t="s">
        <v>699</v>
      </c>
    </row>
    <row r="729" spans="1:1" s="1170" customFormat="1">
      <c r="A729" s="1310" t="s">
        <v>1874</v>
      </c>
    </row>
    <row r="730" spans="1:1">
      <c r="A730" s="1310"/>
    </row>
    <row r="731" spans="1:1">
      <c r="A731" s="1310" t="s">
        <v>700</v>
      </c>
    </row>
    <row r="732" spans="1:1">
      <c r="A732" s="1310" t="s">
        <v>701</v>
      </c>
    </row>
    <row r="733" spans="1:1">
      <c r="A733" s="1310" t="s">
        <v>702</v>
      </c>
    </row>
    <row r="734" spans="1:1">
      <c r="A734" s="1310"/>
    </row>
    <row r="735" spans="1:1">
      <c r="A735" s="1310" t="s">
        <v>703</v>
      </c>
    </row>
    <row r="736" spans="1:1">
      <c r="A736" s="1310" t="s">
        <v>704</v>
      </c>
    </row>
    <row r="737" spans="1:1">
      <c r="A737" s="1310"/>
    </row>
    <row r="738" spans="1:1">
      <c r="A738" s="1310" t="s">
        <v>705</v>
      </c>
    </row>
    <row r="739" spans="1:1">
      <c r="A739" s="1310" t="s">
        <v>706</v>
      </c>
    </row>
    <row r="740" spans="1:1">
      <c r="A740" s="1310" t="s">
        <v>707</v>
      </c>
    </row>
    <row r="741" spans="1:1">
      <c r="A741" s="1310"/>
    </row>
    <row r="742" spans="1:1">
      <c r="A742" s="1310"/>
    </row>
    <row r="743" spans="1:1">
      <c r="A743" s="1310" t="s">
        <v>708</v>
      </c>
    </row>
    <row r="744" spans="1:1">
      <c r="A744" s="1310" t="s">
        <v>709</v>
      </c>
    </row>
    <row r="745" spans="1:1">
      <c r="A745" s="1310" t="s">
        <v>710</v>
      </c>
    </row>
    <row r="746" spans="1:1">
      <c r="A746" s="1310"/>
    </row>
    <row r="747" spans="1:1">
      <c r="A747" s="1310" t="s">
        <v>711</v>
      </c>
    </row>
    <row r="748" spans="1:1">
      <c r="A748" s="1310"/>
    </row>
    <row r="749" spans="1:1">
      <c r="A749" s="1310"/>
    </row>
    <row r="750" spans="1:1">
      <c r="A750" s="1310" t="s">
        <v>712</v>
      </c>
    </row>
    <row r="751" spans="1:1">
      <c r="A751" s="1310" t="s">
        <v>713</v>
      </c>
    </row>
    <row r="752" spans="1:1">
      <c r="A752" s="1310" t="s">
        <v>714</v>
      </c>
    </row>
    <row r="753" spans="1:1">
      <c r="A753" s="1310"/>
    </row>
    <row r="754" spans="1:1">
      <c r="A754" s="1310" t="s">
        <v>715</v>
      </c>
    </row>
    <row r="755" spans="1:1">
      <c r="A755" s="1310" t="s">
        <v>716</v>
      </c>
    </row>
    <row r="756" spans="1:1">
      <c r="A756" s="1310"/>
    </row>
    <row r="757" spans="1:1">
      <c r="A757" s="1310" t="s">
        <v>717</v>
      </c>
    </row>
    <row r="758" spans="1:1">
      <c r="A758" s="1310" t="s">
        <v>718</v>
      </c>
    </row>
    <row r="759" spans="1:1">
      <c r="A759" s="1310"/>
    </row>
    <row r="760" spans="1:1">
      <c r="A760" s="1310"/>
    </row>
    <row r="761" spans="1:1">
      <c r="A761" s="1310" t="s">
        <v>719</v>
      </c>
    </row>
    <row r="762" spans="1:1">
      <c r="A762" s="1310" t="s">
        <v>720</v>
      </c>
    </row>
    <row r="763" spans="1:1">
      <c r="A763" s="1310"/>
    </row>
    <row r="764" spans="1:1">
      <c r="A764" s="1310" t="s">
        <v>721</v>
      </c>
    </row>
    <row r="765" spans="1:1">
      <c r="A765" s="1310" t="s">
        <v>722</v>
      </c>
    </row>
    <row r="766" spans="1:1">
      <c r="A766" s="1310" t="s">
        <v>723</v>
      </c>
    </row>
    <row r="767" spans="1:1">
      <c r="A767" s="1310"/>
    </row>
    <row r="768" spans="1:1">
      <c r="A768" s="1310" t="s">
        <v>724</v>
      </c>
    </row>
    <row r="769" spans="1:1">
      <c r="A769" s="1310" t="s">
        <v>1830</v>
      </c>
    </row>
    <row r="770" spans="1:1">
      <c r="A770" s="1310"/>
    </row>
    <row r="771" spans="1:1">
      <c r="A771" s="1310" t="s">
        <v>726</v>
      </c>
    </row>
    <row r="772" spans="1:1">
      <c r="A772" s="1310" t="s">
        <v>727</v>
      </c>
    </row>
    <row r="773" spans="1:1">
      <c r="A773" s="1310"/>
    </row>
    <row r="774" spans="1:1">
      <c r="A774" s="1310" t="s">
        <v>728</v>
      </c>
    </row>
    <row r="775" spans="1:1">
      <c r="A775" s="1310" t="s">
        <v>729</v>
      </c>
    </row>
    <row r="776" spans="1:1">
      <c r="A776" s="1310"/>
    </row>
    <row r="777" spans="1:1">
      <c r="A777" s="1310" t="s">
        <v>730</v>
      </c>
    </row>
    <row r="778" spans="1:1">
      <c r="A778" s="1310" t="s">
        <v>731</v>
      </c>
    </row>
    <row r="779" spans="1:1">
      <c r="A779" s="1310" t="s">
        <v>732</v>
      </c>
    </row>
    <row r="780" spans="1:1">
      <c r="A780" s="1310"/>
    </row>
    <row r="781" spans="1:1">
      <c r="A781" s="1310" t="s">
        <v>733</v>
      </c>
    </row>
    <row r="782" spans="1:1">
      <c r="A782" s="1310" t="s">
        <v>734</v>
      </c>
    </row>
    <row r="783" spans="1:1">
      <c r="A783" s="1310"/>
    </row>
    <row r="784" spans="1:1">
      <c r="A784" s="1310" t="s">
        <v>735</v>
      </c>
    </row>
    <row r="785" spans="1:1">
      <c r="A785" s="1310" t="s">
        <v>736</v>
      </c>
    </row>
    <row r="786" spans="1:1">
      <c r="A786" s="1310"/>
    </row>
    <row r="787" spans="1:1">
      <c r="A787" s="1310" t="s">
        <v>737</v>
      </c>
    </row>
    <row r="788" spans="1:1">
      <c r="A788" s="1310" t="s">
        <v>738</v>
      </c>
    </row>
    <row r="789" spans="1:1">
      <c r="A789" s="1310"/>
    </row>
    <row r="790" spans="1:1">
      <c r="A790" s="1310"/>
    </row>
    <row r="791" spans="1:1">
      <c r="A791" s="1310"/>
    </row>
    <row r="792" spans="1:1">
      <c r="A792" s="1310" t="s">
        <v>739</v>
      </c>
    </row>
    <row r="793" spans="1:1">
      <c r="A793" s="1310" t="s">
        <v>740</v>
      </c>
    </row>
    <row r="794" spans="1:1">
      <c r="A794" s="1310" t="s">
        <v>741</v>
      </c>
    </row>
    <row r="795" spans="1:1">
      <c r="A795" s="1310"/>
    </row>
    <row r="796" spans="1:1">
      <c r="A796" s="1310" t="s">
        <v>742</v>
      </c>
    </row>
    <row r="797" spans="1:1">
      <c r="A797" s="1310" t="s">
        <v>743</v>
      </c>
    </row>
    <row r="798" spans="1:1">
      <c r="A798" s="1310"/>
    </row>
    <row r="799" spans="1:1">
      <c r="A799" s="1310"/>
    </row>
    <row r="800" spans="1:1">
      <c r="A800" s="1310"/>
    </row>
    <row r="801" spans="1:1">
      <c r="A801" s="1310" t="s">
        <v>744</v>
      </c>
    </row>
    <row r="802" spans="1:1">
      <c r="A802" s="1310" t="s">
        <v>745</v>
      </c>
    </row>
    <row r="803" spans="1:1">
      <c r="A803" s="1310" t="s">
        <v>746</v>
      </c>
    </row>
    <row r="804" spans="1:1">
      <c r="A804" s="1310" t="s">
        <v>747</v>
      </c>
    </row>
    <row r="805" spans="1:1">
      <c r="A805" s="1310" t="s">
        <v>748</v>
      </c>
    </row>
    <row r="806" spans="1:1">
      <c r="A806" s="1310" t="s">
        <v>749</v>
      </c>
    </row>
    <row r="807" spans="1:1">
      <c r="A807" s="1310" t="s">
        <v>750</v>
      </c>
    </row>
    <row r="808" spans="1:1">
      <c r="A808" s="1310" t="s">
        <v>751</v>
      </c>
    </row>
    <row r="809" spans="1:1">
      <c r="A809" s="1310" t="s">
        <v>752</v>
      </c>
    </row>
    <row r="810" spans="1:1">
      <c r="A810" s="1310" t="s">
        <v>1570</v>
      </c>
    </row>
    <row r="811" spans="1:1">
      <c r="A811" s="1310" t="s">
        <v>753</v>
      </c>
    </row>
    <row r="812" spans="1:1">
      <c r="A812" s="1310" t="s">
        <v>1261</v>
      </c>
    </row>
    <row r="813" spans="1:1">
      <c r="A813" s="1310" t="s">
        <v>1262</v>
      </c>
    </row>
    <row r="814" spans="1:1">
      <c r="A814" s="1310" t="s">
        <v>1263</v>
      </c>
    </row>
    <row r="815" spans="1:1">
      <c r="A815" s="1310" t="s">
        <v>1264</v>
      </c>
    </row>
    <row r="816" spans="1:1">
      <c r="A816" s="1310" t="s">
        <v>1571</v>
      </c>
    </row>
    <row r="817" spans="1:1">
      <c r="A817" s="1310" t="s">
        <v>1572</v>
      </c>
    </row>
    <row r="818" spans="1:1">
      <c r="A818" s="1310" t="s">
        <v>1265</v>
      </c>
    </row>
    <row r="819" spans="1:1">
      <c r="A819" s="1310" t="s">
        <v>1266</v>
      </c>
    </row>
    <row r="820" spans="1:1">
      <c r="A820" s="1310" t="s">
        <v>1267</v>
      </c>
    </row>
    <row r="821" spans="1:1">
      <c r="A821" s="1310" t="s">
        <v>1573</v>
      </c>
    </row>
    <row r="822" spans="1:1">
      <c r="A822" s="1310" t="s">
        <v>1268</v>
      </c>
    </row>
    <row r="823" spans="1:1">
      <c r="A823" s="1310" t="s">
        <v>1269</v>
      </c>
    </row>
    <row r="824" spans="1:1">
      <c r="A824" s="1310" t="s">
        <v>1270</v>
      </c>
    </row>
    <row r="825" spans="1:1">
      <c r="A825" s="1310" t="s">
        <v>1245</v>
      </c>
    </row>
    <row r="826" spans="1:1">
      <c r="A826" s="1310"/>
    </row>
    <row r="827" spans="1:1">
      <c r="A827" s="1310" t="s">
        <v>1246</v>
      </c>
    </row>
    <row r="828" spans="1:1">
      <c r="A828" s="1310" t="s">
        <v>1574</v>
      </c>
    </row>
    <row r="829" spans="1:1">
      <c r="A829" s="1310"/>
    </row>
    <row r="830" spans="1:1">
      <c r="A830" s="1310" t="s">
        <v>1247</v>
      </c>
    </row>
    <row r="831" spans="1:1">
      <c r="A831" s="1310" t="s">
        <v>1575</v>
      </c>
    </row>
    <row r="832" spans="1:1">
      <c r="A832" s="1310"/>
    </row>
    <row r="833" spans="1:1">
      <c r="A833" s="1310"/>
    </row>
    <row r="834" spans="1:1">
      <c r="A834" s="1310" t="s">
        <v>768</v>
      </c>
    </row>
    <row r="835" spans="1:1">
      <c r="A835" s="1310" t="s">
        <v>769</v>
      </c>
    </row>
    <row r="836" spans="1:1">
      <c r="A836" s="1310" t="s">
        <v>770</v>
      </c>
    </row>
    <row r="837" spans="1:1">
      <c r="A837" s="1310" t="s">
        <v>771</v>
      </c>
    </row>
    <row r="838" spans="1:1">
      <c r="A838" s="1310" t="s">
        <v>772</v>
      </c>
    </row>
    <row r="839" spans="1:1">
      <c r="A839" s="1310" t="s">
        <v>773</v>
      </c>
    </row>
    <row r="840" spans="1:1">
      <c r="A840" s="1310" t="s">
        <v>774</v>
      </c>
    </row>
    <row r="841" spans="1:1">
      <c r="A841" s="1310" t="s">
        <v>775</v>
      </c>
    </row>
    <row r="842" spans="1:1">
      <c r="A842" s="1310" t="s">
        <v>776</v>
      </c>
    </row>
    <row r="843" spans="1:1">
      <c r="A843" s="1310" t="s">
        <v>777</v>
      </c>
    </row>
    <row r="844" spans="1:1">
      <c r="A844" s="1310" t="s">
        <v>778</v>
      </c>
    </row>
    <row r="845" spans="1:1">
      <c r="A845" s="1310" t="s">
        <v>779</v>
      </c>
    </row>
    <row r="846" spans="1:1">
      <c r="A846" s="1310" t="s">
        <v>780</v>
      </c>
    </row>
    <row r="847" spans="1:1">
      <c r="A847" s="1310" t="s">
        <v>781</v>
      </c>
    </row>
    <row r="848" spans="1:1">
      <c r="A848" s="1310" t="s">
        <v>782</v>
      </c>
    </row>
    <row r="849" spans="1:1">
      <c r="A849" s="1310" t="s">
        <v>783</v>
      </c>
    </row>
    <row r="850" spans="1:1">
      <c r="A850" s="1310" t="s">
        <v>1576</v>
      </c>
    </row>
    <row r="851" spans="1:1">
      <c r="A851" s="1310" t="s">
        <v>1577</v>
      </c>
    </row>
    <row r="852" spans="1:1">
      <c r="A852" s="1310" t="s">
        <v>1578</v>
      </c>
    </row>
    <row r="853" spans="1:1">
      <c r="A853" s="1310" t="s">
        <v>1579</v>
      </c>
    </row>
    <row r="854" spans="1:1">
      <c r="A854" s="1310" t="s">
        <v>1580</v>
      </c>
    </row>
    <row r="855" spans="1:1">
      <c r="A855" s="1310"/>
    </row>
    <row r="856" spans="1:1">
      <c r="A856" s="1310" t="s">
        <v>789</v>
      </c>
    </row>
    <row r="857" spans="1:1">
      <c r="A857" s="1310" t="s">
        <v>790</v>
      </c>
    </row>
    <row r="858" spans="1:1">
      <c r="A858" s="1310" t="s">
        <v>791</v>
      </c>
    </row>
    <row r="859" spans="1:1">
      <c r="A859" s="1310"/>
    </row>
    <row r="860" spans="1:1">
      <c r="A860" s="1310" t="s">
        <v>792</v>
      </c>
    </row>
    <row r="861" spans="1:1">
      <c r="A861" s="1310" t="s">
        <v>793</v>
      </c>
    </row>
    <row r="862" spans="1:1">
      <c r="A862" s="1310" t="s">
        <v>794</v>
      </c>
    </row>
    <row r="863" spans="1:1">
      <c r="A863" s="1310"/>
    </row>
    <row r="864" spans="1:1">
      <c r="A864" s="1310" t="s">
        <v>795</v>
      </c>
    </row>
    <row r="865" spans="1:1">
      <c r="A865" s="1310" t="s">
        <v>796</v>
      </c>
    </row>
    <row r="866" spans="1:1">
      <c r="A866" s="1310" t="s">
        <v>797</v>
      </c>
    </row>
    <row r="867" spans="1:1">
      <c r="A867" s="1310" t="s">
        <v>798</v>
      </c>
    </row>
    <row r="868" spans="1:1">
      <c r="A868" s="1310"/>
    </row>
    <row r="869" spans="1:1">
      <c r="A869" s="1310" t="s">
        <v>799</v>
      </c>
    </row>
    <row r="870" spans="1:1">
      <c r="A870" s="1310" t="s">
        <v>800</v>
      </c>
    </row>
    <row r="871" spans="1:1">
      <c r="A871" s="1310" t="s">
        <v>801</v>
      </c>
    </row>
    <row r="872" spans="1:1">
      <c r="A872" s="1310" t="s">
        <v>802</v>
      </c>
    </row>
    <row r="873" spans="1:1">
      <c r="A873" s="1310" t="s">
        <v>803</v>
      </c>
    </row>
    <row r="874" spans="1:1">
      <c r="A874" s="1310" t="s">
        <v>804</v>
      </c>
    </row>
    <row r="875" spans="1:1">
      <c r="A875" s="1310"/>
    </row>
    <row r="876" spans="1:1">
      <c r="A876" s="1310"/>
    </row>
    <row r="877" spans="1:1">
      <c r="A877" s="1310" t="s">
        <v>805</v>
      </c>
    </row>
    <row r="878" spans="1:1">
      <c r="A878" s="1310" t="s">
        <v>806</v>
      </c>
    </row>
    <row r="879" spans="1:1">
      <c r="A879" s="1310" t="s">
        <v>1581</v>
      </c>
    </row>
    <row r="880" spans="1:1">
      <c r="A880" s="1310" t="s">
        <v>807</v>
      </c>
    </row>
    <row r="881" spans="1:1">
      <c r="A881" s="1310" t="s">
        <v>808</v>
      </c>
    </row>
    <row r="882" spans="1:1">
      <c r="A882" s="1310" t="s">
        <v>809</v>
      </c>
    </row>
    <row r="883" spans="1:1">
      <c r="A883" s="1310" t="s">
        <v>810</v>
      </c>
    </row>
    <row r="884" spans="1:1">
      <c r="A884" s="1310" t="s">
        <v>811</v>
      </c>
    </row>
    <row r="885" spans="1:1">
      <c r="A885" s="1310" t="s">
        <v>812</v>
      </c>
    </row>
    <row r="886" spans="1:1">
      <c r="A886" s="1310" t="s">
        <v>813</v>
      </c>
    </row>
    <row r="887" spans="1:1">
      <c r="A887" s="1310" t="s">
        <v>814</v>
      </c>
    </row>
    <row r="888" spans="1:1">
      <c r="A888" s="1310" t="s">
        <v>815</v>
      </c>
    </row>
    <row r="889" spans="1:1">
      <c r="A889" s="1310"/>
    </row>
    <row r="890" spans="1:1">
      <c r="A890" s="1310" t="s">
        <v>816</v>
      </c>
    </row>
    <row r="891" spans="1:1">
      <c r="A891" s="1310" t="s">
        <v>817</v>
      </c>
    </row>
    <row r="892" spans="1:1">
      <c r="A892" s="1310"/>
    </row>
    <row r="893" spans="1:1">
      <c r="A893" s="1310" t="s">
        <v>818</v>
      </c>
    </row>
    <row r="894" spans="1:1">
      <c r="A894" s="1310" t="s">
        <v>819</v>
      </c>
    </row>
    <row r="895" spans="1:1">
      <c r="A895" s="1310" t="s">
        <v>820</v>
      </c>
    </row>
    <row r="896" spans="1:1">
      <c r="A896" s="1310"/>
    </row>
    <row r="897" spans="1:1">
      <c r="A897" s="1310" t="s">
        <v>821</v>
      </c>
    </row>
    <row r="898" spans="1:1">
      <c r="A898" s="1310"/>
    </row>
    <row r="899" spans="1:1">
      <c r="A899" s="1310" t="s">
        <v>822</v>
      </c>
    </row>
    <row r="900" spans="1:1">
      <c r="A900" s="1310" t="s">
        <v>823</v>
      </c>
    </row>
    <row r="901" spans="1:1">
      <c r="A901" s="1310" t="s">
        <v>824</v>
      </c>
    </row>
    <row r="902" spans="1:1">
      <c r="A902" s="1310" t="s">
        <v>825</v>
      </c>
    </row>
    <row r="903" spans="1:1">
      <c r="A903" s="1310" t="s">
        <v>826</v>
      </c>
    </row>
    <row r="904" spans="1:1">
      <c r="A904" s="1310"/>
    </row>
    <row r="905" spans="1:1">
      <c r="A905" s="1310" t="s">
        <v>827</v>
      </c>
    </row>
    <row r="906" spans="1:1">
      <c r="A906" s="1310" t="s">
        <v>828</v>
      </c>
    </row>
    <row r="907" spans="1:1">
      <c r="A907" s="1310" t="s">
        <v>829</v>
      </c>
    </row>
    <row r="908" spans="1:1">
      <c r="A908" s="1310" t="s">
        <v>830</v>
      </c>
    </row>
    <row r="909" spans="1:1">
      <c r="A909" s="1310"/>
    </row>
    <row r="910" spans="1:1">
      <c r="A910" s="1310"/>
    </row>
    <row r="911" spans="1:1">
      <c r="A911" s="1310" t="s">
        <v>831</v>
      </c>
    </row>
    <row r="912" spans="1:1">
      <c r="A912" s="1310" t="s">
        <v>832</v>
      </c>
    </row>
    <row r="913" spans="1:1">
      <c r="A913" s="1310" t="s">
        <v>833</v>
      </c>
    </row>
    <row r="914" spans="1:1">
      <c r="A914" s="1310" t="s">
        <v>834</v>
      </c>
    </row>
    <row r="915" spans="1:1">
      <c r="A915" s="1310" t="s">
        <v>835</v>
      </c>
    </row>
    <row r="916" spans="1:1">
      <c r="A916" s="1310" t="s">
        <v>836</v>
      </c>
    </row>
    <row r="917" spans="1:1">
      <c r="A917" s="1310"/>
    </row>
    <row r="918" spans="1:1">
      <c r="A918" s="1310" t="s">
        <v>837</v>
      </c>
    </row>
    <row r="919" spans="1:1">
      <c r="A919" s="1310" t="s">
        <v>838</v>
      </c>
    </row>
    <row r="920" spans="1:1">
      <c r="A920" s="1310" t="s">
        <v>839</v>
      </c>
    </row>
    <row r="921" spans="1:1">
      <c r="A921" s="1310"/>
    </row>
    <row r="922" spans="1:1">
      <c r="A922" s="1310" t="s">
        <v>840</v>
      </c>
    </row>
    <row r="923" spans="1:1">
      <c r="A923" s="1310" t="s">
        <v>841</v>
      </c>
    </row>
    <row r="924" spans="1:1">
      <c r="A924" s="1310"/>
    </row>
    <row r="925" spans="1:1">
      <c r="A925" s="1310" t="s">
        <v>842</v>
      </c>
    </row>
    <row r="926" spans="1:1">
      <c r="A926" s="1310"/>
    </row>
    <row r="927" spans="1:1">
      <c r="A927" s="1310" t="s">
        <v>843</v>
      </c>
    </row>
    <row r="928" spans="1:1">
      <c r="A928" s="1310" t="s">
        <v>844</v>
      </c>
    </row>
    <row r="929" spans="1:1">
      <c r="A929" s="1310" t="s">
        <v>845</v>
      </c>
    </row>
    <row r="930" spans="1:1">
      <c r="A930" s="1310" t="s">
        <v>846</v>
      </c>
    </row>
    <row r="931" spans="1:1">
      <c r="A931" s="1310"/>
    </row>
    <row r="932" spans="1:1">
      <c r="A932" s="1310" t="s">
        <v>847</v>
      </c>
    </row>
    <row r="933" spans="1:1">
      <c r="A933" s="1310" t="s">
        <v>848</v>
      </c>
    </row>
    <row r="934" spans="1:1">
      <c r="A934" s="1310" t="s">
        <v>849</v>
      </c>
    </row>
    <row r="935" spans="1:1">
      <c r="A935" s="1310"/>
    </row>
    <row r="936" spans="1:1">
      <c r="A936" s="1310" t="s">
        <v>850</v>
      </c>
    </row>
    <row r="937" spans="1:1">
      <c r="A937" s="1310" t="s">
        <v>851</v>
      </c>
    </row>
    <row r="938" spans="1:1">
      <c r="A938" s="1310"/>
    </row>
    <row r="939" spans="1:1">
      <c r="A939" s="1310" t="s">
        <v>852</v>
      </c>
    </row>
    <row r="940" spans="1:1">
      <c r="A940" s="1310" t="s">
        <v>853</v>
      </c>
    </row>
    <row r="941" spans="1:1">
      <c r="A941" s="1310" t="s">
        <v>854</v>
      </c>
    </row>
    <row r="942" spans="1:1">
      <c r="A942" s="1310"/>
    </row>
    <row r="943" spans="1:1">
      <c r="A943" s="1310" t="s">
        <v>855</v>
      </c>
    </row>
    <row r="944" spans="1:1">
      <c r="A944" s="1310" t="s">
        <v>856</v>
      </c>
    </row>
    <row r="945" spans="1:1">
      <c r="A945" s="1310" t="s">
        <v>857</v>
      </c>
    </row>
    <row r="946" spans="1:1">
      <c r="A946" s="1310" t="s">
        <v>858</v>
      </c>
    </row>
    <row r="947" spans="1:1">
      <c r="A947" s="1310" t="s">
        <v>859</v>
      </c>
    </row>
    <row r="948" spans="1:1">
      <c r="A948" s="1310" t="s">
        <v>860</v>
      </c>
    </row>
    <row r="949" spans="1:1">
      <c r="A949" s="1310" t="s">
        <v>861</v>
      </c>
    </row>
    <row r="950" spans="1:1">
      <c r="A950" s="1310" t="s">
        <v>862</v>
      </c>
    </row>
    <row r="951" spans="1:1">
      <c r="A951" s="1310" t="s">
        <v>863</v>
      </c>
    </row>
    <row r="952" spans="1:1">
      <c r="A952" s="1310" t="s">
        <v>864</v>
      </c>
    </row>
    <row r="953" spans="1:1">
      <c r="A953" s="1310" t="s">
        <v>865</v>
      </c>
    </row>
    <row r="954" spans="1:1">
      <c r="A954" s="1310" t="s">
        <v>866</v>
      </c>
    </row>
    <row r="955" spans="1:1">
      <c r="A955" s="1310" t="s">
        <v>867</v>
      </c>
    </row>
    <row r="956" spans="1:1">
      <c r="A956" s="1310"/>
    </row>
    <row r="957" spans="1:1">
      <c r="A957" s="1310"/>
    </row>
    <row r="958" spans="1:1">
      <c r="A958" s="1310" t="s">
        <v>868</v>
      </c>
    </row>
    <row r="959" spans="1:1">
      <c r="A959" s="1310" t="s">
        <v>869</v>
      </c>
    </row>
    <row r="960" spans="1:1">
      <c r="A960" s="1310" t="s">
        <v>870</v>
      </c>
    </row>
    <row r="961" spans="1:1">
      <c r="A961" s="1310"/>
    </row>
    <row r="962" spans="1:1">
      <c r="A962" s="1310" t="s">
        <v>871</v>
      </c>
    </row>
    <row r="963" spans="1:1">
      <c r="A963" s="1310" t="s">
        <v>872</v>
      </c>
    </row>
    <row r="964" spans="1:1">
      <c r="A964" s="1310" t="s">
        <v>873</v>
      </c>
    </row>
    <row r="965" spans="1:1">
      <c r="A965" s="1310" t="s">
        <v>874</v>
      </c>
    </row>
  </sheetData>
  <sheetProtection password="C2EC"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Sheet2"/>
  <dimension ref="A1:A276"/>
  <sheetViews>
    <sheetView topLeftCell="A46" zoomScale="120" zoomScaleNormal="120" workbookViewId="0">
      <selection activeCell="A49" sqref="A49"/>
    </sheetView>
  </sheetViews>
  <sheetFormatPr defaultRowHeight="15"/>
  <cols>
    <col min="1" max="1" width="56.7109375" customWidth="1"/>
  </cols>
  <sheetData>
    <row r="1" spans="1:1">
      <c r="A1" t="s">
        <v>100</v>
      </c>
    </row>
    <row r="2" spans="1:1">
      <c r="A2" t="s">
        <v>101</v>
      </c>
    </row>
    <row r="3" spans="1:1">
      <c r="A3" t="s">
        <v>102</v>
      </c>
    </row>
    <row r="4" spans="1:1">
      <c r="A4" t="s">
        <v>103</v>
      </c>
    </row>
    <row r="5" spans="1:1">
      <c r="A5" t="s">
        <v>104</v>
      </c>
    </row>
    <row r="6" spans="1:1">
      <c r="A6" t="s">
        <v>105</v>
      </c>
    </row>
    <row r="7" spans="1:1">
      <c r="A7" t="s">
        <v>106</v>
      </c>
    </row>
    <row r="8" spans="1:1">
      <c r="A8" t="s">
        <v>107</v>
      </c>
    </row>
    <row r="10" spans="1:1">
      <c r="A10" t="s">
        <v>108</v>
      </c>
    </row>
    <row r="11" spans="1:1">
      <c r="A11" s="124" t="str">
        <f>"key_proc_time=" &amp;'Configs &amp; Procedures'!H20</f>
        <v>key_proc_time=150</v>
      </c>
    </row>
    <row r="12" spans="1:1">
      <c r="A12" t="s">
        <v>109</v>
      </c>
    </row>
    <row r="13" spans="1:1">
      <c r="A13" t="s">
        <v>110</v>
      </c>
    </row>
    <row r="14" spans="1:1">
      <c r="A14" s="124" t="str">
        <f>"key_custom_ratio="&amp;'Configs &amp; Procedures'!H26</f>
        <v>key_custom_ratio=13</v>
      </c>
    </row>
    <row r="15" spans="1:1">
      <c r="A15" s="124" t="str">
        <f>"key_ac_rate=" &amp;'Configs &amp; Procedures'!H25</f>
        <v>key_ac_rate=1</v>
      </c>
    </row>
    <row r="16" spans="1:1">
      <c r="A16" s="124" t="str">
        <f>"key_post_crit=" &amp;'Configs &amp; Procedures'!H16</f>
        <v>key_post_crit=32</v>
      </c>
    </row>
    <row r="17" spans="1:1">
      <c r="A17" s="124" t="str">
        <f>"key_tbv_vol_setting="&amp;IF('Configs &amp; Procedures'!$L$11="YES",1)+IF('Configs &amp; Procedures'!$L$13="YES",4)+IF('Configs &amp; Procedures'!$L$15="YES",2)+IF('Configs &amp; Procedures'!$L$32="YES",8)</f>
        <v>key_tbv_vol_setting=1</v>
      </c>
    </row>
    <row r="18" spans="1:1">
      <c r="A18" s="124" t="str">
        <f>"key_tbv_percent="&amp;'Configs &amp; Procedures'!$L$12</f>
        <v>key_tbv_percent=12</v>
      </c>
    </row>
    <row r="19" spans="1:1">
      <c r="A19" s="124" t="str">
        <f>"key_weight_1_setting="&amp;'Configs &amp; Procedures'!$AC$22</f>
        <v>key_weight_1_setting=385.8089585</v>
      </c>
    </row>
    <row r="20" spans="1:1">
      <c r="A20" s="124" t="str">
        <f>"key_weight_2_setting="&amp;'Configs &amp; Procedures'!$AC$22</f>
        <v>key_weight_2_setting=385.8089585</v>
      </c>
    </row>
    <row r="21" spans="1:1">
      <c r="A21" s="124" t="str">
        <f>"key_weight_3_setting="&amp;'Configs &amp; Procedures'!$AC$22</f>
        <v>key_weight_3_setting=385.8089585</v>
      </c>
    </row>
    <row r="22" spans="1:1">
      <c r="A22" s="124" t="str">
        <f>"key_weight_1_less_than_vol="&amp;'Configs &amp; Procedures'!$L$16</f>
        <v>key_weight_1_less_than_vol=500</v>
      </c>
    </row>
    <row r="23" spans="1:1">
      <c r="A23" s="124" t="str">
        <f>"key_weight_2_less_than_vol="&amp;'Configs &amp; Procedures'!$L$16</f>
        <v>key_weight_2_less_than_vol=500</v>
      </c>
    </row>
    <row r="24" spans="1:1">
      <c r="A24" s="124" t="str">
        <f>"key_weight_3_less_than_vol="&amp;'Configs &amp; Procedures'!$L$16</f>
        <v>key_weight_3_less_than_vol=500</v>
      </c>
    </row>
    <row r="25" spans="1:1">
      <c r="A25" s="124" t="str">
        <f>"key_weight_3_greater_than_vol="&amp;'Configs &amp; Procedures'!$L$17</f>
        <v>key_weight_3_greater_than_vol=600</v>
      </c>
    </row>
    <row r="26" spans="1:1">
      <c r="A26" s="124" t="str">
        <f>"key_ml_per_kg="&amp;'Configs &amp; Procedures'!$L$14</f>
        <v>key_ml_per_kg=10.5</v>
      </c>
    </row>
    <row r="27" spans="1:1">
      <c r="A27" s="124" t="str">
        <f>"key_drbc_body_vol=" &amp;'Configs &amp; Procedures'!L33</f>
        <v>key_drbc_body_vol=3.9</v>
      </c>
    </row>
    <row r="28" spans="1:1">
      <c r="A28" s="124" t="str">
        <f>"key_post_plat=" &amp;'Configs &amp; Procedures'!H14* 1000</f>
        <v>key_post_plat=100000</v>
      </c>
    </row>
    <row r="29" spans="1:1">
      <c r="A29" s="124" t="str">
        <f>"key_max_draw_flow="&amp;IF('Configs &amp; Procedures'!$H$28="FAST",2,IF('Configs &amp; Procedures'!$H$28="MODERATE",1,IF('Configs &amp; Procedures'!$H$28="SLOW",0)))</f>
        <v>key_max_draw_flow=0</v>
      </c>
    </row>
    <row r="30" spans="1:1">
      <c r="A30" s="124" t="str">
        <f>"key_min_replacement_volume="&amp;'Configs &amp; Procedures'!$H$19</f>
        <v>key_min_replacement_volume=250</v>
      </c>
    </row>
    <row r="31" spans="1:1">
      <c r="A31" t="s">
        <v>112</v>
      </c>
    </row>
    <row r="32" spans="1:1">
      <c r="A32" t="s">
        <v>113</v>
      </c>
    </row>
    <row r="33" spans="1:1">
      <c r="A33" t="s">
        <v>114</v>
      </c>
    </row>
    <row r="34" spans="1:1">
      <c r="A34" t="s">
        <v>115</v>
      </c>
    </row>
    <row r="35" spans="1:1">
      <c r="A35" t="str">
        <f>"key_drbc_threshold=300"</f>
        <v>key_drbc_threshold=300</v>
      </c>
    </row>
    <row r="36" spans="1:1">
      <c r="A36" s="124" t="str">
        <f>"key_plasma_rinseback="&amp;IF('Configs &amp; Procedures'!L35="YES",1,0)</f>
        <v>key_plasma_rinseback=0</v>
      </c>
    </row>
    <row r="37" spans="1:1">
      <c r="A37" s="124" t="str">
        <f>"key_saline_rinseback="&amp;IF('Configs &amp; Procedures'!L36="YES",1,0)</f>
        <v>key_saline_rinseback=0</v>
      </c>
    </row>
    <row r="38" spans="1:1">
      <c r="A38" t="s">
        <v>116</v>
      </c>
    </row>
    <row r="39" spans="1:1">
      <c r="A39" t="s">
        <v>117</v>
      </c>
    </row>
    <row r="40" spans="1:1">
      <c r="A40" t="s">
        <v>118</v>
      </c>
    </row>
    <row r="41" spans="1:1">
      <c r="A41" t="s">
        <v>119</v>
      </c>
    </row>
    <row r="42" spans="1:1">
      <c r="A42" t="s">
        <v>120</v>
      </c>
    </row>
    <row r="43" spans="1:1">
      <c r="A43" t="s">
        <v>121</v>
      </c>
    </row>
    <row r="44" spans="1:1">
      <c r="A44" t="s">
        <v>1243</v>
      </c>
    </row>
    <row r="45" spans="1:1">
      <c r="A45" t="s">
        <v>1244</v>
      </c>
    </row>
    <row r="47" spans="1:1">
      <c r="A47" t="s">
        <v>122</v>
      </c>
    </row>
    <row r="48" spans="1:1">
      <c r="A48" s="124" t="str">
        <f>"key_rbc_ratio=" &amp;IF('Configs &amp; Procedures'!H27=11,1,IF('Configs &amp; Procedures'!H27=8.14,0,IF('Configs &amp; Procedures'!H27=13.7,2,"")))</f>
        <v>key_rbc_ratio=1</v>
      </c>
    </row>
    <row r="49" spans="1:1">
      <c r="A49" s="124" t="str">
        <f>"key_rbc_replace_fluid="&amp; IF('Configs &amp; Procedures'!$H$17="YES",1,0)</f>
        <v>key_rbc_replace_fluid=0</v>
      </c>
    </row>
    <row r="50" spans="1:1">
      <c r="A50" s="124" t="str">
        <f>"key_rbc_fluid_percent=" &amp;'Configs &amp; Procedures'!H18</f>
        <v>key_rbc_fluid_percent=100</v>
      </c>
    </row>
    <row r="51" spans="1:1">
      <c r="A51" s="124" t="str">
        <f>"key_pls_amap_minimum="&amp;'Configs &amp; Procedures'!L23</f>
        <v>key_pls_amap_minimum=200</v>
      </c>
    </row>
    <row r="52" spans="1:1">
      <c r="A52" s="124" t="str">
        <f>"key_pls_amap_maximum=" &amp;'Configs &amp; Procedures'!M23</f>
        <v>key_pls_amap_maximum=1000</v>
      </c>
    </row>
    <row r="53" spans="1:1">
      <c r="A53" s="124" t="str">
        <f>"key_ysf=" &amp; 'Configs &amp; Procedures'!L24</f>
        <v>key_ysf=1</v>
      </c>
    </row>
    <row r="54" spans="1:1">
      <c r="A54" t="s">
        <v>123</v>
      </c>
    </row>
    <row r="55" spans="1:1">
      <c r="A55" t="s">
        <v>124</v>
      </c>
    </row>
    <row r="56" spans="1:1">
      <c r="A56" t="s">
        <v>125</v>
      </c>
    </row>
    <row r="57" spans="1:1">
      <c r="A57" s="124" t="str">
        <f>"key_inlet_flow_ramp="&amp;IF('Configs &amp; Procedures'!H31="YES",1,0)</f>
        <v>key_inlet_flow_ramp=1</v>
      </c>
    </row>
    <row r="58" spans="1:1">
      <c r="A58" s="124" t="str">
        <f>"key_inlet_management="&amp;'Configs &amp; Procedures'!H29</f>
        <v>key_inlet_management=1</v>
      </c>
    </row>
    <row r="59" spans="1:1">
      <c r="A59" s="124" t="str">
        <f>"key_return_management="&amp;'Configs &amp; Procedures'!H30</f>
        <v>key_return_management=1</v>
      </c>
    </row>
    <row r="60" spans="1:1">
      <c r="A60" s="124" t="str">
        <f>"key_rsf="&amp;'Configs &amp; Procedures'!L26</f>
        <v>key_rsf=1</v>
      </c>
    </row>
    <row r="61" spans="1:1">
      <c r="A61" s="124" t="str">
        <f>"key_male_only_plt="&amp;IF('Configs &amp; Procedures'!$H$22="NO",2,IF('Configs &amp; Procedures'!$H$22="Male/AB Female",1,0))</f>
        <v>key_male_only_plt=2</v>
      </c>
    </row>
    <row r="62" spans="1:1">
      <c r="A62" s="124" t="str">
        <f>"key_male_only_plasma="&amp;IF('Configs &amp; Procedures'!$H$22="NO",2,IF('Configs &amp; Procedures'!$H$22="Male/AB Female",1,0))</f>
        <v>key_male_only_plasma=2</v>
      </c>
    </row>
    <row r="63" spans="1:1">
      <c r="A63" s="485" t="s">
        <v>1048</v>
      </c>
    </row>
    <row r="64" spans="1:1">
      <c r="A64" t="s">
        <v>126</v>
      </c>
    </row>
    <row r="65" spans="1:1">
      <c r="A65" s="124" t="str">
        <f>"key_rbc_crit_1="&amp;'Configs &amp; Procedures'!L22</f>
        <v>key_rbc_crit_1=80</v>
      </c>
    </row>
    <row r="66" spans="1:1">
      <c r="A66" s="124" t="str">
        <f>"key_rbc_dose_1="&amp;'DS Analysis'!$AX$44</f>
        <v>key_rbc_dose_1=180</v>
      </c>
    </row>
    <row r="67" spans="1:1">
      <c r="A67" s="124" t="str">
        <f>"key_rbc_mss_1="&amp;IF('Configs &amp; Procedures'!$L$34="YES",1,0)</f>
        <v>key_rbc_mss_1=0</v>
      </c>
    </row>
    <row r="68" spans="1:1">
      <c r="A68" t="s">
        <v>127</v>
      </c>
    </row>
    <row r="69" spans="1:1">
      <c r="A69" s="485" t="str">
        <f>"#key_rbc_ptf_1="&amp;IF('Configs &amp; Procedures'!$L$34="YES",1,0)  &amp; "These aren't used?"</f>
        <v>#key_rbc_ptf_1=0These aren't used?</v>
      </c>
    </row>
    <row r="71" spans="1:1">
      <c r="A71" s="124" t="str">
        <f>"key_rbc_crit_2="&amp;'Configs &amp; Procedures'!L22</f>
        <v>key_rbc_crit_2=80</v>
      </c>
    </row>
    <row r="72" spans="1:1">
      <c r="A72" s="124" t="str">
        <f>"key_rbc_dose_2="&amp;'DS Analysis'!$AX$45</f>
        <v>key_rbc_dose_2=360</v>
      </c>
    </row>
    <row r="73" spans="1:1">
      <c r="A73" s="124" t="str">
        <f>"key_rbc_mss_2="&amp;IF('Configs &amp; Procedures'!$L$34="YES",1,0)</f>
        <v>key_rbc_mss_2=0</v>
      </c>
    </row>
    <row r="74" spans="1:1">
      <c r="A74" t="s">
        <v>128</v>
      </c>
    </row>
    <row r="75" spans="1:1">
      <c r="A75" s="485" t="str">
        <f>"#key_rbc_ptf_2="&amp;IF('Configs &amp; Procedures'!L34="YES",1,0)</f>
        <v>#key_rbc_ptf_2=0</v>
      </c>
    </row>
    <row r="77" spans="1:1">
      <c r="A77" s="124" t="str">
        <f>"key_rbc_crit_3="&amp;'Configs &amp; Procedures'!L22</f>
        <v>key_rbc_crit_3=80</v>
      </c>
    </row>
    <row r="78" spans="1:1">
      <c r="A78" s="124" t="str">
        <f>"key_rbc_dose_3="&amp;'DS Analysis'!$AX$46</f>
        <v>key_rbc_dose_3=0</v>
      </c>
    </row>
    <row r="79" spans="1:1">
      <c r="A79" s="124" t="str">
        <f>"key_rbc_mss_3="&amp;IF('Configs &amp; Procedures'!$L$34="YES",1,0)</f>
        <v>key_rbc_mss_3=0</v>
      </c>
    </row>
    <row r="80" spans="1:1">
      <c r="A80" t="s">
        <v>129</v>
      </c>
    </row>
    <row r="81" spans="1:1">
      <c r="A81" s="485" t="str">
        <f>"#key_rbc_ptf_3="&amp;IF('Configs &amp; Procedures'!L34="YES",1,0)</f>
        <v>#key_rbc_ptf_3=0</v>
      </c>
    </row>
    <row r="83" spans="1:1">
      <c r="A83" s="124" t="str">
        <f>"key_plt_yield_1="&amp;'DS Analysis'!$AU$44</f>
        <v>key_plt_yield_1=2.5</v>
      </c>
    </row>
    <row r="84" spans="1:1">
      <c r="A84" s="124" t="str">
        <f>"key_plt_volume_1="&amp;'DS Analysis'!$AV$44</f>
        <v>key_plt_volume_1=161</v>
      </c>
    </row>
    <row r="85" spans="1:1">
      <c r="A85" t="s">
        <v>130</v>
      </c>
    </row>
    <row r="86" spans="1:1">
      <c r="A86" t="s">
        <v>131</v>
      </c>
    </row>
    <row r="88" spans="1:1">
      <c r="A88" s="124" t="str">
        <f>"key_plt_yield_2="&amp;'DS Analysis'!$AU$45</f>
        <v>key_plt_yield_2=3.2</v>
      </c>
    </row>
    <row r="89" spans="1:1">
      <c r="A89" s="124" t="str">
        <f>"key_plt_volume_2="&amp;'DS Analysis'!$AV$45</f>
        <v>key_plt_volume_2=206</v>
      </c>
    </row>
    <row r="90" spans="1:1">
      <c r="A90" t="s">
        <v>132</v>
      </c>
    </row>
    <row r="91" spans="1:1">
      <c r="A91" t="s">
        <v>133</v>
      </c>
    </row>
    <row r="93" spans="1:1">
      <c r="A93" s="124" t="str">
        <f>"key_plt_yield_3="&amp;'DS Analysis'!$AU$46</f>
        <v>key_plt_yield_3=4</v>
      </c>
    </row>
    <row r="94" spans="1:1">
      <c r="A94" s="124" t="str">
        <f>"key_plt_volume_3="&amp;'DS Analysis'!$AV$46</f>
        <v>key_plt_volume_3=258</v>
      </c>
    </row>
    <row r="95" spans="1:1">
      <c r="A95" t="s">
        <v>134</v>
      </c>
    </row>
    <row r="96" spans="1:1">
      <c r="A96" t="s">
        <v>135</v>
      </c>
    </row>
    <row r="98" spans="1:1">
      <c r="A98" s="124" t="str">
        <f>"key_plt_yield_4="&amp;'DS Analysis'!$AU$47</f>
        <v>key_plt_yield_4=5.5</v>
      </c>
    </row>
    <row r="99" spans="1:1">
      <c r="A99" s="124" t="str">
        <f>"key_plt_volume_4="&amp;'DS Analysis'!$AV$47</f>
        <v>key_plt_volume_4=355</v>
      </c>
    </row>
    <row r="100" spans="1:1">
      <c r="A100" t="s">
        <v>136</v>
      </c>
    </row>
    <row r="101" spans="1:1">
      <c r="A101" t="s">
        <v>137</v>
      </c>
    </row>
    <row r="103" spans="1:1">
      <c r="A103" s="124" t="str">
        <f>"key_plt_yield_5="&amp;'DS Analysis'!$AU$48</f>
        <v>key_plt_yield_5=9.6</v>
      </c>
    </row>
    <row r="104" spans="1:1">
      <c r="A104" s="124" t="str">
        <f>"key_plt_volume_5="&amp;'DS Analysis'!$AV$48</f>
        <v>key_plt_volume_5=619</v>
      </c>
    </row>
    <row r="105" spans="1:1">
      <c r="A105" t="s">
        <v>138</v>
      </c>
    </row>
    <row r="106" spans="1:1">
      <c r="A106" t="s">
        <v>139</v>
      </c>
    </row>
    <row r="108" spans="1:1">
      <c r="A108" s="124" t="str">
        <f>"key_plt_yield_6="&amp;'DS Analysis'!$AU$49</f>
        <v>key_plt_yield_6=11</v>
      </c>
    </row>
    <row r="109" spans="1:1">
      <c r="A109" s="124" t="str">
        <f>"key_plt_volume_6="&amp;'DS Analysis'!$AV$49</f>
        <v>key_plt_volume_6=710</v>
      </c>
    </row>
    <row r="110" spans="1:1">
      <c r="A110" t="s">
        <v>140</v>
      </c>
    </row>
    <row r="111" spans="1:1">
      <c r="A111" t="s">
        <v>141</v>
      </c>
    </row>
    <row r="113" spans="1:1">
      <c r="A113" s="124" t="str">
        <f>"key_plt_yield_7="&amp;'DS Analysis'!$AU$50</f>
        <v>key_plt_yield_7=0</v>
      </c>
    </row>
    <row r="114" spans="1:1">
      <c r="A114" s="124" t="str">
        <f>"key_plt_volume_7="&amp;'DS Analysis'!$AV$50</f>
        <v>key_plt_volume_7=0</v>
      </c>
    </row>
    <row r="115" spans="1:1">
      <c r="A115" t="s">
        <v>142</v>
      </c>
    </row>
    <row r="116" spans="1:1">
      <c r="A116" t="s">
        <v>143</v>
      </c>
    </row>
    <row r="118" spans="1:1">
      <c r="A118" s="124" t="str">
        <f>"key_plt_yield_8="&amp;'DS Analysis'!$AU$51</f>
        <v>key_plt_yield_8=0</v>
      </c>
    </row>
    <row r="119" spans="1:1">
      <c r="A119" s="124" t="str">
        <f>"key_plt_volume_8="&amp;'DS Analysis'!$AV$51</f>
        <v>key_plt_volume_8=0</v>
      </c>
    </row>
    <row r="120" spans="1:1">
      <c r="A120" t="s">
        <v>144</v>
      </c>
    </row>
    <row r="121" spans="1:1">
      <c r="A121" t="s">
        <v>145</v>
      </c>
    </row>
    <row r="123" spans="1:1">
      <c r="A123" s="124" t="str">
        <f>"key_plt_yield_9="&amp;'DS Analysis'!$AU$52</f>
        <v>key_plt_yield_9=0</v>
      </c>
    </row>
    <row r="124" spans="1:1">
      <c r="A124" s="124" t="str">
        <f>"key_plt_volume_9="&amp;'DS Analysis'!$AV$52</f>
        <v>key_plt_volume_9=0</v>
      </c>
    </row>
    <row r="125" spans="1:1">
      <c r="A125" t="s">
        <v>146</v>
      </c>
    </row>
    <row r="126" spans="1:1">
      <c r="A126" t="s">
        <v>147</v>
      </c>
    </row>
    <row r="128" spans="1:1">
      <c r="A128" s="124" t="str">
        <f>"key_plt_yield_10="&amp;'DS Analysis'!$AU$53</f>
        <v>key_plt_yield_10=0</v>
      </c>
    </row>
    <row r="129" spans="1:1">
      <c r="A129" s="124" t="str">
        <f>"key_plt_volume_10="&amp;'DS Analysis'!$AV$53</f>
        <v>key_plt_volume_10=0</v>
      </c>
    </row>
    <row r="130" spans="1:1">
      <c r="A130" t="s">
        <v>148</v>
      </c>
    </row>
    <row r="131" spans="1:1">
      <c r="A131" t="s">
        <v>149</v>
      </c>
    </row>
    <row r="133" spans="1:1">
      <c r="A133" s="124" t="str">
        <f>"key_pls_volume_1="&amp;'DS Analysis'!$AW$44</f>
        <v>key_pls_volume_1=250</v>
      </c>
    </row>
    <row r="134" spans="1:1">
      <c r="A134" s="124" t="str">
        <f>"key_pls_volume_2="&amp;'DS Analysis'!$AW$45</f>
        <v>key_pls_volume_2=300</v>
      </c>
    </row>
    <row r="135" spans="1:1">
      <c r="A135" s="124" t="str">
        <f>"key_pls_volume_3="&amp;'DS Analysis'!$AW$46</f>
        <v>key_pls_volume_3=350</v>
      </c>
    </row>
    <row r="136" spans="1:1">
      <c r="A136" s="124" t="str">
        <f>"key_pls_volume_4="&amp;'DS Analysis'!$AW$47</f>
        <v>key_pls_volume_4=400</v>
      </c>
    </row>
    <row r="137" spans="1:1">
      <c r="A137" s="124" t="str">
        <f>"key_pls_volume_5="&amp;'DS Analysis'!$AW$48</f>
        <v>key_pls_volume_5=450</v>
      </c>
    </row>
    <row r="138" spans="1:1">
      <c r="A138" s="124" t="str">
        <f>"key_pls_volume_6="&amp;'DS Analysis'!$AW$49</f>
        <v>key_pls_volume_6=500</v>
      </c>
    </row>
    <row r="140" spans="1:1">
      <c r="A140" t="s">
        <v>150</v>
      </c>
    </row>
    <row r="141" spans="1:1">
      <c r="A141" t="s">
        <v>150</v>
      </c>
    </row>
    <row r="142" spans="1:1">
      <c r="A142" t="s">
        <v>151</v>
      </c>
    </row>
    <row r="143" spans="1:1">
      <c r="A143" t="s">
        <v>152</v>
      </c>
    </row>
    <row r="144" spans="1:1">
      <c r="A144" s="450" t="s">
        <v>153</v>
      </c>
    </row>
    <row r="145" spans="1:1">
      <c r="A145" t="s">
        <v>154</v>
      </c>
    </row>
    <row r="146" spans="1:1">
      <c r="A146" t="s">
        <v>155</v>
      </c>
    </row>
    <row r="147" spans="1:1">
      <c r="A147" t="s">
        <v>156</v>
      </c>
    </row>
    <row r="148" spans="1:1">
      <c r="A148" t="s">
        <v>157</v>
      </c>
    </row>
    <row r="149" spans="1:1">
      <c r="A149" t="s">
        <v>158</v>
      </c>
    </row>
    <row r="150" spans="1:1">
      <c r="A150" t="s">
        <v>150</v>
      </c>
    </row>
    <row r="151" spans="1:1">
      <c r="A151" t="s">
        <v>159</v>
      </c>
    </row>
    <row r="152" spans="1:1">
      <c r="A152" s="124" t="str">
        <f>"key_platelet_a="&amp;'DS Analysis'!$AP$44</f>
        <v>key_platelet_a=0</v>
      </c>
    </row>
    <row r="153" spans="1:1">
      <c r="A153" s="124" t="str">
        <f>"key_plasma_a="&amp;'DS Analysis'!$AQ$44</f>
        <v>key_plasma_a=7</v>
      </c>
    </row>
    <row r="154" spans="1:1">
      <c r="A154" s="124" t="str">
        <f>"key_rbc_a="&amp;'DS Analysis'!$AR$44</f>
        <v>key_rbc_a=0</v>
      </c>
    </row>
    <row r="155" spans="1:1">
      <c r="A155" s="124" t="str">
        <f>'DS Analysis'!BI8</f>
        <v>key_blood_type_a=0</v>
      </c>
    </row>
    <row r="156" spans="1:1">
      <c r="A156" s="124" t="str">
        <f>"key_time_a="&amp;MIN('Configs &amp; Procedures'!$G$44,'Configs &amp; Procedures'!$H$20)</f>
        <v>key_time_a=120</v>
      </c>
    </row>
    <row r="158" spans="1:1">
      <c r="A158" s="124" t="str">
        <f>"key_platelet_b="&amp;'DS Analysis'!$AP$45</f>
        <v>key_platelet_b=0</v>
      </c>
    </row>
    <row r="159" spans="1:1">
      <c r="A159" s="124" t="str">
        <f>"key_plasma_b="&amp;'DS Analysis'!$AQ$45</f>
        <v>key_plasma_b=0</v>
      </c>
    </row>
    <row r="160" spans="1:1">
      <c r="A160" s="124" t="str">
        <f>"key_rbc_b="&amp;'DS Analysis'!$AR$45</f>
        <v>key_rbc_b=0</v>
      </c>
    </row>
    <row r="161" spans="1:1">
      <c r="A161" s="124" t="str">
        <f>'DS Analysis'!BI9</f>
        <v>key_blood_type_b=0</v>
      </c>
    </row>
    <row r="162" spans="1:1">
      <c r="A162" s="124" t="str">
        <f>"key_time_b="&amp;MIN('Configs &amp; Procedures'!$G45,'Configs &amp; Procedures'!$H$20)</f>
        <v>key_time_b=150</v>
      </c>
    </row>
    <row r="164" spans="1:1">
      <c r="A164" s="124" t="str">
        <f>"key_platelet_c="&amp;'DS Analysis'!$AP$46</f>
        <v>key_platelet_c=0</v>
      </c>
    </row>
    <row r="165" spans="1:1">
      <c r="A165" s="124" t="str">
        <f>"key_plasma_c="&amp;'DS Analysis'!$AQ$46</f>
        <v>key_plasma_c=0</v>
      </c>
    </row>
    <row r="166" spans="1:1">
      <c r="A166" s="124" t="str">
        <f>"key_rbc_c="&amp;'DS Analysis'!$AR$46</f>
        <v>key_rbc_c=0</v>
      </c>
    </row>
    <row r="167" spans="1:1">
      <c r="A167" s="124" t="str">
        <f>'DS Analysis'!BI10</f>
        <v>key_blood_type_c=0</v>
      </c>
    </row>
    <row r="168" spans="1:1">
      <c r="A168" s="124" t="str">
        <f>"key_time_c="&amp;MIN('Configs &amp; Procedures'!$G46,'Configs &amp; Procedures'!$H$20)</f>
        <v>key_time_c=150</v>
      </c>
    </row>
    <row r="170" spans="1:1">
      <c r="A170" s="124" t="str">
        <f>"key_platelet_d="&amp;'DS Analysis'!$AP$47</f>
        <v>key_platelet_d=0</v>
      </c>
    </row>
    <row r="171" spans="1:1">
      <c r="A171" s="124" t="str">
        <f>"key_plasma_d="&amp;'DS Analysis'!$AQ$47</f>
        <v>key_plasma_d=0</v>
      </c>
    </row>
    <row r="172" spans="1:1">
      <c r="A172" s="124" t="str">
        <f>"key_rbc_d="&amp;'DS Analysis'!$AR$47</f>
        <v>key_rbc_d=0</v>
      </c>
    </row>
    <row r="173" spans="1:1">
      <c r="A173" s="124" t="str">
        <f>'DS Analysis'!BI11</f>
        <v>key_blood_type_d=0</v>
      </c>
    </row>
    <row r="174" spans="1:1">
      <c r="A174" s="124" t="str">
        <f>"key_time_d="&amp;MIN('Configs &amp; Procedures'!$G47,'Configs &amp; Procedures'!$H$20)</f>
        <v>key_time_d=150</v>
      </c>
    </row>
    <row r="176" spans="1:1">
      <c r="A176" s="124" t="str">
        <f>"key_platelet_e="&amp;'DS Analysis'!$AP$48</f>
        <v>key_platelet_e=0</v>
      </c>
    </row>
    <row r="177" spans="1:1">
      <c r="A177" s="124" t="str">
        <f>"key_plasma_e="&amp;'DS Analysis'!$AQ$48</f>
        <v>key_plasma_e=0</v>
      </c>
    </row>
    <row r="178" spans="1:1">
      <c r="A178" s="124" t="str">
        <f>"key_rbc_e="&amp;'DS Analysis'!$AR$48</f>
        <v>key_rbc_e=0</v>
      </c>
    </row>
    <row r="179" spans="1:1">
      <c r="A179" s="124" t="str">
        <f>'DS Analysis'!BI12</f>
        <v>key_blood_type_e=0</v>
      </c>
    </row>
    <row r="180" spans="1:1">
      <c r="A180" s="124" t="str">
        <f>"key_time_e="&amp;MIN('Configs &amp; Procedures'!$G48,'Configs &amp; Procedures'!$H$20)</f>
        <v>key_time_e=150</v>
      </c>
    </row>
    <row r="182" spans="1:1">
      <c r="A182" s="124" t="str">
        <f>"key_platelet_f="&amp;'DS Analysis'!$AP$49</f>
        <v>key_platelet_f=0</v>
      </c>
    </row>
    <row r="183" spans="1:1">
      <c r="A183" s="124" t="str">
        <f>"key_plasma_f="&amp;'DS Analysis'!$AQ$49</f>
        <v>key_plasma_f=0</v>
      </c>
    </row>
    <row r="184" spans="1:1">
      <c r="A184" s="124" t="str">
        <f>"key_rbc_f="&amp;'DS Analysis'!$AR$49</f>
        <v>key_rbc_f=0</v>
      </c>
    </row>
    <row r="185" spans="1:1">
      <c r="A185" s="124" t="str">
        <f>'DS Analysis'!BI13</f>
        <v>key_blood_type_f=0</v>
      </c>
    </row>
    <row r="186" spans="1:1">
      <c r="A186" s="124" t="str">
        <f>"key_time_f="&amp;MIN('Configs &amp; Procedures'!$G49,'Configs &amp; Procedures'!$H$20)</f>
        <v>key_time_f=150</v>
      </c>
    </row>
    <row r="188" spans="1:1">
      <c r="A188" s="124" t="str">
        <f>"key_platelet_g="&amp;'DS Analysis'!$AP$50</f>
        <v>key_platelet_g=0</v>
      </c>
    </row>
    <row r="189" spans="1:1">
      <c r="A189" s="124" t="str">
        <f>"key_plasma_g="&amp;'DS Analysis'!$AQ$50</f>
        <v>key_plasma_g=0</v>
      </c>
    </row>
    <row r="190" spans="1:1">
      <c r="A190" s="124" t="str">
        <f>"key_rbc_g="&amp;'DS Analysis'!$AR$50</f>
        <v>key_rbc_g=0</v>
      </c>
    </row>
    <row r="191" spans="1:1">
      <c r="A191" s="124" t="str">
        <f>'DS Analysis'!BI14</f>
        <v>key_blood_type_g=0</v>
      </c>
    </row>
    <row r="192" spans="1:1">
      <c r="A192" s="124" t="str">
        <f>"key_time_g="&amp;MIN('Configs &amp; Procedures'!$G50,'Configs &amp; Procedures'!$H$20)</f>
        <v>key_time_g=150</v>
      </c>
    </row>
    <row r="194" spans="1:1">
      <c r="A194" s="124" t="str">
        <f>"key_platelet_h="&amp;'DS Analysis'!$AP$51</f>
        <v>key_platelet_h=0</v>
      </c>
    </row>
    <row r="195" spans="1:1">
      <c r="A195" s="124" t="str">
        <f>"key_plasma_h="&amp;'DS Analysis'!$AQ$51</f>
        <v>key_plasma_h=0</v>
      </c>
    </row>
    <row r="196" spans="1:1">
      <c r="A196" s="124" t="str">
        <f>"key_rbc_h="&amp;'DS Analysis'!$AR$51</f>
        <v>key_rbc_h=0</v>
      </c>
    </row>
    <row r="197" spans="1:1">
      <c r="A197" s="124" t="str">
        <f>'DS Analysis'!BI15</f>
        <v>key_blood_type_h=0</v>
      </c>
    </row>
    <row r="198" spans="1:1">
      <c r="A198" s="124" t="str">
        <f>"key_time_h="&amp;MIN('Configs &amp; Procedures'!$G51,'Configs &amp; Procedures'!$H$20)</f>
        <v>key_time_h=150</v>
      </c>
    </row>
    <row r="200" spans="1:1">
      <c r="A200" s="124" t="str">
        <f>"key_platelet_i="&amp;'DS Analysis'!$AP$52</f>
        <v>key_platelet_i=0</v>
      </c>
    </row>
    <row r="201" spans="1:1">
      <c r="A201" s="124" t="str">
        <f>"key_plasma_i="&amp;'DS Analysis'!$AQ$52</f>
        <v>key_plasma_i=0</v>
      </c>
    </row>
    <row r="202" spans="1:1">
      <c r="A202" s="124" t="str">
        <f>"key_rbc_i="&amp;'DS Analysis'!$AR$52</f>
        <v>key_rbc_i=0</v>
      </c>
    </row>
    <row r="203" spans="1:1">
      <c r="A203" s="124" t="str">
        <f>'DS Analysis'!BI16</f>
        <v>key_blood_type_i=0</v>
      </c>
    </row>
    <row r="204" spans="1:1">
      <c r="A204" s="124" t="str">
        <f>"key_time_i="&amp;MIN('Configs &amp; Procedures'!$G52,'Configs &amp; Procedures'!$H$20)</f>
        <v>key_time_i=150</v>
      </c>
    </row>
    <row r="206" spans="1:1">
      <c r="A206" s="124" t="str">
        <f>"key_platelet_j="&amp;'DS Analysis'!$AP$53</f>
        <v>key_platelet_j=0</v>
      </c>
    </row>
    <row r="207" spans="1:1">
      <c r="A207" s="124" t="str">
        <f>"key_plasma_j="&amp;'DS Analysis'!$AQ$53</f>
        <v>key_plasma_j=0</v>
      </c>
    </row>
    <row r="208" spans="1:1">
      <c r="A208" s="124" t="str">
        <f>"key_rbc_j="&amp;'DS Analysis'!$AR$53</f>
        <v>key_rbc_j=0</v>
      </c>
    </row>
    <row r="209" spans="1:1">
      <c r="A209" s="124" t="str">
        <f>'DS Analysis'!BI17</f>
        <v>key_blood_type_j=0</v>
      </c>
    </row>
    <row r="210" spans="1:1">
      <c r="A210" s="124" t="str">
        <f>"key_time_j="&amp;MIN('Configs &amp; Procedures'!$G53,'Configs &amp; Procedures'!$H$20)</f>
        <v>key_time_j=150</v>
      </c>
    </row>
    <row r="212" spans="1:1">
      <c r="A212" s="124" t="str">
        <f>"key_platelet_k="&amp;'DS Analysis'!$AP$54</f>
        <v>key_platelet_k=0</v>
      </c>
    </row>
    <row r="213" spans="1:1">
      <c r="A213" s="124" t="str">
        <f>"key_plasma_k="&amp;'DS Analysis'!$AQ$54</f>
        <v>key_plasma_k=0</v>
      </c>
    </row>
    <row r="214" spans="1:1">
      <c r="A214" s="124" t="str">
        <f>"key_rbc_k="&amp;'DS Analysis'!$AR$54</f>
        <v>key_rbc_k=0</v>
      </c>
    </row>
    <row r="215" spans="1:1">
      <c r="A215" s="124" t="str">
        <f>'DS Analysis'!BI18</f>
        <v>key_blood_type_k=0</v>
      </c>
    </row>
    <row r="216" spans="1:1">
      <c r="A216" s="124" t="str">
        <f>"key_time_k="&amp;MIN('Configs &amp; Procedures'!$G54,'Configs &amp; Procedures'!$H$20)</f>
        <v>key_time_k=150</v>
      </c>
    </row>
    <row r="218" spans="1:1">
      <c r="A218" s="124" t="str">
        <f>"key_platelet_l="&amp;'DS Analysis'!$AP$55</f>
        <v>key_platelet_l=0</v>
      </c>
    </row>
    <row r="219" spans="1:1">
      <c r="A219" s="124" t="str">
        <f>"key_plasma_l="&amp;'DS Analysis'!$AQ$55</f>
        <v>key_plasma_l=0</v>
      </c>
    </row>
    <row r="220" spans="1:1">
      <c r="A220" s="124" t="str">
        <f>"key_rbc_l="&amp;'DS Analysis'!$AR$55</f>
        <v>key_rbc_l=0</v>
      </c>
    </row>
    <row r="221" spans="1:1">
      <c r="A221" s="124" t="str">
        <f>'DS Analysis'!BI19</f>
        <v>key_blood_type_l=0</v>
      </c>
    </row>
    <row r="222" spans="1:1">
      <c r="A222" s="124" t="str">
        <f>"key_time_l="&amp;MIN('Configs &amp; Procedures'!$G55,'Configs &amp; Procedures'!$H$20)</f>
        <v>key_time_l=150</v>
      </c>
    </row>
    <row r="224" spans="1:1">
      <c r="A224" s="124" t="str">
        <f>"key_platelet_m="&amp;'DS Analysis'!$AP$56</f>
        <v>key_platelet_m=0</v>
      </c>
    </row>
    <row r="225" spans="1:1">
      <c r="A225" s="124" t="str">
        <f>"key_plasma_m="&amp;'DS Analysis'!$AQ$56</f>
        <v>key_plasma_m=0</v>
      </c>
    </row>
    <row r="226" spans="1:1">
      <c r="A226" s="124" t="str">
        <f>"key_rbc_m="&amp;'DS Analysis'!$AR$56</f>
        <v>key_rbc_m=0</v>
      </c>
    </row>
    <row r="227" spans="1:1">
      <c r="A227" s="124" t="str">
        <f>'DS Analysis'!BI20</f>
        <v>key_blood_type_m=0</v>
      </c>
    </row>
    <row r="228" spans="1:1">
      <c r="A228" s="124" t="str">
        <f>"key_time_m="&amp;MIN('Configs &amp; Procedures'!$G56,'Configs &amp; Procedures'!$H$20)</f>
        <v>key_time_m=150</v>
      </c>
    </row>
    <row r="230" spans="1:1">
      <c r="A230" s="124" t="str">
        <f>"key_platelet_n="&amp;'DS Analysis'!$AP$57</f>
        <v>key_platelet_n=0</v>
      </c>
    </row>
    <row r="231" spans="1:1">
      <c r="A231" s="124" t="str">
        <f>"key_plasma_n="&amp;'DS Analysis'!$AQ$57</f>
        <v>key_plasma_n=0</v>
      </c>
    </row>
    <row r="232" spans="1:1">
      <c r="A232" s="124" t="str">
        <f>"key_rbc_n="&amp;'DS Analysis'!$AR$57</f>
        <v>key_rbc_n=0</v>
      </c>
    </row>
    <row r="233" spans="1:1">
      <c r="A233" s="124" t="str">
        <f>'DS Analysis'!BI21</f>
        <v>key_blood_type_n=0</v>
      </c>
    </row>
    <row r="234" spans="1:1">
      <c r="A234" s="124" t="str">
        <f>"key_time_n="&amp;MIN('Configs &amp; Procedures'!$G57,'Configs &amp; Procedures'!$H$20)</f>
        <v>key_time_n=150</v>
      </c>
    </row>
    <row r="236" spans="1:1">
      <c r="A236" s="124" t="str">
        <f>"key_platelet_o="&amp;'DS Analysis'!$AP$58</f>
        <v>key_platelet_o=0</v>
      </c>
    </row>
    <row r="237" spans="1:1">
      <c r="A237" s="124" t="str">
        <f>"key_plasma_o="&amp;'DS Analysis'!$AQ$58</f>
        <v>key_plasma_o=0</v>
      </c>
    </row>
    <row r="238" spans="1:1">
      <c r="A238" s="124" t="str">
        <f>"key_rbc_o="&amp;'DS Analysis'!$AR$58</f>
        <v>key_rbc_o=0</v>
      </c>
    </row>
    <row r="239" spans="1:1">
      <c r="A239" s="124" t="str">
        <f>'DS Analysis'!BI22</f>
        <v>key_blood_type_o=0</v>
      </c>
    </row>
    <row r="240" spans="1:1">
      <c r="A240" s="124" t="str">
        <f>"key_time_o="&amp;MIN('Configs &amp; Procedures'!$G58,'Configs &amp; Procedures'!$H$20)</f>
        <v>key_time_o=150</v>
      </c>
    </row>
    <row r="242" spans="1:1">
      <c r="A242" s="124" t="str">
        <f>"key_platelet_p="&amp;'DS Analysis'!$AP$59</f>
        <v>key_platelet_p=0</v>
      </c>
    </row>
    <row r="243" spans="1:1">
      <c r="A243" s="124" t="str">
        <f>"key_plasma_p="&amp;'DS Analysis'!$AQ$59</f>
        <v>key_plasma_p=0</v>
      </c>
    </row>
    <row r="244" spans="1:1">
      <c r="A244" s="124" t="str">
        <f>"key_rbc_p="&amp;'DS Analysis'!$AR$59</f>
        <v>key_rbc_p=0</v>
      </c>
    </row>
    <row r="245" spans="1:1">
      <c r="A245" s="124" t="str">
        <f>'DS Analysis'!BI23</f>
        <v>key_blood_type_p=0</v>
      </c>
    </row>
    <row r="246" spans="1:1">
      <c r="A246" s="124" t="str">
        <f>"key_time_p="&amp;MIN('Configs &amp; Procedures'!$G59,'Configs &amp; Procedures'!$H$20)</f>
        <v>key_time_p=150</v>
      </c>
    </row>
    <row r="248" spans="1:1">
      <c r="A248" s="124" t="str">
        <f>"key_platelet_q="&amp;'DS Analysis'!$AP$60</f>
        <v>key_platelet_q=0</v>
      </c>
    </row>
    <row r="249" spans="1:1">
      <c r="A249" s="124" t="str">
        <f>"key_plasma_q="&amp;'DS Analysis'!$AQ$60</f>
        <v>key_plasma_q=0</v>
      </c>
    </row>
    <row r="250" spans="1:1">
      <c r="A250" s="124" t="str">
        <f>"key_rbc_q="&amp;'DS Analysis'!$AR$60</f>
        <v>key_rbc_q=0</v>
      </c>
    </row>
    <row r="251" spans="1:1">
      <c r="A251" s="124" t="str">
        <f>'DS Analysis'!BI24</f>
        <v>key_blood_type_q=0</v>
      </c>
    </row>
    <row r="252" spans="1:1">
      <c r="A252" s="124" t="str">
        <f>"key_time_q="&amp;MIN('Configs &amp; Procedures'!$G60,'Configs &amp; Procedures'!$H$20)</f>
        <v>key_time_q=150</v>
      </c>
    </row>
    <row r="254" spans="1:1">
      <c r="A254" s="124" t="str">
        <f>"key_platelet_r="&amp;'DS Analysis'!$AP$61</f>
        <v>key_platelet_r=0</v>
      </c>
    </row>
    <row r="255" spans="1:1">
      <c r="A255" s="124" t="str">
        <f>"key_plasma_r="&amp;'DS Analysis'!$AQ$61</f>
        <v>key_plasma_r=0</v>
      </c>
    </row>
    <row r="256" spans="1:1">
      <c r="A256" s="124" t="str">
        <f>"key_rbc_r="&amp;'DS Analysis'!$AR$61</f>
        <v>key_rbc_r=0</v>
      </c>
    </row>
    <row r="257" spans="1:1">
      <c r="A257" s="124" t="str">
        <f>'DS Analysis'!BI25</f>
        <v>key_blood_type_r=0</v>
      </c>
    </row>
    <row r="258" spans="1:1">
      <c r="A258" s="124" t="str">
        <f>"key_time_r="&amp;MIN('Configs &amp; Procedures'!$G61,'Configs &amp; Procedures'!$H$20)</f>
        <v>key_time_r=150</v>
      </c>
    </row>
    <row r="260" spans="1:1">
      <c r="A260" s="124" t="str">
        <f>"key_platelet_s="&amp;'DS Analysis'!$AP$62</f>
        <v>key_platelet_s=0</v>
      </c>
    </row>
    <row r="261" spans="1:1">
      <c r="A261" s="124" t="str">
        <f>"key_plasma_s="&amp;'DS Analysis'!$AQ$62</f>
        <v>key_plasma_s=0</v>
      </c>
    </row>
    <row r="262" spans="1:1">
      <c r="A262" s="124" t="str">
        <f>"key_rbc_s="&amp;'DS Analysis'!$AR$62</f>
        <v>key_rbc_s=0</v>
      </c>
    </row>
    <row r="263" spans="1:1">
      <c r="A263" s="124" t="str">
        <f>'DS Analysis'!BI26</f>
        <v>key_blood_type_s=0</v>
      </c>
    </row>
    <row r="264" spans="1:1">
      <c r="A264" s="124" t="str">
        <f>"key_time_s="&amp;MIN('Configs &amp; Procedures'!$G62,'Configs &amp; Procedures'!$H$20)</f>
        <v>key_time_s=150</v>
      </c>
    </row>
    <row r="266" spans="1:1">
      <c r="A266" s="124" t="str">
        <f>"key_platelet_t="&amp;'DS Analysis'!$AP$63</f>
        <v>key_platelet_t=0</v>
      </c>
    </row>
    <row r="267" spans="1:1">
      <c r="A267" s="124" t="str">
        <f>"key_plasma_t="&amp;'DS Analysis'!$AQ$63</f>
        <v>key_plasma_t=0</v>
      </c>
    </row>
    <row r="268" spans="1:1">
      <c r="A268" s="124" t="str">
        <f>"key_rbc_t="&amp;'DS Analysis'!$AR$63</f>
        <v>key_rbc_t=0</v>
      </c>
    </row>
    <row r="269" spans="1:1">
      <c r="A269" s="124" t="str">
        <f>'DS Analysis'!BI27</f>
        <v>key_blood_type_t=0</v>
      </c>
    </row>
    <row r="270" spans="1:1">
      <c r="A270" s="124" t="str">
        <f>"key_time_t="&amp;MIN('Configs &amp; Procedures'!$G63,'Configs &amp; Procedures'!$H$20)</f>
        <v>key_time_t=150</v>
      </c>
    </row>
    <row r="272" spans="1:1">
      <c r="A272" t="s">
        <v>160</v>
      </c>
    </row>
    <row r="273" spans="1:1">
      <c r="A273" t="s">
        <v>161</v>
      </c>
    </row>
    <row r="274" spans="1:1">
      <c r="A274" t="s">
        <v>162</v>
      </c>
    </row>
    <row r="275" spans="1:1">
      <c r="A275" t="s">
        <v>163</v>
      </c>
    </row>
    <row r="276" spans="1:1">
      <c r="A276" t="s">
        <v>164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Sheet32"/>
  <dimension ref="A1:A1003"/>
  <sheetViews>
    <sheetView workbookViewId="0"/>
  </sheetViews>
  <sheetFormatPr defaultRowHeight="15"/>
  <cols>
    <col min="1" max="1" width="99.85546875" style="1170" bestFit="1" customWidth="1"/>
    <col min="2" max="16384" width="9.140625" style="1170"/>
  </cols>
  <sheetData>
    <row r="1" spans="1:1">
      <c r="A1" s="1310" t="s">
        <v>167</v>
      </c>
    </row>
    <row r="2" spans="1:1">
      <c r="A2" s="1310" t="s">
        <v>168</v>
      </c>
    </row>
    <row r="3" spans="1:1">
      <c r="A3" s="1310" t="s">
        <v>150</v>
      </c>
    </row>
    <row r="4" spans="1:1">
      <c r="A4" s="1310" t="s">
        <v>169</v>
      </c>
    </row>
    <row r="5" spans="1:1">
      <c r="A5" s="1310" t="s">
        <v>170</v>
      </c>
    </row>
    <row r="6" spans="1:1">
      <c r="A6" s="1310" t="s">
        <v>150</v>
      </c>
    </row>
    <row r="7" spans="1:1">
      <c r="A7" s="1310" t="s">
        <v>171</v>
      </c>
    </row>
    <row r="8" spans="1:1">
      <c r="A8" s="1310" t="s">
        <v>172</v>
      </c>
    </row>
    <row r="9" spans="1:1">
      <c r="A9" s="1310" t="s">
        <v>173</v>
      </c>
    </row>
    <row r="10" spans="1:1">
      <c r="A10" s="1310" t="s">
        <v>174</v>
      </c>
    </row>
    <row r="11" spans="1:1">
      <c r="A11" s="1310" t="s">
        <v>175</v>
      </c>
    </row>
    <row r="12" spans="1:1">
      <c r="A12" s="1310" t="s">
        <v>176</v>
      </c>
    </row>
    <row r="13" spans="1:1">
      <c r="A13" s="1310" t="s">
        <v>172</v>
      </c>
    </row>
    <row r="14" spans="1:1">
      <c r="A14" s="1310" t="s">
        <v>175</v>
      </c>
    </row>
    <row r="15" spans="1:1">
      <c r="A15" s="1310"/>
    </row>
    <row r="16" spans="1:1">
      <c r="A16" s="1310" t="s">
        <v>177</v>
      </c>
    </row>
    <row r="17" spans="1:1">
      <c r="A17" s="1310" t="s">
        <v>178</v>
      </c>
    </row>
    <row r="18" spans="1:1">
      <c r="A18" s="1310" t="s">
        <v>179</v>
      </c>
    </row>
    <row r="19" spans="1:1">
      <c r="A19" s="1310"/>
    </row>
    <row r="20" spans="1:1">
      <c r="A20" s="1310" t="s">
        <v>180</v>
      </c>
    </row>
    <row r="21" spans="1:1">
      <c r="A21" s="1310"/>
    </row>
    <row r="22" spans="1:1">
      <c r="A22" s="1310" t="s">
        <v>181</v>
      </c>
    </row>
    <row r="23" spans="1:1">
      <c r="A23" s="1310"/>
    </row>
    <row r="24" spans="1:1">
      <c r="A24" s="1310" t="s">
        <v>150</v>
      </c>
    </row>
    <row r="25" spans="1:1">
      <c r="A25" s="1310" t="s">
        <v>182</v>
      </c>
    </row>
    <row r="26" spans="1:1">
      <c r="A26" s="1310" t="s">
        <v>150</v>
      </c>
    </row>
    <row r="27" spans="1:1">
      <c r="A27" s="1310" t="s">
        <v>183</v>
      </c>
    </row>
    <row r="28" spans="1:1">
      <c r="A28" s="1310" t="s">
        <v>184</v>
      </c>
    </row>
    <row r="29" spans="1:1">
      <c r="A29" s="1310" t="s">
        <v>185</v>
      </c>
    </row>
    <row r="30" spans="1:1">
      <c r="A30" s="1310" t="s">
        <v>186</v>
      </c>
    </row>
    <row r="31" spans="1:1">
      <c r="A31" s="1310" t="s">
        <v>187</v>
      </c>
    </row>
    <row r="32" spans="1:1">
      <c r="A32" s="1310" t="s">
        <v>150</v>
      </c>
    </row>
    <row r="33" spans="1:1">
      <c r="A33" s="1310" t="s">
        <v>188</v>
      </c>
    </row>
    <row r="34" spans="1:1">
      <c r="A34" s="1310" t="s">
        <v>189</v>
      </c>
    </row>
    <row r="35" spans="1:1">
      <c r="A35" s="1310" t="s">
        <v>190</v>
      </c>
    </row>
    <row r="36" spans="1:1">
      <c r="A36" s="1310" t="s">
        <v>191</v>
      </c>
    </row>
    <row r="37" spans="1:1">
      <c r="A37" s="1310" t="s">
        <v>192</v>
      </c>
    </row>
    <row r="38" spans="1:1">
      <c r="A38" s="1310"/>
    </row>
    <row r="39" spans="1:1">
      <c r="A39" s="1310" t="s">
        <v>150</v>
      </c>
    </row>
    <row r="40" spans="1:1">
      <c r="A40" s="1310" t="s">
        <v>150</v>
      </c>
    </row>
    <row r="41" spans="1:1">
      <c r="A41" s="1310" t="s">
        <v>193</v>
      </c>
    </row>
    <row r="42" spans="1:1">
      <c r="A42" s="1310" t="s">
        <v>150</v>
      </c>
    </row>
    <row r="43" spans="1:1">
      <c r="A43" s="1310" t="s">
        <v>194</v>
      </c>
    </row>
    <row r="44" spans="1:1">
      <c r="A44" s="1310" t="s">
        <v>195</v>
      </c>
    </row>
    <row r="45" spans="1:1">
      <c r="A45" s="1310" t="s">
        <v>196</v>
      </c>
    </row>
    <row r="46" spans="1:1">
      <c r="A46" s="1310" t="s">
        <v>197</v>
      </c>
    </row>
    <row r="47" spans="1:1">
      <c r="A47" s="1310" t="s">
        <v>198</v>
      </c>
    </row>
    <row r="48" spans="1:1">
      <c r="A48" s="1310" t="s">
        <v>199</v>
      </c>
    </row>
    <row r="49" spans="1:1">
      <c r="A49" s="1310" t="s">
        <v>200</v>
      </c>
    </row>
    <row r="50" spans="1:1">
      <c r="A50" s="1310" t="s">
        <v>201</v>
      </c>
    </row>
    <row r="51" spans="1:1">
      <c r="A51" s="1310"/>
    </row>
    <row r="52" spans="1:1">
      <c r="A52" s="1310" t="s">
        <v>1895</v>
      </c>
    </row>
    <row r="53" spans="1:1">
      <c r="A53" s="1310" t="s">
        <v>1896</v>
      </c>
    </row>
    <row r="54" spans="1:1">
      <c r="A54" s="1310"/>
    </row>
    <row r="55" spans="1:1">
      <c r="A55" s="1310" t="s">
        <v>150</v>
      </c>
    </row>
    <row r="56" spans="1:1">
      <c r="A56" s="1310" t="s">
        <v>150</v>
      </c>
    </row>
    <row r="57" spans="1:1">
      <c r="A57" s="1310" t="s">
        <v>202</v>
      </c>
    </row>
    <row r="58" spans="1:1">
      <c r="A58" s="1310" t="s">
        <v>150</v>
      </c>
    </row>
    <row r="59" spans="1:1">
      <c r="A59" s="1310" t="s">
        <v>203</v>
      </c>
    </row>
    <row r="60" spans="1:1">
      <c r="A60" s="1310" t="s">
        <v>204</v>
      </c>
    </row>
    <row r="61" spans="1:1">
      <c r="A61" s="1310" t="s">
        <v>150</v>
      </c>
    </row>
    <row r="62" spans="1:1">
      <c r="A62" s="1310" t="s">
        <v>205</v>
      </c>
    </row>
    <row r="63" spans="1:1">
      <c r="A63" s="1310" t="s">
        <v>206</v>
      </c>
    </row>
    <row r="64" spans="1:1">
      <c r="A64" s="1310" t="s">
        <v>207</v>
      </c>
    </row>
    <row r="65" spans="1:1">
      <c r="A65" s="1310" t="s">
        <v>208</v>
      </c>
    </row>
    <row r="66" spans="1:1">
      <c r="A66" s="1310"/>
    </row>
    <row r="67" spans="1:1">
      <c r="A67" s="1310" t="s">
        <v>209</v>
      </c>
    </row>
    <row r="68" spans="1:1">
      <c r="A68" s="1310" t="s">
        <v>210</v>
      </c>
    </row>
    <row r="69" spans="1:1">
      <c r="A69" s="1310" t="s">
        <v>211</v>
      </c>
    </row>
    <row r="70" spans="1:1">
      <c r="A70" s="1310" t="s">
        <v>212</v>
      </c>
    </row>
    <row r="71" spans="1:1">
      <c r="A71" s="1310"/>
    </row>
    <row r="72" spans="1:1">
      <c r="A72" s="1310" t="s">
        <v>1682</v>
      </c>
    </row>
    <row r="73" spans="1:1">
      <c r="A73" s="1310" t="s">
        <v>1683</v>
      </c>
    </row>
    <row r="74" spans="1:1">
      <c r="A74" s="1310"/>
    </row>
    <row r="75" spans="1:1">
      <c r="A75" s="1310" t="s">
        <v>1684</v>
      </c>
    </row>
    <row r="76" spans="1:1">
      <c r="A76" s="1310" t="s">
        <v>1685</v>
      </c>
    </row>
    <row r="77" spans="1:1">
      <c r="A77" s="1310"/>
    </row>
    <row r="78" spans="1:1">
      <c r="A78" s="1310"/>
    </row>
    <row r="79" spans="1:1">
      <c r="A79" s="1310" t="s">
        <v>150</v>
      </c>
    </row>
    <row r="80" spans="1:1">
      <c r="A80" s="1310" t="s">
        <v>150</v>
      </c>
    </row>
    <row r="81" spans="1:1">
      <c r="A81" s="1310" t="s">
        <v>213</v>
      </c>
    </row>
    <row r="82" spans="1:1">
      <c r="A82" s="1310" t="s">
        <v>150</v>
      </c>
    </row>
    <row r="83" spans="1:1">
      <c r="A83" s="1310" t="s">
        <v>214</v>
      </c>
    </row>
    <row r="84" spans="1:1">
      <c r="A84" s="1310" t="s">
        <v>215</v>
      </c>
    </row>
    <row r="85" spans="1:1">
      <c r="A85" s="1310" t="s">
        <v>216</v>
      </c>
    </row>
    <row r="86" spans="1:1">
      <c r="A86" s="1310" t="s">
        <v>217</v>
      </c>
    </row>
    <row r="87" spans="1:1">
      <c r="A87" s="1310" t="s">
        <v>218</v>
      </c>
    </row>
    <row r="88" spans="1:1">
      <c r="A88" s="1310" t="s">
        <v>219</v>
      </c>
    </row>
    <row r="89" spans="1:1">
      <c r="A89" s="1310" t="s">
        <v>220</v>
      </c>
    </row>
    <row r="90" spans="1:1">
      <c r="A90" s="1310"/>
    </row>
    <row r="91" spans="1:1">
      <c r="A91" s="1310" t="s">
        <v>1867</v>
      </c>
    </row>
    <row r="92" spans="1:1">
      <c r="A92" s="1310"/>
    </row>
    <row r="93" spans="1:1">
      <c r="A93" s="1310" t="s">
        <v>222</v>
      </c>
    </row>
    <row r="94" spans="1:1">
      <c r="A94" s="1310" t="s">
        <v>150</v>
      </c>
    </row>
    <row r="95" spans="1:1">
      <c r="A95" s="1310" t="s">
        <v>223</v>
      </c>
    </row>
    <row r="96" spans="1:1">
      <c r="A96" s="1310" t="s">
        <v>224</v>
      </c>
    </row>
    <row r="97" spans="1:1">
      <c r="A97" s="1310"/>
    </row>
    <row r="98" spans="1:1">
      <c r="A98" s="1310" t="s">
        <v>150</v>
      </c>
    </row>
    <row r="99" spans="1:1">
      <c r="A99" s="1310" t="s">
        <v>225</v>
      </c>
    </row>
    <row r="100" spans="1:1">
      <c r="A100" s="1310" t="s">
        <v>226</v>
      </c>
    </row>
    <row r="101" spans="1:1">
      <c r="A101" s="1310" t="s">
        <v>227</v>
      </c>
    </row>
    <row r="102" spans="1:1">
      <c r="A102" s="1310" t="s">
        <v>228</v>
      </c>
    </row>
    <row r="103" spans="1:1">
      <c r="A103" s="1310" t="s">
        <v>229</v>
      </c>
    </row>
    <row r="104" spans="1:1">
      <c r="A104" s="1310" t="s">
        <v>230</v>
      </c>
    </row>
    <row r="105" spans="1:1">
      <c r="A105" s="1310" t="s">
        <v>231</v>
      </c>
    </row>
    <row r="106" spans="1:1">
      <c r="A106" s="1310" t="s">
        <v>232</v>
      </c>
    </row>
    <row r="107" spans="1:1">
      <c r="A107" s="1310" t="s">
        <v>233</v>
      </c>
    </row>
    <row r="108" spans="1:1">
      <c r="A108" s="1310" t="s">
        <v>150</v>
      </c>
    </row>
    <row r="109" spans="1:1">
      <c r="A109" s="1310" t="s">
        <v>234</v>
      </c>
    </row>
    <row r="110" spans="1:1">
      <c r="A110" s="1310" t="s">
        <v>235</v>
      </c>
    </row>
    <row r="111" spans="1:1">
      <c r="A111" s="1310" t="s">
        <v>236</v>
      </c>
    </row>
    <row r="112" spans="1:1">
      <c r="A112" s="1310"/>
    </row>
    <row r="113" spans="1:1">
      <c r="A113" s="1310" t="s">
        <v>150</v>
      </c>
    </row>
    <row r="114" spans="1:1">
      <c r="A114" s="1310" t="s">
        <v>237</v>
      </c>
    </row>
    <row r="115" spans="1:1">
      <c r="A115" s="1310" t="s">
        <v>238</v>
      </c>
    </row>
    <row r="116" spans="1:1">
      <c r="A116" s="1310" t="s">
        <v>239</v>
      </c>
    </row>
    <row r="117" spans="1:1">
      <c r="A117" s="1310" t="s">
        <v>240</v>
      </c>
    </row>
    <row r="118" spans="1:1">
      <c r="A118" s="1310" t="s">
        <v>241</v>
      </c>
    </row>
    <row r="119" spans="1:1">
      <c r="A119" s="1310" t="s">
        <v>242</v>
      </c>
    </row>
    <row r="120" spans="1:1">
      <c r="A120" s="1310" t="s">
        <v>150</v>
      </c>
    </row>
    <row r="121" spans="1:1">
      <c r="A121" s="1310" t="s">
        <v>243</v>
      </c>
    </row>
    <row r="122" spans="1:1">
      <c r="A122" s="1310"/>
    </row>
    <row r="123" spans="1:1">
      <c r="A123" s="1310" t="s">
        <v>244</v>
      </c>
    </row>
    <row r="124" spans="1:1">
      <c r="A124" s="1310" t="s">
        <v>245</v>
      </c>
    </row>
    <row r="125" spans="1:1">
      <c r="A125" s="1310" t="s">
        <v>246</v>
      </c>
    </row>
    <row r="126" spans="1:1">
      <c r="A126" s="1310" t="s">
        <v>247</v>
      </c>
    </row>
    <row r="127" spans="1:1">
      <c r="A127" s="1310" t="s">
        <v>248</v>
      </c>
    </row>
    <row r="128" spans="1:1">
      <c r="A128" s="1310" t="s">
        <v>150</v>
      </c>
    </row>
    <row r="129" spans="1:1">
      <c r="A129" s="1310" t="s">
        <v>249</v>
      </c>
    </row>
    <row r="130" spans="1:1">
      <c r="A130" s="1310"/>
    </row>
    <row r="131" spans="1:1">
      <c r="A131" s="1310" t="s">
        <v>150</v>
      </c>
    </row>
    <row r="132" spans="1:1">
      <c r="A132" s="1310" t="s">
        <v>250</v>
      </c>
    </row>
    <row r="133" spans="1:1">
      <c r="A133" s="1310" t="s">
        <v>150</v>
      </c>
    </row>
    <row r="134" spans="1:1">
      <c r="A134" s="1310" t="s">
        <v>251</v>
      </c>
    </row>
    <row r="135" spans="1:1">
      <c r="A135" s="1310" t="s">
        <v>252</v>
      </c>
    </row>
    <row r="136" spans="1:1">
      <c r="A136" s="1310" t="s">
        <v>150</v>
      </c>
    </row>
    <row r="137" spans="1:1">
      <c r="A137" s="1310" t="s">
        <v>150</v>
      </c>
    </row>
    <row r="138" spans="1:1">
      <c r="A138" s="1310" t="s">
        <v>255</v>
      </c>
    </row>
    <row r="139" spans="1:1">
      <c r="A139" s="1310" t="s">
        <v>150</v>
      </c>
    </row>
    <row r="140" spans="1:1">
      <c r="A140" s="1310" t="s">
        <v>256</v>
      </c>
    </row>
    <row r="141" spans="1:1">
      <c r="A141" s="1310"/>
    </row>
    <row r="142" spans="1:1">
      <c r="A142" s="1310" t="s">
        <v>150</v>
      </c>
    </row>
    <row r="143" spans="1:1">
      <c r="A143" s="1310" t="s">
        <v>1886</v>
      </c>
    </row>
    <row r="144" spans="1:1">
      <c r="A144" s="1310" t="s">
        <v>150</v>
      </c>
    </row>
    <row r="145" spans="1:1">
      <c r="A145" s="1310" t="s">
        <v>1887</v>
      </c>
    </row>
    <row r="146" spans="1:1">
      <c r="A146" s="1310" t="s">
        <v>1888</v>
      </c>
    </row>
    <row r="147" spans="1:1">
      <c r="A147" s="1310"/>
    </row>
    <row r="148" spans="1:1">
      <c r="A148" s="1310" t="s">
        <v>257</v>
      </c>
    </row>
    <row r="149" spans="1:1">
      <c r="A149" s="1310" t="s">
        <v>258</v>
      </c>
    </row>
    <row r="150" spans="1:1">
      <c r="A150" s="1310" t="s">
        <v>259</v>
      </c>
    </row>
    <row r="151" spans="1:1">
      <c r="A151" s="1310"/>
    </row>
    <row r="152" spans="1:1">
      <c r="A152" s="1310" t="s">
        <v>260</v>
      </c>
    </row>
    <row r="153" spans="1:1">
      <c r="A153" s="1310" t="s">
        <v>261</v>
      </c>
    </row>
    <row r="154" spans="1:1">
      <c r="A154" s="1310" t="s">
        <v>262</v>
      </c>
    </row>
    <row r="155" spans="1:1">
      <c r="A155" s="1310" t="s">
        <v>263</v>
      </c>
    </row>
    <row r="156" spans="1:1">
      <c r="A156" s="1310" t="s">
        <v>264</v>
      </c>
    </row>
    <row r="157" spans="1:1">
      <c r="A157" s="1310" t="s">
        <v>265</v>
      </c>
    </row>
    <row r="158" spans="1:1">
      <c r="A158" s="1310" t="s">
        <v>266</v>
      </c>
    </row>
    <row r="159" spans="1:1">
      <c r="A159" s="1310" t="s">
        <v>267</v>
      </c>
    </row>
    <row r="160" spans="1:1">
      <c r="A160" s="1310" t="s">
        <v>268</v>
      </c>
    </row>
    <row r="161" spans="1:1">
      <c r="A161" s="1310" t="s">
        <v>269</v>
      </c>
    </row>
    <row r="162" spans="1:1">
      <c r="A162" s="1310"/>
    </row>
    <row r="163" spans="1:1">
      <c r="A163" s="1310" t="s">
        <v>270</v>
      </c>
    </row>
    <row r="164" spans="1:1">
      <c r="A164" s="1310" t="s">
        <v>271</v>
      </c>
    </row>
    <row r="165" spans="1:1">
      <c r="A165" s="1310" t="s">
        <v>272</v>
      </c>
    </row>
    <row r="166" spans="1:1">
      <c r="A166" s="1310" t="s">
        <v>273</v>
      </c>
    </row>
    <row r="167" spans="1:1">
      <c r="A167" s="1310" t="s">
        <v>274</v>
      </c>
    </row>
    <row r="168" spans="1:1">
      <c r="A168" s="1310"/>
    </row>
    <row r="169" spans="1:1">
      <c r="A169" s="1310" t="s">
        <v>275</v>
      </c>
    </row>
    <row r="170" spans="1:1">
      <c r="A170" s="1310" t="s">
        <v>276</v>
      </c>
    </row>
    <row r="171" spans="1:1">
      <c r="A171" s="1310" t="s">
        <v>277</v>
      </c>
    </row>
    <row r="172" spans="1:1">
      <c r="A172" s="1310" t="s">
        <v>278</v>
      </c>
    </row>
    <row r="173" spans="1:1">
      <c r="A173" s="1310" t="s">
        <v>279</v>
      </c>
    </row>
    <row r="174" spans="1:1">
      <c r="A174" s="1310" t="s">
        <v>280</v>
      </c>
    </row>
    <row r="175" spans="1:1">
      <c r="A175" s="1310" t="s">
        <v>281</v>
      </c>
    </row>
    <row r="176" spans="1:1">
      <c r="A176" s="1310" t="s">
        <v>282</v>
      </c>
    </row>
    <row r="177" spans="1:1">
      <c r="A177" s="1310" t="s">
        <v>1875</v>
      </c>
    </row>
    <row r="178" spans="1:1">
      <c r="A178" s="1310" t="s">
        <v>283</v>
      </c>
    </row>
    <row r="179" spans="1:1">
      <c r="A179" s="1310" t="s">
        <v>284</v>
      </c>
    </row>
    <row r="180" spans="1:1">
      <c r="A180" s="1310" t="s">
        <v>285</v>
      </c>
    </row>
    <row r="181" spans="1:1">
      <c r="A181" s="1310" t="s">
        <v>1564</v>
      </c>
    </row>
    <row r="182" spans="1:1">
      <c r="A182" s="1310" t="s">
        <v>287</v>
      </c>
    </row>
    <row r="183" spans="1:1">
      <c r="A183" s="1310" t="s">
        <v>288</v>
      </c>
    </row>
    <row r="184" spans="1:1">
      <c r="A184" s="1310" t="s">
        <v>289</v>
      </c>
    </row>
    <row r="185" spans="1:1">
      <c r="A185" s="1310" t="s">
        <v>290</v>
      </c>
    </row>
    <row r="186" spans="1:1">
      <c r="A186" s="1310" t="s">
        <v>291</v>
      </c>
    </row>
    <row r="187" spans="1:1">
      <c r="A187" s="1310" t="s">
        <v>292</v>
      </c>
    </row>
    <row r="188" spans="1:1">
      <c r="A188" s="1310" t="s">
        <v>1693</v>
      </c>
    </row>
    <row r="189" spans="1:1">
      <c r="A189" s="1310" t="s">
        <v>1826</v>
      </c>
    </row>
    <row r="190" spans="1:1">
      <c r="A190" s="1310" t="s">
        <v>1827</v>
      </c>
    </row>
    <row r="191" spans="1:1">
      <c r="A191" s="1310" t="s">
        <v>1828</v>
      </c>
    </row>
    <row r="192" spans="1:1">
      <c r="A192" s="1310" t="s">
        <v>1829</v>
      </c>
    </row>
    <row r="193" spans="1:1">
      <c r="A193" s="1310"/>
    </row>
    <row r="194" spans="1:1">
      <c r="A194" s="1310"/>
    </row>
    <row r="195" spans="1:1">
      <c r="A195" s="1310" t="s">
        <v>293</v>
      </c>
    </row>
    <row r="196" spans="1:1">
      <c r="A196" s="1310" t="s">
        <v>294</v>
      </c>
    </row>
    <row r="197" spans="1:1">
      <c r="A197" s="1310" t="s">
        <v>295</v>
      </c>
    </row>
    <row r="198" spans="1:1">
      <c r="A198" s="1310" t="s">
        <v>296</v>
      </c>
    </row>
    <row r="199" spans="1:1">
      <c r="A199" s="1310" t="s">
        <v>297</v>
      </c>
    </row>
    <row r="200" spans="1:1">
      <c r="A200" s="1310" t="s">
        <v>298</v>
      </c>
    </row>
    <row r="201" spans="1:1">
      <c r="A201" s="1310" t="s">
        <v>1897</v>
      </c>
    </row>
    <row r="202" spans="1:1">
      <c r="A202" s="1310" t="s">
        <v>300</v>
      </c>
    </row>
    <row r="203" spans="1:1">
      <c r="A203" s="1310" t="s">
        <v>301</v>
      </c>
    </row>
    <row r="204" spans="1:1">
      <c r="A204" s="1310"/>
    </row>
    <row r="205" spans="1:1">
      <c r="A205" s="1310" t="s">
        <v>150</v>
      </c>
    </row>
    <row r="206" spans="1:1">
      <c r="A206" s="1310" t="s">
        <v>302</v>
      </c>
    </row>
    <row r="207" spans="1:1">
      <c r="A207" s="1310" t="s">
        <v>303</v>
      </c>
    </row>
    <row r="208" spans="1:1">
      <c r="A208" s="1310" t="s">
        <v>150</v>
      </c>
    </row>
    <row r="209" spans="1:1">
      <c r="A209" s="1310" t="s">
        <v>304</v>
      </c>
    </row>
    <row r="210" spans="1:1">
      <c r="A210" s="1310" t="s">
        <v>305</v>
      </c>
    </row>
    <row r="211" spans="1:1">
      <c r="A211" s="1310" t="s">
        <v>306</v>
      </c>
    </row>
    <row r="212" spans="1:1">
      <c r="A212" s="1310" t="s">
        <v>307</v>
      </c>
    </row>
    <row r="213" spans="1:1">
      <c r="A213" s="1310" t="s">
        <v>308</v>
      </c>
    </row>
    <row r="214" spans="1:1">
      <c r="A214" s="1310" t="s">
        <v>309</v>
      </c>
    </row>
    <row r="215" spans="1:1">
      <c r="A215" s="1310" t="s">
        <v>310</v>
      </c>
    </row>
    <row r="216" spans="1:1">
      <c r="A216" s="1310" t="s">
        <v>311</v>
      </c>
    </row>
    <row r="217" spans="1:1">
      <c r="A217" s="1310" t="s">
        <v>312</v>
      </c>
    </row>
    <row r="218" spans="1:1">
      <c r="A218" s="1310" t="s">
        <v>313</v>
      </c>
    </row>
    <row r="219" spans="1:1">
      <c r="A219" s="1310" t="s">
        <v>1767</v>
      </c>
    </row>
    <row r="220" spans="1:1">
      <c r="A220" s="1310" t="s">
        <v>1766</v>
      </c>
    </row>
    <row r="221" spans="1:1">
      <c r="A221" s="1310" t="s">
        <v>1889</v>
      </c>
    </row>
    <row r="222" spans="1:1">
      <c r="A222" s="1310"/>
    </row>
    <row r="223" spans="1:1">
      <c r="A223" s="1310" t="s">
        <v>315</v>
      </c>
    </row>
    <row r="224" spans="1:1">
      <c r="A224" s="1310" t="s">
        <v>316</v>
      </c>
    </row>
    <row r="225" spans="1:1">
      <c r="A225" s="1310" t="s">
        <v>317</v>
      </c>
    </row>
    <row r="226" spans="1:1">
      <c r="A226" s="1310" t="s">
        <v>318</v>
      </c>
    </row>
    <row r="227" spans="1:1">
      <c r="A227" s="1310" t="s">
        <v>319</v>
      </c>
    </row>
    <row r="228" spans="1:1">
      <c r="A228" s="1310"/>
    </row>
    <row r="229" spans="1:1">
      <c r="A229" s="1310" t="s">
        <v>320</v>
      </c>
    </row>
    <row r="230" spans="1:1">
      <c r="A230" s="1310" t="s">
        <v>321</v>
      </c>
    </row>
    <row r="231" spans="1:1">
      <c r="A231" s="1310"/>
    </row>
    <row r="232" spans="1:1">
      <c r="A232" s="1310" t="s">
        <v>322</v>
      </c>
    </row>
    <row r="233" spans="1:1">
      <c r="A233" s="1310" t="s">
        <v>323</v>
      </c>
    </row>
    <row r="234" spans="1:1">
      <c r="A234" s="1310" t="s">
        <v>324</v>
      </c>
    </row>
    <row r="235" spans="1:1">
      <c r="A235" s="1310"/>
    </row>
    <row r="236" spans="1:1">
      <c r="A236" s="1310" t="s">
        <v>325</v>
      </c>
    </row>
    <row r="237" spans="1:1">
      <c r="A237" s="1310" t="s">
        <v>326</v>
      </c>
    </row>
    <row r="238" spans="1:1">
      <c r="A238" s="1310" t="s">
        <v>327</v>
      </c>
    </row>
    <row r="239" spans="1:1">
      <c r="A239" s="1310" t="s">
        <v>328</v>
      </c>
    </row>
    <row r="240" spans="1:1">
      <c r="A240" s="1310" t="s">
        <v>329</v>
      </c>
    </row>
    <row r="241" spans="1:1">
      <c r="A241" s="1310" t="s">
        <v>330</v>
      </c>
    </row>
    <row r="242" spans="1:1">
      <c r="A242" s="1310"/>
    </row>
    <row r="243" spans="1:1">
      <c r="A243" s="1310" t="s">
        <v>331</v>
      </c>
    </row>
    <row r="244" spans="1:1">
      <c r="A244" s="1310" t="s">
        <v>332</v>
      </c>
    </row>
    <row r="245" spans="1:1">
      <c r="A245" s="1310" t="s">
        <v>333</v>
      </c>
    </row>
    <row r="246" spans="1:1">
      <c r="A246" s="1310" t="s">
        <v>334</v>
      </c>
    </row>
    <row r="247" spans="1:1">
      <c r="A247" s="1310"/>
    </row>
    <row r="248" spans="1:1">
      <c r="A248" s="1310" t="s">
        <v>335</v>
      </c>
    </row>
    <row r="249" spans="1:1">
      <c r="A249" s="1310" t="s">
        <v>1248</v>
      </c>
    </row>
    <row r="250" spans="1:1">
      <c r="A250" s="1310" t="s">
        <v>1488</v>
      </c>
    </row>
    <row r="251" spans="1:1">
      <c r="A251" s="1310" t="s">
        <v>336</v>
      </c>
    </row>
    <row r="252" spans="1:1">
      <c r="A252" s="1310" t="s">
        <v>1249</v>
      </c>
    </row>
    <row r="253" spans="1:1">
      <c r="A253" s="1310" t="s">
        <v>337</v>
      </c>
    </row>
    <row r="254" spans="1:1">
      <c r="A254" s="1310" t="s">
        <v>338</v>
      </c>
    </row>
    <row r="255" spans="1:1">
      <c r="A255" s="1310" t="s">
        <v>339</v>
      </c>
    </row>
    <row r="256" spans="1:1">
      <c r="A256" s="1310"/>
    </row>
    <row r="257" spans="1:1">
      <c r="A257" s="1310" t="s">
        <v>340</v>
      </c>
    </row>
    <row r="258" spans="1:1">
      <c r="A258" s="1310" t="s">
        <v>1250</v>
      </c>
    </row>
    <row r="259" spans="1:1">
      <c r="A259" s="1310" t="s">
        <v>341</v>
      </c>
    </row>
    <row r="260" spans="1:1">
      <c r="A260" s="1310" t="s">
        <v>1249</v>
      </c>
    </row>
    <row r="261" spans="1:1">
      <c r="A261" s="1310" t="s">
        <v>342</v>
      </c>
    </row>
    <row r="262" spans="1:1">
      <c r="A262" s="1310" t="s">
        <v>343</v>
      </c>
    </row>
    <row r="263" spans="1:1">
      <c r="A263" s="1310" t="s">
        <v>344</v>
      </c>
    </row>
    <row r="264" spans="1:1">
      <c r="A264" s="1310" t="s">
        <v>345</v>
      </c>
    </row>
    <row r="265" spans="1:1">
      <c r="A265" s="1310" t="s">
        <v>346</v>
      </c>
    </row>
    <row r="266" spans="1:1">
      <c r="A266" s="1310" t="s">
        <v>1251</v>
      </c>
    </row>
    <row r="267" spans="1:1">
      <c r="A267" s="1310" t="s">
        <v>347</v>
      </c>
    </row>
    <row r="268" spans="1:1">
      <c r="A268" s="1310" t="s">
        <v>348</v>
      </c>
    </row>
    <row r="269" spans="1:1">
      <c r="A269" s="1310" t="s">
        <v>349</v>
      </c>
    </row>
    <row r="270" spans="1:1">
      <c r="A270" s="1310" t="s">
        <v>350</v>
      </c>
    </row>
    <row r="271" spans="1:1">
      <c r="A271" s="1310" t="s">
        <v>351</v>
      </c>
    </row>
    <row r="272" spans="1:1">
      <c r="A272" s="1310"/>
    </row>
    <row r="273" spans="1:1">
      <c r="A273" s="1310" t="s">
        <v>352</v>
      </c>
    </row>
    <row r="274" spans="1:1">
      <c r="A274" s="1310" t="s">
        <v>353</v>
      </c>
    </row>
    <row r="275" spans="1:1">
      <c r="A275" s="1310"/>
    </row>
    <row r="276" spans="1:1">
      <c r="A276" s="1310" t="s">
        <v>354</v>
      </c>
    </row>
    <row r="277" spans="1:1">
      <c r="A277" s="1310" t="s">
        <v>355</v>
      </c>
    </row>
    <row r="278" spans="1:1">
      <c r="A278" s="1310" t="s">
        <v>356</v>
      </c>
    </row>
    <row r="279" spans="1:1">
      <c r="A279" s="1310"/>
    </row>
    <row r="280" spans="1:1">
      <c r="A280" s="1310"/>
    </row>
    <row r="281" spans="1:1">
      <c r="A281" s="1310" t="s">
        <v>150</v>
      </c>
    </row>
    <row r="282" spans="1:1">
      <c r="A282" s="1310" t="s">
        <v>357</v>
      </c>
    </row>
    <row r="283" spans="1:1">
      <c r="A283" s="1310" t="s">
        <v>150</v>
      </c>
    </row>
    <row r="284" spans="1:1">
      <c r="A284" s="1310" t="s">
        <v>358</v>
      </c>
    </row>
    <row r="285" spans="1:1">
      <c r="A285" s="1310" t="s">
        <v>359</v>
      </c>
    </row>
    <row r="286" spans="1:1">
      <c r="A286" s="1310" t="s">
        <v>360</v>
      </c>
    </row>
    <row r="287" spans="1:1">
      <c r="A287" s="1310" t="s">
        <v>361</v>
      </c>
    </row>
    <row r="288" spans="1:1">
      <c r="A288" s="1310" t="s">
        <v>362</v>
      </c>
    </row>
    <row r="289" spans="1:1">
      <c r="A289" s="1310" t="s">
        <v>363</v>
      </c>
    </row>
    <row r="290" spans="1:1">
      <c r="A290" s="1310" t="s">
        <v>364</v>
      </c>
    </row>
    <row r="291" spans="1:1">
      <c r="A291" s="1310" t="s">
        <v>365</v>
      </c>
    </row>
    <row r="292" spans="1:1">
      <c r="A292" s="1310" t="s">
        <v>366</v>
      </c>
    </row>
    <row r="293" spans="1:1">
      <c r="A293" s="1310"/>
    </row>
    <row r="294" spans="1:1">
      <c r="A294" s="1310" t="s">
        <v>150</v>
      </c>
    </row>
    <row r="295" spans="1:1">
      <c r="A295" s="1310" t="s">
        <v>150</v>
      </c>
    </row>
    <row r="296" spans="1:1">
      <c r="A296" s="1310" t="s">
        <v>367</v>
      </c>
    </row>
    <row r="297" spans="1:1">
      <c r="A297" s="1310" t="s">
        <v>150</v>
      </c>
    </row>
    <row r="298" spans="1:1">
      <c r="A298" s="1310" t="s">
        <v>368</v>
      </c>
    </row>
    <row r="299" spans="1:1">
      <c r="A299" s="1310" t="s">
        <v>369</v>
      </c>
    </row>
    <row r="300" spans="1:1">
      <c r="A300" s="1310" t="s">
        <v>370</v>
      </c>
    </row>
    <row r="301" spans="1:1">
      <c r="A301" s="1310" t="s">
        <v>371</v>
      </c>
    </row>
    <row r="302" spans="1:1">
      <c r="A302" s="1310" t="s">
        <v>372</v>
      </c>
    </row>
    <row r="303" spans="1:1">
      <c r="A303" s="1310" t="s">
        <v>373</v>
      </c>
    </row>
    <row r="304" spans="1:1">
      <c r="A304" s="1310" t="s">
        <v>374</v>
      </c>
    </row>
    <row r="305" spans="1:1">
      <c r="A305" s="1310"/>
    </row>
    <row r="306" spans="1:1">
      <c r="A306" s="1310" t="s">
        <v>375</v>
      </c>
    </row>
    <row r="307" spans="1:1">
      <c r="A307" s="1310" t="s">
        <v>376</v>
      </c>
    </row>
    <row r="308" spans="1:1">
      <c r="A308" s="1310" t="s">
        <v>377</v>
      </c>
    </row>
    <row r="309" spans="1:1">
      <c r="A309" s="1310" t="s">
        <v>378</v>
      </c>
    </row>
    <row r="310" spans="1:1">
      <c r="A310" s="1310" t="s">
        <v>379</v>
      </c>
    </row>
    <row r="311" spans="1:1">
      <c r="A311" s="1310" t="s">
        <v>380</v>
      </c>
    </row>
    <row r="312" spans="1:1">
      <c r="A312" s="1310" t="s">
        <v>381</v>
      </c>
    </row>
    <row r="313" spans="1:1">
      <c r="A313" s="1310" t="s">
        <v>382</v>
      </c>
    </row>
    <row r="314" spans="1:1">
      <c r="A314" s="1310"/>
    </row>
    <row r="315" spans="1:1">
      <c r="A315" s="1310"/>
    </row>
    <row r="316" spans="1:1">
      <c r="A316" s="1310" t="s">
        <v>383</v>
      </c>
    </row>
    <row r="317" spans="1:1">
      <c r="A317" s="1310" t="s">
        <v>384</v>
      </c>
    </row>
    <row r="318" spans="1:1">
      <c r="A318" s="1310"/>
    </row>
    <row r="319" spans="1:1">
      <c r="A319" s="1310" t="s">
        <v>385</v>
      </c>
    </row>
    <row r="320" spans="1:1">
      <c r="A320" s="1310" t="s">
        <v>386</v>
      </c>
    </row>
    <row r="321" spans="1:1">
      <c r="A321" s="1310"/>
    </row>
    <row r="322" spans="1:1">
      <c r="A322" s="1310" t="s">
        <v>387</v>
      </c>
    </row>
    <row r="323" spans="1:1">
      <c r="A323" s="1310" t="s">
        <v>388</v>
      </c>
    </row>
    <row r="324" spans="1:1">
      <c r="A324" s="1310" t="s">
        <v>389</v>
      </c>
    </row>
    <row r="325" spans="1:1">
      <c r="A325" s="1310" t="s">
        <v>390</v>
      </c>
    </row>
    <row r="326" spans="1:1">
      <c r="A326" s="1310"/>
    </row>
    <row r="327" spans="1:1">
      <c r="A327" s="1310" t="s">
        <v>391</v>
      </c>
    </row>
    <row r="328" spans="1:1">
      <c r="A328" s="1310" t="s">
        <v>392</v>
      </c>
    </row>
    <row r="329" spans="1:1">
      <c r="A329" s="1310" t="s">
        <v>393</v>
      </c>
    </row>
    <row r="330" spans="1:1">
      <c r="A330" s="1310" t="s">
        <v>394</v>
      </c>
    </row>
    <row r="331" spans="1:1">
      <c r="A331" s="1310"/>
    </row>
    <row r="332" spans="1:1">
      <c r="A332" s="1310" t="s">
        <v>395</v>
      </c>
    </row>
    <row r="333" spans="1:1">
      <c r="A333" s="1310" t="s">
        <v>1868</v>
      </c>
    </row>
    <row r="334" spans="1:1">
      <c r="A334" s="1310" t="s">
        <v>1869</v>
      </c>
    </row>
    <row r="335" spans="1:1">
      <c r="A335" s="1310" t="s">
        <v>1252</v>
      </c>
    </row>
    <row r="336" spans="1:1">
      <c r="A336" s="1310" t="s">
        <v>1253</v>
      </c>
    </row>
    <row r="337" spans="1:1">
      <c r="A337" s="1310" t="s">
        <v>1254</v>
      </c>
    </row>
    <row r="338" spans="1:1">
      <c r="A338" s="1310" t="s">
        <v>1255</v>
      </c>
    </row>
    <row r="339" spans="1:1">
      <c r="A339" s="1310" t="s">
        <v>1256</v>
      </c>
    </row>
    <row r="340" spans="1:1">
      <c r="A340" s="1310"/>
    </row>
    <row r="341" spans="1:1">
      <c r="A341" s="1310" t="s">
        <v>397</v>
      </c>
    </row>
    <row r="342" spans="1:1">
      <c r="A342" s="1310" t="s">
        <v>398</v>
      </c>
    </row>
    <row r="343" spans="1:1">
      <c r="A343" s="1310" t="s">
        <v>1565</v>
      </c>
    </row>
    <row r="344" spans="1:1">
      <c r="A344" s="1310" t="s">
        <v>400</v>
      </c>
    </row>
    <row r="345" spans="1:1">
      <c r="A345" s="1310" t="s">
        <v>401</v>
      </c>
    </row>
    <row r="346" spans="1:1">
      <c r="A346" s="1310" t="s">
        <v>402</v>
      </c>
    </row>
    <row r="347" spans="1:1">
      <c r="A347" s="1310" t="s">
        <v>403</v>
      </c>
    </row>
    <row r="348" spans="1:1">
      <c r="A348" s="1310" t="s">
        <v>404</v>
      </c>
    </row>
    <row r="349" spans="1:1">
      <c r="A349" s="1310" t="s">
        <v>405</v>
      </c>
    </row>
    <row r="350" spans="1:1">
      <c r="A350" s="1310" t="s">
        <v>406</v>
      </c>
    </row>
    <row r="351" spans="1:1">
      <c r="A351" s="1310" t="s">
        <v>407</v>
      </c>
    </row>
    <row r="352" spans="1:1">
      <c r="A352" s="1310" t="s">
        <v>408</v>
      </c>
    </row>
    <row r="353" spans="1:1">
      <c r="A353" s="1311" t="str">
        <f>"platelet_mobilization_factor=" &amp; IF('Configs &amp; Procedures'!$H$15="YES","0.8","1.00")</f>
        <v>platelet_mobilization_factor=1.00</v>
      </c>
    </row>
    <row r="354" spans="1:1">
      <c r="A354" s="1310"/>
    </row>
    <row r="355" spans="1:1">
      <c r="A355" s="1310" t="s">
        <v>410</v>
      </c>
    </row>
    <row r="356" spans="1:1">
      <c r="A356" s="1310" t="s">
        <v>150</v>
      </c>
    </row>
    <row r="357" spans="1:1">
      <c r="A357" s="1310" t="s">
        <v>150</v>
      </c>
    </row>
    <row r="358" spans="1:1">
      <c r="A358" s="1310" t="s">
        <v>411</v>
      </c>
    </row>
    <row r="359" spans="1:1">
      <c r="A359" s="1310" t="s">
        <v>412</v>
      </c>
    </row>
    <row r="360" spans="1:1">
      <c r="A360" s="1310" t="s">
        <v>150</v>
      </c>
    </row>
    <row r="361" spans="1:1">
      <c r="A361" s="1310" t="s">
        <v>413</v>
      </c>
    </row>
    <row r="362" spans="1:1">
      <c r="A362" s="1310" t="s">
        <v>414</v>
      </c>
    </row>
    <row r="363" spans="1:1">
      <c r="A363" s="1310" t="s">
        <v>415</v>
      </c>
    </row>
    <row r="364" spans="1:1">
      <c r="A364" s="1310" t="s">
        <v>416</v>
      </c>
    </row>
    <row r="365" spans="1:1">
      <c r="A365" s="1310" t="s">
        <v>150</v>
      </c>
    </row>
    <row r="366" spans="1:1">
      <c r="A366" s="1310" t="s">
        <v>150</v>
      </c>
    </row>
    <row r="367" spans="1:1">
      <c r="A367" s="1310" t="s">
        <v>417</v>
      </c>
    </row>
    <row r="368" spans="1:1">
      <c r="A368" s="1310" t="s">
        <v>418</v>
      </c>
    </row>
    <row r="369" spans="1:1">
      <c r="A369" s="1310" t="s">
        <v>150</v>
      </c>
    </row>
    <row r="370" spans="1:1">
      <c r="A370" s="1310" t="s">
        <v>419</v>
      </c>
    </row>
    <row r="371" spans="1:1">
      <c r="A371" s="1310" t="s">
        <v>150</v>
      </c>
    </row>
    <row r="372" spans="1:1">
      <c r="A372" s="1310" t="s">
        <v>420</v>
      </c>
    </row>
    <row r="373" spans="1:1">
      <c r="A373" s="1310" t="s">
        <v>421</v>
      </c>
    </row>
    <row r="374" spans="1:1">
      <c r="A374" s="1310" t="s">
        <v>422</v>
      </c>
    </row>
    <row r="375" spans="1:1">
      <c r="A375" s="1310" t="s">
        <v>423</v>
      </c>
    </row>
    <row r="376" spans="1:1">
      <c r="A376" s="1310" t="s">
        <v>1876</v>
      </c>
    </row>
    <row r="377" spans="1:1">
      <c r="A377" s="1310" t="s">
        <v>150</v>
      </c>
    </row>
    <row r="378" spans="1:1">
      <c r="A378" s="1310" t="s">
        <v>424</v>
      </c>
    </row>
    <row r="379" spans="1:1">
      <c r="A379" s="1310" t="s">
        <v>425</v>
      </c>
    </row>
    <row r="380" spans="1:1">
      <c r="A380" s="1310" t="s">
        <v>426</v>
      </c>
    </row>
    <row r="381" spans="1:1">
      <c r="A381" s="1310" t="s">
        <v>427</v>
      </c>
    </row>
    <row r="382" spans="1:1">
      <c r="A382" s="1310" t="s">
        <v>428</v>
      </c>
    </row>
    <row r="383" spans="1:1">
      <c r="A383" s="1310" t="s">
        <v>429</v>
      </c>
    </row>
    <row r="384" spans="1:1">
      <c r="A384" s="1310" t="s">
        <v>150</v>
      </c>
    </row>
    <row r="385" spans="1:1">
      <c r="A385" s="1310" t="s">
        <v>430</v>
      </c>
    </row>
    <row r="386" spans="1:1">
      <c r="A386" s="1310" t="s">
        <v>150</v>
      </c>
    </row>
    <row r="387" spans="1:1">
      <c r="A387" s="1310" t="s">
        <v>431</v>
      </c>
    </row>
    <row r="388" spans="1:1">
      <c r="A388" s="1310" t="s">
        <v>432</v>
      </c>
    </row>
    <row r="389" spans="1:1">
      <c r="A389" s="1310" t="s">
        <v>433</v>
      </c>
    </row>
    <row r="390" spans="1:1">
      <c r="A390" s="1310" t="s">
        <v>150</v>
      </c>
    </row>
    <row r="391" spans="1:1">
      <c r="A391" s="1310" t="s">
        <v>434</v>
      </c>
    </row>
    <row r="392" spans="1:1">
      <c r="A392" s="1310" t="s">
        <v>435</v>
      </c>
    </row>
    <row r="393" spans="1:1">
      <c r="A393" s="1310" t="s">
        <v>150</v>
      </c>
    </row>
    <row r="394" spans="1:1">
      <c r="A394" s="1310" t="s">
        <v>436</v>
      </c>
    </row>
    <row r="395" spans="1:1">
      <c r="A395" s="1310"/>
    </row>
    <row r="396" spans="1:1">
      <c r="A396" s="1310" t="s">
        <v>150</v>
      </c>
    </row>
    <row r="397" spans="1:1">
      <c r="A397" s="1310" t="s">
        <v>1877</v>
      </c>
    </row>
    <row r="398" spans="1:1">
      <c r="A398" s="1310" t="s">
        <v>150</v>
      </c>
    </row>
    <row r="399" spans="1:1">
      <c r="A399" s="1310" t="s">
        <v>1878</v>
      </c>
    </row>
    <row r="400" spans="1:1">
      <c r="A400" s="1310"/>
    </row>
    <row r="401" spans="1:1">
      <c r="A401" s="1310" t="s">
        <v>1257</v>
      </c>
    </row>
    <row r="402" spans="1:1">
      <c r="A402" s="1310" t="s">
        <v>1258</v>
      </c>
    </row>
    <row r="403" spans="1:1">
      <c r="A403" s="1310" t="s">
        <v>1259</v>
      </c>
    </row>
    <row r="404" spans="1:1">
      <c r="A404" s="1310" t="s">
        <v>1260</v>
      </c>
    </row>
    <row r="405" spans="1:1">
      <c r="A405" s="1310"/>
    </row>
    <row r="406" spans="1:1">
      <c r="A406" s="1310" t="s">
        <v>437</v>
      </c>
    </row>
    <row r="407" spans="1:1">
      <c r="A407" s="1310" t="s">
        <v>150</v>
      </c>
    </row>
    <row r="408" spans="1:1">
      <c r="A408" s="1310" t="s">
        <v>438</v>
      </c>
    </row>
    <row r="409" spans="1:1">
      <c r="A409" s="1310" t="s">
        <v>439</v>
      </c>
    </row>
    <row r="410" spans="1:1">
      <c r="A410" s="1310" t="s">
        <v>440</v>
      </c>
    </row>
    <row r="411" spans="1:1">
      <c r="A411" s="1310" t="s">
        <v>441</v>
      </c>
    </row>
    <row r="412" spans="1:1">
      <c r="A412" s="1310" t="s">
        <v>442</v>
      </c>
    </row>
    <row r="413" spans="1:1">
      <c r="A413" s="1310" t="s">
        <v>443</v>
      </c>
    </row>
    <row r="414" spans="1:1">
      <c r="A414" s="1310" t="s">
        <v>444</v>
      </c>
    </row>
    <row r="415" spans="1:1">
      <c r="A415" s="1310" t="s">
        <v>445</v>
      </c>
    </row>
    <row r="416" spans="1:1">
      <c r="A416" s="1310" t="s">
        <v>446</v>
      </c>
    </row>
    <row r="417" spans="1:1">
      <c r="A417" s="1310" t="s">
        <v>1566</v>
      </c>
    </row>
    <row r="418" spans="1:1">
      <c r="A418" s="1310" t="s">
        <v>1567</v>
      </c>
    </row>
    <row r="419" spans="1:1">
      <c r="A419" s="1310" t="s">
        <v>150</v>
      </c>
    </row>
    <row r="420" spans="1:1">
      <c r="A420" s="1310" t="s">
        <v>447</v>
      </c>
    </row>
    <row r="421" spans="1:1">
      <c r="A421" s="1310" t="s">
        <v>448</v>
      </c>
    </row>
    <row r="422" spans="1:1">
      <c r="A422" s="1310" t="s">
        <v>150</v>
      </c>
    </row>
    <row r="423" spans="1:1">
      <c r="A423" s="1310" t="s">
        <v>449</v>
      </c>
    </row>
    <row r="424" spans="1:1">
      <c r="A424" s="1310" t="s">
        <v>450</v>
      </c>
    </row>
    <row r="425" spans="1:1">
      <c r="A425" s="1310" t="s">
        <v>451</v>
      </c>
    </row>
    <row r="426" spans="1:1">
      <c r="A426" s="1310" t="s">
        <v>452</v>
      </c>
    </row>
    <row r="427" spans="1:1">
      <c r="A427" s="1310" t="s">
        <v>453</v>
      </c>
    </row>
    <row r="428" spans="1:1">
      <c r="A428" s="1310" t="s">
        <v>454</v>
      </c>
    </row>
    <row r="429" spans="1:1">
      <c r="A429" s="1310" t="s">
        <v>1568</v>
      </c>
    </row>
    <row r="430" spans="1:1">
      <c r="A430" s="1310" t="s">
        <v>1569</v>
      </c>
    </row>
    <row r="431" spans="1:1">
      <c r="A431" s="1310"/>
    </row>
    <row r="432" spans="1:1">
      <c r="A432" s="1310"/>
    </row>
    <row r="433" spans="1:1">
      <c r="A433" s="1310" t="s">
        <v>150</v>
      </c>
    </row>
    <row r="434" spans="1:1">
      <c r="A434" s="1310" t="s">
        <v>455</v>
      </c>
    </row>
    <row r="435" spans="1:1">
      <c r="A435" s="1310" t="s">
        <v>150</v>
      </c>
    </row>
    <row r="436" spans="1:1">
      <c r="A436" s="1310" t="s">
        <v>456</v>
      </c>
    </row>
    <row r="437" spans="1:1">
      <c r="A437" s="1310" t="s">
        <v>457</v>
      </c>
    </row>
    <row r="438" spans="1:1">
      <c r="A438" s="1310" t="s">
        <v>458</v>
      </c>
    </row>
    <row r="439" spans="1:1">
      <c r="A439" s="1310" t="s">
        <v>459</v>
      </c>
    </row>
    <row r="440" spans="1:1">
      <c r="A440" s="1310" t="s">
        <v>460</v>
      </c>
    </row>
    <row r="441" spans="1:1">
      <c r="A441" s="1310" t="s">
        <v>461</v>
      </c>
    </row>
    <row r="442" spans="1:1">
      <c r="A442" s="1310" t="s">
        <v>462</v>
      </c>
    </row>
    <row r="443" spans="1:1">
      <c r="A443" s="1310" t="s">
        <v>463</v>
      </c>
    </row>
    <row r="444" spans="1:1">
      <c r="A444" s="1310" t="s">
        <v>464</v>
      </c>
    </row>
    <row r="445" spans="1:1">
      <c r="A445" s="1310" t="s">
        <v>465</v>
      </c>
    </row>
    <row r="446" spans="1:1">
      <c r="A446" s="1310" t="s">
        <v>466</v>
      </c>
    </row>
    <row r="447" spans="1:1">
      <c r="A447" s="1310" t="s">
        <v>467</v>
      </c>
    </row>
    <row r="448" spans="1:1">
      <c r="A448" s="1310" t="s">
        <v>468</v>
      </c>
    </row>
    <row r="449" spans="1:1">
      <c r="A449" s="1310"/>
    </row>
    <row r="450" spans="1:1">
      <c r="A450" s="1310" t="s">
        <v>1879</v>
      </c>
    </row>
    <row r="451" spans="1:1">
      <c r="A451" s="1310" t="s">
        <v>1880</v>
      </c>
    </row>
    <row r="452" spans="1:1">
      <c r="A452" s="1310" t="s">
        <v>1881</v>
      </c>
    </row>
    <row r="453" spans="1:1">
      <c r="A453" s="1310" t="s">
        <v>1882</v>
      </c>
    </row>
    <row r="454" spans="1:1">
      <c r="A454" s="1310" t="s">
        <v>1883</v>
      </c>
    </row>
    <row r="455" spans="1:1">
      <c r="A455" s="1310" t="s">
        <v>1879</v>
      </c>
    </row>
    <row r="456" spans="1:1">
      <c r="A456" s="1310" t="s">
        <v>1898</v>
      </c>
    </row>
    <row r="457" spans="1:1">
      <c r="A457" s="1310" t="s">
        <v>1899</v>
      </c>
    </row>
    <row r="458" spans="1:1">
      <c r="A458" s="1310"/>
    </row>
    <row r="459" spans="1:1">
      <c r="A459" s="1310"/>
    </row>
    <row r="460" spans="1:1">
      <c r="A460" s="1310"/>
    </row>
    <row r="461" spans="1:1">
      <c r="A461" s="1310" t="s">
        <v>469</v>
      </c>
    </row>
    <row r="462" spans="1:1">
      <c r="A462" s="1310" t="s">
        <v>150</v>
      </c>
    </row>
    <row r="463" spans="1:1">
      <c r="A463" s="1310" t="s">
        <v>470</v>
      </c>
    </row>
    <row r="464" spans="1:1">
      <c r="A464" s="1310" t="s">
        <v>150</v>
      </c>
    </row>
    <row r="465" spans="1:1">
      <c r="A465" s="1310" t="s">
        <v>471</v>
      </c>
    </row>
    <row r="466" spans="1:1">
      <c r="A466" s="1310" t="s">
        <v>472</v>
      </c>
    </row>
    <row r="467" spans="1:1">
      <c r="A467" s="1310"/>
    </row>
    <row r="468" spans="1:1">
      <c r="A468" s="1310" t="s">
        <v>473</v>
      </c>
    </row>
    <row r="469" spans="1:1">
      <c r="A469" s="1310" t="s">
        <v>474</v>
      </c>
    </row>
    <row r="470" spans="1:1">
      <c r="A470" s="1310" t="s">
        <v>475</v>
      </c>
    </row>
    <row r="471" spans="1:1">
      <c r="A471" s="1310" t="s">
        <v>476</v>
      </c>
    </row>
    <row r="472" spans="1:1">
      <c r="A472" s="1310" t="s">
        <v>477</v>
      </c>
    </row>
    <row r="473" spans="1:1">
      <c r="A473" s="1310" t="s">
        <v>150</v>
      </c>
    </row>
    <row r="474" spans="1:1">
      <c r="A474" s="1310" t="s">
        <v>478</v>
      </c>
    </row>
    <row r="475" spans="1:1">
      <c r="A475" s="1310" t="s">
        <v>479</v>
      </c>
    </row>
    <row r="476" spans="1:1">
      <c r="A476" s="1310" t="s">
        <v>480</v>
      </c>
    </row>
    <row r="477" spans="1:1">
      <c r="A477" s="1310" t="s">
        <v>481</v>
      </c>
    </row>
    <row r="478" spans="1:1">
      <c r="A478" s="1310"/>
    </row>
    <row r="479" spans="1:1">
      <c r="A479" s="1310" t="s">
        <v>482</v>
      </c>
    </row>
    <row r="480" spans="1:1">
      <c r="A480" s="1310" t="s">
        <v>483</v>
      </c>
    </row>
    <row r="481" spans="1:1">
      <c r="A481" s="1310" t="s">
        <v>150</v>
      </c>
    </row>
    <row r="482" spans="1:1">
      <c r="A482" s="1310" t="s">
        <v>150</v>
      </c>
    </row>
    <row r="483" spans="1:1">
      <c r="A483" s="1310" t="s">
        <v>484</v>
      </c>
    </row>
    <row r="484" spans="1:1">
      <c r="A484" s="1310" t="s">
        <v>485</v>
      </c>
    </row>
    <row r="485" spans="1:1">
      <c r="A485" s="1310" t="s">
        <v>150</v>
      </c>
    </row>
    <row r="486" spans="1:1">
      <c r="A486" s="1310" t="s">
        <v>486</v>
      </c>
    </row>
    <row r="487" spans="1:1">
      <c r="A487" s="1310"/>
    </row>
    <row r="488" spans="1:1">
      <c r="A488" s="1310" t="s">
        <v>487</v>
      </c>
    </row>
    <row r="489" spans="1:1">
      <c r="A489" s="1310" t="s">
        <v>488</v>
      </c>
    </row>
    <row r="490" spans="1:1">
      <c r="A490" s="1310" t="s">
        <v>489</v>
      </c>
    </row>
    <row r="491" spans="1:1">
      <c r="A491" s="1310" t="s">
        <v>490</v>
      </c>
    </row>
    <row r="492" spans="1:1">
      <c r="A492" s="1310" t="s">
        <v>491</v>
      </c>
    </row>
    <row r="493" spans="1:1">
      <c r="A493" s="1310" t="s">
        <v>492</v>
      </c>
    </row>
    <row r="494" spans="1:1">
      <c r="A494" s="1310"/>
    </row>
    <row r="495" spans="1:1">
      <c r="A495" s="1310" t="s">
        <v>493</v>
      </c>
    </row>
    <row r="496" spans="1:1">
      <c r="A496" s="1310" t="s">
        <v>494</v>
      </c>
    </row>
    <row r="497" spans="1:1">
      <c r="A497" s="1310" t="s">
        <v>495</v>
      </c>
    </row>
    <row r="498" spans="1:1">
      <c r="A498" s="1310" t="s">
        <v>496</v>
      </c>
    </row>
    <row r="499" spans="1:1">
      <c r="A499" s="1310" t="s">
        <v>497</v>
      </c>
    </row>
    <row r="500" spans="1:1">
      <c r="A500" s="1310"/>
    </row>
    <row r="501" spans="1:1">
      <c r="A501" s="1310" t="s">
        <v>498</v>
      </c>
    </row>
    <row r="502" spans="1:1">
      <c r="A502" s="1310" t="s">
        <v>499</v>
      </c>
    </row>
    <row r="503" spans="1:1">
      <c r="A503" s="1310" t="s">
        <v>500</v>
      </c>
    </row>
    <row r="504" spans="1:1">
      <c r="A504" s="1310" t="s">
        <v>501</v>
      </c>
    </row>
    <row r="505" spans="1:1">
      <c r="A505" s="1310" t="s">
        <v>502</v>
      </c>
    </row>
    <row r="506" spans="1:1">
      <c r="A506" s="1310" t="s">
        <v>503</v>
      </c>
    </row>
    <row r="507" spans="1:1">
      <c r="A507" s="1310"/>
    </row>
    <row r="508" spans="1:1">
      <c r="A508" s="1310" t="s">
        <v>504</v>
      </c>
    </row>
    <row r="509" spans="1:1">
      <c r="A509" s="1310" t="s">
        <v>505</v>
      </c>
    </row>
    <row r="510" spans="1:1">
      <c r="A510" s="1310" t="s">
        <v>506</v>
      </c>
    </row>
    <row r="511" spans="1:1">
      <c r="A511" s="1310" t="s">
        <v>507</v>
      </c>
    </row>
    <row r="512" spans="1:1">
      <c r="A512" s="1310" t="s">
        <v>508</v>
      </c>
    </row>
    <row r="513" spans="1:1">
      <c r="A513" s="1310"/>
    </row>
    <row r="514" spans="1:1">
      <c r="A514" s="1310" t="s">
        <v>509</v>
      </c>
    </row>
    <row r="515" spans="1:1">
      <c r="A515" s="1310" t="s">
        <v>510</v>
      </c>
    </row>
    <row r="516" spans="1:1">
      <c r="A516" s="1310" t="s">
        <v>511</v>
      </c>
    </row>
    <row r="517" spans="1:1">
      <c r="A517" s="1310" t="s">
        <v>512</v>
      </c>
    </row>
    <row r="518" spans="1:1">
      <c r="A518" s="1310" t="s">
        <v>513</v>
      </c>
    </row>
    <row r="519" spans="1:1">
      <c r="A519" s="1310"/>
    </row>
    <row r="520" spans="1:1">
      <c r="A520" s="1310" t="s">
        <v>514</v>
      </c>
    </row>
    <row r="521" spans="1:1">
      <c r="A521" s="1310" t="s">
        <v>515</v>
      </c>
    </row>
    <row r="522" spans="1:1">
      <c r="A522" s="1310" t="s">
        <v>516</v>
      </c>
    </row>
    <row r="523" spans="1:1">
      <c r="A523" s="1310" t="s">
        <v>517</v>
      </c>
    </row>
    <row r="524" spans="1:1">
      <c r="A524" s="1310" t="s">
        <v>518</v>
      </c>
    </row>
    <row r="525" spans="1:1">
      <c r="A525" s="1310"/>
    </row>
    <row r="526" spans="1:1">
      <c r="A526" s="1310" t="s">
        <v>150</v>
      </c>
    </row>
    <row r="527" spans="1:1">
      <c r="A527" s="1310" t="s">
        <v>150</v>
      </c>
    </row>
    <row r="528" spans="1:1">
      <c r="A528" s="1310" t="s">
        <v>519</v>
      </c>
    </row>
    <row r="529" spans="1:1">
      <c r="A529" s="1310" t="s">
        <v>520</v>
      </c>
    </row>
    <row r="530" spans="1:1">
      <c r="A530" s="1310" t="s">
        <v>521</v>
      </c>
    </row>
    <row r="531" spans="1:1">
      <c r="A531" s="1310" t="s">
        <v>150</v>
      </c>
    </row>
    <row r="532" spans="1:1">
      <c r="A532" s="1310" t="s">
        <v>522</v>
      </c>
    </row>
    <row r="533" spans="1:1">
      <c r="A533" s="1310" t="s">
        <v>523</v>
      </c>
    </row>
    <row r="534" spans="1:1">
      <c r="A534" s="1310" t="s">
        <v>524</v>
      </c>
    </row>
    <row r="535" spans="1:1">
      <c r="A535" s="1310" t="s">
        <v>525</v>
      </c>
    </row>
    <row r="536" spans="1:1">
      <c r="A536" s="1310"/>
    </row>
    <row r="537" spans="1:1">
      <c r="A537" s="1310" t="s">
        <v>526</v>
      </c>
    </row>
    <row r="538" spans="1:1">
      <c r="A538" s="1310" t="s">
        <v>527</v>
      </c>
    </row>
    <row r="539" spans="1:1">
      <c r="A539" s="1310" t="s">
        <v>528</v>
      </c>
    </row>
    <row r="540" spans="1:1">
      <c r="A540" s="1310" t="s">
        <v>529</v>
      </c>
    </row>
    <row r="541" spans="1:1">
      <c r="A541" s="1310"/>
    </row>
    <row r="542" spans="1:1">
      <c r="A542" s="1310" t="s">
        <v>530</v>
      </c>
    </row>
    <row r="543" spans="1:1">
      <c r="A543" s="1310" t="s">
        <v>531</v>
      </c>
    </row>
    <row r="544" spans="1:1">
      <c r="A544" s="1310" t="s">
        <v>532</v>
      </c>
    </row>
    <row r="545" spans="1:1">
      <c r="A545" s="1310" t="s">
        <v>533</v>
      </c>
    </row>
    <row r="546" spans="1:1">
      <c r="A546" s="1310" t="s">
        <v>534</v>
      </c>
    </row>
    <row r="547" spans="1:1">
      <c r="A547" s="1310" t="s">
        <v>535</v>
      </c>
    </row>
    <row r="548" spans="1:1">
      <c r="A548" s="1310"/>
    </row>
    <row r="549" spans="1:1">
      <c r="A549" s="1310" t="s">
        <v>536</v>
      </c>
    </row>
    <row r="550" spans="1:1">
      <c r="A550" s="1310" t="s">
        <v>537</v>
      </c>
    </row>
    <row r="551" spans="1:1">
      <c r="A551" s="1310" t="s">
        <v>538</v>
      </c>
    </row>
    <row r="552" spans="1:1">
      <c r="A552" s="1310" t="s">
        <v>539</v>
      </c>
    </row>
    <row r="553" spans="1:1">
      <c r="A553" s="1310" t="s">
        <v>540</v>
      </c>
    </row>
    <row r="554" spans="1:1">
      <c r="A554" s="1310"/>
    </row>
    <row r="555" spans="1:1">
      <c r="A555" s="1310" t="s">
        <v>541</v>
      </c>
    </row>
    <row r="556" spans="1:1">
      <c r="A556" s="1310" t="s">
        <v>542</v>
      </c>
    </row>
    <row r="557" spans="1:1">
      <c r="A557" s="1310" t="s">
        <v>543</v>
      </c>
    </row>
    <row r="558" spans="1:1">
      <c r="A558" s="1310" t="s">
        <v>544</v>
      </c>
    </row>
    <row r="559" spans="1:1">
      <c r="A559" s="1310" t="s">
        <v>545</v>
      </c>
    </row>
    <row r="560" spans="1:1">
      <c r="A560" s="1310"/>
    </row>
    <row r="561" spans="1:1">
      <c r="A561" s="1310"/>
    </row>
    <row r="562" spans="1:1">
      <c r="A562" s="1310" t="s">
        <v>546</v>
      </c>
    </row>
    <row r="563" spans="1:1">
      <c r="A563" s="1310" t="s">
        <v>547</v>
      </c>
    </row>
    <row r="564" spans="1:1">
      <c r="A564" s="1310" t="s">
        <v>548</v>
      </c>
    </row>
    <row r="565" spans="1:1">
      <c r="A565" s="1310" t="s">
        <v>549</v>
      </c>
    </row>
    <row r="566" spans="1:1">
      <c r="A566" s="1310" t="s">
        <v>550</v>
      </c>
    </row>
    <row r="567" spans="1:1">
      <c r="A567" s="1310" t="s">
        <v>551</v>
      </c>
    </row>
    <row r="568" spans="1:1">
      <c r="A568" s="1310" t="s">
        <v>552</v>
      </c>
    </row>
    <row r="569" spans="1:1">
      <c r="A569" s="1310" t="s">
        <v>553</v>
      </c>
    </row>
    <row r="570" spans="1:1">
      <c r="A570" s="1310" t="s">
        <v>554</v>
      </c>
    </row>
    <row r="571" spans="1:1">
      <c r="A571" s="1310" t="s">
        <v>555</v>
      </c>
    </row>
    <row r="572" spans="1:1">
      <c r="A572" s="1310" t="s">
        <v>556</v>
      </c>
    </row>
    <row r="573" spans="1:1">
      <c r="A573" s="1310" t="s">
        <v>557</v>
      </c>
    </row>
    <row r="574" spans="1:1">
      <c r="A574" s="1310" t="s">
        <v>558</v>
      </c>
    </row>
    <row r="575" spans="1:1">
      <c r="A575" s="1310" t="s">
        <v>559</v>
      </c>
    </row>
    <row r="576" spans="1:1">
      <c r="A576" s="1310" t="s">
        <v>560</v>
      </c>
    </row>
    <row r="577" spans="1:1">
      <c r="A577" s="1310" t="s">
        <v>561</v>
      </c>
    </row>
    <row r="578" spans="1:1">
      <c r="A578" s="1310" t="s">
        <v>562</v>
      </c>
    </row>
    <row r="579" spans="1:1">
      <c r="A579" s="1310" t="s">
        <v>563</v>
      </c>
    </row>
    <row r="580" spans="1:1">
      <c r="A580" s="1310" t="s">
        <v>564</v>
      </c>
    </row>
    <row r="581" spans="1:1">
      <c r="A581" s="1310" t="s">
        <v>565</v>
      </c>
    </row>
    <row r="582" spans="1:1">
      <c r="A582" s="1310" t="s">
        <v>566</v>
      </c>
    </row>
    <row r="583" spans="1:1">
      <c r="A583" s="1310" t="s">
        <v>567</v>
      </c>
    </row>
    <row r="584" spans="1:1">
      <c r="A584" s="1310" t="s">
        <v>568</v>
      </c>
    </row>
    <row r="585" spans="1:1">
      <c r="A585" s="1310" t="s">
        <v>569</v>
      </c>
    </row>
    <row r="586" spans="1:1">
      <c r="A586" s="1310" t="s">
        <v>570</v>
      </c>
    </row>
    <row r="587" spans="1:1">
      <c r="A587" s="1310" t="s">
        <v>571</v>
      </c>
    </row>
    <row r="588" spans="1:1">
      <c r="A588" s="1310" t="s">
        <v>572</v>
      </c>
    </row>
    <row r="589" spans="1:1">
      <c r="A589" s="1310" t="s">
        <v>573</v>
      </c>
    </row>
    <row r="590" spans="1:1">
      <c r="A590" s="1310" t="s">
        <v>574</v>
      </c>
    </row>
    <row r="591" spans="1:1">
      <c r="A591" s="1310" t="s">
        <v>575</v>
      </c>
    </row>
    <row r="592" spans="1:1">
      <c r="A592" s="1310" t="s">
        <v>576</v>
      </c>
    </row>
    <row r="593" spans="1:1">
      <c r="A593" s="1310" t="s">
        <v>577</v>
      </c>
    </row>
    <row r="594" spans="1:1">
      <c r="A594" s="1310"/>
    </row>
    <row r="595" spans="1:1">
      <c r="A595" s="1310" t="s">
        <v>578</v>
      </c>
    </row>
    <row r="596" spans="1:1">
      <c r="A596" s="1310" t="s">
        <v>579</v>
      </c>
    </row>
    <row r="597" spans="1:1">
      <c r="A597" s="1310" t="s">
        <v>580</v>
      </c>
    </row>
    <row r="598" spans="1:1">
      <c r="A598" s="1310" t="s">
        <v>581</v>
      </c>
    </row>
    <row r="599" spans="1:1">
      <c r="A599" s="1310" t="s">
        <v>582</v>
      </c>
    </row>
    <row r="600" spans="1:1">
      <c r="A600" s="1310" t="s">
        <v>583</v>
      </c>
    </row>
    <row r="601" spans="1:1">
      <c r="A601" s="1310" t="s">
        <v>584</v>
      </c>
    </row>
    <row r="602" spans="1:1">
      <c r="A602" s="1310" t="s">
        <v>585</v>
      </c>
    </row>
    <row r="603" spans="1:1">
      <c r="A603" s="1310" t="s">
        <v>586</v>
      </c>
    </row>
    <row r="604" spans="1:1">
      <c r="A604" s="1310" t="s">
        <v>578</v>
      </c>
    </row>
    <row r="605" spans="1:1">
      <c r="A605" s="1310"/>
    </row>
    <row r="606" spans="1:1">
      <c r="A606" s="1310" t="s">
        <v>150</v>
      </c>
    </row>
    <row r="607" spans="1:1">
      <c r="A607" s="1310" t="s">
        <v>587</v>
      </c>
    </row>
    <row r="608" spans="1:1">
      <c r="A608" s="1310" t="s">
        <v>588</v>
      </c>
    </row>
    <row r="609" spans="1:1">
      <c r="A609" s="1310" t="s">
        <v>589</v>
      </c>
    </row>
    <row r="610" spans="1:1">
      <c r="A610" s="1310" t="s">
        <v>590</v>
      </c>
    </row>
    <row r="611" spans="1:1">
      <c r="A611" s="1310" t="s">
        <v>591</v>
      </c>
    </row>
    <row r="612" spans="1:1">
      <c r="A612" s="1310" t="s">
        <v>592</v>
      </c>
    </row>
    <row r="613" spans="1:1">
      <c r="A613" s="1310" t="s">
        <v>150</v>
      </c>
    </row>
    <row r="614" spans="1:1">
      <c r="A614" s="1310" t="s">
        <v>593</v>
      </c>
    </row>
    <row r="615" spans="1:1">
      <c r="A615" s="1310" t="s">
        <v>594</v>
      </c>
    </row>
    <row r="616" spans="1:1">
      <c r="A616" s="1310" t="s">
        <v>150</v>
      </c>
    </row>
    <row r="617" spans="1:1">
      <c r="A617" s="1310" t="s">
        <v>150</v>
      </c>
    </row>
    <row r="618" spans="1:1">
      <c r="A618" s="1310" t="s">
        <v>595</v>
      </c>
    </row>
    <row r="619" spans="1:1">
      <c r="A619" s="1310" t="s">
        <v>596</v>
      </c>
    </row>
    <row r="620" spans="1:1">
      <c r="A620" s="1310" t="s">
        <v>597</v>
      </c>
    </row>
    <row r="621" spans="1:1">
      <c r="A621" s="1310" t="s">
        <v>598</v>
      </c>
    </row>
    <row r="622" spans="1:1">
      <c r="A622" s="1310" t="s">
        <v>150</v>
      </c>
    </row>
    <row r="623" spans="1:1">
      <c r="A623" s="1310" t="s">
        <v>599</v>
      </c>
    </row>
    <row r="624" spans="1:1">
      <c r="A624" s="1310"/>
    </row>
    <row r="625" spans="1:1">
      <c r="A625" s="1310" t="s">
        <v>600</v>
      </c>
    </row>
    <row r="626" spans="1:1">
      <c r="A626" s="1310" t="s">
        <v>1900</v>
      </c>
    </row>
    <row r="627" spans="1:1">
      <c r="A627" s="1310" t="s">
        <v>1901</v>
      </c>
    </row>
    <row r="628" spans="1:1">
      <c r="A628" s="1310" t="s">
        <v>1902</v>
      </c>
    </row>
    <row r="629" spans="1:1">
      <c r="A629" s="1310" t="s">
        <v>1903</v>
      </c>
    </row>
    <row r="630" spans="1:1">
      <c r="A630" s="1310" t="s">
        <v>1904</v>
      </c>
    </row>
    <row r="631" spans="1:1">
      <c r="A631" s="1310" t="s">
        <v>1905</v>
      </c>
    </row>
    <row r="632" spans="1:1">
      <c r="A632" s="1310"/>
    </row>
    <row r="633" spans="1:1">
      <c r="A633" s="1310" t="s">
        <v>605</v>
      </c>
    </row>
    <row r="634" spans="1:1">
      <c r="A634" s="1310" t="s">
        <v>606</v>
      </c>
    </row>
    <row r="635" spans="1:1">
      <c r="A635" s="1310" t="s">
        <v>607</v>
      </c>
    </row>
    <row r="636" spans="1:1">
      <c r="A636" s="1310" t="s">
        <v>608</v>
      </c>
    </row>
    <row r="637" spans="1:1">
      <c r="A637" s="1310" t="s">
        <v>150</v>
      </c>
    </row>
    <row r="638" spans="1:1">
      <c r="A638" s="1310" t="s">
        <v>150</v>
      </c>
    </row>
    <row r="639" spans="1:1">
      <c r="A639" s="1310" t="s">
        <v>609</v>
      </c>
    </row>
    <row r="640" spans="1:1">
      <c r="A640" s="1310" t="s">
        <v>610</v>
      </c>
    </row>
    <row r="641" spans="1:1">
      <c r="A641" s="1310" t="s">
        <v>611</v>
      </c>
    </row>
    <row r="642" spans="1:1">
      <c r="A642" s="1310" t="s">
        <v>612</v>
      </c>
    </row>
    <row r="643" spans="1:1">
      <c r="A643" s="1310" t="s">
        <v>150</v>
      </c>
    </row>
    <row r="644" spans="1:1">
      <c r="A644" s="1310" t="s">
        <v>613</v>
      </c>
    </row>
    <row r="645" spans="1:1">
      <c r="A645" s="1310" t="s">
        <v>614</v>
      </c>
    </row>
    <row r="646" spans="1:1">
      <c r="A646" s="1310" t="s">
        <v>150</v>
      </c>
    </row>
    <row r="647" spans="1:1">
      <c r="A647" s="1310" t="s">
        <v>150</v>
      </c>
    </row>
    <row r="648" spans="1:1">
      <c r="A648" s="1310" t="s">
        <v>150</v>
      </c>
    </row>
    <row r="649" spans="1:1">
      <c r="A649" s="1310" t="s">
        <v>615</v>
      </c>
    </row>
    <row r="650" spans="1:1">
      <c r="A650" s="1310" t="s">
        <v>616</v>
      </c>
    </row>
    <row r="651" spans="1:1">
      <c r="A651" s="1310" t="s">
        <v>617</v>
      </c>
    </row>
    <row r="652" spans="1:1">
      <c r="A652" s="1310" t="s">
        <v>618</v>
      </c>
    </row>
    <row r="653" spans="1:1">
      <c r="A653" s="1310" t="s">
        <v>150</v>
      </c>
    </row>
    <row r="654" spans="1:1">
      <c r="A654" s="1310" t="s">
        <v>619</v>
      </c>
    </row>
    <row r="655" spans="1:1">
      <c r="A655" s="1310" t="s">
        <v>150</v>
      </c>
    </row>
    <row r="656" spans="1:1">
      <c r="A656" s="1310" t="s">
        <v>150</v>
      </c>
    </row>
    <row r="657" spans="1:1">
      <c r="A657" s="1310" t="s">
        <v>620</v>
      </c>
    </row>
    <row r="658" spans="1:1">
      <c r="A658" s="1310" t="s">
        <v>621</v>
      </c>
    </row>
    <row r="659" spans="1:1">
      <c r="A659" s="1310" t="s">
        <v>622</v>
      </c>
    </row>
    <row r="660" spans="1:1">
      <c r="A660" s="1310" t="s">
        <v>623</v>
      </c>
    </row>
    <row r="661" spans="1:1">
      <c r="A661" s="1310" t="s">
        <v>624</v>
      </c>
    </row>
    <row r="662" spans="1:1">
      <c r="A662" s="1310" t="s">
        <v>625</v>
      </c>
    </row>
    <row r="663" spans="1:1">
      <c r="A663" s="1310" t="s">
        <v>150</v>
      </c>
    </row>
    <row r="664" spans="1:1">
      <c r="A664" s="1310" t="s">
        <v>626</v>
      </c>
    </row>
    <row r="665" spans="1:1">
      <c r="A665" s="1310" t="s">
        <v>627</v>
      </c>
    </row>
    <row r="666" spans="1:1">
      <c r="A666" s="1310" t="s">
        <v>150</v>
      </c>
    </row>
    <row r="667" spans="1:1">
      <c r="A667" s="1310" t="s">
        <v>150</v>
      </c>
    </row>
    <row r="668" spans="1:1">
      <c r="A668" s="1310" t="s">
        <v>628</v>
      </c>
    </row>
    <row r="669" spans="1:1">
      <c r="A669" s="1310" t="s">
        <v>629</v>
      </c>
    </row>
    <row r="670" spans="1:1">
      <c r="A670" s="1310" t="s">
        <v>150</v>
      </c>
    </row>
    <row r="671" spans="1:1">
      <c r="A671" s="1310" t="s">
        <v>630</v>
      </c>
    </row>
    <row r="672" spans="1:1">
      <c r="A672" s="1310"/>
    </row>
    <row r="673" spans="1:1">
      <c r="A673" s="1310" t="s">
        <v>631</v>
      </c>
    </row>
    <row r="674" spans="1:1">
      <c r="A674" s="1310" t="s">
        <v>632</v>
      </c>
    </row>
    <row r="675" spans="1:1">
      <c r="A675" s="1310" t="s">
        <v>633</v>
      </c>
    </row>
    <row r="676" spans="1:1">
      <c r="A676" s="1310" t="s">
        <v>634</v>
      </c>
    </row>
    <row r="677" spans="1:1">
      <c r="A677" s="1310" t="s">
        <v>1694</v>
      </c>
    </row>
    <row r="678" spans="1:1">
      <c r="A678" s="1310" t="s">
        <v>636</v>
      </c>
    </row>
    <row r="679" spans="1:1">
      <c r="A679" s="1310"/>
    </row>
    <row r="680" spans="1:1">
      <c r="A680" s="1310"/>
    </row>
    <row r="681" spans="1:1">
      <c r="A681" s="1310" t="s">
        <v>637</v>
      </c>
    </row>
    <row r="682" spans="1:1">
      <c r="A682" s="1310" t="s">
        <v>638</v>
      </c>
    </row>
    <row r="683" spans="1:1">
      <c r="A683" s="1310" t="s">
        <v>639</v>
      </c>
    </row>
    <row r="684" spans="1:1">
      <c r="A684" s="1310" t="s">
        <v>640</v>
      </c>
    </row>
    <row r="685" spans="1:1">
      <c r="A685" s="1310"/>
    </row>
    <row r="686" spans="1:1">
      <c r="A686" s="1310" t="s">
        <v>641</v>
      </c>
    </row>
    <row r="687" spans="1:1">
      <c r="A687" s="1310" t="s">
        <v>642</v>
      </c>
    </row>
    <row r="688" spans="1:1">
      <c r="A688" s="1310" t="s">
        <v>643</v>
      </c>
    </row>
    <row r="689" spans="1:1">
      <c r="A689" s="1310"/>
    </row>
    <row r="690" spans="1:1">
      <c r="A690" s="1310" t="s">
        <v>644</v>
      </c>
    </row>
    <row r="691" spans="1:1">
      <c r="A691" s="1310" t="s">
        <v>645</v>
      </c>
    </row>
    <row r="692" spans="1:1">
      <c r="A692" s="1310"/>
    </row>
    <row r="693" spans="1:1">
      <c r="A693" s="1310" t="s">
        <v>646</v>
      </c>
    </row>
    <row r="694" spans="1:1">
      <c r="A694" s="1310" t="s">
        <v>647</v>
      </c>
    </row>
    <row r="695" spans="1:1">
      <c r="A695" s="1310" t="s">
        <v>648</v>
      </c>
    </row>
    <row r="696" spans="1:1">
      <c r="A696" s="1310"/>
    </row>
    <row r="697" spans="1:1">
      <c r="A697" s="1310" t="s">
        <v>649</v>
      </c>
    </row>
    <row r="698" spans="1:1">
      <c r="A698" s="1310" t="s">
        <v>650</v>
      </c>
    </row>
    <row r="699" spans="1:1">
      <c r="A699" s="1310" t="s">
        <v>651</v>
      </c>
    </row>
    <row r="700" spans="1:1">
      <c r="A700" s="1310"/>
    </row>
    <row r="701" spans="1:1">
      <c r="A701" s="1310" t="s">
        <v>652</v>
      </c>
    </row>
    <row r="702" spans="1:1">
      <c r="A702" s="1310" t="s">
        <v>653</v>
      </c>
    </row>
    <row r="703" spans="1:1">
      <c r="A703" s="1310" t="s">
        <v>654</v>
      </c>
    </row>
    <row r="704" spans="1:1">
      <c r="A704" s="1310"/>
    </row>
    <row r="705" spans="1:1">
      <c r="A705" s="1310" t="s">
        <v>655</v>
      </c>
    </row>
    <row r="706" spans="1:1">
      <c r="A706" s="1310" t="s">
        <v>656</v>
      </c>
    </row>
    <row r="707" spans="1:1">
      <c r="A707" s="1310" t="s">
        <v>657</v>
      </c>
    </row>
    <row r="708" spans="1:1">
      <c r="A708" s="1310"/>
    </row>
    <row r="709" spans="1:1">
      <c r="A709" s="1310" t="s">
        <v>658</v>
      </c>
    </row>
    <row r="710" spans="1:1">
      <c r="A710" s="1310" t="s">
        <v>659</v>
      </c>
    </row>
    <row r="711" spans="1:1">
      <c r="A711" s="1310" t="s">
        <v>660</v>
      </c>
    </row>
    <row r="712" spans="1:1">
      <c r="A712" s="1310"/>
    </row>
    <row r="713" spans="1:1">
      <c r="A713" s="1310" t="s">
        <v>661</v>
      </c>
    </row>
    <row r="714" spans="1:1">
      <c r="A714" s="1310" t="s">
        <v>662</v>
      </c>
    </row>
    <row r="715" spans="1:1">
      <c r="A715" s="1310" t="s">
        <v>663</v>
      </c>
    </row>
    <row r="716" spans="1:1">
      <c r="A716" s="1310"/>
    </row>
    <row r="717" spans="1:1">
      <c r="A717" s="1310" t="s">
        <v>664</v>
      </c>
    </row>
    <row r="718" spans="1:1">
      <c r="A718" s="1310" t="s">
        <v>150</v>
      </c>
    </row>
    <row r="719" spans="1:1">
      <c r="A719" s="1310" t="s">
        <v>665</v>
      </c>
    </row>
    <row r="720" spans="1:1">
      <c r="A720" s="1310" t="s">
        <v>150</v>
      </c>
    </row>
    <row r="721" spans="1:1">
      <c r="A721" s="1310" t="s">
        <v>666</v>
      </c>
    </row>
    <row r="722" spans="1:1">
      <c r="A722" s="1310" t="s">
        <v>667</v>
      </c>
    </row>
    <row r="723" spans="1:1">
      <c r="A723" s="1310" t="s">
        <v>668</v>
      </c>
    </row>
    <row r="724" spans="1:1">
      <c r="A724" s="1310" t="s">
        <v>150</v>
      </c>
    </row>
    <row r="725" spans="1:1">
      <c r="A725" s="1310" t="s">
        <v>669</v>
      </c>
    </row>
    <row r="726" spans="1:1">
      <c r="A726" s="1310" t="s">
        <v>670</v>
      </c>
    </row>
    <row r="727" spans="1:1">
      <c r="A727" s="1310" t="s">
        <v>671</v>
      </c>
    </row>
    <row r="728" spans="1:1">
      <c r="A728" s="1310" t="s">
        <v>150</v>
      </c>
    </row>
    <row r="729" spans="1:1">
      <c r="A729" s="1310" t="s">
        <v>672</v>
      </c>
    </row>
    <row r="730" spans="1:1">
      <c r="A730" s="1310" t="s">
        <v>673</v>
      </c>
    </row>
    <row r="731" spans="1:1">
      <c r="A731" s="1310" t="s">
        <v>150</v>
      </c>
    </row>
    <row r="732" spans="1:1">
      <c r="A732" s="1310" t="s">
        <v>674</v>
      </c>
    </row>
    <row r="733" spans="1:1">
      <c r="A733" s="1310" t="s">
        <v>675</v>
      </c>
    </row>
    <row r="734" spans="1:1">
      <c r="A734" s="1310" t="s">
        <v>676</v>
      </c>
    </row>
    <row r="735" spans="1:1">
      <c r="A735" s="1310" t="s">
        <v>677</v>
      </c>
    </row>
    <row r="736" spans="1:1">
      <c r="A736" s="1310" t="s">
        <v>150</v>
      </c>
    </row>
    <row r="737" spans="1:1">
      <c r="A737" s="1310" t="s">
        <v>678</v>
      </c>
    </row>
    <row r="738" spans="1:1">
      <c r="A738" s="1310" t="s">
        <v>679</v>
      </c>
    </row>
    <row r="739" spans="1:1">
      <c r="A739" s="1310" t="s">
        <v>680</v>
      </c>
    </row>
    <row r="740" spans="1:1">
      <c r="A740" s="1310" t="s">
        <v>681</v>
      </c>
    </row>
    <row r="741" spans="1:1">
      <c r="A741" s="1310" t="s">
        <v>682</v>
      </c>
    </row>
    <row r="742" spans="1:1">
      <c r="A742" s="1310"/>
    </row>
    <row r="743" spans="1:1">
      <c r="A743" s="1310" t="s">
        <v>683</v>
      </c>
    </row>
    <row r="744" spans="1:1">
      <c r="A744" s="1310" t="s">
        <v>684</v>
      </c>
    </row>
    <row r="745" spans="1:1">
      <c r="A745" s="1310" t="s">
        <v>685</v>
      </c>
    </row>
    <row r="746" spans="1:1">
      <c r="A746" s="1310" t="s">
        <v>686</v>
      </c>
    </row>
    <row r="747" spans="1:1">
      <c r="A747" s="1310" t="s">
        <v>687</v>
      </c>
    </row>
    <row r="748" spans="1:1">
      <c r="A748" s="1310" t="s">
        <v>688</v>
      </c>
    </row>
    <row r="749" spans="1:1">
      <c r="A749" s="1310" t="s">
        <v>689</v>
      </c>
    </row>
    <row r="750" spans="1:1">
      <c r="A750" s="1310" t="s">
        <v>690</v>
      </c>
    </row>
    <row r="751" spans="1:1">
      <c r="A751" s="1310" t="s">
        <v>691</v>
      </c>
    </row>
    <row r="752" spans="1:1">
      <c r="A752" s="1310" t="s">
        <v>692</v>
      </c>
    </row>
    <row r="753" spans="1:1">
      <c r="A753" s="1310" t="s">
        <v>693</v>
      </c>
    </row>
    <row r="754" spans="1:1">
      <c r="A754" s="1310" t="s">
        <v>694</v>
      </c>
    </row>
    <row r="755" spans="1:1">
      <c r="A755" s="1310" t="s">
        <v>695</v>
      </c>
    </row>
    <row r="756" spans="1:1">
      <c r="A756" s="1310" t="s">
        <v>696</v>
      </c>
    </row>
    <row r="757" spans="1:1">
      <c r="A757" s="1310"/>
    </row>
    <row r="758" spans="1:1">
      <c r="A758" s="1310"/>
    </row>
    <row r="759" spans="1:1">
      <c r="A759" s="1310" t="s">
        <v>1870</v>
      </c>
    </row>
    <row r="760" spans="1:1">
      <c r="A760" s="1310" t="s">
        <v>1871</v>
      </c>
    </row>
    <row r="761" spans="1:1">
      <c r="A761" s="1310" t="s">
        <v>1872</v>
      </c>
    </row>
    <row r="762" spans="1:1">
      <c r="A762" s="1310" t="s">
        <v>1890</v>
      </c>
    </row>
    <row r="763" spans="1:1">
      <c r="A763" s="1310"/>
    </row>
    <row r="764" spans="1:1">
      <c r="A764" s="1310" t="s">
        <v>697</v>
      </c>
    </row>
    <row r="765" spans="1:1">
      <c r="A765" s="1310" t="s">
        <v>698</v>
      </c>
    </row>
    <row r="766" spans="1:1">
      <c r="A766" s="1310" t="s">
        <v>699</v>
      </c>
    </row>
    <row r="767" spans="1:1">
      <c r="A767" s="1310" t="s">
        <v>1874</v>
      </c>
    </row>
    <row r="768" spans="1:1">
      <c r="A768" s="1310"/>
    </row>
    <row r="769" spans="1:1">
      <c r="A769" s="1310"/>
    </row>
    <row r="770" spans="1:1">
      <c r="A770" s="1310" t="s">
        <v>700</v>
      </c>
    </row>
    <row r="771" spans="1:1">
      <c r="A771" s="1310" t="s">
        <v>701</v>
      </c>
    </row>
    <row r="772" spans="1:1">
      <c r="A772" s="1310" t="s">
        <v>702</v>
      </c>
    </row>
    <row r="773" spans="1:1">
      <c r="A773" s="1310"/>
    </row>
    <row r="774" spans="1:1">
      <c r="A774" s="1310" t="s">
        <v>703</v>
      </c>
    </row>
    <row r="775" spans="1:1">
      <c r="A775" s="1310" t="s">
        <v>704</v>
      </c>
    </row>
    <row r="776" spans="1:1">
      <c r="A776" s="1310"/>
    </row>
    <row r="777" spans="1:1">
      <c r="A777" s="1310" t="s">
        <v>705</v>
      </c>
    </row>
    <row r="778" spans="1:1">
      <c r="A778" s="1310" t="s">
        <v>706</v>
      </c>
    </row>
    <row r="779" spans="1:1">
      <c r="A779" s="1310" t="s">
        <v>707</v>
      </c>
    </row>
    <row r="780" spans="1:1">
      <c r="A780" s="1310"/>
    </row>
    <row r="781" spans="1:1">
      <c r="A781" s="1310"/>
    </row>
    <row r="782" spans="1:1">
      <c r="A782" s="1310" t="s">
        <v>708</v>
      </c>
    </row>
    <row r="783" spans="1:1">
      <c r="A783" s="1310" t="s">
        <v>709</v>
      </c>
    </row>
    <row r="784" spans="1:1">
      <c r="A784" s="1310" t="s">
        <v>710</v>
      </c>
    </row>
    <row r="785" spans="1:1">
      <c r="A785" s="1310" t="s">
        <v>711</v>
      </c>
    </row>
    <row r="786" spans="1:1">
      <c r="A786" s="1310"/>
    </row>
    <row r="787" spans="1:1">
      <c r="A787" s="1310"/>
    </row>
    <row r="788" spans="1:1">
      <c r="A788" s="1310" t="s">
        <v>712</v>
      </c>
    </row>
    <row r="789" spans="1:1">
      <c r="A789" s="1310" t="s">
        <v>713</v>
      </c>
    </row>
    <row r="790" spans="1:1">
      <c r="A790" s="1310" t="s">
        <v>714</v>
      </c>
    </row>
    <row r="791" spans="1:1">
      <c r="A791" s="1310"/>
    </row>
    <row r="792" spans="1:1">
      <c r="A792" s="1310" t="s">
        <v>715</v>
      </c>
    </row>
    <row r="793" spans="1:1">
      <c r="A793" s="1310" t="s">
        <v>716</v>
      </c>
    </row>
    <row r="794" spans="1:1">
      <c r="A794" s="1310"/>
    </row>
    <row r="795" spans="1:1">
      <c r="A795" s="1310" t="s">
        <v>717</v>
      </c>
    </row>
    <row r="796" spans="1:1">
      <c r="A796" s="1310" t="s">
        <v>718</v>
      </c>
    </row>
    <row r="797" spans="1:1">
      <c r="A797" s="1310"/>
    </row>
    <row r="798" spans="1:1">
      <c r="A798" s="1310"/>
    </row>
    <row r="799" spans="1:1">
      <c r="A799" s="1310" t="s">
        <v>719</v>
      </c>
    </row>
    <row r="800" spans="1:1">
      <c r="A800" s="1310" t="s">
        <v>720</v>
      </c>
    </row>
    <row r="801" spans="1:1">
      <c r="A801" s="1310"/>
    </row>
    <row r="802" spans="1:1">
      <c r="A802" s="1310" t="s">
        <v>721</v>
      </c>
    </row>
    <row r="803" spans="1:1">
      <c r="A803" s="1310" t="s">
        <v>722</v>
      </c>
    </row>
    <row r="804" spans="1:1">
      <c r="A804" s="1310" t="s">
        <v>723</v>
      </c>
    </row>
    <row r="805" spans="1:1">
      <c r="A805" s="1310"/>
    </row>
    <row r="806" spans="1:1">
      <c r="A806" s="1310" t="s">
        <v>724</v>
      </c>
    </row>
    <row r="807" spans="1:1">
      <c r="A807" s="1310" t="s">
        <v>725</v>
      </c>
    </row>
    <row r="808" spans="1:1">
      <c r="A808" s="1310"/>
    </row>
    <row r="809" spans="1:1">
      <c r="A809" s="1310" t="s">
        <v>726</v>
      </c>
    </row>
    <row r="810" spans="1:1">
      <c r="A810" s="1310" t="s">
        <v>727</v>
      </c>
    </row>
    <row r="811" spans="1:1">
      <c r="A811" s="1310"/>
    </row>
    <row r="812" spans="1:1">
      <c r="A812" s="1310" t="s">
        <v>728</v>
      </c>
    </row>
    <row r="813" spans="1:1">
      <c r="A813" s="1310" t="s">
        <v>729</v>
      </c>
    </row>
    <row r="814" spans="1:1">
      <c r="A814" s="1310"/>
    </row>
    <row r="815" spans="1:1">
      <c r="A815" s="1310" t="s">
        <v>730</v>
      </c>
    </row>
    <row r="816" spans="1:1">
      <c r="A816" s="1310" t="s">
        <v>731</v>
      </c>
    </row>
    <row r="817" spans="1:1">
      <c r="A817" s="1310" t="s">
        <v>732</v>
      </c>
    </row>
    <row r="818" spans="1:1">
      <c r="A818" s="1310"/>
    </row>
    <row r="819" spans="1:1">
      <c r="A819" s="1310" t="s">
        <v>733</v>
      </c>
    </row>
    <row r="820" spans="1:1">
      <c r="A820" s="1310" t="s">
        <v>734</v>
      </c>
    </row>
    <row r="821" spans="1:1">
      <c r="A821" s="1310"/>
    </row>
    <row r="822" spans="1:1">
      <c r="A822" s="1310" t="s">
        <v>735</v>
      </c>
    </row>
    <row r="823" spans="1:1">
      <c r="A823" s="1310" t="s">
        <v>736</v>
      </c>
    </row>
    <row r="824" spans="1:1">
      <c r="A824" s="1310"/>
    </row>
    <row r="825" spans="1:1">
      <c r="A825" s="1310" t="s">
        <v>737</v>
      </c>
    </row>
    <row r="826" spans="1:1">
      <c r="A826" s="1310" t="s">
        <v>738</v>
      </c>
    </row>
    <row r="827" spans="1:1">
      <c r="A827" s="1310"/>
    </row>
    <row r="828" spans="1:1">
      <c r="A828" s="1310"/>
    </row>
    <row r="829" spans="1:1">
      <c r="A829" s="1310"/>
    </row>
    <row r="830" spans="1:1">
      <c r="A830" s="1310" t="s">
        <v>739</v>
      </c>
    </row>
    <row r="831" spans="1:1">
      <c r="A831" s="1310" t="s">
        <v>740</v>
      </c>
    </row>
    <row r="832" spans="1:1">
      <c r="A832" s="1310" t="s">
        <v>741</v>
      </c>
    </row>
    <row r="833" spans="1:1">
      <c r="A833" s="1310"/>
    </row>
    <row r="834" spans="1:1">
      <c r="A834" s="1310" t="s">
        <v>742</v>
      </c>
    </row>
    <row r="835" spans="1:1">
      <c r="A835" s="1310" t="s">
        <v>743</v>
      </c>
    </row>
    <row r="836" spans="1:1">
      <c r="A836" s="1310"/>
    </row>
    <row r="837" spans="1:1">
      <c r="A837" s="1310"/>
    </row>
    <row r="838" spans="1:1">
      <c r="A838" s="1310"/>
    </row>
    <row r="839" spans="1:1">
      <c r="A839" s="1310" t="s">
        <v>744</v>
      </c>
    </row>
    <row r="840" spans="1:1">
      <c r="A840" s="1310" t="s">
        <v>745</v>
      </c>
    </row>
    <row r="841" spans="1:1">
      <c r="A841" s="1310" t="s">
        <v>746</v>
      </c>
    </row>
    <row r="842" spans="1:1">
      <c r="A842" s="1310" t="s">
        <v>747</v>
      </c>
    </row>
    <row r="843" spans="1:1">
      <c r="A843" s="1310" t="s">
        <v>748</v>
      </c>
    </row>
    <row r="844" spans="1:1">
      <c r="A844" s="1310" t="s">
        <v>749</v>
      </c>
    </row>
    <row r="845" spans="1:1">
      <c r="A845" s="1310" t="s">
        <v>750</v>
      </c>
    </row>
    <row r="846" spans="1:1">
      <c r="A846" s="1310" t="s">
        <v>1884</v>
      </c>
    </row>
    <row r="847" spans="1:1">
      <c r="A847" s="1310" t="s">
        <v>1503</v>
      </c>
    </row>
    <row r="848" spans="1:1">
      <c r="A848" s="1310" t="s">
        <v>1570</v>
      </c>
    </row>
    <row r="849" spans="1:1">
      <c r="A849" s="1310" t="s">
        <v>753</v>
      </c>
    </row>
    <row r="850" spans="1:1">
      <c r="A850" s="1310" t="s">
        <v>1261</v>
      </c>
    </row>
    <row r="851" spans="1:1">
      <c r="A851" s="1310" t="s">
        <v>1262</v>
      </c>
    </row>
    <row r="852" spans="1:1">
      <c r="A852" s="1310" t="s">
        <v>1263</v>
      </c>
    </row>
    <row r="853" spans="1:1">
      <c r="A853" s="1310" t="s">
        <v>1264</v>
      </c>
    </row>
    <row r="854" spans="1:1">
      <c r="A854" s="1310" t="s">
        <v>1571</v>
      </c>
    </row>
    <row r="855" spans="1:1">
      <c r="A855" s="1310" t="s">
        <v>1572</v>
      </c>
    </row>
    <row r="856" spans="1:1">
      <c r="A856" s="1310" t="s">
        <v>1265</v>
      </c>
    </row>
    <row r="857" spans="1:1">
      <c r="A857" s="1310" t="s">
        <v>1266</v>
      </c>
    </row>
    <row r="858" spans="1:1">
      <c r="A858" s="1310" t="s">
        <v>1267</v>
      </c>
    </row>
    <row r="859" spans="1:1">
      <c r="A859" s="1310" t="s">
        <v>1573</v>
      </c>
    </row>
    <row r="860" spans="1:1">
      <c r="A860" s="1310" t="s">
        <v>1268</v>
      </c>
    </row>
    <row r="861" spans="1:1">
      <c r="A861" s="1310" t="s">
        <v>1269</v>
      </c>
    </row>
    <row r="862" spans="1:1">
      <c r="A862" s="1310" t="s">
        <v>1270</v>
      </c>
    </row>
    <row r="863" spans="1:1">
      <c r="A863" s="1310" t="s">
        <v>1245</v>
      </c>
    </row>
    <row r="864" spans="1:1">
      <c r="A864" s="1310"/>
    </row>
    <row r="865" spans="1:1">
      <c r="A865" s="1310" t="s">
        <v>1246</v>
      </c>
    </row>
    <row r="866" spans="1:1">
      <c r="A866" s="1310" t="s">
        <v>1574</v>
      </c>
    </row>
    <row r="867" spans="1:1">
      <c r="A867" s="1310"/>
    </row>
    <row r="868" spans="1:1">
      <c r="A868" s="1310" t="s">
        <v>1247</v>
      </c>
    </row>
    <row r="869" spans="1:1">
      <c r="A869" s="1310" t="s">
        <v>1575</v>
      </c>
    </row>
    <row r="870" spans="1:1">
      <c r="A870" s="1310"/>
    </row>
    <row r="871" spans="1:1">
      <c r="A871" s="1310"/>
    </row>
    <row r="872" spans="1:1">
      <c r="A872" s="1310" t="s">
        <v>768</v>
      </c>
    </row>
    <row r="873" spans="1:1">
      <c r="A873" s="1310" t="s">
        <v>769</v>
      </c>
    </row>
    <row r="874" spans="1:1">
      <c r="A874" s="1310" t="s">
        <v>770</v>
      </c>
    </row>
    <row r="875" spans="1:1">
      <c r="A875" s="1310" t="s">
        <v>771</v>
      </c>
    </row>
    <row r="876" spans="1:1">
      <c r="A876" s="1310" t="s">
        <v>772</v>
      </c>
    </row>
    <row r="877" spans="1:1">
      <c r="A877" s="1310" t="s">
        <v>773</v>
      </c>
    </row>
    <row r="878" spans="1:1">
      <c r="A878" s="1310" t="s">
        <v>774</v>
      </c>
    </row>
    <row r="879" spans="1:1">
      <c r="A879" s="1310" t="s">
        <v>775</v>
      </c>
    </row>
    <row r="880" spans="1:1">
      <c r="A880" s="1310" t="s">
        <v>776</v>
      </c>
    </row>
    <row r="881" spans="1:1">
      <c r="A881" s="1310" t="s">
        <v>777</v>
      </c>
    </row>
    <row r="882" spans="1:1">
      <c r="A882" s="1310" t="s">
        <v>778</v>
      </c>
    </row>
    <row r="883" spans="1:1">
      <c r="A883" s="1310" t="s">
        <v>779</v>
      </c>
    </row>
    <row r="884" spans="1:1">
      <c r="A884" s="1310" t="s">
        <v>780</v>
      </c>
    </row>
    <row r="885" spans="1:1">
      <c r="A885" s="1310" t="s">
        <v>781</v>
      </c>
    </row>
    <row r="886" spans="1:1">
      <c r="A886" s="1310" t="s">
        <v>782</v>
      </c>
    </row>
    <row r="887" spans="1:1">
      <c r="A887" s="1310" t="s">
        <v>783</v>
      </c>
    </row>
    <row r="888" spans="1:1">
      <c r="A888" s="1310" t="s">
        <v>1576</v>
      </c>
    </row>
    <row r="889" spans="1:1">
      <c r="A889" s="1310" t="s">
        <v>1577</v>
      </c>
    </row>
    <row r="890" spans="1:1">
      <c r="A890" s="1310" t="s">
        <v>1578</v>
      </c>
    </row>
    <row r="891" spans="1:1">
      <c r="A891" s="1310" t="s">
        <v>1579</v>
      </c>
    </row>
    <row r="892" spans="1:1">
      <c r="A892" s="1310" t="s">
        <v>1580</v>
      </c>
    </row>
    <row r="893" spans="1:1">
      <c r="A893" s="1310"/>
    </row>
    <row r="894" spans="1:1">
      <c r="A894" s="1310" t="s">
        <v>789</v>
      </c>
    </row>
    <row r="895" spans="1:1">
      <c r="A895" s="1310" t="s">
        <v>790</v>
      </c>
    </row>
    <row r="896" spans="1:1">
      <c r="A896" s="1310" t="s">
        <v>791</v>
      </c>
    </row>
    <row r="897" spans="1:1">
      <c r="A897" s="1310"/>
    </row>
    <row r="898" spans="1:1">
      <c r="A898" s="1310" t="s">
        <v>792</v>
      </c>
    </row>
    <row r="899" spans="1:1">
      <c r="A899" s="1310" t="s">
        <v>793</v>
      </c>
    </row>
    <row r="900" spans="1:1">
      <c r="A900" s="1310" t="s">
        <v>794</v>
      </c>
    </row>
    <row r="901" spans="1:1">
      <c r="A901" s="1310"/>
    </row>
    <row r="902" spans="1:1">
      <c r="A902" s="1310" t="s">
        <v>795</v>
      </c>
    </row>
    <row r="903" spans="1:1">
      <c r="A903" s="1310" t="s">
        <v>796</v>
      </c>
    </row>
    <row r="904" spans="1:1">
      <c r="A904" s="1310" t="s">
        <v>797</v>
      </c>
    </row>
    <row r="905" spans="1:1">
      <c r="A905" s="1310" t="s">
        <v>798</v>
      </c>
    </row>
    <row r="906" spans="1:1">
      <c r="A906" s="1310"/>
    </row>
    <row r="907" spans="1:1">
      <c r="A907" s="1310" t="s">
        <v>799</v>
      </c>
    </row>
    <row r="908" spans="1:1">
      <c r="A908" s="1310" t="s">
        <v>800</v>
      </c>
    </row>
    <row r="909" spans="1:1">
      <c r="A909" s="1310" t="s">
        <v>801</v>
      </c>
    </row>
    <row r="910" spans="1:1">
      <c r="A910" s="1310" t="s">
        <v>802</v>
      </c>
    </row>
    <row r="911" spans="1:1">
      <c r="A911" s="1310" t="s">
        <v>803</v>
      </c>
    </row>
    <row r="912" spans="1:1">
      <c r="A912" s="1310" t="s">
        <v>804</v>
      </c>
    </row>
    <row r="913" spans="1:1">
      <c r="A913" s="1310"/>
    </row>
    <row r="914" spans="1:1">
      <c r="A914" s="1310"/>
    </row>
    <row r="915" spans="1:1">
      <c r="A915" s="1310" t="s">
        <v>805</v>
      </c>
    </row>
    <row r="916" spans="1:1">
      <c r="A916" s="1310" t="s">
        <v>806</v>
      </c>
    </row>
    <row r="917" spans="1:1">
      <c r="A917" s="1310" t="s">
        <v>1581</v>
      </c>
    </row>
    <row r="918" spans="1:1">
      <c r="A918" s="1310" t="s">
        <v>807</v>
      </c>
    </row>
    <row r="919" spans="1:1">
      <c r="A919" s="1310" t="s">
        <v>808</v>
      </c>
    </row>
    <row r="920" spans="1:1">
      <c r="A920" s="1310" t="s">
        <v>809</v>
      </c>
    </row>
    <row r="921" spans="1:1">
      <c r="A921" s="1310" t="s">
        <v>810</v>
      </c>
    </row>
    <row r="922" spans="1:1">
      <c r="A922" s="1310" t="s">
        <v>811</v>
      </c>
    </row>
    <row r="923" spans="1:1">
      <c r="A923" s="1310" t="s">
        <v>812</v>
      </c>
    </row>
    <row r="924" spans="1:1">
      <c r="A924" s="1310" t="s">
        <v>813</v>
      </c>
    </row>
    <row r="925" spans="1:1">
      <c r="A925" s="1310" t="s">
        <v>814</v>
      </c>
    </row>
    <row r="926" spans="1:1">
      <c r="A926" s="1310" t="s">
        <v>815</v>
      </c>
    </row>
    <row r="927" spans="1:1">
      <c r="A927" s="1310"/>
    </row>
    <row r="928" spans="1:1">
      <c r="A928" s="1310" t="s">
        <v>816</v>
      </c>
    </row>
    <row r="929" spans="1:1">
      <c r="A929" s="1310" t="s">
        <v>817</v>
      </c>
    </row>
    <row r="930" spans="1:1">
      <c r="A930" s="1310"/>
    </row>
    <row r="931" spans="1:1">
      <c r="A931" s="1310" t="s">
        <v>818</v>
      </c>
    </row>
    <row r="932" spans="1:1">
      <c r="A932" s="1310" t="s">
        <v>819</v>
      </c>
    </row>
    <row r="933" spans="1:1">
      <c r="A933" s="1310" t="s">
        <v>820</v>
      </c>
    </row>
    <row r="934" spans="1:1">
      <c r="A934" s="1310"/>
    </row>
    <row r="935" spans="1:1">
      <c r="A935" s="1310" t="s">
        <v>821</v>
      </c>
    </row>
    <row r="936" spans="1:1">
      <c r="A936" s="1310"/>
    </row>
    <row r="937" spans="1:1">
      <c r="A937" s="1310" t="s">
        <v>822</v>
      </c>
    </row>
    <row r="938" spans="1:1">
      <c r="A938" s="1310" t="s">
        <v>823</v>
      </c>
    </row>
    <row r="939" spans="1:1">
      <c r="A939" s="1310" t="s">
        <v>824</v>
      </c>
    </row>
    <row r="940" spans="1:1">
      <c r="A940" s="1310" t="s">
        <v>825</v>
      </c>
    </row>
    <row r="941" spans="1:1">
      <c r="A941" s="1310" t="s">
        <v>826</v>
      </c>
    </row>
    <row r="942" spans="1:1">
      <c r="A942" s="1310"/>
    </row>
    <row r="943" spans="1:1">
      <c r="A943" s="1310" t="s">
        <v>827</v>
      </c>
    </row>
    <row r="944" spans="1:1">
      <c r="A944" s="1310" t="s">
        <v>828</v>
      </c>
    </row>
    <row r="945" spans="1:1">
      <c r="A945" s="1310" t="s">
        <v>829</v>
      </c>
    </row>
    <row r="946" spans="1:1">
      <c r="A946" s="1310" t="s">
        <v>830</v>
      </c>
    </row>
    <row r="947" spans="1:1">
      <c r="A947" s="1310"/>
    </row>
    <row r="948" spans="1:1">
      <c r="A948" s="1310"/>
    </row>
    <row r="949" spans="1:1">
      <c r="A949" s="1310" t="s">
        <v>831</v>
      </c>
    </row>
    <row r="950" spans="1:1">
      <c r="A950" s="1310" t="s">
        <v>832</v>
      </c>
    </row>
    <row r="951" spans="1:1">
      <c r="A951" s="1310" t="s">
        <v>833</v>
      </c>
    </row>
    <row r="952" spans="1:1">
      <c r="A952" s="1310" t="s">
        <v>834</v>
      </c>
    </row>
    <row r="953" spans="1:1">
      <c r="A953" s="1310" t="s">
        <v>835</v>
      </c>
    </row>
    <row r="954" spans="1:1">
      <c r="A954" s="1310" t="s">
        <v>836</v>
      </c>
    </row>
    <row r="955" spans="1:1">
      <c r="A955" s="1310"/>
    </row>
    <row r="956" spans="1:1">
      <c r="A956" s="1310" t="s">
        <v>837</v>
      </c>
    </row>
    <row r="957" spans="1:1">
      <c r="A957" s="1310" t="s">
        <v>838</v>
      </c>
    </row>
    <row r="958" spans="1:1">
      <c r="A958" s="1310" t="s">
        <v>839</v>
      </c>
    </row>
    <row r="959" spans="1:1">
      <c r="A959" s="1310"/>
    </row>
    <row r="960" spans="1:1">
      <c r="A960" s="1310" t="s">
        <v>840</v>
      </c>
    </row>
    <row r="961" spans="1:1">
      <c r="A961" s="1310" t="s">
        <v>841</v>
      </c>
    </row>
    <row r="962" spans="1:1">
      <c r="A962" s="1310"/>
    </row>
    <row r="963" spans="1:1">
      <c r="A963" s="1310" t="s">
        <v>842</v>
      </c>
    </row>
    <row r="964" spans="1:1">
      <c r="A964" s="1310"/>
    </row>
    <row r="965" spans="1:1">
      <c r="A965" s="1310" t="s">
        <v>843</v>
      </c>
    </row>
    <row r="966" spans="1:1">
      <c r="A966" s="1310" t="s">
        <v>844</v>
      </c>
    </row>
    <row r="967" spans="1:1">
      <c r="A967" s="1310" t="s">
        <v>845</v>
      </c>
    </row>
    <row r="968" spans="1:1">
      <c r="A968" s="1310" t="s">
        <v>846</v>
      </c>
    </row>
    <row r="969" spans="1:1">
      <c r="A969" s="1310"/>
    </row>
    <row r="970" spans="1:1">
      <c r="A970" s="1310" t="s">
        <v>847</v>
      </c>
    </row>
    <row r="971" spans="1:1">
      <c r="A971" s="1310" t="s">
        <v>848</v>
      </c>
    </row>
    <row r="972" spans="1:1">
      <c r="A972" s="1310" t="s">
        <v>849</v>
      </c>
    </row>
    <row r="973" spans="1:1">
      <c r="A973" s="1310"/>
    </row>
    <row r="974" spans="1:1">
      <c r="A974" s="1310" t="s">
        <v>850</v>
      </c>
    </row>
    <row r="975" spans="1:1">
      <c r="A975" s="1310" t="s">
        <v>851</v>
      </c>
    </row>
    <row r="976" spans="1:1">
      <c r="A976" s="1310"/>
    </row>
    <row r="977" spans="1:1">
      <c r="A977" s="1310" t="s">
        <v>852</v>
      </c>
    </row>
    <row r="978" spans="1:1">
      <c r="A978" s="1310" t="s">
        <v>853</v>
      </c>
    </row>
    <row r="979" spans="1:1">
      <c r="A979" s="1310" t="s">
        <v>854</v>
      </c>
    </row>
    <row r="980" spans="1:1">
      <c r="A980" s="1310"/>
    </row>
    <row r="981" spans="1:1">
      <c r="A981" s="1310" t="s">
        <v>855</v>
      </c>
    </row>
    <row r="982" spans="1:1">
      <c r="A982" s="1310" t="s">
        <v>856</v>
      </c>
    </row>
    <row r="983" spans="1:1">
      <c r="A983" s="1310" t="s">
        <v>857</v>
      </c>
    </row>
    <row r="984" spans="1:1">
      <c r="A984" s="1310" t="s">
        <v>858</v>
      </c>
    </row>
    <row r="985" spans="1:1">
      <c r="A985" s="1310" t="s">
        <v>859</v>
      </c>
    </row>
    <row r="986" spans="1:1">
      <c r="A986" s="1310" t="s">
        <v>860</v>
      </c>
    </row>
    <row r="987" spans="1:1">
      <c r="A987" s="1310" t="s">
        <v>861</v>
      </c>
    </row>
    <row r="988" spans="1:1">
      <c r="A988" s="1310" t="s">
        <v>862</v>
      </c>
    </row>
    <row r="989" spans="1:1">
      <c r="A989" s="1310" t="s">
        <v>863</v>
      </c>
    </row>
    <row r="990" spans="1:1">
      <c r="A990" s="1310" t="s">
        <v>864</v>
      </c>
    </row>
    <row r="991" spans="1:1">
      <c r="A991" s="1310" t="s">
        <v>865</v>
      </c>
    </row>
    <row r="992" spans="1:1">
      <c r="A992" s="1310" t="s">
        <v>866</v>
      </c>
    </row>
    <row r="993" spans="1:1">
      <c r="A993" s="1310" t="s">
        <v>867</v>
      </c>
    </row>
    <row r="994" spans="1:1">
      <c r="A994" s="1310"/>
    </row>
    <row r="995" spans="1:1">
      <c r="A995" s="1310"/>
    </row>
    <row r="996" spans="1:1">
      <c r="A996" s="1310" t="s">
        <v>868</v>
      </c>
    </row>
    <row r="997" spans="1:1">
      <c r="A997" s="1310" t="s">
        <v>869</v>
      </c>
    </row>
    <row r="998" spans="1:1">
      <c r="A998" s="1310" t="s">
        <v>870</v>
      </c>
    </row>
    <row r="999" spans="1:1">
      <c r="A999" s="1310"/>
    </row>
    <row r="1000" spans="1:1">
      <c r="A1000" s="1310" t="s">
        <v>871</v>
      </c>
    </row>
    <row r="1001" spans="1:1">
      <c r="A1001" s="1310" t="s">
        <v>872</v>
      </c>
    </row>
    <row r="1002" spans="1:1">
      <c r="A1002" s="1310" t="s">
        <v>873</v>
      </c>
    </row>
    <row r="1003" spans="1:1">
      <c r="A1003" s="1310" t="s">
        <v>874</v>
      </c>
    </row>
  </sheetData>
  <sheetProtection password="C2EC" sheet="1" objects="1" scenarios="1"/>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Sheet18"/>
  <dimension ref="A1:A1003"/>
  <sheetViews>
    <sheetView workbookViewId="0"/>
  </sheetViews>
  <sheetFormatPr defaultRowHeight="15"/>
  <cols>
    <col min="1" max="1" width="99.85546875" bestFit="1" customWidth="1"/>
  </cols>
  <sheetData>
    <row r="1" spans="1:1">
      <c r="A1" s="1310" t="s">
        <v>167</v>
      </c>
    </row>
    <row r="2" spans="1:1">
      <c r="A2" s="1310" t="s">
        <v>168</v>
      </c>
    </row>
    <row r="3" spans="1:1">
      <c r="A3" s="1310" t="s">
        <v>150</v>
      </c>
    </row>
    <row r="4" spans="1:1">
      <c r="A4" s="1310" t="s">
        <v>169</v>
      </c>
    </row>
    <row r="5" spans="1:1">
      <c r="A5" s="1310" t="s">
        <v>170</v>
      </c>
    </row>
    <row r="6" spans="1:1">
      <c r="A6" s="1310" t="s">
        <v>150</v>
      </c>
    </row>
    <row r="7" spans="1:1">
      <c r="A7" s="1310" t="s">
        <v>171</v>
      </c>
    </row>
    <row r="8" spans="1:1">
      <c r="A8" s="1310" t="s">
        <v>172</v>
      </c>
    </row>
    <row r="9" spans="1:1">
      <c r="A9" s="1310" t="s">
        <v>173</v>
      </c>
    </row>
    <row r="10" spans="1:1">
      <c r="A10" s="1310" t="s">
        <v>174</v>
      </c>
    </row>
    <row r="11" spans="1:1">
      <c r="A11" s="1310" t="s">
        <v>175</v>
      </c>
    </row>
    <row r="12" spans="1:1">
      <c r="A12" s="1310" t="s">
        <v>176</v>
      </c>
    </row>
    <row r="13" spans="1:1">
      <c r="A13" s="1310" t="s">
        <v>172</v>
      </c>
    </row>
    <row r="14" spans="1:1">
      <c r="A14" s="1310" t="s">
        <v>175</v>
      </c>
    </row>
    <row r="15" spans="1:1">
      <c r="A15" s="1310"/>
    </row>
    <row r="16" spans="1:1">
      <c r="A16" s="1310" t="s">
        <v>177</v>
      </c>
    </row>
    <row r="17" spans="1:1">
      <c r="A17" s="1310" t="s">
        <v>178</v>
      </c>
    </row>
    <row r="18" spans="1:1">
      <c r="A18" s="1310" t="s">
        <v>179</v>
      </c>
    </row>
    <row r="19" spans="1:1">
      <c r="A19" s="1310"/>
    </row>
    <row r="20" spans="1:1">
      <c r="A20" s="1310" t="s">
        <v>180</v>
      </c>
    </row>
    <row r="21" spans="1:1">
      <c r="A21" s="1310"/>
    </row>
    <row r="22" spans="1:1">
      <c r="A22" s="1310" t="s">
        <v>181</v>
      </c>
    </row>
    <row r="23" spans="1:1">
      <c r="A23" s="1310"/>
    </row>
    <row r="24" spans="1:1">
      <c r="A24" s="1310" t="s">
        <v>150</v>
      </c>
    </row>
    <row r="25" spans="1:1">
      <c r="A25" s="1310" t="s">
        <v>182</v>
      </c>
    </row>
    <row r="26" spans="1:1">
      <c r="A26" s="1310" t="s">
        <v>150</v>
      </c>
    </row>
    <row r="27" spans="1:1">
      <c r="A27" s="1310" t="s">
        <v>183</v>
      </c>
    </row>
    <row r="28" spans="1:1">
      <c r="A28" s="1310" t="s">
        <v>184</v>
      </c>
    </row>
    <row r="29" spans="1:1">
      <c r="A29" s="1310" t="s">
        <v>185</v>
      </c>
    </row>
    <row r="30" spans="1:1">
      <c r="A30" s="1310" t="s">
        <v>186</v>
      </c>
    </row>
    <row r="31" spans="1:1">
      <c r="A31" s="1310" t="s">
        <v>187</v>
      </c>
    </row>
    <row r="32" spans="1:1">
      <c r="A32" s="1310" t="s">
        <v>150</v>
      </c>
    </row>
    <row r="33" spans="1:1">
      <c r="A33" s="1310" t="s">
        <v>188</v>
      </c>
    </row>
    <row r="34" spans="1:1">
      <c r="A34" s="1310" t="s">
        <v>189</v>
      </c>
    </row>
    <row r="35" spans="1:1">
      <c r="A35" s="1310" t="s">
        <v>190</v>
      </c>
    </row>
    <row r="36" spans="1:1">
      <c r="A36" s="1310" t="s">
        <v>191</v>
      </c>
    </row>
    <row r="37" spans="1:1">
      <c r="A37" s="1310" t="s">
        <v>192</v>
      </c>
    </row>
    <row r="38" spans="1:1">
      <c r="A38" s="1310"/>
    </row>
    <row r="39" spans="1:1">
      <c r="A39" s="1310" t="s">
        <v>150</v>
      </c>
    </row>
    <row r="40" spans="1:1">
      <c r="A40" s="1310" t="s">
        <v>150</v>
      </c>
    </row>
    <row r="41" spans="1:1">
      <c r="A41" s="1310" t="s">
        <v>193</v>
      </c>
    </row>
    <row r="42" spans="1:1">
      <c r="A42" s="1310" t="s">
        <v>150</v>
      </c>
    </row>
    <row r="43" spans="1:1">
      <c r="A43" s="1310" t="s">
        <v>194</v>
      </c>
    </row>
    <row r="44" spans="1:1">
      <c r="A44" s="1310" t="s">
        <v>195</v>
      </c>
    </row>
    <row r="45" spans="1:1">
      <c r="A45" s="1310" t="s">
        <v>196</v>
      </c>
    </row>
    <row r="46" spans="1:1">
      <c r="A46" s="1310" t="s">
        <v>197</v>
      </c>
    </row>
    <row r="47" spans="1:1">
      <c r="A47" s="1310" t="s">
        <v>198</v>
      </c>
    </row>
    <row r="48" spans="1:1">
      <c r="A48" s="1310" t="s">
        <v>199</v>
      </c>
    </row>
    <row r="49" spans="1:1">
      <c r="A49" s="1310" t="s">
        <v>200</v>
      </c>
    </row>
    <row r="50" spans="1:1">
      <c r="A50" s="1310" t="s">
        <v>201</v>
      </c>
    </row>
    <row r="51" spans="1:1">
      <c r="A51" s="1310"/>
    </row>
    <row r="52" spans="1:1">
      <c r="A52" s="1310" t="s">
        <v>1895</v>
      </c>
    </row>
    <row r="53" spans="1:1">
      <c r="A53" s="1310" t="s">
        <v>1896</v>
      </c>
    </row>
    <row r="54" spans="1:1">
      <c r="A54" s="1310"/>
    </row>
    <row r="55" spans="1:1">
      <c r="A55" s="1310" t="s">
        <v>150</v>
      </c>
    </row>
    <row r="56" spans="1:1">
      <c r="A56" s="1310" t="s">
        <v>150</v>
      </c>
    </row>
    <row r="57" spans="1:1">
      <c r="A57" s="1310" t="s">
        <v>202</v>
      </c>
    </row>
    <row r="58" spans="1:1">
      <c r="A58" s="1310" t="s">
        <v>150</v>
      </c>
    </row>
    <row r="59" spans="1:1">
      <c r="A59" s="1310" t="s">
        <v>203</v>
      </c>
    </row>
    <row r="60" spans="1:1">
      <c r="A60" s="1310" t="s">
        <v>204</v>
      </c>
    </row>
    <row r="61" spans="1:1">
      <c r="A61" s="1310" t="s">
        <v>150</v>
      </c>
    </row>
    <row r="62" spans="1:1">
      <c r="A62" s="1310" t="s">
        <v>205</v>
      </c>
    </row>
    <row r="63" spans="1:1">
      <c r="A63" s="1310" t="s">
        <v>206</v>
      </c>
    </row>
    <row r="64" spans="1:1">
      <c r="A64" s="1310" t="s">
        <v>207</v>
      </c>
    </row>
    <row r="65" spans="1:1">
      <c r="A65" s="1310" t="s">
        <v>208</v>
      </c>
    </row>
    <row r="66" spans="1:1">
      <c r="A66" s="1310"/>
    </row>
    <row r="67" spans="1:1">
      <c r="A67" s="1310" t="s">
        <v>209</v>
      </c>
    </row>
    <row r="68" spans="1:1">
      <c r="A68" s="1310" t="s">
        <v>210</v>
      </c>
    </row>
    <row r="69" spans="1:1">
      <c r="A69" s="1310" t="s">
        <v>211</v>
      </c>
    </row>
    <row r="70" spans="1:1">
      <c r="A70" s="1310" t="s">
        <v>212</v>
      </c>
    </row>
    <row r="71" spans="1:1">
      <c r="A71" s="1310"/>
    </row>
    <row r="72" spans="1:1">
      <c r="A72" s="1310" t="s">
        <v>1682</v>
      </c>
    </row>
    <row r="73" spans="1:1">
      <c r="A73" s="1310" t="s">
        <v>1683</v>
      </c>
    </row>
    <row r="74" spans="1:1">
      <c r="A74" s="1310"/>
    </row>
    <row r="75" spans="1:1">
      <c r="A75" s="1310" t="s">
        <v>1684</v>
      </c>
    </row>
    <row r="76" spans="1:1">
      <c r="A76" s="1310" t="s">
        <v>1685</v>
      </c>
    </row>
    <row r="77" spans="1:1">
      <c r="A77" s="1310"/>
    </row>
    <row r="78" spans="1:1">
      <c r="A78" s="1310"/>
    </row>
    <row r="79" spans="1:1">
      <c r="A79" s="1310" t="s">
        <v>150</v>
      </c>
    </row>
    <row r="80" spans="1:1">
      <c r="A80" s="1310" t="s">
        <v>150</v>
      </c>
    </row>
    <row r="81" spans="1:1">
      <c r="A81" s="1310" t="s">
        <v>213</v>
      </c>
    </row>
    <row r="82" spans="1:1">
      <c r="A82" s="1310" t="s">
        <v>150</v>
      </c>
    </row>
    <row r="83" spans="1:1">
      <c r="A83" s="1310" t="s">
        <v>214</v>
      </c>
    </row>
    <row r="84" spans="1:1">
      <c r="A84" s="1310" t="s">
        <v>215</v>
      </c>
    </row>
    <row r="85" spans="1:1">
      <c r="A85" s="1310" t="s">
        <v>216</v>
      </c>
    </row>
    <row r="86" spans="1:1">
      <c r="A86" s="1310" t="s">
        <v>217</v>
      </c>
    </row>
    <row r="87" spans="1:1">
      <c r="A87" s="1310" t="s">
        <v>218</v>
      </c>
    </row>
    <row r="88" spans="1:1">
      <c r="A88" s="1310" t="s">
        <v>219</v>
      </c>
    </row>
    <row r="89" spans="1:1">
      <c r="A89" s="1310" t="s">
        <v>220</v>
      </c>
    </row>
    <row r="90" spans="1:1">
      <c r="A90" s="1310"/>
    </row>
    <row r="91" spans="1:1">
      <c r="A91" s="1310" t="s">
        <v>1867</v>
      </c>
    </row>
    <row r="92" spans="1:1">
      <c r="A92" s="1310"/>
    </row>
    <row r="93" spans="1:1">
      <c r="A93" s="1310" t="s">
        <v>222</v>
      </c>
    </row>
    <row r="94" spans="1:1">
      <c r="A94" s="1310" t="s">
        <v>150</v>
      </c>
    </row>
    <row r="95" spans="1:1">
      <c r="A95" s="1310" t="s">
        <v>223</v>
      </c>
    </row>
    <row r="96" spans="1:1">
      <c r="A96" s="1310" t="s">
        <v>224</v>
      </c>
    </row>
    <row r="97" spans="1:1">
      <c r="A97" s="1310"/>
    </row>
    <row r="98" spans="1:1">
      <c r="A98" s="1310" t="s">
        <v>150</v>
      </c>
    </row>
    <row r="99" spans="1:1">
      <c r="A99" s="1310" t="s">
        <v>225</v>
      </c>
    </row>
    <row r="100" spans="1:1">
      <c r="A100" s="1310" t="s">
        <v>226</v>
      </c>
    </row>
    <row r="101" spans="1:1">
      <c r="A101" s="1310" t="s">
        <v>227</v>
      </c>
    </row>
    <row r="102" spans="1:1">
      <c r="A102" s="1310" t="s">
        <v>228</v>
      </c>
    </row>
    <row r="103" spans="1:1">
      <c r="A103" s="1310" t="s">
        <v>229</v>
      </c>
    </row>
    <row r="104" spans="1:1">
      <c r="A104" s="1310" t="s">
        <v>230</v>
      </c>
    </row>
    <row r="105" spans="1:1">
      <c r="A105" s="1310" t="s">
        <v>231</v>
      </c>
    </row>
    <row r="106" spans="1:1">
      <c r="A106" s="1310" t="s">
        <v>232</v>
      </c>
    </row>
    <row r="107" spans="1:1">
      <c r="A107" s="1310" t="s">
        <v>233</v>
      </c>
    </row>
    <row r="108" spans="1:1">
      <c r="A108" s="1310" t="s">
        <v>150</v>
      </c>
    </row>
    <row r="109" spans="1:1">
      <c r="A109" s="1310" t="s">
        <v>234</v>
      </c>
    </row>
    <row r="110" spans="1:1">
      <c r="A110" s="1310" t="s">
        <v>235</v>
      </c>
    </row>
    <row r="111" spans="1:1">
      <c r="A111" s="1310" t="s">
        <v>236</v>
      </c>
    </row>
    <row r="112" spans="1:1">
      <c r="A112" s="1310"/>
    </row>
    <row r="113" spans="1:1">
      <c r="A113" s="1310" t="s">
        <v>150</v>
      </c>
    </row>
    <row r="114" spans="1:1">
      <c r="A114" s="1310" t="s">
        <v>237</v>
      </c>
    </row>
    <row r="115" spans="1:1">
      <c r="A115" s="1310" t="s">
        <v>238</v>
      </c>
    </row>
    <row r="116" spans="1:1">
      <c r="A116" s="1310" t="s">
        <v>239</v>
      </c>
    </row>
    <row r="117" spans="1:1">
      <c r="A117" s="1310" t="s">
        <v>240</v>
      </c>
    </row>
    <row r="118" spans="1:1">
      <c r="A118" s="1310" t="s">
        <v>241</v>
      </c>
    </row>
    <row r="119" spans="1:1">
      <c r="A119" s="1310" t="s">
        <v>242</v>
      </c>
    </row>
    <row r="120" spans="1:1">
      <c r="A120" s="1310" t="s">
        <v>150</v>
      </c>
    </row>
    <row r="121" spans="1:1">
      <c r="A121" s="1310" t="s">
        <v>243</v>
      </c>
    </row>
    <row r="122" spans="1:1">
      <c r="A122" s="1310"/>
    </row>
    <row r="123" spans="1:1">
      <c r="A123" s="1310" t="s">
        <v>244</v>
      </c>
    </row>
    <row r="124" spans="1:1">
      <c r="A124" s="1310" t="s">
        <v>245</v>
      </c>
    </row>
    <row r="125" spans="1:1">
      <c r="A125" s="1310" t="s">
        <v>246</v>
      </c>
    </row>
    <row r="126" spans="1:1">
      <c r="A126" s="1310" t="s">
        <v>247</v>
      </c>
    </row>
    <row r="127" spans="1:1">
      <c r="A127" s="1310" t="s">
        <v>248</v>
      </c>
    </row>
    <row r="128" spans="1:1">
      <c r="A128" s="1310" t="s">
        <v>150</v>
      </c>
    </row>
    <row r="129" spans="1:1">
      <c r="A129" s="1310" t="s">
        <v>249</v>
      </c>
    </row>
    <row r="130" spans="1:1">
      <c r="A130" s="1310"/>
    </row>
    <row r="131" spans="1:1">
      <c r="A131" s="1310" t="s">
        <v>150</v>
      </c>
    </row>
    <row r="132" spans="1:1">
      <c r="A132" s="1310" t="s">
        <v>250</v>
      </c>
    </row>
    <row r="133" spans="1:1">
      <c r="A133" s="1310" t="s">
        <v>150</v>
      </c>
    </row>
    <row r="134" spans="1:1">
      <c r="A134" s="1310" t="s">
        <v>251</v>
      </c>
    </row>
    <row r="135" spans="1:1">
      <c r="A135" s="1310" t="s">
        <v>252</v>
      </c>
    </row>
    <row r="136" spans="1:1">
      <c r="A136" s="1310" t="s">
        <v>150</v>
      </c>
    </row>
    <row r="137" spans="1:1">
      <c r="A137" s="1310" t="s">
        <v>150</v>
      </c>
    </row>
    <row r="138" spans="1:1">
      <c r="A138" s="1310" t="s">
        <v>255</v>
      </c>
    </row>
    <row r="139" spans="1:1">
      <c r="A139" s="1310" t="s">
        <v>150</v>
      </c>
    </row>
    <row r="140" spans="1:1">
      <c r="A140" s="1310" t="s">
        <v>256</v>
      </c>
    </row>
    <row r="141" spans="1:1">
      <c r="A141" s="1310"/>
    </row>
    <row r="142" spans="1:1">
      <c r="A142" s="1310" t="s">
        <v>150</v>
      </c>
    </row>
    <row r="143" spans="1:1">
      <c r="A143" s="1310" t="s">
        <v>1886</v>
      </c>
    </row>
    <row r="144" spans="1:1">
      <c r="A144" s="1310" t="s">
        <v>150</v>
      </c>
    </row>
    <row r="145" spans="1:1">
      <c r="A145" s="1310" t="s">
        <v>1887</v>
      </c>
    </row>
    <row r="146" spans="1:1">
      <c r="A146" s="1310" t="s">
        <v>1888</v>
      </c>
    </row>
    <row r="147" spans="1:1">
      <c r="A147" s="1310"/>
    </row>
    <row r="148" spans="1:1">
      <c r="A148" s="1310" t="s">
        <v>257</v>
      </c>
    </row>
    <row r="149" spans="1:1">
      <c r="A149" s="1310" t="s">
        <v>258</v>
      </c>
    </row>
    <row r="150" spans="1:1">
      <c r="A150" s="1310" t="s">
        <v>259</v>
      </c>
    </row>
    <row r="151" spans="1:1">
      <c r="A151" s="1310"/>
    </row>
    <row r="152" spans="1:1">
      <c r="A152" s="1310" t="s">
        <v>260</v>
      </c>
    </row>
    <row r="153" spans="1:1">
      <c r="A153" s="1310" t="s">
        <v>261</v>
      </c>
    </row>
    <row r="154" spans="1:1">
      <c r="A154" s="1310" t="s">
        <v>262</v>
      </c>
    </row>
    <row r="155" spans="1:1">
      <c r="A155" s="1310" t="s">
        <v>263</v>
      </c>
    </row>
    <row r="156" spans="1:1">
      <c r="A156" s="1310" t="s">
        <v>264</v>
      </c>
    </row>
    <row r="157" spans="1:1">
      <c r="A157" s="1310" t="s">
        <v>265</v>
      </c>
    </row>
    <row r="158" spans="1:1">
      <c r="A158" s="1310" t="s">
        <v>266</v>
      </c>
    </row>
    <row r="159" spans="1:1">
      <c r="A159" s="1310" t="s">
        <v>267</v>
      </c>
    </row>
    <row r="160" spans="1:1">
      <c r="A160" s="1310" t="s">
        <v>268</v>
      </c>
    </row>
    <row r="161" spans="1:1">
      <c r="A161" s="1310" t="s">
        <v>269</v>
      </c>
    </row>
    <row r="162" spans="1:1">
      <c r="A162" s="1310"/>
    </row>
    <row r="163" spans="1:1">
      <c r="A163" s="1310" t="s">
        <v>270</v>
      </c>
    </row>
    <row r="164" spans="1:1">
      <c r="A164" s="1310" t="s">
        <v>271</v>
      </c>
    </row>
    <row r="165" spans="1:1">
      <c r="A165" s="1310" t="s">
        <v>272</v>
      </c>
    </row>
    <row r="166" spans="1:1">
      <c r="A166" s="1310" t="s">
        <v>273</v>
      </c>
    </row>
    <row r="167" spans="1:1">
      <c r="A167" s="1310" t="s">
        <v>274</v>
      </c>
    </row>
    <row r="168" spans="1:1">
      <c r="A168" s="1310"/>
    </row>
    <row r="169" spans="1:1">
      <c r="A169" s="1310" t="s">
        <v>275</v>
      </c>
    </row>
    <row r="170" spans="1:1">
      <c r="A170" s="1310" t="s">
        <v>276</v>
      </c>
    </row>
    <row r="171" spans="1:1">
      <c r="A171" s="1310" t="s">
        <v>277</v>
      </c>
    </row>
    <row r="172" spans="1:1">
      <c r="A172" s="1310" t="s">
        <v>278</v>
      </c>
    </row>
    <row r="173" spans="1:1">
      <c r="A173" s="1310" t="s">
        <v>279</v>
      </c>
    </row>
    <row r="174" spans="1:1">
      <c r="A174" s="1310" t="s">
        <v>280</v>
      </c>
    </row>
    <row r="175" spans="1:1">
      <c r="A175" s="1310" t="s">
        <v>281</v>
      </c>
    </row>
    <row r="176" spans="1:1">
      <c r="A176" s="1310" t="s">
        <v>282</v>
      </c>
    </row>
    <row r="177" spans="1:1">
      <c r="A177" s="1310" t="s">
        <v>1875</v>
      </c>
    </row>
    <row r="178" spans="1:1">
      <c r="A178" s="1310" t="s">
        <v>283</v>
      </c>
    </row>
    <row r="179" spans="1:1">
      <c r="A179" s="1310" t="s">
        <v>284</v>
      </c>
    </row>
    <row r="180" spans="1:1">
      <c r="A180" s="1310" t="s">
        <v>285</v>
      </c>
    </row>
    <row r="181" spans="1:1">
      <c r="A181" s="1310" t="s">
        <v>1564</v>
      </c>
    </row>
    <row r="182" spans="1:1">
      <c r="A182" s="1310" t="s">
        <v>287</v>
      </c>
    </row>
    <row r="183" spans="1:1">
      <c r="A183" s="1310" t="s">
        <v>288</v>
      </c>
    </row>
    <row r="184" spans="1:1">
      <c r="A184" s="1310" t="s">
        <v>289</v>
      </c>
    </row>
    <row r="185" spans="1:1">
      <c r="A185" s="1310" t="s">
        <v>290</v>
      </c>
    </row>
    <row r="186" spans="1:1">
      <c r="A186" s="1310" t="s">
        <v>291</v>
      </c>
    </row>
    <row r="187" spans="1:1">
      <c r="A187" s="1310" t="s">
        <v>292</v>
      </c>
    </row>
    <row r="188" spans="1:1">
      <c r="A188" s="1310" t="s">
        <v>1693</v>
      </c>
    </row>
    <row r="189" spans="1:1">
      <c r="A189" s="1310" t="s">
        <v>1826</v>
      </c>
    </row>
    <row r="190" spans="1:1">
      <c r="A190" s="1310" t="s">
        <v>1827</v>
      </c>
    </row>
    <row r="191" spans="1:1">
      <c r="A191" s="1310" t="s">
        <v>1828</v>
      </c>
    </row>
    <row r="192" spans="1:1">
      <c r="A192" s="1310" t="s">
        <v>1829</v>
      </c>
    </row>
    <row r="193" spans="1:1">
      <c r="A193" s="1310"/>
    </row>
    <row r="194" spans="1:1">
      <c r="A194" s="1310"/>
    </row>
    <row r="195" spans="1:1">
      <c r="A195" s="1310" t="s">
        <v>293</v>
      </c>
    </row>
    <row r="196" spans="1:1">
      <c r="A196" s="1310" t="s">
        <v>294</v>
      </c>
    </row>
    <row r="197" spans="1:1">
      <c r="A197" s="1310" t="s">
        <v>295</v>
      </c>
    </row>
    <row r="198" spans="1:1">
      <c r="A198" s="1310" t="s">
        <v>296</v>
      </c>
    </row>
    <row r="199" spans="1:1">
      <c r="A199" s="1310" t="s">
        <v>297</v>
      </c>
    </row>
    <row r="200" spans="1:1">
      <c r="A200" s="1310" t="s">
        <v>298</v>
      </c>
    </row>
    <row r="201" spans="1:1">
      <c r="A201" s="1310" t="s">
        <v>1897</v>
      </c>
    </row>
    <row r="202" spans="1:1">
      <c r="A202" s="1310" t="s">
        <v>300</v>
      </c>
    </row>
    <row r="203" spans="1:1">
      <c r="A203" s="1310" t="s">
        <v>301</v>
      </c>
    </row>
    <row r="204" spans="1:1">
      <c r="A204" s="1310"/>
    </row>
    <row r="205" spans="1:1">
      <c r="A205" s="1310" t="s">
        <v>150</v>
      </c>
    </row>
    <row r="206" spans="1:1">
      <c r="A206" s="1310" t="s">
        <v>302</v>
      </c>
    </row>
    <row r="207" spans="1:1">
      <c r="A207" s="1310" t="s">
        <v>303</v>
      </c>
    </row>
    <row r="208" spans="1:1">
      <c r="A208" s="1310" t="s">
        <v>150</v>
      </c>
    </row>
    <row r="209" spans="1:1">
      <c r="A209" s="1310" t="s">
        <v>304</v>
      </c>
    </row>
    <row r="210" spans="1:1">
      <c r="A210" s="1310" t="s">
        <v>305</v>
      </c>
    </row>
    <row r="211" spans="1:1">
      <c r="A211" s="1310" t="s">
        <v>306</v>
      </c>
    </row>
    <row r="212" spans="1:1">
      <c r="A212" s="1310" t="s">
        <v>307</v>
      </c>
    </row>
    <row r="213" spans="1:1">
      <c r="A213" s="1310" t="s">
        <v>308</v>
      </c>
    </row>
    <row r="214" spans="1:1">
      <c r="A214" s="1310" t="s">
        <v>309</v>
      </c>
    </row>
    <row r="215" spans="1:1">
      <c r="A215" s="1310" t="s">
        <v>310</v>
      </c>
    </row>
    <row r="216" spans="1:1">
      <c r="A216" s="1310" t="s">
        <v>311</v>
      </c>
    </row>
    <row r="217" spans="1:1">
      <c r="A217" s="1310" t="s">
        <v>312</v>
      </c>
    </row>
    <row r="218" spans="1:1">
      <c r="A218" s="1310" t="s">
        <v>313</v>
      </c>
    </row>
    <row r="219" spans="1:1">
      <c r="A219" s="1310" t="s">
        <v>1767</v>
      </c>
    </row>
    <row r="220" spans="1:1">
      <c r="A220" s="1310" t="s">
        <v>1766</v>
      </c>
    </row>
    <row r="221" spans="1:1">
      <c r="A221" s="1310" t="s">
        <v>1889</v>
      </c>
    </row>
    <row r="222" spans="1:1">
      <c r="A222" s="1310"/>
    </row>
    <row r="223" spans="1:1">
      <c r="A223" s="1310" t="s">
        <v>315</v>
      </c>
    </row>
    <row r="224" spans="1:1">
      <c r="A224" s="1310" t="s">
        <v>316</v>
      </c>
    </row>
    <row r="225" spans="1:1">
      <c r="A225" s="1310" t="s">
        <v>317</v>
      </c>
    </row>
    <row r="226" spans="1:1">
      <c r="A226" s="1310" t="s">
        <v>318</v>
      </c>
    </row>
    <row r="227" spans="1:1">
      <c r="A227" s="1310" t="s">
        <v>319</v>
      </c>
    </row>
    <row r="228" spans="1:1">
      <c r="A228" s="1310"/>
    </row>
    <row r="229" spans="1:1">
      <c r="A229" s="1310" t="s">
        <v>320</v>
      </c>
    </row>
    <row r="230" spans="1:1">
      <c r="A230" s="1310" t="s">
        <v>321</v>
      </c>
    </row>
    <row r="231" spans="1:1">
      <c r="A231" s="1310"/>
    </row>
    <row r="232" spans="1:1">
      <c r="A232" s="1310" t="s">
        <v>322</v>
      </c>
    </row>
    <row r="233" spans="1:1">
      <c r="A233" s="1310" t="s">
        <v>323</v>
      </c>
    </row>
    <row r="234" spans="1:1">
      <c r="A234" s="1310" t="s">
        <v>324</v>
      </c>
    </row>
    <row r="235" spans="1:1">
      <c r="A235" s="1310"/>
    </row>
    <row r="236" spans="1:1">
      <c r="A236" s="1310" t="s">
        <v>325</v>
      </c>
    </row>
    <row r="237" spans="1:1">
      <c r="A237" s="1310" t="s">
        <v>326</v>
      </c>
    </row>
    <row r="238" spans="1:1">
      <c r="A238" s="1310" t="s">
        <v>327</v>
      </c>
    </row>
    <row r="239" spans="1:1">
      <c r="A239" s="1310" t="s">
        <v>328</v>
      </c>
    </row>
    <row r="240" spans="1:1">
      <c r="A240" s="1310" t="s">
        <v>329</v>
      </c>
    </row>
    <row r="241" spans="1:1">
      <c r="A241" s="1310" t="s">
        <v>330</v>
      </c>
    </row>
    <row r="242" spans="1:1">
      <c r="A242" s="1310"/>
    </row>
    <row r="243" spans="1:1">
      <c r="A243" s="1310" t="s">
        <v>331</v>
      </c>
    </row>
    <row r="244" spans="1:1">
      <c r="A244" s="1310" t="s">
        <v>332</v>
      </c>
    </row>
    <row r="245" spans="1:1">
      <c r="A245" s="1310" t="s">
        <v>333</v>
      </c>
    </row>
    <row r="246" spans="1:1">
      <c r="A246" s="1310" t="s">
        <v>334</v>
      </c>
    </row>
    <row r="247" spans="1:1">
      <c r="A247" s="1310"/>
    </row>
    <row r="248" spans="1:1">
      <c r="A248" s="1310" t="s">
        <v>335</v>
      </c>
    </row>
    <row r="249" spans="1:1">
      <c r="A249" s="1310" t="s">
        <v>1248</v>
      </c>
    </row>
    <row r="250" spans="1:1">
      <c r="A250" s="1310" t="s">
        <v>1488</v>
      </c>
    </row>
    <row r="251" spans="1:1">
      <c r="A251" s="1310" t="s">
        <v>336</v>
      </c>
    </row>
    <row r="252" spans="1:1">
      <c r="A252" s="1310" t="s">
        <v>1249</v>
      </c>
    </row>
    <row r="253" spans="1:1">
      <c r="A253" s="1310" t="s">
        <v>337</v>
      </c>
    </row>
    <row r="254" spans="1:1">
      <c r="A254" s="1310" t="s">
        <v>338</v>
      </c>
    </row>
    <row r="255" spans="1:1">
      <c r="A255" s="1310" t="s">
        <v>339</v>
      </c>
    </row>
    <row r="256" spans="1:1">
      <c r="A256" s="1310"/>
    </row>
    <row r="257" spans="1:1">
      <c r="A257" s="1310" t="s">
        <v>340</v>
      </c>
    </row>
    <row r="258" spans="1:1">
      <c r="A258" s="1310" t="s">
        <v>1250</v>
      </c>
    </row>
    <row r="259" spans="1:1">
      <c r="A259" s="1310" t="s">
        <v>341</v>
      </c>
    </row>
    <row r="260" spans="1:1">
      <c r="A260" s="1310" t="s">
        <v>1249</v>
      </c>
    </row>
    <row r="261" spans="1:1">
      <c r="A261" s="1310" t="s">
        <v>342</v>
      </c>
    </row>
    <row r="262" spans="1:1">
      <c r="A262" s="1310" t="s">
        <v>343</v>
      </c>
    </row>
    <row r="263" spans="1:1">
      <c r="A263" s="1310" t="s">
        <v>344</v>
      </c>
    </row>
    <row r="264" spans="1:1">
      <c r="A264" s="1310" t="s">
        <v>345</v>
      </c>
    </row>
    <row r="265" spans="1:1">
      <c r="A265" s="1310" t="s">
        <v>346</v>
      </c>
    </row>
    <row r="266" spans="1:1">
      <c r="A266" s="1310" t="s">
        <v>1251</v>
      </c>
    </row>
    <row r="267" spans="1:1">
      <c r="A267" s="1310" t="s">
        <v>347</v>
      </c>
    </row>
    <row r="268" spans="1:1">
      <c r="A268" s="1310" t="s">
        <v>348</v>
      </c>
    </row>
    <row r="269" spans="1:1">
      <c r="A269" s="1310" t="s">
        <v>349</v>
      </c>
    </row>
    <row r="270" spans="1:1">
      <c r="A270" s="1310" t="s">
        <v>350</v>
      </c>
    </row>
    <row r="271" spans="1:1">
      <c r="A271" s="1310" t="s">
        <v>351</v>
      </c>
    </row>
    <row r="272" spans="1:1">
      <c r="A272" s="1310"/>
    </row>
    <row r="273" spans="1:1">
      <c r="A273" s="1310" t="s">
        <v>352</v>
      </c>
    </row>
    <row r="274" spans="1:1">
      <c r="A274" s="1310" t="s">
        <v>353</v>
      </c>
    </row>
    <row r="275" spans="1:1">
      <c r="A275" s="1310"/>
    </row>
    <row r="276" spans="1:1">
      <c r="A276" s="1310" t="s">
        <v>354</v>
      </c>
    </row>
    <row r="277" spans="1:1">
      <c r="A277" s="1310" t="s">
        <v>355</v>
      </c>
    </row>
    <row r="278" spans="1:1">
      <c r="A278" s="1310" t="s">
        <v>356</v>
      </c>
    </row>
    <row r="279" spans="1:1">
      <c r="A279" s="1310"/>
    </row>
    <row r="280" spans="1:1">
      <c r="A280" s="1310"/>
    </row>
    <row r="281" spans="1:1">
      <c r="A281" s="1310" t="s">
        <v>150</v>
      </c>
    </row>
    <row r="282" spans="1:1">
      <c r="A282" s="1310" t="s">
        <v>357</v>
      </c>
    </row>
    <row r="283" spans="1:1">
      <c r="A283" s="1310" t="s">
        <v>150</v>
      </c>
    </row>
    <row r="284" spans="1:1">
      <c r="A284" s="1310" t="s">
        <v>358</v>
      </c>
    </row>
    <row r="285" spans="1:1">
      <c r="A285" s="1310" t="s">
        <v>359</v>
      </c>
    </row>
    <row r="286" spans="1:1">
      <c r="A286" s="1310" t="s">
        <v>360</v>
      </c>
    </row>
    <row r="287" spans="1:1">
      <c r="A287" s="1310" t="s">
        <v>361</v>
      </c>
    </row>
    <row r="288" spans="1:1">
      <c r="A288" s="1310" t="s">
        <v>362</v>
      </c>
    </row>
    <row r="289" spans="1:1">
      <c r="A289" s="1310" t="s">
        <v>363</v>
      </c>
    </row>
    <row r="290" spans="1:1">
      <c r="A290" s="1310" t="s">
        <v>364</v>
      </c>
    </row>
    <row r="291" spans="1:1">
      <c r="A291" s="1310" t="s">
        <v>365</v>
      </c>
    </row>
    <row r="292" spans="1:1">
      <c r="A292" s="1310" t="s">
        <v>366</v>
      </c>
    </row>
    <row r="293" spans="1:1">
      <c r="A293" s="1310"/>
    </row>
    <row r="294" spans="1:1">
      <c r="A294" s="1310" t="s">
        <v>150</v>
      </c>
    </row>
    <row r="295" spans="1:1">
      <c r="A295" s="1310" t="s">
        <v>150</v>
      </c>
    </row>
    <row r="296" spans="1:1">
      <c r="A296" s="1310" t="s">
        <v>367</v>
      </c>
    </row>
    <row r="297" spans="1:1">
      <c r="A297" s="1310" t="s">
        <v>150</v>
      </c>
    </row>
    <row r="298" spans="1:1">
      <c r="A298" s="1310" t="s">
        <v>368</v>
      </c>
    </row>
    <row r="299" spans="1:1">
      <c r="A299" s="1310" t="s">
        <v>369</v>
      </c>
    </row>
    <row r="300" spans="1:1">
      <c r="A300" s="1310" t="s">
        <v>370</v>
      </c>
    </row>
    <row r="301" spans="1:1">
      <c r="A301" s="1310" t="s">
        <v>371</v>
      </c>
    </row>
    <row r="302" spans="1:1">
      <c r="A302" s="1310" t="s">
        <v>372</v>
      </c>
    </row>
    <row r="303" spans="1:1">
      <c r="A303" s="1310" t="s">
        <v>373</v>
      </c>
    </row>
    <row r="304" spans="1:1">
      <c r="A304" s="1310" t="s">
        <v>374</v>
      </c>
    </row>
    <row r="305" spans="1:1">
      <c r="A305" s="1310"/>
    </row>
    <row r="306" spans="1:1">
      <c r="A306" s="1310" t="s">
        <v>375</v>
      </c>
    </row>
    <row r="307" spans="1:1">
      <c r="A307" s="1310" t="s">
        <v>376</v>
      </c>
    </row>
    <row r="308" spans="1:1">
      <c r="A308" s="1310" t="s">
        <v>377</v>
      </c>
    </row>
    <row r="309" spans="1:1">
      <c r="A309" s="1310" t="s">
        <v>378</v>
      </c>
    </row>
    <row r="310" spans="1:1">
      <c r="A310" s="1310" t="s">
        <v>379</v>
      </c>
    </row>
    <row r="311" spans="1:1">
      <c r="A311" s="1310" t="s">
        <v>380</v>
      </c>
    </row>
    <row r="312" spans="1:1">
      <c r="A312" s="1310" t="s">
        <v>381</v>
      </c>
    </row>
    <row r="313" spans="1:1">
      <c r="A313" s="1310" t="s">
        <v>382</v>
      </c>
    </row>
    <row r="314" spans="1:1">
      <c r="A314" s="1310"/>
    </row>
    <row r="315" spans="1:1">
      <c r="A315" s="1310"/>
    </row>
    <row r="316" spans="1:1">
      <c r="A316" s="1310" t="s">
        <v>383</v>
      </c>
    </row>
    <row r="317" spans="1:1">
      <c r="A317" s="1310" t="s">
        <v>384</v>
      </c>
    </row>
    <row r="318" spans="1:1">
      <c r="A318" s="1310"/>
    </row>
    <row r="319" spans="1:1">
      <c r="A319" s="1310" t="s">
        <v>385</v>
      </c>
    </row>
    <row r="320" spans="1:1">
      <c r="A320" s="1310" t="s">
        <v>386</v>
      </c>
    </row>
    <row r="321" spans="1:1">
      <c r="A321" s="1310"/>
    </row>
    <row r="322" spans="1:1">
      <c r="A322" s="1310" t="s">
        <v>387</v>
      </c>
    </row>
    <row r="323" spans="1:1">
      <c r="A323" s="1310" t="s">
        <v>388</v>
      </c>
    </row>
    <row r="324" spans="1:1">
      <c r="A324" s="1310" t="s">
        <v>389</v>
      </c>
    </row>
    <row r="325" spans="1:1">
      <c r="A325" s="1310" t="s">
        <v>390</v>
      </c>
    </row>
    <row r="326" spans="1:1">
      <c r="A326" s="1310"/>
    </row>
    <row r="327" spans="1:1">
      <c r="A327" s="1310" t="s">
        <v>391</v>
      </c>
    </row>
    <row r="328" spans="1:1">
      <c r="A328" s="1310" t="s">
        <v>392</v>
      </c>
    </row>
    <row r="329" spans="1:1">
      <c r="A329" s="1310" t="s">
        <v>393</v>
      </c>
    </row>
    <row r="330" spans="1:1">
      <c r="A330" s="1310" t="s">
        <v>394</v>
      </c>
    </row>
    <row r="331" spans="1:1">
      <c r="A331" s="1310"/>
    </row>
    <row r="332" spans="1:1">
      <c r="A332" s="1310" t="s">
        <v>395</v>
      </c>
    </row>
    <row r="333" spans="1:1">
      <c r="A333" s="1310" t="s">
        <v>1868</v>
      </c>
    </row>
    <row r="334" spans="1:1">
      <c r="A334" s="1310" t="s">
        <v>1869</v>
      </c>
    </row>
    <row r="335" spans="1:1">
      <c r="A335" s="1310" t="s">
        <v>1252</v>
      </c>
    </row>
    <row r="336" spans="1:1">
      <c r="A336" s="1310" t="s">
        <v>1253</v>
      </c>
    </row>
    <row r="337" spans="1:1">
      <c r="A337" s="1310" t="s">
        <v>1254</v>
      </c>
    </row>
    <row r="338" spans="1:1">
      <c r="A338" s="1310" t="s">
        <v>1255</v>
      </c>
    </row>
    <row r="339" spans="1:1">
      <c r="A339" s="1310" t="s">
        <v>1256</v>
      </c>
    </row>
    <row r="340" spans="1:1">
      <c r="A340" s="1310"/>
    </row>
    <row r="341" spans="1:1">
      <c r="A341" s="1310" t="s">
        <v>397</v>
      </c>
    </row>
    <row r="342" spans="1:1">
      <c r="A342" s="1310" t="s">
        <v>398</v>
      </c>
    </row>
    <row r="343" spans="1:1">
      <c r="A343" s="1310" t="s">
        <v>1565</v>
      </c>
    </row>
    <row r="344" spans="1:1">
      <c r="A344" s="1310" t="s">
        <v>400</v>
      </c>
    </row>
    <row r="345" spans="1:1">
      <c r="A345" s="1310" t="s">
        <v>401</v>
      </c>
    </row>
    <row r="346" spans="1:1">
      <c r="A346" s="1310" t="s">
        <v>402</v>
      </c>
    </row>
    <row r="347" spans="1:1">
      <c r="A347" s="1310" t="s">
        <v>403</v>
      </c>
    </row>
    <row r="348" spans="1:1">
      <c r="A348" s="1310" t="s">
        <v>404</v>
      </c>
    </row>
    <row r="349" spans="1:1">
      <c r="A349" s="1310" t="s">
        <v>405</v>
      </c>
    </row>
    <row r="350" spans="1:1">
      <c r="A350" s="1310" t="s">
        <v>406</v>
      </c>
    </row>
    <row r="351" spans="1:1">
      <c r="A351" s="1310" t="s">
        <v>407</v>
      </c>
    </row>
    <row r="352" spans="1:1">
      <c r="A352" s="1310" t="s">
        <v>408</v>
      </c>
    </row>
    <row r="353" spans="1:1">
      <c r="A353" s="1311" t="str">
        <f>"platelet_mobilization_factor=" &amp; IF('Configs &amp; Procedures'!$H$15="YES","0.8","1.00")</f>
        <v>platelet_mobilization_factor=1.00</v>
      </c>
    </row>
    <row r="354" spans="1:1">
      <c r="A354" s="1310"/>
    </row>
    <row r="355" spans="1:1">
      <c r="A355" s="1310" t="s">
        <v>410</v>
      </c>
    </row>
    <row r="356" spans="1:1">
      <c r="A356" s="1310" t="s">
        <v>150</v>
      </c>
    </row>
    <row r="357" spans="1:1">
      <c r="A357" s="1310" t="s">
        <v>150</v>
      </c>
    </row>
    <row r="358" spans="1:1">
      <c r="A358" s="1310" t="s">
        <v>411</v>
      </c>
    </row>
    <row r="359" spans="1:1">
      <c r="A359" s="1310" t="s">
        <v>412</v>
      </c>
    </row>
    <row r="360" spans="1:1">
      <c r="A360" s="1310" t="s">
        <v>150</v>
      </c>
    </row>
    <row r="361" spans="1:1">
      <c r="A361" s="1310" t="s">
        <v>413</v>
      </c>
    </row>
    <row r="362" spans="1:1">
      <c r="A362" s="1310" t="s">
        <v>414</v>
      </c>
    </row>
    <row r="363" spans="1:1">
      <c r="A363" s="1310" t="s">
        <v>415</v>
      </c>
    </row>
    <row r="364" spans="1:1">
      <c r="A364" s="1310" t="s">
        <v>416</v>
      </c>
    </row>
    <row r="365" spans="1:1">
      <c r="A365" s="1310" t="s">
        <v>150</v>
      </c>
    </row>
    <row r="366" spans="1:1">
      <c r="A366" s="1310" t="s">
        <v>150</v>
      </c>
    </row>
    <row r="367" spans="1:1">
      <c r="A367" s="1310" t="s">
        <v>417</v>
      </c>
    </row>
    <row r="368" spans="1:1">
      <c r="A368" s="1310" t="s">
        <v>418</v>
      </c>
    </row>
    <row r="369" spans="1:1">
      <c r="A369" s="1310" t="s">
        <v>150</v>
      </c>
    </row>
    <row r="370" spans="1:1">
      <c r="A370" s="1310" t="s">
        <v>419</v>
      </c>
    </row>
    <row r="371" spans="1:1">
      <c r="A371" s="1310" t="s">
        <v>150</v>
      </c>
    </row>
    <row r="372" spans="1:1">
      <c r="A372" s="1310" t="s">
        <v>420</v>
      </c>
    </row>
    <row r="373" spans="1:1">
      <c r="A373" s="1310" t="s">
        <v>421</v>
      </c>
    </row>
    <row r="374" spans="1:1">
      <c r="A374" s="1310" t="s">
        <v>422</v>
      </c>
    </row>
    <row r="375" spans="1:1">
      <c r="A375" s="1310" t="s">
        <v>423</v>
      </c>
    </row>
    <row r="376" spans="1:1">
      <c r="A376" s="1310" t="s">
        <v>1876</v>
      </c>
    </row>
    <row r="377" spans="1:1">
      <c r="A377" s="1310" t="s">
        <v>150</v>
      </c>
    </row>
    <row r="378" spans="1:1">
      <c r="A378" s="1310" t="s">
        <v>424</v>
      </c>
    </row>
    <row r="379" spans="1:1">
      <c r="A379" s="1310" t="s">
        <v>425</v>
      </c>
    </row>
    <row r="380" spans="1:1">
      <c r="A380" s="1310" t="s">
        <v>426</v>
      </c>
    </row>
    <row r="381" spans="1:1">
      <c r="A381" s="1310" t="s">
        <v>427</v>
      </c>
    </row>
    <row r="382" spans="1:1">
      <c r="A382" s="1310" t="s">
        <v>428</v>
      </c>
    </row>
    <row r="383" spans="1:1">
      <c r="A383" s="1310" t="s">
        <v>429</v>
      </c>
    </row>
    <row r="384" spans="1:1">
      <c r="A384" s="1310" t="s">
        <v>150</v>
      </c>
    </row>
    <row r="385" spans="1:1">
      <c r="A385" s="1310" t="s">
        <v>430</v>
      </c>
    </row>
    <row r="386" spans="1:1">
      <c r="A386" s="1310" t="s">
        <v>150</v>
      </c>
    </row>
    <row r="387" spans="1:1">
      <c r="A387" s="1310" t="s">
        <v>431</v>
      </c>
    </row>
    <row r="388" spans="1:1">
      <c r="A388" s="1310" t="s">
        <v>432</v>
      </c>
    </row>
    <row r="389" spans="1:1">
      <c r="A389" s="1310" t="s">
        <v>433</v>
      </c>
    </row>
    <row r="390" spans="1:1">
      <c r="A390" s="1310" t="s">
        <v>150</v>
      </c>
    </row>
    <row r="391" spans="1:1">
      <c r="A391" s="1310" t="s">
        <v>434</v>
      </c>
    </row>
    <row r="392" spans="1:1">
      <c r="A392" s="1310" t="s">
        <v>435</v>
      </c>
    </row>
    <row r="393" spans="1:1">
      <c r="A393" s="1310" t="s">
        <v>150</v>
      </c>
    </row>
    <row r="394" spans="1:1">
      <c r="A394" s="1310" t="s">
        <v>436</v>
      </c>
    </row>
    <row r="395" spans="1:1">
      <c r="A395" s="1310"/>
    </row>
    <row r="396" spans="1:1">
      <c r="A396" s="1310" t="s">
        <v>150</v>
      </c>
    </row>
    <row r="397" spans="1:1">
      <c r="A397" s="1310" t="s">
        <v>1877</v>
      </c>
    </row>
    <row r="398" spans="1:1">
      <c r="A398" s="1310" t="s">
        <v>150</v>
      </c>
    </row>
    <row r="399" spans="1:1">
      <c r="A399" s="1310" t="s">
        <v>1878</v>
      </c>
    </row>
    <row r="400" spans="1:1">
      <c r="A400" s="1310"/>
    </row>
    <row r="401" spans="1:1">
      <c r="A401" s="1310" t="s">
        <v>1257</v>
      </c>
    </row>
    <row r="402" spans="1:1">
      <c r="A402" s="1310" t="s">
        <v>1258</v>
      </c>
    </row>
    <row r="403" spans="1:1">
      <c r="A403" s="1310" t="s">
        <v>1259</v>
      </c>
    </row>
    <row r="404" spans="1:1">
      <c r="A404" s="1310" t="s">
        <v>1260</v>
      </c>
    </row>
    <row r="405" spans="1:1">
      <c r="A405" s="1310"/>
    </row>
    <row r="406" spans="1:1">
      <c r="A406" s="1310" t="s">
        <v>437</v>
      </c>
    </row>
    <row r="407" spans="1:1">
      <c r="A407" s="1310" t="s">
        <v>150</v>
      </c>
    </row>
    <row r="408" spans="1:1">
      <c r="A408" s="1310" t="s">
        <v>438</v>
      </c>
    </row>
    <row r="409" spans="1:1">
      <c r="A409" s="1310" t="s">
        <v>439</v>
      </c>
    </row>
    <row r="410" spans="1:1">
      <c r="A410" s="1310" t="s">
        <v>440</v>
      </c>
    </row>
    <row r="411" spans="1:1">
      <c r="A411" s="1310" t="s">
        <v>441</v>
      </c>
    </row>
    <row r="412" spans="1:1">
      <c r="A412" s="1310" t="s">
        <v>442</v>
      </c>
    </row>
    <row r="413" spans="1:1">
      <c r="A413" s="1310" t="s">
        <v>443</v>
      </c>
    </row>
    <row r="414" spans="1:1">
      <c r="A414" s="1310" t="s">
        <v>444</v>
      </c>
    </row>
    <row r="415" spans="1:1">
      <c r="A415" s="1310" t="s">
        <v>445</v>
      </c>
    </row>
    <row r="416" spans="1:1">
      <c r="A416" s="1310" t="s">
        <v>446</v>
      </c>
    </row>
    <row r="417" spans="1:1">
      <c r="A417" s="1310" t="s">
        <v>1566</v>
      </c>
    </row>
    <row r="418" spans="1:1">
      <c r="A418" s="1310" t="s">
        <v>1567</v>
      </c>
    </row>
    <row r="419" spans="1:1">
      <c r="A419" s="1310" t="s">
        <v>150</v>
      </c>
    </row>
    <row r="420" spans="1:1">
      <c r="A420" s="1310" t="s">
        <v>447</v>
      </c>
    </row>
    <row r="421" spans="1:1">
      <c r="A421" s="1310" t="s">
        <v>448</v>
      </c>
    </row>
    <row r="422" spans="1:1">
      <c r="A422" s="1310" t="s">
        <v>150</v>
      </c>
    </row>
    <row r="423" spans="1:1">
      <c r="A423" s="1310" t="s">
        <v>449</v>
      </c>
    </row>
    <row r="424" spans="1:1">
      <c r="A424" s="1310" t="s">
        <v>450</v>
      </c>
    </row>
    <row r="425" spans="1:1">
      <c r="A425" s="1310" t="s">
        <v>451</v>
      </c>
    </row>
    <row r="426" spans="1:1">
      <c r="A426" s="1310" t="s">
        <v>452</v>
      </c>
    </row>
    <row r="427" spans="1:1">
      <c r="A427" s="1310" t="s">
        <v>453</v>
      </c>
    </row>
    <row r="428" spans="1:1">
      <c r="A428" s="1310" t="s">
        <v>454</v>
      </c>
    </row>
    <row r="429" spans="1:1">
      <c r="A429" s="1310" t="s">
        <v>1568</v>
      </c>
    </row>
    <row r="430" spans="1:1">
      <c r="A430" s="1310" t="s">
        <v>1569</v>
      </c>
    </row>
    <row r="431" spans="1:1">
      <c r="A431" s="1310"/>
    </row>
    <row r="432" spans="1:1">
      <c r="A432" s="1310"/>
    </row>
    <row r="433" spans="1:1">
      <c r="A433" s="1310" t="s">
        <v>150</v>
      </c>
    </row>
    <row r="434" spans="1:1">
      <c r="A434" s="1310" t="s">
        <v>455</v>
      </c>
    </row>
    <row r="435" spans="1:1">
      <c r="A435" s="1310" t="s">
        <v>150</v>
      </c>
    </row>
    <row r="436" spans="1:1">
      <c r="A436" s="1310" t="s">
        <v>456</v>
      </c>
    </row>
    <row r="437" spans="1:1">
      <c r="A437" s="1310" t="s">
        <v>457</v>
      </c>
    </row>
    <row r="438" spans="1:1">
      <c r="A438" s="1310" t="s">
        <v>458</v>
      </c>
    </row>
    <row r="439" spans="1:1">
      <c r="A439" s="1310" t="s">
        <v>459</v>
      </c>
    </row>
    <row r="440" spans="1:1">
      <c r="A440" s="1310" t="s">
        <v>460</v>
      </c>
    </row>
    <row r="441" spans="1:1">
      <c r="A441" s="1310" t="s">
        <v>461</v>
      </c>
    </row>
    <row r="442" spans="1:1">
      <c r="A442" s="1310" t="s">
        <v>462</v>
      </c>
    </row>
    <row r="443" spans="1:1">
      <c r="A443" s="1310" t="s">
        <v>463</v>
      </c>
    </row>
    <row r="444" spans="1:1">
      <c r="A444" s="1310" t="s">
        <v>464</v>
      </c>
    </row>
    <row r="445" spans="1:1">
      <c r="A445" s="1310" t="s">
        <v>465</v>
      </c>
    </row>
    <row r="446" spans="1:1">
      <c r="A446" s="1310" t="s">
        <v>466</v>
      </c>
    </row>
    <row r="447" spans="1:1">
      <c r="A447" s="1310" t="s">
        <v>467</v>
      </c>
    </row>
    <row r="448" spans="1:1">
      <c r="A448" s="1310" t="s">
        <v>468</v>
      </c>
    </row>
    <row r="449" spans="1:1">
      <c r="A449" s="1310"/>
    </row>
    <row r="450" spans="1:1">
      <c r="A450" s="1310" t="s">
        <v>1879</v>
      </c>
    </row>
    <row r="451" spans="1:1">
      <c r="A451" s="1310" t="s">
        <v>1880</v>
      </c>
    </row>
    <row r="452" spans="1:1">
      <c r="A452" s="1310" t="s">
        <v>1881</v>
      </c>
    </row>
    <row r="453" spans="1:1">
      <c r="A453" s="1310" t="s">
        <v>1882</v>
      </c>
    </row>
    <row r="454" spans="1:1">
      <c r="A454" s="1310" t="s">
        <v>1883</v>
      </c>
    </row>
    <row r="455" spans="1:1">
      <c r="A455" s="1310" t="s">
        <v>1879</v>
      </c>
    </row>
    <row r="456" spans="1:1">
      <c r="A456" s="1310" t="s">
        <v>1898</v>
      </c>
    </row>
    <row r="457" spans="1:1">
      <c r="A457" s="1310" t="s">
        <v>1899</v>
      </c>
    </row>
    <row r="458" spans="1:1">
      <c r="A458" s="1310"/>
    </row>
    <row r="459" spans="1:1">
      <c r="A459" s="1310"/>
    </row>
    <row r="460" spans="1:1">
      <c r="A460" s="1310"/>
    </row>
    <row r="461" spans="1:1">
      <c r="A461" s="1310" t="s">
        <v>469</v>
      </c>
    </row>
    <row r="462" spans="1:1">
      <c r="A462" s="1310" t="s">
        <v>150</v>
      </c>
    </row>
    <row r="463" spans="1:1">
      <c r="A463" s="1310" t="s">
        <v>470</v>
      </c>
    </row>
    <row r="464" spans="1:1">
      <c r="A464" s="1310" t="s">
        <v>150</v>
      </c>
    </row>
    <row r="465" spans="1:1">
      <c r="A465" s="1310" t="s">
        <v>471</v>
      </c>
    </row>
    <row r="466" spans="1:1">
      <c r="A466" s="1310" t="s">
        <v>472</v>
      </c>
    </row>
    <row r="467" spans="1:1">
      <c r="A467" s="1310"/>
    </row>
    <row r="468" spans="1:1">
      <c r="A468" s="1310" t="s">
        <v>473</v>
      </c>
    </row>
    <row r="469" spans="1:1">
      <c r="A469" s="1310" t="s">
        <v>474</v>
      </c>
    </row>
    <row r="470" spans="1:1">
      <c r="A470" s="1310" t="s">
        <v>475</v>
      </c>
    </row>
    <row r="471" spans="1:1">
      <c r="A471" s="1310" t="s">
        <v>476</v>
      </c>
    </row>
    <row r="472" spans="1:1">
      <c r="A472" s="1310" t="s">
        <v>477</v>
      </c>
    </row>
    <row r="473" spans="1:1">
      <c r="A473" s="1310" t="s">
        <v>150</v>
      </c>
    </row>
    <row r="474" spans="1:1">
      <c r="A474" s="1310" t="s">
        <v>478</v>
      </c>
    </row>
    <row r="475" spans="1:1">
      <c r="A475" s="1310" t="s">
        <v>479</v>
      </c>
    </row>
    <row r="476" spans="1:1">
      <c r="A476" s="1310" t="s">
        <v>480</v>
      </c>
    </row>
    <row r="477" spans="1:1">
      <c r="A477" s="1310" t="s">
        <v>481</v>
      </c>
    </row>
    <row r="478" spans="1:1">
      <c r="A478" s="1310"/>
    </row>
    <row r="479" spans="1:1">
      <c r="A479" s="1310" t="s">
        <v>482</v>
      </c>
    </row>
    <row r="480" spans="1:1">
      <c r="A480" s="1310" t="s">
        <v>483</v>
      </c>
    </row>
    <row r="481" spans="1:1">
      <c r="A481" s="1310" t="s">
        <v>150</v>
      </c>
    </row>
    <row r="482" spans="1:1">
      <c r="A482" s="1310" t="s">
        <v>150</v>
      </c>
    </row>
    <row r="483" spans="1:1">
      <c r="A483" s="1310" t="s">
        <v>484</v>
      </c>
    </row>
    <row r="484" spans="1:1">
      <c r="A484" s="1310" t="s">
        <v>485</v>
      </c>
    </row>
    <row r="485" spans="1:1">
      <c r="A485" s="1310" t="s">
        <v>150</v>
      </c>
    </row>
    <row r="486" spans="1:1">
      <c r="A486" s="1310" t="s">
        <v>486</v>
      </c>
    </row>
    <row r="487" spans="1:1">
      <c r="A487" s="1310"/>
    </row>
    <row r="488" spans="1:1">
      <c r="A488" s="1310" t="s">
        <v>487</v>
      </c>
    </row>
    <row r="489" spans="1:1">
      <c r="A489" s="1310" t="s">
        <v>488</v>
      </c>
    </row>
    <row r="490" spans="1:1">
      <c r="A490" s="1310" t="s">
        <v>489</v>
      </c>
    </row>
    <row r="491" spans="1:1">
      <c r="A491" s="1310" t="s">
        <v>490</v>
      </c>
    </row>
    <row r="492" spans="1:1">
      <c r="A492" s="1310" t="s">
        <v>491</v>
      </c>
    </row>
    <row r="493" spans="1:1">
      <c r="A493" s="1310" t="s">
        <v>492</v>
      </c>
    </row>
    <row r="494" spans="1:1">
      <c r="A494" s="1310"/>
    </row>
    <row r="495" spans="1:1">
      <c r="A495" s="1310" t="s">
        <v>493</v>
      </c>
    </row>
    <row r="496" spans="1:1">
      <c r="A496" s="1310" t="s">
        <v>494</v>
      </c>
    </row>
    <row r="497" spans="1:1">
      <c r="A497" s="1310" t="s">
        <v>495</v>
      </c>
    </row>
    <row r="498" spans="1:1">
      <c r="A498" s="1310" t="s">
        <v>496</v>
      </c>
    </row>
    <row r="499" spans="1:1">
      <c r="A499" s="1310" t="s">
        <v>497</v>
      </c>
    </row>
    <row r="500" spans="1:1">
      <c r="A500" s="1310"/>
    </row>
    <row r="501" spans="1:1">
      <c r="A501" s="1310" t="s">
        <v>498</v>
      </c>
    </row>
    <row r="502" spans="1:1">
      <c r="A502" s="1310" t="s">
        <v>499</v>
      </c>
    </row>
    <row r="503" spans="1:1">
      <c r="A503" s="1310" t="s">
        <v>500</v>
      </c>
    </row>
    <row r="504" spans="1:1">
      <c r="A504" s="1310" t="s">
        <v>501</v>
      </c>
    </row>
    <row r="505" spans="1:1">
      <c r="A505" s="1310" t="s">
        <v>502</v>
      </c>
    </row>
    <row r="506" spans="1:1">
      <c r="A506" s="1310" t="s">
        <v>503</v>
      </c>
    </row>
    <row r="507" spans="1:1">
      <c r="A507" s="1310"/>
    </row>
    <row r="508" spans="1:1">
      <c r="A508" s="1310" t="s">
        <v>504</v>
      </c>
    </row>
    <row r="509" spans="1:1">
      <c r="A509" s="1310" t="s">
        <v>505</v>
      </c>
    </row>
    <row r="510" spans="1:1">
      <c r="A510" s="1310" t="s">
        <v>506</v>
      </c>
    </row>
    <row r="511" spans="1:1">
      <c r="A511" s="1310" t="s">
        <v>507</v>
      </c>
    </row>
    <row r="512" spans="1:1">
      <c r="A512" s="1310" t="s">
        <v>508</v>
      </c>
    </row>
    <row r="513" spans="1:1">
      <c r="A513" s="1310"/>
    </row>
    <row r="514" spans="1:1">
      <c r="A514" s="1310" t="s">
        <v>509</v>
      </c>
    </row>
    <row r="515" spans="1:1">
      <c r="A515" s="1310" t="s">
        <v>510</v>
      </c>
    </row>
    <row r="516" spans="1:1">
      <c r="A516" s="1310" t="s">
        <v>511</v>
      </c>
    </row>
    <row r="517" spans="1:1">
      <c r="A517" s="1310" t="s">
        <v>512</v>
      </c>
    </row>
    <row r="518" spans="1:1">
      <c r="A518" s="1310" t="s">
        <v>513</v>
      </c>
    </row>
    <row r="519" spans="1:1">
      <c r="A519" s="1310"/>
    </row>
    <row r="520" spans="1:1">
      <c r="A520" s="1310" t="s">
        <v>514</v>
      </c>
    </row>
    <row r="521" spans="1:1">
      <c r="A521" s="1310" t="s">
        <v>515</v>
      </c>
    </row>
    <row r="522" spans="1:1">
      <c r="A522" s="1310" t="s">
        <v>516</v>
      </c>
    </row>
    <row r="523" spans="1:1">
      <c r="A523" s="1310" t="s">
        <v>517</v>
      </c>
    </row>
    <row r="524" spans="1:1">
      <c r="A524" s="1310" t="s">
        <v>518</v>
      </c>
    </row>
    <row r="525" spans="1:1">
      <c r="A525" s="1310"/>
    </row>
    <row r="526" spans="1:1">
      <c r="A526" s="1310" t="s">
        <v>150</v>
      </c>
    </row>
    <row r="527" spans="1:1">
      <c r="A527" s="1310" t="s">
        <v>150</v>
      </c>
    </row>
    <row r="528" spans="1:1">
      <c r="A528" s="1310" t="s">
        <v>519</v>
      </c>
    </row>
    <row r="529" spans="1:1">
      <c r="A529" s="1310" t="s">
        <v>520</v>
      </c>
    </row>
    <row r="530" spans="1:1">
      <c r="A530" s="1310" t="s">
        <v>521</v>
      </c>
    </row>
    <row r="531" spans="1:1">
      <c r="A531" s="1310" t="s">
        <v>150</v>
      </c>
    </row>
    <row r="532" spans="1:1">
      <c r="A532" s="1310" t="s">
        <v>522</v>
      </c>
    </row>
    <row r="533" spans="1:1">
      <c r="A533" s="1310" t="s">
        <v>523</v>
      </c>
    </row>
    <row r="534" spans="1:1">
      <c r="A534" s="1310" t="s">
        <v>524</v>
      </c>
    </row>
    <row r="535" spans="1:1">
      <c r="A535" s="1310" t="s">
        <v>525</v>
      </c>
    </row>
    <row r="536" spans="1:1">
      <c r="A536" s="1310"/>
    </row>
    <row r="537" spans="1:1">
      <c r="A537" s="1310" t="s">
        <v>526</v>
      </c>
    </row>
    <row r="538" spans="1:1">
      <c r="A538" s="1310" t="s">
        <v>527</v>
      </c>
    </row>
    <row r="539" spans="1:1">
      <c r="A539" s="1310" t="s">
        <v>528</v>
      </c>
    </row>
    <row r="540" spans="1:1">
      <c r="A540" s="1310" t="s">
        <v>529</v>
      </c>
    </row>
    <row r="541" spans="1:1">
      <c r="A541" s="1310"/>
    </row>
    <row r="542" spans="1:1">
      <c r="A542" s="1310" t="s">
        <v>530</v>
      </c>
    </row>
    <row r="543" spans="1:1">
      <c r="A543" s="1310" t="s">
        <v>531</v>
      </c>
    </row>
    <row r="544" spans="1:1">
      <c r="A544" s="1310" t="s">
        <v>532</v>
      </c>
    </row>
    <row r="545" spans="1:1">
      <c r="A545" s="1310" t="s">
        <v>533</v>
      </c>
    </row>
    <row r="546" spans="1:1">
      <c r="A546" s="1310" t="s">
        <v>534</v>
      </c>
    </row>
    <row r="547" spans="1:1">
      <c r="A547" s="1310" t="s">
        <v>535</v>
      </c>
    </row>
    <row r="548" spans="1:1">
      <c r="A548" s="1310"/>
    </row>
    <row r="549" spans="1:1">
      <c r="A549" s="1310" t="s">
        <v>536</v>
      </c>
    </row>
    <row r="550" spans="1:1">
      <c r="A550" s="1310" t="s">
        <v>537</v>
      </c>
    </row>
    <row r="551" spans="1:1">
      <c r="A551" s="1310" t="s">
        <v>538</v>
      </c>
    </row>
    <row r="552" spans="1:1">
      <c r="A552" s="1310" t="s">
        <v>539</v>
      </c>
    </row>
    <row r="553" spans="1:1">
      <c r="A553" s="1310" t="s">
        <v>540</v>
      </c>
    </row>
    <row r="554" spans="1:1">
      <c r="A554" s="1310"/>
    </row>
    <row r="555" spans="1:1">
      <c r="A555" s="1310" t="s">
        <v>541</v>
      </c>
    </row>
    <row r="556" spans="1:1">
      <c r="A556" s="1310" t="s">
        <v>542</v>
      </c>
    </row>
    <row r="557" spans="1:1">
      <c r="A557" s="1310" t="s">
        <v>543</v>
      </c>
    </row>
    <row r="558" spans="1:1">
      <c r="A558" s="1310" t="s">
        <v>544</v>
      </c>
    </row>
    <row r="559" spans="1:1">
      <c r="A559" s="1310" t="s">
        <v>545</v>
      </c>
    </row>
    <row r="560" spans="1:1">
      <c r="A560" s="1310"/>
    </row>
    <row r="561" spans="1:1">
      <c r="A561" s="1310"/>
    </row>
    <row r="562" spans="1:1">
      <c r="A562" s="1310" t="s">
        <v>546</v>
      </c>
    </row>
    <row r="563" spans="1:1">
      <c r="A563" s="1310" t="s">
        <v>547</v>
      </c>
    </row>
    <row r="564" spans="1:1">
      <c r="A564" s="1310" t="s">
        <v>548</v>
      </c>
    </row>
    <row r="565" spans="1:1">
      <c r="A565" s="1310" t="s">
        <v>549</v>
      </c>
    </row>
    <row r="566" spans="1:1">
      <c r="A566" s="1310" t="s">
        <v>550</v>
      </c>
    </row>
    <row r="567" spans="1:1">
      <c r="A567" s="1310" t="s">
        <v>551</v>
      </c>
    </row>
    <row r="568" spans="1:1">
      <c r="A568" s="1310" t="s">
        <v>552</v>
      </c>
    </row>
    <row r="569" spans="1:1">
      <c r="A569" s="1310" t="s">
        <v>553</v>
      </c>
    </row>
    <row r="570" spans="1:1">
      <c r="A570" s="1310" t="s">
        <v>554</v>
      </c>
    </row>
    <row r="571" spans="1:1">
      <c r="A571" s="1310" t="s">
        <v>555</v>
      </c>
    </row>
    <row r="572" spans="1:1">
      <c r="A572" s="1310" t="s">
        <v>556</v>
      </c>
    </row>
    <row r="573" spans="1:1">
      <c r="A573" s="1310" t="s">
        <v>557</v>
      </c>
    </row>
    <row r="574" spans="1:1">
      <c r="A574" s="1310" t="s">
        <v>558</v>
      </c>
    </row>
    <row r="575" spans="1:1">
      <c r="A575" s="1310" t="s">
        <v>559</v>
      </c>
    </row>
    <row r="576" spans="1:1">
      <c r="A576" s="1310" t="s">
        <v>560</v>
      </c>
    </row>
    <row r="577" spans="1:1">
      <c r="A577" s="1310" t="s">
        <v>561</v>
      </c>
    </row>
    <row r="578" spans="1:1">
      <c r="A578" s="1310" t="s">
        <v>562</v>
      </c>
    </row>
    <row r="579" spans="1:1">
      <c r="A579" s="1310" t="s">
        <v>563</v>
      </c>
    </row>
    <row r="580" spans="1:1">
      <c r="A580" s="1310" t="s">
        <v>564</v>
      </c>
    </row>
    <row r="581" spans="1:1">
      <c r="A581" s="1310" t="s">
        <v>565</v>
      </c>
    </row>
    <row r="582" spans="1:1">
      <c r="A582" s="1310" t="s">
        <v>566</v>
      </c>
    </row>
    <row r="583" spans="1:1">
      <c r="A583" s="1310" t="s">
        <v>567</v>
      </c>
    </row>
    <row r="584" spans="1:1">
      <c r="A584" s="1310" t="s">
        <v>568</v>
      </c>
    </row>
    <row r="585" spans="1:1">
      <c r="A585" s="1310" t="s">
        <v>569</v>
      </c>
    </row>
    <row r="586" spans="1:1">
      <c r="A586" s="1310" t="s">
        <v>570</v>
      </c>
    </row>
    <row r="587" spans="1:1">
      <c r="A587" s="1310" t="s">
        <v>571</v>
      </c>
    </row>
    <row r="588" spans="1:1">
      <c r="A588" s="1310" t="s">
        <v>572</v>
      </c>
    </row>
    <row r="589" spans="1:1">
      <c r="A589" s="1310" t="s">
        <v>573</v>
      </c>
    </row>
    <row r="590" spans="1:1">
      <c r="A590" s="1310" t="s">
        <v>574</v>
      </c>
    </row>
    <row r="591" spans="1:1">
      <c r="A591" s="1310" t="s">
        <v>575</v>
      </c>
    </row>
    <row r="592" spans="1:1">
      <c r="A592" s="1310" t="s">
        <v>576</v>
      </c>
    </row>
    <row r="593" spans="1:1">
      <c r="A593" s="1310" t="s">
        <v>577</v>
      </c>
    </row>
    <row r="594" spans="1:1">
      <c r="A594" s="1310"/>
    </row>
    <row r="595" spans="1:1">
      <c r="A595" s="1310" t="s">
        <v>578</v>
      </c>
    </row>
    <row r="596" spans="1:1">
      <c r="A596" s="1310" t="s">
        <v>579</v>
      </c>
    </row>
    <row r="597" spans="1:1">
      <c r="A597" s="1310" t="s">
        <v>580</v>
      </c>
    </row>
    <row r="598" spans="1:1">
      <c r="A598" s="1310" t="s">
        <v>581</v>
      </c>
    </row>
    <row r="599" spans="1:1">
      <c r="A599" s="1310" t="s">
        <v>582</v>
      </c>
    </row>
    <row r="600" spans="1:1">
      <c r="A600" s="1310" t="s">
        <v>583</v>
      </c>
    </row>
    <row r="601" spans="1:1">
      <c r="A601" s="1310" t="s">
        <v>584</v>
      </c>
    </row>
    <row r="602" spans="1:1">
      <c r="A602" s="1310" t="s">
        <v>585</v>
      </c>
    </row>
    <row r="603" spans="1:1">
      <c r="A603" s="1310" t="s">
        <v>586</v>
      </c>
    </row>
    <row r="604" spans="1:1">
      <c r="A604" s="1310" t="s">
        <v>578</v>
      </c>
    </row>
    <row r="605" spans="1:1">
      <c r="A605" s="1310"/>
    </row>
    <row r="606" spans="1:1">
      <c r="A606" s="1310" t="s">
        <v>150</v>
      </c>
    </row>
    <row r="607" spans="1:1">
      <c r="A607" s="1310" t="s">
        <v>587</v>
      </c>
    </row>
    <row r="608" spans="1:1">
      <c r="A608" s="1310" t="s">
        <v>588</v>
      </c>
    </row>
    <row r="609" spans="1:1">
      <c r="A609" s="1310" t="s">
        <v>589</v>
      </c>
    </row>
    <row r="610" spans="1:1">
      <c r="A610" s="1310" t="s">
        <v>590</v>
      </c>
    </row>
    <row r="611" spans="1:1">
      <c r="A611" s="1310" t="s">
        <v>591</v>
      </c>
    </row>
    <row r="612" spans="1:1">
      <c r="A612" s="1310" t="s">
        <v>592</v>
      </c>
    </row>
    <row r="613" spans="1:1">
      <c r="A613" s="1310" t="s">
        <v>150</v>
      </c>
    </row>
    <row r="614" spans="1:1">
      <c r="A614" s="1310" t="s">
        <v>593</v>
      </c>
    </row>
    <row r="615" spans="1:1">
      <c r="A615" s="1310" t="s">
        <v>594</v>
      </c>
    </row>
    <row r="616" spans="1:1">
      <c r="A616" s="1310" t="s">
        <v>150</v>
      </c>
    </row>
    <row r="617" spans="1:1">
      <c r="A617" s="1310" t="s">
        <v>150</v>
      </c>
    </row>
    <row r="618" spans="1:1">
      <c r="A618" s="1310" t="s">
        <v>595</v>
      </c>
    </row>
    <row r="619" spans="1:1">
      <c r="A619" s="1310" t="s">
        <v>596</v>
      </c>
    </row>
    <row r="620" spans="1:1">
      <c r="A620" s="1310" t="s">
        <v>597</v>
      </c>
    </row>
    <row r="621" spans="1:1">
      <c r="A621" s="1310" t="s">
        <v>598</v>
      </c>
    </row>
    <row r="622" spans="1:1">
      <c r="A622" s="1310" t="s">
        <v>150</v>
      </c>
    </row>
    <row r="623" spans="1:1">
      <c r="A623" s="1310" t="s">
        <v>599</v>
      </c>
    </row>
    <row r="624" spans="1:1">
      <c r="A624" s="1310"/>
    </row>
    <row r="625" spans="1:1">
      <c r="A625" s="1310" t="s">
        <v>600</v>
      </c>
    </row>
    <row r="626" spans="1:1">
      <c r="A626" s="1310" t="s">
        <v>1900</v>
      </c>
    </row>
    <row r="627" spans="1:1">
      <c r="A627" s="1310" t="s">
        <v>1901</v>
      </c>
    </row>
    <row r="628" spans="1:1">
      <c r="A628" s="1310" t="s">
        <v>1902</v>
      </c>
    </row>
    <row r="629" spans="1:1">
      <c r="A629" s="1310" t="s">
        <v>1903</v>
      </c>
    </row>
    <row r="630" spans="1:1">
      <c r="A630" s="1310" t="s">
        <v>1904</v>
      </c>
    </row>
    <row r="631" spans="1:1">
      <c r="A631" s="1310" t="s">
        <v>1905</v>
      </c>
    </row>
    <row r="632" spans="1:1">
      <c r="A632" s="1310"/>
    </row>
    <row r="633" spans="1:1">
      <c r="A633" s="1310" t="s">
        <v>605</v>
      </c>
    </row>
    <row r="634" spans="1:1">
      <c r="A634" s="1310" t="s">
        <v>606</v>
      </c>
    </row>
    <row r="635" spans="1:1">
      <c r="A635" s="1310" t="s">
        <v>607</v>
      </c>
    </row>
    <row r="636" spans="1:1">
      <c r="A636" s="1310" t="s">
        <v>608</v>
      </c>
    </row>
    <row r="637" spans="1:1">
      <c r="A637" s="1310" t="s">
        <v>150</v>
      </c>
    </row>
    <row r="638" spans="1:1">
      <c r="A638" s="1310" t="s">
        <v>150</v>
      </c>
    </row>
    <row r="639" spans="1:1">
      <c r="A639" s="1310" t="s">
        <v>609</v>
      </c>
    </row>
    <row r="640" spans="1:1">
      <c r="A640" s="1310" t="s">
        <v>610</v>
      </c>
    </row>
    <row r="641" spans="1:1">
      <c r="A641" s="1310" t="s">
        <v>611</v>
      </c>
    </row>
    <row r="642" spans="1:1">
      <c r="A642" s="1310" t="s">
        <v>612</v>
      </c>
    </row>
    <row r="643" spans="1:1">
      <c r="A643" s="1310" t="s">
        <v>150</v>
      </c>
    </row>
    <row r="644" spans="1:1">
      <c r="A644" s="1310" t="s">
        <v>613</v>
      </c>
    </row>
    <row r="645" spans="1:1">
      <c r="A645" s="1310" t="s">
        <v>614</v>
      </c>
    </row>
    <row r="646" spans="1:1">
      <c r="A646" s="1310" t="s">
        <v>150</v>
      </c>
    </row>
    <row r="647" spans="1:1">
      <c r="A647" s="1310" t="s">
        <v>150</v>
      </c>
    </row>
    <row r="648" spans="1:1">
      <c r="A648" s="1310" t="s">
        <v>150</v>
      </c>
    </row>
    <row r="649" spans="1:1">
      <c r="A649" s="1310" t="s">
        <v>615</v>
      </c>
    </row>
    <row r="650" spans="1:1">
      <c r="A650" s="1310" t="s">
        <v>616</v>
      </c>
    </row>
    <row r="651" spans="1:1">
      <c r="A651" s="1310" t="s">
        <v>617</v>
      </c>
    </row>
    <row r="652" spans="1:1">
      <c r="A652" s="1310" t="s">
        <v>618</v>
      </c>
    </row>
    <row r="653" spans="1:1">
      <c r="A653" s="1310" t="s">
        <v>150</v>
      </c>
    </row>
    <row r="654" spans="1:1">
      <c r="A654" s="1310" t="s">
        <v>619</v>
      </c>
    </row>
    <row r="655" spans="1:1">
      <c r="A655" s="1310" t="s">
        <v>150</v>
      </c>
    </row>
    <row r="656" spans="1:1">
      <c r="A656" s="1310" t="s">
        <v>150</v>
      </c>
    </row>
    <row r="657" spans="1:1">
      <c r="A657" s="1310" t="s">
        <v>620</v>
      </c>
    </row>
    <row r="658" spans="1:1">
      <c r="A658" s="1310" t="s">
        <v>621</v>
      </c>
    </row>
    <row r="659" spans="1:1">
      <c r="A659" s="1310" t="s">
        <v>622</v>
      </c>
    </row>
    <row r="660" spans="1:1">
      <c r="A660" s="1310" t="s">
        <v>623</v>
      </c>
    </row>
    <row r="661" spans="1:1">
      <c r="A661" s="1310" t="s">
        <v>624</v>
      </c>
    </row>
    <row r="662" spans="1:1">
      <c r="A662" s="1310" t="s">
        <v>625</v>
      </c>
    </row>
    <row r="663" spans="1:1">
      <c r="A663" s="1310" t="s">
        <v>150</v>
      </c>
    </row>
    <row r="664" spans="1:1">
      <c r="A664" s="1310" t="s">
        <v>626</v>
      </c>
    </row>
    <row r="665" spans="1:1">
      <c r="A665" s="1310" t="s">
        <v>627</v>
      </c>
    </row>
    <row r="666" spans="1:1">
      <c r="A666" s="1310" t="s">
        <v>150</v>
      </c>
    </row>
    <row r="667" spans="1:1">
      <c r="A667" s="1310" t="s">
        <v>150</v>
      </c>
    </row>
    <row r="668" spans="1:1">
      <c r="A668" s="1310" t="s">
        <v>628</v>
      </c>
    </row>
    <row r="669" spans="1:1">
      <c r="A669" s="1310" t="s">
        <v>629</v>
      </c>
    </row>
    <row r="670" spans="1:1">
      <c r="A670" s="1310" t="s">
        <v>150</v>
      </c>
    </row>
    <row r="671" spans="1:1">
      <c r="A671" s="1310" t="s">
        <v>630</v>
      </c>
    </row>
    <row r="672" spans="1:1">
      <c r="A672" s="1310"/>
    </row>
    <row r="673" spans="1:1">
      <c r="A673" s="1310" t="s">
        <v>631</v>
      </c>
    </row>
    <row r="674" spans="1:1">
      <c r="A674" s="1310" t="s">
        <v>632</v>
      </c>
    </row>
    <row r="675" spans="1:1">
      <c r="A675" s="1310" t="s">
        <v>633</v>
      </c>
    </row>
    <row r="676" spans="1:1">
      <c r="A676" s="1310" t="s">
        <v>634</v>
      </c>
    </row>
    <row r="677" spans="1:1">
      <c r="A677" s="1310" t="s">
        <v>1694</v>
      </c>
    </row>
    <row r="678" spans="1:1">
      <c r="A678" s="1310" t="s">
        <v>636</v>
      </c>
    </row>
    <row r="679" spans="1:1">
      <c r="A679" s="1310"/>
    </row>
    <row r="680" spans="1:1">
      <c r="A680" s="1310"/>
    </row>
    <row r="681" spans="1:1">
      <c r="A681" s="1310" t="s">
        <v>637</v>
      </c>
    </row>
    <row r="682" spans="1:1">
      <c r="A682" s="1310" t="s">
        <v>638</v>
      </c>
    </row>
    <row r="683" spans="1:1">
      <c r="A683" s="1310" t="s">
        <v>639</v>
      </c>
    </row>
    <row r="684" spans="1:1">
      <c r="A684" s="1310" t="s">
        <v>640</v>
      </c>
    </row>
    <row r="685" spans="1:1">
      <c r="A685" s="1310"/>
    </row>
    <row r="686" spans="1:1">
      <c r="A686" s="1310" t="s">
        <v>641</v>
      </c>
    </row>
    <row r="687" spans="1:1">
      <c r="A687" s="1310" t="s">
        <v>642</v>
      </c>
    </row>
    <row r="688" spans="1:1">
      <c r="A688" s="1310" t="s">
        <v>643</v>
      </c>
    </row>
    <row r="689" spans="1:1">
      <c r="A689" s="1310"/>
    </row>
    <row r="690" spans="1:1">
      <c r="A690" s="1310" t="s">
        <v>644</v>
      </c>
    </row>
    <row r="691" spans="1:1">
      <c r="A691" s="1310" t="s">
        <v>645</v>
      </c>
    </row>
    <row r="692" spans="1:1">
      <c r="A692" s="1310"/>
    </row>
    <row r="693" spans="1:1">
      <c r="A693" s="1310" t="s">
        <v>646</v>
      </c>
    </row>
    <row r="694" spans="1:1">
      <c r="A694" s="1310" t="s">
        <v>647</v>
      </c>
    </row>
    <row r="695" spans="1:1">
      <c r="A695" s="1310" t="s">
        <v>648</v>
      </c>
    </row>
    <row r="696" spans="1:1">
      <c r="A696" s="1310"/>
    </row>
    <row r="697" spans="1:1">
      <c r="A697" s="1310" t="s">
        <v>649</v>
      </c>
    </row>
    <row r="698" spans="1:1">
      <c r="A698" s="1310" t="s">
        <v>650</v>
      </c>
    </row>
    <row r="699" spans="1:1">
      <c r="A699" s="1310" t="s">
        <v>651</v>
      </c>
    </row>
    <row r="700" spans="1:1">
      <c r="A700" s="1310"/>
    </row>
    <row r="701" spans="1:1">
      <c r="A701" s="1310" t="s">
        <v>652</v>
      </c>
    </row>
    <row r="702" spans="1:1">
      <c r="A702" s="1310" t="s">
        <v>653</v>
      </c>
    </row>
    <row r="703" spans="1:1">
      <c r="A703" s="1310" t="s">
        <v>654</v>
      </c>
    </row>
    <row r="704" spans="1:1">
      <c r="A704" s="1310"/>
    </row>
    <row r="705" spans="1:1">
      <c r="A705" s="1310" t="s">
        <v>655</v>
      </c>
    </row>
    <row r="706" spans="1:1">
      <c r="A706" s="1310" t="s">
        <v>656</v>
      </c>
    </row>
    <row r="707" spans="1:1">
      <c r="A707" s="1310" t="s">
        <v>657</v>
      </c>
    </row>
    <row r="708" spans="1:1">
      <c r="A708" s="1310"/>
    </row>
    <row r="709" spans="1:1">
      <c r="A709" s="1310" t="s">
        <v>658</v>
      </c>
    </row>
    <row r="710" spans="1:1">
      <c r="A710" s="1310" t="s">
        <v>659</v>
      </c>
    </row>
    <row r="711" spans="1:1">
      <c r="A711" s="1310" t="s">
        <v>660</v>
      </c>
    </row>
    <row r="712" spans="1:1">
      <c r="A712" s="1310"/>
    </row>
    <row r="713" spans="1:1">
      <c r="A713" s="1310" t="s">
        <v>661</v>
      </c>
    </row>
    <row r="714" spans="1:1">
      <c r="A714" s="1310" t="s">
        <v>662</v>
      </c>
    </row>
    <row r="715" spans="1:1">
      <c r="A715" s="1310" t="s">
        <v>663</v>
      </c>
    </row>
    <row r="716" spans="1:1">
      <c r="A716" s="1310"/>
    </row>
    <row r="717" spans="1:1">
      <c r="A717" s="1310" t="s">
        <v>664</v>
      </c>
    </row>
    <row r="718" spans="1:1">
      <c r="A718" s="1310" t="s">
        <v>150</v>
      </c>
    </row>
    <row r="719" spans="1:1">
      <c r="A719" s="1310" t="s">
        <v>665</v>
      </c>
    </row>
    <row r="720" spans="1:1">
      <c r="A720" s="1310" t="s">
        <v>150</v>
      </c>
    </row>
    <row r="721" spans="1:1">
      <c r="A721" s="1310" t="s">
        <v>666</v>
      </c>
    </row>
    <row r="722" spans="1:1">
      <c r="A722" s="1310" t="s">
        <v>667</v>
      </c>
    </row>
    <row r="723" spans="1:1">
      <c r="A723" s="1310" t="s">
        <v>668</v>
      </c>
    </row>
    <row r="724" spans="1:1">
      <c r="A724" s="1310" t="s">
        <v>150</v>
      </c>
    </row>
    <row r="725" spans="1:1">
      <c r="A725" s="1310" t="s">
        <v>669</v>
      </c>
    </row>
    <row r="726" spans="1:1">
      <c r="A726" s="1310" t="s">
        <v>670</v>
      </c>
    </row>
    <row r="727" spans="1:1">
      <c r="A727" s="1310" t="s">
        <v>671</v>
      </c>
    </row>
    <row r="728" spans="1:1">
      <c r="A728" s="1310" t="s">
        <v>150</v>
      </c>
    </row>
    <row r="729" spans="1:1">
      <c r="A729" s="1310" t="s">
        <v>672</v>
      </c>
    </row>
    <row r="730" spans="1:1">
      <c r="A730" s="1310" t="s">
        <v>673</v>
      </c>
    </row>
    <row r="731" spans="1:1">
      <c r="A731" s="1310" t="s">
        <v>150</v>
      </c>
    </row>
    <row r="732" spans="1:1">
      <c r="A732" s="1310" t="s">
        <v>674</v>
      </c>
    </row>
    <row r="733" spans="1:1">
      <c r="A733" s="1310" t="s">
        <v>675</v>
      </c>
    </row>
    <row r="734" spans="1:1">
      <c r="A734" s="1310" t="s">
        <v>676</v>
      </c>
    </row>
    <row r="735" spans="1:1">
      <c r="A735" s="1310" t="s">
        <v>677</v>
      </c>
    </row>
    <row r="736" spans="1:1">
      <c r="A736" s="1310" t="s">
        <v>150</v>
      </c>
    </row>
    <row r="737" spans="1:1">
      <c r="A737" s="1310" t="s">
        <v>678</v>
      </c>
    </row>
    <row r="738" spans="1:1">
      <c r="A738" s="1310" t="s">
        <v>679</v>
      </c>
    </row>
    <row r="739" spans="1:1">
      <c r="A739" s="1310" t="s">
        <v>680</v>
      </c>
    </row>
    <row r="740" spans="1:1">
      <c r="A740" s="1310" t="s">
        <v>681</v>
      </c>
    </row>
    <row r="741" spans="1:1">
      <c r="A741" s="1310" t="s">
        <v>682</v>
      </c>
    </row>
    <row r="742" spans="1:1">
      <c r="A742" s="1310"/>
    </row>
    <row r="743" spans="1:1">
      <c r="A743" s="1310" t="s">
        <v>683</v>
      </c>
    </row>
    <row r="744" spans="1:1">
      <c r="A744" s="1310" t="s">
        <v>684</v>
      </c>
    </row>
    <row r="745" spans="1:1">
      <c r="A745" s="1310" t="s">
        <v>685</v>
      </c>
    </row>
    <row r="746" spans="1:1">
      <c r="A746" s="1310" t="s">
        <v>686</v>
      </c>
    </row>
    <row r="747" spans="1:1">
      <c r="A747" s="1310" t="s">
        <v>687</v>
      </c>
    </row>
    <row r="748" spans="1:1">
      <c r="A748" s="1310" t="s">
        <v>688</v>
      </c>
    </row>
    <row r="749" spans="1:1">
      <c r="A749" s="1310" t="s">
        <v>689</v>
      </c>
    </row>
    <row r="750" spans="1:1">
      <c r="A750" s="1310" t="s">
        <v>690</v>
      </c>
    </row>
    <row r="751" spans="1:1">
      <c r="A751" s="1310" t="s">
        <v>691</v>
      </c>
    </row>
    <row r="752" spans="1:1">
      <c r="A752" s="1310" t="s">
        <v>692</v>
      </c>
    </row>
    <row r="753" spans="1:1">
      <c r="A753" s="1310" t="s">
        <v>693</v>
      </c>
    </row>
    <row r="754" spans="1:1">
      <c r="A754" s="1310" t="s">
        <v>694</v>
      </c>
    </row>
    <row r="755" spans="1:1">
      <c r="A755" s="1310" t="s">
        <v>695</v>
      </c>
    </row>
    <row r="756" spans="1:1">
      <c r="A756" s="1310" t="s">
        <v>696</v>
      </c>
    </row>
    <row r="757" spans="1:1">
      <c r="A757" s="1310"/>
    </row>
    <row r="758" spans="1:1">
      <c r="A758" s="1310"/>
    </row>
    <row r="759" spans="1:1">
      <c r="A759" s="1310" t="s">
        <v>1870</v>
      </c>
    </row>
    <row r="760" spans="1:1">
      <c r="A760" s="1310" t="s">
        <v>1871</v>
      </c>
    </row>
    <row r="761" spans="1:1">
      <c r="A761" s="1310" t="s">
        <v>1872</v>
      </c>
    </row>
    <row r="762" spans="1:1">
      <c r="A762" s="1310" t="s">
        <v>1890</v>
      </c>
    </row>
    <row r="763" spans="1:1">
      <c r="A763" s="1310"/>
    </row>
    <row r="764" spans="1:1">
      <c r="A764" s="1310" t="s">
        <v>697</v>
      </c>
    </row>
    <row r="765" spans="1:1">
      <c r="A765" s="1310" t="s">
        <v>698</v>
      </c>
    </row>
    <row r="766" spans="1:1">
      <c r="A766" s="1310" t="s">
        <v>699</v>
      </c>
    </row>
    <row r="767" spans="1:1">
      <c r="A767" s="1310" t="s">
        <v>1874</v>
      </c>
    </row>
    <row r="768" spans="1:1">
      <c r="A768" s="1310"/>
    </row>
    <row r="769" spans="1:1">
      <c r="A769" s="1310"/>
    </row>
    <row r="770" spans="1:1">
      <c r="A770" s="1310" t="s">
        <v>700</v>
      </c>
    </row>
    <row r="771" spans="1:1">
      <c r="A771" s="1310" t="s">
        <v>701</v>
      </c>
    </row>
    <row r="772" spans="1:1">
      <c r="A772" s="1310" t="s">
        <v>702</v>
      </c>
    </row>
    <row r="773" spans="1:1">
      <c r="A773" s="1310"/>
    </row>
    <row r="774" spans="1:1">
      <c r="A774" s="1310" t="s">
        <v>703</v>
      </c>
    </row>
    <row r="775" spans="1:1">
      <c r="A775" s="1310" t="s">
        <v>704</v>
      </c>
    </row>
    <row r="776" spans="1:1">
      <c r="A776" s="1310"/>
    </row>
    <row r="777" spans="1:1">
      <c r="A777" s="1310" t="s">
        <v>705</v>
      </c>
    </row>
    <row r="778" spans="1:1">
      <c r="A778" s="1310" t="s">
        <v>706</v>
      </c>
    </row>
    <row r="779" spans="1:1">
      <c r="A779" s="1310" t="s">
        <v>707</v>
      </c>
    </row>
    <row r="780" spans="1:1">
      <c r="A780" s="1310"/>
    </row>
    <row r="781" spans="1:1">
      <c r="A781" s="1310"/>
    </row>
    <row r="782" spans="1:1">
      <c r="A782" s="1310" t="s">
        <v>708</v>
      </c>
    </row>
    <row r="783" spans="1:1">
      <c r="A783" s="1310" t="s">
        <v>709</v>
      </c>
    </row>
    <row r="784" spans="1:1">
      <c r="A784" s="1310" t="s">
        <v>710</v>
      </c>
    </row>
    <row r="785" spans="1:1">
      <c r="A785" s="1310" t="s">
        <v>711</v>
      </c>
    </row>
    <row r="786" spans="1:1">
      <c r="A786" s="1310"/>
    </row>
    <row r="787" spans="1:1">
      <c r="A787" s="1310"/>
    </row>
    <row r="788" spans="1:1">
      <c r="A788" s="1310" t="s">
        <v>712</v>
      </c>
    </row>
    <row r="789" spans="1:1">
      <c r="A789" s="1310" t="s">
        <v>713</v>
      </c>
    </row>
    <row r="790" spans="1:1">
      <c r="A790" s="1310" t="s">
        <v>714</v>
      </c>
    </row>
    <row r="791" spans="1:1">
      <c r="A791" s="1310"/>
    </row>
    <row r="792" spans="1:1">
      <c r="A792" s="1310" t="s">
        <v>715</v>
      </c>
    </row>
    <row r="793" spans="1:1">
      <c r="A793" s="1310" t="s">
        <v>716</v>
      </c>
    </row>
    <row r="794" spans="1:1">
      <c r="A794" s="1310"/>
    </row>
    <row r="795" spans="1:1">
      <c r="A795" s="1310" t="s">
        <v>717</v>
      </c>
    </row>
    <row r="796" spans="1:1">
      <c r="A796" s="1310" t="s">
        <v>718</v>
      </c>
    </row>
    <row r="797" spans="1:1">
      <c r="A797" s="1310"/>
    </row>
    <row r="798" spans="1:1">
      <c r="A798" s="1310"/>
    </row>
    <row r="799" spans="1:1">
      <c r="A799" s="1310" t="s">
        <v>719</v>
      </c>
    </row>
    <row r="800" spans="1:1">
      <c r="A800" s="1310" t="s">
        <v>720</v>
      </c>
    </row>
    <row r="801" spans="1:1">
      <c r="A801" s="1310"/>
    </row>
    <row r="802" spans="1:1">
      <c r="A802" s="1310" t="s">
        <v>721</v>
      </c>
    </row>
    <row r="803" spans="1:1">
      <c r="A803" s="1310" t="s">
        <v>722</v>
      </c>
    </row>
    <row r="804" spans="1:1">
      <c r="A804" s="1310" t="s">
        <v>723</v>
      </c>
    </row>
    <row r="805" spans="1:1">
      <c r="A805" s="1310"/>
    </row>
    <row r="806" spans="1:1">
      <c r="A806" s="1310" t="s">
        <v>724</v>
      </c>
    </row>
    <row r="807" spans="1:1">
      <c r="A807" s="1310" t="s">
        <v>725</v>
      </c>
    </row>
    <row r="808" spans="1:1">
      <c r="A808" s="1310"/>
    </row>
    <row r="809" spans="1:1">
      <c r="A809" s="1310" t="s">
        <v>726</v>
      </c>
    </row>
    <row r="810" spans="1:1">
      <c r="A810" s="1310" t="s">
        <v>727</v>
      </c>
    </row>
    <row r="811" spans="1:1">
      <c r="A811" s="1310"/>
    </row>
    <row r="812" spans="1:1">
      <c r="A812" s="1310" t="s">
        <v>728</v>
      </c>
    </row>
    <row r="813" spans="1:1">
      <c r="A813" s="1310" t="s">
        <v>729</v>
      </c>
    </row>
    <row r="814" spans="1:1">
      <c r="A814" s="1310"/>
    </row>
    <row r="815" spans="1:1">
      <c r="A815" s="1310" t="s">
        <v>730</v>
      </c>
    </row>
    <row r="816" spans="1:1">
      <c r="A816" s="1310" t="s">
        <v>731</v>
      </c>
    </row>
    <row r="817" spans="1:1">
      <c r="A817" s="1310" t="s">
        <v>732</v>
      </c>
    </row>
    <row r="818" spans="1:1">
      <c r="A818" s="1310"/>
    </row>
    <row r="819" spans="1:1">
      <c r="A819" s="1310" t="s">
        <v>733</v>
      </c>
    </row>
    <row r="820" spans="1:1">
      <c r="A820" s="1310" t="s">
        <v>734</v>
      </c>
    </row>
    <row r="821" spans="1:1">
      <c r="A821" s="1310"/>
    </row>
    <row r="822" spans="1:1">
      <c r="A822" s="1310" t="s">
        <v>735</v>
      </c>
    </row>
    <row r="823" spans="1:1">
      <c r="A823" s="1310" t="s">
        <v>736</v>
      </c>
    </row>
    <row r="824" spans="1:1">
      <c r="A824" s="1310"/>
    </row>
    <row r="825" spans="1:1">
      <c r="A825" s="1310" t="s">
        <v>737</v>
      </c>
    </row>
    <row r="826" spans="1:1">
      <c r="A826" s="1310" t="s">
        <v>738</v>
      </c>
    </row>
    <row r="827" spans="1:1">
      <c r="A827" s="1310"/>
    </row>
    <row r="828" spans="1:1">
      <c r="A828" s="1310"/>
    </row>
    <row r="829" spans="1:1">
      <c r="A829" s="1310"/>
    </row>
    <row r="830" spans="1:1">
      <c r="A830" s="1310" t="s">
        <v>739</v>
      </c>
    </row>
    <row r="831" spans="1:1">
      <c r="A831" s="1310" t="s">
        <v>740</v>
      </c>
    </row>
    <row r="832" spans="1:1">
      <c r="A832" s="1310" t="s">
        <v>741</v>
      </c>
    </row>
    <row r="833" spans="1:1">
      <c r="A833" s="1310"/>
    </row>
    <row r="834" spans="1:1">
      <c r="A834" s="1310" t="s">
        <v>742</v>
      </c>
    </row>
    <row r="835" spans="1:1">
      <c r="A835" s="1310" t="s">
        <v>743</v>
      </c>
    </row>
    <row r="836" spans="1:1">
      <c r="A836" s="1310"/>
    </row>
    <row r="837" spans="1:1">
      <c r="A837" s="1310"/>
    </row>
    <row r="838" spans="1:1">
      <c r="A838" s="1310"/>
    </row>
    <row r="839" spans="1:1">
      <c r="A839" s="1310" t="s">
        <v>744</v>
      </c>
    </row>
    <row r="840" spans="1:1">
      <c r="A840" s="1310" t="s">
        <v>745</v>
      </c>
    </row>
    <row r="841" spans="1:1">
      <c r="A841" s="1310" t="s">
        <v>746</v>
      </c>
    </row>
    <row r="842" spans="1:1">
      <c r="A842" s="1310" t="s">
        <v>747</v>
      </c>
    </row>
    <row r="843" spans="1:1">
      <c r="A843" s="1310" t="s">
        <v>748</v>
      </c>
    </row>
    <row r="844" spans="1:1">
      <c r="A844" s="1310" t="s">
        <v>749</v>
      </c>
    </row>
    <row r="845" spans="1:1">
      <c r="A845" s="1310" t="s">
        <v>750</v>
      </c>
    </row>
    <row r="846" spans="1:1">
      <c r="A846" s="1310" t="s">
        <v>1884</v>
      </c>
    </row>
    <row r="847" spans="1:1">
      <c r="A847" s="1310" t="s">
        <v>1503</v>
      </c>
    </row>
    <row r="848" spans="1:1">
      <c r="A848" s="1310" t="s">
        <v>1570</v>
      </c>
    </row>
    <row r="849" spans="1:1">
      <c r="A849" s="1310" t="s">
        <v>753</v>
      </c>
    </row>
    <row r="850" spans="1:1">
      <c r="A850" s="1310" t="s">
        <v>1261</v>
      </c>
    </row>
    <row r="851" spans="1:1">
      <c r="A851" s="1310" t="s">
        <v>1262</v>
      </c>
    </row>
    <row r="852" spans="1:1">
      <c r="A852" s="1310" t="s">
        <v>1263</v>
      </c>
    </row>
    <row r="853" spans="1:1">
      <c r="A853" s="1310" t="s">
        <v>1264</v>
      </c>
    </row>
    <row r="854" spans="1:1">
      <c r="A854" s="1310" t="s">
        <v>1571</v>
      </c>
    </row>
    <row r="855" spans="1:1">
      <c r="A855" s="1310" t="s">
        <v>1572</v>
      </c>
    </row>
    <row r="856" spans="1:1">
      <c r="A856" s="1310" t="s">
        <v>1265</v>
      </c>
    </row>
    <row r="857" spans="1:1">
      <c r="A857" s="1310" t="s">
        <v>1266</v>
      </c>
    </row>
    <row r="858" spans="1:1">
      <c r="A858" s="1310" t="s">
        <v>1267</v>
      </c>
    </row>
    <row r="859" spans="1:1">
      <c r="A859" s="1310" t="s">
        <v>1573</v>
      </c>
    </row>
    <row r="860" spans="1:1">
      <c r="A860" s="1310" t="s">
        <v>1268</v>
      </c>
    </row>
    <row r="861" spans="1:1">
      <c r="A861" s="1310" t="s">
        <v>1269</v>
      </c>
    </row>
    <row r="862" spans="1:1">
      <c r="A862" s="1310" t="s">
        <v>1270</v>
      </c>
    </row>
    <row r="863" spans="1:1">
      <c r="A863" s="1310" t="s">
        <v>1245</v>
      </c>
    </row>
    <row r="864" spans="1:1">
      <c r="A864" s="1310"/>
    </row>
    <row r="865" spans="1:1">
      <c r="A865" s="1310" t="s">
        <v>1246</v>
      </c>
    </row>
    <row r="866" spans="1:1">
      <c r="A866" s="1310" t="s">
        <v>1574</v>
      </c>
    </row>
    <row r="867" spans="1:1">
      <c r="A867" s="1310"/>
    </row>
    <row r="868" spans="1:1">
      <c r="A868" s="1310" t="s">
        <v>1247</v>
      </c>
    </row>
    <row r="869" spans="1:1">
      <c r="A869" s="1310" t="s">
        <v>1575</v>
      </c>
    </row>
    <row r="870" spans="1:1">
      <c r="A870" s="1310"/>
    </row>
    <row r="871" spans="1:1">
      <c r="A871" s="1310"/>
    </row>
    <row r="872" spans="1:1">
      <c r="A872" s="1310" t="s">
        <v>768</v>
      </c>
    </row>
    <row r="873" spans="1:1">
      <c r="A873" s="1310" t="s">
        <v>769</v>
      </c>
    </row>
    <row r="874" spans="1:1">
      <c r="A874" s="1310" t="s">
        <v>770</v>
      </c>
    </row>
    <row r="875" spans="1:1">
      <c r="A875" s="1310" t="s">
        <v>771</v>
      </c>
    </row>
    <row r="876" spans="1:1">
      <c r="A876" s="1310" t="s">
        <v>772</v>
      </c>
    </row>
    <row r="877" spans="1:1">
      <c r="A877" s="1310" t="s">
        <v>773</v>
      </c>
    </row>
    <row r="878" spans="1:1">
      <c r="A878" s="1310" t="s">
        <v>774</v>
      </c>
    </row>
    <row r="879" spans="1:1">
      <c r="A879" s="1310" t="s">
        <v>775</v>
      </c>
    </row>
    <row r="880" spans="1:1">
      <c r="A880" s="1310" t="s">
        <v>776</v>
      </c>
    </row>
    <row r="881" spans="1:1">
      <c r="A881" s="1310" t="s">
        <v>777</v>
      </c>
    </row>
    <row r="882" spans="1:1">
      <c r="A882" s="1310" t="s">
        <v>778</v>
      </c>
    </row>
    <row r="883" spans="1:1">
      <c r="A883" s="1310" t="s">
        <v>779</v>
      </c>
    </row>
    <row r="884" spans="1:1">
      <c r="A884" s="1310" t="s">
        <v>780</v>
      </c>
    </row>
    <row r="885" spans="1:1">
      <c r="A885" s="1310" t="s">
        <v>781</v>
      </c>
    </row>
    <row r="886" spans="1:1">
      <c r="A886" s="1310" t="s">
        <v>782</v>
      </c>
    </row>
    <row r="887" spans="1:1">
      <c r="A887" s="1310" t="s">
        <v>783</v>
      </c>
    </row>
    <row r="888" spans="1:1">
      <c r="A888" s="1310" t="s">
        <v>1576</v>
      </c>
    </row>
    <row r="889" spans="1:1">
      <c r="A889" s="1310" t="s">
        <v>1577</v>
      </c>
    </row>
    <row r="890" spans="1:1">
      <c r="A890" s="1310" t="s">
        <v>1578</v>
      </c>
    </row>
    <row r="891" spans="1:1">
      <c r="A891" s="1310" t="s">
        <v>1579</v>
      </c>
    </row>
    <row r="892" spans="1:1">
      <c r="A892" s="1310" t="s">
        <v>1580</v>
      </c>
    </row>
    <row r="893" spans="1:1">
      <c r="A893" s="1310"/>
    </row>
    <row r="894" spans="1:1">
      <c r="A894" s="1310" t="s">
        <v>789</v>
      </c>
    </row>
    <row r="895" spans="1:1">
      <c r="A895" s="1310" t="s">
        <v>790</v>
      </c>
    </row>
    <row r="896" spans="1:1">
      <c r="A896" s="1310" t="s">
        <v>791</v>
      </c>
    </row>
    <row r="897" spans="1:1">
      <c r="A897" s="1310"/>
    </row>
    <row r="898" spans="1:1">
      <c r="A898" s="1310" t="s">
        <v>792</v>
      </c>
    </row>
    <row r="899" spans="1:1">
      <c r="A899" s="1310" t="s">
        <v>793</v>
      </c>
    </row>
    <row r="900" spans="1:1">
      <c r="A900" s="1310" t="s">
        <v>794</v>
      </c>
    </row>
    <row r="901" spans="1:1">
      <c r="A901" s="1310"/>
    </row>
    <row r="902" spans="1:1">
      <c r="A902" s="1310" t="s">
        <v>795</v>
      </c>
    </row>
    <row r="903" spans="1:1">
      <c r="A903" s="1310" t="s">
        <v>796</v>
      </c>
    </row>
    <row r="904" spans="1:1">
      <c r="A904" s="1310" t="s">
        <v>797</v>
      </c>
    </row>
    <row r="905" spans="1:1">
      <c r="A905" s="1310" t="s">
        <v>798</v>
      </c>
    </row>
    <row r="906" spans="1:1">
      <c r="A906" s="1310"/>
    </row>
    <row r="907" spans="1:1">
      <c r="A907" s="1310" t="s">
        <v>799</v>
      </c>
    </row>
    <row r="908" spans="1:1">
      <c r="A908" s="1310" t="s">
        <v>800</v>
      </c>
    </row>
    <row r="909" spans="1:1">
      <c r="A909" s="1310" t="s">
        <v>801</v>
      </c>
    </row>
    <row r="910" spans="1:1">
      <c r="A910" s="1310" t="s">
        <v>802</v>
      </c>
    </row>
    <row r="911" spans="1:1">
      <c r="A911" s="1310" t="s">
        <v>803</v>
      </c>
    </row>
    <row r="912" spans="1:1">
      <c r="A912" s="1310" t="s">
        <v>804</v>
      </c>
    </row>
    <row r="913" spans="1:1">
      <c r="A913" s="1310"/>
    </row>
    <row r="914" spans="1:1">
      <c r="A914" s="1310"/>
    </row>
    <row r="915" spans="1:1">
      <c r="A915" s="1310" t="s">
        <v>805</v>
      </c>
    </row>
    <row r="916" spans="1:1">
      <c r="A916" s="1310" t="s">
        <v>806</v>
      </c>
    </row>
    <row r="917" spans="1:1">
      <c r="A917" s="1310" t="s">
        <v>1581</v>
      </c>
    </row>
    <row r="918" spans="1:1">
      <c r="A918" s="1310" t="s">
        <v>807</v>
      </c>
    </row>
    <row r="919" spans="1:1">
      <c r="A919" s="1310" t="s">
        <v>808</v>
      </c>
    </row>
    <row r="920" spans="1:1">
      <c r="A920" s="1310" t="s">
        <v>809</v>
      </c>
    </row>
    <row r="921" spans="1:1">
      <c r="A921" s="1310" t="s">
        <v>810</v>
      </c>
    </row>
    <row r="922" spans="1:1">
      <c r="A922" s="1310" t="s">
        <v>811</v>
      </c>
    </row>
    <row r="923" spans="1:1">
      <c r="A923" s="1310" t="s">
        <v>812</v>
      </c>
    </row>
    <row r="924" spans="1:1">
      <c r="A924" s="1310" t="s">
        <v>813</v>
      </c>
    </row>
    <row r="925" spans="1:1">
      <c r="A925" s="1310" t="s">
        <v>814</v>
      </c>
    </row>
    <row r="926" spans="1:1">
      <c r="A926" s="1310" t="s">
        <v>815</v>
      </c>
    </row>
    <row r="927" spans="1:1">
      <c r="A927" s="1310"/>
    </row>
    <row r="928" spans="1:1">
      <c r="A928" s="1310" t="s">
        <v>816</v>
      </c>
    </row>
    <row r="929" spans="1:1">
      <c r="A929" s="1310" t="s">
        <v>817</v>
      </c>
    </row>
    <row r="930" spans="1:1">
      <c r="A930" s="1310"/>
    </row>
    <row r="931" spans="1:1">
      <c r="A931" s="1310" t="s">
        <v>818</v>
      </c>
    </row>
    <row r="932" spans="1:1">
      <c r="A932" s="1310" t="s">
        <v>819</v>
      </c>
    </row>
    <row r="933" spans="1:1">
      <c r="A933" s="1310" t="s">
        <v>820</v>
      </c>
    </row>
    <row r="934" spans="1:1">
      <c r="A934" s="1310"/>
    </row>
    <row r="935" spans="1:1">
      <c r="A935" s="1310" t="s">
        <v>821</v>
      </c>
    </row>
    <row r="936" spans="1:1">
      <c r="A936" s="1310"/>
    </row>
    <row r="937" spans="1:1">
      <c r="A937" s="1310" t="s">
        <v>822</v>
      </c>
    </row>
    <row r="938" spans="1:1">
      <c r="A938" s="1310" t="s">
        <v>823</v>
      </c>
    </row>
    <row r="939" spans="1:1">
      <c r="A939" s="1310" t="s">
        <v>824</v>
      </c>
    </row>
    <row r="940" spans="1:1">
      <c r="A940" s="1310" t="s">
        <v>825</v>
      </c>
    </row>
    <row r="941" spans="1:1">
      <c r="A941" s="1310" t="s">
        <v>826</v>
      </c>
    </row>
    <row r="942" spans="1:1">
      <c r="A942" s="1310"/>
    </row>
    <row r="943" spans="1:1">
      <c r="A943" s="1310" t="s">
        <v>827</v>
      </c>
    </row>
    <row r="944" spans="1:1">
      <c r="A944" s="1310" t="s">
        <v>828</v>
      </c>
    </row>
    <row r="945" spans="1:1">
      <c r="A945" s="1310" t="s">
        <v>829</v>
      </c>
    </row>
    <row r="946" spans="1:1">
      <c r="A946" s="1310" t="s">
        <v>830</v>
      </c>
    </row>
    <row r="947" spans="1:1">
      <c r="A947" s="1310"/>
    </row>
    <row r="948" spans="1:1">
      <c r="A948" s="1310"/>
    </row>
    <row r="949" spans="1:1">
      <c r="A949" s="1310" t="s">
        <v>831</v>
      </c>
    </row>
    <row r="950" spans="1:1">
      <c r="A950" s="1310" t="s">
        <v>832</v>
      </c>
    </row>
    <row r="951" spans="1:1">
      <c r="A951" s="1310" t="s">
        <v>833</v>
      </c>
    </row>
    <row r="952" spans="1:1">
      <c r="A952" s="1310" t="s">
        <v>834</v>
      </c>
    </row>
    <row r="953" spans="1:1">
      <c r="A953" s="1310" t="s">
        <v>835</v>
      </c>
    </row>
    <row r="954" spans="1:1">
      <c r="A954" s="1310" t="s">
        <v>836</v>
      </c>
    </row>
    <row r="955" spans="1:1">
      <c r="A955" s="1310"/>
    </row>
    <row r="956" spans="1:1">
      <c r="A956" s="1310" t="s">
        <v>837</v>
      </c>
    </row>
    <row r="957" spans="1:1">
      <c r="A957" s="1310" t="s">
        <v>838</v>
      </c>
    </row>
    <row r="958" spans="1:1">
      <c r="A958" s="1310" t="s">
        <v>839</v>
      </c>
    </row>
    <row r="959" spans="1:1">
      <c r="A959" s="1310"/>
    </row>
    <row r="960" spans="1:1">
      <c r="A960" s="1310" t="s">
        <v>840</v>
      </c>
    </row>
    <row r="961" spans="1:1">
      <c r="A961" s="1310" t="s">
        <v>841</v>
      </c>
    </row>
    <row r="962" spans="1:1">
      <c r="A962" s="1310"/>
    </row>
    <row r="963" spans="1:1">
      <c r="A963" s="1310" t="s">
        <v>842</v>
      </c>
    </row>
    <row r="964" spans="1:1">
      <c r="A964" s="1310"/>
    </row>
    <row r="965" spans="1:1">
      <c r="A965" s="1310" t="s">
        <v>843</v>
      </c>
    </row>
    <row r="966" spans="1:1">
      <c r="A966" s="1310" t="s">
        <v>844</v>
      </c>
    </row>
    <row r="967" spans="1:1">
      <c r="A967" s="1310" t="s">
        <v>845</v>
      </c>
    </row>
    <row r="968" spans="1:1">
      <c r="A968" s="1310" t="s">
        <v>846</v>
      </c>
    </row>
    <row r="969" spans="1:1">
      <c r="A969" s="1310"/>
    </row>
    <row r="970" spans="1:1">
      <c r="A970" s="1310" t="s">
        <v>847</v>
      </c>
    </row>
    <row r="971" spans="1:1">
      <c r="A971" s="1310" t="s">
        <v>848</v>
      </c>
    </row>
    <row r="972" spans="1:1">
      <c r="A972" s="1310" t="s">
        <v>849</v>
      </c>
    </row>
    <row r="973" spans="1:1">
      <c r="A973" s="1310"/>
    </row>
    <row r="974" spans="1:1">
      <c r="A974" s="1310" t="s">
        <v>850</v>
      </c>
    </row>
    <row r="975" spans="1:1">
      <c r="A975" s="1310" t="s">
        <v>851</v>
      </c>
    </row>
    <row r="976" spans="1:1">
      <c r="A976" s="1310"/>
    </row>
    <row r="977" spans="1:1">
      <c r="A977" s="1310" t="s">
        <v>852</v>
      </c>
    </row>
    <row r="978" spans="1:1">
      <c r="A978" s="1310" t="s">
        <v>853</v>
      </c>
    </row>
    <row r="979" spans="1:1">
      <c r="A979" s="1310" t="s">
        <v>854</v>
      </c>
    </row>
    <row r="980" spans="1:1">
      <c r="A980" s="1310"/>
    </row>
    <row r="981" spans="1:1">
      <c r="A981" s="1310" t="s">
        <v>855</v>
      </c>
    </row>
    <row r="982" spans="1:1">
      <c r="A982" s="1310" t="s">
        <v>856</v>
      </c>
    </row>
    <row r="983" spans="1:1">
      <c r="A983" s="1310" t="s">
        <v>857</v>
      </c>
    </row>
    <row r="984" spans="1:1">
      <c r="A984" s="1310" t="s">
        <v>858</v>
      </c>
    </row>
    <row r="985" spans="1:1">
      <c r="A985" s="1310" t="s">
        <v>859</v>
      </c>
    </row>
    <row r="986" spans="1:1">
      <c r="A986" s="1310" t="s">
        <v>860</v>
      </c>
    </row>
    <row r="987" spans="1:1">
      <c r="A987" s="1310" t="s">
        <v>861</v>
      </c>
    </row>
    <row r="988" spans="1:1">
      <c r="A988" s="1310" t="s">
        <v>862</v>
      </c>
    </row>
    <row r="989" spans="1:1">
      <c r="A989" s="1310" t="s">
        <v>863</v>
      </c>
    </row>
    <row r="990" spans="1:1">
      <c r="A990" s="1310" t="s">
        <v>864</v>
      </c>
    </row>
    <row r="991" spans="1:1">
      <c r="A991" s="1310" t="s">
        <v>865</v>
      </c>
    </row>
    <row r="992" spans="1:1">
      <c r="A992" s="1310" t="s">
        <v>866</v>
      </c>
    </row>
    <row r="993" spans="1:1">
      <c r="A993" s="1310" t="s">
        <v>867</v>
      </c>
    </row>
    <row r="994" spans="1:1">
      <c r="A994" s="1310"/>
    </row>
    <row r="995" spans="1:1">
      <c r="A995" s="1310"/>
    </row>
    <row r="996" spans="1:1">
      <c r="A996" s="1310" t="s">
        <v>868</v>
      </c>
    </row>
    <row r="997" spans="1:1">
      <c r="A997" s="1310" t="s">
        <v>869</v>
      </c>
    </row>
    <row r="998" spans="1:1">
      <c r="A998" s="1310" t="s">
        <v>870</v>
      </c>
    </row>
    <row r="999" spans="1:1">
      <c r="A999" s="1310"/>
    </row>
    <row r="1000" spans="1:1">
      <c r="A1000" s="1310" t="s">
        <v>871</v>
      </c>
    </row>
    <row r="1001" spans="1:1">
      <c r="A1001" s="1310" t="s">
        <v>872</v>
      </c>
    </row>
    <row r="1002" spans="1:1">
      <c r="A1002" s="1310" t="s">
        <v>873</v>
      </c>
    </row>
    <row r="1003" spans="1:1">
      <c r="A1003" s="1310" t="s">
        <v>874</v>
      </c>
    </row>
  </sheetData>
  <sheetProtection password="C2EC" sheet="1" objects="1" scenarios="1"/>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Sheet33"/>
  <dimension ref="A1:A308"/>
  <sheetViews>
    <sheetView topLeftCell="A16" zoomScale="110" zoomScaleNormal="110" workbookViewId="0">
      <selection activeCell="A46" sqref="A46"/>
    </sheetView>
  </sheetViews>
  <sheetFormatPr defaultRowHeight="15"/>
  <cols>
    <col min="1" max="1" width="75.85546875" style="1170" bestFit="1" customWidth="1"/>
    <col min="2" max="16384" width="9.140625" style="1170"/>
  </cols>
  <sheetData>
    <row r="1" spans="1:1">
      <c r="A1" s="1170" t="s">
        <v>100</v>
      </c>
    </row>
    <row r="2" spans="1:1">
      <c r="A2" s="1170" t="s">
        <v>101</v>
      </c>
    </row>
    <row r="3" spans="1:1">
      <c r="A3" s="124" t="str">
        <f>"key_height=" &amp;IF('Donor Sample'!$O$25="CM",1)+IF('Donor Sample'!$O$25="IN",0)</f>
        <v>key_height=1</v>
      </c>
    </row>
    <row r="4" spans="1:1">
      <c r="A4" s="124" t="str">
        <f>"key_weight="&amp;IF('Donor Sample'!$P$25="KG",1)+IF('Donor Sample'!$P$25="LB",0)</f>
        <v>key_weight=1</v>
      </c>
    </row>
    <row r="5" spans="1:1">
      <c r="A5" s="1170" t="s">
        <v>104</v>
      </c>
    </row>
    <row r="6" spans="1:1">
      <c r="A6" s="1170" t="s">
        <v>105</v>
      </c>
    </row>
    <row r="7" spans="1:1">
      <c r="A7" s="1170" t="s">
        <v>106</v>
      </c>
    </row>
    <row r="8" spans="1:1">
      <c r="A8" s="1170" t="s">
        <v>107</v>
      </c>
    </row>
    <row r="10" spans="1:1">
      <c r="A10" s="1170" t="s">
        <v>108</v>
      </c>
    </row>
    <row r="11" spans="1:1">
      <c r="A11" s="124" t="str">
        <f>"key_proc_time=" &amp;'Configs &amp; Procedures'!H20</f>
        <v>key_proc_time=150</v>
      </c>
    </row>
    <row r="12" spans="1:1">
      <c r="A12" s="1365" t="s">
        <v>109</v>
      </c>
    </row>
    <row r="13" spans="1:1">
      <c r="A13" s="1365" t="s">
        <v>110</v>
      </c>
    </row>
    <row r="14" spans="1:1">
      <c r="A14" s="124" t="str">
        <f>"key_custom_ratio="&amp;'Configs &amp; Procedures'!H26</f>
        <v>key_custom_ratio=13</v>
      </c>
    </row>
    <row r="15" spans="1:1">
      <c r="A15" s="1365" t="s">
        <v>1948</v>
      </c>
    </row>
    <row r="16" spans="1:1">
      <c r="A16" s="124" t="str">
        <f>"key_ac_rate=" &amp;'Configs &amp; Procedures'!H25</f>
        <v>key_ac_rate=1</v>
      </c>
    </row>
    <row r="17" spans="1:1">
      <c r="A17" s="124" t="str">
        <f>"key_post_crit=" &amp;'Configs &amp; Procedures'!H16</f>
        <v>key_post_crit=32</v>
      </c>
    </row>
    <row r="18" spans="1:1">
      <c r="A18" s="124" t="str">
        <f>"key_tbv_vol_setting="&amp;IF('Configs &amp; Procedures'!$L$11="YES",1)+IF('Configs &amp; Procedures'!$L$13="YES",4)+IF('Configs &amp; Procedures'!$L$15&lt;&gt;"NO",2)+IF('Configs &amp; Procedures'!$L$32="YES",8)</f>
        <v>key_tbv_vol_setting=1</v>
      </c>
    </row>
    <row r="19" spans="1:1">
      <c r="A19" s="124" t="str">
        <f>"key_tbv_percent="&amp;'Configs &amp; Procedures'!$L$12</f>
        <v>key_tbv_percent=12</v>
      </c>
    </row>
    <row r="20" spans="1:1">
      <c r="A20" s="124" t="str">
        <f>"key_weight_setting="&amp;'Configs &amp; Procedures'!$L$18</f>
        <v>key_weight_setting=175</v>
      </c>
    </row>
    <row r="21" spans="1:1">
      <c r="A21" s="124" t="str">
        <f>"key_weight_less_than_vol="&amp;'Configs &amp; Procedures'!$L$16</f>
        <v>key_weight_less_than_vol=500</v>
      </c>
    </row>
    <row r="22" spans="1:1">
      <c r="A22" s="124" t="str">
        <f>"key_weight_greater_than_vol="&amp;'Configs &amp; Procedures'!$L$17</f>
        <v>key_weight_greater_than_vol=600</v>
      </c>
    </row>
    <row r="23" spans="1:1">
      <c r="A23" s="124" t="str">
        <f>"key_ml_per_kg="&amp;'Configs &amp; Procedures'!$L$14</f>
        <v>key_ml_per_kg=10.5</v>
      </c>
    </row>
    <row r="24" spans="1:1">
      <c r="A24" s="124" t="str">
        <f>"key_drbc_body_vol=" &amp;'Configs &amp; Procedures'!L33</f>
        <v>key_drbc_body_vol=3.9</v>
      </c>
    </row>
    <row r="25" spans="1:1">
      <c r="A25" s="1170" t="s">
        <v>1947</v>
      </c>
    </row>
    <row r="26" spans="1:1">
      <c r="A26" s="1170" t="s">
        <v>1946</v>
      </c>
    </row>
    <row r="27" spans="1:1">
      <c r="A27" s="1170" t="s">
        <v>1945</v>
      </c>
    </row>
    <row r="28" spans="1:1">
      <c r="A28" s="1170" t="s">
        <v>1944</v>
      </c>
    </row>
    <row r="29" spans="1:1">
      <c r="A29" s="124" t="str">
        <f>"key_post_plat=" &amp;'Configs &amp; Procedures'!H14* 1000</f>
        <v>key_post_plat=100000</v>
      </c>
    </row>
    <row r="30" spans="1:1">
      <c r="A30" s="124" t="str">
        <f>"key_max_draw_flow="&amp;IF('Configs &amp; Procedures'!$H$28="FAST",2,IF('Configs &amp; Procedures'!$H$28="MODERATE",1,IF('Configs &amp; Procedures'!$H$28="SLOW",0)))</f>
        <v>key_max_draw_flow=0</v>
      </c>
    </row>
    <row r="31" spans="1:1">
      <c r="A31" s="124" t="str">
        <f>"key_min_replacement_volume="&amp;'Configs &amp; Procedures'!$H$19</f>
        <v>key_min_replacement_volume=250</v>
      </c>
    </row>
    <row r="32" spans="1:1">
      <c r="A32" s="1365" t="s">
        <v>1949</v>
      </c>
    </row>
    <row r="33" spans="1:1">
      <c r="A33" s="1365" t="s">
        <v>114</v>
      </c>
    </row>
    <row r="34" spans="1:1">
      <c r="A34" s="1365" t="s">
        <v>115</v>
      </c>
    </row>
    <row r="35" spans="1:1">
      <c r="A35" s="1365" t="s">
        <v>1802</v>
      </c>
    </row>
    <row r="36" spans="1:1">
      <c r="A36" s="124" t="str">
        <f>"key_plasma_rinseback="&amp;IF('Configs &amp; Procedures'!L35="YES",1,0)</f>
        <v>key_plasma_rinseback=0</v>
      </c>
    </row>
    <row r="37" spans="1:1">
      <c r="A37" s="124" t="str">
        <f>"key_saline_rinseback="&amp;IF('Configs &amp; Procedures'!L36="YES",1,0)</f>
        <v>key_saline_rinseback=0</v>
      </c>
    </row>
    <row r="38" spans="1:1">
      <c r="A38" s="1365" t="s">
        <v>116</v>
      </c>
    </row>
    <row r="39" spans="1:1">
      <c r="A39" s="1365" t="s">
        <v>1950</v>
      </c>
    </row>
    <row r="40" spans="1:1">
      <c r="A40" s="1365" t="s">
        <v>118</v>
      </c>
    </row>
    <row r="41" spans="1:1">
      <c r="A41" s="1365" t="s">
        <v>119</v>
      </c>
    </row>
    <row r="42" spans="1:1">
      <c r="A42" s="1365" t="s">
        <v>1951</v>
      </c>
    </row>
    <row r="43" spans="1:1">
      <c r="A43" s="1365" t="s">
        <v>121</v>
      </c>
    </row>
    <row r="44" spans="1:1">
      <c r="A44" s="1365" t="s">
        <v>1952</v>
      </c>
    </row>
    <row r="45" spans="1:1">
      <c r="A45" s="1365" t="s">
        <v>1953</v>
      </c>
    </row>
    <row r="46" spans="1:1">
      <c r="A46" s="1365"/>
    </row>
    <row r="47" spans="1:1">
      <c r="A47" s="1170" t="s">
        <v>122</v>
      </c>
    </row>
    <row r="48" spans="1:1">
      <c r="A48" s="124" t="str">
        <f>"key_rbc_ratio=" &amp;IF('Configs &amp; Procedures'!H27=11,1,IF('Configs &amp; Procedures'!H27=8.14,0,IF('Configs &amp; Procedures'!H27=13.7,2,"")))</f>
        <v>key_rbc_ratio=1</v>
      </c>
    </row>
    <row r="49" spans="1:1">
      <c r="A49" s="124" t="str">
        <f>"key_rbc_replace_fluid="&amp; IF('Configs &amp; Procedures'!$H$17="YES",1,0)</f>
        <v>key_rbc_replace_fluid=0</v>
      </c>
    </row>
    <row r="50" spans="1:1">
      <c r="A50" s="124" t="str">
        <f>"key_rbc_fluid_percent=" &amp;'Configs &amp; Procedures'!H18</f>
        <v>key_rbc_fluid_percent=100</v>
      </c>
    </row>
    <row r="51" spans="1:1">
      <c r="A51" s="124" t="str">
        <f>"key_pls_amap_minimum="&amp;'Configs &amp; Procedures'!L23</f>
        <v>key_pls_amap_minimum=200</v>
      </c>
    </row>
    <row r="52" spans="1:1">
      <c r="A52" s="124" t="str">
        <f>"key_pls_amap_maximum=" &amp;'Configs &amp; Procedures'!M23</f>
        <v>key_pls_amap_maximum=1000</v>
      </c>
    </row>
    <row r="53" spans="1:1">
      <c r="A53" s="124" t="str">
        <f>"key_ysf=" &amp; 'Configs &amp; Procedures'!L24</f>
        <v>key_ysf=1</v>
      </c>
    </row>
    <row r="54" spans="1:1">
      <c r="A54" s="1170" t="s">
        <v>123</v>
      </c>
    </row>
    <row r="55" spans="1:1">
      <c r="A55" s="1170" t="s">
        <v>124</v>
      </c>
    </row>
    <row r="56" spans="1:1">
      <c r="A56" s="1170" t="s">
        <v>125</v>
      </c>
    </row>
    <row r="57" spans="1:1">
      <c r="A57" s="124" t="str">
        <f>"key_inlet_flow_ramp="&amp;IF('Configs &amp; Procedures'!H31="YES",1,0)</f>
        <v>key_inlet_flow_ramp=1</v>
      </c>
    </row>
    <row r="58" spans="1:1">
      <c r="A58" s="124" t="str">
        <f>"key_inlet_management="&amp;'Configs &amp; Procedures'!H29</f>
        <v>key_inlet_management=1</v>
      </c>
    </row>
    <row r="59" spans="1:1">
      <c r="A59" s="124" t="str">
        <f>"key_return_management="&amp;'Configs &amp; Procedures'!H30</f>
        <v>key_return_management=1</v>
      </c>
    </row>
    <row r="60" spans="1:1">
      <c r="A60" s="124" t="str">
        <f>"key_rsf="&amp;'Configs &amp; Procedures'!L26</f>
        <v>key_rsf=1</v>
      </c>
    </row>
    <row r="61" spans="1:1">
      <c r="A61" s="124" t="str">
        <f>"key_male_only_plt="&amp;IF('Configs &amp; Procedures'!$H$22="NO",2,IF('Configs &amp; Procedures'!$H$22="Male/AB Female",1,0))</f>
        <v>key_male_only_plt=2</v>
      </c>
    </row>
    <row r="62" spans="1:1">
      <c r="A62" s="124" t="str">
        <f>"key_male_only_plasma="&amp;IF('Configs &amp; Procedures'!$H$22="NO",2,IF('Configs &amp; Procedures'!$H$22="Male/AB Female",1,0))</f>
        <v>key_male_only_plasma=2</v>
      </c>
    </row>
    <row r="63" spans="1:1">
      <c r="A63" s="1365" t="s">
        <v>1954</v>
      </c>
    </row>
    <row r="64" spans="1:1">
      <c r="A64" s="1365" t="s">
        <v>1955</v>
      </c>
    </row>
    <row r="65" spans="1:1" s="1365" customFormat="1"/>
    <row r="66" spans="1:1">
      <c r="A66" s="1170" t="s">
        <v>126</v>
      </c>
    </row>
    <row r="67" spans="1:1">
      <c r="A67" s="124" t="str">
        <f>"key_rbc_crit_1="&amp;'Configs &amp; Procedures'!L22</f>
        <v>key_rbc_crit_1=80</v>
      </c>
    </row>
    <row r="68" spans="1:1">
      <c r="A68" s="124" t="str">
        <f>"key_rbc_dose_1="&amp;'DS Analysis'!$AX$44</f>
        <v>key_rbc_dose_1=180</v>
      </c>
    </row>
    <row r="69" spans="1:1">
      <c r="A69" s="124" t="str">
        <f>"key_rbc_mss_1="&amp;IF('Configs &amp; Procedures'!$L$34="YES",1,0)</f>
        <v>key_rbc_mss_1=0</v>
      </c>
    </row>
    <row r="70" spans="1:1">
      <c r="A70" s="1170" t="s">
        <v>127</v>
      </c>
    </row>
    <row r="72" spans="1:1">
      <c r="A72" s="124" t="str">
        <f>"key_rbc_crit_2="&amp;'Configs &amp; Procedures'!L22</f>
        <v>key_rbc_crit_2=80</v>
      </c>
    </row>
    <row r="73" spans="1:1">
      <c r="A73" s="124" t="str">
        <f>"key_rbc_dose_2="&amp;'DS Analysis'!$AX$45</f>
        <v>key_rbc_dose_2=360</v>
      </c>
    </row>
    <row r="74" spans="1:1">
      <c r="A74" s="124" t="str">
        <f>"key_rbc_mss_2="&amp;IF('Configs &amp; Procedures'!$L$34="YES",1,0)</f>
        <v>key_rbc_mss_2=0</v>
      </c>
    </row>
    <row r="75" spans="1:1">
      <c r="A75" s="1170" t="s">
        <v>128</v>
      </c>
    </row>
    <row r="77" spans="1:1">
      <c r="A77" s="124" t="str">
        <f>"key_rbc_crit_3="&amp;'Configs &amp; Procedures'!L22</f>
        <v>key_rbc_crit_3=80</v>
      </c>
    </row>
    <row r="78" spans="1:1">
      <c r="A78" s="124" t="str">
        <f>"key_rbc_dose_3="&amp;'DS Analysis'!$AX$46</f>
        <v>key_rbc_dose_3=0</v>
      </c>
    </row>
    <row r="79" spans="1:1">
      <c r="A79" s="124" t="str">
        <f>"key_rbc_mss_3="&amp;IF('Configs &amp; Procedures'!$L$34="YES",1,0)</f>
        <v>key_rbc_mss_3=0</v>
      </c>
    </row>
    <row r="80" spans="1:1">
      <c r="A80" s="1170" t="s">
        <v>129</v>
      </c>
    </row>
    <row r="82" spans="1:1">
      <c r="A82" s="124" t="str">
        <f>"key_plt_yield_1="&amp;'DS Analysis'!$AU$44</f>
        <v>key_plt_yield_1=2.5</v>
      </c>
    </row>
    <row r="83" spans="1:1">
      <c r="A83" s="124" t="str">
        <f>"key_plt_volume_1="&amp;'DS Analysis'!$AV$44</f>
        <v>key_plt_volume_1=161</v>
      </c>
    </row>
    <row r="84" spans="1:1">
      <c r="A84" s="1170" t="s">
        <v>130</v>
      </c>
    </row>
    <row r="85" spans="1:1">
      <c r="A85" s="1170" t="s">
        <v>131</v>
      </c>
    </row>
    <row r="87" spans="1:1">
      <c r="A87" s="124" t="str">
        <f>"key_plt_yield_2="&amp;'DS Analysis'!$AU$45</f>
        <v>key_plt_yield_2=3.2</v>
      </c>
    </row>
    <row r="88" spans="1:1">
      <c r="A88" s="124" t="str">
        <f>"key_plt_volume_2="&amp;'DS Analysis'!$AV$45</f>
        <v>key_plt_volume_2=206</v>
      </c>
    </row>
    <row r="89" spans="1:1">
      <c r="A89" s="1170" t="s">
        <v>132</v>
      </c>
    </row>
    <row r="90" spans="1:1">
      <c r="A90" s="1170" t="s">
        <v>133</v>
      </c>
    </row>
    <row r="92" spans="1:1">
      <c r="A92" s="124" t="str">
        <f>"key_plt_yield_3="&amp;'DS Analysis'!$AU$46</f>
        <v>key_plt_yield_3=4</v>
      </c>
    </row>
    <row r="93" spans="1:1">
      <c r="A93" s="124" t="str">
        <f>"key_plt_volume_3="&amp;'DS Analysis'!$AV$46</f>
        <v>key_plt_volume_3=258</v>
      </c>
    </row>
    <row r="94" spans="1:1">
      <c r="A94" s="1170" t="s">
        <v>134</v>
      </c>
    </row>
    <row r="95" spans="1:1">
      <c r="A95" s="1170" t="s">
        <v>135</v>
      </c>
    </row>
    <row r="97" spans="1:1">
      <c r="A97" s="124" t="str">
        <f>"key_plt_yield_4="&amp;'DS Analysis'!$AU$47</f>
        <v>key_plt_yield_4=5.5</v>
      </c>
    </row>
    <row r="98" spans="1:1">
      <c r="A98" s="124" t="str">
        <f>"key_plt_volume_4="&amp;'DS Analysis'!$AV$47</f>
        <v>key_plt_volume_4=355</v>
      </c>
    </row>
    <row r="99" spans="1:1">
      <c r="A99" s="1170" t="s">
        <v>136</v>
      </c>
    </row>
    <row r="100" spans="1:1">
      <c r="A100" s="1170" t="s">
        <v>137</v>
      </c>
    </row>
    <row r="102" spans="1:1">
      <c r="A102" s="124" t="str">
        <f>"key_plt_yield_5="&amp;'DS Analysis'!$AU$48</f>
        <v>key_plt_yield_5=9.6</v>
      </c>
    </row>
    <row r="103" spans="1:1">
      <c r="A103" s="124" t="str">
        <f>"key_plt_volume_5="&amp;'DS Analysis'!$AV$48</f>
        <v>key_plt_volume_5=619</v>
      </c>
    </row>
    <row r="104" spans="1:1">
      <c r="A104" s="1170" t="s">
        <v>138</v>
      </c>
    </row>
    <row r="105" spans="1:1">
      <c r="A105" s="1170" t="s">
        <v>139</v>
      </c>
    </row>
    <row r="107" spans="1:1">
      <c r="A107" s="124" t="str">
        <f>"key_plt_yield_6="&amp;'DS Analysis'!$AU$49</f>
        <v>key_plt_yield_6=11</v>
      </c>
    </row>
    <row r="108" spans="1:1">
      <c r="A108" s="124" t="str">
        <f>"key_plt_volume_6="&amp;'DS Analysis'!$AV$49</f>
        <v>key_plt_volume_6=710</v>
      </c>
    </row>
    <row r="109" spans="1:1">
      <c r="A109" s="1170" t="s">
        <v>140</v>
      </c>
    </row>
    <row r="110" spans="1:1">
      <c r="A110" s="1170" t="s">
        <v>141</v>
      </c>
    </row>
    <row r="112" spans="1:1">
      <c r="A112" s="124" t="str">
        <f>"key_plt_yield_7="&amp;'DS Analysis'!$AU$50</f>
        <v>key_plt_yield_7=0</v>
      </c>
    </row>
    <row r="113" spans="1:1">
      <c r="A113" s="124" t="str">
        <f>"key_plt_volume_7="&amp;'DS Analysis'!$AV$50</f>
        <v>key_plt_volume_7=0</v>
      </c>
    </row>
    <row r="114" spans="1:1">
      <c r="A114" s="1170" t="s">
        <v>142</v>
      </c>
    </row>
    <row r="115" spans="1:1">
      <c r="A115" s="1170" t="s">
        <v>143</v>
      </c>
    </row>
    <row r="117" spans="1:1">
      <c r="A117" s="124" t="str">
        <f>"key_plt_yield_8="&amp;'DS Analysis'!$AU$51</f>
        <v>key_plt_yield_8=0</v>
      </c>
    </row>
    <row r="118" spans="1:1">
      <c r="A118" s="124" t="str">
        <f>"key_plt_volume_8="&amp;'DS Analysis'!$AV$51</f>
        <v>key_plt_volume_8=0</v>
      </c>
    </row>
    <row r="119" spans="1:1">
      <c r="A119" s="1170" t="s">
        <v>144</v>
      </c>
    </row>
    <row r="120" spans="1:1">
      <c r="A120" s="1170" t="s">
        <v>145</v>
      </c>
    </row>
    <row r="122" spans="1:1">
      <c r="A122" s="124" t="str">
        <f>"key_plt_yield_9="&amp;'DS Analysis'!$AU$52</f>
        <v>key_plt_yield_9=0</v>
      </c>
    </row>
    <row r="123" spans="1:1">
      <c r="A123" s="124" t="str">
        <f>"key_plt_volume_9="&amp;'DS Analysis'!$AV$52</f>
        <v>key_plt_volume_9=0</v>
      </c>
    </row>
    <row r="124" spans="1:1">
      <c r="A124" s="1170" t="s">
        <v>146</v>
      </c>
    </row>
    <row r="125" spans="1:1">
      <c r="A125" s="1170" t="s">
        <v>147</v>
      </c>
    </row>
    <row r="127" spans="1:1">
      <c r="A127" s="124" t="str">
        <f>"key_plt_yield_10="&amp;'DS Analysis'!$AU$53</f>
        <v>key_plt_yield_10=0</v>
      </c>
    </row>
    <row r="128" spans="1:1">
      <c r="A128" s="124" t="str">
        <f>"key_plt_volume_10="&amp;'DS Analysis'!$AV$53</f>
        <v>key_plt_volume_10=0</v>
      </c>
    </row>
    <row r="129" spans="1:1">
      <c r="A129" s="1170" t="s">
        <v>148</v>
      </c>
    </row>
    <row r="130" spans="1:1">
      <c r="A130" s="1170" t="s">
        <v>149</v>
      </c>
    </row>
    <row r="132" spans="1:1">
      <c r="A132" s="124" t="str">
        <f>"key_pls_volume_1="&amp;'DS Analysis'!$AW$44</f>
        <v>key_pls_volume_1=250</v>
      </c>
    </row>
    <row r="133" spans="1:1">
      <c r="A133" s="124" t="str">
        <f>"key_pls_volume_2="&amp;'DS Analysis'!$AW$45</f>
        <v>key_pls_volume_2=300</v>
      </c>
    </row>
    <row r="134" spans="1:1">
      <c r="A134" s="124" t="str">
        <f>"key_pls_volume_3="&amp;'DS Analysis'!$AW$46</f>
        <v>key_pls_volume_3=350</v>
      </c>
    </row>
    <row r="135" spans="1:1">
      <c r="A135" s="124" t="str">
        <f>"key_pls_volume_4="&amp;'DS Analysis'!$AW$47</f>
        <v>key_pls_volume_4=400</v>
      </c>
    </row>
    <row r="136" spans="1:1">
      <c r="A136" s="124" t="str">
        <f>"key_pls_volume_5="&amp;'DS Analysis'!$AW$48</f>
        <v>key_pls_volume_5=450</v>
      </c>
    </row>
    <row r="137" spans="1:1">
      <c r="A137" s="124" t="str">
        <f>"key_pls_volume_6="&amp;'DS Analysis'!$AW$49</f>
        <v>key_pls_volume_6=500</v>
      </c>
    </row>
    <row r="140" spans="1:1">
      <c r="A140" s="1170" t="s">
        <v>1956</v>
      </c>
    </row>
    <row r="141" spans="1:1">
      <c r="A141" s="1170" t="s">
        <v>1957</v>
      </c>
    </row>
    <row r="142" spans="1:1">
      <c r="A142" s="1170" t="s">
        <v>1958</v>
      </c>
    </row>
    <row r="143" spans="1:1">
      <c r="A143" s="1170" t="s">
        <v>1959</v>
      </c>
    </row>
    <row r="144" spans="1:1">
      <c r="A144" s="1170" t="s">
        <v>1960</v>
      </c>
    </row>
    <row r="145" spans="1:1">
      <c r="A145" s="1170" t="s">
        <v>1961</v>
      </c>
    </row>
    <row r="147" spans="1:1">
      <c r="A147" s="1170" t="s">
        <v>1962</v>
      </c>
    </row>
    <row r="148" spans="1:1">
      <c r="A148" s="1170" t="s">
        <v>1963</v>
      </c>
    </row>
    <row r="149" spans="1:1">
      <c r="A149" s="1170" t="s">
        <v>1964</v>
      </c>
    </row>
    <row r="152" spans="1:1">
      <c r="A152" s="1366" t="s">
        <v>150</v>
      </c>
    </row>
    <row r="153" spans="1:1">
      <c r="A153" s="1170" t="s">
        <v>150</v>
      </c>
    </row>
    <row r="154" spans="1:1">
      <c r="A154" s="1170" t="s">
        <v>151</v>
      </c>
    </row>
    <row r="155" spans="1:1">
      <c r="A155" s="1170" t="s">
        <v>152</v>
      </c>
    </row>
    <row r="156" spans="1:1">
      <c r="A156" s="450" t="s">
        <v>1965</v>
      </c>
    </row>
    <row r="157" spans="1:1">
      <c r="A157" s="1170" t="s">
        <v>153</v>
      </c>
    </row>
    <row r="158" spans="1:1">
      <c r="A158" s="1170" t="s">
        <v>154</v>
      </c>
    </row>
    <row r="159" spans="1:1">
      <c r="A159" s="1170" t="s">
        <v>155</v>
      </c>
    </row>
    <row r="160" spans="1:1">
      <c r="A160" s="1170" t="s">
        <v>156</v>
      </c>
    </row>
    <row r="161" spans="1:1">
      <c r="A161" s="1170" t="s">
        <v>1966</v>
      </c>
    </row>
    <row r="162" spans="1:1">
      <c r="A162" s="1170" t="s">
        <v>158</v>
      </c>
    </row>
    <row r="163" spans="1:1">
      <c r="A163" s="1170" t="s">
        <v>159</v>
      </c>
    </row>
    <row r="164" spans="1:1">
      <c r="A164" s="124" t="str">
        <f>"key_platelet_a="&amp;'DS Analysis'!$AP$44</f>
        <v>key_platelet_a=0</v>
      </c>
    </row>
    <row r="165" spans="1:1">
      <c r="A165" s="1365" t="s">
        <v>1967</v>
      </c>
    </row>
    <row r="166" spans="1:1">
      <c r="A166" s="124" t="str">
        <f>"key_plasma_a="&amp;'DS Analysis'!$AQ$44</f>
        <v>key_plasma_a=7</v>
      </c>
    </row>
    <row r="167" spans="1:1">
      <c r="A167" s="124" t="str">
        <f>"key_rbc_a="&amp;'DS Analysis'!$AR$44</f>
        <v>key_rbc_a=0</v>
      </c>
    </row>
    <row r="168" spans="1:1">
      <c r="A168" s="124" t="str">
        <f>'DS Analysis'!BI8</f>
        <v>key_blood_type_a=0</v>
      </c>
    </row>
    <row r="169" spans="1:1">
      <c r="A169" s="124" t="str">
        <f>"key_time_a="&amp;MIN('Configs &amp; Procedures'!$G$44,'Configs &amp; Procedures'!$H$20)</f>
        <v>key_time_a=120</v>
      </c>
    </row>
    <row r="171" spans="1:1">
      <c r="A171" s="124" t="str">
        <f>"key_platelet_b="&amp;'DS Analysis'!$AP$45</f>
        <v>key_platelet_b=0</v>
      </c>
    </row>
    <row r="172" spans="1:1">
      <c r="A172" s="1365" t="s">
        <v>1968</v>
      </c>
    </row>
    <row r="173" spans="1:1">
      <c r="A173" s="124" t="str">
        <f>"key_plasma_b="&amp;'DS Analysis'!$AQ$45</f>
        <v>key_plasma_b=0</v>
      </c>
    </row>
    <row r="174" spans="1:1">
      <c r="A174" s="124" t="str">
        <f>"key_rbc_b="&amp;'DS Analysis'!$AR$45</f>
        <v>key_rbc_b=0</v>
      </c>
    </row>
    <row r="175" spans="1:1">
      <c r="A175" s="124" t="str">
        <f>'DS Analysis'!BI9</f>
        <v>key_blood_type_b=0</v>
      </c>
    </row>
    <row r="176" spans="1:1">
      <c r="A176" s="124" t="str">
        <f>"key_time_b="&amp;MIN('Configs &amp; Procedures'!$G45,'Configs &amp; Procedures'!$H$20)</f>
        <v>key_time_b=150</v>
      </c>
    </row>
    <row r="178" spans="1:1">
      <c r="A178" s="124" t="str">
        <f>"key_platelet_c="&amp;'DS Analysis'!$AP$46</f>
        <v>key_platelet_c=0</v>
      </c>
    </row>
    <row r="179" spans="1:1">
      <c r="A179" s="1365" t="s">
        <v>1969</v>
      </c>
    </row>
    <row r="180" spans="1:1">
      <c r="A180" s="124" t="str">
        <f>"key_plasma_c="&amp;'DS Analysis'!$AQ$46</f>
        <v>key_plasma_c=0</v>
      </c>
    </row>
    <row r="181" spans="1:1">
      <c r="A181" s="124" t="str">
        <f>"key_rbc_c="&amp;'DS Analysis'!$AR$46</f>
        <v>key_rbc_c=0</v>
      </c>
    </row>
    <row r="182" spans="1:1">
      <c r="A182" s="124" t="str">
        <f>'DS Analysis'!BI10</f>
        <v>key_blood_type_c=0</v>
      </c>
    </row>
    <row r="183" spans="1:1">
      <c r="A183" s="124" t="str">
        <f>"key_time_c="&amp;MIN('Configs &amp; Procedures'!$G46,'Configs &amp; Procedures'!$H$20)</f>
        <v>key_time_c=150</v>
      </c>
    </row>
    <row r="185" spans="1:1">
      <c r="A185" s="124" t="str">
        <f>"key_platelet_d="&amp;'DS Analysis'!$AP$47</f>
        <v>key_platelet_d=0</v>
      </c>
    </row>
    <row r="186" spans="1:1">
      <c r="A186" s="1365" t="s">
        <v>1970</v>
      </c>
    </row>
    <row r="187" spans="1:1">
      <c r="A187" s="124" t="str">
        <f>"key_plasma_d="&amp;'DS Analysis'!$AQ$47</f>
        <v>key_plasma_d=0</v>
      </c>
    </row>
    <row r="188" spans="1:1">
      <c r="A188" s="124" t="str">
        <f>"key_rbc_d="&amp;'DS Analysis'!$AR$47</f>
        <v>key_rbc_d=0</v>
      </c>
    </row>
    <row r="189" spans="1:1">
      <c r="A189" s="124" t="str">
        <f>'DS Analysis'!BI11</f>
        <v>key_blood_type_d=0</v>
      </c>
    </row>
    <row r="190" spans="1:1">
      <c r="A190" s="124" t="str">
        <f>"key_time_d="&amp;MIN('Configs &amp; Procedures'!$G47,'Configs &amp; Procedures'!$H$20)</f>
        <v>key_time_d=150</v>
      </c>
    </row>
    <row r="192" spans="1:1">
      <c r="A192" s="124" t="str">
        <f>"key_platelet_e="&amp;'DS Analysis'!$AP$48</f>
        <v>key_platelet_e=0</v>
      </c>
    </row>
    <row r="193" spans="1:1">
      <c r="A193" s="1365" t="s">
        <v>1971</v>
      </c>
    </row>
    <row r="194" spans="1:1">
      <c r="A194" s="124" t="str">
        <f>"key_plasma_e="&amp;'DS Analysis'!$AQ$48</f>
        <v>key_plasma_e=0</v>
      </c>
    </row>
    <row r="195" spans="1:1">
      <c r="A195" s="124" t="str">
        <f>"key_rbc_e="&amp;'DS Analysis'!$AR$48</f>
        <v>key_rbc_e=0</v>
      </c>
    </row>
    <row r="196" spans="1:1">
      <c r="A196" s="124" t="str">
        <f>'DS Analysis'!BI12</f>
        <v>key_blood_type_e=0</v>
      </c>
    </row>
    <row r="197" spans="1:1">
      <c r="A197" s="124" t="str">
        <f>"key_time_e="&amp;MIN('Configs &amp; Procedures'!$G48,'Configs &amp; Procedures'!$H$20)</f>
        <v>key_time_e=150</v>
      </c>
    </row>
    <row r="199" spans="1:1">
      <c r="A199" s="124" t="str">
        <f>"key_platelet_f="&amp;'DS Analysis'!$AP$49</f>
        <v>key_platelet_f=0</v>
      </c>
    </row>
    <row r="200" spans="1:1">
      <c r="A200" s="1365" t="s">
        <v>1972</v>
      </c>
    </row>
    <row r="201" spans="1:1">
      <c r="A201" s="124" t="str">
        <f>"key_plasma_f="&amp;'DS Analysis'!$AQ$49</f>
        <v>key_plasma_f=0</v>
      </c>
    </row>
    <row r="202" spans="1:1">
      <c r="A202" s="124" t="str">
        <f>"key_rbc_f="&amp;'DS Analysis'!$AR$49</f>
        <v>key_rbc_f=0</v>
      </c>
    </row>
    <row r="203" spans="1:1">
      <c r="A203" s="124" t="str">
        <f>'DS Analysis'!BI13</f>
        <v>key_blood_type_f=0</v>
      </c>
    </row>
    <row r="204" spans="1:1">
      <c r="A204" s="124" t="str">
        <f>"key_time_f="&amp;MIN('Configs &amp; Procedures'!$G49,'Configs &amp; Procedures'!$H$20)</f>
        <v>key_time_f=150</v>
      </c>
    </row>
    <row r="206" spans="1:1">
      <c r="A206" s="124" t="str">
        <f>"key_platelet_g="&amp;'DS Analysis'!$AP$50</f>
        <v>key_platelet_g=0</v>
      </c>
    </row>
    <row r="207" spans="1:1">
      <c r="A207" s="1365" t="s">
        <v>1973</v>
      </c>
    </row>
    <row r="208" spans="1:1">
      <c r="A208" s="124" t="str">
        <f>"key_plasma_g="&amp;'DS Analysis'!$AQ$50</f>
        <v>key_plasma_g=0</v>
      </c>
    </row>
    <row r="209" spans="1:1">
      <c r="A209" s="124" t="str">
        <f>"key_rbc_g="&amp;'DS Analysis'!$AR$50</f>
        <v>key_rbc_g=0</v>
      </c>
    </row>
    <row r="210" spans="1:1">
      <c r="A210" s="124" t="str">
        <f>'DS Analysis'!BI14</f>
        <v>key_blood_type_g=0</v>
      </c>
    </row>
    <row r="211" spans="1:1">
      <c r="A211" s="124" t="str">
        <f>"key_time_g="&amp;MIN('Configs &amp; Procedures'!$G50,'Configs &amp; Procedures'!$H$20)</f>
        <v>key_time_g=150</v>
      </c>
    </row>
    <row r="213" spans="1:1">
      <c r="A213" s="124" t="str">
        <f>"key_platelet_h="&amp;'DS Analysis'!$AP$51</f>
        <v>key_platelet_h=0</v>
      </c>
    </row>
    <row r="214" spans="1:1">
      <c r="A214" s="1365" t="s">
        <v>1974</v>
      </c>
    </row>
    <row r="215" spans="1:1">
      <c r="A215" s="124" t="str">
        <f>"key_plasma_h="&amp;'DS Analysis'!$AQ$51</f>
        <v>key_plasma_h=0</v>
      </c>
    </row>
    <row r="216" spans="1:1">
      <c r="A216" s="124" t="str">
        <f>"key_rbc_h="&amp;'DS Analysis'!$AR$51</f>
        <v>key_rbc_h=0</v>
      </c>
    </row>
    <row r="217" spans="1:1">
      <c r="A217" s="124" t="str">
        <f>'DS Analysis'!BI15</f>
        <v>key_blood_type_h=0</v>
      </c>
    </row>
    <row r="218" spans="1:1">
      <c r="A218" s="124" t="str">
        <f>"key_time_h="&amp;MIN('Configs &amp; Procedures'!$G51,'Configs &amp; Procedures'!$H$20)</f>
        <v>key_time_h=150</v>
      </c>
    </row>
    <row r="220" spans="1:1">
      <c r="A220" s="124" t="str">
        <f>"key_platelet_i="&amp;'DS Analysis'!$AP$52</f>
        <v>key_platelet_i=0</v>
      </c>
    </row>
    <row r="221" spans="1:1">
      <c r="A221" s="1365" t="s">
        <v>1975</v>
      </c>
    </row>
    <row r="222" spans="1:1">
      <c r="A222" s="124" t="str">
        <f>"key_plasma_i="&amp;'DS Analysis'!$AQ$52</f>
        <v>key_plasma_i=0</v>
      </c>
    </row>
    <row r="223" spans="1:1">
      <c r="A223" s="124" t="str">
        <f>"key_rbc_i="&amp;'DS Analysis'!$AR$52</f>
        <v>key_rbc_i=0</v>
      </c>
    </row>
    <row r="224" spans="1:1">
      <c r="A224" s="124" t="str">
        <f>'DS Analysis'!BI16</f>
        <v>key_blood_type_i=0</v>
      </c>
    </row>
    <row r="225" spans="1:1">
      <c r="A225" s="124" t="str">
        <f>"key_time_i="&amp;MIN('Configs &amp; Procedures'!$G52,'Configs &amp; Procedures'!$H$20)</f>
        <v>key_time_i=150</v>
      </c>
    </row>
    <row r="227" spans="1:1">
      <c r="A227" s="124" t="str">
        <f>"key_platelet_j="&amp;'DS Analysis'!$AP$53</f>
        <v>key_platelet_j=0</v>
      </c>
    </row>
    <row r="228" spans="1:1">
      <c r="A228" s="1365" t="s">
        <v>1976</v>
      </c>
    </row>
    <row r="229" spans="1:1">
      <c r="A229" s="124" t="str">
        <f>"key_plasma_j="&amp;'DS Analysis'!$AQ$53</f>
        <v>key_plasma_j=0</v>
      </c>
    </row>
    <row r="230" spans="1:1">
      <c r="A230" s="124" t="str">
        <f>"key_rbc_j="&amp;'DS Analysis'!$AR$53</f>
        <v>key_rbc_j=0</v>
      </c>
    </row>
    <row r="231" spans="1:1">
      <c r="A231" s="124" t="str">
        <f>'DS Analysis'!BI17</f>
        <v>key_blood_type_j=0</v>
      </c>
    </row>
    <row r="232" spans="1:1">
      <c r="A232" s="124" t="str">
        <f>"key_time_j="&amp;MIN('Configs &amp; Procedures'!$G53,'Configs &amp; Procedures'!$H$20)</f>
        <v>key_time_j=150</v>
      </c>
    </row>
    <row r="234" spans="1:1">
      <c r="A234" s="124" t="str">
        <f>"key_platelet_k="&amp;'DS Analysis'!$AP$54</f>
        <v>key_platelet_k=0</v>
      </c>
    </row>
    <row r="235" spans="1:1">
      <c r="A235" s="1365" t="s">
        <v>1977</v>
      </c>
    </row>
    <row r="236" spans="1:1">
      <c r="A236" s="124" t="str">
        <f>"key_plasma_k="&amp;'DS Analysis'!$AQ$54</f>
        <v>key_plasma_k=0</v>
      </c>
    </row>
    <row r="237" spans="1:1">
      <c r="A237" s="124" t="str">
        <f>"key_rbc_k="&amp;'DS Analysis'!$AR$54</f>
        <v>key_rbc_k=0</v>
      </c>
    </row>
    <row r="238" spans="1:1">
      <c r="A238" s="124" t="str">
        <f>'DS Analysis'!BI18</f>
        <v>key_blood_type_k=0</v>
      </c>
    </row>
    <row r="239" spans="1:1">
      <c r="A239" s="124" t="str">
        <f>"key_time_k="&amp;MIN('Configs &amp; Procedures'!$G54,'Configs &amp; Procedures'!$H$20)</f>
        <v>key_time_k=150</v>
      </c>
    </row>
    <row r="241" spans="1:1">
      <c r="A241" s="124" t="str">
        <f>"key_platelet_l="&amp;'DS Analysis'!$AP$55</f>
        <v>key_platelet_l=0</v>
      </c>
    </row>
    <row r="242" spans="1:1">
      <c r="A242" s="1365" t="s">
        <v>1978</v>
      </c>
    </row>
    <row r="243" spans="1:1">
      <c r="A243" s="124" t="str">
        <f>"key_plasma_l="&amp;'DS Analysis'!$AQ$55</f>
        <v>key_plasma_l=0</v>
      </c>
    </row>
    <row r="244" spans="1:1">
      <c r="A244" s="124" t="str">
        <f>"key_rbc_l="&amp;'DS Analysis'!$AR$55</f>
        <v>key_rbc_l=0</v>
      </c>
    </row>
    <row r="245" spans="1:1">
      <c r="A245" s="124" t="str">
        <f>'DS Analysis'!BI19</f>
        <v>key_blood_type_l=0</v>
      </c>
    </row>
    <row r="246" spans="1:1">
      <c r="A246" s="124" t="str">
        <f>"key_time_l="&amp;MIN('Configs &amp; Procedures'!$G55,'Configs &amp; Procedures'!$H$20)</f>
        <v>key_time_l=150</v>
      </c>
    </row>
    <row r="248" spans="1:1">
      <c r="A248" s="124" t="str">
        <f>"key_platelet_m="&amp;'DS Analysis'!$AP$56</f>
        <v>key_platelet_m=0</v>
      </c>
    </row>
    <row r="249" spans="1:1">
      <c r="A249" s="1365" t="s">
        <v>1979</v>
      </c>
    </row>
    <row r="250" spans="1:1">
      <c r="A250" s="124" t="str">
        <f>"key_plasma_m="&amp;'DS Analysis'!$AQ$56</f>
        <v>key_plasma_m=0</v>
      </c>
    </row>
    <row r="251" spans="1:1">
      <c r="A251" s="124" t="str">
        <f>"key_rbc_m="&amp;'DS Analysis'!$AR$56</f>
        <v>key_rbc_m=0</v>
      </c>
    </row>
    <row r="252" spans="1:1">
      <c r="A252" s="124" t="str">
        <f>'DS Analysis'!BI20</f>
        <v>key_blood_type_m=0</v>
      </c>
    </row>
    <row r="253" spans="1:1">
      <c r="A253" s="124" t="str">
        <f>"key_time_m="&amp;MIN('Configs &amp; Procedures'!$G56,'Configs &amp; Procedures'!$H$20)</f>
        <v>key_time_m=150</v>
      </c>
    </row>
    <row r="255" spans="1:1">
      <c r="A255" s="124" t="str">
        <f>"key_platelet_n="&amp;'DS Analysis'!$AP$57</f>
        <v>key_platelet_n=0</v>
      </c>
    </row>
    <row r="256" spans="1:1">
      <c r="A256" s="1365" t="s">
        <v>1980</v>
      </c>
    </row>
    <row r="257" spans="1:1">
      <c r="A257" s="124" t="str">
        <f>"key_plasma_n="&amp;'DS Analysis'!$AQ$57</f>
        <v>key_plasma_n=0</v>
      </c>
    </row>
    <row r="258" spans="1:1">
      <c r="A258" s="124" t="str">
        <f>"key_rbc_n="&amp;'DS Analysis'!$AR$57</f>
        <v>key_rbc_n=0</v>
      </c>
    </row>
    <row r="259" spans="1:1">
      <c r="A259" s="124" t="str">
        <f>'DS Analysis'!BI21</f>
        <v>key_blood_type_n=0</v>
      </c>
    </row>
    <row r="260" spans="1:1">
      <c r="A260" s="124" t="str">
        <f>"key_time_n="&amp;MIN('Configs &amp; Procedures'!$G57,'Configs &amp; Procedures'!$H$20)</f>
        <v>key_time_n=150</v>
      </c>
    </row>
    <row r="262" spans="1:1">
      <c r="A262" s="124" t="str">
        <f>"key_platelet_o="&amp;'DS Analysis'!$AP$58</f>
        <v>key_platelet_o=0</v>
      </c>
    </row>
    <row r="263" spans="1:1">
      <c r="A263" s="1365" t="s">
        <v>1981</v>
      </c>
    </row>
    <row r="264" spans="1:1">
      <c r="A264" s="124" t="str">
        <f>"key_plasma_o="&amp;'DS Analysis'!$AQ$58</f>
        <v>key_plasma_o=0</v>
      </c>
    </row>
    <row r="265" spans="1:1">
      <c r="A265" s="124" t="str">
        <f>"key_rbc_o="&amp;'DS Analysis'!$AR$58</f>
        <v>key_rbc_o=0</v>
      </c>
    </row>
    <row r="266" spans="1:1">
      <c r="A266" s="124" t="str">
        <f>'DS Analysis'!BI22</f>
        <v>key_blood_type_o=0</v>
      </c>
    </row>
    <row r="267" spans="1:1">
      <c r="A267" s="124" t="str">
        <f>"key_time_o="&amp;MIN('Configs &amp; Procedures'!$G58,'Configs &amp; Procedures'!$H$20)</f>
        <v>key_time_o=150</v>
      </c>
    </row>
    <row r="269" spans="1:1">
      <c r="A269" s="124" t="str">
        <f>"key_platelet_p="&amp;'DS Analysis'!$AP$59</f>
        <v>key_platelet_p=0</v>
      </c>
    </row>
    <row r="270" spans="1:1">
      <c r="A270" s="1365" t="s">
        <v>1982</v>
      </c>
    </row>
    <row r="271" spans="1:1">
      <c r="A271" s="124" t="str">
        <f>"key_plasma_p="&amp;'DS Analysis'!$AQ$59</f>
        <v>key_plasma_p=0</v>
      </c>
    </row>
    <row r="272" spans="1:1">
      <c r="A272" s="124" t="str">
        <f>"key_rbc_p="&amp;'DS Analysis'!$AR$59</f>
        <v>key_rbc_p=0</v>
      </c>
    </row>
    <row r="273" spans="1:1">
      <c r="A273" s="124" t="str">
        <f>'DS Analysis'!BI23</f>
        <v>key_blood_type_p=0</v>
      </c>
    </row>
    <row r="274" spans="1:1">
      <c r="A274" s="124" t="str">
        <f>"key_time_p="&amp;MIN('Configs &amp; Procedures'!$G59,'Configs &amp; Procedures'!$H$20)</f>
        <v>key_time_p=150</v>
      </c>
    </row>
    <row r="276" spans="1:1">
      <c r="A276" s="124" t="str">
        <f>"key_platelet_q="&amp;'DS Analysis'!$AP$60</f>
        <v>key_platelet_q=0</v>
      </c>
    </row>
    <row r="277" spans="1:1">
      <c r="A277" s="1365" t="s">
        <v>1983</v>
      </c>
    </row>
    <row r="278" spans="1:1">
      <c r="A278" s="124" t="str">
        <f>"key_plasma_q="&amp;'DS Analysis'!$AQ$60</f>
        <v>key_plasma_q=0</v>
      </c>
    </row>
    <row r="279" spans="1:1">
      <c r="A279" s="124" t="str">
        <f>"key_rbc_q="&amp;'DS Analysis'!$AR$60</f>
        <v>key_rbc_q=0</v>
      </c>
    </row>
    <row r="280" spans="1:1">
      <c r="A280" s="124" t="str">
        <f>'DS Analysis'!BI24</f>
        <v>key_blood_type_q=0</v>
      </c>
    </row>
    <row r="281" spans="1:1">
      <c r="A281" s="124" t="str">
        <f>"key_time_q="&amp;MIN('Configs &amp; Procedures'!$G60,'Configs &amp; Procedures'!$H$20)</f>
        <v>key_time_q=150</v>
      </c>
    </row>
    <row r="283" spans="1:1">
      <c r="A283" s="124" t="str">
        <f>"key_platelet_r="&amp;'DS Analysis'!$AP$61</f>
        <v>key_platelet_r=0</v>
      </c>
    </row>
    <row r="284" spans="1:1">
      <c r="A284" s="1365" t="s">
        <v>1984</v>
      </c>
    </row>
    <row r="285" spans="1:1">
      <c r="A285" s="124" t="str">
        <f>"key_plasma_r="&amp;'DS Analysis'!$AQ$61</f>
        <v>key_plasma_r=0</v>
      </c>
    </row>
    <row r="286" spans="1:1">
      <c r="A286" s="124" t="str">
        <f>"key_rbc_r="&amp;'DS Analysis'!$AR$61</f>
        <v>key_rbc_r=0</v>
      </c>
    </row>
    <row r="287" spans="1:1">
      <c r="A287" s="124" t="str">
        <f>'DS Analysis'!BI25</f>
        <v>key_blood_type_r=0</v>
      </c>
    </row>
    <row r="288" spans="1:1">
      <c r="A288" s="124" t="str">
        <f>"key_time_r="&amp;MIN('Configs &amp; Procedures'!$G61,'Configs &amp; Procedures'!$H$20)</f>
        <v>key_time_r=150</v>
      </c>
    </row>
    <row r="290" spans="1:1">
      <c r="A290" s="124" t="str">
        <f>"key_platelet_s="&amp;'DS Analysis'!$AP$62</f>
        <v>key_platelet_s=0</v>
      </c>
    </row>
    <row r="291" spans="1:1">
      <c r="A291" s="1365" t="s">
        <v>1985</v>
      </c>
    </row>
    <row r="292" spans="1:1">
      <c r="A292" s="124" t="str">
        <f>"key_plasma_s="&amp;'DS Analysis'!$AQ$62</f>
        <v>key_plasma_s=0</v>
      </c>
    </row>
    <row r="293" spans="1:1">
      <c r="A293" s="124" t="str">
        <f>"key_rbc_s="&amp;'DS Analysis'!$AR$62</f>
        <v>key_rbc_s=0</v>
      </c>
    </row>
    <row r="294" spans="1:1">
      <c r="A294" s="124" t="str">
        <f>'DS Analysis'!BI26</f>
        <v>key_blood_type_s=0</v>
      </c>
    </row>
    <row r="295" spans="1:1">
      <c r="A295" s="124" t="str">
        <f>"key_time_s="&amp;MIN('Configs &amp; Procedures'!$G62,'Configs &amp; Procedures'!$H$20)</f>
        <v>key_time_s=150</v>
      </c>
    </row>
    <row r="297" spans="1:1">
      <c r="A297" s="124" t="str">
        <f>"key_platelet_t="&amp;'DS Analysis'!$AP$63</f>
        <v>key_platelet_t=0</v>
      </c>
    </row>
    <row r="298" spans="1:1">
      <c r="A298" s="1365" t="s">
        <v>1986</v>
      </c>
    </row>
    <row r="299" spans="1:1">
      <c r="A299" s="124" t="str">
        <f>"key_plasma_t="&amp;'DS Analysis'!$AQ$63</f>
        <v>key_plasma_t=0</v>
      </c>
    </row>
    <row r="300" spans="1:1">
      <c r="A300" s="124" t="str">
        <f>"key_rbc_t="&amp;'DS Analysis'!$AR$63</f>
        <v>key_rbc_t=0</v>
      </c>
    </row>
    <row r="301" spans="1:1">
      <c r="A301" s="124" t="str">
        <f>'DS Analysis'!BI27</f>
        <v>key_blood_type_t=0</v>
      </c>
    </row>
    <row r="302" spans="1:1">
      <c r="A302" s="124" t="str">
        <f>"key_time_t="&amp;MIN('Configs &amp; Procedures'!$G63,'Configs &amp; Procedures'!$H$20)</f>
        <v>key_time_t=150</v>
      </c>
    </row>
    <row r="304" spans="1:1">
      <c r="A304" s="1170" t="s">
        <v>160</v>
      </c>
    </row>
    <row r="305" spans="1:1">
      <c r="A305" s="1170" t="s">
        <v>161</v>
      </c>
    </row>
    <row r="306" spans="1:1">
      <c r="A306" s="1170" t="s">
        <v>162</v>
      </c>
    </row>
    <row r="307" spans="1:1">
      <c r="A307" s="1170" t="s">
        <v>163</v>
      </c>
    </row>
    <row r="308" spans="1:1">
      <c r="A308" s="1170" t="s">
        <v>164</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sheetPr codeName="Sheet17"/>
  <dimension ref="A1:A276"/>
  <sheetViews>
    <sheetView topLeftCell="A61" zoomScale="110" zoomScaleNormal="110" workbookViewId="0">
      <selection activeCell="A83" sqref="A83"/>
    </sheetView>
  </sheetViews>
  <sheetFormatPr defaultRowHeight="15"/>
  <cols>
    <col min="1" max="1" width="75.85546875" bestFit="1" customWidth="1"/>
  </cols>
  <sheetData>
    <row r="1" spans="1:1">
      <c r="A1" t="s">
        <v>100</v>
      </c>
    </row>
    <row r="2" spans="1:1">
      <c r="A2" t="s">
        <v>101</v>
      </c>
    </row>
    <row r="3" spans="1:1">
      <c r="A3" t="s">
        <v>102</v>
      </c>
    </row>
    <row r="4" spans="1:1">
      <c r="A4" t="s">
        <v>103</v>
      </c>
    </row>
    <row r="5" spans="1:1">
      <c r="A5" t="s">
        <v>104</v>
      </c>
    </row>
    <row r="6" spans="1:1">
      <c r="A6" t="s">
        <v>105</v>
      </c>
    </row>
    <row r="7" spans="1:1">
      <c r="A7" t="s">
        <v>106</v>
      </c>
    </row>
    <row r="8" spans="1:1">
      <c r="A8" t="s">
        <v>107</v>
      </c>
    </row>
    <row r="10" spans="1:1">
      <c r="A10" t="s">
        <v>108</v>
      </c>
    </row>
    <row r="11" spans="1:1">
      <c r="A11" s="124" t="str">
        <f>"key_proc_time=" &amp;'Configs &amp; Procedures'!H20</f>
        <v>key_proc_time=150</v>
      </c>
    </row>
    <row r="12" spans="1:1">
      <c r="A12" t="s">
        <v>109</v>
      </c>
    </row>
    <row r="13" spans="1:1">
      <c r="A13" t="s">
        <v>110</v>
      </c>
    </row>
    <row r="14" spans="1:1">
      <c r="A14" s="124" t="str">
        <f>"key_custom_ratio="&amp;'Configs &amp; Procedures'!H26</f>
        <v>key_custom_ratio=13</v>
      </c>
    </row>
    <row r="15" spans="1:1">
      <c r="A15" s="124" t="str">
        <f>"key_ac_rate=" &amp;'Configs &amp; Procedures'!H25</f>
        <v>key_ac_rate=1</v>
      </c>
    </row>
    <row r="16" spans="1:1">
      <c r="A16" s="124" t="str">
        <f>"key_post_crit=" &amp;'Configs &amp; Procedures'!H16</f>
        <v>key_post_crit=32</v>
      </c>
    </row>
    <row r="17" spans="1:1">
      <c r="A17" s="124" t="str">
        <f>"key_tbv_vol_setting="&amp;IF('Configs &amp; Procedures'!$L$11="YES",1)+IF('Configs &amp; Procedures'!$L$13="YES",4)+IF('Configs &amp; Procedures'!$L$15&lt;&gt;"NO",2)+IF('Configs &amp; Procedures'!$L$32="YES",8)</f>
        <v>key_tbv_vol_setting=1</v>
      </c>
    </row>
    <row r="18" spans="1:1">
      <c r="A18" s="124" t="str">
        <f>"key_tbv_percent="&amp;'Configs &amp; Procedures'!$L$12</f>
        <v>key_tbv_percent=12</v>
      </c>
    </row>
    <row r="19" spans="1:1">
      <c r="A19" s="124" t="str">
        <f>"key_weight_1_setting="&amp;IF('Configs &amp; Procedures'!$L$15="YES-JAPAN",'Configs &amp; Procedures'!$AG$11*2.20462262,'Configs &amp; Procedures'!$AC$22)</f>
        <v>key_weight_1_setting=385.8089585</v>
      </c>
    </row>
    <row r="20" spans="1:1">
      <c r="A20" s="124" t="str">
        <f>"key_weight_2_setting="&amp;IF('Configs &amp; Procedures'!$L$15="YES-JAPAN",'Configs &amp; Procedures'!$AG$13*2.20462262,'Configs &amp; Procedures'!$AC$22)</f>
        <v>key_weight_2_setting=385.8089585</v>
      </c>
    </row>
    <row r="21" spans="1:1">
      <c r="A21" s="124" t="str">
        <f>"key_weight_3_setting="&amp;IF('Configs &amp; Procedures'!$L$15="YES-JAPAN",'Configs &amp; Procedures'!$AG$15*2.20462262,'Configs &amp; Procedures'!$AC$22)</f>
        <v>key_weight_3_setting=385.8089585</v>
      </c>
    </row>
    <row r="22" spans="1:1">
      <c r="A22" s="124" t="str">
        <f>"key_weight_1_less_than_vol="&amp;IF('Configs &amp; Procedures'!$L$15="YES-JAPAN",'Configs &amp; Procedures'!$AH$10,'Configs &amp; Procedures'!$L$16)</f>
        <v>key_weight_1_less_than_vol=500</v>
      </c>
    </row>
    <row r="23" spans="1:1">
      <c r="A23" s="124" t="str">
        <f>"key_weight_2_less_than_vol="&amp;IF('Configs &amp; Procedures'!$L$15="YES-JAPAN",'Configs &amp; Procedures'!$AH$12,'Configs &amp; Procedures'!$L$16)</f>
        <v>key_weight_2_less_than_vol=500</v>
      </c>
    </row>
    <row r="24" spans="1:1">
      <c r="A24" s="124" t="str">
        <f>"key_weight_3_less_than_vol="&amp;IF('Configs &amp; Procedures'!$L$15="YES-JAPAN",'Configs &amp; Procedures'!$AH$14,'Configs &amp; Procedures'!$L$16)</f>
        <v>key_weight_3_less_than_vol=500</v>
      </c>
    </row>
    <row r="25" spans="1:1">
      <c r="A25" s="124" t="str">
        <f>"key_weight_3_greater_than_vol="&amp;IF('Configs &amp; Procedures'!$L$15="YES-JAPAN",'Configs &amp; Procedures'!$AH$16,'Configs &amp; Procedures'!$L$17)</f>
        <v>key_weight_3_greater_than_vol=600</v>
      </c>
    </row>
    <row r="26" spans="1:1">
      <c r="A26" s="124" t="str">
        <f>"key_ml_per_kg="&amp;'Configs &amp; Procedures'!$L$14</f>
        <v>key_ml_per_kg=10.5</v>
      </c>
    </row>
    <row r="27" spans="1:1">
      <c r="A27" s="124" t="str">
        <f>"key_drbc_body_vol=" &amp;'Configs &amp; Procedures'!L33</f>
        <v>key_drbc_body_vol=3.9</v>
      </c>
    </row>
    <row r="28" spans="1:1">
      <c r="A28" s="124" t="str">
        <f>"key_post_plat=" &amp;'Configs &amp; Procedures'!H14* 1000</f>
        <v>key_post_plat=100000</v>
      </c>
    </row>
    <row r="29" spans="1:1">
      <c r="A29" s="124" t="str">
        <f>"key_max_draw_flow="&amp;IF('Configs &amp; Procedures'!$H$28="FAST",2,IF('Configs &amp; Procedures'!$H$28="MODERATE",1,IF('Configs &amp; Procedures'!$H$28="SLOW",0)))</f>
        <v>key_max_draw_flow=0</v>
      </c>
    </row>
    <row r="30" spans="1:1">
      <c r="A30" s="124" t="str">
        <f>"key_min_replacement_volume="&amp;'Configs &amp; Procedures'!$H$19</f>
        <v>key_min_replacement_volume=250</v>
      </c>
    </row>
    <row r="31" spans="1:1">
      <c r="A31" t="s">
        <v>112</v>
      </c>
    </row>
    <row r="32" spans="1:1">
      <c r="A32" t="s">
        <v>113</v>
      </c>
    </row>
    <row r="33" spans="1:1">
      <c r="A33" t="s">
        <v>114</v>
      </c>
    </row>
    <row r="34" spans="1:1">
      <c r="A34" t="s">
        <v>115</v>
      </c>
    </row>
    <row r="35" spans="1:1">
      <c r="A35" t="str">
        <f>"key_drbc_threshold=300"</f>
        <v>key_drbc_threshold=300</v>
      </c>
    </row>
    <row r="36" spans="1:1">
      <c r="A36" s="124" t="str">
        <f>"key_plasma_rinseback="&amp;IF('Configs &amp; Procedures'!L35="YES",1,0)</f>
        <v>key_plasma_rinseback=0</v>
      </c>
    </row>
    <row r="37" spans="1:1">
      <c r="A37" s="124" t="str">
        <f>"key_saline_rinseback="&amp;IF('Configs &amp; Procedures'!L36="YES",1,0)</f>
        <v>key_saline_rinseback=0</v>
      </c>
    </row>
    <row r="38" spans="1:1">
      <c r="A38" t="s">
        <v>116</v>
      </c>
    </row>
    <row r="39" spans="1:1">
      <c r="A39" t="s">
        <v>117</v>
      </c>
    </row>
    <row r="40" spans="1:1">
      <c r="A40" t="s">
        <v>118</v>
      </c>
    </row>
    <row r="41" spans="1:1">
      <c r="A41" t="s">
        <v>119</v>
      </c>
    </row>
    <row r="42" spans="1:1">
      <c r="A42" t="s">
        <v>120</v>
      </c>
    </row>
    <row r="43" spans="1:1">
      <c r="A43" t="s">
        <v>121</v>
      </c>
    </row>
    <row r="44" spans="1:1">
      <c r="A44" t="s">
        <v>1243</v>
      </c>
    </row>
    <row r="45" spans="1:1">
      <c r="A45" t="s">
        <v>1244</v>
      </c>
    </row>
    <row r="47" spans="1:1">
      <c r="A47" t="s">
        <v>122</v>
      </c>
    </row>
    <row r="48" spans="1:1">
      <c r="A48" s="124" t="str">
        <f>"key_rbc_ratio=" &amp;IF('Configs &amp; Procedures'!H27=11,1,IF('Configs &amp; Procedures'!H27=8.14,0,IF('Configs &amp; Procedures'!H27=13.7,2,"")))</f>
        <v>key_rbc_ratio=1</v>
      </c>
    </row>
    <row r="49" spans="1:1">
      <c r="A49" s="124" t="str">
        <f>"key_rbc_replace_fluid="&amp; IF('Configs &amp; Procedures'!$H$17="YES",1,0)</f>
        <v>key_rbc_replace_fluid=0</v>
      </c>
    </row>
    <row r="50" spans="1:1">
      <c r="A50" s="124" t="str">
        <f>"key_rbc_fluid_percent=" &amp;'Configs &amp; Procedures'!H18</f>
        <v>key_rbc_fluid_percent=100</v>
      </c>
    </row>
    <row r="51" spans="1:1">
      <c r="A51" s="124" t="str">
        <f>"key_pls_amap_minimum="&amp;'Configs &amp; Procedures'!L23</f>
        <v>key_pls_amap_minimum=200</v>
      </c>
    </row>
    <row r="52" spans="1:1">
      <c r="A52" s="124" t="str">
        <f>"key_pls_amap_maximum=" &amp;'Configs &amp; Procedures'!M23</f>
        <v>key_pls_amap_maximum=1000</v>
      </c>
    </row>
    <row r="53" spans="1:1">
      <c r="A53" s="124" t="str">
        <f>"key_ysf=" &amp; 'Configs &amp; Procedures'!L24</f>
        <v>key_ysf=1</v>
      </c>
    </row>
    <row r="54" spans="1:1">
      <c r="A54" t="s">
        <v>123</v>
      </c>
    </row>
    <row r="55" spans="1:1">
      <c r="A55" t="s">
        <v>124</v>
      </c>
    </row>
    <row r="56" spans="1:1">
      <c r="A56" t="s">
        <v>125</v>
      </c>
    </row>
    <row r="57" spans="1:1">
      <c r="A57" s="124" t="str">
        <f>"key_inlet_flow_ramp="&amp;IF('Configs &amp; Procedures'!H31="YES",1,0)</f>
        <v>key_inlet_flow_ramp=1</v>
      </c>
    </row>
    <row r="58" spans="1:1">
      <c r="A58" s="124" t="str">
        <f>"key_inlet_management="&amp;'Configs &amp; Procedures'!H29</f>
        <v>key_inlet_management=1</v>
      </c>
    </row>
    <row r="59" spans="1:1">
      <c r="A59" s="124" t="str">
        <f>"key_return_management="&amp;'Configs &amp; Procedures'!H30</f>
        <v>key_return_management=1</v>
      </c>
    </row>
    <row r="60" spans="1:1">
      <c r="A60" s="124" t="str">
        <f>"key_rsf="&amp;'Configs &amp; Procedures'!L26</f>
        <v>key_rsf=1</v>
      </c>
    </row>
    <row r="61" spans="1:1">
      <c r="A61" s="124" t="str">
        <f>"key_male_only_plt="&amp;IF('Configs &amp; Procedures'!$H$22="NO",2,IF('Configs &amp; Procedures'!$H$22="Male/AB Female",1,0))</f>
        <v>key_male_only_plt=2</v>
      </c>
    </row>
    <row r="62" spans="1:1">
      <c r="A62" s="124" t="str">
        <f>"key_male_only_plasma="&amp;IF('Configs &amp; Procedures'!$H$22="NO",2,IF('Configs &amp; Procedures'!$H$22="Male/AB Female",1,0))</f>
        <v>key_male_only_plasma=2</v>
      </c>
    </row>
    <row r="63" spans="1:1">
      <c r="A63" s="485" t="s">
        <v>1048</v>
      </c>
    </row>
    <row r="64" spans="1:1">
      <c r="A64" t="s">
        <v>126</v>
      </c>
    </row>
    <row r="65" spans="1:1">
      <c r="A65" s="124" t="str">
        <f>"key_rbc_crit_1="&amp;'Configs &amp; Procedures'!L22</f>
        <v>key_rbc_crit_1=80</v>
      </c>
    </row>
    <row r="66" spans="1:1">
      <c r="A66" s="124" t="str">
        <f>"key_rbc_dose_1="&amp;'DS Analysis'!$AX$44</f>
        <v>key_rbc_dose_1=180</v>
      </c>
    </row>
    <row r="67" spans="1:1">
      <c r="A67" s="124" t="str">
        <f>"key_rbc_mss_1="&amp;IF('Configs &amp; Procedures'!$L$34="YES",1,0)</f>
        <v>key_rbc_mss_1=0</v>
      </c>
    </row>
    <row r="68" spans="1:1">
      <c r="A68" t="s">
        <v>127</v>
      </c>
    </row>
    <row r="69" spans="1:1">
      <c r="A69" s="485" t="str">
        <f>"#key_rbc_ptf_1="&amp;IF('Configs &amp; Procedures'!$L$34="YES",1,0)  &amp; "These aren't used?"</f>
        <v>#key_rbc_ptf_1=0These aren't used?</v>
      </c>
    </row>
    <row r="71" spans="1:1">
      <c r="A71" s="124" t="str">
        <f>"key_rbc_crit_2="&amp;'Configs &amp; Procedures'!L22</f>
        <v>key_rbc_crit_2=80</v>
      </c>
    </row>
    <row r="72" spans="1:1">
      <c r="A72" s="124" t="str">
        <f>"key_rbc_dose_2="&amp;'DS Analysis'!$AX$45</f>
        <v>key_rbc_dose_2=360</v>
      </c>
    </row>
    <row r="73" spans="1:1">
      <c r="A73" s="124" t="str">
        <f>"key_rbc_mss_2="&amp;IF('Configs &amp; Procedures'!$L$34="YES",1,0)</f>
        <v>key_rbc_mss_2=0</v>
      </c>
    </row>
    <row r="74" spans="1:1">
      <c r="A74" t="s">
        <v>128</v>
      </c>
    </row>
    <row r="75" spans="1:1">
      <c r="A75" s="485" t="str">
        <f>"#key_rbc_ptf_2="&amp;IF('Configs &amp; Procedures'!L34="YES",1,0)</f>
        <v>#key_rbc_ptf_2=0</v>
      </c>
    </row>
    <row r="77" spans="1:1">
      <c r="A77" s="124" t="str">
        <f>"key_rbc_crit_3="&amp;'Configs &amp; Procedures'!L22</f>
        <v>key_rbc_crit_3=80</v>
      </c>
    </row>
    <row r="78" spans="1:1">
      <c r="A78" s="124" t="str">
        <f>"key_rbc_dose_3="&amp;'DS Analysis'!$AX$46</f>
        <v>key_rbc_dose_3=0</v>
      </c>
    </row>
    <row r="79" spans="1:1">
      <c r="A79" s="124" t="str">
        <f>"key_rbc_mss_3="&amp;IF('Configs &amp; Procedures'!$L$34="YES",1,0)</f>
        <v>key_rbc_mss_3=0</v>
      </c>
    </row>
    <row r="80" spans="1:1">
      <c r="A80" t="s">
        <v>129</v>
      </c>
    </row>
    <row r="81" spans="1:1">
      <c r="A81" s="485" t="str">
        <f>"#key_rbc_ptf_3="&amp;IF('Configs &amp; Procedures'!L34="YES",1,0)</f>
        <v>#key_rbc_ptf_3=0</v>
      </c>
    </row>
    <row r="83" spans="1:1">
      <c r="A83" s="124" t="str">
        <f>"key_plt_yield_1="&amp;'DS Analysis'!$AU$44</f>
        <v>key_plt_yield_1=2.5</v>
      </c>
    </row>
    <row r="84" spans="1:1">
      <c r="A84" s="124" t="str">
        <f>"key_plt_volume_1="&amp;'DS Analysis'!$AV$44</f>
        <v>key_plt_volume_1=161</v>
      </c>
    </row>
    <row r="85" spans="1:1">
      <c r="A85" t="s">
        <v>130</v>
      </c>
    </row>
    <row r="86" spans="1:1">
      <c r="A86" t="s">
        <v>131</v>
      </c>
    </row>
    <row r="88" spans="1:1">
      <c r="A88" s="124" t="str">
        <f>"key_plt_yield_2="&amp;'DS Analysis'!$AU$45</f>
        <v>key_plt_yield_2=3.2</v>
      </c>
    </row>
    <row r="89" spans="1:1">
      <c r="A89" s="124" t="str">
        <f>"key_plt_volume_2="&amp;'DS Analysis'!$AV$45</f>
        <v>key_plt_volume_2=206</v>
      </c>
    </row>
    <row r="90" spans="1:1">
      <c r="A90" t="s">
        <v>132</v>
      </c>
    </row>
    <row r="91" spans="1:1">
      <c r="A91" t="s">
        <v>133</v>
      </c>
    </row>
    <row r="93" spans="1:1">
      <c r="A93" s="124" t="str">
        <f>"key_plt_yield_3="&amp;'DS Analysis'!$AU$46</f>
        <v>key_plt_yield_3=4</v>
      </c>
    </row>
    <row r="94" spans="1:1">
      <c r="A94" s="124" t="str">
        <f>"key_plt_volume_3="&amp;'DS Analysis'!$AV$46</f>
        <v>key_plt_volume_3=258</v>
      </c>
    </row>
    <row r="95" spans="1:1">
      <c r="A95" t="s">
        <v>134</v>
      </c>
    </row>
    <row r="96" spans="1:1">
      <c r="A96" t="s">
        <v>135</v>
      </c>
    </row>
    <row r="98" spans="1:1">
      <c r="A98" s="124" t="str">
        <f>"key_plt_yield_4="&amp;'DS Analysis'!$AU$47</f>
        <v>key_plt_yield_4=5.5</v>
      </c>
    </row>
    <row r="99" spans="1:1">
      <c r="A99" s="124" t="str">
        <f>"key_plt_volume_4="&amp;'DS Analysis'!$AV$47</f>
        <v>key_plt_volume_4=355</v>
      </c>
    </row>
    <row r="100" spans="1:1">
      <c r="A100" t="s">
        <v>136</v>
      </c>
    </row>
    <row r="101" spans="1:1">
      <c r="A101" t="s">
        <v>137</v>
      </c>
    </row>
    <row r="103" spans="1:1">
      <c r="A103" s="124" t="str">
        <f>"key_plt_yield_5="&amp;'DS Analysis'!$AU$48</f>
        <v>key_plt_yield_5=9.6</v>
      </c>
    </row>
    <row r="104" spans="1:1">
      <c r="A104" s="124" t="str">
        <f>"key_plt_volume_5="&amp;'DS Analysis'!$AV$48</f>
        <v>key_plt_volume_5=619</v>
      </c>
    </row>
    <row r="105" spans="1:1">
      <c r="A105" t="s">
        <v>138</v>
      </c>
    </row>
    <row r="106" spans="1:1">
      <c r="A106" t="s">
        <v>139</v>
      </c>
    </row>
    <row r="108" spans="1:1">
      <c r="A108" s="124" t="str">
        <f>"key_plt_yield_6="&amp;'DS Analysis'!$AU$49</f>
        <v>key_plt_yield_6=11</v>
      </c>
    </row>
    <row r="109" spans="1:1">
      <c r="A109" s="124" t="str">
        <f>"key_plt_volume_6="&amp;'DS Analysis'!$AV$49</f>
        <v>key_plt_volume_6=710</v>
      </c>
    </row>
    <row r="110" spans="1:1">
      <c r="A110" t="s">
        <v>140</v>
      </c>
    </row>
    <row r="111" spans="1:1">
      <c r="A111" t="s">
        <v>141</v>
      </c>
    </row>
    <row r="113" spans="1:1">
      <c r="A113" s="124" t="str">
        <f>"key_plt_yield_7="&amp;'DS Analysis'!$AU$50</f>
        <v>key_plt_yield_7=0</v>
      </c>
    </row>
    <row r="114" spans="1:1">
      <c r="A114" s="124" t="str">
        <f>"key_plt_volume_7="&amp;'DS Analysis'!$AV$50</f>
        <v>key_plt_volume_7=0</v>
      </c>
    </row>
    <row r="115" spans="1:1">
      <c r="A115" t="s">
        <v>142</v>
      </c>
    </row>
    <row r="116" spans="1:1">
      <c r="A116" t="s">
        <v>143</v>
      </c>
    </row>
    <row r="118" spans="1:1">
      <c r="A118" s="124" t="str">
        <f>"key_plt_yield_8="&amp;'DS Analysis'!$AU$51</f>
        <v>key_plt_yield_8=0</v>
      </c>
    </row>
    <row r="119" spans="1:1">
      <c r="A119" s="124" t="str">
        <f>"key_plt_volume_8="&amp;'DS Analysis'!$AV$51</f>
        <v>key_plt_volume_8=0</v>
      </c>
    </row>
    <row r="120" spans="1:1">
      <c r="A120" t="s">
        <v>144</v>
      </c>
    </row>
    <row r="121" spans="1:1">
      <c r="A121" t="s">
        <v>145</v>
      </c>
    </row>
    <row r="123" spans="1:1">
      <c r="A123" s="124" t="str">
        <f>"key_plt_yield_9="&amp;'DS Analysis'!$AU$52</f>
        <v>key_plt_yield_9=0</v>
      </c>
    </row>
    <row r="124" spans="1:1">
      <c r="A124" s="124" t="str">
        <f>"key_plt_volume_9="&amp;'DS Analysis'!$AV$52</f>
        <v>key_plt_volume_9=0</v>
      </c>
    </row>
    <row r="125" spans="1:1">
      <c r="A125" t="s">
        <v>146</v>
      </c>
    </row>
    <row r="126" spans="1:1">
      <c r="A126" t="s">
        <v>147</v>
      </c>
    </row>
    <row r="128" spans="1:1">
      <c r="A128" s="124" t="str">
        <f>"key_plt_yield_10="&amp;'DS Analysis'!$AU$53</f>
        <v>key_plt_yield_10=0</v>
      </c>
    </row>
    <row r="129" spans="1:1">
      <c r="A129" s="124" t="str">
        <f>"key_plt_volume_10="&amp;'DS Analysis'!$AV$53</f>
        <v>key_plt_volume_10=0</v>
      </c>
    </row>
    <row r="130" spans="1:1">
      <c r="A130" t="s">
        <v>148</v>
      </c>
    </row>
    <row r="131" spans="1:1">
      <c r="A131" t="s">
        <v>149</v>
      </c>
    </row>
    <row r="133" spans="1:1">
      <c r="A133" s="124" t="str">
        <f>"key_pls_volume_1="&amp;'DS Analysis'!$AW$44</f>
        <v>key_pls_volume_1=250</v>
      </c>
    </row>
    <row r="134" spans="1:1">
      <c r="A134" s="124" t="str">
        <f>"key_pls_volume_2="&amp;'DS Analysis'!$AW$45</f>
        <v>key_pls_volume_2=300</v>
      </c>
    </row>
    <row r="135" spans="1:1">
      <c r="A135" s="124" t="str">
        <f>"key_pls_volume_3="&amp;'DS Analysis'!$AW$46</f>
        <v>key_pls_volume_3=350</v>
      </c>
    </row>
    <row r="136" spans="1:1">
      <c r="A136" s="124" t="str">
        <f>"key_pls_volume_4="&amp;'DS Analysis'!$AW$47</f>
        <v>key_pls_volume_4=400</v>
      </c>
    </row>
    <row r="137" spans="1:1">
      <c r="A137" s="124" t="str">
        <f>"key_pls_volume_5="&amp;'DS Analysis'!$AW$48</f>
        <v>key_pls_volume_5=450</v>
      </c>
    </row>
    <row r="138" spans="1:1">
      <c r="A138" s="124" t="str">
        <f>"key_pls_volume_6="&amp;'DS Analysis'!$AW$49</f>
        <v>key_pls_volume_6=500</v>
      </c>
    </row>
    <row r="140" spans="1:1">
      <c r="A140" t="s">
        <v>150</v>
      </c>
    </row>
    <row r="141" spans="1:1">
      <c r="A141" t="s">
        <v>150</v>
      </c>
    </row>
    <row r="142" spans="1:1">
      <c r="A142" t="s">
        <v>151</v>
      </c>
    </row>
    <row r="143" spans="1:1">
      <c r="A143" t="s">
        <v>152</v>
      </c>
    </row>
    <row r="144" spans="1:1">
      <c r="A144" s="450" t="s">
        <v>153</v>
      </c>
    </row>
    <row r="145" spans="1:1">
      <c r="A145" t="s">
        <v>154</v>
      </c>
    </row>
    <row r="146" spans="1:1">
      <c r="A146" t="s">
        <v>155</v>
      </c>
    </row>
    <row r="147" spans="1:1">
      <c r="A147" t="s">
        <v>156</v>
      </c>
    </row>
    <row r="148" spans="1:1">
      <c r="A148" t="s">
        <v>157</v>
      </c>
    </row>
    <row r="149" spans="1:1">
      <c r="A149" t="s">
        <v>158</v>
      </c>
    </row>
    <row r="150" spans="1:1">
      <c r="A150" t="s">
        <v>150</v>
      </c>
    </row>
    <row r="151" spans="1:1">
      <c r="A151" t="s">
        <v>159</v>
      </c>
    </row>
    <row r="152" spans="1:1">
      <c r="A152" s="124" t="str">
        <f>"key_platelet_a="&amp;'DS Analysis'!$AP$44</f>
        <v>key_platelet_a=0</v>
      </c>
    </row>
    <row r="153" spans="1:1">
      <c r="A153" s="124" t="str">
        <f>"key_plasma_a="&amp;'DS Analysis'!$AQ$44</f>
        <v>key_plasma_a=7</v>
      </c>
    </row>
    <row r="154" spans="1:1">
      <c r="A154" s="124" t="str">
        <f>"key_rbc_a="&amp;'DS Analysis'!$AR$44</f>
        <v>key_rbc_a=0</v>
      </c>
    </row>
    <row r="155" spans="1:1">
      <c r="A155" s="124" t="str">
        <f>'DS Analysis'!BI8</f>
        <v>key_blood_type_a=0</v>
      </c>
    </row>
    <row r="156" spans="1:1">
      <c r="A156" s="124" t="str">
        <f>"key_time_a="&amp;MIN('Configs &amp; Procedures'!$G$44,'Configs &amp; Procedures'!$H$20)</f>
        <v>key_time_a=120</v>
      </c>
    </row>
    <row r="157" spans="1:1">
      <c r="A157" s="1170"/>
    </row>
    <row r="158" spans="1:1">
      <c r="A158" s="124" t="str">
        <f>"key_platelet_b="&amp;'DS Analysis'!$AP$45</f>
        <v>key_platelet_b=0</v>
      </c>
    </row>
    <row r="159" spans="1:1">
      <c r="A159" s="124" t="str">
        <f>"key_plasma_b="&amp;'DS Analysis'!$AQ$45</f>
        <v>key_plasma_b=0</v>
      </c>
    </row>
    <row r="160" spans="1:1">
      <c r="A160" s="124" t="str">
        <f>"key_rbc_b="&amp;'DS Analysis'!$AR$45</f>
        <v>key_rbc_b=0</v>
      </c>
    </row>
    <row r="161" spans="1:1">
      <c r="A161" s="124" t="str">
        <f>'DS Analysis'!BI9</f>
        <v>key_blood_type_b=0</v>
      </c>
    </row>
    <row r="162" spans="1:1">
      <c r="A162" s="124" t="str">
        <f>"key_time_b="&amp;MIN('Configs &amp; Procedures'!$G45,'Configs &amp; Procedures'!$H$20)</f>
        <v>key_time_b=150</v>
      </c>
    </row>
    <row r="163" spans="1:1">
      <c r="A163" s="1170"/>
    </row>
    <row r="164" spans="1:1">
      <c r="A164" s="124" t="str">
        <f>"key_platelet_c="&amp;'DS Analysis'!$AP$46</f>
        <v>key_platelet_c=0</v>
      </c>
    </row>
    <row r="165" spans="1:1">
      <c r="A165" s="124" t="str">
        <f>"key_plasma_c="&amp;'DS Analysis'!$AQ$46</f>
        <v>key_plasma_c=0</v>
      </c>
    </row>
    <row r="166" spans="1:1">
      <c r="A166" s="124" t="str">
        <f>"key_rbc_c="&amp;'DS Analysis'!$AR$46</f>
        <v>key_rbc_c=0</v>
      </c>
    </row>
    <row r="167" spans="1:1">
      <c r="A167" s="124" t="str">
        <f>'DS Analysis'!BI10</f>
        <v>key_blood_type_c=0</v>
      </c>
    </row>
    <row r="168" spans="1:1">
      <c r="A168" s="124" t="str">
        <f>"key_time_c="&amp;MIN('Configs &amp; Procedures'!$G46,'Configs &amp; Procedures'!$H$20)</f>
        <v>key_time_c=150</v>
      </c>
    </row>
    <row r="169" spans="1:1">
      <c r="A169" s="1170"/>
    </row>
    <row r="170" spans="1:1">
      <c r="A170" s="124" t="str">
        <f>"key_platelet_d="&amp;'DS Analysis'!$AP$47</f>
        <v>key_platelet_d=0</v>
      </c>
    </row>
    <row r="171" spans="1:1">
      <c r="A171" s="124" t="str">
        <f>"key_plasma_d="&amp;'DS Analysis'!$AQ$47</f>
        <v>key_plasma_d=0</v>
      </c>
    </row>
    <row r="172" spans="1:1">
      <c r="A172" s="124" t="str">
        <f>"key_rbc_d="&amp;'DS Analysis'!$AR$47</f>
        <v>key_rbc_d=0</v>
      </c>
    </row>
    <row r="173" spans="1:1">
      <c r="A173" s="124" t="str">
        <f>'DS Analysis'!BI11</f>
        <v>key_blood_type_d=0</v>
      </c>
    </row>
    <row r="174" spans="1:1">
      <c r="A174" s="124" t="str">
        <f>"key_time_d="&amp;MIN('Configs &amp; Procedures'!$G47,'Configs &amp; Procedures'!$H$20)</f>
        <v>key_time_d=150</v>
      </c>
    </row>
    <row r="175" spans="1:1">
      <c r="A175" s="1170"/>
    </row>
    <row r="176" spans="1:1">
      <c r="A176" s="124" t="str">
        <f>"key_platelet_e="&amp;'DS Analysis'!$AP$48</f>
        <v>key_platelet_e=0</v>
      </c>
    </row>
    <row r="177" spans="1:1">
      <c r="A177" s="124" t="str">
        <f>"key_plasma_e="&amp;'DS Analysis'!$AQ$48</f>
        <v>key_plasma_e=0</v>
      </c>
    </row>
    <row r="178" spans="1:1">
      <c r="A178" s="124" t="str">
        <f>"key_rbc_e="&amp;'DS Analysis'!$AR$48</f>
        <v>key_rbc_e=0</v>
      </c>
    </row>
    <row r="179" spans="1:1">
      <c r="A179" s="124" t="str">
        <f>'DS Analysis'!BI12</f>
        <v>key_blood_type_e=0</v>
      </c>
    </row>
    <row r="180" spans="1:1">
      <c r="A180" s="124" t="str">
        <f>"key_time_e="&amp;MIN('Configs &amp; Procedures'!$G48,'Configs &amp; Procedures'!$H$20)</f>
        <v>key_time_e=150</v>
      </c>
    </row>
    <row r="181" spans="1:1">
      <c r="A181" s="1170"/>
    </row>
    <row r="182" spans="1:1">
      <c r="A182" s="124" t="str">
        <f>"key_platelet_f="&amp;'DS Analysis'!$AP$49</f>
        <v>key_platelet_f=0</v>
      </c>
    </row>
    <row r="183" spans="1:1">
      <c r="A183" s="124" t="str">
        <f>"key_plasma_f="&amp;'DS Analysis'!$AQ$49</f>
        <v>key_plasma_f=0</v>
      </c>
    </row>
    <row r="184" spans="1:1">
      <c r="A184" s="124" t="str">
        <f>"key_rbc_f="&amp;'DS Analysis'!$AR$49</f>
        <v>key_rbc_f=0</v>
      </c>
    </row>
    <row r="185" spans="1:1">
      <c r="A185" s="124" t="str">
        <f>'DS Analysis'!BI13</f>
        <v>key_blood_type_f=0</v>
      </c>
    </row>
    <row r="186" spans="1:1">
      <c r="A186" s="124" t="str">
        <f>"key_time_f="&amp;MIN('Configs &amp; Procedures'!$G49,'Configs &amp; Procedures'!$H$20)</f>
        <v>key_time_f=150</v>
      </c>
    </row>
    <row r="187" spans="1:1">
      <c r="A187" s="1170"/>
    </row>
    <row r="188" spans="1:1">
      <c r="A188" s="124" t="str">
        <f>"key_platelet_g="&amp;'DS Analysis'!$AP$50</f>
        <v>key_platelet_g=0</v>
      </c>
    </row>
    <row r="189" spans="1:1">
      <c r="A189" s="124" t="str">
        <f>"key_plasma_g="&amp;'DS Analysis'!$AQ$50</f>
        <v>key_plasma_g=0</v>
      </c>
    </row>
    <row r="190" spans="1:1">
      <c r="A190" s="124" t="str">
        <f>"key_rbc_g="&amp;'DS Analysis'!$AR$50</f>
        <v>key_rbc_g=0</v>
      </c>
    </row>
    <row r="191" spans="1:1">
      <c r="A191" s="124" t="str">
        <f>'DS Analysis'!BI14</f>
        <v>key_blood_type_g=0</v>
      </c>
    </row>
    <row r="192" spans="1:1">
      <c r="A192" s="124" t="str">
        <f>"key_time_g="&amp;MIN('Configs &amp; Procedures'!$G50,'Configs &amp; Procedures'!$H$20)</f>
        <v>key_time_g=150</v>
      </c>
    </row>
    <row r="193" spans="1:1">
      <c r="A193" s="1170"/>
    </row>
    <row r="194" spans="1:1">
      <c r="A194" s="124" t="str">
        <f>"key_platelet_h="&amp;'DS Analysis'!$AP$51</f>
        <v>key_platelet_h=0</v>
      </c>
    </row>
    <row r="195" spans="1:1">
      <c r="A195" s="124" t="str">
        <f>"key_plasma_h="&amp;'DS Analysis'!$AQ$51</f>
        <v>key_plasma_h=0</v>
      </c>
    </row>
    <row r="196" spans="1:1">
      <c r="A196" s="124" t="str">
        <f>"key_rbc_h="&amp;'DS Analysis'!$AR$51</f>
        <v>key_rbc_h=0</v>
      </c>
    </row>
    <row r="197" spans="1:1">
      <c r="A197" s="124" t="str">
        <f>'DS Analysis'!BI15</f>
        <v>key_blood_type_h=0</v>
      </c>
    </row>
    <row r="198" spans="1:1">
      <c r="A198" s="124" t="str">
        <f>"key_time_h="&amp;MIN('Configs &amp; Procedures'!$G51,'Configs &amp; Procedures'!$H$20)</f>
        <v>key_time_h=150</v>
      </c>
    </row>
    <row r="199" spans="1:1">
      <c r="A199" s="1170"/>
    </row>
    <row r="200" spans="1:1">
      <c r="A200" s="124" t="str">
        <f>"key_platelet_i="&amp;'DS Analysis'!$AP$52</f>
        <v>key_platelet_i=0</v>
      </c>
    </row>
    <row r="201" spans="1:1">
      <c r="A201" s="124" t="str">
        <f>"key_plasma_i="&amp;'DS Analysis'!$AQ$52</f>
        <v>key_plasma_i=0</v>
      </c>
    </row>
    <row r="202" spans="1:1">
      <c r="A202" s="124" t="str">
        <f>"key_rbc_i="&amp;'DS Analysis'!$AR$52</f>
        <v>key_rbc_i=0</v>
      </c>
    </row>
    <row r="203" spans="1:1">
      <c r="A203" s="124" t="str">
        <f>'DS Analysis'!BI16</f>
        <v>key_blood_type_i=0</v>
      </c>
    </row>
    <row r="204" spans="1:1">
      <c r="A204" s="124" t="str">
        <f>"key_time_i="&amp;MIN('Configs &amp; Procedures'!$G52,'Configs &amp; Procedures'!$H$20)</f>
        <v>key_time_i=150</v>
      </c>
    </row>
    <row r="205" spans="1:1">
      <c r="A205" s="1170"/>
    </row>
    <row r="206" spans="1:1">
      <c r="A206" s="124" t="str">
        <f>"key_platelet_j="&amp;'DS Analysis'!$AP$53</f>
        <v>key_platelet_j=0</v>
      </c>
    </row>
    <row r="207" spans="1:1">
      <c r="A207" s="124" t="str">
        <f>"key_plasma_j="&amp;'DS Analysis'!$AQ$53</f>
        <v>key_plasma_j=0</v>
      </c>
    </row>
    <row r="208" spans="1:1">
      <c r="A208" s="124" t="str">
        <f>"key_rbc_j="&amp;'DS Analysis'!$AR$53</f>
        <v>key_rbc_j=0</v>
      </c>
    </row>
    <row r="209" spans="1:1">
      <c r="A209" s="124" t="str">
        <f>'DS Analysis'!BI17</f>
        <v>key_blood_type_j=0</v>
      </c>
    </row>
    <row r="210" spans="1:1">
      <c r="A210" s="124" t="str">
        <f>"key_time_j="&amp;MIN('Configs &amp; Procedures'!$G53,'Configs &amp; Procedures'!$H$20)</f>
        <v>key_time_j=150</v>
      </c>
    </row>
    <row r="211" spans="1:1">
      <c r="A211" s="1170"/>
    </row>
    <row r="212" spans="1:1">
      <c r="A212" s="124" t="str">
        <f>"key_platelet_k="&amp;'DS Analysis'!$AP$54</f>
        <v>key_platelet_k=0</v>
      </c>
    </row>
    <row r="213" spans="1:1">
      <c r="A213" s="124" t="str">
        <f>"key_plasma_k="&amp;'DS Analysis'!$AQ$54</f>
        <v>key_plasma_k=0</v>
      </c>
    </row>
    <row r="214" spans="1:1">
      <c r="A214" s="124" t="str">
        <f>"key_rbc_k="&amp;'DS Analysis'!$AR$54</f>
        <v>key_rbc_k=0</v>
      </c>
    </row>
    <row r="215" spans="1:1">
      <c r="A215" s="124" t="str">
        <f>'DS Analysis'!BI18</f>
        <v>key_blood_type_k=0</v>
      </c>
    </row>
    <row r="216" spans="1:1">
      <c r="A216" s="124" t="str">
        <f>"key_time_k="&amp;MIN('Configs &amp; Procedures'!$G54,'Configs &amp; Procedures'!$H$20)</f>
        <v>key_time_k=150</v>
      </c>
    </row>
    <row r="217" spans="1:1">
      <c r="A217" s="1170"/>
    </row>
    <row r="218" spans="1:1">
      <c r="A218" s="124" t="str">
        <f>"key_platelet_l="&amp;'DS Analysis'!$AP$55</f>
        <v>key_platelet_l=0</v>
      </c>
    </row>
    <row r="219" spans="1:1">
      <c r="A219" s="124" t="str">
        <f>"key_plasma_l="&amp;'DS Analysis'!$AQ$55</f>
        <v>key_plasma_l=0</v>
      </c>
    </row>
    <row r="220" spans="1:1">
      <c r="A220" s="124" t="str">
        <f>"key_rbc_l="&amp;'DS Analysis'!$AR$55</f>
        <v>key_rbc_l=0</v>
      </c>
    </row>
    <row r="221" spans="1:1">
      <c r="A221" s="124" t="str">
        <f>'DS Analysis'!BI19</f>
        <v>key_blood_type_l=0</v>
      </c>
    </row>
    <row r="222" spans="1:1">
      <c r="A222" s="124" t="str">
        <f>"key_time_l="&amp;MIN('Configs &amp; Procedures'!$G55,'Configs &amp; Procedures'!$H$20)</f>
        <v>key_time_l=150</v>
      </c>
    </row>
    <row r="223" spans="1:1">
      <c r="A223" s="1170"/>
    </row>
    <row r="224" spans="1:1">
      <c r="A224" s="124" t="str">
        <f>"key_platelet_m="&amp;'DS Analysis'!$AP$56</f>
        <v>key_platelet_m=0</v>
      </c>
    </row>
    <row r="225" spans="1:1">
      <c r="A225" s="124" t="str">
        <f>"key_plasma_m="&amp;'DS Analysis'!$AQ$56</f>
        <v>key_plasma_m=0</v>
      </c>
    </row>
    <row r="226" spans="1:1">
      <c r="A226" s="124" t="str">
        <f>"key_rbc_m="&amp;'DS Analysis'!$AR$56</f>
        <v>key_rbc_m=0</v>
      </c>
    </row>
    <row r="227" spans="1:1">
      <c r="A227" s="124" t="str">
        <f>'DS Analysis'!BI20</f>
        <v>key_blood_type_m=0</v>
      </c>
    </row>
    <row r="228" spans="1:1">
      <c r="A228" s="124" t="str">
        <f>"key_time_m="&amp;MIN('Configs &amp; Procedures'!$G56,'Configs &amp; Procedures'!$H$20)</f>
        <v>key_time_m=150</v>
      </c>
    </row>
    <row r="229" spans="1:1">
      <c r="A229" s="1170"/>
    </row>
    <row r="230" spans="1:1">
      <c r="A230" s="124" t="str">
        <f>"key_platelet_n="&amp;'DS Analysis'!$AP$57</f>
        <v>key_platelet_n=0</v>
      </c>
    </row>
    <row r="231" spans="1:1">
      <c r="A231" s="124" t="str">
        <f>"key_plasma_n="&amp;'DS Analysis'!$AQ$57</f>
        <v>key_plasma_n=0</v>
      </c>
    </row>
    <row r="232" spans="1:1">
      <c r="A232" s="124" t="str">
        <f>"key_rbc_n="&amp;'DS Analysis'!$AR$57</f>
        <v>key_rbc_n=0</v>
      </c>
    </row>
    <row r="233" spans="1:1">
      <c r="A233" s="124" t="str">
        <f>'DS Analysis'!BI21</f>
        <v>key_blood_type_n=0</v>
      </c>
    </row>
    <row r="234" spans="1:1">
      <c r="A234" s="124" t="str">
        <f>"key_time_n="&amp;MIN('Configs &amp; Procedures'!$G57,'Configs &amp; Procedures'!$H$20)</f>
        <v>key_time_n=150</v>
      </c>
    </row>
    <row r="235" spans="1:1">
      <c r="A235" s="1170"/>
    </row>
    <row r="236" spans="1:1">
      <c r="A236" s="124" t="str">
        <f>"key_platelet_o="&amp;'DS Analysis'!$AP$58</f>
        <v>key_platelet_o=0</v>
      </c>
    </row>
    <row r="237" spans="1:1">
      <c r="A237" s="124" t="str">
        <f>"key_plasma_o="&amp;'DS Analysis'!$AQ$58</f>
        <v>key_plasma_o=0</v>
      </c>
    </row>
    <row r="238" spans="1:1">
      <c r="A238" s="124" t="str">
        <f>"key_rbc_o="&amp;'DS Analysis'!$AR$58</f>
        <v>key_rbc_o=0</v>
      </c>
    </row>
    <row r="239" spans="1:1">
      <c r="A239" s="124" t="str">
        <f>'DS Analysis'!BI22</f>
        <v>key_blood_type_o=0</v>
      </c>
    </row>
    <row r="240" spans="1:1">
      <c r="A240" s="124" t="str">
        <f>"key_time_o="&amp;MIN('Configs &amp; Procedures'!$G58,'Configs &amp; Procedures'!$H$20)</f>
        <v>key_time_o=150</v>
      </c>
    </row>
    <row r="241" spans="1:1">
      <c r="A241" s="1170"/>
    </row>
    <row r="242" spans="1:1">
      <c r="A242" s="124" t="str">
        <f>"key_platelet_p="&amp;'DS Analysis'!$AP$59</f>
        <v>key_platelet_p=0</v>
      </c>
    </row>
    <row r="243" spans="1:1">
      <c r="A243" s="124" t="str">
        <f>"key_plasma_p="&amp;'DS Analysis'!$AQ$59</f>
        <v>key_plasma_p=0</v>
      </c>
    </row>
    <row r="244" spans="1:1">
      <c r="A244" s="124" t="str">
        <f>"key_rbc_p="&amp;'DS Analysis'!$AR$59</f>
        <v>key_rbc_p=0</v>
      </c>
    </row>
    <row r="245" spans="1:1">
      <c r="A245" s="124" t="str">
        <f>'DS Analysis'!BI23</f>
        <v>key_blood_type_p=0</v>
      </c>
    </row>
    <row r="246" spans="1:1">
      <c r="A246" s="124" t="str">
        <f>"key_time_p="&amp;MIN('Configs &amp; Procedures'!$G59,'Configs &amp; Procedures'!$H$20)</f>
        <v>key_time_p=150</v>
      </c>
    </row>
    <row r="247" spans="1:1">
      <c r="A247" s="1170"/>
    </row>
    <row r="248" spans="1:1">
      <c r="A248" s="124" t="str">
        <f>"key_platelet_q="&amp;'DS Analysis'!$AP$60</f>
        <v>key_platelet_q=0</v>
      </c>
    </row>
    <row r="249" spans="1:1">
      <c r="A249" s="124" t="str">
        <f>"key_plasma_q="&amp;'DS Analysis'!$AQ$60</f>
        <v>key_plasma_q=0</v>
      </c>
    </row>
    <row r="250" spans="1:1">
      <c r="A250" s="124" t="str">
        <f>"key_rbc_q="&amp;'DS Analysis'!$AR$60</f>
        <v>key_rbc_q=0</v>
      </c>
    </row>
    <row r="251" spans="1:1">
      <c r="A251" s="124" t="str">
        <f>'DS Analysis'!BI24</f>
        <v>key_blood_type_q=0</v>
      </c>
    </row>
    <row r="252" spans="1:1">
      <c r="A252" s="124" t="str">
        <f>"key_time_q="&amp;MIN('Configs &amp; Procedures'!$G60,'Configs &amp; Procedures'!$H$20)</f>
        <v>key_time_q=150</v>
      </c>
    </row>
    <row r="253" spans="1:1">
      <c r="A253" s="1170"/>
    </row>
    <row r="254" spans="1:1">
      <c r="A254" s="124" t="str">
        <f>"key_platelet_r="&amp;'DS Analysis'!$AP$61</f>
        <v>key_platelet_r=0</v>
      </c>
    </row>
    <row r="255" spans="1:1">
      <c r="A255" s="124" t="str">
        <f>"key_plasma_r="&amp;'DS Analysis'!$AQ$61</f>
        <v>key_plasma_r=0</v>
      </c>
    </row>
    <row r="256" spans="1:1">
      <c r="A256" s="124" t="str">
        <f>"key_rbc_r="&amp;'DS Analysis'!$AR$61</f>
        <v>key_rbc_r=0</v>
      </c>
    </row>
    <row r="257" spans="1:1">
      <c r="A257" s="124" t="str">
        <f>'DS Analysis'!BI25</f>
        <v>key_blood_type_r=0</v>
      </c>
    </row>
    <row r="258" spans="1:1">
      <c r="A258" s="124" t="str">
        <f>"key_time_r="&amp;MIN('Configs &amp; Procedures'!$G61,'Configs &amp; Procedures'!$H$20)</f>
        <v>key_time_r=150</v>
      </c>
    </row>
    <row r="259" spans="1:1">
      <c r="A259" s="1170"/>
    </row>
    <row r="260" spans="1:1">
      <c r="A260" s="124" t="str">
        <f>"key_platelet_s="&amp;'DS Analysis'!$AP$62</f>
        <v>key_platelet_s=0</v>
      </c>
    </row>
    <row r="261" spans="1:1">
      <c r="A261" s="124" t="str">
        <f>"key_plasma_s="&amp;'DS Analysis'!$AQ$62</f>
        <v>key_plasma_s=0</v>
      </c>
    </row>
    <row r="262" spans="1:1">
      <c r="A262" s="124" t="str">
        <f>"key_rbc_s="&amp;'DS Analysis'!$AR$62</f>
        <v>key_rbc_s=0</v>
      </c>
    </row>
    <row r="263" spans="1:1">
      <c r="A263" s="124" t="str">
        <f>'DS Analysis'!BI26</f>
        <v>key_blood_type_s=0</v>
      </c>
    </row>
    <row r="264" spans="1:1">
      <c r="A264" s="124" t="str">
        <f>"key_time_s="&amp;MIN('Configs &amp; Procedures'!$G62,'Configs &amp; Procedures'!$H$20)</f>
        <v>key_time_s=150</v>
      </c>
    </row>
    <row r="265" spans="1:1">
      <c r="A265" s="1170"/>
    </row>
    <row r="266" spans="1:1">
      <c r="A266" s="124" t="str">
        <f>"key_platelet_t="&amp;'DS Analysis'!$AP$63</f>
        <v>key_platelet_t=0</v>
      </c>
    </row>
    <row r="267" spans="1:1">
      <c r="A267" s="124" t="str">
        <f>"key_plasma_t="&amp;'DS Analysis'!$AQ$63</f>
        <v>key_plasma_t=0</v>
      </c>
    </row>
    <row r="268" spans="1:1">
      <c r="A268" s="124" t="str">
        <f>"key_rbc_t="&amp;'DS Analysis'!$AR$63</f>
        <v>key_rbc_t=0</v>
      </c>
    </row>
    <row r="269" spans="1:1">
      <c r="A269" s="124" t="str">
        <f>'DS Analysis'!BI27</f>
        <v>key_blood_type_t=0</v>
      </c>
    </row>
    <row r="270" spans="1:1">
      <c r="A270" s="124" t="str">
        <f>"key_time_t="&amp;MIN('Configs &amp; Procedures'!$G63,'Configs &amp; Procedures'!$H$20)</f>
        <v>key_time_t=150</v>
      </c>
    </row>
    <row r="272" spans="1:1">
      <c r="A272" t="s">
        <v>160</v>
      </c>
    </row>
    <row r="273" spans="1:1">
      <c r="A273" t="s">
        <v>161</v>
      </c>
    </row>
    <row r="274" spans="1:1">
      <c r="A274" t="s">
        <v>162</v>
      </c>
    </row>
    <row r="275" spans="1:1">
      <c r="A275" t="s">
        <v>163</v>
      </c>
    </row>
    <row r="276" spans="1:1">
      <c r="A276" t="s">
        <v>164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Sheet20">
    <pageSetUpPr fitToPage="1"/>
  </sheetPr>
  <dimension ref="A1:Y122"/>
  <sheetViews>
    <sheetView zoomScaleNormal="100" workbookViewId="0"/>
  </sheetViews>
  <sheetFormatPr defaultRowHeight="9" customHeight="1"/>
  <cols>
    <col min="1" max="1" width="6.28515625" style="1012" customWidth="1"/>
    <col min="2" max="2" width="1.5703125" style="1012" customWidth="1"/>
    <col min="3" max="3" width="16.5703125" style="1013" customWidth="1"/>
    <col min="4" max="4" width="3.5703125" style="1012" hidden="1" customWidth="1"/>
    <col min="5" max="5" width="2.140625" style="1012" customWidth="1"/>
    <col min="6" max="6" width="1" style="1012" customWidth="1"/>
    <col min="7" max="7" width="13.140625" style="1014" customWidth="1"/>
    <col min="8" max="8" width="3.85546875" style="1014" hidden="1" customWidth="1"/>
    <col min="9" max="9" width="4.85546875" style="1015" customWidth="1"/>
    <col min="10" max="10" width="1" style="1016" customWidth="1"/>
    <col min="11" max="11" width="13.85546875" style="1014" customWidth="1"/>
    <col min="12" max="12" width="2.7109375" style="1014" hidden="1" customWidth="1"/>
    <col min="13" max="13" width="4.85546875" style="1015" customWidth="1"/>
    <col min="14" max="14" width="1" style="1016" customWidth="1"/>
    <col min="15" max="15" width="15.5703125" style="1014" customWidth="1"/>
    <col min="16" max="16" width="3" style="1012" hidden="1" customWidth="1"/>
    <col min="17" max="17" width="4.85546875" style="1012" customWidth="1"/>
    <col min="18" max="18" width="1" style="1012" customWidth="1"/>
    <col min="19" max="19" width="15.140625" style="1012" customWidth="1"/>
    <col min="20" max="20" width="0.140625" style="1012" hidden="1" customWidth="1"/>
    <col min="21" max="21" width="4.42578125" style="1012" customWidth="1"/>
    <col min="22" max="22" width="15" style="1012" bestFit="1" customWidth="1"/>
    <col min="23" max="23" width="1.5703125" style="1012" customWidth="1"/>
    <col min="24" max="256" width="9.140625" style="1012"/>
    <col min="257" max="257" width="6.28515625" style="1012" customWidth="1"/>
    <col min="258" max="258" width="1.5703125" style="1012" customWidth="1"/>
    <col min="259" max="259" width="16.5703125" style="1012" customWidth="1"/>
    <col min="260" max="260" width="0" style="1012" hidden="1" customWidth="1"/>
    <col min="261" max="261" width="4.85546875" style="1012" customWidth="1"/>
    <col min="262" max="262" width="1" style="1012" customWidth="1"/>
    <col min="263" max="263" width="13.140625" style="1012" customWidth="1"/>
    <col min="264" max="264" width="0" style="1012" hidden="1" customWidth="1"/>
    <col min="265" max="265" width="4.85546875" style="1012" customWidth="1"/>
    <col min="266" max="266" width="1" style="1012" customWidth="1"/>
    <col min="267" max="267" width="13.85546875" style="1012" customWidth="1"/>
    <col min="268" max="268" width="0" style="1012" hidden="1" customWidth="1"/>
    <col min="269" max="269" width="4.85546875" style="1012" customWidth="1"/>
    <col min="270" max="270" width="1" style="1012" customWidth="1"/>
    <col min="271" max="271" width="15.5703125" style="1012" customWidth="1"/>
    <col min="272" max="272" width="0" style="1012" hidden="1" customWidth="1"/>
    <col min="273" max="273" width="4.85546875" style="1012" customWidth="1"/>
    <col min="274" max="274" width="1" style="1012" customWidth="1"/>
    <col min="275" max="275" width="15.140625" style="1012" customWidth="1"/>
    <col min="276" max="276" width="0" style="1012" hidden="1" customWidth="1"/>
    <col min="277" max="277" width="4.42578125" style="1012" customWidth="1"/>
    <col min="278" max="278" width="14" style="1012" customWidth="1"/>
    <col min="279" max="279" width="1.5703125" style="1012" customWidth="1"/>
    <col min="280" max="512" width="9.140625" style="1012"/>
    <col min="513" max="513" width="6.28515625" style="1012" customWidth="1"/>
    <col min="514" max="514" width="1.5703125" style="1012" customWidth="1"/>
    <col min="515" max="515" width="16.5703125" style="1012" customWidth="1"/>
    <col min="516" max="516" width="0" style="1012" hidden="1" customWidth="1"/>
    <col min="517" max="517" width="4.85546875" style="1012" customWidth="1"/>
    <col min="518" max="518" width="1" style="1012" customWidth="1"/>
    <col min="519" max="519" width="13.140625" style="1012" customWidth="1"/>
    <col min="520" max="520" width="0" style="1012" hidden="1" customWidth="1"/>
    <col min="521" max="521" width="4.85546875" style="1012" customWidth="1"/>
    <col min="522" max="522" width="1" style="1012" customWidth="1"/>
    <col min="523" max="523" width="13.85546875" style="1012" customWidth="1"/>
    <col min="524" max="524" width="0" style="1012" hidden="1" customWidth="1"/>
    <col min="525" max="525" width="4.85546875" style="1012" customWidth="1"/>
    <col min="526" max="526" width="1" style="1012" customWidth="1"/>
    <col min="527" max="527" width="15.5703125" style="1012" customWidth="1"/>
    <col min="528" max="528" width="0" style="1012" hidden="1" customWidth="1"/>
    <col min="529" max="529" width="4.85546875" style="1012" customWidth="1"/>
    <col min="530" max="530" width="1" style="1012" customWidth="1"/>
    <col min="531" max="531" width="15.140625" style="1012" customWidth="1"/>
    <col min="532" max="532" width="0" style="1012" hidden="1" customWidth="1"/>
    <col min="533" max="533" width="4.42578125" style="1012" customWidth="1"/>
    <col min="534" max="534" width="14" style="1012" customWidth="1"/>
    <col min="535" max="535" width="1.5703125" style="1012" customWidth="1"/>
    <col min="536" max="768" width="9.140625" style="1012"/>
    <col min="769" max="769" width="6.28515625" style="1012" customWidth="1"/>
    <col min="770" max="770" width="1.5703125" style="1012" customWidth="1"/>
    <col min="771" max="771" width="16.5703125" style="1012" customWidth="1"/>
    <col min="772" max="772" width="0" style="1012" hidden="1" customWidth="1"/>
    <col min="773" max="773" width="4.85546875" style="1012" customWidth="1"/>
    <col min="774" max="774" width="1" style="1012" customWidth="1"/>
    <col min="775" max="775" width="13.140625" style="1012" customWidth="1"/>
    <col min="776" max="776" width="0" style="1012" hidden="1" customWidth="1"/>
    <col min="777" max="777" width="4.85546875" style="1012" customWidth="1"/>
    <col min="778" max="778" width="1" style="1012" customWidth="1"/>
    <col min="779" max="779" width="13.85546875" style="1012" customWidth="1"/>
    <col min="780" max="780" width="0" style="1012" hidden="1" customWidth="1"/>
    <col min="781" max="781" width="4.85546875" style="1012" customWidth="1"/>
    <col min="782" max="782" width="1" style="1012" customWidth="1"/>
    <col min="783" max="783" width="15.5703125" style="1012" customWidth="1"/>
    <col min="784" max="784" width="0" style="1012" hidden="1" customWidth="1"/>
    <col min="785" max="785" width="4.85546875" style="1012" customWidth="1"/>
    <col min="786" max="786" width="1" style="1012" customWidth="1"/>
    <col min="787" max="787" width="15.140625" style="1012" customWidth="1"/>
    <col min="788" max="788" width="0" style="1012" hidden="1" customWidth="1"/>
    <col min="789" max="789" width="4.42578125" style="1012" customWidth="1"/>
    <col min="790" max="790" width="14" style="1012" customWidth="1"/>
    <col min="791" max="791" width="1.5703125" style="1012" customWidth="1"/>
    <col min="792" max="1024" width="9.140625" style="1012"/>
    <col min="1025" max="1025" width="6.28515625" style="1012" customWidth="1"/>
    <col min="1026" max="1026" width="1.5703125" style="1012" customWidth="1"/>
    <col min="1027" max="1027" width="16.5703125" style="1012" customWidth="1"/>
    <col min="1028" max="1028" width="0" style="1012" hidden="1" customWidth="1"/>
    <col min="1029" max="1029" width="4.85546875" style="1012" customWidth="1"/>
    <col min="1030" max="1030" width="1" style="1012" customWidth="1"/>
    <col min="1031" max="1031" width="13.140625" style="1012" customWidth="1"/>
    <col min="1032" max="1032" width="0" style="1012" hidden="1" customWidth="1"/>
    <col min="1033" max="1033" width="4.85546875" style="1012" customWidth="1"/>
    <col min="1034" max="1034" width="1" style="1012" customWidth="1"/>
    <col min="1035" max="1035" width="13.85546875" style="1012" customWidth="1"/>
    <col min="1036" max="1036" width="0" style="1012" hidden="1" customWidth="1"/>
    <col min="1037" max="1037" width="4.85546875" style="1012" customWidth="1"/>
    <col min="1038" max="1038" width="1" style="1012" customWidth="1"/>
    <col min="1039" max="1039" width="15.5703125" style="1012" customWidth="1"/>
    <col min="1040" max="1040" width="0" style="1012" hidden="1" customWidth="1"/>
    <col min="1041" max="1041" width="4.85546875" style="1012" customWidth="1"/>
    <col min="1042" max="1042" width="1" style="1012" customWidth="1"/>
    <col min="1043" max="1043" width="15.140625" style="1012" customWidth="1"/>
    <col min="1044" max="1044" width="0" style="1012" hidden="1" customWidth="1"/>
    <col min="1045" max="1045" width="4.42578125" style="1012" customWidth="1"/>
    <col min="1046" max="1046" width="14" style="1012" customWidth="1"/>
    <col min="1047" max="1047" width="1.5703125" style="1012" customWidth="1"/>
    <col min="1048" max="1280" width="9.140625" style="1012"/>
    <col min="1281" max="1281" width="6.28515625" style="1012" customWidth="1"/>
    <col min="1282" max="1282" width="1.5703125" style="1012" customWidth="1"/>
    <col min="1283" max="1283" width="16.5703125" style="1012" customWidth="1"/>
    <col min="1284" max="1284" width="0" style="1012" hidden="1" customWidth="1"/>
    <col min="1285" max="1285" width="4.85546875" style="1012" customWidth="1"/>
    <col min="1286" max="1286" width="1" style="1012" customWidth="1"/>
    <col min="1287" max="1287" width="13.140625" style="1012" customWidth="1"/>
    <col min="1288" max="1288" width="0" style="1012" hidden="1" customWidth="1"/>
    <col min="1289" max="1289" width="4.85546875" style="1012" customWidth="1"/>
    <col min="1290" max="1290" width="1" style="1012" customWidth="1"/>
    <col min="1291" max="1291" width="13.85546875" style="1012" customWidth="1"/>
    <col min="1292" max="1292" width="0" style="1012" hidden="1" customWidth="1"/>
    <col min="1293" max="1293" width="4.85546875" style="1012" customWidth="1"/>
    <col min="1294" max="1294" width="1" style="1012" customWidth="1"/>
    <col min="1295" max="1295" width="15.5703125" style="1012" customWidth="1"/>
    <col min="1296" max="1296" width="0" style="1012" hidden="1" customWidth="1"/>
    <col min="1297" max="1297" width="4.85546875" style="1012" customWidth="1"/>
    <col min="1298" max="1298" width="1" style="1012" customWidth="1"/>
    <col min="1299" max="1299" width="15.140625" style="1012" customWidth="1"/>
    <col min="1300" max="1300" width="0" style="1012" hidden="1" customWidth="1"/>
    <col min="1301" max="1301" width="4.42578125" style="1012" customWidth="1"/>
    <col min="1302" max="1302" width="14" style="1012" customWidth="1"/>
    <col min="1303" max="1303" width="1.5703125" style="1012" customWidth="1"/>
    <col min="1304" max="1536" width="9.140625" style="1012"/>
    <col min="1537" max="1537" width="6.28515625" style="1012" customWidth="1"/>
    <col min="1538" max="1538" width="1.5703125" style="1012" customWidth="1"/>
    <col min="1539" max="1539" width="16.5703125" style="1012" customWidth="1"/>
    <col min="1540" max="1540" width="0" style="1012" hidden="1" customWidth="1"/>
    <col min="1541" max="1541" width="4.85546875" style="1012" customWidth="1"/>
    <col min="1542" max="1542" width="1" style="1012" customWidth="1"/>
    <col min="1543" max="1543" width="13.140625" style="1012" customWidth="1"/>
    <col min="1544" max="1544" width="0" style="1012" hidden="1" customWidth="1"/>
    <col min="1545" max="1545" width="4.85546875" style="1012" customWidth="1"/>
    <col min="1546" max="1546" width="1" style="1012" customWidth="1"/>
    <col min="1547" max="1547" width="13.85546875" style="1012" customWidth="1"/>
    <col min="1548" max="1548" width="0" style="1012" hidden="1" customWidth="1"/>
    <col min="1549" max="1549" width="4.85546875" style="1012" customWidth="1"/>
    <col min="1550" max="1550" width="1" style="1012" customWidth="1"/>
    <col min="1551" max="1551" width="15.5703125" style="1012" customWidth="1"/>
    <col min="1552" max="1552" width="0" style="1012" hidden="1" customWidth="1"/>
    <col min="1553" max="1553" width="4.85546875" style="1012" customWidth="1"/>
    <col min="1554" max="1554" width="1" style="1012" customWidth="1"/>
    <col min="1555" max="1555" width="15.140625" style="1012" customWidth="1"/>
    <col min="1556" max="1556" width="0" style="1012" hidden="1" customWidth="1"/>
    <col min="1557" max="1557" width="4.42578125" style="1012" customWidth="1"/>
    <col min="1558" max="1558" width="14" style="1012" customWidth="1"/>
    <col min="1559" max="1559" width="1.5703125" style="1012" customWidth="1"/>
    <col min="1560" max="1792" width="9.140625" style="1012"/>
    <col min="1793" max="1793" width="6.28515625" style="1012" customWidth="1"/>
    <col min="1794" max="1794" width="1.5703125" style="1012" customWidth="1"/>
    <col min="1795" max="1795" width="16.5703125" style="1012" customWidth="1"/>
    <col min="1796" max="1796" width="0" style="1012" hidden="1" customWidth="1"/>
    <col min="1797" max="1797" width="4.85546875" style="1012" customWidth="1"/>
    <col min="1798" max="1798" width="1" style="1012" customWidth="1"/>
    <col min="1799" max="1799" width="13.140625" style="1012" customWidth="1"/>
    <col min="1800" max="1800" width="0" style="1012" hidden="1" customWidth="1"/>
    <col min="1801" max="1801" width="4.85546875" style="1012" customWidth="1"/>
    <col min="1802" max="1802" width="1" style="1012" customWidth="1"/>
    <col min="1803" max="1803" width="13.85546875" style="1012" customWidth="1"/>
    <col min="1804" max="1804" width="0" style="1012" hidden="1" customWidth="1"/>
    <col min="1805" max="1805" width="4.85546875" style="1012" customWidth="1"/>
    <col min="1806" max="1806" width="1" style="1012" customWidth="1"/>
    <col min="1807" max="1807" width="15.5703125" style="1012" customWidth="1"/>
    <col min="1808" max="1808" width="0" style="1012" hidden="1" customWidth="1"/>
    <col min="1809" max="1809" width="4.85546875" style="1012" customWidth="1"/>
    <col min="1810" max="1810" width="1" style="1012" customWidth="1"/>
    <col min="1811" max="1811" width="15.140625" style="1012" customWidth="1"/>
    <col min="1812" max="1812" width="0" style="1012" hidden="1" customWidth="1"/>
    <col min="1813" max="1813" width="4.42578125" style="1012" customWidth="1"/>
    <col min="1814" max="1814" width="14" style="1012" customWidth="1"/>
    <col min="1815" max="1815" width="1.5703125" style="1012" customWidth="1"/>
    <col min="1816" max="2048" width="9.140625" style="1012"/>
    <col min="2049" max="2049" width="6.28515625" style="1012" customWidth="1"/>
    <col min="2050" max="2050" width="1.5703125" style="1012" customWidth="1"/>
    <col min="2051" max="2051" width="16.5703125" style="1012" customWidth="1"/>
    <col min="2052" max="2052" width="0" style="1012" hidden="1" customWidth="1"/>
    <col min="2053" max="2053" width="4.85546875" style="1012" customWidth="1"/>
    <col min="2054" max="2054" width="1" style="1012" customWidth="1"/>
    <col min="2055" max="2055" width="13.140625" style="1012" customWidth="1"/>
    <col min="2056" max="2056" width="0" style="1012" hidden="1" customWidth="1"/>
    <col min="2057" max="2057" width="4.85546875" style="1012" customWidth="1"/>
    <col min="2058" max="2058" width="1" style="1012" customWidth="1"/>
    <col min="2059" max="2059" width="13.85546875" style="1012" customWidth="1"/>
    <col min="2060" max="2060" width="0" style="1012" hidden="1" customWidth="1"/>
    <col min="2061" max="2061" width="4.85546875" style="1012" customWidth="1"/>
    <col min="2062" max="2062" width="1" style="1012" customWidth="1"/>
    <col min="2063" max="2063" width="15.5703125" style="1012" customWidth="1"/>
    <col min="2064" max="2064" width="0" style="1012" hidden="1" customWidth="1"/>
    <col min="2065" max="2065" width="4.85546875" style="1012" customWidth="1"/>
    <col min="2066" max="2066" width="1" style="1012" customWidth="1"/>
    <col min="2067" max="2067" width="15.140625" style="1012" customWidth="1"/>
    <col min="2068" max="2068" width="0" style="1012" hidden="1" customWidth="1"/>
    <col min="2069" max="2069" width="4.42578125" style="1012" customWidth="1"/>
    <col min="2070" max="2070" width="14" style="1012" customWidth="1"/>
    <col min="2071" max="2071" width="1.5703125" style="1012" customWidth="1"/>
    <col min="2072" max="2304" width="9.140625" style="1012"/>
    <col min="2305" max="2305" width="6.28515625" style="1012" customWidth="1"/>
    <col min="2306" max="2306" width="1.5703125" style="1012" customWidth="1"/>
    <col min="2307" max="2307" width="16.5703125" style="1012" customWidth="1"/>
    <col min="2308" max="2308" width="0" style="1012" hidden="1" customWidth="1"/>
    <col min="2309" max="2309" width="4.85546875" style="1012" customWidth="1"/>
    <col min="2310" max="2310" width="1" style="1012" customWidth="1"/>
    <col min="2311" max="2311" width="13.140625" style="1012" customWidth="1"/>
    <col min="2312" max="2312" width="0" style="1012" hidden="1" customWidth="1"/>
    <col min="2313" max="2313" width="4.85546875" style="1012" customWidth="1"/>
    <col min="2314" max="2314" width="1" style="1012" customWidth="1"/>
    <col min="2315" max="2315" width="13.85546875" style="1012" customWidth="1"/>
    <col min="2316" max="2316" width="0" style="1012" hidden="1" customWidth="1"/>
    <col min="2317" max="2317" width="4.85546875" style="1012" customWidth="1"/>
    <col min="2318" max="2318" width="1" style="1012" customWidth="1"/>
    <col min="2319" max="2319" width="15.5703125" style="1012" customWidth="1"/>
    <col min="2320" max="2320" width="0" style="1012" hidden="1" customWidth="1"/>
    <col min="2321" max="2321" width="4.85546875" style="1012" customWidth="1"/>
    <col min="2322" max="2322" width="1" style="1012" customWidth="1"/>
    <col min="2323" max="2323" width="15.140625" style="1012" customWidth="1"/>
    <col min="2324" max="2324" width="0" style="1012" hidden="1" customWidth="1"/>
    <col min="2325" max="2325" width="4.42578125" style="1012" customWidth="1"/>
    <col min="2326" max="2326" width="14" style="1012" customWidth="1"/>
    <col min="2327" max="2327" width="1.5703125" style="1012" customWidth="1"/>
    <col min="2328" max="2560" width="9.140625" style="1012"/>
    <col min="2561" max="2561" width="6.28515625" style="1012" customWidth="1"/>
    <col min="2562" max="2562" width="1.5703125" style="1012" customWidth="1"/>
    <col min="2563" max="2563" width="16.5703125" style="1012" customWidth="1"/>
    <col min="2564" max="2564" width="0" style="1012" hidden="1" customWidth="1"/>
    <col min="2565" max="2565" width="4.85546875" style="1012" customWidth="1"/>
    <col min="2566" max="2566" width="1" style="1012" customWidth="1"/>
    <col min="2567" max="2567" width="13.140625" style="1012" customWidth="1"/>
    <col min="2568" max="2568" width="0" style="1012" hidden="1" customWidth="1"/>
    <col min="2569" max="2569" width="4.85546875" style="1012" customWidth="1"/>
    <col min="2570" max="2570" width="1" style="1012" customWidth="1"/>
    <col min="2571" max="2571" width="13.85546875" style="1012" customWidth="1"/>
    <col min="2572" max="2572" width="0" style="1012" hidden="1" customWidth="1"/>
    <col min="2573" max="2573" width="4.85546875" style="1012" customWidth="1"/>
    <col min="2574" max="2574" width="1" style="1012" customWidth="1"/>
    <col min="2575" max="2575" width="15.5703125" style="1012" customWidth="1"/>
    <col min="2576" max="2576" width="0" style="1012" hidden="1" customWidth="1"/>
    <col min="2577" max="2577" width="4.85546875" style="1012" customWidth="1"/>
    <col min="2578" max="2578" width="1" style="1012" customWidth="1"/>
    <col min="2579" max="2579" width="15.140625" style="1012" customWidth="1"/>
    <col min="2580" max="2580" width="0" style="1012" hidden="1" customWidth="1"/>
    <col min="2581" max="2581" width="4.42578125" style="1012" customWidth="1"/>
    <col min="2582" max="2582" width="14" style="1012" customWidth="1"/>
    <col min="2583" max="2583" width="1.5703125" style="1012" customWidth="1"/>
    <col min="2584" max="2816" width="9.140625" style="1012"/>
    <col min="2817" max="2817" width="6.28515625" style="1012" customWidth="1"/>
    <col min="2818" max="2818" width="1.5703125" style="1012" customWidth="1"/>
    <col min="2819" max="2819" width="16.5703125" style="1012" customWidth="1"/>
    <col min="2820" max="2820" width="0" style="1012" hidden="1" customWidth="1"/>
    <col min="2821" max="2821" width="4.85546875" style="1012" customWidth="1"/>
    <col min="2822" max="2822" width="1" style="1012" customWidth="1"/>
    <col min="2823" max="2823" width="13.140625" style="1012" customWidth="1"/>
    <col min="2824" max="2824" width="0" style="1012" hidden="1" customWidth="1"/>
    <col min="2825" max="2825" width="4.85546875" style="1012" customWidth="1"/>
    <col min="2826" max="2826" width="1" style="1012" customWidth="1"/>
    <col min="2827" max="2827" width="13.85546875" style="1012" customWidth="1"/>
    <col min="2828" max="2828" width="0" style="1012" hidden="1" customWidth="1"/>
    <col min="2829" max="2829" width="4.85546875" style="1012" customWidth="1"/>
    <col min="2830" max="2830" width="1" style="1012" customWidth="1"/>
    <col min="2831" max="2831" width="15.5703125" style="1012" customWidth="1"/>
    <col min="2832" max="2832" width="0" style="1012" hidden="1" customWidth="1"/>
    <col min="2833" max="2833" width="4.85546875" style="1012" customWidth="1"/>
    <col min="2834" max="2834" width="1" style="1012" customWidth="1"/>
    <col min="2835" max="2835" width="15.140625" style="1012" customWidth="1"/>
    <col min="2836" max="2836" width="0" style="1012" hidden="1" customWidth="1"/>
    <col min="2837" max="2837" width="4.42578125" style="1012" customWidth="1"/>
    <col min="2838" max="2838" width="14" style="1012" customWidth="1"/>
    <col min="2839" max="2839" width="1.5703125" style="1012" customWidth="1"/>
    <col min="2840" max="3072" width="9.140625" style="1012"/>
    <col min="3073" max="3073" width="6.28515625" style="1012" customWidth="1"/>
    <col min="3074" max="3074" width="1.5703125" style="1012" customWidth="1"/>
    <col min="3075" max="3075" width="16.5703125" style="1012" customWidth="1"/>
    <col min="3076" max="3076" width="0" style="1012" hidden="1" customWidth="1"/>
    <col min="3077" max="3077" width="4.85546875" style="1012" customWidth="1"/>
    <col min="3078" max="3078" width="1" style="1012" customWidth="1"/>
    <col min="3079" max="3079" width="13.140625" style="1012" customWidth="1"/>
    <col min="3080" max="3080" width="0" style="1012" hidden="1" customWidth="1"/>
    <col min="3081" max="3081" width="4.85546875" style="1012" customWidth="1"/>
    <col min="3082" max="3082" width="1" style="1012" customWidth="1"/>
    <col min="3083" max="3083" width="13.85546875" style="1012" customWidth="1"/>
    <col min="3084" max="3084" width="0" style="1012" hidden="1" customWidth="1"/>
    <col min="3085" max="3085" width="4.85546875" style="1012" customWidth="1"/>
    <col min="3086" max="3086" width="1" style="1012" customWidth="1"/>
    <col min="3087" max="3087" width="15.5703125" style="1012" customWidth="1"/>
    <col min="3088" max="3088" width="0" style="1012" hidden="1" customWidth="1"/>
    <col min="3089" max="3089" width="4.85546875" style="1012" customWidth="1"/>
    <col min="3090" max="3090" width="1" style="1012" customWidth="1"/>
    <col min="3091" max="3091" width="15.140625" style="1012" customWidth="1"/>
    <col min="3092" max="3092" width="0" style="1012" hidden="1" customWidth="1"/>
    <col min="3093" max="3093" width="4.42578125" style="1012" customWidth="1"/>
    <col min="3094" max="3094" width="14" style="1012" customWidth="1"/>
    <col min="3095" max="3095" width="1.5703125" style="1012" customWidth="1"/>
    <col min="3096" max="3328" width="9.140625" style="1012"/>
    <col min="3329" max="3329" width="6.28515625" style="1012" customWidth="1"/>
    <col min="3330" max="3330" width="1.5703125" style="1012" customWidth="1"/>
    <col min="3331" max="3331" width="16.5703125" style="1012" customWidth="1"/>
    <col min="3332" max="3332" width="0" style="1012" hidden="1" customWidth="1"/>
    <col min="3333" max="3333" width="4.85546875" style="1012" customWidth="1"/>
    <col min="3334" max="3334" width="1" style="1012" customWidth="1"/>
    <col min="3335" max="3335" width="13.140625" style="1012" customWidth="1"/>
    <col min="3336" max="3336" width="0" style="1012" hidden="1" customWidth="1"/>
    <col min="3337" max="3337" width="4.85546875" style="1012" customWidth="1"/>
    <col min="3338" max="3338" width="1" style="1012" customWidth="1"/>
    <col min="3339" max="3339" width="13.85546875" style="1012" customWidth="1"/>
    <col min="3340" max="3340" width="0" style="1012" hidden="1" customWidth="1"/>
    <col min="3341" max="3341" width="4.85546875" style="1012" customWidth="1"/>
    <col min="3342" max="3342" width="1" style="1012" customWidth="1"/>
    <col min="3343" max="3343" width="15.5703125" style="1012" customWidth="1"/>
    <col min="3344" max="3344" width="0" style="1012" hidden="1" customWidth="1"/>
    <col min="3345" max="3345" width="4.85546875" style="1012" customWidth="1"/>
    <col min="3346" max="3346" width="1" style="1012" customWidth="1"/>
    <col min="3347" max="3347" width="15.140625" style="1012" customWidth="1"/>
    <col min="3348" max="3348" width="0" style="1012" hidden="1" customWidth="1"/>
    <col min="3349" max="3349" width="4.42578125" style="1012" customWidth="1"/>
    <col min="3350" max="3350" width="14" style="1012" customWidth="1"/>
    <col min="3351" max="3351" width="1.5703125" style="1012" customWidth="1"/>
    <col min="3352" max="3584" width="9.140625" style="1012"/>
    <col min="3585" max="3585" width="6.28515625" style="1012" customWidth="1"/>
    <col min="3586" max="3586" width="1.5703125" style="1012" customWidth="1"/>
    <col min="3587" max="3587" width="16.5703125" style="1012" customWidth="1"/>
    <col min="3588" max="3588" width="0" style="1012" hidden="1" customWidth="1"/>
    <col min="3589" max="3589" width="4.85546875" style="1012" customWidth="1"/>
    <col min="3590" max="3590" width="1" style="1012" customWidth="1"/>
    <col min="3591" max="3591" width="13.140625" style="1012" customWidth="1"/>
    <col min="3592" max="3592" width="0" style="1012" hidden="1" customWidth="1"/>
    <col min="3593" max="3593" width="4.85546875" style="1012" customWidth="1"/>
    <col min="3594" max="3594" width="1" style="1012" customWidth="1"/>
    <col min="3595" max="3595" width="13.85546875" style="1012" customWidth="1"/>
    <col min="3596" max="3596" width="0" style="1012" hidden="1" customWidth="1"/>
    <col min="3597" max="3597" width="4.85546875" style="1012" customWidth="1"/>
    <col min="3598" max="3598" width="1" style="1012" customWidth="1"/>
    <col min="3599" max="3599" width="15.5703125" style="1012" customWidth="1"/>
    <col min="3600" max="3600" width="0" style="1012" hidden="1" customWidth="1"/>
    <col min="3601" max="3601" width="4.85546875" style="1012" customWidth="1"/>
    <col min="3602" max="3602" width="1" style="1012" customWidth="1"/>
    <col min="3603" max="3603" width="15.140625" style="1012" customWidth="1"/>
    <col min="3604" max="3604" width="0" style="1012" hidden="1" customWidth="1"/>
    <col min="3605" max="3605" width="4.42578125" style="1012" customWidth="1"/>
    <col min="3606" max="3606" width="14" style="1012" customWidth="1"/>
    <col min="3607" max="3607" width="1.5703125" style="1012" customWidth="1"/>
    <col min="3608" max="3840" width="9.140625" style="1012"/>
    <col min="3841" max="3841" width="6.28515625" style="1012" customWidth="1"/>
    <col min="3842" max="3842" width="1.5703125" style="1012" customWidth="1"/>
    <col min="3843" max="3843" width="16.5703125" style="1012" customWidth="1"/>
    <col min="3844" max="3844" width="0" style="1012" hidden="1" customWidth="1"/>
    <col min="3845" max="3845" width="4.85546875" style="1012" customWidth="1"/>
    <col min="3846" max="3846" width="1" style="1012" customWidth="1"/>
    <col min="3847" max="3847" width="13.140625" style="1012" customWidth="1"/>
    <col min="3848" max="3848" width="0" style="1012" hidden="1" customWidth="1"/>
    <col min="3849" max="3849" width="4.85546875" style="1012" customWidth="1"/>
    <col min="3850" max="3850" width="1" style="1012" customWidth="1"/>
    <col min="3851" max="3851" width="13.85546875" style="1012" customWidth="1"/>
    <col min="3852" max="3852" width="0" style="1012" hidden="1" customWidth="1"/>
    <col min="3853" max="3853" width="4.85546875" style="1012" customWidth="1"/>
    <col min="3854" max="3854" width="1" style="1012" customWidth="1"/>
    <col min="3855" max="3855" width="15.5703125" style="1012" customWidth="1"/>
    <col min="3856" max="3856" width="0" style="1012" hidden="1" customWidth="1"/>
    <col min="3857" max="3857" width="4.85546875" style="1012" customWidth="1"/>
    <col min="3858" max="3858" width="1" style="1012" customWidth="1"/>
    <col min="3859" max="3859" width="15.140625" style="1012" customWidth="1"/>
    <col min="3860" max="3860" width="0" style="1012" hidden="1" customWidth="1"/>
    <col min="3861" max="3861" width="4.42578125" style="1012" customWidth="1"/>
    <col min="3862" max="3862" width="14" style="1012" customWidth="1"/>
    <col min="3863" max="3863" width="1.5703125" style="1012" customWidth="1"/>
    <col min="3864" max="4096" width="9.140625" style="1012"/>
    <col min="4097" max="4097" width="6.28515625" style="1012" customWidth="1"/>
    <col min="4098" max="4098" width="1.5703125" style="1012" customWidth="1"/>
    <col min="4099" max="4099" width="16.5703125" style="1012" customWidth="1"/>
    <col min="4100" max="4100" width="0" style="1012" hidden="1" customWidth="1"/>
    <col min="4101" max="4101" width="4.85546875" style="1012" customWidth="1"/>
    <col min="4102" max="4102" width="1" style="1012" customWidth="1"/>
    <col min="4103" max="4103" width="13.140625" style="1012" customWidth="1"/>
    <col min="4104" max="4104" width="0" style="1012" hidden="1" customWidth="1"/>
    <col min="4105" max="4105" width="4.85546875" style="1012" customWidth="1"/>
    <col min="4106" max="4106" width="1" style="1012" customWidth="1"/>
    <col min="4107" max="4107" width="13.85546875" style="1012" customWidth="1"/>
    <col min="4108" max="4108" width="0" style="1012" hidden="1" customWidth="1"/>
    <col min="4109" max="4109" width="4.85546875" style="1012" customWidth="1"/>
    <col min="4110" max="4110" width="1" style="1012" customWidth="1"/>
    <col min="4111" max="4111" width="15.5703125" style="1012" customWidth="1"/>
    <col min="4112" max="4112" width="0" style="1012" hidden="1" customWidth="1"/>
    <col min="4113" max="4113" width="4.85546875" style="1012" customWidth="1"/>
    <col min="4114" max="4114" width="1" style="1012" customWidth="1"/>
    <col min="4115" max="4115" width="15.140625" style="1012" customWidth="1"/>
    <col min="4116" max="4116" width="0" style="1012" hidden="1" customWidth="1"/>
    <col min="4117" max="4117" width="4.42578125" style="1012" customWidth="1"/>
    <col min="4118" max="4118" width="14" style="1012" customWidth="1"/>
    <col min="4119" max="4119" width="1.5703125" style="1012" customWidth="1"/>
    <col min="4120" max="4352" width="9.140625" style="1012"/>
    <col min="4353" max="4353" width="6.28515625" style="1012" customWidth="1"/>
    <col min="4354" max="4354" width="1.5703125" style="1012" customWidth="1"/>
    <col min="4355" max="4355" width="16.5703125" style="1012" customWidth="1"/>
    <col min="4356" max="4356" width="0" style="1012" hidden="1" customWidth="1"/>
    <col min="4357" max="4357" width="4.85546875" style="1012" customWidth="1"/>
    <col min="4358" max="4358" width="1" style="1012" customWidth="1"/>
    <col min="4359" max="4359" width="13.140625" style="1012" customWidth="1"/>
    <col min="4360" max="4360" width="0" style="1012" hidden="1" customWidth="1"/>
    <col min="4361" max="4361" width="4.85546875" style="1012" customWidth="1"/>
    <col min="4362" max="4362" width="1" style="1012" customWidth="1"/>
    <col min="4363" max="4363" width="13.85546875" style="1012" customWidth="1"/>
    <col min="4364" max="4364" width="0" style="1012" hidden="1" customWidth="1"/>
    <col min="4365" max="4365" width="4.85546875" style="1012" customWidth="1"/>
    <col min="4366" max="4366" width="1" style="1012" customWidth="1"/>
    <col min="4367" max="4367" width="15.5703125" style="1012" customWidth="1"/>
    <col min="4368" max="4368" width="0" style="1012" hidden="1" customWidth="1"/>
    <col min="4369" max="4369" width="4.85546875" style="1012" customWidth="1"/>
    <col min="4370" max="4370" width="1" style="1012" customWidth="1"/>
    <col min="4371" max="4371" width="15.140625" style="1012" customWidth="1"/>
    <col min="4372" max="4372" width="0" style="1012" hidden="1" customWidth="1"/>
    <col min="4373" max="4373" width="4.42578125" style="1012" customWidth="1"/>
    <col min="4374" max="4374" width="14" style="1012" customWidth="1"/>
    <col min="4375" max="4375" width="1.5703125" style="1012" customWidth="1"/>
    <col min="4376" max="4608" width="9.140625" style="1012"/>
    <col min="4609" max="4609" width="6.28515625" style="1012" customWidth="1"/>
    <col min="4610" max="4610" width="1.5703125" style="1012" customWidth="1"/>
    <col min="4611" max="4611" width="16.5703125" style="1012" customWidth="1"/>
    <col min="4612" max="4612" width="0" style="1012" hidden="1" customWidth="1"/>
    <col min="4613" max="4613" width="4.85546875" style="1012" customWidth="1"/>
    <col min="4614" max="4614" width="1" style="1012" customWidth="1"/>
    <col min="4615" max="4615" width="13.140625" style="1012" customWidth="1"/>
    <col min="4616" max="4616" width="0" style="1012" hidden="1" customWidth="1"/>
    <col min="4617" max="4617" width="4.85546875" style="1012" customWidth="1"/>
    <col min="4618" max="4618" width="1" style="1012" customWidth="1"/>
    <col min="4619" max="4619" width="13.85546875" style="1012" customWidth="1"/>
    <col min="4620" max="4620" width="0" style="1012" hidden="1" customWidth="1"/>
    <col min="4621" max="4621" width="4.85546875" style="1012" customWidth="1"/>
    <col min="4622" max="4622" width="1" style="1012" customWidth="1"/>
    <col min="4623" max="4623" width="15.5703125" style="1012" customWidth="1"/>
    <col min="4624" max="4624" width="0" style="1012" hidden="1" customWidth="1"/>
    <col min="4625" max="4625" width="4.85546875" style="1012" customWidth="1"/>
    <col min="4626" max="4626" width="1" style="1012" customWidth="1"/>
    <col min="4627" max="4627" width="15.140625" style="1012" customWidth="1"/>
    <col min="4628" max="4628" width="0" style="1012" hidden="1" customWidth="1"/>
    <col min="4629" max="4629" width="4.42578125" style="1012" customWidth="1"/>
    <col min="4630" max="4630" width="14" style="1012" customWidth="1"/>
    <col min="4631" max="4631" width="1.5703125" style="1012" customWidth="1"/>
    <col min="4632" max="4864" width="9.140625" style="1012"/>
    <col min="4865" max="4865" width="6.28515625" style="1012" customWidth="1"/>
    <col min="4866" max="4866" width="1.5703125" style="1012" customWidth="1"/>
    <col min="4867" max="4867" width="16.5703125" style="1012" customWidth="1"/>
    <col min="4868" max="4868" width="0" style="1012" hidden="1" customWidth="1"/>
    <col min="4869" max="4869" width="4.85546875" style="1012" customWidth="1"/>
    <col min="4870" max="4870" width="1" style="1012" customWidth="1"/>
    <col min="4871" max="4871" width="13.140625" style="1012" customWidth="1"/>
    <col min="4872" max="4872" width="0" style="1012" hidden="1" customWidth="1"/>
    <col min="4873" max="4873" width="4.85546875" style="1012" customWidth="1"/>
    <col min="4874" max="4874" width="1" style="1012" customWidth="1"/>
    <col min="4875" max="4875" width="13.85546875" style="1012" customWidth="1"/>
    <col min="4876" max="4876" width="0" style="1012" hidden="1" customWidth="1"/>
    <col min="4877" max="4877" width="4.85546875" style="1012" customWidth="1"/>
    <col min="4878" max="4878" width="1" style="1012" customWidth="1"/>
    <col min="4879" max="4879" width="15.5703125" style="1012" customWidth="1"/>
    <col min="4880" max="4880" width="0" style="1012" hidden="1" customWidth="1"/>
    <col min="4881" max="4881" width="4.85546875" style="1012" customWidth="1"/>
    <col min="4882" max="4882" width="1" style="1012" customWidth="1"/>
    <col min="4883" max="4883" width="15.140625" style="1012" customWidth="1"/>
    <col min="4884" max="4884" width="0" style="1012" hidden="1" customWidth="1"/>
    <col min="4885" max="4885" width="4.42578125" style="1012" customWidth="1"/>
    <col min="4886" max="4886" width="14" style="1012" customWidth="1"/>
    <col min="4887" max="4887" width="1.5703125" style="1012" customWidth="1"/>
    <col min="4888" max="5120" width="9.140625" style="1012"/>
    <col min="5121" max="5121" width="6.28515625" style="1012" customWidth="1"/>
    <col min="5122" max="5122" width="1.5703125" style="1012" customWidth="1"/>
    <col min="5123" max="5123" width="16.5703125" style="1012" customWidth="1"/>
    <col min="5124" max="5124" width="0" style="1012" hidden="1" customWidth="1"/>
    <col min="5125" max="5125" width="4.85546875" style="1012" customWidth="1"/>
    <col min="5126" max="5126" width="1" style="1012" customWidth="1"/>
    <col min="5127" max="5127" width="13.140625" style="1012" customWidth="1"/>
    <col min="5128" max="5128" width="0" style="1012" hidden="1" customWidth="1"/>
    <col min="5129" max="5129" width="4.85546875" style="1012" customWidth="1"/>
    <col min="5130" max="5130" width="1" style="1012" customWidth="1"/>
    <col min="5131" max="5131" width="13.85546875" style="1012" customWidth="1"/>
    <col min="5132" max="5132" width="0" style="1012" hidden="1" customWidth="1"/>
    <col min="5133" max="5133" width="4.85546875" style="1012" customWidth="1"/>
    <col min="5134" max="5134" width="1" style="1012" customWidth="1"/>
    <col min="5135" max="5135" width="15.5703125" style="1012" customWidth="1"/>
    <col min="5136" max="5136" width="0" style="1012" hidden="1" customWidth="1"/>
    <col min="5137" max="5137" width="4.85546875" style="1012" customWidth="1"/>
    <col min="5138" max="5138" width="1" style="1012" customWidth="1"/>
    <col min="5139" max="5139" width="15.140625" style="1012" customWidth="1"/>
    <col min="5140" max="5140" width="0" style="1012" hidden="1" customWidth="1"/>
    <col min="5141" max="5141" width="4.42578125" style="1012" customWidth="1"/>
    <col min="5142" max="5142" width="14" style="1012" customWidth="1"/>
    <col min="5143" max="5143" width="1.5703125" style="1012" customWidth="1"/>
    <col min="5144" max="5376" width="9.140625" style="1012"/>
    <col min="5377" max="5377" width="6.28515625" style="1012" customWidth="1"/>
    <col min="5378" max="5378" width="1.5703125" style="1012" customWidth="1"/>
    <col min="5379" max="5379" width="16.5703125" style="1012" customWidth="1"/>
    <col min="5380" max="5380" width="0" style="1012" hidden="1" customWidth="1"/>
    <col min="5381" max="5381" width="4.85546875" style="1012" customWidth="1"/>
    <col min="5382" max="5382" width="1" style="1012" customWidth="1"/>
    <col min="5383" max="5383" width="13.140625" style="1012" customWidth="1"/>
    <col min="5384" max="5384" width="0" style="1012" hidden="1" customWidth="1"/>
    <col min="5385" max="5385" width="4.85546875" style="1012" customWidth="1"/>
    <col min="5386" max="5386" width="1" style="1012" customWidth="1"/>
    <col min="5387" max="5387" width="13.85546875" style="1012" customWidth="1"/>
    <col min="5388" max="5388" width="0" style="1012" hidden="1" customWidth="1"/>
    <col min="5389" max="5389" width="4.85546875" style="1012" customWidth="1"/>
    <col min="5390" max="5390" width="1" style="1012" customWidth="1"/>
    <col min="5391" max="5391" width="15.5703125" style="1012" customWidth="1"/>
    <col min="5392" max="5392" width="0" style="1012" hidden="1" customWidth="1"/>
    <col min="5393" max="5393" width="4.85546875" style="1012" customWidth="1"/>
    <col min="5394" max="5394" width="1" style="1012" customWidth="1"/>
    <col min="5395" max="5395" width="15.140625" style="1012" customWidth="1"/>
    <col min="5396" max="5396" width="0" style="1012" hidden="1" customWidth="1"/>
    <col min="5397" max="5397" width="4.42578125" style="1012" customWidth="1"/>
    <col min="5398" max="5398" width="14" style="1012" customWidth="1"/>
    <col min="5399" max="5399" width="1.5703125" style="1012" customWidth="1"/>
    <col min="5400" max="5632" width="9.140625" style="1012"/>
    <col min="5633" max="5633" width="6.28515625" style="1012" customWidth="1"/>
    <col min="5634" max="5634" width="1.5703125" style="1012" customWidth="1"/>
    <col min="5635" max="5635" width="16.5703125" style="1012" customWidth="1"/>
    <col min="5636" max="5636" width="0" style="1012" hidden="1" customWidth="1"/>
    <col min="5637" max="5637" width="4.85546875" style="1012" customWidth="1"/>
    <col min="5638" max="5638" width="1" style="1012" customWidth="1"/>
    <col min="5639" max="5639" width="13.140625" style="1012" customWidth="1"/>
    <col min="5640" max="5640" width="0" style="1012" hidden="1" customWidth="1"/>
    <col min="5641" max="5641" width="4.85546875" style="1012" customWidth="1"/>
    <col min="5642" max="5642" width="1" style="1012" customWidth="1"/>
    <col min="5643" max="5643" width="13.85546875" style="1012" customWidth="1"/>
    <col min="5644" max="5644" width="0" style="1012" hidden="1" customWidth="1"/>
    <col min="5645" max="5645" width="4.85546875" style="1012" customWidth="1"/>
    <col min="5646" max="5646" width="1" style="1012" customWidth="1"/>
    <col min="5647" max="5647" width="15.5703125" style="1012" customWidth="1"/>
    <col min="5648" max="5648" width="0" style="1012" hidden="1" customWidth="1"/>
    <col min="5649" max="5649" width="4.85546875" style="1012" customWidth="1"/>
    <col min="5650" max="5650" width="1" style="1012" customWidth="1"/>
    <col min="5651" max="5651" width="15.140625" style="1012" customWidth="1"/>
    <col min="5652" max="5652" width="0" style="1012" hidden="1" customWidth="1"/>
    <col min="5653" max="5653" width="4.42578125" style="1012" customWidth="1"/>
    <col min="5654" max="5654" width="14" style="1012" customWidth="1"/>
    <col min="5655" max="5655" width="1.5703125" style="1012" customWidth="1"/>
    <col min="5656" max="5888" width="9.140625" style="1012"/>
    <col min="5889" max="5889" width="6.28515625" style="1012" customWidth="1"/>
    <col min="5890" max="5890" width="1.5703125" style="1012" customWidth="1"/>
    <col min="5891" max="5891" width="16.5703125" style="1012" customWidth="1"/>
    <col min="5892" max="5892" width="0" style="1012" hidden="1" customWidth="1"/>
    <col min="5893" max="5893" width="4.85546875" style="1012" customWidth="1"/>
    <col min="5894" max="5894" width="1" style="1012" customWidth="1"/>
    <col min="5895" max="5895" width="13.140625" style="1012" customWidth="1"/>
    <col min="5896" max="5896" width="0" style="1012" hidden="1" customWidth="1"/>
    <col min="5897" max="5897" width="4.85546875" style="1012" customWidth="1"/>
    <col min="5898" max="5898" width="1" style="1012" customWidth="1"/>
    <col min="5899" max="5899" width="13.85546875" style="1012" customWidth="1"/>
    <col min="5900" max="5900" width="0" style="1012" hidden="1" customWidth="1"/>
    <col min="5901" max="5901" width="4.85546875" style="1012" customWidth="1"/>
    <col min="5902" max="5902" width="1" style="1012" customWidth="1"/>
    <col min="5903" max="5903" width="15.5703125" style="1012" customWidth="1"/>
    <col min="5904" max="5904" width="0" style="1012" hidden="1" customWidth="1"/>
    <col min="5905" max="5905" width="4.85546875" style="1012" customWidth="1"/>
    <col min="5906" max="5906" width="1" style="1012" customWidth="1"/>
    <col min="5907" max="5907" width="15.140625" style="1012" customWidth="1"/>
    <col min="5908" max="5908" width="0" style="1012" hidden="1" customWidth="1"/>
    <col min="5909" max="5909" width="4.42578125" style="1012" customWidth="1"/>
    <col min="5910" max="5910" width="14" style="1012" customWidth="1"/>
    <col min="5911" max="5911" width="1.5703125" style="1012" customWidth="1"/>
    <col min="5912" max="6144" width="9.140625" style="1012"/>
    <col min="6145" max="6145" width="6.28515625" style="1012" customWidth="1"/>
    <col min="6146" max="6146" width="1.5703125" style="1012" customWidth="1"/>
    <col min="6147" max="6147" width="16.5703125" style="1012" customWidth="1"/>
    <col min="6148" max="6148" width="0" style="1012" hidden="1" customWidth="1"/>
    <col min="6149" max="6149" width="4.85546875" style="1012" customWidth="1"/>
    <col min="6150" max="6150" width="1" style="1012" customWidth="1"/>
    <col min="6151" max="6151" width="13.140625" style="1012" customWidth="1"/>
    <col min="6152" max="6152" width="0" style="1012" hidden="1" customWidth="1"/>
    <col min="6153" max="6153" width="4.85546875" style="1012" customWidth="1"/>
    <col min="6154" max="6154" width="1" style="1012" customWidth="1"/>
    <col min="6155" max="6155" width="13.85546875" style="1012" customWidth="1"/>
    <col min="6156" max="6156" width="0" style="1012" hidden="1" customWidth="1"/>
    <col min="6157" max="6157" width="4.85546875" style="1012" customWidth="1"/>
    <col min="6158" max="6158" width="1" style="1012" customWidth="1"/>
    <col min="6159" max="6159" width="15.5703125" style="1012" customWidth="1"/>
    <col min="6160" max="6160" width="0" style="1012" hidden="1" customWidth="1"/>
    <col min="6161" max="6161" width="4.85546875" style="1012" customWidth="1"/>
    <col min="6162" max="6162" width="1" style="1012" customWidth="1"/>
    <col min="6163" max="6163" width="15.140625" style="1012" customWidth="1"/>
    <col min="6164" max="6164" width="0" style="1012" hidden="1" customWidth="1"/>
    <col min="6165" max="6165" width="4.42578125" style="1012" customWidth="1"/>
    <col min="6166" max="6166" width="14" style="1012" customWidth="1"/>
    <col min="6167" max="6167" width="1.5703125" style="1012" customWidth="1"/>
    <col min="6168" max="6400" width="9.140625" style="1012"/>
    <col min="6401" max="6401" width="6.28515625" style="1012" customWidth="1"/>
    <col min="6402" max="6402" width="1.5703125" style="1012" customWidth="1"/>
    <col min="6403" max="6403" width="16.5703125" style="1012" customWidth="1"/>
    <col min="6404" max="6404" width="0" style="1012" hidden="1" customWidth="1"/>
    <col min="6405" max="6405" width="4.85546875" style="1012" customWidth="1"/>
    <col min="6406" max="6406" width="1" style="1012" customWidth="1"/>
    <col min="6407" max="6407" width="13.140625" style="1012" customWidth="1"/>
    <col min="6408" max="6408" width="0" style="1012" hidden="1" customWidth="1"/>
    <col min="6409" max="6409" width="4.85546875" style="1012" customWidth="1"/>
    <col min="6410" max="6410" width="1" style="1012" customWidth="1"/>
    <col min="6411" max="6411" width="13.85546875" style="1012" customWidth="1"/>
    <col min="6412" max="6412" width="0" style="1012" hidden="1" customWidth="1"/>
    <col min="6413" max="6413" width="4.85546875" style="1012" customWidth="1"/>
    <col min="6414" max="6414" width="1" style="1012" customWidth="1"/>
    <col min="6415" max="6415" width="15.5703125" style="1012" customWidth="1"/>
    <col min="6416" max="6416" width="0" style="1012" hidden="1" customWidth="1"/>
    <col min="6417" max="6417" width="4.85546875" style="1012" customWidth="1"/>
    <col min="6418" max="6418" width="1" style="1012" customWidth="1"/>
    <col min="6419" max="6419" width="15.140625" style="1012" customWidth="1"/>
    <col min="6420" max="6420" width="0" style="1012" hidden="1" customWidth="1"/>
    <col min="6421" max="6421" width="4.42578125" style="1012" customWidth="1"/>
    <col min="6422" max="6422" width="14" style="1012" customWidth="1"/>
    <col min="6423" max="6423" width="1.5703125" style="1012" customWidth="1"/>
    <col min="6424" max="6656" width="9.140625" style="1012"/>
    <col min="6657" max="6657" width="6.28515625" style="1012" customWidth="1"/>
    <col min="6658" max="6658" width="1.5703125" style="1012" customWidth="1"/>
    <col min="6659" max="6659" width="16.5703125" style="1012" customWidth="1"/>
    <col min="6660" max="6660" width="0" style="1012" hidden="1" customWidth="1"/>
    <col min="6661" max="6661" width="4.85546875" style="1012" customWidth="1"/>
    <col min="6662" max="6662" width="1" style="1012" customWidth="1"/>
    <col min="6663" max="6663" width="13.140625" style="1012" customWidth="1"/>
    <col min="6664" max="6664" width="0" style="1012" hidden="1" customWidth="1"/>
    <col min="6665" max="6665" width="4.85546875" style="1012" customWidth="1"/>
    <col min="6666" max="6666" width="1" style="1012" customWidth="1"/>
    <col min="6667" max="6667" width="13.85546875" style="1012" customWidth="1"/>
    <col min="6668" max="6668" width="0" style="1012" hidden="1" customWidth="1"/>
    <col min="6669" max="6669" width="4.85546875" style="1012" customWidth="1"/>
    <col min="6670" max="6670" width="1" style="1012" customWidth="1"/>
    <col min="6671" max="6671" width="15.5703125" style="1012" customWidth="1"/>
    <col min="6672" max="6672" width="0" style="1012" hidden="1" customWidth="1"/>
    <col min="6673" max="6673" width="4.85546875" style="1012" customWidth="1"/>
    <col min="6674" max="6674" width="1" style="1012" customWidth="1"/>
    <col min="6675" max="6675" width="15.140625" style="1012" customWidth="1"/>
    <col min="6676" max="6676" width="0" style="1012" hidden="1" customWidth="1"/>
    <col min="6677" max="6677" width="4.42578125" style="1012" customWidth="1"/>
    <col min="6678" max="6678" width="14" style="1012" customWidth="1"/>
    <col min="6679" max="6679" width="1.5703125" style="1012" customWidth="1"/>
    <col min="6680" max="6912" width="9.140625" style="1012"/>
    <col min="6913" max="6913" width="6.28515625" style="1012" customWidth="1"/>
    <col min="6914" max="6914" width="1.5703125" style="1012" customWidth="1"/>
    <col min="6915" max="6915" width="16.5703125" style="1012" customWidth="1"/>
    <col min="6916" max="6916" width="0" style="1012" hidden="1" customWidth="1"/>
    <col min="6917" max="6917" width="4.85546875" style="1012" customWidth="1"/>
    <col min="6918" max="6918" width="1" style="1012" customWidth="1"/>
    <col min="6919" max="6919" width="13.140625" style="1012" customWidth="1"/>
    <col min="6920" max="6920" width="0" style="1012" hidden="1" customWidth="1"/>
    <col min="6921" max="6921" width="4.85546875" style="1012" customWidth="1"/>
    <col min="6922" max="6922" width="1" style="1012" customWidth="1"/>
    <col min="6923" max="6923" width="13.85546875" style="1012" customWidth="1"/>
    <col min="6924" max="6924" width="0" style="1012" hidden="1" customWidth="1"/>
    <col min="6925" max="6925" width="4.85546875" style="1012" customWidth="1"/>
    <col min="6926" max="6926" width="1" style="1012" customWidth="1"/>
    <col min="6927" max="6927" width="15.5703125" style="1012" customWidth="1"/>
    <col min="6928" max="6928" width="0" style="1012" hidden="1" customWidth="1"/>
    <col min="6929" max="6929" width="4.85546875" style="1012" customWidth="1"/>
    <col min="6930" max="6930" width="1" style="1012" customWidth="1"/>
    <col min="6931" max="6931" width="15.140625" style="1012" customWidth="1"/>
    <col min="6932" max="6932" width="0" style="1012" hidden="1" customWidth="1"/>
    <col min="6933" max="6933" width="4.42578125" style="1012" customWidth="1"/>
    <col min="6934" max="6934" width="14" style="1012" customWidth="1"/>
    <col min="6935" max="6935" width="1.5703125" style="1012" customWidth="1"/>
    <col min="6936" max="7168" width="9.140625" style="1012"/>
    <col min="7169" max="7169" width="6.28515625" style="1012" customWidth="1"/>
    <col min="7170" max="7170" width="1.5703125" style="1012" customWidth="1"/>
    <col min="7171" max="7171" width="16.5703125" style="1012" customWidth="1"/>
    <col min="7172" max="7172" width="0" style="1012" hidden="1" customWidth="1"/>
    <col min="7173" max="7173" width="4.85546875" style="1012" customWidth="1"/>
    <col min="7174" max="7174" width="1" style="1012" customWidth="1"/>
    <col min="7175" max="7175" width="13.140625" style="1012" customWidth="1"/>
    <col min="7176" max="7176" width="0" style="1012" hidden="1" customWidth="1"/>
    <col min="7177" max="7177" width="4.85546875" style="1012" customWidth="1"/>
    <col min="7178" max="7178" width="1" style="1012" customWidth="1"/>
    <col min="7179" max="7179" width="13.85546875" style="1012" customWidth="1"/>
    <col min="7180" max="7180" width="0" style="1012" hidden="1" customWidth="1"/>
    <col min="7181" max="7181" width="4.85546875" style="1012" customWidth="1"/>
    <col min="7182" max="7182" width="1" style="1012" customWidth="1"/>
    <col min="7183" max="7183" width="15.5703125" style="1012" customWidth="1"/>
    <col min="7184" max="7184" width="0" style="1012" hidden="1" customWidth="1"/>
    <col min="7185" max="7185" width="4.85546875" style="1012" customWidth="1"/>
    <col min="7186" max="7186" width="1" style="1012" customWidth="1"/>
    <col min="7187" max="7187" width="15.140625" style="1012" customWidth="1"/>
    <col min="7188" max="7188" width="0" style="1012" hidden="1" customWidth="1"/>
    <col min="7189" max="7189" width="4.42578125" style="1012" customWidth="1"/>
    <col min="7190" max="7190" width="14" style="1012" customWidth="1"/>
    <col min="7191" max="7191" width="1.5703125" style="1012" customWidth="1"/>
    <col min="7192" max="7424" width="9.140625" style="1012"/>
    <col min="7425" max="7425" width="6.28515625" style="1012" customWidth="1"/>
    <col min="7426" max="7426" width="1.5703125" style="1012" customWidth="1"/>
    <col min="7427" max="7427" width="16.5703125" style="1012" customWidth="1"/>
    <col min="7428" max="7428" width="0" style="1012" hidden="1" customWidth="1"/>
    <col min="7429" max="7429" width="4.85546875" style="1012" customWidth="1"/>
    <col min="7430" max="7430" width="1" style="1012" customWidth="1"/>
    <col min="7431" max="7431" width="13.140625" style="1012" customWidth="1"/>
    <col min="7432" max="7432" width="0" style="1012" hidden="1" customWidth="1"/>
    <col min="7433" max="7433" width="4.85546875" style="1012" customWidth="1"/>
    <col min="7434" max="7434" width="1" style="1012" customWidth="1"/>
    <col min="7435" max="7435" width="13.85546875" style="1012" customWidth="1"/>
    <col min="7436" max="7436" width="0" style="1012" hidden="1" customWidth="1"/>
    <col min="7437" max="7437" width="4.85546875" style="1012" customWidth="1"/>
    <col min="7438" max="7438" width="1" style="1012" customWidth="1"/>
    <col min="7439" max="7439" width="15.5703125" style="1012" customWidth="1"/>
    <col min="7440" max="7440" width="0" style="1012" hidden="1" customWidth="1"/>
    <col min="7441" max="7441" width="4.85546875" style="1012" customWidth="1"/>
    <col min="7442" max="7442" width="1" style="1012" customWidth="1"/>
    <col min="7443" max="7443" width="15.140625" style="1012" customWidth="1"/>
    <col min="7444" max="7444" width="0" style="1012" hidden="1" customWidth="1"/>
    <col min="7445" max="7445" width="4.42578125" style="1012" customWidth="1"/>
    <col min="7446" max="7446" width="14" style="1012" customWidth="1"/>
    <col min="7447" max="7447" width="1.5703125" style="1012" customWidth="1"/>
    <col min="7448" max="7680" width="9.140625" style="1012"/>
    <col min="7681" max="7681" width="6.28515625" style="1012" customWidth="1"/>
    <col min="7682" max="7682" width="1.5703125" style="1012" customWidth="1"/>
    <col min="7683" max="7683" width="16.5703125" style="1012" customWidth="1"/>
    <col min="7684" max="7684" width="0" style="1012" hidden="1" customWidth="1"/>
    <col min="7685" max="7685" width="4.85546875" style="1012" customWidth="1"/>
    <col min="7686" max="7686" width="1" style="1012" customWidth="1"/>
    <col min="7687" max="7687" width="13.140625" style="1012" customWidth="1"/>
    <col min="7688" max="7688" width="0" style="1012" hidden="1" customWidth="1"/>
    <col min="7689" max="7689" width="4.85546875" style="1012" customWidth="1"/>
    <col min="7690" max="7690" width="1" style="1012" customWidth="1"/>
    <col min="7691" max="7691" width="13.85546875" style="1012" customWidth="1"/>
    <col min="7692" max="7692" width="0" style="1012" hidden="1" customWidth="1"/>
    <col min="7693" max="7693" width="4.85546875" style="1012" customWidth="1"/>
    <col min="7694" max="7694" width="1" style="1012" customWidth="1"/>
    <col min="7695" max="7695" width="15.5703125" style="1012" customWidth="1"/>
    <col min="7696" max="7696" width="0" style="1012" hidden="1" customWidth="1"/>
    <col min="7697" max="7697" width="4.85546875" style="1012" customWidth="1"/>
    <col min="7698" max="7698" width="1" style="1012" customWidth="1"/>
    <col min="7699" max="7699" width="15.140625" style="1012" customWidth="1"/>
    <col min="7700" max="7700" width="0" style="1012" hidden="1" customWidth="1"/>
    <col min="7701" max="7701" width="4.42578125" style="1012" customWidth="1"/>
    <col min="7702" max="7702" width="14" style="1012" customWidth="1"/>
    <col min="7703" max="7703" width="1.5703125" style="1012" customWidth="1"/>
    <col min="7704" max="7936" width="9.140625" style="1012"/>
    <col min="7937" max="7937" width="6.28515625" style="1012" customWidth="1"/>
    <col min="7938" max="7938" width="1.5703125" style="1012" customWidth="1"/>
    <col min="7939" max="7939" width="16.5703125" style="1012" customWidth="1"/>
    <col min="7940" max="7940" width="0" style="1012" hidden="1" customWidth="1"/>
    <col min="7941" max="7941" width="4.85546875" style="1012" customWidth="1"/>
    <col min="7942" max="7942" width="1" style="1012" customWidth="1"/>
    <col min="7943" max="7943" width="13.140625" style="1012" customWidth="1"/>
    <col min="7944" max="7944" width="0" style="1012" hidden="1" customWidth="1"/>
    <col min="7945" max="7945" width="4.85546875" style="1012" customWidth="1"/>
    <col min="7946" max="7946" width="1" style="1012" customWidth="1"/>
    <col min="7947" max="7947" width="13.85546875" style="1012" customWidth="1"/>
    <col min="7948" max="7948" width="0" style="1012" hidden="1" customWidth="1"/>
    <col min="7949" max="7949" width="4.85546875" style="1012" customWidth="1"/>
    <col min="7950" max="7950" width="1" style="1012" customWidth="1"/>
    <col min="7951" max="7951" width="15.5703125" style="1012" customWidth="1"/>
    <col min="7952" max="7952" width="0" style="1012" hidden="1" customWidth="1"/>
    <col min="7953" max="7953" width="4.85546875" style="1012" customWidth="1"/>
    <col min="7954" max="7954" width="1" style="1012" customWidth="1"/>
    <col min="7955" max="7955" width="15.140625" style="1012" customWidth="1"/>
    <col min="7956" max="7956" width="0" style="1012" hidden="1" customWidth="1"/>
    <col min="7957" max="7957" width="4.42578125" style="1012" customWidth="1"/>
    <col min="7958" max="7958" width="14" style="1012" customWidth="1"/>
    <col min="7959" max="7959" width="1.5703125" style="1012" customWidth="1"/>
    <col min="7960" max="8192" width="9.140625" style="1012"/>
    <col min="8193" max="8193" width="6.28515625" style="1012" customWidth="1"/>
    <col min="8194" max="8194" width="1.5703125" style="1012" customWidth="1"/>
    <col min="8195" max="8195" width="16.5703125" style="1012" customWidth="1"/>
    <col min="8196" max="8196" width="0" style="1012" hidden="1" customWidth="1"/>
    <col min="8197" max="8197" width="4.85546875" style="1012" customWidth="1"/>
    <col min="8198" max="8198" width="1" style="1012" customWidth="1"/>
    <col min="8199" max="8199" width="13.140625" style="1012" customWidth="1"/>
    <col min="8200" max="8200" width="0" style="1012" hidden="1" customWidth="1"/>
    <col min="8201" max="8201" width="4.85546875" style="1012" customWidth="1"/>
    <col min="8202" max="8202" width="1" style="1012" customWidth="1"/>
    <col min="8203" max="8203" width="13.85546875" style="1012" customWidth="1"/>
    <col min="8204" max="8204" width="0" style="1012" hidden="1" customWidth="1"/>
    <col min="8205" max="8205" width="4.85546875" style="1012" customWidth="1"/>
    <col min="8206" max="8206" width="1" style="1012" customWidth="1"/>
    <col min="8207" max="8207" width="15.5703125" style="1012" customWidth="1"/>
    <col min="8208" max="8208" width="0" style="1012" hidden="1" customWidth="1"/>
    <col min="8209" max="8209" width="4.85546875" style="1012" customWidth="1"/>
    <col min="8210" max="8210" width="1" style="1012" customWidth="1"/>
    <col min="8211" max="8211" width="15.140625" style="1012" customWidth="1"/>
    <col min="8212" max="8212" width="0" style="1012" hidden="1" customWidth="1"/>
    <col min="8213" max="8213" width="4.42578125" style="1012" customWidth="1"/>
    <col min="8214" max="8214" width="14" style="1012" customWidth="1"/>
    <col min="8215" max="8215" width="1.5703125" style="1012" customWidth="1"/>
    <col min="8216" max="8448" width="9.140625" style="1012"/>
    <col min="8449" max="8449" width="6.28515625" style="1012" customWidth="1"/>
    <col min="8450" max="8450" width="1.5703125" style="1012" customWidth="1"/>
    <col min="8451" max="8451" width="16.5703125" style="1012" customWidth="1"/>
    <col min="8452" max="8452" width="0" style="1012" hidden="1" customWidth="1"/>
    <col min="8453" max="8453" width="4.85546875" style="1012" customWidth="1"/>
    <col min="8454" max="8454" width="1" style="1012" customWidth="1"/>
    <col min="8455" max="8455" width="13.140625" style="1012" customWidth="1"/>
    <col min="8456" max="8456" width="0" style="1012" hidden="1" customWidth="1"/>
    <col min="8457" max="8457" width="4.85546875" style="1012" customWidth="1"/>
    <col min="8458" max="8458" width="1" style="1012" customWidth="1"/>
    <col min="8459" max="8459" width="13.85546875" style="1012" customWidth="1"/>
    <col min="8460" max="8460" width="0" style="1012" hidden="1" customWidth="1"/>
    <col min="8461" max="8461" width="4.85546875" style="1012" customWidth="1"/>
    <col min="8462" max="8462" width="1" style="1012" customWidth="1"/>
    <col min="8463" max="8463" width="15.5703125" style="1012" customWidth="1"/>
    <col min="8464" max="8464" width="0" style="1012" hidden="1" customWidth="1"/>
    <col min="8465" max="8465" width="4.85546875" style="1012" customWidth="1"/>
    <col min="8466" max="8466" width="1" style="1012" customWidth="1"/>
    <col min="8467" max="8467" width="15.140625" style="1012" customWidth="1"/>
    <col min="8468" max="8468" width="0" style="1012" hidden="1" customWidth="1"/>
    <col min="8469" max="8469" width="4.42578125" style="1012" customWidth="1"/>
    <col min="8470" max="8470" width="14" style="1012" customWidth="1"/>
    <col min="8471" max="8471" width="1.5703125" style="1012" customWidth="1"/>
    <col min="8472" max="8704" width="9.140625" style="1012"/>
    <col min="8705" max="8705" width="6.28515625" style="1012" customWidth="1"/>
    <col min="8706" max="8706" width="1.5703125" style="1012" customWidth="1"/>
    <col min="8707" max="8707" width="16.5703125" style="1012" customWidth="1"/>
    <col min="8708" max="8708" width="0" style="1012" hidden="1" customWidth="1"/>
    <col min="8709" max="8709" width="4.85546875" style="1012" customWidth="1"/>
    <col min="8710" max="8710" width="1" style="1012" customWidth="1"/>
    <col min="8711" max="8711" width="13.140625" style="1012" customWidth="1"/>
    <col min="8712" max="8712" width="0" style="1012" hidden="1" customWidth="1"/>
    <col min="8713" max="8713" width="4.85546875" style="1012" customWidth="1"/>
    <col min="8714" max="8714" width="1" style="1012" customWidth="1"/>
    <col min="8715" max="8715" width="13.85546875" style="1012" customWidth="1"/>
    <col min="8716" max="8716" width="0" style="1012" hidden="1" customWidth="1"/>
    <col min="8717" max="8717" width="4.85546875" style="1012" customWidth="1"/>
    <col min="8718" max="8718" width="1" style="1012" customWidth="1"/>
    <col min="8719" max="8719" width="15.5703125" style="1012" customWidth="1"/>
    <col min="8720" max="8720" width="0" style="1012" hidden="1" customWidth="1"/>
    <col min="8721" max="8721" width="4.85546875" style="1012" customWidth="1"/>
    <col min="8722" max="8722" width="1" style="1012" customWidth="1"/>
    <col min="8723" max="8723" width="15.140625" style="1012" customWidth="1"/>
    <col min="8724" max="8724" width="0" style="1012" hidden="1" customWidth="1"/>
    <col min="8725" max="8725" width="4.42578125" style="1012" customWidth="1"/>
    <col min="8726" max="8726" width="14" style="1012" customWidth="1"/>
    <col min="8727" max="8727" width="1.5703125" style="1012" customWidth="1"/>
    <col min="8728" max="8960" width="9.140625" style="1012"/>
    <col min="8961" max="8961" width="6.28515625" style="1012" customWidth="1"/>
    <col min="8962" max="8962" width="1.5703125" style="1012" customWidth="1"/>
    <col min="8963" max="8963" width="16.5703125" style="1012" customWidth="1"/>
    <col min="8964" max="8964" width="0" style="1012" hidden="1" customWidth="1"/>
    <col min="8965" max="8965" width="4.85546875" style="1012" customWidth="1"/>
    <col min="8966" max="8966" width="1" style="1012" customWidth="1"/>
    <col min="8967" max="8967" width="13.140625" style="1012" customWidth="1"/>
    <col min="8968" max="8968" width="0" style="1012" hidden="1" customWidth="1"/>
    <col min="8969" max="8969" width="4.85546875" style="1012" customWidth="1"/>
    <col min="8970" max="8970" width="1" style="1012" customWidth="1"/>
    <col min="8971" max="8971" width="13.85546875" style="1012" customWidth="1"/>
    <col min="8972" max="8972" width="0" style="1012" hidden="1" customWidth="1"/>
    <col min="8973" max="8973" width="4.85546875" style="1012" customWidth="1"/>
    <col min="8974" max="8974" width="1" style="1012" customWidth="1"/>
    <col min="8975" max="8975" width="15.5703125" style="1012" customWidth="1"/>
    <col min="8976" max="8976" width="0" style="1012" hidden="1" customWidth="1"/>
    <col min="8977" max="8977" width="4.85546875" style="1012" customWidth="1"/>
    <col min="8978" max="8978" width="1" style="1012" customWidth="1"/>
    <col min="8979" max="8979" width="15.140625" style="1012" customWidth="1"/>
    <col min="8980" max="8980" width="0" style="1012" hidden="1" customWidth="1"/>
    <col min="8981" max="8981" width="4.42578125" style="1012" customWidth="1"/>
    <col min="8982" max="8982" width="14" style="1012" customWidth="1"/>
    <col min="8983" max="8983" width="1.5703125" style="1012" customWidth="1"/>
    <col min="8984" max="9216" width="9.140625" style="1012"/>
    <col min="9217" max="9217" width="6.28515625" style="1012" customWidth="1"/>
    <col min="9218" max="9218" width="1.5703125" style="1012" customWidth="1"/>
    <col min="9219" max="9219" width="16.5703125" style="1012" customWidth="1"/>
    <col min="9220" max="9220" width="0" style="1012" hidden="1" customWidth="1"/>
    <col min="9221" max="9221" width="4.85546875" style="1012" customWidth="1"/>
    <col min="9222" max="9222" width="1" style="1012" customWidth="1"/>
    <col min="9223" max="9223" width="13.140625" style="1012" customWidth="1"/>
    <col min="9224" max="9224" width="0" style="1012" hidden="1" customWidth="1"/>
    <col min="9225" max="9225" width="4.85546875" style="1012" customWidth="1"/>
    <col min="9226" max="9226" width="1" style="1012" customWidth="1"/>
    <col min="9227" max="9227" width="13.85546875" style="1012" customWidth="1"/>
    <col min="9228" max="9228" width="0" style="1012" hidden="1" customWidth="1"/>
    <col min="9229" max="9229" width="4.85546875" style="1012" customWidth="1"/>
    <col min="9230" max="9230" width="1" style="1012" customWidth="1"/>
    <col min="9231" max="9231" width="15.5703125" style="1012" customWidth="1"/>
    <col min="9232" max="9232" width="0" style="1012" hidden="1" customWidth="1"/>
    <col min="9233" max="9233" width="4.85546875" style="1012" customWidth="1"/>
    <col min="9234" max="9234" width="1" style="1012" customWidth="1"/>
    <col min="9235" max="9235" width="15.140625" style="1012" customWidth="1"/>
    <col min="9236" max="9236" width="0" style="1012" hidden="1" customWidth="1"/>
    <col min="9237" max="9237" width="4.42578125" style="1012" customWidth="1"/>
    <col min="9238" max="9238" width="14" style="1012" customWidth="1"/>
    <col min="9239" max="9239" width="1.5703125" style="1012" customWidth="1"/>
    <col min="9240" max="9472" width="9.140625" style="1012"/>
    <col min="9473" max="9473" width="6.28515625" style="1012" customWidth="1"/>
    <col min="9474" max="9474" width="1.5703125" style="1012" customWidth="1"/>
    <col min="9475" max="9475" width="16.5703125" style="1012" customWidth="1"/>
    <col min="9476" max="9476" width="0" style="1012" hidden="1" customWidth="1"/>
    <col min="9477" max="9477" width="4.85546875" style="1012" customWidth="1"/>
    <col min="9478" max="9478" width="1" style="1012" customWidth="1"/>
    <col min="9479" max="9479" width="13.140625" style="1012" customWidth="1"/>
    <col min="9480" max="9480" width="0" style="1012" hidden="1" customWidth="1"/>
    <col min="9481" max="9481" width="4.85546875" style="1012" customWidth="1"/>
    <col min="9482" max="9482" width="1" style="1012" customWidth="1"/>
    <col min="9483" max="9483" width="13.85546875" style="1012" customWidth="1"/>
    <col min="9484" max="9484" width="0" style="1012" hidden="1" customWidth="1"/>
    <col min="9485" max="9485" width="4.85546875" style="1012" customWidth="1"/>
    <col min="9486" max="9486" width="1" style="1012" customWidth="1"/>
    <col min="9487" max="9487" width="15.5703125" style="1012" customWidth="1"/>
    <col min="9488" max="9488" width="0" style="1012" hidden="1" customWidth="1"/>
    <col min="9489" max="9489" width="4.85546875" style="1012" customWidth="1"/>
    <col min="9490" max="9490" width="1" style="1012" customWidth="1"/>
    <col min="9491" max="9491" width="15.140625" style="1012" customWidth="1"/>
    <col min="9492" max="9492" width="0" style="1012" hidden="1" customWidth="1"/>
    <col min="9493" max="9493" width="4.42578125" style="1012" customWidth="1"/>
    <col min="9494" max="9494" width="14" style="1012" customWidth="1"/>
    <col min="9495" max="9495" width="1.5703125" style="1012" customWidth="1"/>
    <col min="9496" max="9728" width="9.140625" style="1012"/>
    <col min="9729" max="9729" width="6.28515625" style="1012" customWidth="1"/>
    <col min="9730" max="9730" width="1.5703125" style="1012" customWidth="1"/>
    <col min="9731" max="9731" width="16.5703125" style="1012" customWidth="1"/>
    <col min="9732" max="9732" width="0" style="1012" hidden="1" customWidth="1"/>
    <col min="9733" max="9733" width="4.85546875" style="1012" customWidth="1"/>
    <col min="9734" max="9734" width="1" style="1012" customWidth="1"/>
    <col min="9735" max="9735" width="13.140625" style="1012" customWidth="1"/>
    <col min="9736" max="9736" width="0" style="1012" hidden="1" customWidth="1"/>
    <col min="9737" max="9737" width="4.85546875" style="1012" customWidth="1"/>
    <col min="9738" max="9738" width="1" style="1012" customWidth="1"/>
    <col min="9739" max="9739" width="13.85546875" style="1012" customWidth="1"/>
    <col min="9740" max="9740" width="0" style="1012" hidden="1" customWidth="1"/>
    <col min="9741" max="9741" width="4.85546875" style="1012" customWidth="1"/>
    <col min="9742" max="9742" width="1" style="1012" customWidth="1"/>
    <col min="9743" max="9743" width="15.5703125" style="1012" customWidth="1"/>
    <col min="9744" max="9744" width="0" style="1012" hidden="1" customWidth="1"/>
    <col min="9745" max="9745" width="4.85546875" style="1012" customWidth="1"/>
    <col min="9746" max="9746" width="1" style="1012" customWidth="1"/>
    <col min="9747" max="9747" width="15.140625" style="1012" customWidth="1"/>
    <col min="9748" max="9748" width="0" style="1012" hidden="1" customWidth="1"/>
    <col min="9749" max="9749" width="4.42578125" style="1012" customWidth="1"/>
    <col min="9750" max="9750" width="14" style="1012" customWidth="1"/>
    <col min="9751" max="9751" width="1.5703125" style="1012" customWidth="1"/>
    <col min="9752" max="9984" width="9.140625" style="1012"/>
    <col min="9985" max="9985" width="6.28515625" style="1012" customWidth="1"/>
    <col min="9986" max="9986" width="1.5703125" style="1012" customWidth="1"/>
    <col min="9987" max="9987" width="16.5703125" style="1012" customWidth="1"/>
    <col min="9988" max="9988" width="0" style="1012" hidden="1" customWidth="1"/>
    <col min="9989" max="9989" width="4.85546875" style="1012" customWidth="1"/>
    <col min="9990" max="9990" width="1" style="1012" customWidth="1"/>
    <col min="9991" max="9991" width="13.140625" style="1012" customWidth="1"/>
    <col min="9992" max="9992" width="0" style="1012" hidden="1" customWidth="1"/>
    <col min="9993" max="9993" width="4.85546875" style="1012" customWidth="1"/>
    <col min="9994" max="9994" width="1" style="1012" customWidth="1"/>
    <col min="9995" max="9995" width="13.85546875" style="1012" customWidth="1"/>
    <col min="9996" max="9996" width="0" style="1012" hidden="1" customWidth="1"/>
    <col min="9997" max="9997" width="4.85546875" style="1012" customWidth="1"/>
    <col min="9998" max="9998" width="1" style="1012" customWidth="1"/>
    <col min="9999" max="9999" width="15.5703125" style="1012" customWidth="1"/>
    <col min="10000" max="10000" width="0" style="1012" hidden="1" customWidth="1"/>
    <col min="10001" max="10001" width="4.85546875" style="1012" customWidth="1"/>
    <col min="10002" max="10002" width="1" style="1012" customWidth="1"/>
    <col min="10003" max="10003" width="15.140625" style="1012" customWidth="1"/>
    <col min="10004" max="10004" width="0" style="1012" hidden="1" customWidth="1"/>
    <col min="10005" max="10005" width="4.42578125" style="1012" customWidth="1"/>
    <col min="10006" max="10006" width="14" style="1012" customWidth="1"/>
    <col min="10007" max="10007" width="1.5703125" style="1012" customWidth="1"/>
    <col min="10008" max="10240" width="9.140625" style="1012"/>
    <col min="10241" max="10241" width="6.28515625" style="1012" customWidth="1"/>
    <col min="10242" max="10242" width="1.5703125" style="1012" customWidth="1"/>
    <col min="10243" max="10243" width="16.5703125" style="1012" customWidth="1"/>
    <col min="10244" max="10244" width="0" style="1012" hidden="1" customWidth="1"/>
    <col min="10245" max="10245" width="4.85546875" style="1012" customWidth="1"/>
    <col min="10246" max="10246" width="1" style="1012" customWidth="1"/>
    <col min="10247" max="10247" width="13.140625" style="1012" customWidth="1"/>
    <col min="10248" max="10248" width="0" style="1012" hidden="1" customWidth="1"/>
    <col min="10249" max="10249" width="4.85546875" style="1012" customWidth="1"/>
    <col min="10250" max="10250" width="1" style="1012" customWidth="1"/>
    <col min="10251" max="10251" width="13.85546875" style="1012" customWidth="1"/>
    <col min="10252" max="10252" width="0" style="1012" hidden="1" customWidth="1"/>
    <col min="10253" max="10253" width="4.85546875" style="1012" customWidth="1"/>
    <col min="10254" max="10254" width="1" style="1012" customWidth="1"/>
    <col min="10255" max="10255" width="15.5703125" style="1012" customWidth="1"/>
    <col min="10256" max="10256" width="0" style="1012" hidden="1" customWidth="1"/>
    <col min="10257" max="10257" width="4.85546875" style="1012" customWidth="1"/>
    <col min="10258" max="10258" width="1" style="1012" customWidth="1"/>
    <col min="10259" max="10259" width="15.140625" style="1012" customWidth="1"/>
    <col min="10260" max="10260" width="0" style="1012" hidden="1" customWidth="1"/>
    <col min="10261" max="10261" width="4.42578125" style="1012" customWidth="1"/>
    <col min="10262" max="10262" width="14" style="1012" customWidth="1"/>
    <col min="10263" max="10263" width="1.5703125" style="1012" customWidth="1"/>
    <col min="10264" max="10496" width="9.140625" style="1012"/>
    <col min="10497" max="10497" width="6.28515625" style="1012" customWidth="1"/>
    <col min="10498" max="10498" width="1.5703125" style="1012" customWidth="1"/>
    <col min="10499" max="10499" width="16.5703125" style="1012" customWidth="1"/>
    <col min="10500" max="10500" width="0" style="1012" hidden="1" customWidth="1"/>
    <col min="10501" max="10501" width="4.85546875" style="1012" customWidth="1"/>
    <col min="10502" max="10502" width="1" style="1012" customWidth="1"/>
    <col min="10503" max="10503" width="13.140625" style="1012" customWidth="1"/>
    <col min="10504" max="10504" width="0" style="1012" hidden="1" customWidth="1"/>
    <col min="10505" max="10505" width="4.85546875" style="1012" customWidth="1"/>
    <col min="10506" max="10506" width="1" style="1012" customWidth="1"/>
    <col min="10507" max="10507" width="13.85546875" style="1012" customWidth="1"/>
    <col min="10508" max="10508" width="0" style="1012" hidden="1" customWidth="1"/>
    <col min="10509" max="10509" width="4.85546875" style="1012" customWidth="1"/>
    <col min="10510" max="10510" width="1" style="1012" customWidth="1"/>
    <col min="10511" max="10511" width="15.5703125" style="1012" customWidth="1"/>
    <col min="10512" max="10512" width="0" style="1012" hidden="1" customWidth="1"/>
    <col min="10513" max="10513" width="4.85546875" style="1012" customWidth="1"/>
    <col min="10514" max="10514" width="1" style="1012" customWidth="1"/>
    <col min="10515" max="10515" width="15.140625" style="1012" customWidth="1"/>
    <col min="10516" max="10516" width="0" style="1012" hidden="1" customWidth="1"/>
    <col min="10517" max="10517" width="4.42578125" style="1012" customWidth="1"/>
    <col min="10518" max="10518" width="14" style="1012" customWidth="1"/>
    <col min="10519" max="10519" width="1.5703125" style="1012" customWidth="1"/>
    <col min="10520" max="10752" width="9.140625" style="1012"/>
    <col min="10753" max="10753" width="6.28515625" style="1012" customWidth="1"/>
    <col min="10754" max="10754" width="1.5703125" style="1012" customWidth="1"/>
    <col min="10755" max="10755" width="16.5703125" style="1012" customWidth="1"/>
    <col min="10756" max="10756" width="0" style="1012" hidden="1" customWidth="1"/>
    <col min="10757" max="10757" width="4.85546875" style="1012" customWidth="1"/>
    <col min="10758" max="10758" width="1" style="1012" customWidth="1"/>
    <col min="10759" max="10759" width="13.140625" style="1012" customWidth="1"/>
    <col min="10760" max="10760" width="0" style="1012" hidden="1" customWidth="1"/>
    <col min="10761" max="10761" width="4.85546875" style="1012" customWidth="1"/>
    <col min="10762" max="10762" width="1" style="1012" customWidth="1"/>
    <col min="10763" max="10763" width="13.85546875" style="1012" customWidth="1"/>
    <col min="10764" max="10764" width="0" style="1012" hidden="1" customWidth="1"/>
    <col min="10765" max="10765" width="4.85546875" style="1012" customWidth="1"/>
    <col min="10766" max="10766" width="1" style="1012" customWidth="1"/>
    <col min="10767" max="10767" width="15.5703125" style="1012" customWidth="1"/>
    <col min="10768" max="10768" width="0" style="1012" hidden="1" customWidth="1"/>
    <col min="10769" max="10769" width="4.85546875" style="1012" customWidth="1"/>
    <col min="10770" max="10770" width="1" style="1012" customWidth="1"/>
    <col min="10771" max="10771" width="15.140625" style="1012" customWidth="1"/>
    <col min="10772" max="10772" width="0" style="1012" hidden="1" customWidth="1"/>
    <col min="10773" max="10773" width="4.42578125" style="1012" customWidth="1"/>
    <col min="10774" max="10774" width="14" style="1012" customWidth="1"/>
    <col min="10775" max="10775" width="1.5703125" style="1012" customWidth="1"/>
    <col min="10776" max="11008" width="9.140625" style="1012"/>
    <col min="11009" max="11009" width="6.28515625" style="1012" customWidth="1"/>
    <col min="11010" max="11010" width="1.5703125" style="1012" customWidth="1"/>
    <col min="11011" max="11011" width="16.5703125" style="1012" customWidth="1"/>
    <col min="11012" max="11012" width="0" style="1012" hidden="1" customWidth="1"/>
    <col min="11013" max="11013" width="4.85546875" style="1012" customWidth="1"/>
    <col min="11014" max="11014" width="1" style="1012" customWidth="1"/>
    <col min="11015" max="11015" width="13.140625" style="1012" customWidth="1"/>
    <col min="11016" max="11016" width="0" style="1012" hidden="1" customWidth="1"/>
    <col min="11017" max="11017" width="4.85546875" style="1012" customWidth="1"/>
    <col min="11018" max="11018" width="1" style="1012" customWidth="1"/>
    <col min="11019" max="11019" width="13.85546875" style="1012" customWidth="1"/>
    <col min="11020" max="11020" width="0" style="1012" hidden="1" customWidth="1"/>
    <col min="11021" max="11021" width="4.85546875" style="1012" customWidth="1"/>
    <col min="11022" max="11022" width="1" style="1012" customWidth="1"/>
    <col min="11023" max="11023" width="15.5703125" style="1012" customWidth="1"/>
    <col min="11024" max="11024" width="0" style="1012" hidden="1" customWidth="1"/>
    <col min="11025" max="11025" width="4.85546875" style="1012" customWidth="1"/>
    <col min="11026" max="11026" width="1" style="1012" customWidth="1"/>
    <col min="11027" max="11027" width="15.140625" style="1012" customWidth="1"/>
    <col min="11028" max="11028" width="0" style="1012" hidden="1" customWidth="1"/>
    <col min="11029" max="11029" width="4.42578125" style="1012" customWidth="1"/>
    <col min="11030" max="11030" width="14" style="1012" customWidth="1"/>
    <col min="11031" max="11031" width="1.5703125" style="1012" customWidth="1"/>
    <col min="11032" max="11264" width="9.140625" style="1012"/>
    <col min="11265" max="11265" width="6.28515625" style="1012" customWidth="1"/>
    <col min="11266" max="11266" width="1.5703125" style="1012" customWidth="1"/>
    <col min="11267" max="11267" width="16.5703125" style="1012" customWidth="1"/>
    <col min="11268" max="11268" width="0" style="1012" hidden="1" customWidth="1"/>
    <col min="11269" max="11269" width="4.85546875" style="1012" customWidth="1"/>
    <col min="11270" max="11270" width="1" style="1012" customWidth="1"/>
    <col min="11271" max="11271" width="13.140625" style="1012" customWidth="1"/>
    <col min="11272" max="11272" width="0" style="1012" hidden="1" customWidth="1"/>
    <col min="11273" max="11273" width="4.85546875" style="1012" customWidth="1"/>
    <col min="11274" max="11274" width="1" style="1012" customWidth="1"/>
    <col min="11275" max="11275" width="13.85546875" style="1012" customWidth="1"/>
    <col min="11276" max="11276" width="0" style="1012" hidden="1" customWidth="1"/>
    <col min="11277" max="11277" width="4.85546875" style="1012" customWidth="1"/>
    <col min="11278" max="11278" width="1" style="1012" customWidth="1"/>
    <col min="11279" max="11279" width="15.5703125" style="1012" customWidth="1"/>
    <col min="11280" max="11280" width="0" style="1012" hidden="1" customWidth="1"/>
    <col min="11281" max="11281" width="4.85546875" style="1012" customWidth="1"/>
    <col min="11282" max="11282" width="1" style="1012" customWidth="1"/>
    <col min="11283" max="11283" width="15.140625" style="1012" customWidth="1"/>
    <col min="11284" max="11284" width="0" style="1012" hidden="1" customWidth="1"/>
    <col min="11285" max="11285" width="4.42578125" style="1012" customWidth="1"/>
    <col min="11286" max="11286" width="14" style="1012" customWidth="1"/>
    <col min="11287" max="11287" width="1.5703125" style="1012" customWidth="1"/>
    <col min="11288" max="11520" width="9.140625" style="1012"/>
    <col min="11521" max="11521" width="6.28515625" style="1012" customWidth="1"/>
    <col min="11522" max="11522" width="1.5703125" style="1012" customWidth="1"/>
    <col min="11523" max="11523" width="16.5703125" style="1012" customWidth="1"/>
    <col min="11524" max="11524" width="0" style="1012" hidden="1" customWidth="1"/>
    <col min="11525" max="11525" width="4.85546875" style="1012" customWidth="1"/>
    <col min="11526" max="11526" width="1" style="1012" customWidth="1"/>
    <col min="11527" max="11527" width="13.140625" style="1012" customWidth="1"/>
    <col min="11528" max="11528" width="0" style="1012" hidden="1" customWidth="1"/>
    <col min="11529" max="11529" width="4.85546875" style="1012" customWidth="1"/>
    <col min="11530" max="11530" width="1" style="1012" customWidth="1"/>
    <col min="11531" max="11531" width="13.85546875" style="1012" customWidth="1"/>
    <col min="11532" max="11532" width="0" style="1012" hidden="1" customWidth="1"/>
    <col min="11533" max="11533" width="4.85546875" style="1012" customWidth="1"/>
    <col min="11534" max="11534" width="1" style="1012" customWidth="1"/>
    <col min="11535" max="11535" width="15.5703125" style="1012" customWidth="1"/>
    <col min="11536" max="11536" width="0" style="1012" hidden="1" customWidth="1"/>
    <col min="11537" max="11537" width="4.85546875" style="1012" customWidth="1"/>
    <col min="11538" max="11538" width="1" style="1012" customWidth="1"/>
    <col min="11539" max="11539" width="15.140625" style="1012" customWidth="1"/>
    <col min="11540" max="11540" width="0" style="1012" hidden="1" customWidth="1"/>
    <col min="11541" max="11541" width="4.42578125" style="1012" customWidth="1"/>
    <col min="11542" max="11542" width="14" style="1012" customWidth="1"/>
    <col min="11543" max="11543" width="1.5703125" style="1012" customWidth="1"/>
    <col min="11544" max="11776" width="9.140625" style="1012"/>
    <col min="11777" max="11777" width="6.28515625" style="1012" customWidth="1"/>
    <col min="11778" max="11778" width="1.5703125" style="1012" customWidth="1"/>
    <col min="11779" max="11779" width="16.5703125" style="1012" customWidth="1"/>
    <col min="11780" max="11780" width="0" style="1012" hidden="1" customWidth="1"/>
    <col min="11781" max="11781" width="4.85546875" style="1012" customWidth="1"/>
    <col min="11782" max="11782" width="1" style="1012" customWidth="1"/>
    <col min="11783" max="11783" width="13.140625" style="1012" customWidth="1"/>
    <col min="11784" max="11784" width="0" style="1012" hidden="1" customWidth="1"/>
    <col min="11785" max="11785" width="4.85546875" style="1012" customWidth="1"/>
    <col min="11786" max="11786" width="1" style="1012" customWidth="1"/>
    <col min="11787" max="11787" width="13.85546875" style="1012" customWidth="1"/>
    <col min="11788" max="11788" width="0" style="1012" hidden="1" customWidth="1"/>
    <col min="11789" max="11789" width="4.85546875" style="1012" customWidth="1"/>
    <col min="11790" max="11790" width="1" style="1012" customWidth="1"/>
    <col min="11791" max="11791" width="15.5703125" style="1012" customWidth="1"/>
    <col min="11792" max="11792" width="0" style="1012" hidden="1" customWidth="1"/>
    <col min="11793" max="11793" width="4.85546875" style="1012" customWidth="1"/>
    <col min="11794" max="11794" width="1" style="1012" customWidth="1"/>
    <col min="11795" max="11795" width="15.140625" style="1012" customWidth="1"/>
    <col min="11796" max="11796" width="0" style="1012" hidden="1" customWidth="1"/>
    <col min="11797" max="11797" width="4.42578125" style="1012" customWidth="1"/>
    <col min="11798" max="11798" width="14" style="1012" customWidth="1"/>
    <col min="11799" max="11799" width="1.5703125" style="1012" customWidth="1"/>
    <col min="11800" max="12032" width="9.140625" style="1012"/>
    <col min="12033" max="12033" width="6.28515625" style="1012" customWidth="1"/>
    <col min="12034" max="12034" width="1.5703125" style="1012" customWidth="1"/>
    <col min="12035" max="12035" width="16.5703125" style="1012" customWidth="1"/>
    <col min="12036" max="12036" width="0" style="1012" hidden="1" customWidth="1"/>
    <col min="12037" max="12037" width="4.85546875" style="1012" customWidth="1"/>
    <col min="12038" max="12038" width="1" style="1012" customWidth="1"/>
    <col min="12039" max="12039" width="13.140625" style="1012" customWidth="1"/>
    <col min="12040" max="12040" width="0" style="1012" hidden="1" customWidth="1"/>
    <col min="12041" max="12041" width="4.85546875" style="1012" customWidth="1"/>
    <col min="12042" max="12042" width="1" style="1012" customWidth="1"/>
    <col min="12043" max="12043" width="13.85546875" style="1012" customWidth="1"/>
    <col min="12044" max="12044" width="0" style="1012" hidden="1" customWidth="1"/>
    <col min="12045" max="12045" width="4.85546875" style="1012" customWidth="1"/>
    <col min="12046" max="12046" width="1" style="1012" customWidth="1"/>
    <col min="12047" max="12047" width="15.5703125" style="1012" customWidth="1"/>
    <col min="12048" max="12048" width="0" style="1012" hidden="1" customWidth="1"/>
    <col min="12049" max="12049" width="4.85546875" style="1012" customWidth="1"/>
    <col min="12050" max="12050" width="1" style="1012" customWidth="1"/>
    <col min="12051" max="12051" width="15.140625" style="1012" customWidth="1"/>
    <col min="12052" max="12052" width="0" style="1012" hidden="1" customWidth="1"/>
    <col min="12053" max="12053" width="4.42578125" style="1012" customWidth="1"/>
    <col min="12054" max="12054" width="14" style="1012" customWidth="1"/>
    <col min="12055" max="12055" width="1.5703125" style="1012" customWidth="1"/>
    <col min="12056" max="12288" width="9.140625" style="1012"/>
    <col min="12289" max="12289" width="6.28515625" style="1012" customWidth="1"/>
    <col min="12290" max="12290" width="1.5703125" style="1012" customWidth="1"/>
    <col min="12291" max="12291" width="16.5703125" style="1012" customWidth="1"/>
    <col min="12292" max="12292" width="0" style="1012" hidden="1" customWidth="1"/>
    <col min="12293" max="12293" width="4.85546875" style="1012" customWidth="1"/>
    <col min="12294" max="12294" width="1" style="1012" customWidth="1"/>
    <col min="12295" max="12295" width="13.140625" style="1012" customWidth="1"/>
    <col min="12296" max="12296" width="0" style="1012" hidden="1" customWidth="1"/>
    <col min="12297" max="12297" width="4.85546875" style="1012" customWidth="1"/>
    <col min="12298" max="12298" width="1" style="1012" customWidth="1"/>
    <col min="12299" max="12299" width="13.85546875" style="1012" customWidth="1"/>
    <col min="12300" max="12300" width="0" style="1012" hidden="1" customWidth="1"/>
    <col min="12301" max="12301" width="4.85546875" style="1012" customWidth="1"/>
    <col min="12302" max="12302" width="1" style="1012" customWidth="1"/>
    <col min="12303" max="12303" width="15.5703125" style="1012" customWidth="1"/>
    <col min="12304" max="12304" width="0" style="1012" hidden="1" customWidth="1"/>
    <col min="12305" max="12305" width="4.85546875" style="1012" customWidth="1"/>
    <col min="12306" max="12306" width="1" style="1012" customWidth="1"/>
    <col min="12307" max="12307" width="15.140625" style="1012" customWidth="1"/>
    <col min="12308" max="12308" width="0" style="1012" hidden="1" customWidth="1"/>
    <col min="12309" max="12309" width="4.42578125" style="1012" customWidth="1"/>
    <col min="12310" max="12310" width="14" style="1012" customWidth="1"/>
    <col min="12311" max="12311" width="1.5703125" style="1012" customWidth="1"/>
    <col min="12312" max="12544" width="9.140625" style="1012"/>
    <col min="12545" max="12545" width="6.28515625" style="1012" customWidth="1"/>
    <col min="12546" max="12546" width="1.5703125" style="1012" customWidth="1"/>
    <col min="12547" max="12547" width="16.5703125" style="1012" customWidth="1"/>
    <col min="12548" max="12548" width="0" style="1012" hidden="1" customWidth="1"/>
    <col min="12549" max="12549" width="4.85546875" style="1012" customWidth="1"/>
    <col min="12550" max="12550" width="1" style="1012" customWidth="1"/>
    <col min="12551" max="12551" width="13.140625" style="1012" customWidth="1"/>
    <col min="12552" max="12552" width="0" style="1012" hidden="1" customWidth="1"/>
    <col min="12553" max="12553" width="4.85546875" style="1012" customWidth="1"/>
    <col min="12554" max="12554" width="1" style="1012" customWidth="1"/>
    <col min="12555" max="12555" width="13.85546875" style="1012" customWidth="1"/>
    <col min="12556" max="12556" width="0" style="1012" hidden="1" customWidth="1"/>
    <col min="12557" max="12557" width="4.85546875" style="1012" customWidth="1"/>
    <col min="12558" max="12558" width="1" style="1012" customWidth="1"/>
    <col min="12559" max="12559" width="15.5703125" style="1012" customWidth="1"/>
    <col min="12560" max="12560" width="0" style="1012" hidden="1" customWidth="1"/>
    <col min="12561" max="12561" width="4.85546875" style="1012" customWidth="1"/>
    <col min="12562" max="12562" width="1" style="1012" customWidth="1"/>
    <col min="12563" max="12563" width="15.140625" style="1012" customWidth="1"/>
    <col min="12564" max="12564" width="0" style="1012" hidden="1" customWidth="1"/>
    <col min="12565" max="12565" width="4.42578125" style="1012" customWidth="1"/>
    <col min="12566" max="12566" width="14" style="1012" customWidth="1"/>
    <col min="12567" max="12567" width="1.5703125" style="1012" customWidth="1"/>
    <col min="12568" max="12800" width="9.140625" style="1012"/>
    <col min="12801" max="12801" width="6.28515625" style="1012" customWidth="1"/>
    <col min="12802" max="12802" width="1.5703125" style="1012" customWidth="1"/>
    <col min="12803" max="12803" width="16.5703125" style="1012" customWidth="1"/>
    <col min="12804" max="12804" width="0" style="1012" hidden="1" customWidth="1"/>
    <col min="12805" max="12805" width="4.85546875" style="1012" customWidth="1"/>
    <col min="12806" max="12806" width="1" style="1012" customWidth="1"/>
    <col min="12807" max="12807" width="13.140625" style="1012" customWidth="1"/>
    <col min="12808" max="12808" width="0" style="1012" hidden="1" customWidth="1"/>
    <col min="12809" max="12809" width="4.85546875" style="1012" customWidth="1"/>
    <col min="12810" max="12810" width="1" style="1012" customWidth="1"/>
    <col min="12811" max="12811" width="13.85546875" style="1012" customWidth="1"/>
    <col min="12812" max="12812" width="0" style="1012" hidden="1" customWidth="1"/>
    <col min="12813" max="12813" width="4.85546875" style="1012" customWidth="1"/>
    <col min="12814" max="12814" width="1" style="1012" customWidth="1"/>
    <col min="12815" max="12815" width="15.5703125" style="1012" customWidth="1"/>
    <col min="12816" max="12816" width="0" style="1012" hidden="1" customWidth="1"/>
    <col min="12817" max="12817" width="4.85546875" style="1012" customWidth="1"/>
    <col min="12818" max="12818" width="1" style="1012" customWidth="1"/>
    <col min="12819" max="12819" width="15.140625" style="1012" customWidth="1"/>
    <col min="12820" max="12820" width="0" style="1012" hidden="1" customWidth="1"/>
    <col min="12821" max="12821" width="4.42578125" style="1012" customWidth="1"/>
    <col min="12822" max="12822" width="14" style="1012" customWidth="1"/>
    <col min="12823" max="12823" width="1.5703125" style="1012" customWidth="1"/>
    <col min="12824" max="13056" width="9.140625" style="1012"/>
    <col min="13057" max="13057" width="6.28515625" style="1012" customWidth="1"/>
    <col min="13058" max="13058" width="1.5703125" style="1012" customWidth="1"/>
    <col min="13059" max="13059" width="16.5703125" style="1012" customWidth="1"/>
    <col min="13060" max="13060" width="0" style="1012" hidden="1" customWidth="1"/>
    <col min="13061" max="13061" width="4.85546875" style="1012" customWidth="1"/>
    <col min="13062" max="13062" width="1" style="1012" customWidth="1"/>
    <col min="13063" max="13063" width="13.140625" style="1012" customWidth="1"/>
    <col min="13064" max="13064" width="0" style="1012" hidden="1" customWidth="1"/>
    <col min="13065" max="13065" width="4.85546875" style="1012" customWidth="1"/>
    <col min="13066" max="13066" width="1" style="1012" customWidth="1"/>
    <col min="13067" max="13067" width="13.85546875" style="1012" customWidth="1"/>
    <col min="13068" max="13068" width="0" style="1012" hidden="1" customWidth="1"/>
    <col min="13069" max="13069" width="4.85546875" style="1012" customWidth="1"/>
    <col min="13070" max="13070" width="1" style="1012" customWidth="1"/>
    <col min="13071" max="13071" width="15.5703125" style="1012" customWidth="1"/>
    <col min="13072" max="13072" width="0" style="1012" hidden="1" customWidth="1"/>
    <col min="13073" max="13073" width="4.85546875" style="1012" customWidth="1"/>
    <col min="13074" max="13074" width="1" style="1012" customWidth="1"/>
    <col min="13075" max="13075" width="15.140625" style="1012" customWidth="1"/>
    <col min="13076" max="13076" width="0" style="1012" hidden="1" customWidth="1"/>
    <col min="13077" max="13077" width="4.42578125" style="1012" customWidth="1"/>
    <col min="13078" max="13078" width="14" style="1012" customWidth="1"/>
    <col min="13079" max="13079" width="1.5703125" style="1012" customWidth="1"/>
    <col min="13080" max="13312" width="9.140625" style="1012"/>
    <col min="13313" max="13313" width="6.28515625" style="1012" customWidth="1"/>
    <col min="13314" max="13314" width="1.5703125" style="1012" customWidth="1"/>
    <col min="13315" max="13315" width="16.5703125" style="1012" customWidth="1"/>
    <col min="13316" max="13316" width="0" style="1012" hidden="1" customWidth="1"/>
    <col min="13317" max="13317" width="4.85546875" style="1012" customWidth="1"/>
    <col min="13318" max="13318" width="1" style="1012" customWidth="1"/>
    <col min="13319" max="13319" width="13.140625" style="1012" customWidth="1"/>
    <col min="13320" max="13320" width="0" style="1012" hidden="1" customWidth="1"/>
    <col min="13321" max="13321" width="4.85546875" style="1012" customWidth="1"/>
    <col min="13322" max="13322" width="1" style="1012" customWidth="1"/>
    <col min="13323" max="13323" width="13.85546875" style="1012" customWidth="1"/>
    <col min="13324" max="13324" width="0" style="1012" hidden="1" customWidth="1"/>
    <col min="13325" max="13325" width="4.85546875" style="1012" customWidth="1"/>
    <col min="13326" max="13326" width="1" style="1012" customWidth="1"/>
    <col min="13327" max="13327" width="15.5703125" style="1012" customWidth="1"/>
    <col min="13328" max="13328" width="0" style="1012" hidden="1" customWidth="1"/>
    <col min="13329" max="13329" width="4.85546875" style="1012" customWidth="1"/>
    <col min="13330" max="13330" width="1" style="1012" customWidth="1"/>
    <col min="13331" max="13331" width="15.140625" style="1012" customWidth="1"/>
    <col min="13332" max="13332" width="0" style="1012" hidden="1" customWidth="1"/>
    <col min="13333" max="13333" width="4.42578125" style="1012" customWidth="1"/>
    <col min="13334" max="13334" width="14" style="1012" customWidth="1"/>
    <col min="13335" max="13335" width="1.5703125" style="1012" customWidth="1"/>
    <col min="13336" max="13568" width="9.140625" style="1012"/>
    <col min="13569" max="13569" width="6.28515625" style="1012" customWidth="1"/>
    <col min="13570" max="13570" width="1.5703125" style="1012" customWidth="1"/>
    <col min="13571" max="13571" width="16.5703125" style="1012" customWidth="1"/>
    <col min="13572" max="13572" width="0" style="1012" hidden="1" customWidth="1"/>
    <col min="13573" max="13573" width="4.85546875" style="1012" customWidth="1"/>
    <col min="13574" max="13574" width="1" style="1012" customWidth="1"/>
    <col min="13575" max="13575" width="13.140625" style="1012" customWidth="1"/>
    <col min="13576" max="13576" width="0" style="1012" hidden="1" customWidth="1"/>
    <col min="13577" max="13577" width="4.85546875" style="1012" customWidth="1"/>
    <col min="13578" max="13578" width="1" style="1012" customWidth="1"/>
    <col min="13579" max="13579" width="13.85546875" style="1012" customWidth="1"/>
    <col min="13580" max="13580" width="0" style="1012" hidden="1" customWidth="1"/>
    <col min="13581" max="13581" width="4.85546875" style="1012" customWidth="1"/>
    <col min="13582" max="13582" width="1" style="1012" customWidth="1"/>
    <col min="13583" max="13583" width="15.5703125" style="1012" customWidth="1"/>
    <col min="13584" max="13584" width="0" style="1012" hidden="1" customWidth="1"/>
    <col min="13585" max="13585" width="4.85546875" style="1012" customWidth="1"/>
    <col min="13586" max="13586" width="1" style="1012" customWidth="1"/>
    <col min="13587" max="13587" width="15.140625" style="1012" customWidth="1"/>
    <col min="13588" max="13588" width="0" style="1012" hidden="1" customWidth="1"/>
    <col min="13589" max="13589" width="4.42578125" style="1012" customWidth="1"/>
    <col min="13590" max="13590" width="14" style="1012" customWidth="1"/>
    <col min="13591" max="13591" width="1.5703125" style="1012" customWidth="1"/>
    <col min="13592" max="13824" width="9.140625" style="1012"/>
    <col min="13825" max="13825" width="6.28515625" style="1012" customWidth="1"/>
    <col min="13826" max="13826" width="1.5703125" style="1012" customWidth="1"/>
    <col min="13827" max="13827" width="16.5703125" style="1012" customWidth="1"/>
    <col min="13828" max="13828" width="0" style="1012" hidden="1" customWidth="1"/>
    <col min="13829" max="13829" width="4.85546875" style="1012" customWidth="1"/>
    <col min="13830" max="13830" width="1" style="1012" customWidth="1"/>
    <col min="13831" max="13831" width="13.140625" style="1012" customWidth="1"/>
    <col min="13832" max="13832" width="0" style="1012" hidden="1" customWidth="1"/>
    <col min="13833" max="13833" width="4.85546875" style="1012" customWidth="1"/>
    <col min="13834" max="13834" width="1" style="1012" customWidth="1"/>
    <col min="13835" max="13835" width="13.85546875" style="1012" customWidth="1"/>
    <col min="13836" max="13836" width="0" style="1012" hidden="1" customWidth="1"/>
    <col min="13837" max="13837" width="4.85546875" style="1012" customWidth="1"/>
    <col min="13838" max="13838" width="1" style="1012" customWidth="1"/>
    <col min="13839" max="13839" width="15.5703125" style="1012" customWidth="1"/>
    <col min="13840" max="13840" width="0" style="1012" hidden="1" customWidth="1"/>
    <col min="13841" max="13841" width="4.85546875" style="1012" customWidth="1"/>
    <col min="13842" max="13842" width="1" style="1012" customWidth="1"/>
    <col min="13843" max="13843" width="15.140625" style="1012" customWidth="1"/>
    <col min="13844" max="13844" width="0" style="1012" hidden="1" customWidth="1"/>
    <col min="13845" max="13845" width="4.42578125" style="1012" customWidth="1"/>
    <col min="13846" max="13846" width="14" style="1012" customWidth="1"/>
    <col min="13847" max="13847" width="1.5703125" style="1012" customWidth="1"/>
    <col min="13848" max="14080" width="9.140625" style="1012"/>
    <col min="14081" max="14081" width="6.28515625" style="1012" customWidth="1"/>
    <col min="14082" max="14082" width="1.5703125" style="1012" customWidth="1"/>
    <col min="14083" max="14083" width="16.5703125" style="1012" customWidth="1"/>
    <col min="14084" max="14084" width="0" style="1012" hidden="1" customWidth="1"/>
    <col min="14085" max="14085" width="4.85546875" style="1012" customWidth="1"/>
    <col min="14086" max="14086" width="1" style="1012" customWidth="1"/>
    <col min="14087" max="14087" width="13.140625" style="1012" customWidth="1"/>
    <col min="14088" max="14088" width="0" style="1012" hidden="1" customWidth="1"/>
    <col min="14089" max="14089" width="4.85546875" style="1012" customWidth="1"/>
    <col min="14090" max="14090" width="1" style="1012" customWidth="1"/>
    <col min="14091" max="14091" width="13.85546875" style="1012" customWidth="1"/>
    <col min="14092" max="14092" width="0" style="1012" hidden="1" customWidth="1"/>
    <col min="14093" max="14093" width="4.85546875" style="1012" customWidth="1"/>
    <col min="14094" max="14094" width="1" style="1012" customWidth="1"/>
    <col min="14095" max="14095" width="15.5703125" style="1012" customWidth="1"/>
    <col min="14096" max="14096" width="0" style="1012" hidden="1" customWidth="1"/>
    <col min="14097" max="14097" width="4.85546875" style="1012" customWidth="1"/>
    <col min="14098" max="14098" width="1" style="1012" customWidth="1"/>
    <col min="14099" max="14099" width="15.140625" style="1012" customWidth="1"/>
    <col min="14100" max="14100" width="0" style="1012" hidden="1" customWidth="1"/>
    <col min="14101" max="14101" width="4.42578125" style="1012" customWidth="1"/>
    <col min="14102" max="14102" width="14" style="1012" customWidth="1"/>
    <col min="14103" max="14103" width="1.5703125" style="1012" customWidth="1"/>
    <col min="14104" max="14336" width="9.140625" style="1012"/>
    <col min="14337" max="14337" width="6.28515625" style="1012" customWidth="1"/>
    <col min="14338" max="14338" width="1.5703125" style="1012" customWidth="1"/>
    <col min="14339" max="14339" width="16.5703125" style="1012" customWidth="1"/>
    <col min="14340" max="14340" width="0" style="1012" hidden="1" customWidth="1"/>
    <col min="14341" max="14341" width="4.85546875" style="1012" customWidth="1"/>
    <col min="14342" max="14342" width="1" style="1012" customWidth="1"/>
    <col min="14343" max="14343" width="13.140625" style="1012" customWidth="1"/>
    <col min="14344" max="14344" width="0" style="1012" hidden="1" customWidth="1"/>
    <col min="14345" max="14345" width="4.85546875" style="1012" customWidth="1"/>
    <col min="14346" max="14346" width="1" style="1012" customWidth="1"/>
    <col min="14347" max="14347" width="13.85546875" style="1012" customWidth="1"/>
    <col min="14348" max="14348" width="0" style="1012" hidden="1" customWidth="1"/>
    <col min="14349" max="14349" width="4.85546875" style="1012" customWidth="1"/>
    <col min="14350" max="14350" width="1" style="1012" customWidth="1"/>
    <col min="14351" max="14351" width="15.5703125" style="1012" customWidth="1"/>
    <col min="14352" max="14352" width="0" style="1012" hidden="1" customWidth="1"/>
    <col min="14353" max="14353" width="4.85546875" style="1012" customWidth="1"/>
    <col min="14354" max="14354" width="1" style="1012" customWidth="1"/>
    <col min="14355" max="14355" width="15.140625" style="1012" customWidth="1"/>
    <col min="14356" max="14356" width="0" style="1012" hidden="1" customWidth="1"/>
    <col min="14357" max="14357" width="4.42578125" style="1012" customWidth="1"/>
    <col min="14358" max="14358" width="14" style="1012" customWidth="1"/>
    <col min="14359" max="14359" width="1.5703125" style="1012" customWidth="1"/>
    <col min="14360" max="14592" width="9.140625" style="1012"/>
    <col min="14593" max="14593" width="6.28515625" style="1012" customWidth="1"/>
    <col min="14594" max="14594" width="1.5703125" style="1012" customWidth="1"/>
    <col min="14595" max="14595" width="16.5703125" style="1012" customWidth="1"/>
    <col min="14596" max="14596" width="0" style="1012" hidden="1" customWidth="1"/>
    <col min="14597" max="14597" width="4.85546875" style="1012" customWidth="1"/>
    <col min="14598" max="14598" width="1" style="1012" customWidth="1"/>
    <col min="14599" max="14599" width="13.140625" style="1012" customWidth="1"/>
    <col min="14600" max="14600" width="0" style="1012" hidden="1" customWidth="1"/>
    <col min="14601" max="14601" width="4.85546875" style="1012" customWidth="1"/>
    <col min="14602" max="14602" width="1" style="1012" customWidth="1"/>
    <col min="14603" max="14603" width="13.85546875" style="1012" customWidth="1"/>
    <col min="14604" max="14604" width="0" style="1012" hidden="1" customWidth="1"/>
    <col min="14605" max="14605" width="4.85546875" style="1012" customWidth="1"/>
    <col min="14606" max="14606" width="1" style="1012" customWidth="1"/>
    <col min="14607" max="14607" width="15.5703125" style="1012" customWidth="1"/>
    <col min="14608" max="14608" width="0" style="1012" hidden="1" customWidth="1"/>
    <col min="14609" max="14609" width="4.85546875" style="1012" customWidth="1"/>
    <col min="14610" max="14610" width="1" style="1012" customWidth="1"/>
    <col min="14611" max="14611" width="15.140625" style="1012" customWidth="1"/>
    <col min="14612" max="14612" width="0" style="1012" hidden="1" customWidth="1"/>
    <col min="14613" max="14613" width="4.42578125" style="1012" customWidth="1"/>
    <col min="14614" max="14614" width="14" style="1012" customWidth="1"/>
    <col min="14615" max="14615" width="1.5703125" style="1012" customWidth="1"/>
    <col min="14616" max="14848" width="9.140625" style="1012"/>
    <col min="14849" max="14849" width="6.28515625" style="1012" customWidth="1"/>
    <col min="14850" max="14850" width="1.5703125" style="1012" customWidth="1"/>
    <col min="14851" max="14851" width="16.5703125" style="1012" customWidth="1"/>
    <col min="14852" max="14852" width="0" style="1012" hidden="1" customWidth="1"/>
    <col min="14853" max="14853" width="4.85546875" style="1012" customWidth="1"/>
    <col min="14854" max="14854" width="1" style="1012" customWidth="1"/>
    <col min="14855" max="14855" width="13.140625" style="1012" customWidth="1"/>
    <col min="14856" max="14856" width="0" style="1012" hidden="1" customWidth="1"/>
    <col min="14857" max="14857" width="4.85546875" style="1012" customWidth="1"/>
    <col min="14858" max="14858" width="1" style="1012" customWidth="1"/>
    <col min="14859" max="14859" width="13.85546875" style="1012" customWidth="1"/>
    <col min="14860" max="14860" width="0" style="1012" hidden="1" customWidth="1"/>
    <col min="14861" max="14861" width="4.85546875" style="1012" customWidth="1"/>
    <col min="14862" max="14862" width="1" style="1012" customWidth="1"/>
    <col min="14863" max="14863" width="15.5703125" style="1012" customWidth="1"/>
    <col min="14864" max="14864" width="0" style="1012" hidden="1" customWidth="1"/>
    <col min="14865" max="14865" width="4.85546875" style="1012" customWidth="1"/>
    <col min="14866" max="14866" width="1" style="1012" customWidth="1"/>
    <col min="14867" max="14867" width="15.140625" style="1012" customWidth="1"/>
    <col min="14868" max="14868" width="0" style="1012" hidden="1" customWidth="1"/>
    <col min="14869" max="14869" width="4.42578125" style="1012" customWidth="1"/>
    <col min="14870" max="14870" width="14" style="1012" customWidth="1"/>
    <col min="14871" max="14871" width="1.5703125" style="1012" customWidth="1"/>
    <col min="14872" max="15104" width="9.140625" style="1012"/>
    <col min="15105" max="15105" width="6.28515625" style="1012" customWidth="1"/>
    <col min="15106" max="15106" width="1.5703125" style="1012" customWidth="1"/>
    <col min="15107" max="15107" width="16.5703125" style="1012" customWidth="1"/>
    <col min="15108" max="15108" width="0" style="1012" hidden="1" customWidth="1"/>
    <col min="15109" max="15109" width="4.85546875" style="1012" customWidth="1"/>
    <col min="15110" max="15110" width="1" style="1012" customWidth="1"/>
    <col min="15111" max="15111" width="13.140625" style="1012" customWidth="1"/>
    <col min="15112" max="15112" width="0" style="1012" hidden="1" customWidth="1"/>
    <col min="15113" max="15113" width="4.85546875" style="1012" customWidth="1"/>
    <col min="15114" max="15114" width="1" style="1012" customWidth="1"/>
    <col min="15115" max="15115" width="13.85546875" style="1012" customWidth="1"/>
    <col min="15116" max="15116" width="0" style="1012" hidden="1" customWidth="1"/>
    <col min="15117" max="15117" width="4.85546875" style="1012" customWidth="1"/>
    <col min="15118" max="15118" width="1" style="1012" customWidth="1"/>
    <col min="15119" max="15119" width="15.5703125" style="1012" customWidth="1"/>
    <col min="15120" max="15120" width="0" style="1012" hidden="1" customWidth="1"/>
    <col min="15121" max="15121" width="4.85546875" style="1012" customWidth="1"/>
    <col min="15122" max="15122" width="1" style="1012" customWidth="1"/>
    <col min="15123" max="15123" width="15.140625" style="1012" customWidth="1"/>
    <col min="15124" max="15124" width="0" style="1012" hidden="1" customWidth="1"/>
    <col min="15125" max="15125" width="4.42578125" style="1012" customWidth="1"/>
    <col min="15126" max="15126" width="14" style="1012" customWidth="1"/>
    <col min="15127" max="15127" width="1.5703125" style="1012" customWidth="1"/>
    <col min="15128" max="15360" width="9.140625" style="1012"/>
    <col min="15361" max="15361" width="6.28515625" style="1012" customWidth="1"/>
    <col min="15362" max="15362" width="1.5703125" style="1012" customWidth="1"/>
    <col min="15363" max="15363" width="16.5703125" style="1012" customWidth="1"/>
    <col min="15364" max="15364" width="0" style="1012" hidden="1" customWidth="1"/>
    <col min="15365" max="15365" width="4.85546875" style="1012" customWidth="1"/>
    <col min="15366" max="15366" width="1" style="1012" customWidth="1"/>
    <col min="15367" max="15367" width="13.140625" style="1012" customWidth="1"/>
    <col min="15368" max="15368" width="0" style="1012" hidden="1" customWidth="1"/>
    <col min="15369" max="15369" width="4.85546875" style="1012" customWidth="1"/>
    <col min="15370" max="15370" width="1" style="1012" customWidth="1"/>
    <col min="15371" max="15371" width="13.85546875" style="1012" customWidth="1"/>
    <col min="15372" max="15372" width="0" style="1012" hidden="1" customWidth="1"/>
    <col min="15373" max="15373" width="4.85546875" style="1012" customWidth="1"/>
    <col min="15374" max="15374" width="1" style="1012" customWidth="1"/>
    <col min="15375" max="15375" width="15.5703125" style="1012" customWidth="1"/>
    <col min="15376" max="15376" width="0" style="1012" hidden="1" customWidth="1"/>
    <col min="15377" max="15377" width="4.85546875" style="1012" customWidth="1"/>
    <col min="15378" max="15378" width="1" style="1012" customWidth="1"/>
    <col min="15379" max="15379" width="15.140625" style="1012" customWidth="1"/>
    <col min="15380" max="15380" width="0" style="1012" hidden="1" customWidth="1"/>
    <col min="15381" max="15381" width="4.42578125" style="1012" customWidth="1"/>
    <col min="15382" max="15382" width="14" style="1012" customWidth="1"/>
    <col min="15383" max="15383" width="1.5703125" style="1012" customWidth="1"/>
    <col min="15384" max="15616" width="9.140625" style="1012"/>
    <col min="15617" max="15617" width="6.28515625" style="1012" customWidth="1"/>
    <col min="15618" max="15618" width="1.5703125" style="1012" customWidth="1"/>
    <col min="15619" max="15619" width="16.5703125" style="1012" customWidth="1"/>
    <col min="15620" max="15620" width="0" style="1012" hidden="1" customWidth="1"/>
    <col min="15621" max="15621" width="4.85546875" style="1012" customWidth="1"/>
    <col min="15622" max="15622" width="1" style="1012" customWidth="1"/>
    <col min="15623" max="15623" width="13.140625" style="1012" customWidth="1"/>
    <col min="15624" max="15624" width="0" style="1012" hidden="1" customWidth="1"/>
    <col min="15625" max="15625" width="4.85546875" style="1012" customWidth="1"/>
    <col min="15626" max="15626" width="1" style="1012" customWidth="1"/>
    <col min="15627" max="15627" width="13.85546875" style="1012" customWidth="1"/>
    <col min="15628" max="15628" width="0" style="1012" hidden="1" customWidth="1"/>
    <col min="15629" max="15629" width="4.85546875" style="1012" customWidth="1"/>
    <col min="15630" max="15630" width="1" style="1012" customWidth="1"/>
    <col min="15631" max="15631" width="15.5703125" style="1012" customWidth="1"/>
    <col min="15632" max="15632" width="0" style="1012" hidden="1" customWidth="1"/>
    <col min="15633" max="15633" width="4.85546875" style="1012" customWidth="1"/>
    <col min="15634" max="15634" width="1" style="1012" customWidth="1"/>
    <col min="15635" max="15635" width="15.140625" style="1012" customWidth="1"/>
    <col min="15636" max="15636" width="0" style="1012" hidden="1" customWidth="1"/>
    <col min="15637" max="15637" width="4.42578125" style="1012" customWidth="1"/>
    <col min="15638" max="15638" width="14" style="1012" customWidth="1"/>
    <col min="15639" max="15639" width="1.5703125" style="1012" customWidth="1"/>
    <col min="15640" max="15872" width="9.140625" style="1012"/>
    <col min="15873" max="15873" width="6.28515625" style="1012" customWidth="1"/>
    <col min="15874" max="15874" width="1.5703125" style="1012" customWidth="1"/>
    <col min="15875" max="15875" width="16.5703125" style="1012" customWidth="1"/>
    <col min="15876" max="15876" width="0" style="1012" hidden="1" customWidth="1"/>
    <col min="15877" max="15877" width="4.85546875" style="1012" customWidth="1"/>
    <col min="15878" max="15878" width="1" style="1012" customWidth="1"/>
    <col min="15879" max="15879" width="13.140625" style="1012" customWidth="1"/>
    <col min="15880" max="15880" width="0" style="1012" hidden="1" customWidth="1"/>
    <col min="15881" max="15881" width="4.85546875" style="1012" customWidth="1"/>
    <col min="15882" max="15882" width="1" style="1012" customWidth="1"/>
    <col min="15883" max="15883" width="13.85546875" style="1012" customWidth="1"/>
    <col min="15884" max="15884" width="0" style="1012" hidden="1" customWidth="1"/>
    <col min="15885" max="15885" width="4.85546875" style="1012" customWidth="1"/>
    <col min="15886" max="15886" width="1" style="1012" customWidth="1"/>
    <col min="15887" max="15887" width="15.5703125" style="1012" customWidth="1"/>
    <col min="15888" max="15888" width="0" style="1012" hidden="1" customWidth="1"/>
    <col min="15889" max="15889" width="4.85546875" style="1012" customWidth="1"/>
    <col min="15890" max="15890" width="1" style="1012" customWidth="1"/>
    <col min="15891" max="15891" width="15.140625" style="1012" customWidth="1"/>
    <col min="15892" max="15892" width="0" style="1012" hidden="1" customWidth="1"/>
    <col min="15893" max="15893" width="4.42578125" style="1012" customWidth="1"/>
    <col min="15894" max="15894" width="14" style="1012" customWidth="1"/>
    <col min="15895" max="15895" width="1.5703125" style="1012" customWidth="1"/>
    <col min="15896" max="16128" width="9.140625" style="1012"/>
    <col min="16129" max="16129" width="6.28515625" style="1012" customWidth="1"/>
    <col min="16130" max="16130" width="1.5703125" style="1012" customWidth="1"/>
    <col min="16131" max="16131" width="16.5703125" style="1012" customWidth="1"/>
    <col min="16132" max="16132" width="0" style="1012" hidden="1" customWidth="1"/>
    <col min="16133" max="16133" width="4.85546875" style="1012" customWidth="1"/>
    <col min="16134" max="16134" width="1" style="1012" customWidth="1"/>
    <col min="16135" max="16135" width="13.140625" style="1012" customWidth="1"/>
    <col min="16136" max="16136" width="0" style="1012" hidden="1" customWidth="1"/>
    <col min="16137" max="16137" width="4.85546875" style="1012" customWidth="1"/>
    <col min="16138" max="16138" width="1" style="1012" customWidth="1"/>
    <col min="16139" max="16139" width="13.85546875" style="1012" customWidth="1"/>
    <col min="16140" max="16140" width="0" style="1012" hidden="1" customWidth="1"/>
    <col min="16141" max="16141" width="4.85546875" style="1012" customWidth="1"/>
    <col min="16142" max="16142" width="1" style="1012" customWidth="1"/>
    <col min="16143" max="16143" width="15.5703125" style="1012" customWidth="1"/>
    <col min="16144" max="16144" width="0" style="1012" hidden="1" customWidth="1"/>
    <col min="16145" max="16145" width="4.85546875" style="1012" customWidth="1"/>
    <col min="16146" max="16146" width="1" style="1012" customWidth="1"/>
    <col min="16147" max="16147" width="15.140625" style="1012" customWidth="1"/>
    <col min="16148" max="16148" width="0" style="1012" hidden="1" customWidth="1"/>
    <col min="16149" max="16149" width="4.42578125" style="1012" customWidth="1"/>
    <col min="16150" max="16150" width="14" style="1012" customWidth="1"/>
    <col min="16151" max="16151" width="1.5703125" style="1012" customWidth="1"/>
    <col min="16152" max="16384" width="9.140625" style="1012"/>
  </cols>
  <sheetData>
    <row r="1" spans="2:23" s="1107" customFormat="1" ht="33.75" customHeight="1" thickBot="1">
      <c r="C1" s="1123" t="s">
        <v>1455</v>
      </c>
      <c r="D1" s="1122"/>
      <c r="E1" s="1124"/>
      <c r="F1" s="1124"/>
      <c r="G1" s="1125"/>
      <c r="H1" s="1125"/>
      <c r="I1" s="1126"/>
      <c r="J1" s="1126"/>
      <c r="K1" s="1014"/>
      <c r="L1" s="1014"/>
      <c r="M1" s="1015"/>
      <c r="N1" s="1016"/>
      <c r="O1" s="1014"/>
      <c r="S1" s="1121" t="s">
        <v>1456</v>
      </c>
    </row>
    <row r="2" spans="2:23" ht="6" customHeight="1" thickBot="1"/>
    <row r="3" spans="2:23" ht="6.75" customHeight="1">
      <c r="B3" s="1017"/>
      <c r="C3" s="1018"/>
      <c r="D3" s="1019"/>
      <c r="E3" s="1019"/>
      <c r="F3" s="1019"/>
      <c r="G3" s="1020"/>
      <c r="H3" s="1020"/>
      <c r="I3" s="1021"/>
      <c r="J3" s="1022"/>
      <c r="K3" s="1020"/>
      <c r="L3" s="1020"/>
      <c r="M3" s="1021"/>
      <c r="N3" s="1022"/>
      <c r="O3" s="1020"/>
      <c r="P3" s="1019"/>
      <c r="Q3" s="1019"/>
      <c r="R3" s="1019"/>
      <c r="S3" s="1019"/>
      <c r="T3" s="1019"/>
      <c r="U3" s="1019"/>
      <c r="V3" s="1019"/>
      <c r="W3" s="1023"/>
    </row>
    <row r="4" spans="2:23" s="1032" customFormat="1" ht="20.100000000000001" customHeight="1">
      <c r="B4" s="1024"/>
      <c r="C4" s="1025" t="s">
        <v>1282</v>
      </c>
      <c r="D4" s="1026"/>
      <c r="E4" s="1026"/>
      <c r="F4" s="1026"/>
      <c r="G4" s="1027"/>
      <c r="H4" s="1028"/>
      <c r="I4" s="1029"/>
      <c r="J4" s="1029"/>
      <c r="K4" s="1027"/>
      <c r="L4" s="1028"/>
      <c r="M4" s="1029"/>
      <c r="N4" s="1029"/>
      <c r="O4" s="1027"/>
      <c r="P4" s="1030"/>
      <c r="Q4" s="1030"/>
      <c r="R4" s="1030"/>
      <c r="S4" s="1026"/>
      <c r="T4" s="1026"/>
      <c r="U4" s="1026"/>
      <c r="V4" s="1026"/>
      <c r="W4" s="1031"/>
    </row>
    <row r="5" spans="2:23" ht="6" customHeight="1" thickBot="1">
      <c r="B5" s="1033"/>
      <c r="C5" s="1034"/>
      <c r="D5" s="1035">
        <v>1</v>
      </c>
      <c r="E5" s="1034"/>
      <c r="F5" s="1034"/>
      <c r="G5" s="1036"/>
      <c r="H5" s="1036"/>
      <c r="I5" s="1037"/>
      <c r="J5" s="1038"/>
      <c r="K5" s="1036"/>
      <c r="L5" s="1036"/>
      <c r="M5" s="1037"/>
      <c r="N5" s="1038"/>
      <c r="O5" s="1036"/>
      <c r="P5" s="1034"/>
      <c r="Q5" s="1034"/>
      <c r="R5" s="1034"/>
      <c r="S5" s="1034"/>
      <c r="T5" s="1034"/>
      <c r="U5" s="1034"/>
      <c r="V5" s="1034"/>
      <c r="W5" s="1039"/>
    </row>
    <row r="6" spans="2:23" ht="30" customHeight="1" thickBot="1">
      <c r="B6" s="1033"/>
      <c r="C6" s="1040" t="s">
        <v>1283</v>
      </c>
      <c r="D6" s="1035">
        <v>2</v>
      </c>
      <c r="E6" s="1665"/>
      <c r="F6" s="1666"/>
      <c r="G6" s="1666"/>
      <c r="H6" s="1666"/>
      <c r="I6" s="1666"/>
      <c r="J6" s="1666"/>
      <c r="K6" s="1667"/>
      <c r="L6" s="1036"/>
      <c r="M6" s="1037"/>
      <c r="N6" s="1038"/>
      <c r="O6" s="1041" t="s">
        <v>1284</v>
      </c>
      <c r="P6" s="1035">
        <v>6</v>
      </c>
      <c r="Q6" s="1668"/>
      <c r="R6" s="1666"/>
      <c r="S6" s="1666"/>
      <c r="T6" s="1666"/>
      <c r="U6" s="1667"/>
      <c r="V6" s="1042" t="s">
        <v>1285</v>
      </c>
      <c r="W6" s="1039"/>
    </row>
    <row r="7" spans="2:23" ht="9" customHeight="1" thickBot="1">
      <c r="B7" s="1033"/>
      <c r="C7" s="1043"/>
      <c r="D7" s="1034"/>
      <c r="E7" s="1034"/>
      <c r="F7" s="1034"/>
      <c r="G7" s="1036"/>
      <c r="H7" s="1036"/>
      <c r="I7" s="1037"/>
      <c r="J7" s="1038"/>
      <c r="K7" s="1036"/>
      <c r="L7" s="1036"/>
      <c r="M7" s="1037"/>
      <c r="N7" s="1038"/>
      <c r="O7" s="1044"/>
      <c r="P7" s="1034"/>
      <c r="Q7" s="1034"/>
      <c r="R7" s="1034"/>
      <c r="S7" s="1034"/>
      <c r="T7" s="1034"/>
      <c r="U7" s="1045"/>
      <c r="V7" s="1034"/>
      <c r="W7" s="1039"/>
    </row>
    <row r="8" spans="2:23" ht="30" customHeight="1" thickBot="1">
      <c r="B8" s="1033"/>
      <c r="C8" s="1040" t="s">
        <v>1286</v>
      </c>
      <c r="D8" s="1035">
        <v>3</v>
      </c>
      <c r="E8" s="1665"/>
      <c r="F8" s="1666"/>
      <c r="G8" s="1666"/>
      <c r="H8" s="1666"/>
      <c r="I8" s="1666"/>
      <c r="J8" s="1666"/>
      <c r="K8" s="1667"/>
      <c r="L8" s="1036"/>
      <c r="M8" s="1037"/>
      <c r="N8" s="1038"/>
      <c r="O8" s="1041" t="s">
        <v>1287</v>
      </c>
      <c r="P8" s="1035">
        <v>7</v>
      </c>
      <c r="Q8" s="1669"/>
      <c r="R8" s="1666"/>
      <c r="S8" s="1666"/>
      <c r="T8" s="1666"/>
      <c r="U8" s="1667"/>
      <c r="V8" s="1046"/>
      <c r="W8" s="1039"/>
    </row>
    <row r="9" spans="2:23" ht="9" customHeight="1" thickBot="1">
      <c r="B9" s="1033"/>
      <c r="C9" s="1043"/>
      <c r="D9" s="1034"/>
      <c r="E9" s="1034"/>
      <c r="F9" s="1034"/>
      <c r="G9" s="1036"/>
      <c r="H9" s="1036"/>
      <c r="I9" s="1037"/>
      <c r="J9" s="1038"/>
      <c r="K9" s="1036"/>
      <c r="L9" s="1036"/>
      <c r="M9" s="1037"/>
      <c r="N9" s="1038"/>
      <c r="O9" s="1044"/>
      <c r="P9" s="1034"/>
      <c r="Q9" s="1034"/>
      <c r="R9" s="1034"/>
      <c r="S9" s="1034"/>
      <c r="T9" s="1034"/>
      <c r="U9" s="1045"/>
      <c r="V9" s="1034"/>
      <c r="W9" s="1039"/>
    </row>
    <row r="10" spans="2:23" ht="30" customHeight="1" thickBot="1">
      <c r="B10" s="1033"/>
      <c r="C10" s="1040" t="s">
        <v>1288</v>
      </c>
      <c r="D10" s="1035">
        <v>4</v>
      </c>
      <c r="E10" s="1665"/>
      <c r="F10" s="1666"/>
      <c r="G10" s="1666"/>
      <c r="H10" s="1666"/>
      <c r="I10" s="1666"/>
      <c r="J10" s="1666"/>
      <c r="K10" s="1667"/>
      <c r="L10" s="1036"/>
      <c r="M10" s="1037"/>
      <c r="N10" s="1038"/>
      <c r="O10" s="1041" t="s">
        <v>1289</v>
      </c>
      <c r="P10" s="1035">
        <v>8</v>
      </c>
      <c r="Q10" s="1669"/>
      <c r="R10" s="1666"/>
      <c r="S10" s="1666"/>
      <c r="T10" s="1666"/>
      <c r="U10" s="1667"/>
      <c r="V10" s="1047" t="s">
        <v>1285</v>
      </c>
      <c r="W10" s="1039"/>
    </row>
    <row r="11" spans="2:23" ht="9" customHeight="1" thickBot="1">
      <c r="B11" s="1033"/>
      <c r="C11" s="1043"/>
      <c r="D11" s="1034"/>
      <c r="E11" s="1034"/>
      <c r="F11" s="1034"/>
      <c r="G11" s="1036"/>
      <c r="H11" s="1036"/>
      <c r="I11" s="1037"/>
      <c r="J11" s="1038"/>
      <c r="K11" s="1036"/>
      <c r="L11" s="1036"/>
      <c r="M11" s="1037"/>
      <c r="N11" s="1038"/>
      <c r="O11" s="1036"/>
      <c r="P11" s="1034"/>
      <c r="Q11" s="1034"/>
      <c r="R11" s="1034"/>
      <c r="S11" s="1034"/>
      <c r="T11" s="1034"/>
      <c r="U11" s="1034"/>
      <c r="V11" s="1034"/>
      <c r="W11" s="1039"/>
    </row>
    <row r="12" spans="2:23" ht="30" customHeight="1" thickBot="1">
      <c r="B12" s="1033"/>
      <c r="C12" s="1040" t="s">
        <v>1290</v>
      </c>
      <c r="D12" s="1035">
        <v>5</v>
      </c>
      <c r="E12" s="1662"/>
      <c r="F12" s="1663"/>
      <c r="G12" s="1663"/>
      <c r="H12" s="1663"/>
      <c r="I12" s="1663"/>
      <c r="J12" s="1663"/>
      <c r="K12" s="1663"/>
      <c r="L12" s="1663"/>
      <c r="M12" s="1663"/>
      <c r="N12" s="1663"/>
      <c r="O12" s="1663"/>
      <c r="P12" s="1663"/>
      <c r="Q12" s="1663"/>
      <c r="R12" s="1663"/>
      <c r="S12" s="1663"/>
      <c r="T12" s="1663"/>
      <c r="U12" s="1664"/>
      <c r="V12" s="1048"/>
      <c r="W12" s="1039"/>
    </row>
    <row r="13" spans="2:23" ht="12" customHeight="1" thickBot="1">
      <c r="B13" s="1049"/>
      <c r="C13" s="1050"/>
      <c r="D13" s="1051"/>
      <c r="E13" s="1051"/>
      <c r="F13" s="1051"/>
      <c r="G13" s="1052"/>
      <c r="H13" s="1052"/>
      <c r="I13" s="1053"/>
      <c r="J13" s="1054"/>
      <c r="K13" s="1052"/>
      <c r="L13" s="1052"/>
      <c r="M13" s="1053"/>
      <c r="N13" s="1054"/>
      <c r="O13" s="1052"/>
      <c r="P13" s="1051"/>
      <c r="Q13" s="1051"/>
      <c r="R13" s="1051"/>
      <c r="S13" s="1051"/>
      <c r="T13" s="1051"/>
      <c r="U13" s="1051"/>
      <c r="V13" s="1051"/>
      <c r="W13" s="1055"/>
    </row>
    <row r="14" spans="2:23" ht="6.75" hidden="1" customHeight="1">
      <c r="B14" s="1017"/>
      <c r="C14" s="1018"/>
      <c r="D14" s="1019"/>
      <c r="E14" s="1019"/>
      <c r="F14" s="1019"/>
      <c r="G14" s="1020"/>
      <c r="H14" s="1020"/>
      <c r="I14" s="1021"/>
      <c r="J14" s="1022"/>
      <c r="K14" s="1020"/>
      <c r="L14" s="1020"/>
      <c r="M14" s="1021"/>
      <c r="N14" s="1022"/>
      <c r="O14" s="1020"/>
      <c r="P14" s="1019"/>
      <c r="Q14" s="1019"/>
      <c r="R14" s="1019"/>
      <c r="S14" s="1019"/>
      <c r="T14" s="1019"/>
      <c r="U14" s="1019"/>
      <c r="V14" s="1019"/>
      <c r="W14" s="1023"/>
    </row>
    <row r="15" spans="2:23" s="1032" customFormat="1" ht="19.5" hidden="1" customHeight="1">
      <c r="B15" s="1024"/>
      <c r="C15" s="1025" t="s">
        <v>1291</v>
      </c>
      <c r="D15" s="1026"/>
      <c r="E15" s="1026"/>
      <c r="F15" s="1026"/>
      <c r="G15" s="1027"/>
      <c r="H15" s="1028"/>
      <c r="I15" s="1029"/>
      <c r="J15" s="1029"/>
      <c r="K15" s="1027"/>
      <c r="L15" s="1028"/>
      <c r="M15" s="1029"/>
      <c r="N15" s="1029"/>
      <c r="O15" s="1027"/>
      <c r="P15" s="1030"/>
      <c r="Q15" s="1030"/>
      <c r="R15" s="1030"/>
      <c r="S15" s="1026"/>
      <c r="T15" s="1026"/>
      <c r="U15" s="1026"/>
      <c r="V15" s="1026"/>
      <c r="W15" s="1031"/>
    </row>
    <row r="16" spans="2:23" ht="36" hidden="1" customHeight="1" thickBot="1">
      <c r="B16" s="1033"/>
      <c r="C16" s="1040" t="s">
        <v>1051</v>
      </c>
      <c r="D16" s="1035" t="s">
        <v>1292</v>
      </c>
      <c r="E16" s="1034"/>
      <c r="F16" s="1034"/>
      <c r="G16" s="1056"/>
      <c r="H16" s="1057"/>
      <c r="I16" s="1037"/>
      <c r="J16" s="1038"/>
      <c r="K16" s="1058" t="s">
        <v>1293</v>
      </c>
      <c r="L16" s="1036"/>
      <c r="M16" s="1037"/>
      <c r="N16" s="1038"/>
      <c r="O16" s="1056"/>
      <c r="P16" s="1034"/>
      <c r="Q16" s="1034"/>
      <c r="R16" s="1034"/>
      <c r="S16" s="1040" t="s">
        <v>1294</v>
      </c>
      <c r="T16" s="1034"/>
      <c r="U16" s="1034"/>
      <c r="V16" s="1059"/>
      <c r="W16" s="1039"/>
    </row>
    <row r="17" spans="2:24" ht="12" hidden="1" customHeight="1" thickBot="1">
      <c r="B17" s="1049"/>
      <c r="C17" s="1050"/>
      <c r="D17" s="1051"/>
      <c r="E17" s="1051"/>
      <c r="F17" s="1051"/>
      <c r="G17" s="1052"/>
      <c r="H17" s="1052"/>
      <c r="I17" s="1053"/>
      <c r="J17" s="1054"/>
      <c r="K17" s="1052"/>
      <c r="L17" s="1052"/>
      <c r="M17" s="1053"/>
      <c r="N17" s="1054"/>
      <c r="O17" s="1052"/>
      <c r="P17" s="1051"/>
      <c r="Q17" s="1051"/>
      <c r="R17" s="1051"/>
      <c r="S17" s="1051"/>
      <c r="T17" s="1051"/>
      <c r="U17" s="1051"/>
      <c r="V17" s="1051"/>
      <c r="W17" s="1060"/>
    </row>
    <row r="18" spans="2:24" ht="6" hidden="1" customHeight="1"/>
    <row r="19" spans="2:24" ht="6.75" hidden="1" customHeight="1">
      <c r="B19" s="1017"/>
      <c r="C19" s="1018"/>
      <c r="D19" s="1019"/>
      <c r="E19" s="1019"/>
      <c r="F19" s="1019"/>
      <c r="G19" s="1020"/>
      <c r="H19" s="1020"/>
      <c r="I19" s="1021"/>
      <c r="J19" s="1022"/>
      <c r="K19" s="1020"/>
      <c r="L19" s="1020"/>
      <c r="M19" s="1021"/>
      <c r="N19" s="1022"/>
      <c r="O19" s="1020"/>
      <c r="P19" s="1019"/>
      <c r="Q19" s="1019"/>
      <c r="R19" s="1019"/>
      <c r="S19" s="1019"/>
      <c r="T19" s="1019"/>
      <c r="U19" s="1019"/>
      <c r="V19" s="1019"/>
      <c r="W19" s="1023"/>
    </row>
    <row r="20" spans="2:24" s="1032" customFormat="1" ht="19.5" hidden="1" customHeight="1">
      <c r="B20" s="1024"/>
      <c r="C20" s="1025" t="s">
        <v>1295</v>
      </c>
      <c r="D20" s="1061"/>
      <c r="E20" s="1062"/>
      <c r="F20" s="1062"/>
      <c r="G20" s="1063"/>
      <c r="H20" s="1028"/>
      <c r="I20" s="1029"/>
      <c r="J20" s="1029"/>
      <c r="K20" s="1027"/>
      <c r="L20" s="1028"/>
      <c r="M20" s="1029"/>
      <c r="N20" s="1029"/>
      <c r="O20" s="1027"/>
      <c r="P20" s="1030"/>
      <c r="Q20" s="1030"/>
      <c r="R20" s="1030"/>
      <c r="S20" s="1026"/>
      <c r="T20" s="1026"/>
      <c r="U20" s="1026"/>
      <c r="V20" s="1026"/>
      <c r="W20" s="1031"/>
    </row>
    <row r="21" spans="2:24" ht="36" hidden="1" customHeight="1" thickBot="1">
      <c r="B21" s="1033"/>
      <c r="C21" s="1040" t="s">
        <v>1296</v>
      </c>
      <c r="D21" s="1035" t="s">
        <v>1297</v>
      </c>
      <c r="E21" s="1034"/>
      <c r="F21" s="1034"/>
      <c r="G21" s="1059" t="s">
        <v>1298</v>
      </c>
      <c r="H21" s="1057"/>
      <c r="I21" s="1037"/>
      <c r="J21" s="1038"/>
      <c r="K21" s="1041" t="s">
        <v>1299</v>
      </c>
      <c r="L21" s="1064" t="s">
        <v>1300</v>
      </c>
      <c r="M21" s="1037"/>
      <c r="N21" s="1038"/>
      <c r="O21" s="1065" t="s">
        <v>1301</v>
      </c>
      <c r="P21" s="1034"/>
      <c r="Q21" s="1034"/>
      <c r="R21" s="1034"/>
      <c r="S21" s="1034"/>
      <c r="T21" s="1034"/>
      <c r="U21" s="1034"/>
      <c r="V21" s="1034"/>
      <c r="W21" s="1039"/>
    </row>
    <row r="22" spans="2:24" ht="9" hidden="1" customHeight="1">
      <c r="B22" s="1033"/>
      <c r="C22" s="1043"/>
      <c r="D22" s="1034"/>
      <c r="E22" s="1034"/>
      <c r="F22" s="1034"/>
      <c r="G22" s="1036"/>
      <c r="H22" s="1036"/>
      <c r="I22" s="1037"/>
      <c r="J22" s="1038"/>
      <c r="K22" s="1044"/>
      <c r="L22" s="1036"/>
      <c r="M22" s="1037"/>
      <c r="N22" s="1038"/>
      <c r="O22" s="1036"/>
      <c r="P22" s="1034"/>
      <c r="Q22" s="1034"/>
      <c r="R22" s="1034"/>
      <c r="S22" s="1034"/>
      <c r="T22" s="1034"/>
      <c r="U22" s="1034"/>
      <c r="V22" s="1034"/>
      <c r="W22" s="1039"/>
    </row>
    <row r="23" spans="2:24" ht="36" hidden="1" customHeight="1" thickBot="1">
      <c r="B23" s="1033"/>
      <c r="C23" s="1040" t="s">
        <v>1302</v>
      </c>
      <c r="D23" s="1035" t="s">
        <v>1303</v>
      </c>
      <c r="E23" s="1034"/>
      <c r="F23" s="1034"/>
      <c r="G23" s="1059" t="s">
        <v>1304</v>
      </c>
      <c r="H23" s="1036"/>
      <c r="I23" s="1037"/>
      <c r="J23" s="1038"/>
      <c r="K23" s="1041" t="s">
        <v>1305</v>
      </c>
      <c r="L23" s="1064" t="s">
        <v>1306</v>
      </c>
      <c r="M23" s="1037"/>
      <c r="N23" s="1038"/>
      <c r="O23" s="1059" t="s">
        <v>1307</v>
      </c>
      <c r="P23" s="1034"/>
      <c r="Q23" s="1034"/>
      <c r="R23" s="1034"/>
      <c r="S23" s="1034"/>
      <c r="T23" s="1034"/>
      <c r="U23" s="1034"/>
      <c r="V23" s="1034"/>
      <c r="W23" s="1039"/>
    </row>
    <row r="24" spans="2:24" ht="9" hidden="1" customHeight="1">
      <c r="B24" s="1033"/>
      <c r="C24" s="1043"/>
      <c r="D24" s="1034"/>
      <c r="E24" s="1034"/>
      <c r="F24" s="1034"/>
      <c r="G24" s="1036"/>
      <c r="H24" s="1036"/>
      <c r="I24" s="1037"/>
      <c r="J24" s="1038"/>
      <c r="K24" s="1044"/>
      <c r="L24" s="1036"/>
      <c r="M24" s="1037"/>
      <c r="N24" s="1038"/>
      <c r="O24" s="1036"/>
      <c r="P24" s="1034"/>
      <c r="Q24" s="1034"/>
      <c r="R24" s="1034"/>
      <c r="S24" s="1034"/>
      <c r="T24" s="1034"/>
      <c r="U24" s="1034"/>
      <c r="V24" s="1034"/>
      <c r="W24" s="1039"/>
    </row>
    <row r="25" spans="2:24" ht="36" hidden="1" customHeight="1" thickBot="1">
      <c r="B25" s="1033"/>
      <c r="C25" s="1040" t="s">
        <v>1308</v>
      </c>
      <c r="D25" s="1035" t="s">
        <v>1309</v>
      </c>
      <c r="E25" s="1034"/>
      <c r="F25" s="1034"/>
      <c r="G25" s="1059" t="s">
        <v>1310</v>
      </c>
      <c r="H25" s="1036"/>
      <c r="I25" s="1037"/>
      <c r="J25" s="1038"/>
      <c r="K25" s="1041" t="s">
        <v>1311</v>
      </c>
      <c r="L25" s="1064" t="s">
        <v>1312</v>
      </c>
      <c r="M25" s="1037"/>
      <c r="N25" s="1038"/>
      <c r="O25" s="1059" t="s">
        <v>1313</v>
      </c>
      <c r="P25" s="1034"/>
      <c r="Q25" s="1034"/>
      <c r="R25" s="1034"/>
      <c r="S25" s="1034"/>
      <c r="T25" s="1034"/>
      <c r="U25" s="1034"/>
      <c r="V25" s="1034"/>
      <c r="W25" s="1039"/>
    </row>
    <row r="26" spans="2:24" ht="9" customHeight="1" thickBot="1"/>
    <row r="27" spans="2:24" ht="6.75" customHeight="1">
      <c r="B27" s="1017"/>
      <c r="C27" s="1018"/>
      <c r="D27" s="1019"/>
      <c r="E27" s="1019"/>
      <c r="F27" s="1019"/>
      <c r="G27" s="1020"/>
      <c r="H27" s="1020"/>
      <c r="I27" s="1021"/>
      <c r="J27" s="1022"/>
      <c r="K27" s="1020"/>
      <c r="L27" s="1020"/>
      <c r="M27" s="1021"/>
      <c r="N27" s="1022"/>
      <c r="O27" s="1020"/>
      <c r="P27" s="1019"/>
      <c r="Q27" s="1019"/>
      <c r="R27" s="1019"/>
      <c r="S27" s="1019"/>
      <c r="T27" s="1019"/>
      <c r="U27" s="1019"/>
      <c r="V27" s="1019"/>
      <c r="W27" s="1023"/>
    </row>
    <row r="28" spans="2:24" s="1032" customFormat="1" ht="19.5" customHeight="1" thickBot="1">
      <c r="B28" s="1024"/>
      <c r="C28" s="1025" t="s">
        <v>1314</v>
      </c>
      <c r="D28" s="1026"/>
      <c r="E28" s="1030"/>
      <c r="F28" s="1030"/>
      <c r="G28" s="1027"/>
      <c r="H28" s="1028"/>
      <c r="I28" s="1029"/>
      <c r="J28" s="1029"/>
      <c r="K28" s="1027"/>
      <c r="L28" s="1028"/>
      <c r="M28" s="1029"/>
      <c r="N28" s="1029"/>
      <c r="O28" s="1027"/>
      <c r="P28" s="1030"/>
      <c r="Q28" s="1030"/>
      <c r="R28" s="1030"/>
      <c r="S28" s="1026"/>
      <c r="T28" s="1026"/>
      <c r="U28" s="1026"/>
      <c r="V28" s="1026"/>
      <c r="W28" s="1031"/>
      <c r="X28" s="1650"/>
    </row>
    <row r="29" spans="2:24" ht="36" customHeight="1" thickBot="1">
      <c r="B29" s="1033"/>
      <c r="C29" s="1040" t="s">
        <v>1315</v>
      </c>
      <c r="D29" s="1035" t="s">
        <v>1316</v>
      </c>
      <c r="E29" s="1034"/>
      <c r="F29" s="1034"/>
      <c r="G29" s="1095">
        <f>'Configs &amp; Procedures'!H20</f>
        <v>150</v>
      </c>
      <c r="H29" s="1057"/>
      <c r="I29" s="1037"/>
      <c r="J29" s="1038"/>
      <c r="K29" s="1041" t="s">
        <v>1317</v>
      </c>
      <c r="L29" s="1064" t="s">
        <v>1318</v>
      </c>
      <c r="M29" s="1037"/>
      <c r="N29" s="1038"/>
      <c r="O29" s="1059">
        <f>'Configs &amp; Procedures'!H26</f>
        <v>13</v>
      </c>
      <c r="P29" s="1034"/>
      <c r="Q29" s="1034"/>
      <c r="R29" s="1034"/>
      <c r="S29" s="1034"/>
      <c r="T29" s="1034"/>
      <c r="U29" s="1034"/>
      <c r="V29" s="1034"/>
      <c r="W29" s="1039"/>
      <c r="X29" s="1651"/>
    </row>
    <row r="30" spans="2:24" ht="9" customHeight="1" thickBot="1">
      <c r="B30" s="1033"/>
      <c r="C30" s="1040"/>
      <c r="D30" s="1034"/>
      <c r="E30" s="1034"/>
      <c r="F30" s="1034"/>
      <c r="G30" s="1036"/>
      <c r="H30" s="1036"/>
      <c r="I30" s="1037"/>
      <c r="J30" s="1038"/>
      <c r="K30" s="1041"/>
      <c r="L30" s="1036"/>
      <c r="M30" s="1037"/>
      <c r="N30" s="1038"/>
      <c r="O30" s="1036"/>
      <c r="P30" s="1034"/>
      <c r="Q30" s="1034"/>
      <c r="R30" s="1034"/>
      <c r="S30" s="1034"/>
      <c r="T30" s="1034"/>
      <c r="U30" s="1034"/>
      <c r="V30" s="1034"/>
      <c r="W30" s="1039"/>
      <c r="X30" s="1651"/>
    </row>
    <row r="31" spans="2:24" ht="36" customHeight="1" thickBot="1">
      <c r="B31" s="1033"/>
      <c r="C31" s="1040" t="s">
        <v>1319</v>
      </c>
      <c r="D31" s="1035" t="s">
        <v>1320</v>
      </c>
      <c r="E31" s="1034"/>
      <c r="F31" s="1034"/>
      <c r="G31" s="1059">
        <v>310</v>
      </c>
      <c r="H31" s="1036"/>
      <c r="I31" s="1037"/>
      <c r="J31" s="1038"/>
      <c r="K31" s="1058" t="s">
        <v>1321</v>
      </c>
      <c r="L31" s="1064" t="s">
        <v>1322</v>
      </c>
      <c r="M31" s="1037"/>
      <c r="N31" s="1038"/>
      <c r="O31" s="1066">
        <f>'Configs &amp; Procedures'!H27</f>
        <v>11</v>
      </c>
      <c r="P31" s="1034"/>
      <c r="Q31" s="1034"/>
      <c r="R31" s="1034"/>
      <c r="S31" s="1034"/>
      <c r="T31" s="1034"/>
      <c r="U31" s="1034"/>
      <c r="V31" s="1034"/>
      <c r="W31" s="1039"/>
      <c r="X31" s="1651"/>
    </row>
    <row r="32" spans="2:24" ht="9" customHeight="1" thickBot="1">
      <c r="B32" s="1033"/>
      <c r="C32" s="1040"/>
      <c r="D32" s="1034"/>
      <c r="E32" s="1034"/>
      <c r="F32" s="1034"/>
      <c r="G32" s="1036"/>
      <c r="H32" s="1036"/>
      <c r="I32" s="1037"/>
      <c r="J32" s="1038"/>
      <c r="K32" s="1041"/>
      <c r="L32" s="1036"/>
      <c r="M32" s="1037"/>
      <c r="N32" s="1038"/>
      <c r="O32" s="1036"/>
      <c r="P32" s="1034"/>
      <c r="Q32" s="1034"/>
      <c r="R32" s="1034"/>
      <c r="S32" s="1034"/>
      <c r="T32" s="1034"/>
      <c r="U32" s="1034"/>
      <c r="V32" s="1034"/>
      <c r="W32" s="1039"/>
      <c r="X32" s="1651"/>
    </row>
    <row r="33" spans="2:25" ht="36" customHeight="1" thickBot="1">
      <c r="B33" s="1033"/>
      <c r="C33" s="1040" t="s">
        <v>1323</v>
      </c>
      <c r="D33" s="1035" t="s">
        <v>1324</v>
      </c>
      <c r="E33" s="1034"/>
      <c r="F33" s="1034"/>
      <c r="G33" s="1059">
        <v>-250</v>
      </c>
      <c r="H33" s="1036"/>
      <c r="I33" s="1037"/>
      <c r="J33" s="1038"/>
      <c r="K33" s="1041" t="s">
        <v>1325</v>
      </c>
      <c r="L33" s="1064" t="s">
        <v>1326</v>
      </c>
      <c r="M33" s="1037"/>
      <c r="N33" s="1038"/>
      <c r="O33" s="1089" t="s">
        <v>1327</v>
      </c>
      <c r="P33" s="1034"/>
      <c r="Q33" s="1034"/>
      <c r="R33" s="1034"/>
      <c r="S33" s="1034" t="s">
        <v>1328</v>
      </c>
      <c r="T33" s="1034"/>
      <c r="U33" s="1034"/>
      <c r="V33" s="1034"/>
      <c r="W33" s="1039"/>
      <c r="X33" s="1651"/>
    </row>
    <row r="34" spans="2:25" ht="9" customHeight="1">
      <c r="B34" s="1033"/>
      <c r="C34" s="1040"/>
      <c r="D34" s="1034"/>
      <c r="E34" s="1034"/>
      <c r="F34" s="1034"/>
      <c r="G34" s="1036"/>
      <c r="H34" s="1036"/>
      <c r="I34" s="1037"/>
      <c r="J34" s="1038"/>
      <c r="K34" s="1058"/>
      <c r="L34" s="1036"/>
      <c r="M34" s="1037"/>
      <c r="N34" s="1038"/>
      <c r="O34" s="1036"/>
      <c r="P34" s="1034"/>
      <c r="Q34" s="1034"/>
      <c r="R34" s="1034"/>
      <c r="S34" s="1034"/>
      <c r="T34" s="1034"/>
      <c r="U34" s="1034"/>
      <c r="V34" s="1034"/>
      <c r="W34" s="1039"/>
      <c r="X34" s="1651"/>
    </row>
    <row r="35" spans="2:25" ht="12" customHeight="1" thickBot="1">
      <c r="B35" s="1049"/>
      <c r="C35" s="1050"/>
      <c r="D35" s="1051"/>
      <c r="E35" s="1051"/>
      <c r="F35" s="1051"/>
      <c r="G35" s="1052"/>
      <c r="H35" s="1052"/>
      <c r="I35" s="1053"/>
      <c r="J35" s="1054"/>
      <c r="K35" s="1052"/>
      <c r="L35" s="1052"/>
      <c r="M35" s="1053"/>
      <c r="N35" s="1054"/>
      <c r="O35" s="1052"/>
      <c r="P35" s="1051"/>
      <c r="Q35" s="1051"/>
      <c r="R35" s="1051"/>
      <c r="S35" s="1051"/>
      <c r="T35" s="1051"/>
      <c r="U35" s="1051"/>
      <c r="V35" s="1051"/>
      <c r="W35" s="1060"/>
      <c r="X35" s="1651"/>
    </row>
    <row r="36" spans="2:25" ht="9" customHeight="1" thickBot="1">
      <c r="X36" s="1651"/>
    </row>
    <row r="37" spans="2:25" ht="6.75" customHeight="1">
      <c r="B37" s="1017"/>
      <c r="C37" s="1018"/>
      <c r="D37" s="1019"/>
      <c r="E37" s="1019"/>
      <c r="F37" s="1019"/>
      <c r="G37" s="1020"/>
      <c r="H37" s="1020"/>
      <c r="I37" s="1021"/>
      <c r="J37" s="1022"/>
      <c r="K37" s="1020"/>
      <c r="L37" s="1020"/>
      <c r="M37" s="1021"/>
      <c r="N37" s="1022"/>
      <c r="O37" s="1020"/>
      <c r="P37" s="1019"/>
      <c r="Q37" s="1019"/>
      <c r="R37" s="1019"/>
      <c r="S37" s="1019"/>
      <c r="T37" s="1019"/>
      <c r="U37" s="1019"/>
      <c r="V37" s="1019"/>
      <c r="W37" s="1023"/>
      <c r="X37" s="1651"/>
    </row>
    <row r="38" spans="2:25" s="1032" customFormat="1" ht="20.100000000000001" customHeight="1" thickBot="1">
      <c r="B38" s="1024"/>
      <c r="C38" s="1025" t="s">
        <v>1329</v>
      </c>
      <c r="D38" s="1026"/>
      <c r="E38" s="1030"/>
      <c r="F38" s="1030"/>
      <c r="G38" s="1027"/>
      <c r="H38" s="1028"/>
      <c r="I38" s="1029"/>
      <c r="J38" s="1029"/>
      <c r="K38" s="1027"/>
      <c r="L38" s="1028"/>
      <c r="M38" s="1029"/>
      <c r="N38" s="1029"/>
      <c r="O38" s="1027"/>
      <c r="P38" s="1030"/>
      <c r="Q38" s="1030"/>
      <c r="R38" s="1030"/>
      <c r="S38" s="1026"/>
      <c r="T38" s="1026"/>
      <c r="U38" s="1026"/>
      <c r="V38" s="1026"/>
      <c r="W38" s="1031"/>
      <c r="X38" s="1651"/>
    </row>
    <row r="39" spans="2:25" ht="36" customHeight="1" thickBot="1">
      <c r="B39" s="1033"/>
      <c r="C39" s="1040" t="s">
        <v>57</v>
      </c>
      <c r="D39" s="1035" t="s">
        <v>1330</v>
      </c>
      <c r="E39" s="1034"/>
      <c r="F39" s="1034"/>
      <c r="G39" s="1096">
        <f>'Configs &amp; Procedures'!H25</f>
        <v>1</v>
      </c>
      <c r="H39" s="1057"/>
      <c r="I39" s="1037"/>
      <c r="J39" s="1038"/>
      <c r="K39" s="1041" t="s">
        <v>1331</v>
      </c>
      <c r="L39" s="1064" t="s">
        <v>1332</v>
      </c>
      <c r="M39" s="1037"/>
      <c r="N39" s="1038"/>
      <c r="O39" s="1097" t="str">
        <f>'Configs &amp; Procedures'!H28</f>
        <v>SLOW</v>
      </c>
      <c r="P39" s="1034"/>
      <c r="Q39" s="1034"/>
      <c r="R39" s="1034"/>
      <c r="S39" s="1041" t="s">
        <v>1333</v>
      </c>
      <c r="T39" s="1034"/>
      <c r="U39" s="1034"/>
      <c r="V39" s="1067">
        <f>'Configs &amp; Procedures'!H30</f>
        <v>1</v>
      </c>
      <c r="W39" s="1039"/>
      <c r="X39" s="1651"/>
    </row>
    <row r="40" spans="2:25" ht="9" customHeight="1" thickBot="1">
      <c r="B40" s="1033"/>
      <c r="C40" s="1043"/>
      <c r="D40" s="1034"/>
      <c r="E40" s="1034"/>
      <c r="F40" s="1034"/>
      <c r="G40" s="1036"/>
      <c r="H40" s="1036"/>
      <c r="I40" s="1037"/>
      <c r="J40" s="1038"/>
      <c r="K40" s="1044"/>
      <c r="L40" s="1036"/>
      <c r="M40" s="1037"/>
      <c r="N40" s="1038"/>
      <c r="O40" s="1036"/>
      <c r="P40" s="1034"/>
      <c r="Q40" s="1034"/>
      <c r="R40" s="1034"/>
      <c r="S40" s="1034"/>
      <c r="T40" s="1034"/>
      <c r="U40" s="1034"/>
      <c r="V40" s="1034"/>
      <c r="W40" s="1039"/>
      <c r="X40" s="1651"/>
    </row>
    <row r="41" spans="2:25" ht="36" customHeight="1" thickBot="1">
      <c r="B41" s="1033"/>
      <c r="C41" s="1040" t="s">
        <v>1334</v>
      </c>
      <c r="D41" s="1035" t="s">
        <v>1335</v>
      </c>
      <c r="E41" s="1034"/>
      <c r="F41" s="1034"/>
      <c r="G41" s="1095">
        <f>'Configs &amp; Procedures'!H16</f>
        <v>32</v>
      </c>
      <c r="H41" s="1036"/>
      <c r="I41" s="1037"/>
      <c r="J41" s="1038"/>
      <c r="K41" s="1041" t="s">
        <v>1336</v>
      </c>
      <c r="L41" s="1064" t="s">
        <v>1337</v>
      </c>
      <c r="M41" s="1037"/>
      <c r="N41" s="1038"/>
      <c r="O41" s="1095" t="str">
        <f>'Configs &amp; Procedures'!H31</f>
        <v>YES</v>
      </c>
      <c r="P41" s="1034"/>
      <c r="Q41" s="1034"/>
      <c r="R41" s="1034"/>
      <c r="S41" s="1652" t="s">
        <v>1338</v>
      </c>
      <c r="T41" s="1034"/>
      <c r="U41" s="1034"/>
      <c r="V41" s="1034"/>
      <c r="W41" s="1039"/>
      <c r="X41" s="1655"/>
    </row>
    <row r="42" spans="2:25" ht="9" customHeight="1" thickBot="1">
      <c r="B42" s="1033"/>
      <c r="C42" s="1043"/>
      <c r="D42" s="1034"/>
      <c r="E42" s="1034"/>
      <c r="F42" s="1034"/>
      <c r="G42" s="1036"/>
      <c r="H42" s="1036"/>
      <c r="I42" s="1037"/>
      <c r="J42" s="1038"/>
      <c r="K42" s="1044"/>
      <c r="L42" s="1036"/>
      <c r="M42" s="1037"/>
      <c r="N42" s="1038"/>
      <c r="O42" s="1036"/>
      <c r="P42" s="1034"/>
      <c r="Q42" s="1034"/>
      <c r="R42" s="1034"/>
      <c r="S42" s="1652"/>
      <c r="T42" s="1034"/>
      <c r="U42" s="1034"/>
      <c r="V42" s="1034"/>
      <c r="W42" s="1039"/>
      <c r="X42" s="1656"/>
    </row>
    <row r="43" spans="2:25" ht="36" customHeight="1" thickBot="1">
      <c r="B43" s="1033"/>
      <c r="C43" s="1040" t="s">
        <v>1339</v>
      </c>
      <c r="D43" s="1035" t="s">
        <v>1340</v>
      </c>
      <c r="E43" s="1034"/>
      <c r="F43" s="1034"/>
      <c r="G43" s="1067">
        <f>'Configs &amp; Procedures'!H14*1000</f>
        <v>100000</v>
      </c>
      <c r="H43" s="1036"/>
      <c r="I43" s="1037"/>
      <c r="J43" s="1038"/>
      <c r="K43" s="1041" t="s">
        <v>1341</v>
      </c>
      <c r="L43" s="1064" t="s">
        <v>1342</v>
      </c>
      <c r="M43" s="1037"/>
      <c r="N43" s="1038"/>
      <c r="O43" s="1095">
        <f>'Configs &amp; Procedures'!H29</f>
        <v>1</v>
      </c>
      <c r="P43" s="1034"/>
      <c r="Q43" s="1034"/>
      <c r="R43" s="1034"/>
      <c r="S43" s="1652"/>
      <c r="T43" s="1034"/>
      <c r="U43" s="1034"/>
      <c r="V43" s="1034"/>
      <c r="W43" s="1039"/>
      <c r="X43" s="1656"/>
    </row>
    <row r="44" spans="2:25" ht="9" customHeight="1">
      <c r="B44" s="1033"/>
      <c r="C44" s="1043"/>
      <c r="D44" s="1034"/>
      <c r="E44" s="1034"/>
      <c r="F44" s="1034"/>
      <c r="G44" s="1036"/>
      <c r="H44" s="1036"/>
      <c r="I44" s="1037"/>
      <c r="J44" s="1038"/>
      <c r="K44" s="1036"/>
      <c r="L44" s="1036"/>
      <c r="M44" s="1037"/>
      <c r="N44" s="1038"/>
      <c r="O44" s="1036"/>
      <c r="P44" s="1034"/>
      <c r="Q44" s="1034"/>
      <c r="R44" s="1034"/>
      <c r="S44" s="1653"/>
      <c r="T44" s="1034"/>
      <c r="U44" s="1034"/>
      <c r="V44" s="1034"/>
      <c r="W44" s="1039"/>
      <c r="X44" s="1656"/>
    </row>
    <row r="45" spans="2:25" ht="10.5" customHeight="1" thickBot="1">
      <c r="B45" s="1049"/>
      <c r="C45" s="1050"/>
      <c r="D45" s="1051"/>
      <c r="E45" s="1051"/>
      <c r="F45" s="1051"/>
      <c r="G45" s="1052"/>
      <c r="H45" s="1052"/>
      <c r="I45" s="1053"/>
      <c r="J45" s="1054"/>
      <c r="K45" s="1052"/>
      <c r="L45" s="1052"/>
      <c r="M45" s="1053"/>
      <c r="N45" s="1054"/>
      <c r="O45" s="1052"/>
      <c r="P45" s="1051"/>
      <c r="Q45" s="1051"/>
      <c r="R45" s="1051"/>
      <c r="S45" s="1654"/>
      <c r="T45" s="1051"/>
      <c r="U45" s="1051"/>
      <c r="V45" s="1051"/>
      <c r="W45" s="1060"/>
      <c r="X45" s="1656"/>
    </row>
    <row r="46" spans="2:25" s="1073" customFormat="1" ht="9" customHeight="1" thickBot="1">
      <c r="B46" s="1068"/>
      <c r="C46" s="1069"/>
      <c r="D46" s="1068"/>
      <c r="E46" s="1068"/>
      <c r="F46" s="1068"/>
      <c r="G46" s="1070"/>
      <c r="H46" s="1070"/>
      <c r="I46" s="1071"/>
      <c r="J46" s="1072"/>
      <c r="K46" s="1070"/>
      <c r="L46" s="1070"/>
      <c r="M46" s="1071"/>
      <c r="N46" s="1072"/>
      <c r="O46" s="1070"/>
      <c r="P46" s="1068"/>
      <c r="Q46" s="1068"/>
      <c r="R46" s="1068"/>
      <c r="S46" s="1068"/>
      <c r="T46" s="1068"/>
      <c r="U46" s="1068"/>
      <c r="V46" s="1068"/>
      <c r="W46" s="1068"/>
      <c r="X46" s="1656"/>
    </row>
    <row r="47" spans="2:25" ht="12" customHeight="1">
      <c r="B47" s="1017"/>
      <c r="C47" s="1018"/>
      <c r="D47" s="1019"/>
      <c r="E47" s="1019"/>
      <c r="F47" s="1019"/>
      <c r="G47" s="1020"/>
      <c r="H47" s="1020"/>
      <c r="I47" s="1021"/>
      <c r="J47" s="1022"/>
      <c r="K47" s="1020"/>
      <c r="L47" s="1020"/>
      <c r="M47" s="1021"/>
      <c r="N47" s="1022"/>
      <c r="O47" s="1020"/>
      <c r="P47" s="1019"/>
      <c r="Q47" s="1019"/>
      <c r="R47" s="1019"/>
      <c r="S47" s="1019"/>
      <c r="T47" s="1019"/>
      <c r="U47" s="1019"/>
      <c r="V47" s="1019"/>
      <c r="W47" s="1023"/>
      <c r="X47" s="1656"/>
      <c r="Y47" s="1073"/>
    </row>
    <row r="48" spans="2:25" ht="12" customHeight="1">
      <c r="B48" s="1033"/>
      <c r="C48" s="1074" t="s">
        <v>1343</v>
      </c>
      <c r="D48" s="1034"/>
      <c r="E48" s="1034"/>
      <c r="F48" s="1034"/>
      <c r="G48" s="1036"/>
      <c r="H48" s="1036"/>
      <c r="I48" s="1037"/>
      <c r="J48" s="1038"/>
      <c r="K48" s="1036"/>
      <c r="L48" s="1036"/>
      <c r="M48" s="1037"/>
      <c r="N48" s="1038"/>
      <c r="O48" s="1036"/>
      <c r="P48" s="1034"/>
      <c r="Q48" s="1034"/>
      <c r="R48" s="1034"/>
      <c r="S48" s="1034"/>
      <c r="T48" s="1034"/>
      <c r="U48" s="1034"/>
      <c r="V48" s="1034"/>
      <c r="W48" s="1039"/>
      <c r="X48" s="1656"/>
      <c r="Y48" s="1073"/>
    </row>
    <row r="49" spans="1:25" ht="16.5" customHeight="1" thickBot="1">
      <c r="B49" s="1033"/>
      <c r="C49" s="1034"/>
      <c r="D49" s="1034"/>
      <c r="E49" s="1034"/>
      <c r="F49" s="1034"/>
      <c r="G49" s="1036" t="s">
        <v>1344</v>
      </c>
      <c r="H49" s="1036"/>
      <c r="I49" s="1037"/>
      <c r="J49" s="1038"/>
      <c r="K49" s="1036" t="s">
        <v>1345</v>
      </c>
      <c r="L49" s="1036"/>
      <c r="M49" s="1037"/>
      <c r="N49" s="1038"/>
      <c r="O49" s="1036" t="s">
        <v>1346</v>
      </c>
      <c r="P49" s="1034"/>
      <c r="Q49" s="1034"/>
      <c r="R49" s="1034"/>
      <c r="S49" s="1034"/>
      <c r="T49" s="1034"/>
      <c r="U49" s="1034"/>
      <c r="V49" s="1034"/>
      <c r="W49" s="1039"/>
      <c r="X49" s="1656"/>
      <c r="Y49" s="1073"/>
    </row>
    <row r="50" spans="1:25" ht="36" customHeight="1" thickBot="1">
      <c r="B50" s="1033"/>
      <c r="C50" s="1075" t="s">
        <v>1054</v>
      </c>
      <c r="D50" s="1034"/>
      <c r="E50" s="1034"/>
      <c r="F50" s="1034"/>
      <c r="G50" s="1098" t="str">
        <f>IF('Configs &amp; Procedures'!L15="YES",'Configs &amp; Procedures'!L18,"-")</f>
        <v>-</v>
      </c>
      <c r="H50" s="1036"/>
      <c r="I50" s="1037"/>
      <c r="J50" s="1038"/>
      <c r="K50" s="1098" t="str">
        <f>IF('Configs &amp; Procedures'!L15="YES",'Configs &amp; Procedures'!L16,"-")</f>
        <v>-</v>
      </c>
      <c r="L50" s="1036"/>
      <c r="M50" s="1037"/>
      <c r="N50" s="1038"/>
      <c r="O50" s="1098" t="str">
        <f>IF('Configs &amp; Procedures'!L15="YES",'Configs &amp; Procedures'!L17,"-")</f>
        <v>-</v>
      </c>
      <c r="P50" s="1034"/>
      <c r="Q50" s="1034"/>
      <c r="R50" s="1034"/>
      <c r="S50" s="1658" t="s">
        <v>1348</v>
      </c>
      <c r="T50" s="1034"/>
      <c r="U50" s="1034"/>
      <c r="V50" s="1034"/>
      <c r="W50" s="1039"/>
      <c r="X50" s="1656"/>
      <c r="Y50" s="1073"/>
    </row>
    <row r="51" spans="1:25" ht="12" customHeight="1" thickBot="1">
      <c r="B51" s="1033"/>
      <c r="C51" s="1034"/>
      <c r="D51" s="1034"/>
      <c r="E51" s="1034"/>
      <c r="F51" s="1034"/>
      <c r="G51" s="1036"/>
      <c r="H51" s="1036"/>
      <c r="I51" s="1037"/>
      <c r="J51" s="1038"/>
      <c r="K51" s="1036"/>
      <c r="L51" s="1036"/>
      <c r="M51" s="1037"/>
      <c r="N51" s="1038"/>
      <c r="O51" s="1036"/>
      <c r="P51" s="1034"/>
      <c r="Q51" s="1034"/>
      <c r="R51" s="1034"/>
      <c r="S51" s="1659"/>
      <c r="T51" s="1034"/>
      <c r="U51" s="1034"/>
      <c r="V51" s="1034"/>
      <c r="W51" s="1039"/>
      <c r="X51" s="1656"/>
      <c r="Y51" s="1073"/>
    </row>
    <row r="52" spans="1:25" ht="36" customHeight="1" thickBot="1">
      <c r="B52" s="1033"/>
      <c r="C52" s="1075" t="s">
        <v>1424</v>
      </c>
      <c r="D52" s="1034"/>
      <c r="E52" s="1034"/>
      <c r="F52" s="1034"/>
      <c r="G52" s="1095">
        <f>IF('Configs &amp; Procedures'!L11="YES",'Configs &amp; Procedures'!L12,"-")</f>
        <v>12</v>
      </c>
      <c r="H52" s="1036"/>
      <c r="I52" s="1037"/>
      <c r="J52" s="1038"/>
      <c r="K52" s="1036"/>
      <c r="L52" s="1036"/>
      <c r="M52" s="1037"/>
      <c r="N52" s="1038"/>
      <c r="O52" s="1034"/>
      <c r="P52" s="1034"/>
      <c r="Q52" s="1034"/>
      <c r="R52" s="1034"/>
      <c r="S52" s="1660"/>
      <c r="T52" s="1034"/>
      <c r="U52" s="1034"/>
      <c r="V52" s="1075"/>
      <c r="W52" s="1039"/>
      <c r="X52" s="1657"/>
      <c r="Y52" s="1073"/>
    </row>
    <row r="53" spans="1:25" ht="12" customHeight="1" thickBot="1">
      <c r="B53" s="1033"/>
      <c r="C53" s="1075"/>
      <c r="D53" s="1034"/>
      <c r="E53" s="1034"/>
      <c r="F53" s="1034"/>
      <c r="G53" s="1036"/>
      <c r="H53" s="1036"/>
      <c r="I53" s="1037"/>
      <c r="J53" s="1038"/>
      <c r="K53" s="1036"/>
      <c r="L53" s="1036"/>
      <c r="M53" s="1037"/>
      <c r="N53" s="1038"/>
      <c r="O53" s="1034"/>
      <c r="P53" s="1034"/>
      <c r="Q53" s="1034"/>
      <c r="R53" s="1034"/>
      <c r="S53" s="1034"/>
      <c r="T53" s="1034"/>
      <c r="U53" s="1034"/>
      <c r="V53" s="1034"/>
      <c r="W53" s="1039"/>
      <c r="X53" s="1657"/>
      <c r="Y53" s="1073"/>
    </row>
    <row r="54" spans="1:25" ht="36" customHeight="1" thickBot="1">
      <c r="B54" s="1033"/>
      <c r="C54" s="1075" t="s">
        <v>1349</v>
      </c>
      <c r="D54" s="1034"/>
      <c r="E54" s="1034"/>
      <c r="F54" s="1034"/>
      <c r="G54" s="1076" t="str">
        <f>IF('Configs &amp; Procedures'!L13="YES",'Configs &amp; Procedures'!L14,"-")</f>
        <v>-</v>
      </c>
      <c r="H54" s="1036"/>
      <c r="I54" s="1037"/>
      <c r="J54" s="1038"/>
      <c r="K54" s="1036"/>
      <c r="L54" s="1036"/>
      <c r="M54" s="1037"/>
      <c r="N54" s="1038"/>
      <c r="O54" s="1034"/>
      <c r="P54" s="1034"/>
      <c r="Q54" s="1034"/>
      <c r="R54" s="1034"/>
      <c r="S54" s="1034"/>
      <c r="T54" s="1034"/>
      <c r="U54" s="1034"/>
      <c r="V54" s="1075"/>
      <c r="W54" s="1039"/>
      <c r="X54" s="1657"/>
      <c r="Y54" s="1073"/>
    </row>
    <row r="55" spans="1:25" ht="12" customHeight="1" thickBot="1">
      <c r="B55" s="1049"/>
      <c r="C55" s="1051"/>
      <c r="D55" s="1051"/>
      <c r="E55" s="1051"/>
      <c r="F55" s="1051"/>
      <c r="G55" s="1052"/>
      <c r="H55" s="1052"/>
      <c r="I55" s="1053"/>
      <c r="J55" s="1054"/>
      <c r="K55" s="1052"/>
      <c r="L55" s="1052"/>
      <c r="M55" s="1053"/>
      <c r="N55" s="1054"/>
      <c r="O55" s="1052"/>
      <c r="P55" s="1051"/>
      <c r="Q55" s="1051"/>
      <c r="R55" s="1051"/>
      <c r="S55" s="1051"/>
      <c r="T55" s="1051"/>
      <c r="U55" s="1051"/>
      <c r="V55" s="1051"/>
      <c r="W55" s="1060"/>
      <c r="Y55" s="1073"/>
    </row>
    <row r="56" spans="1:25" ht="9" customHeight="1" thickBot="1">
      <c r="A56" s="1073"/>
      <c r="B56" s="1068"/>
      <c r="C56" s="1069"/>
      <c r="D56" s="1068"/>
      <c r="E56" s="1068"/>
      <c r="F56" s="1068"/>
      <c r="G56" s="1070"/>
      <c r="H56" s="1070"/>
      <c r="I56" s="1071"/>
      <c r="J56" s="1072"/>
      <c r="K56" s="1070"/>
      <c r="L56" s="1070"/>
      <c r="M56" s="1071"/>
      <c r="N56" s="1072"/>
      <c r="O56" s="1070"/>
      <c r="P56" s="1068"/>
      <c r="Q56" s="1068"/>
      <c r="R56" s="1068"/>
      <c r="S56" s="1068"/>
      <c r="T56" s="1068"/>
      <c r="U56" s="1068"/>
      <c r="V56" s="1068"/>
      <c r="W56" s="1068"/>
      <c r="X56" s="1073"/>
    </row>
    <row r="57" spans="1:25" ht="6.75" customHeight="1">
      <c r="B57" s="1017"/>
      <c r="C57" s="1018"/>
      <c r="D57" s="1019"/>
      <c r="E57" s="1019"/>
      <c r="F57" s="1019"/>
      <c r="G57" s="1020"/>
      <c r="H57" s="1020"/>
      <c r="I57" s="1021"/>
      <c r="J57" s="1022"/>
      <c r="K57" s="1020"/>
      <c r="L57" s="1020"/>
      <c r="M57" s="1021"/>
      <c r="N57" s="1022"/>
      <c r="O57" s="1020"/>
      <c r="P57" s="1019"/>
      <c r="Q57" s="1019"/>
      <c r="R57" s="1019"/>
      <c r="S57" s="1019"/>
      <c r="T57" s="1019"/>
      <c r="U57" s="1019"/>
      <c r="V57" s="1019"/>
      <c r="W57" s="1023"/>
      <c r="X57" s="1032"/>
    </row>
    <row r="58" spans="1:25" s="1032" customFormat="1" ht="18.75" thickBot="1">
      <c r="A58" s="1099"/>
      <c r="B58" s="1024"/>
      <c r="C58" s="1025" t="s">
        <v>1350</v>
      </c>
      <c r="D58" s="1026"/>
      <c r="E58" s="1030"/>
      <c r="F58" s="1030"/>
      <c r="G58" s="1027"/>
      <c r="H58" s="1028"/>
      <c r="I58" s="1029"/>
      <c r="J58" s="1029"/>
      <c r="K58" s="1027"/>
      <c r="L58" s="1028"/>
      <c r="M58" s="1029"/>
      <c r="N58" s="1029"/>
      <c r="O58" s="1027"/>
      <c r="P58" s="1030"/>
      <c r="Q58" s="1030"/>
      <c r="R58" s="1030"/>
      <c r="S58" s="1026"/>
      <c r="T58" s="1026"/>
      <c r="U58" s="1026"/>
      <c r="V58" s="1026"/>
      <c r="W58" s="1031"/>
      <c r="X58" s="1012"/>
    </row>
    <row r="59" spans="1:25" ht="36" customHeight="1" thickBot="1">
      <c r="A59" s="1073"/>
      <c r="B59" s="1033"/>
      <c r="C59" s="1043" t="s">
        <v>1351</v>
      </c>
      <c r="D59" s="1034"/>
      <c r="E59" s="1034"/>
      <c r="F59" s="1034"/>
      <c r="G59" s="1100">
        <f>'Configs &amp; Procedures'!L53</f>
        <v>250</v>
      </c>
      <c r="H59" s="1036"/>
      <c r="I59" s="1037"/>
      <c r="J59" s="1038"/>
      <c r="K59" s="1036"/>
      <c r="L59" s="1036"/>
      <c r="M59" s="1037"/>
      <c r="N59" s="1038"/>
      <c r="O59" s="1036" t="s">
        <v>1352</v>
      </c>
      <c r="P59" s="1034"/>
      <c r="Q59" s="1034"/>
      <c r="R59" s="1034"/>
      <c r="S59" s="1100">
        <f>'Configs &amp; Procedures'!L56</f>
        <v>400</v>
      </c>
      <c r="T59" s="1034"/>
      <c r="U59" s="1034"/>
      <c r="V59" s="1034"/>
      <c r="W59" s="1039"/>
    </row>
    <row r="60" spans="1:25" ht="11.25" customHeight="1" thickBot="1">
      <c r="A60" s="1073"/>
      <c r="B60" s="1033"/>
      <c r="C60" s="1043"/>
      <c r="D60" s="1034"/>
      <c r="E60" s="1034"/>
      <c r="F60" s="1034"/>
      <c r="G60" s="1077"/>
      <c r="H60" s="1036"/>
      <c r="I60" s="1037"/>
      <c r="J60" s="1038"/>
      <c r="K60" s="1036"/>
      <c r="L60" s="1036"/>
      <c r="M60" s="1037"/>
      <c r="N60" s="1038"/>
      <c r="O60" s="1036"/>
      <c r="P60" s="1034"/>
      <c r="Q60" s="1034"/>
      <c r="R60" s="1034"/>
      <c r="S60" s="1077"/>
      <c r="T60" s="1034"/>
      <c r="U60" s="1034"/>
      <c r="V60" s="1034"/>
      <c r="W60" s="1039"/>
    </row>
    <row r="61" spans="1:25" ht="36" customHeight="1" thickBot="1">
      <c r="A61" s="1073"/>
      <c r="B61" s="1033"/>
      <c r="C61" s="1043" t="s">
        <v>1353</v>
      </c>
      <c r="D61" s="1034"/>
      <c r="E61" s="1034"/>
      <c r="F61" s="1034"/>
      <c r="G61" s="1100">
        <f>'Configs &amp; Procedures'!L54</f>
        <v>300</v>
      </c>
      <c r="H61" s="1036"/>
      <c r="I61" s="1037"/>
      <c r="J61" s="1038"/>
      <c r="K61" s="1036"/>
      <c r="L61" s="1036"/>
      <c r="M61" s="1037"/>
      <c r="N61" s="1038"/>
      <c r="O61" s="1036" t="s">
        <v>1354</v>
      </c>
      <c r="P61" s="1034"/>
      <c r="Q61" s="1034"/>
      <c r="R61" s="1034"/>
      <c r="S61" s="1100">
        <f>'Configs &amp; Procedures'!L57</f>
        <v>450</v>
      </c>
      <c r="T61" s="1034"/>
      <c r="U61" s="1034"/>
      <c r="V61" s="1034"/>
      <c r="W61" s="1039"/>
    </row>
    <row r="62" spans="1:25" ht="12" customHeight="1" thickBot="1">
      <c r="A62" s="1073"/>
      <c r="B62" s="1033"/>
      <c r="C62" s="1043"/>
      <c r="D62" s="1034"/>
      <c r="E62" s="1034"/>
      <c r="F62" s="1034"/>
      <c r="G62" s="1077"/>
      <c r="H62" s="1036"/>
      <c r="I62" s="1037"/>
      <c r="J62" s="1038"/>
      <c r="K62" s="1036"/>
      <c r="L62" s="1036"/>
      <c r="M62" s="1037"/>
      <c r="N62" s="1038"/>
      <c r="O62" s="1036"/>
      <c r="P62" s="1034"/>
      <c r="Q62" s="1034"/>
      <c r="R62" s="1034"/>
      <c r="S62" s="1077"/>
      <c r="T62" s="1034"/>
      <c r="U62" s="1034"/>
      <c r="V62" s="1034"/>
      <c r="W62" s="1039"/>
    </row>
    <row r="63" spans="1:25" ht="36" customHeight="1" thickBot="1">
      <c r="A63" s="1073"/>
      <c r="B63" s="1033"/>
      <c r="C63" s="1043" t="s">
        <v>1355</v>
      </c>
      <c r="D63" s="1034"/>
      <c r="E63" s="1034"/>
      <c r="F63" s="1034"/>
      <c r="G63" s="1100">
        <f>'Configs &amp; Procedures'!L55</f>
        <v>350</v>
      </c>
      <c r="H63" s="1036"/>
      <c r="I63" s="1037"/>
      <c r="J63" s="1038"/>
      <c r="K63" s="1036"/>
      <c r="L63" s="1036"/>
      <c r="M63" s="1037"/>
      <c r="N63" s="1038"/>
      <c r="O63" s="1036" t="s">
        <v>1356</v>
      </c>
      <c r="P63" s="1034"/>
      <c r="Q63" s="1034"/>
      <c r="R63" s="1034"/>
      <c r="S63" s="1100">
        <f>'Configs &amp; Procedures'!L58</f>
        <v>500</v>
      </c>
      <c r="T63" s="1034"/>
      <c r="U63" s="1034"/>
      <c r="V63" s="1034"/>
      <c r="W63" s="1039"/>
    </row>
    <row r="64" spans="1:25" ht="12" customHeight="1" thickBot="1">
      <c r="A64" s="1073"/>
      <c r="B64" s="1033"/>
      <c r="C64" s="1043"/>
      <c r="D64" s="1034"/>
      <c r="E64" s="1034"/>
      <c r="F64" s="1034"/>
      <c r="G64" s="1036"/>
      <c r="H64" s="1036"/>
      <c r="I64" s="1037"/>
      <c r="J64" s="1038"/>
      <c r="K64" s="1036"/>
      <c r="L64" s="1036"/>
      <c r="M64" s="1037"/>
      <c r="N64" s="1038"/>
      <c r="O64" s="1036"/>
      <c r="P64" s="1034"/>
      <c r="Q64" s="1034"/>
      <c r="R64" s="1034"/>
      <c r="S64" s="1077"/>
      <c r="T64" s="1034"/>
      <c r="U64" s="1034"/>
      <c r="V64" s="1034"/>
      <c r="W64" s="1039"/>
    </row>
    <row r="65" spans="1:24" ht="36" customHeight="1" thickBot="1">
      <c r="A65" s="1073"/>
      <c r="B65" s="1033"/>
      <c r="C65" s="1040" t="s">
        <v>1357</v>
      </c>
      <c r="D65" s="1035" t="s">
        <v>1358</v>
      </c>
      <c r="E65" s="1034"/>
      <c r="F65" s="1034"/>
      <c r="G65" s="1102">
        <f>'Configs &amp; Procedures'!L23</f>
        <v>200</v>
      </c>
      <c r="H65" s="1036"/>
      <c r="I65" s="1037"/>
      <c r="J65" s="1038"/>
      <c r="K65" s="1036"/>
      <c r="L65" s="1036"/>
      <c r="M65" s="1661" t="s">
        <v>1359</v>
      </c>
      <c r="N65" s="1651"/>
      <c r="O65" s="1651"/>
      <c r="P65" s="1034"/>
      <c r="Q65" s="1034"/>
      <c r="R65" s="1034"/>
      <c r="S65" s="1101">
        <f>'Configs &amp; Procedures'!M23</f>
        <v>1000</v>
      </c>
      <c r="T65" s="1034"/>
      <c r="U65" s="1034"/>
      <c r="V65" s="1034"/>
      <c r="W65" s="1039"/>
    </row>
    <row r="66" spans="1:24" ht="9" customHeight="1" thickBot="1">
      <c r="A66" s="1073"/>
      <c r="B66" s="1049"/>
      <c r="C66" s="1050"/>
      <c r="D66" s="1051"/>
      <c r="E66" s="1051"/>
      <c r="F66" s="1051"/>
      <c r="G66" s="1052"/>
      <c r="H66" s="1052"/>
      <c r="I66" s="1053"/>
      <c r="J66" s="1054"/>
      <c r="K66" s="1052"/>
      <c r="L66" s="1052"/>
      <c r="M66" s="1053"/>
      <c r="N66" s="1054"/>
      <c r="O66" s="1052"/>
      <c r="P66" s="1051"/>
      <c r="Q66" s="1051"/>
      <c r="R66" s="1051"/>
      <c r="S66" s="1051"/>
      <c r="T66" s="1051"/>
      <c r="U66" s="1051"/>
      <c r="V66" s="1051"/>
      <c r="W66" s="1060"/>
    </row>
    <row r="67" spans="1:24" ht="9" customHeight="1" thickBot="1">
      <c r="A67" s="1073"/>
    </row>
    <row r="68" spans="1:24" ht="6.75" customHeight="1">
      <c r="A68" s="1073"/>
      <c r="B68" s="1017"/>
      <c r="C68" s="1018"/>
      <c r="D68" s="1019"/>
      <c r="E68" s="1019"/>
      <c r="F68" s="1019"/>
      <c r="G68" s="1020"/>
      <c r="H68" s="1020"/>
      <c r="I68" s="1021"/>
      <c r="J68" s="1022"/>
      <c r="K68" s="1020"/>
      <c r="L68" s="1020"/>
      <c r="M68" s="1021"/>
      <c r="N68" s="1022"/>
      <c r="O68" s="1020"/>
      <c r="P68" s="1019"/>
      <c r="Q68" s="1019"/>
      <c r="R68" s="1019"/>
      <c r="S68" s="1019"/>
      <c r="T68" s="1019"/>
      <c r="U68" s="1019"/>
      <c r="V68" s="1019"/>
      <c r="W68" s="1023"/>
      <c r="X68" s="1032"/>
    </row>
    <row r="69" spans="1:24" s="1032" customFormat="1" ht="24.95" customHeight="1">
      <c r="A69" s="1099"/>
      <c r="B69" s="1024"/>
      <c r="C69" s="1025" t="s">
        <v>1360</v>
      </c>
      <c r="D69" s="1026"/>
      <c r="E69" s="1030"/>
      <c r="F69" s="1030"/>
      <c r="G69" s="1041" t="s">
        <v>1457</v>
      </c>
      <c r="H69" s="1064" t="s">
        <v>1361</v>
      </c>
      <c r="I69" s="1029"/>
      <c r="J69" s="1029"/>
      <c r="K69" s="1041" t="s">
        <v>1116</v>
      </c>
      <c r="L69" s="1064" t="s">
        <v>1362</v>
      </c>
      <c r="M69" s="1029"/>
      <c r="N69" s="1029"/>
      <c r="O69" s="1041" t="s">
        <v>1458</v>
      </c>
      <c r="P69" s="1035" t="s">
        <v>1363</v>
      </c>
      <c r="Q69" s="1030"/>
      <c r="R69" s="1030"/>
      <c r="S69" s="1026"/>
      <c r="T69" s="1026"/>
      <c r="U69" s="1026"/>
      <c r="V69" s="1026"/>
      <c r="W69" s="1031"/>
      <c r="X69" s="1012"/>
    </row>
    <row r="70" spans="1:24" ht="6" customHeight="1" thickBot="1">
      <c r="A70" s="1073"/>
      <c r="B70" s="1033"/>
      <c r="C70" s="1034"/>
      <c r="D70" s="1035" t="s">
        <v>1364</v>
      </c>
      <c r="E70" s="1034"/>
      <c r="F70" s="1034"/>
      <c r="G70" s="1036"/>
      <c r="H70" s="1036"/>
      <c r="I70" s="1037"/>
      <c r="J70" s="1038"/>
      <c r="K70" s="1036"/>
      <c r="L70" s="1036"/>
      <c r="M70" s="1037"/>
      <c r="N70" s="1038"/>
      <c r="O70" s="1036"/>
      <c r="P70" s="1034"/>
      <c r="Q70" s="1034"/>
      <c r="R70" s="1034"/>
      <c r="S70" s="1034"/>
      <c r="T70" s="1034"/>
      <c r="U70" s="1034"/>
      <c r="V70" s="1034"/>
      <c r="W70" s="1039"/>
    </row>
    <row r="71" spans="1:24" ht="36" customHeight="1" thickBot="1">
      <c r="A71" s="1073"/>
      <c r="B71" s="1033"/>
      <c r="C71" s="1040" t="s">
        <v>1365</v>
      </c>
      <c r="D71" s="1035" t="s">
        <v>1366</v>
      </c>
      <c r="E71" s="1034"/>
      <c r="F71" s="1034"/>
      <c r="G71" s="1128">
        <f>IF('DS Analysis'!AU44&lt;0.1,"",'DS Analysis'!AU44)</f>
        <v>2.5</v>
      </c>
      <c r="H71" s="1057"/>
      <c r="I71" s="1037"/>
      <c r="J71" s="1038"/>
      <c r="K71" s="1098">
        <f>IF('DS Analysis'!AV44=0,"",'DS Analysis'!AV44)</f>
        <v>161</v>
      </c>
      <c r="L71" s="1036"/>
      <c r="M71" s="1037"/>
      <c r="N71" s="1038"/>
      <c r="O71" s="1098">
        <f>IF(G71="","",IF('Configs &amp; Procedures'!K43="",'Configs &amp; Procedures'!$L$21,UserConfig!G71/UserConfig!K71*100000))</f>
        <v>1550</v>
      </c>
      <c r="P71" s="1034"/>
      <c r="Q71" s="1034"/>
      <c r="R71" s="1040"/>
      <c r="S71" s="1035" t="s">
        <v>1369</v>
      </c>
      <c r="T71" s="1034"/>
      <c r="U71" s="1034"/>
      <c r="V71" s="1080">
        <f>'Configs &amp; Procedures'!L24</f>
        <v>1</v>
      </c>
      <c r="W71" s="1039"/>
    </row>
    <row r="72" spans="1:24" ht="36" customHeight="1" thickBot="1">
      <c r="A72" s="1073"/>
      <c r="B72" s="1033"/>
      <c r="C72" s="1040" t="s">
        <v>1028</v>
      </c>
      <c r="D72" s="1035" t="s">
        <v>1367</v>
      </c>
      <c r="E72" s="1034"/>
      <c r="F72" s="1034">
        <v>7</v>
      </c>
      <c r="G72" s="1128">
        <f>IF('DS Analysis'!AU45&lt;0.1,"",'DS Analysis'!AU45)</f>
        <v>3.2</v>
      </c>
      <c r="H72" s="1036"/>
      <c r="I72" s="1037"/>
      <c r="J72" s="1038"/>
      <c r="K72" s="1098">
        <f>IF('DS Analysis'!AV45=0,"",'DS Analysis'!AV45)</f>
        <v>206</v>
      </c>
      <c r="L72" s="1036"/>
      <c r="M72" s="1037"/>
      <c r="N72" s="1038"/>
      <c r="O72" s="1098">
        <f>IF(G72="","",IF('Configs &amp; Procedures'!K44="",'Configs &amp; Procedures'!$L$21,UserConfig!G72/UserConfig!K72*100000))</f>
        <v>1550</v>
      </c>
      <c r="P72" s="1034"/>
      <c r="Q72" s="1034"/>
      <c r="R72" s="1034"/>
      <c r="S72" s="1034"/>
      <c r="T72" s="1034"/>
      <c r="U72" s="1034"/>
      <c r="V72" s="1034"/>
      <c r="W72" s="1039"/>
    </row>
    <row r="73" spans="1:24" ht="36" customHeight="1" thickBot="1">
      <c r="A73" s="1073"/>
      <c r="B73" s="1033"/>
      <c r="C73" s="1040" t="s">
        <v>1029</v>
      </c>
      <c r="D73" s="1034"/>
      <c r="E73" s="1034"/>
      <c r="F73" s="1034"/>
      <c r="G73" s="1128">
        <f>IF('DS Analysis'!AU46&lt;0.1,"",'DS Analysis'!AU46)</f>
        <v>4</v>
      </c>
      <c r="H73" s="1036"/>
      <c r="I73" s="1037"/>
      <c r="J73" s="1038"/>
      <c r="K73" s="1098">
        <f>IF('DS Analysis'!AV46=0,"",'DS Analysis'!AV46)</f>
        <v>258</v>
      </c>
      <c r="L73" s="1036"/>
      <c r="M73" s="1037"/>
      <c r="N73" s="1038"/>
      <c r="O73" s="1098">
        <f>IF(G73="","",IF('Configs &amp; Procedures'!K45="",'Configs &amp; Procedures'!$L$21,UserConfig!G73/UserConfig!K73*100000))</f>
        <v>1550</v>
      </c>
      <c r="P73" s="1034"/>
      <c r="Q73" s="1034"/>
      <c r="R73" s="1034"/>
      <c r="S73" s="1034"/>
      <c r="T73" s="1034"/>
      <c r="U73" s="1034"/>
      <c r="V73" s="1034"/>
      <c r="W73" s="1039"/>
    </row>
    <row r="74" spans="1:24" ht="36" customHeight="1" thickBot="1">
      <c r="A74" s="1073"/>
      <c r="B74" s="1033"/>
      <c r="C74" s="1040" t="s">
        <v>1030</v>
      </c>
      <c r="D74" s="1035" t="s">
        <v>1368</v>
      </c>
      <c r="E74" s="1034"/>
      <c r="F74" s="1034"/>
      <c r="G74" s="1128">
        <f>IF('DS Analysis'!AU47&lt;0.1,"",'DS Analysis'!AU47)</f>
        <v>5.5</v>
      </c>
      <c r="H74" s="1036"/>
      <c r="I74" s="1037"/>
      <c r="J74" s="1038"/>
      <c r="K74" s="1098">
        <f>IF('DS Analysis'!AV47=0,"",'DS Analysis'!AV47)</f>
        <v>355</v>
      </c>
      <c r="L74" s="1036"/>
      <c r="M74" s="1037"/>
      <c r="N74" s="1038"/>
      <c r="O74" s="1098">
        <f>IF(G74="","",IF('Configs &amp; Procedures'!K46="",'Configs &amp; Procedures'!$L$21,UserConfig!G74/UserConfig!K74*100000))</f>
        <v>1550</v>
      </c>
      <c r="P74" s="1034"/>
      <c r="Q74" s="1034"/>
      <c r="R74" s="1034"/>
      <c r="S74" s="1034"/>
      <c r="T74" s="1034"/>
      <c r="U74" s="1034"/>
      <c r="V74" s="1034"/>
      <c r="W74" s="1039"/>
    </row>
    <row r="75" spans="1:24" ht="36" customHeight="1" thickBot="1">
      <c r="A75" s="1073"/>
      <c r="B75" s="1033"/>
      <c r="C75" s="1040" t="s">
        <v>1031</v>
      </c>
      <c r="D75" s="1035"/>
      <c r="E75" s="1034"/>
      <c r="F75" s="1034"/>
      <c r="G75" s="1128">
        <f>IF('DS Analysis'!AU48&lt;0.1,"",'DS Analysis'!AU48)</f>
        <v>9.6</v>
      </c>
      <c r="H75" s="1036"/>
      <c r="I75" s="1037"/>
      <c r="J75" s="1038"/>
      <c r="K75" s="1098">
        <f>IF('DS Analysis'!AV48=0,"",'DS Analysis'!AV48)</f>
        <v>619</v>
      </c>
      <c r="L75" s="1036"/>
      <c r="M75" s="1037"/>
      <c r="N75" s="1038"/>
      <c r="O75" s="1098">
        <f>IF(G75="","",IF('Configs &amp; Procedures'!K47="",'Configs &amp; Procedures'!$L$21,UserConfig!G75/UserConfig!K75*100000))</f>
        <v>1550</v>
      </c>
      <c r="P75" s="1034"/>
      <c r="Q75" s="1034"/>
      <c r="R75" s="1034"/>
      <c r="S75" s="1034"/>
      <c r="T75" s="1034"/>
      <c r="U75" s="1034"/>
      <c r="V75" s="1034"/>
      <c r="W75" s="1039"/>
    </row>
    <row r="76" spans="1:24" ht="36" customHeight="1" thickBot="1">
      <c r="A76" s="1073"/>
      <c r="B76" s="1033"/>
      <c r="C76" s="1040" t="s">
        <v>1032</v>
      </c>
      <c r="D76" s="1035"/>
      <c r="E76" s="1034"/>
      <c r="F76" s="1034"/>
      <c r="G76" s="1128">
        <f>IF('DS Analysis'!AU49&lt;0.1,"",'DS Analysis'!AU49)</f>
        <v>11</v>
      </c>
      <c r="H76" s="1036"/>
      <c r="I76" s="1037"/>
      <c r="J76" s="1038"/>
      <c r="K76" s="1098">
        <f>IF('DS Analysis'!AV49=0,"",'DS Analysis'!AV49)</f>
        <v>710</v>
      </c>
      <c r="L76" s="1036"/>
      <c r="M76" s="1037"/>
      <c r="N76" s="1038"/>
      <c r="O76" s="1098">
        <f>IF(G76="","",IF('Configs &amp; Procedures'!K48="",'Configs &amp; Procedures'!$L$21,UserConfig!G76/UserConfig!K76*100000))</f>
        <v>1550</v>
      </c>
      <c r="P76" s="1034"/>
      <c r="Q76" s="1034"/>
      <c r="R76" s="1034"/>
      <c r="S76" s="1034"/>
      <c r="T76" s="1034"/>
      <c r="U76" s="1034"/>
      <c r="V76" s="1034"/>
      <c r="W76" s="1039"/>
    </row>
    <row r="77" spans="1:24" s="1120" customFormat="1" ht="36" customHeight="1" thickBot="1">
      <c r="A77" s="1073"/>
      <c r="B77" s="1033"/>
      <c r="C77" s="1040" t="s">
        <v>1033</v>
      </c>
      <c r="D77" s="1035"/>
      <c r="E77" s="1034"/>
      <c r="F77" s="1034"/>
      <c r="G77" s="1128" t="str">
        <f>IF('DS Analysis'!AU50&lt;1,"",'DS Analysis'!AU50)</f>
        <v/>
      </c>
      <c r="H77" s="1036"/>
      <c r="I77" s="1037"/>
      <c r="J77" s="1038"/>
      <c r="K77" s="1098" t="str">
        <f>IF('DS Analysis'!AV50=0,"",'DS Analysis'!AV50)</f>
        <v/>
      </c>
      <c r="L77" s="1036"/>
      <c r="M77" s="1037"/>
      <c r="N77" s="1038"/>
      <c r="O77" s="1098" t="str">
        <f>IF(G77="","",IF('Configs &amp; Procedures'!K49="",'Configs &amp; Procedures'!$L$21,UserConfig!G77/UserConfig!K77*100000))</f>
        <v/>
      </c>
      <c r="P77" s="1034"/>
      <c r="Q77" s="1034"/>
      <c r="R77" s="1034"/>
      <c r="S77" s="1034"/>
      <c r="T77" s="1034"/>
      <c r="U77" s="1034"/>
      <c r="V77" s="1034"/>
      <c r="W77" s="1039"/>
    </row>
    <row r="78" spans="1:24" s="1120" customFormat="1" ht="36" customHeight="1" thickBot="1">
      <c r="A78" s="1073"/>
      <c r="B78" s="1033"/>
      <c r="C78" s="1040" t="s">
        <v>1034</v>
      </c>
      <c r="D78" s="1035"/>
      <c r="E78" s="1034"/>
      <c r="F78" s="1034"/>
      <c r="G78" s="1128" t="str">
        <f>IF('DS Analysis'!AU51&lt;0.1,"",'DS Analysis'!AU51)</f>
        <v/>
      </c>
      <c r="H78" s="1036"/>
      <c r="I78" s="1037"/>
      <c r="J78" s="1038"/>
      <c r="K78" s="1098" t="str">
        <f>IF('DS Analysis'!AV51=0,"",'DS Analysis'!AV51)</f>
        <v/>
      </c>
      <c r="L78" s="1036"/>
      <c r="M78" s="1037"/>
      <c r="N78" s="1038"/>
      <c r="O78" s="1098" t="str">
        <f>IF(G78="","",IF('Configs &amp; Procedures'!K50="",'Configs &amp; Procedures'!$L$21,UserConfig!G78/UserConfig!K78*100000))</f>
        <v/>
      </c>
      <c r="P78" s="1034"/>
      <c r="Q78" s="1034"/>
      <c r="R78" s="1034"/>
      <c r="S78" s="1034"/>
      <c r="T78" s="1034"/>
      <c r="U78" s="1034"/>
      <c r="V78" s="1034"/>
      <c r="W78" s="1039"/>
    </row>
    <row r="79" spans="1:24" s="1120" customFormat="1" ht="36" customHeight="1" thickBot="1">
      <c r="A79" s="1073"/>
      <c r="B79" s="1033"/>
      <c r="C79" s="1040" t="s">
        <v>1035</v>
      </c>
      <c r="D79" s="1035"/>
      <c r="E79" s="1034"/>
      <c r="F79" s="1034"/>
      <c r="G79" s="1128" t="str">
        <f>IF('DS Analysis'!AU52&lt;0.1,"",'DS Analysis'!AU52)</f>
        <v/>
      </c>
      <c r="H79" s="1036"/>
      <c r="I79" s="1037"/>
      <c r="J79" s="1038"/>
      <c r="K79" s="1098" t="str">
        <f>IF('DS Analysis'!AV52=0,"",'DS Analysis'!AV52)</f>
        <v/>
      </c>
      <c r="L79" s="1036"/>
      <c r="M79" s="1037"/>
      <c r="N79" s="1038"/>
      <c r="O79" s="1098" t="str">
        <f>IF(G79="","",IF('Configs &amp; Procedures'!K51="",'Configs &amp; Procedures'!$L$21,UserConfig!G79/UserConfig!K79*100000))</f>
        <v/>
      </c>
      <c r="P79" s="1034"/>
      <c r="Q79" s="1034"/>
      <c r="R79" s="1034"/>
      <c r="S79" s="1034"/>
      <c r="T79" s="1034"/>
      <c r="U79" s="1034"/>
      <c r="V79" s="1034"/>
      <c r="W79" s="1039"/>
    </row>
    <row r="80" spans="1:24" s="1120" customFormat="1" ht="36" customHeight="1" thickBot="1">
      <c r="A80" s="1073"/>
      <c r="B80" s="1033"/>
      <c r="C80" s="1040" t="s">
        <v>1036</v>
      </c>
      <c r="D80" s="1035"/>
      <c r="E80" s="1034"/>
      <c r="F80" s="1034"/>
      <c r="G80" s="1128" t="str">
        <f>IF('DS Analysis'!AU53&lt;0.1,"",'DS Analysis'!AU53)</f>
        <v/>
      </c>
      <c r="H80" s="1036"/>
      <c r="I80" s="1037"/>
      <c r="J80" s="1038"/>
      <c r="K80" s="1098" t="str">
        <f>IF('DS Analysis'!AV53=0,"",'DS Analysis'!AV53)</f>
        <v/>
      </c>
      <c r="L80" s="1036"/>
      <c r="M80" s="1037"/>
      <c r="N80" s="1038"/>
      <c r="O80" s="1098" t="str">
        <f>IF(G80="","",IF('Configs &amp; Procedures'!K52="",'Configs &amp; Procedures'!$L$21,UserConfig!G80/UserConfig!K80*100000))</f>
        <v/>
      </c>
      <c r="P80" s="1034"/>
      <c r="Q80" s="1034"/>
      <c r="R80" s="1034"/>
      <c r="S80" s="1034"/>
      <c r="T80" s="1034"/>
      <c r="U80" s="1034"/>
      <c r="V80" s="1034"/>
      <c r="W80" s="1039"/>
    </row>
    <row r="81" spans="1:24" ht="6.75" customHeight="1" thickBot="1">
      <c r="A81" s="1073"/>
      <c r="B81" s="1049"/>
      <c r="C81" s="1050"/>
      <c r="D81" s="1051"/>
      <c r="E81" s="1051"/>
      <c r="F81" s="1051"/>
      <c r="G81" s="1052"/>
      <c r="H81" s="1052"/>
      <c r="I81" s="1053"/>
      <c r="J81" s="1054"/>
      <c r="K81" s="1052"/>
      <c r="L81" s="1052"/>
      <c r="M81" s="1053"/>
      <c r="N81" s="1054"/>
      <c r="O81" s="1052"/>
      <c r="P81" s="1051"/>
      <c r="Q81" s="1051"/>
      <c r="R81" s="1051"/>
      <c r="S81" s="1051"/>
      <c r="T81" s="1051"/>
      <c r="U81" s="1051"/>
      <c r="V81" s="1051"/>
      <c r="W81" s="1060"/>
    </row>
    <row r="82" spans="1:24" s="1073" customFormat="1" ht="9" customHeight="1" thickBot="1">
      <c r="B82" s="1081"/>
      <c r="C82" s="1082"/>
      <c r="D82" s="1083"/>
      <c r="E82" s="1083"/>
      <c r="F82" s="1083"/>
      <c r="G82" s="1084"/>
      <c r="H82" s="1084"/>
      <c r="I82" s="1085"/>
      <c r="J82" s="1086"/>
      <c r="K82" s="1084"/>
      <c r="L82" s="1084"/>
      <c r="M82" s="1085"/>
      <c r="N82" s="1086"/>
      <c r="O82" s="1084"/>
      <c r="P82" s="1083"/>
      <c r="Q82" s="1083"/>
      <c r="R82" s="1083"/>
      <c r="S82" s="1083"/>
      <c r="T82" s="1083"/>
      <c r="U82" s="1083"/>
      <c r="V82" s="1083"/>
      <c r="W82" s="1087"/>
    </row>
    <row r="83" spans="1:24" ht="24.95" customHeight="1" thickBot="1">
      <c r="B83" s="1017"/>
      <c r="C83" s="1088" t="s">
        <v>1459</v>
      </c>
      <c r="D83" s="1019"/>
      <c r="E83" s="1019"/>
      <c r="F83" s="1019"/>
      <c r="G83" s="1020"/>
      <c r="H83" s="1020"/>
      <c r="I83" s="1021"/>
      <c r="J83" s="1022"/>
      <c r="K83" s="1020"/>
      <c r="L83" s="1020"/>
      <c r="M83" s="1021"/>
      <c r="N83" s="1022"/>
      <c r="O83" s="1020"/>
      <c r="P83" s="1019"/>
      <c r="Q83" s="1019"/>
      <c r="R83" s="1019"/>
      <c r="S83" s="1019"/>
      <c r="T83" s="1019"/>
      <c r="U83" s="1019"/>
      <c r="V83" s="1019"/>
      <c r="W83" s="1023"/>
    </row>
    <row r="84" spans="1:24" ht="36" customHeight="1" thickBot="1">
      <c r="B84" s="1033"/>
      <c r="C84" s="1062"/>
      <c r="D84" s="1035" t="s">
        <v>1370</v>
      </c>
      <c r="E84" s="1034"/>
      <c r="F84" s="1034"/>
      <c r="G84" s="1095" t="str">
        <f>'Configs &amp; Procedures'!H17</f>
        <v>NO</v>
      </c>
      <c r="H84" s="1036"/>
      <c r="I84" s="1037"/>
      <c r="J84" s="1038"/>
      <c r="K84" s="1044" t="s">
        <v>1371</v>
      </c>
      <c r="L84" s="1036"/>
      <c r="M84" s="1037"/>
      <c r="N84" s="1038"/>
      <c r="O84" s="1098">
        <f>'Configs &amp; Procedures'!H19</f>
        <v>250</v>
      </c>
      <c r="P84" s="1034"/>
      <c r="Q84" s="1034"/>
      <c r="R84" s="1034"/>
      <c r="S84" s="1034" t="s">
        <v>1372</v>
      </c>
      <c r="T84" s="1034"/>
      <c r="U84" s="1034"/>
      <c r="V84" s="1104">
        <f>'Configs &amp; Procedures'!H18</f>
        <v>100</v>
      </c>
      <c r="W84" s="1039"/>
    </row>
    <row r="85" spans="1:24" ht="12" customHeight="1" thickBot="1">
      <c r="B85" s="1049"/>
      <c r="C85" s="1050"/>
      <c r="D85" s="1051"/>
      <c r="E85" s="1051"/>
      <c r="F85" s="1051"/>
      <c r="G85" s="1052"/>
      <c r="H85" s="1052"/>
      <c r="I85" s="1053"/>
      <c r="J85" s="1054"/>
      <c r="K85" s="1052"/>
      <c r="L85" s="1052"/>
      <c r="M85" s="1053"/>
      <c r="N85" s="1054"/>
      <c r="O85" s="1052"/>
      <c r="P85" s="1051"/>
      <c r="Q85" s="1051"/>
      <c r="R85" s="1051"/>
      <c r="S85" s="1051"/>
      <c r="T85" s="1051"/>
      <c r="U85" s="1051"/>
      <c r="V85" s="1051"/>
      <c r="W85" s="1060"/>
    </row>
    <row r="86" spans="1:24" ht="9" customHeight="1" thickBot="1">
      <c r="B86" s="1068"/>
      <c r="C86" s="1069"/>
      <c r="D86" s="1068"/>
      <c r="E86" s="1068"/>
      <c r="F86" s="1068"/>
      <c r="G86" s="1070"/>
      <c r="H86" s="1070"/>
      <c r="I86" s="1071"/>
      <c r="J86" s="1072"/>
      <c r="K86" s="1070"/>
      <c r="L86" s="1070"/>
      <c r="M86" s="1071"/>
      <c r="N86" s="1072"/>
      <c r="O86" s="1070"/>
      <c r="P86" s="1068"/>
      <c r="Q86" s="1068"/>
      <c r="R86" s="1068"/>
      <c r="S86" s="1068"/>
      <c r="T86" s="1068"/>
      <c r="U86" s="1068"/>
      <c r="V86" s="1068"/>
      <c r="W86" s="1068"/>
    </row>
    <row r="87" spans="1:24" ht="6" customHeight="1">
      <c r="B87" s="1017"/>
      <c r="C87" s="1019"/>
      <c r="D87" s="1090" t="s">
        <v>1373</v>
      </c>
      <c r="E87" s="1019"/>
      <c r="F87" s="1019"/>
      <c r="G87" s="1020"/>
      <c r="H87" s="1020"/>
      <c r="I87" s="1021"/>
      <c r="J87" s="1022"/>
      <c r="K87" s="1020"/>
      <c r="L87" s="1020"/>
      <c r="M87" s="1021"/>
      <c r="N87" s="1022"/>
      <c r="O87" s="1020"/>
      <c r="P87" s="1019"/>
      <c r="Q87" s="1019"/>
      <c r="R87" s="1019"/>
      <c r="S87" s="1019"/>
      <c r="T87" s="1019"/>
      <c r="U87" s="1019"/>
      <c r="V87" s="1019"/>
      <c r="W87" s="1023"/>
    </row>
    <row r="88" spans="1:24" ht="33.75" customHeight="1">
      <c r="B88" s="1033"/>
      <c r="C88" s="1025" t="s">
        <v>893</v>
      </c>
      <c r="D88" s="1035"/>
      <c r="E88" s="1034"/>
      <c r="F88" s="1034"/>
      <c r="G88" s="1041" t="s">
        <v>1374</v>
      </c>
      <c r="H88" s="1064" t="s">
        <v>1375</v>
      </c>
      <c r="I88" s="1029"/>
      <c r="J88" s="1029"/>
      <c r="K88" s="1041" t="s">
        <v>1460</v>
      </c>
      <c r="L88" s="1064" t="s">
        <v>1376</v>
      </c>
      <c r="M88" s="1029"/>
      <c r="N88" s="1029"/>
      <c r="O88" s="1041" t="s">
        <v>1377</v>
      </c>
      <c r="P88" s="1035" t="s">
        <v>1378</v>
      </c>
      <c r="Q88" s="1034"/>
      <c r="R88" s="1034"/>
      <c r="S88" s="1034"/>
      <c r="T88" s="1034"/>
      <c r="U88" s="1034"/>
      <c r="V88" s="1034"/>
      <c r="W88" s="1039"/>
    </row>
    <row r="89" spans="1:24" ht="6.75" customHeight="1" thickBot="1">
      <c r="B89" s="1033"/>
      <c r="C89" s="1043"/>
      <c r="D89" s="1034"/>
      <c r="E89" s="1034"/>
      <c r="F89" s="1034"/>
      <c r="G89" s="1036"/>
      <c r="H89" s="1036"/>
      <c r="I89" s="1037"/>
      <c r="J89" s="1038"/>
      <c r="K89" s="1036"/>
      <c r="L89" s="1036"/>
      <c r="M89" s="1037"/>
      <c r="N89" s="1038"/>
      <c r="O89" s="1036"/>
      <c r="P89" s="1034"/>
      <c r="Q89" s="1034"/>
      <c r="R89" s="1034"/>
      <c r="S89" s="1034"/>
      <c r="T89" s="1034"/>
      <c r="U89" s="1034"/>
      <c r="V89" s="1034"/>
      <c r="W89" s="1039"/>
    </row>
    <row r="90" spans="1:24" ht="36" customHeight="1" thickBot="1">
      <c r="B90" s="1033"/>
      <c r="C90" s="1040" t="s">
        <v>1379</v>
      </c>
      <c r="D90" s="1035" t="s">
        <v>1380</v>
      </c>
      <c r="E90" s="1035"/>
      <c r="F90" s="1035"/>
      <c r="G90" s="1098">
        <f>IF('Configs &amp; Procedures'!L59="","-",'Configs &amp; Procedures'!L59)</f>
        <v>180</v>
      </c>
      <c r="H90" s="1057"/>
      <c r="I90" s="1037"/>
      <c r="J90" s="1038"/>
      <c r="K90" s="1098">
        <f>IF(G90="-","-",'Configs &amp; Procedures'!$L$22)</f>
        <v>80</v>
      </c>
      <c r="L90" s="1036"/>
      <c r="M90" s="1037"/>
      <c r="N90" s="1038"/>
      <c r="O90" s="1076">
        <f>IF(G90="-","-",G90/K90*100)</f>
        <v>225</v>
      </c>
      <c r="P90" s="1035"/>
      <c r="Q90" s="1035"/>
      <c r="R90" s="1035"/>
      <c r="S90" s="1075" t="s">
        <v>1381</v>
      </c>
      <c r="T90" s="1034"/>
      <c r="U90" s="1034"/>
      <c r="V90" s="1105">
        <f>'Configs &amp; Procedures'!L26</f>
        <v>1</v>
      </c>
      <c r="W90" s="1039"/>
      <c r="X90" s="1073"/>
    </row>
    <row r="91" spans="1:24" ht="9" customHeight="1" thickBot="1">
      <c r="B91" s="1033"/>
      <c r="C91" s="1043"/>
      <c r="D91" s="1034"/>
      <c r="E91" s="1034"/>
      <c r="F91" s="1034"/>
      <c r="G91" s="1036"/>
      <c r="H91" s="1036"/>
      <c r="I91" s="1037"/>
      <c r="J91" s="1038"/>
      <c r="K91" s="1036"/>
      <c r="L91" s="1036"/>
      <c r="M91" s="1037"/>
      <c r="N91" s="1038"/>
      <c r="O91" s="1036"/>
      <c r="P91" s="1034"/>
      <c r="Q91" s="1034"/>
      <c r="R91" s="1034"/>
      <c r="S91" s="1034"/>
      <c r="T91" s="1034"/>
      <c r="U91" s="1034"/>
      <c r="V91" s="1034"/>
      <c r="W91" s="1039"/>
      <c r="X91" s="1073"/>
    </row>
    <row r="92" spans="1:24" ht="36" customHeight="1" thickBot="1">
      <c r="B92" s="1033"/>
      <c r="C92" s="1040" t="s">
        <v>1382</v>
      </c>
      <c r="D92" s="1035" t="s">
        <v>1380</v>
      </c>
      <c r="E92" s="1035"/>
      <c r="F92" s="1035"/>
      <c r="G92" s="1098">
        <f>IF('Configs &amp; Procedures'!L60="","-",'Configs &amp; Procedures'!L60)</f>
        <v>360</v>
      </c>
      <c r="H92" s="1057"/>
      <c r="I92" s="1037"/>
      <c r="J92" s="1038"/>
      <c r="K92" s="1098">
        <f>IF(G92="-","-",'Configs &amp; Procedures'!$L$22)</f>
        <v>80</v>
      </c>
      <c r="L92" s="1036"/>
      <c r="M92" s="1037"/>
      <c r="N92" s="1038"/>
      <c r="O92" s="1076">
        <f>IF(G92="-","-",G92/K92*100)</f>
        <v>450</v>
      </c>
      <c r="P92" s="1035"/>
      <c r="Q92" s="1035"/>
      <c r="R92" s="1035"/>
      <c r="S92" s="1075" t="s">
        <v>1383</v>
      </c>
      <c r="T92" s="1034"/>
      <c r="U92" s="1034"/>
      <c r="V92" s="1076" t="s">
        <v>1347</v>
      </c>
      <c r="W92" s="1039"/>
      <c r="X92" s="1073"/>
    </row>
    <row r="93" spans="1:24" ht="9" customHeight="1" thickBot="1">
      <c r="B93" s="1033"/>
      <c r="C93" s="1040"/>
      <c r="D93" s="1035"/>
      <c r="E93" s="1035"/>
      <c r="F93" s="1035"/>
      <c r="G93" s="1064"/>
      <c r="H93" s="1064"/>
      <c r="I93" s="1091"/>
      <c r="J93" s="1092"/>
      <c r="K93" s="1064"/>
      <c r="L93" s="1064"/>
      <c r="M93" s="1091"/>
      <c r="N93" s="1092"/>
      <c r="O93" s="1064"/>
      <c r="P93" s="1035"/>
      <c r="Q93" s="1035"/>
      <c r="R93" s="1035"/>
      <c r="S93" s="1034"/>
      <c r="T93" s="1034"/>
      <c r="U93" s="1034"/>
      <c r="V93" s="1034"/>
      <c r="W93" s="1039"/>
      <c r="X93" s="1073"/>
    </row>
    <row r="94" spans="1:24" ht="36" customHeight="1" thickBot="1">
      <c r="B94" s="1033"/>
      <c r="C94" s="1040" t="s">
        <v>1384</v>
      </c>
      <c r="D94" s="1035" t="s">
        <v>1380</v>
      </c>
      <c r="E94" s="1035"/>
      <c r="F94" s="1035"/>
      <c r="G94" s="1098" t="str">
        <f>IF('Configs &amp; Procedures'!L61="","-",'Configs &amp; Procedures'!L61)</f>
        <v>-</v>
      </c>
      <c r="H94" s="1057"/>
      <c r="I94" s="1037"/>
      <c r="J94" s="1038"/>
      <c r="K94" s="1098" t="str">
        <f>IF(G94="-","-",'Configs &amp; Procedures'!$L$22)</f>
        <v>-</v>
      </c>
      <c r="L94" s="1036"/>
      <c r="M94" s="1037"/>
      <c r="N94" s="1038"/>
      <c r="O94" s="1076" t="str">
        <f>IF(G94="-","-",G94/K94*100)</f>
        <v>-</v>
      </c>
      <c r="P94" s="1035"/>
      <c r="Q94" s="1035"/>
      <c r="R94" s="1035"/>
      <c r="S94" s="1034"/>
      <c r="T94" s="1034"/>
      <c r="U94" s="1034"/>
      <c r="V94" s="1034"/>
      <c r="W94" s="1039"/>
      <c r="X94" s="1073"/>
    </row>
    <row r="95" spans="1:24" ht="6" customHeight="1" thickBot="1">
      <c r="B95" s="1049"/>
      <c r="C95" s="1050"/>
      <c r="D95" s="1051"/>
      <c r="E95" s="1051"/>
      <c r="F95" s="1051"/>
      <c r="G95" s="1052"/>
      <c r="H95" s="1052"/>
      <c r="I95" s="1053"/>
      <c r="J95" s="1054"/>
      <c r="K95" s="1052"/>
      <c r="L95" s="1052"/>
      <c r="M95" s="1053"/>
      <c r="N95" s="1054"/>
      <c r="O95" s="1052"/>
      <c r="P95" s="1051"/>
      <c r="Q95" s="1051"/>
      <c r="R95" s="1051"/>
      <c r="S95" s="1051"/>
      <c r="T95" s="1051"/>
      <c r="U95" s="1051"/>
      <c r="V95" s="1051"/>
      <c r="W95" s="1060"/>
      <c r="X95" s="1073"/>
    </row>
    <row r="96" spans="1:24" ht="9" customHeight="1" thickBot="1"/>
    <row r="97" spans="1:25" ht="6.75" customHeight="1">
      <c r="A97" s="1073"/>
      <c r="B97" s="1093"/>
      <c r="C97" s="1019"/>
      <c r="D97" s="1018"/>
      <c r="E97" s="1019"/>
      <c r="F97" s="1019"/>
      <c r="G97" s="1020"/>
      <c r="H97" s="1020"/>
      <c r="I97" s="1021"/>
      <c r="J97" s="1022"/>
      <c r="K97" s="1020"/>
      <c r="L97" s="1020"/>
      <c r="M97" s="1021"/>
      <c r="N97" s="1022"/>
      <c r="O97" s="1020"/>
      <c r="P97" s="1019"/>
      <c r="Q97" s="1019"/>
      <c r="R97" s="1019"/>
      <c r="S97" s="1019"/>
      <c r="T97" s="1019"/>
      <c r="U97" s="1019"/>
      <c r="V97" s="1019"/>
      <c r="W97" s="1023"/>
    </row>
    <row r="98" spans="1:25" ht="24.95" customHeight="1">
      <c r="A98" s="1073"/>
      <c r="B98" s="1024"/>
      <c r="C98" s="1025" t="s">
        <v>1385</v>
      </c>
      <c r="D98" s="1026"/>
      <c r="E98" s="1030"/>
      <c r="F98" s="1030"/>
      <c r="G98" s="1028"/>
      <c r="H98" s="1028"/>
      <c r="I98" s="1029"/>
      <c r="J98" s="1029"/>
      <c r="K98" s="1028"/>
      <c r="L98" s="1028"/>
      <c r="M98" s="1029"/>
      <c r="N98" s="1029"/>
      <c r="O98" s="1028"/>
      <c r="P98" s="1030"/>
      <c r="Q98" s="1030"/>
      <c r="R98" s="1030"/>
      <c r="S98" s="1026"/>
      <c r="T98" s="1026"/>
      <c r="U98" s="1026"/>
      <c r="V98" s="1026"/>
      <c r="W98" s="1031"/>
      <c r="X98" s="77"/>
    </row>
    <row r="99" spans="1:25" ht="6.75" customHeight="1">
      <c r="A99" s="1073"/>
      <c r="B99" s="1033"/>
      <c r="C99" s="1034"/>
      <c r="D99" s="1035" t="s">
        <v>1386</v>
      </c>
      <c r="E99" s="1034"/>
      <c r="F99" s="1034"/>
      <c r="G99" s="1036"/>
      <c r="H99" s="1036"/>
      <c r="I99" s="1037"/>
      <c r="J99" s="1038"/>
      <c r="K99" s="1036"/>
      <c r="L99" s="1036"/>
      <c r="M99" s="1037"/>
      <c r="N99" s="1038"/>
      <c r="O99" s="1036"/>
      <c r="P99" s="1034"/>
      <c r="Q99" s="1034"/>
      <c r="R99" s="1034"/>
      <c r="S99" s="1034"/>
      <c r="T99" s="1034"/>
      <c r="U99" s="1034"/>
      <c r="V99" s="1034"/>
      <c r="W99" s="1039"/>
      <c r="X99" s="77"/>
      <c r="Y99" s="77"/>
    </row>
    <row r="100" spans="1:25" ht="18" customHeight="1">
      <c r="A100" s="1073"/>
      <c r="B100" s="1033"/>
      <c r="C100" s="1040"/>
      <c r="D100" s="1035"/>
      <c r="E100" s="1034"/>
      <c r="F100" s="1034"/>
      <c r="G100" s="1041" t="s">
        <v>1113</v>
      </c>
      <c r="H100" s="1064" t="s">
        <v>1387</v>
      </c>
      <c r="I100" s="1029"/>
      <c r="J100" s="1029"/>
      <c r="K100" s="1041" t="s">
        <v>55</v>
      </c>
      <c r="L100" s="1064" t="s">
        <v>1388</v>
      </c>
      <c r="M100" s="1029"/>
      <c r="N100" s="1029"/>
      <c r="O100" s="1041" t="s">
        <v>893</v>
      </c>
      <c r="P100" s="1035" t="s">
        <v>1389</v>
      </c>
      <c r="Q100" s="1030"/>
      <c r="R100" s="1034"/>
      <c r="S100" s="1040" t="s">
        <v>1390</v>
      </c>
      <c r="T100" s="1035" t="s">
        <v>1391</v>
      </c>
      <c r="U100" s="1035"/>
      <c r="V100" s="1040" t="s">
        <v>1051</v>
      </c>
      <c r="W100" s="1039"/>
      <c r="X100" s="77"/>
      <c r="Y100" s="77"/>
    </row>
    <row r="101" spans="1:25" ht="12" customHeight="1" thickBot="1">
      <c r="A101" s="1073"/>
      <c r="B101" s="1033"/>
      <c r="C101" s="1043"/>
      <c r="D101" s="1034"/>
      <c r="E101" s="1034"/>
      <c r="F101" s="1034"/>
      <c r="G101" s="1036"/>
      <c r="H101" s="1036"/>
      <c r="I101" s="1037"/>
      <c r="J101" s="1038"/>
      <c r="K101" s="1036"/>
      <c r="L101" s="1036"/>
      <c r="M101" s="1037"/>
      <c r="N101" s="1038"/>
      <c r="O101" s="1036"/>
      <c r="P101" s="1034"/>
      <c r="Q101" s="1034"/>
      <c r="R101" s="1034"/>
      <c r="S101" s="1034"/>
      <c r="T101" s="1034"/>
      <c r="U101" s="1034"/>
      <c r="V101" s="1034"/>
      <c r="W101" s="1039"/>
      <c r="X101" s="77"/>
      <c r="Y101" s="77"/>
    </row>
    <row r="102" spans="1:25" ht="29.25" customHeight="1" thickBot="1">
      <c r="A102" s="1073"/>
      <c r="B102" s="1033"/>
      <c r="C102" s="1040" t="s">
        <v>1392</v>
      </c>
      <c r="D102" s="1035" t="s">
        <v>1393</v>
      </c>
      <c r="E102" s="1034"/>
      <c r="F102" s="1034"/>
      <c r="G102" s="1102" t="str">
        <f>IF('DS Analysis'!AP44=0,"",'DS Analysis'!AP44)</f>
        <v/>
      </c>
      <c r="H102" s="1036"/>
      <c r="I102" s="1037"/>
      <c r="J102" s="1038"/>
      <c r="K102" s="1078">
        <f>IF('DS Analysis'!AQ44=0,"",'DS Analysis'!AQ44)</f>
        <v>7</v>
      </c>
      <c r="L102" s="1036"/>
      <c r="M102" s="1037"/>
      <c r="N102" s="1038"/>
      <c r="O102" s="1102" t="str">
        <f>IF('DS Analysis'!AR44=0,"",'DS Analysis'!AR44)</f>
        <v/>
      </c>
      <c r="P102" s="1034"/>
      <c r="Q102" s="1034"/>
      <c r="R102" s="1079" t="s">
        <v>1394</v>
      </c>
      <c r="S102" s="1132" t="str">
        <f>IF(OR('Configs &amp; Procedures'!H44="",'Configs &amp; Procedures'!H44="All Types"),"",'Configs &amp; Procedures'!H44)</f>
        <v/>
      </c>
      <c r="T102" s="1034"/>
      <c r="U102" s="1034"/>
      <c r="V102" s="1102">
        <f>IF(OR(G102&lt;&gt;"",K102&lt;&gt;"",O102&lt;&gt;""),IF('Configs &amp; Procedures'!G44&gt;0,'Configs &amp; Procedures'!G44,'Configs &amp; Procedures'!$H$20),"")</f>
        <v>120</v>
      </c>
      <c r="W102" s="1039"/>
      <c r="X102" s="77"/>
      <c r="Y102" s="77"/>
    </row>
    <row r="103" spans="1:25" ht="29.25" customHeight="1" thickBot="1">
      <c r="A103" s="1073"/>
      <c r="B103" s="1033"/>
      <c r="C103" s="1040" t="s">
        <v>1395</v>
      </c>
      <c r="D103" s="1035" t="s">
        <v>1396</v>
      </c>
      <c r="E103" s="1034"/>
      <c r="F103" s="1034"/>
      <c r="G103" s="1102" t="str">
        <f>IF('DS Analysis'!AP45=0,"",'DS Analysis'!AP45)</f>
        <v/>
      </c>
      <c r="H103" s="1036"/>
      <c r="I103" s="1037"/>
      <c r="J103" s="1038"/>
      <c r="K103" s="1078" t="str">
        <f>IF('DS Analysis'!AQ45=0,"",'DS Analysis'!AQ45)</f>
        <v/>
      </c>
      <c r="L103" s="1036"/>
      <c r="M103" s="1037"/>
      <c r="N103" s="1038"/>
      <c r="O103" s="1102" t="str">
        <f>IF('DS Analysis'!AR45=0,"",'DS Analysis'!AR45)</f>
        <v/>
      </c>
      <c r="P103" s="1034"/>
      <c r="Q103" s="1034"/>
      <c r="R103" s="1079" t="s">
        <v>1425</v>
      </c>
      <c r="S103" s="1132" t="str">
        <f>IF(OR('Configs &amp; Procedures'!H45="",'Configs &amp; Procedures'!H45="All Types"),"",'Configs &amp; Procedures'!H45)</f>
        <v/>
      </c>
      <c r="T103" s="1034"/>
      <c r="U103" s="1034"/>
      <c r="V103" s="1102" t="str">
        <f>IF(OR(G103&lt;&gt;"",K103&lt;&gt;"",O103&lt;&gt;""),IF('Configs &amp; Procedures'!G45&gt;0,'Configs &amp; Procedures'!G45,'Configs &amp; Procedures'!$H$20),"")</f>
        <v/>
      </c>
      <c r="W103" s="1039"/>
      <c r="X103" s="77"/>
      <c r="Y103" s="77"/>
    </row>
    <row r="104" spans="1:25" ht="29.25" customHeight="1" thickBot="1">
      <c r="A104" s="1073"/>
      <c r="B104" s="1033"/>
      <c r="C104" s="1040" t="s">
        <v>1397</v>
      </c>
      <c r="D104" s="1035" t="s">
        <v>1398</v>
      </c>
      <c r="E104" s="1034"/>
      <c r="F104" s="1034"/>
      <c r="G104" s="1102" t="str">
        <f>IF('DS Analysis'!AP46=0,"",'DS Analysis'!AP46)</f>
        <v/>
      </c>
      <c r="H104" s="1036"/>
      <c r="I104" s="1037"/>
      <c r="J104" s="1038"/>
      <c r="K104" s="1078" t="str">
        <f>IF('DS Analysis'!AQ46=0,"",'DS Analysis'!AQ46)</f>
        <v/>
      </c>
      <c r="L104" s="1036"/>
      <c r="M104" s="1037"/>
      <c r="N104" s="1038"/>
      <c r="O104" s="1102" t="str">
        <f>IF('DS Analysis'!AR46=0,"",'DS Analysis'!AR46)</f>
        <v/>
      </c>
      <c r="P104" s="1034"/>
      <c r="Q104" s="1034"/>
      <c r="R104" s="1079" t="s">
        <v>1426</v>
      </c>
      <c r="S104" s="1132" t="str">
        <f>IF(OR('Configs &amp; Procedures'!H46="",'Configs &amp; Procedures'!H46="All Types"),"",'Configs &amp; Procedures'!H46)</f>
        <v/>
      </c>
      <c r="T104" s="1034"/>
      <c r="U104" s="1034"/>
      <c r="V104" s="1102" t="str">
        <f>IF(OR(G104&lt;&gt;"",K104&lt;&gt;"",O104&lt;&gt;""),IF('Configs &amp; Procedures'!G46&gt;0,'Configs &amp; Procedures'!G46,'Configs &amp; Procedures'!$H$20),"")</f>
        <v/>
      </c>
      <c r="W104" s="1039"/>
      <c r="X104" s="1106"/>
      <c r="Y104" s="77"/>
    </row>
    <row r="105" spans="1:25" ht="29.25" customHeight="1" thickBot="1">
      <c r="A105" s="1073"/>
      <c r="B105" s="1033"/>
      <c r="C105" s="1040" t="s">
        <v>1399</v>
      </c>
      <c r="D105" s="1035" t="s">
        <v>1400</v>
      </c>
      <c r="E105" s="1034"/>
      <c r="F105" s="1034"/>
      <c r="G105" s="1102" t="str">
        <f>IF('DS Analysis'!AP47=0,"",'DS Analysis'!AP47)</f>
        <v/>
      </c>
      <c r="H105" s="1036"/>
      <c r="I105" s="1037"/>
      <c r="J105" s="1038"/>
      <c r="K105" s="1078" t="str">
        <f>IF('DS Analysis'!AQ47=0,"",'DS Analysis'!AQ47)</f>
        <v/>
      </c>
      <c r="L105" s="1036"/>
      <c r="M105" s="1037"/>
      <c r="N105" s="1038"/>
      <c r="O105" s="1102" t="str">
        <f>IF('DS Analysis'!AR47=0,"",'DS Analysis'!AR47)</f>
        <v/>
      </c>
      <c r="P105" s="1034"/>
      <c r="Q105" s="1034"/>
      <c r="R105" s="1079" t="s">
        <v>1427</v>
      </c>
      <c r="S105" s="1132" t="str">
        <f>IF(OR('Configs &amp; Procedures'!H47="",'Configs &amp; Procedures'!H47="All Types"),"",'Configs &amp; Procedures'!H47)</f>
        <v/>
      </c>
      <c r="T105" s="1034"/>
      <c r="U105" s="1034"/>
      <c r="V105" s="1102" t="str">
        <f>IF(OR(G105&lt;&gt;"",K105&lt;&gt;"",O105&lt;&gt;""),IF('Configs &amp; Procedures'!G47&gt;0,'Configs &amp; Procedures'!G47,'Configs &amp; Procedures'!$H$20),"")</f>
        <v/>
      </c>
      <c r="W105" s="1039"/>
      <c r="X105" s="1106"/>
      <c r="Y105" s="77"/>
    </row>
    <row r="106" spans="1:25" ht="29.25" customHeight="1" thickBot="1">
      <c r="A106" s="1073"/>
      <c r="B106" s="1033"/>
      <c r="C106" s="1040" t="s">
        <v>1401</v>
      </c>
      <c r="D106" s="1035" t="s">
        <v>1402</v>
      </c>
      <c r="E106" s="1034"/>
      <c r="F106" s="1034">
        <v>2</v>
      </c>
      <c r="G106" s="1102" t="str">
        <f>IF('DS Analysis'!AP48=0,"",'DS Analysis'!AP48)</f>
        <v/>
      </c>
      <c r="H106" s="1036"/>
      <c r="I106" s="1037"/>
      <c r="J106" s="1038"/>
      <c r="K106" s="1078" t="str">
        <f>IF('DS Analysis'!AQ48=0,"",'DS Analysis'!AQ48)</f>
        <v/>
      </c>
      <c r="L106" s="1036"/>
      <c r="M106" s="1037"/>
      <c r="N106" s="1038"/>
      <c r="O106" s="1102" t="str">
        <f>IF('DS Analysis'!AR48=0,"",'DS Analysis'!AR48)</f>
        <v/>
      </c>
      <c r="P106" s="1034"/>
      <c r="Q106" s="1034"/>
      <c r="R106" s="1079" t="s">
        <v>1428</v>
      </c>
      <c r="S106" s="1132" t="str">
        <f>IF(OR('Configs &amp; Procedures'!H48="",'Configs &amp; Procedures'!H48="All Types"),"",'Configs &amp; Procedures'!H48)</f>
        <v/>
      </c>
      <c r="T106" s="1034"/>
      <c r="U106" s="1034"/>
      <c r="V106" s="1102" t="str">
        <f>IF(OR(G106&lt;&gt;"",K106&lt;&gt;"",O106&lt;&gt;""),IF('Configs &amp; Procedures'!G48&gt;0,'Configs &amp; Procedures'!G48,'Configs &amp; Procedures'!$H$20),"")</f>
        <v/>
      </c>
      <c r="W106" s="1039"/>
      <c r="X106" s="1106"/>
      <c r="Y106" s="77"/>
    </row>
    <row r="107" spans="1:25" ht="29.25" customHeight="1" thickBot="1">
      <c r="A107" s="1073"/>
      <c r="B107" s="1033"/>
      <c r="C107" s="1040" t="s">
        <v>1403</v>
      </c>
      <c r="D107" s="1035" t="s">
        <v>1404</v>
      </c>
      <c r="E107" s="1034"/>
      <c r="F107" s="1034"/>
      <c r="G107" s="1102" t="str">
        <f>IF('DS Analysis'!AP49=0,"",'DS Analysis'!AP49)</f>
        <v/>
      </c>
      <c r="H107" s="1036"/>
      <c r="I107" s="1037"/>
      <c r="J107" s="1038"/>
      <c r="K107" s="1078" t="str">
        <f>IF('DS Analysis'!AQ49=0,"",'DS Analysis'!AQ49)</f>
        <v/>
      </c>
      <c r="L107" s="1036"/>
      <c r="M107" s="1037"/>
      <c r="N107" s="1038"/>
      <c r="O107" s="1102" t="str">
        <f>IF('DS Analysis'!AR49=0,"",'DS Analysis'!AR49)</f>
        <v/>
      </c>
      <c r="P107" s="1034"/>
      <c r="Q107" s="1034"/>
      <c r="R107" s="1079" t="s">
        <v>1429</v>
      </c>
      <c r="S107" s="1132" t="str">
        <f>IF(OR('Configs &amp; Procedures'!H49="",'Configs &amp; Procedures'!H49="All Types"),"",'Configs &amp; Procedures'!H49)</f>
        <v/>
      </c>
      <c r="T107" s="1034"/>
      <c r="U107" s="1034"/>
      <c r="V107" s="1102" t="str">
        <f>IF(OR(G107&lt;&gt;"",K107&lt;&gt;"",O107&lt;&gt;""),IF('Configs &amp; Procedures'!G49&gt;0,'Configs &amp; Procedures'!G49,'Configs &amp; Procedures'!$H$20),"")</f>
        <v/>
      </c>
      <c r="W107" s="1039"/>
      <c r="X107" s="1106"/>
      <c r="Y107" s="77"/>
    </row>
    <row r="108" spans="1:25" ht="29.25" customHeight="1" thickBot="1">
      <c r="A108" s="1073"/>
      <c r="B108" s="1033"/>
      <c r="C108" s="1040" t="s">
        <v>1405</v>
      </c>
      <c r="D108" s="1035" t="s">
        <v>1406</v>
      </c>
      <c r="E108" s="1034"/>
      <c r="F108" s="1034"/>
      <c r="G108" s="1102" t="str">
        <f>IF('DS Analysis'!AP50=0,"",'DS Analysis'!AP50)</f>
        <v/>
      </c>
      <c r="H108" s="1036"/>
      <c r="I108" s="1037"/>
      <c r="J108" s="1038"/>
      <c r="K108" s="1078" t="str">
        <f>IF('DS Analysis'!AQ50=0,"",'DS Analysis'!AQ50)</f>
        <v/>
      </c>
      <c r="L108" s="1036"/>
      <c r="M108" s="1037"/>
      <c r="N108" s="1038"/>
      <c r="O108" s="1102" t="str">
        <f>IF('DS Analysis'!AR50=0,"",'DS Analysis'!AR50)</f>
        <v/>
      </c>
      <c r="P108" s="1034"/>
      <c r="Q108" s="1034"/>
      <c r="R108" s="1079" t="s">
        <v>1430</v>
      </c>
      <c r="S108" s="1132" t="str">
        <f>IF(OR('Configs &amp; Procedures'!H50="",'Configs &amp; Procedures'!H50="All Types"),"",'Configs &amp; Procedures'!H50)</f>
        <v/>
      </c>
      <c r="T108" s="1034"/>
      <c r="U108" s="1034"/>
      <c r="V108" s="1102" t="str">
        <f>IF(OR(G108&lt;&gt;"",K108&lt;&gt;"",O108&lt;&gt;""),IF('Configs &amp; Procedures'!G50&gt;0,'Configs &amp; Procedures'!G50,'Configs &amp; Procedures'!$H$20),"")</f>
        <v/>
      </c>
      <c r="W108" s="1039"/>
      <c r="X108" s="1106"/>
      <c r="Y108" s="77"/>
    </row>
    <row r="109" spans="1:25" ht="29.25" customHeight="1" thickBot="1">
      <c r="A109" s="1073"/>
      <c r="B109" s="1033"/>
      <c r="C109" s="1040" t="s">
        <v>1407</v>
      </c>
      <c r="D109" s="1035" t="s">
        <v>1408</v>
      </c>
      <c r="E109" s="1034"/>
      <c r="F109" s="1034"/>
      <c r="G109" s="1102" t="str">
        <f>IF('DS Analysis'!AP51=0,"",'DS Analysis'!AP51)</f>
        <v/>
      </c>
      <c r="H109" s="1036"/>
      <c r="I109" s="1037"/>
      <c r="J109" s="1038"/>
      <c r="K109" s="1078" t="str">
        <f>IF('DS Analysis'!AQ51=0,"",'DS Analysis'!AQ51)</f>
        <v/>
      </c>
      <c r="L109" s="1036"/>
      <c r="M109" s="1037"/>
      <c r="N109" s="1038"/>
      <c r="O109" s="1102" t="str">
        <f>IF('DS Analysis'!AR51=0,"",'DS Analysis'!AR51)</f>
        <v/>
      </c>
      <c r="P109" s="1034"/>
      <c r="Q109" s="1034"/>
      <c r="R109" s="1079" t="s">
        <v>1431</v>
      </c>
      <c r="S109" s="1132" t="str">
        <f>IF(OR('Configs &amp; Procedures'!H51="",'Configs &amp; Procedures'!H51="All Types"),"",'Configs &amp; Procedures'!H51)</f>
        <v/>
      </c>
      <c r="T109" s="1034"/>
      <c r="U109" s="1034"/>
      <c r="V109" s="1102" t="str">
        <f>IF(OR(G109&lt;&gt;"",K109&lt;&gt;"",O109&lt;&gt;""),IF('Configs &amp; Procedures'!G51&gt;0,'Configs &amp; Procedures'!G51,'Configs &amp; Procedures'!$H$20),"")</f>
        <v/>
      </c>
      <c r="W109" s="1039"/>
      <c r="X109" s="1106"/>
      <c r="Y109" s="77"/>
    </row>
    <row r="110" spans="1:25" ht="29.25" customHeight="1" thickBot="1">
      <c r="A110" s="1073"/>
      <c r="B110" s="1033"/>
      <c r="C110" s="1040" t="s">
        <v>1409</v>
      </c>
      <c r="D110" s="1035" t="s">
        <v>1410</v>
      </c>
      <c r="E110" s="1034"/>
      <c r="F110" s="1034"/>
      <c r="G110" s="1102" t="str">
        <f>IF('DS Analysis'!AP52=0,"",'DS Analysis'!AP52)</f>
        <v/>
      </c>
      <c r="H110" s="1036"/>
      <c r="I110" s="1037"/>
      <c r="J110" s="1038"/>
      <c r="K110" s="1078" t="str">
        <f>IF('DS Analysis'!AQ52=0,"",'DS Analysis'!AQ52)</f>
        <v/>
      </c>
      <c r="L110" s="1036"/>
      <c r="M110" s="1037"/>
      <c r="N110" s="1038"/>
      <c r="O110" s="1102" t="str">
        <f>IF('DS Analysis'!AR52=0,"",'DS Analysis'!AR52)</f>
        <v/>
      </c>
      <c r="P110" s="1034"/>
      <c r="Q110" s="1034"/>
      <c r="R110" s="1079" t="s">
        <v>1432</v>
      </c>
      <c r="S110" s="1132" t="str">
        <f>IF(OR('Configs &amp; Procedures'!H52="",'Configs &amp; Procedures'!H52="All Types"),"",'Configs &amp; Procedures'!H52)</f>
        <v/>
      </c>
      <c r="T110" s="1034"/>
      <c r="U110" s="1034"/>
      <c r="V110" s="1102" t="str">
        <f>IF(OR(G110&lt;&gt;"",K110&lt;&gt;"",O110&lt;&gt;""),IF('Configs &amp; Procedures'!G52&gt;0,'Configs &amp; Procedures'!G52,'Configs &amp; Procedures'!$H$20),"")</f>
        <v/>
      </c>
      <c r="W110" s="1039"/>
      <c r="X110" s="1106"/>
      <c r="Y110" s="77"/>
    </row>
    <row r="111" spans="1:25" ht="29.25" customHeight="1" thickBot="1">
      <c r="A111" s="1073"/>
      <c r="B111" s="1033"/>
      <c r="C111" s="1040" t="s">
        <v>1411</v>
      </c>
      <c r="D111" s="1035" t="s">
        <v>1412</v>
      </c>
      <c r="E111" s="1034"/>
      <c r="F111" s="1034"/>
      <c r="G111" s="1102" t="str">
        <f>IF('DS Analysis'!AP53=0,"",'DS Analysis'!AP53)</f>
        <v/>
      </c>
      <c r="H111" s="1036"/>
      <c r="I111" s="1037"/>
      <c r="J111" s="1038"/>
      <c r="K111" s="1078" t="str">
        <f>IF('DS Analysis'!AQ53=0,"",'DS Analysis'!AQ53)</f>
        <v/>
      </c>
      <c r="L111" s="1036"/>
      <c r="M111" s="1037"/>
      <c r="N111" s="1038"/>
      <c r="O111" s="1102" t="str">
        <f>IF('DS Analysis'!AR53=0,"",'DS Analysis'!AR53)</f>
        <v/>
      </c>
      <c r="P111" s="1034"/>
      <c r="Q111" s="1034"/>
      <c r="R111" s="1079" t="s">
        <v>1433</v>
      </c>
      <c r="S111" s="1132" t="str">
        <f>IF(OR('Configs &amp; Procedures'!H53="",'Configs &amp; Procedures'!H53="All Types"),"",'Configs &amp; Procedures'!H53)</f>
        <v/>
      </c>
      <c r="T111" s="1034"/>
      <c r="U111" s="1034"/>
      <c r="V111" s="1102" t="str">
        <f>IF(OR(G111&lt;&gt;"",K111&lt;&gt;"",O111&lt;&gt;""),IF('Configs &amp; Procedures'!G53&gt;0,'Configs &amp; Procedures'!G53,'Configs &amp; Procedures'!$H$20),"")</f>
        <v/>
      </c>
      <c r="W111" s="1039"/>
      <c r="X111" s="1106"/>
      <c r="Y111" s="77"/>
    </row>
    <row r="112" spans="1:25" ht="29.25" customHeight="1" thickBot="1">
      <c r="A112" s="1073"/>
      <c r="B112" s="1033"/>
      <c r="C112" s="1040" t="s">
        <v>1413</v>
      </c>
      <c r="D112" s="1035" t="s">
        <v>1414</v>
      </c>
      <c r="E112" s="1034"/>
      <c r="F112" s="1034"/>
      <c r="G112" s="1102" t="str">
        <f>IF('DS Analysis'!AP54=0,"",'DS Analysis'!AP54)</f>
        <v/>
      </c>
      <c r="H112" s="1036"/>
      <c r="I112" s="1037"/>
      <c r="J112" s="1038"/>
      <c r="K112" s="1078" t="str">
        <f>IF('DS Analysis'!AQ54=0,"",'DS Analysis'!AQ54)</f>
        <v/>
      </c>
      <c r="L112" s="1036"/>
      <c r="M112" s="1037"/>
      <c r="N112" s="1038"/>
      <c r="O112" s="1102" t="str">
        <f>IF('DS Analysis'!AR54=0,"",'DS Analysis'!AR54)</f>
        <v/>
      </c>
      <c r="P112" s="1034"/>
      <c r="Q112" s="1034"/>
      <c r="R112" s="1079" t="s">
        <v>1434</v>
      </c>
      <c r="S112" s="1132" t="str">
        <f>IF(OR('Configs &amp; Procedures'!H54="",'Configs &amp; Procedures'!H54="All Types"),"",'Configs &amp; Procedures'!H54)</f>
        <v/>
      </c>
      <c r="T112" s="1034"/>
      <c r="U112" s="1034"/>
      <c r="V112" s="1102" t="str">
        <f>IF(OR(G112&lt;&gt;"",K112&lt;&gt;"",O112&lt;&gt;""),IF('Configs &amp; Procedures'!G54&gt;0,'Configs &amp; Procedures'!G54,'Configs &amp; Procedures'!$H$20),"")</f>
        <v/>
      </c>
      <c r="W112" s="1039"/>
      <c r="X112" s="1106"/>
      <c r="Y112" s="77"/>
    </row>
    <row r="113" spans="1:25" ht="29.25" customHeight="1" thickBot="1">
      <c r="A113" s="1073"/>
      <c r="B113" s="1033"/>
      <c r="C113" s="1040" t="s">
        <v>1415</v>
      </c>
      <c r="D113" s="1035" t="s">
        <v>1416</v>
      </c>
      <c r="E113" s="1034"/>
      <c r="F113" s="1034"/>
      <c r="G113" s="1102" t="str">
        <f>IF('DS Analysis'!AP55=0,"",'DS Analysis'!AP55)</f>
        <v/>
      </c>
      <c r="H113" s="1036"/>
      <c r="I113" s="1037"/>
      <c r="J113" s="1038"/>
      <c r="K113" s="1078" t="str">
        <f>IF('DS Analysis'!AQ55=0,"",'DS Analysis'!AQ55)</f>
        <v/>
      </c>
      <c r="L113" s="1036"/>
      <c r="M113" s="1037"/>
      <c r="N113" s="1038"/>
      <c r="O113" s="1102" t="str">
        <f>IF('DS Analysis'!AR55=0,"",'DS Analysis'!AR55)</f>
        <v/>
      </c>
      <c r="P113" s="1034"/>
      <c r="Q113" s="1034"/>
      <c r="R113" s="1079" t="s">
        <v>1435</v>
      </c>
      <c r="S113" s="1132" t="str">
        <f>IF(OR('Configs &amp; Procedures'!H55="",'Configs &amp; Procedures'!H55="All Types"),"",'Configs &amp; Procedures'!H55)</f>
        <v/>
      </c>
      <c r="T113" s="1034"/>
      <c r="U113" s="1034"/>
      <c r="V113" s="1102" t="str">
        <f>IF(OR(G113&lt;&gt;"",K113&lt;&gt;"",O113&lt;&gt;""),IF('Configs &amp; Procedures'!G55&gt;0,'Configs &amp; Procedures'!G55,'Configs &amp; Procedures'!$H$20),"")</f>
        <v/>
      </c>
      <c r="W113" s="1039"/>
      <c r="X113" s="1106"/>
      <c r="Y113" s="77"/>
    </row>
    <row r="114" spans="1:25" ht="29.25" customHeight="1" thickBot="1">
      <c r="A114" s="1073"/>
      <c r="B114" s="1033"/>
      <c r="C114" s="1040" t="s">
        <v>1417</v>
      </c>
      <c r="D114" s="1035" t="s">
        <v>1418</v>
      </c>
      <c r="E114" s="1034"/>
      <c r="F114" s="1034"/>
      <c r="G114" s="1102" t="str">
        <f>IF('DS Analysis'!AP56=0,"",'DS Analysis'!AP56)</f>
        <v/>
      </c>
      <c r="H114" s="1036"/>
      <c r="I114" s="1037"/>
      <c r="J114" s="1038"/>
      <c r="K114" s="1078" t="str">
        <f>IF('DS Analysis'!AQ56=0,"",'DS Analysis'!AQ56)</f>
        <v/>
      </c>
      <c r="L114" s="1036"/>
      <c r="M114" s="1037"/>
      <c r="N114" s="1038"/>
      <c r="O114" s="1102" t="str">
        <f>IF('DS Analysis'!AR56=0,"",'DS Analysis'!AR56)</f>
        <v/>
      </c>
      <c r="P114" s="1034"/>
      <c r="Q114" s="1034"/>
      <c r="R114" s="1079" t="s">
        <v>1436</v>
      </c>
      <c r="S114" s="1132" t="str">
        <f>IF(OR('Configs &amp; Procedures'!H56="",'Configs &amp; Procedures'!H56="All Types"),"",'Configs &amp; Procedures'!H56)</f>
        <v/>
      </c>
      <c r="T114" s="1034"/>
      <c r="U114" s="1034"/>
      <c r="V114" s="1102" t="str">
        <f>IF(OR(G114&lt;&gt;"",K114&lt;&gt;"",O114&lt;&gt;""),IF('Configs &amp; Procedures'!G56&gt;0,'Configs &amp; Procedures'!G56,'Configs &amp; Procedures'!$H$20),"")</f>
        <v/>
      </c>
      <c r="W114" s="1039"/>
      <c r="X114" s="1106"/>
      <c r="Y114" s="77"/>
    </row>
    <row r="115" spans="1:25" ht="29.25" customHeight="1" thickBot="1">
      <c r="A115" s="1073"/>
      <c r="B115" s="1033"/>
      <c r="C115" s="1040" t="s">
        <v>1419</v>
      </c>
      <c r="D115" s="1035" t="s">
        <v>1420</v>
      </c>
      <c r="E115" s="1034"/>
      <c r="F115" s="1034"/>
      <c r="G115" s="1102" t="str">
        <f>IF('DS Analysis'!AP57=0,"",'DS Analysis'!AP57)</f>
        <v/>
      </c>
      <c r="H115" s="1036"/>
      <c r="I115" s="1037"/>
      <c r="J115" s="1038"/>
      <c r="K115" s="1078" t="str">
        <f>IF('DS Analysis'!AQ57=0,"",'DS Analysis'!AQ57)</f>
        <v/>
      </c>
      <c r="L115" s="1036"/>
      <c r="M115" s="1037"/>
      <c r="N115" s="1038"/>
      <c r="O115" s="1102" t="str">
        <f>IF('DS Analysis'!AR57=0,"",'DS Analysis'!AR57)</f>
        <v/>
      </c>
      <c r="P115" s="1034"/>
      <c r="Q115" s="1034"/>
      <c r="R115" s="1079" t="s">
        <v>1437</v>
      </c>
      <c r="S115" s="1132" t="str">
        <f>IF(OR('Configs &amp; Procedures'!H57="",'Configs &amp; Procedures'!H57="All Types"),"",'Configs &amp; Procedures'!H57)</f>
        <v/>
      </c>
      <c r="T115" s="1034"/>
      <c r="U115" s="1034"/>
      <c r="V115" s="1102" t="str">
        <f>IF(OR(G115&lt;&gt;"",K115&lt;&gt;"",O115&lt;&gt;""),IF('Configs &amp; Procedures'!G57&gt;0,'Configs &amp; Procedures'!G57,'Configs &amp; Procedures'!$H$20),"")</f>
        <v/>
      </c>
      <c r="W115" s="1039"/>
      <c r="X115" s="1106"/>
    </row>
    <row r="116" spans="1:25" ht="29.25" customHeight="1" thickBot="1">
      <c r="A116" s="1073"/>
      <c r="B116" s="1033"/>
      <c r="C116" s="1040" t="s">
        <v>1421</v>
      </c>
      <c r="D116" s="1035" t="s">
        <v>1422</v>
      </c>
      <c r="E116" s="1034"/>
      <c r="F116" s="1034"/>
      <c r="G116" s="1102" t="str">
        <f>IF('DS Analysis'!AP58=0,"",'DS Analysis'!AP58)</f>
        <v/>
      </c>
      <c r="H116" s="1036"/>
      <c r="I116" s="1037"/>
      <c r="J116" s="1038"/>
      <c r="K116" s="1078" t="str">
        <f>IF('DS Analysis'!AQ58=0,"",'DS Analysis'!AQ58)</f>
        <v/>
      </c>
      <c r="L116" s="1036"/>
      <c r="M116" s="1037"/>
      <c r="N116" s="1038"/>
      <c r="O116" s="1102" t="str">
        <f>IF('DS Analysis'!AR58=0,"",'DS Analysis'!AR58)</f>
        <v/>
      </c>
      <c r="P116" s="1034"/>
      <c r="Q116" s="1034"/>
      <c r="R116" s="1079" t="s">
        <v>1438</v>
      </c>
      <c r="S116" s="1132" t="str">
        <f>IF(OR('Configs &amp; Procedures'!H58="",'Configs &amp; Procedures'!H58="All Types"),"",'Configs &amp; Procedures'!H58)</f>
        <v/>
      </c>
      <c r="T116" s="1034"/>
      <c r="U116" s="1034"/>
      <c r="V116" s="1102" t="str">
        <f>IF(OR(G116&lt;&gt;"",K116&lt;&gt;"",O116&lt;&gt;""),IF('Configs &amp; Procedures'!G58&gt;0,'Configs &amp; Procedures'!G58,'Configs &amp; Procedures'!$H$20),"")</f>
        <v/>
      </c>
      <c r="W116" s="1039"/>
      <c r="X116" s="1073"/>
    </row>
    <row r="117" spans="1:25" s="1094" customFormat="1" ht="29.25" customHeight="1" thickBot="1">
      <c r="A117" s="1073"/>
      <c r="B117" s="1033"/>
      <c r="C117" s="1040" t="s">
        <v>1444</v>
      </c>
      <c r="D117" s="1035"/>
      <c r="E117" s="1034"/>
      <c r="F117" s="1034"/>
      <c r="G117" s="1102" t="str">
        <f>IF('DS Analysis'!AP59=0,"",'DS Analysis'!AP59)</f>
        <v/>
      </c>
      <c r="H117" s="1036"/>
      <c r="I117" s="1037"/>
      <c r="J117" s="1038"/>
      <c r="K117" s="1078" t="str">
        <f>IF('DS Analysis'!AQ59=0,"",'DS Analysis'!AQ59)</f>
        <v/>
      </c>
      <c r="L117" s="1036"/>
      <c r="M117" s="1037"/>
      <c r="N117" s="1038"/>
      <c r="O117" s="1102" t="str">
        <f>IF('DS Analysis'!AR59=0,"",'DS Analysis'!AR59)</f>
        <v/>
      </c>
      <c r="P117" s="1034"/>
      <c r="Q117" s="1034"/>
      <c r="R117" s="1079" t="s">
        <v>1439</v>
      </c>
      <c r="S117" s="1132" t="str">
        <f>IF(OR('Configs &amp; Procedures'!H59="",'Configs &amp; Procedures'!H59="All Types"),"",'Configs &amp; Procedures'!H59)</f>
        <v/>
      </c>
      <c r="T117" s="1034"/>
      <c r="U117" s="1034"/>
      <c r="V117" s="1102" t="str">
        <f>IF(OR(G117&lt;&gt;"",K117&lt;&gt;"",O117&lt;&gt;""),IF('Configs &amp; Procedures'!G59&gt;0,'Configs &amp; Procedures'!G59,'Configs &amp; Procedures'!$H$20),"")</f>
        <v/>
      </c>
      <c r="W117" s="1039"/>
      <c r="X117" s="1073"/>
    </row>
    <row r="118" spans="1:25" s="1094" customFormat="1" ht="29.25" customHeight="1" thickBot="1">
      <c r="A118" s="1073"/>
      <c r="B118" s="1033"/>
      <c r="C118" s="1040" t="s">
        <v>1445</v>
      </c>
      <c r="D118" s="1035"/>
      <c r="E118" s="1034"/>
      <c r="F118" s="1034"/>
      <c r="G118" s="1102" t="str">
        <f>IF('DS Analysis'!AP60=0,"",'DS Analysis'!AP60)</f>
        <v/>
      </c>
      <c r="H118" s="1036"/>
      <c r="I118" s="1037"/>
      <c r="J118" s="1038"/>
      <c r="K118" s="1078" t="str">
        <f>IF('DS Analysis'!AQ60=0,"",'DS Analysis'!AQ60)</f>
        <v/>
      </c>
      <c r="L118" s="1036"/>
      <c r="M118" s="1037"/>
      <c r="N118" s="1038"/>
      <c r="O118" s="1102" t="str">
        <f>IF('DS Analysis'!AR60=0,"",'DS Analysis'!AR60)</f>
        <v/>
      </c>
      <c r="P118" s="1034"/>
      <c r="Q118" s="1034"/>
      <c r="R118" s="1079" t="s">
        <v>1440</v>
      </c>
      <c r="S118" s="1132" t="str">
        <f>IF(OR('Configs &amp; Procedures'!H60="",'Configs &amp; Procedures'!H60="All Types"),"",'Configs &amp; Procedures'!H60)</f>
        <v/>
      </c>
      <c r="T118" s="1034"/>
      <c r="U118" s="1034"/>
      <c r="V118" s="1102" t="str">
        <f>IF(OR(G118&lt;&gt;"",K118&lt;&gt;"",O118&lt;&gt;""),IF('Configs &amp; Procedures'!G60&gt;0,'Configs &amp; Procedures'!G60,'Configs &amp; Procedures'!$H$20),"")</f>
        <v/>
      </c>
      <c r="W118" s="1039"/>
      <c r="X118" s="1073"/>
    </row>
    <row r="119" spans="1:25" s="1094" customFormat="1" ht="29.25" customHeight="1" thickBot="1">
      <c r="A119" s="1073"/>
      <c r="B119" s="1033"/>
      <c r="C119" s="1040" t="s">
        <v>1446</v>
      </c>
      <c r="D119" s="1035"/>
      <c r="E119" s="1034"/>
      <c r="F119" s="1034"/>
      <c r="G119" s="1102" t="str">
        <f>IF('DS Analysis'!AP61=0,"",'DS Analysis'!AP61)</f>
        <v/>
      </c>
      <c r="H119" s="1036"/>
      <c r="I119" s="1037"/>
      <c r="J119" s="1038"/>
      <c r="K119" s="1078" t="str">
        <f>IF('DS Analysis'!AQ61=0,"",'DS Analysis'!AQ61)</f>
        <v/>
      </c>
      <c r="L119" s="1036"/>
      <c r="M119" s="1037"/>
      <c r="N119" s="1038"/>
      <c r="O119" s="1102" t="str">
        <f>IF('DS Analysis'!AR61=0,"",'DS Analysis'!AR61)</f>
        <v/>
      </c>
      <c r="P119" s="1034"/>
      <c r="Q119" s="1034"/>
      <c r="R119" s="1079" t="s">
        <v>1441</v>
      </c>
      <c r="S119" s="1132" t="str">
        <f>IF(OR('Configs &amp; Procedures'!H61="",'Configs &amp; Procedures'!H61="All Types"),"",'Configs &amp; Procedures'!H61)</f>
        <v/>
      </c>
      <c r="T119" s="1034"/>
      <c r="U119" s="1034"/>
      <c r="V119" s="1102" t="str">
        <f>IF(OR(G119&lt;&gt;"",K119&lt;&gt;"",O119&lt;&gt;""),IF('Configs &amp; Procedures'!G61&gt;0,'Configs &amp; Procedures'!G61,'Configs &amp; Procedures'!$H$20),"")</f>
        <v/>
      </c>
      <c r="W119" s="1039"/>
      <c r="X119" s="1073"/>
    </row>
    <row r="120" spans="1:25" s="1094" customFormat="1" ht="29.25" customHeight="1" thickBot="1">
      <c r="A120" s="1073"/>
      <c r="B120" s="1033"/>
      <c r="C120" s="1040" t="s">
        <v>1447</v>
      </c>
      <c r="D120" s="1035"/>
      <c r="E120" s="1034"/>
      <c r="F120" s="1034"/>
      <c r="G120" s="1102" t="str">
        <f>IF('DS Analysis'!AP62=0,"",'DS Analysis'!AP62)</f>
        <v/>
      </c>
      <c r="H120" s="1036"/>
      <c r="I120" s="1037"/>
      <c r="J120" s="1038"/>
      <c r="K120" s="1078" t="str">
        <f>IF('DS Analysis'!AQ62=0,"",'DS Analysis'!AQ62)</f>
        <v/>
      </c>
      <c r="L120" s="1036"/>
      <c r="M120" s="1037"/>
      <c r="N120" s="1038"/>
      <c r="O120" s="1102" t="str">
        <f>IF('DS Analysis'!AR62=0,"",'DS Analysis'!AR62)</f>
        <v/>
      </c>
      <c r="P120" s="1034"/>
      <c r="Q120" s="1034"/>
      <c r="R120" s="1079" t="s">
        <v>1442</v>
      </c>
      <c r="S120" s="1132" t="str">
        <f>IF(OR('Configs &amp; Procedures'!H62="",'Configs &amp; Procedures'!H62="All Types"),"",'Configs &amp; Procedures'!H62)</f>
        <v/>
      </c>
      <c r="T120" s="1034"/>
      <c r="U120" s="1034"/>
      <c r="V120" s="1102" t="str">
        <f>IF(OR(G120&lt;&gt;"",K120&lt;&gt;"",O120&lt;&gt;""),IF('Configs &amp; Procedures'!G62&gt;0,'Configs &amp; Procedures'!G62,'Configs &amp; Procedures'!$H$20),"")</f>
        <v/>
      </c>
      <c r="W120" s="1039"/>
      <c r="X120" s="1073"/>
    </row>
    <row r="121" spans="1:25" s="1094" customFormat="1" ht="29.25" customHeight="1" thickBot="1">
      <c r="A121" s="1073"/>
      <c r="B121" s="1033"/>
      <c r="C121" s="1040" t="s">
        <v>1448</v>
      </c>
      <c r="D121" s="1035"/>
      <c r="E121" s="1034"/>
      <c r="F121" s="1034"/>
      <c r="G121" s="1102" t="str">
        <f>IF('DS Analysis'!AP63=0,"",'DS Analysis'!AP63)</f>
        <v/>
      </c>
      <c r="H121" s="1036"/>
      <c r="I121" s="1037"/>
      <c r="J121" s="1038"/>
      <c r="K121" s="1078" t="str">
        <f>IF('DS Analysis'!AQ63=0,"",'DS Analysis'!AQ63)</f>
        <v/>
      </c>
      <c r="L121" s="1036"/>
      <c r="M121" s="1037"/>
      <c r="N121" s="1038"/>
      <c r="O121" s="1102" t="str">
        <f>IF('DS Analysis'!AR63=0,"",'DS Analysis'!AR63)</f>
        <v/>
      </c>
      <c r="P121" s="1034"/>
      <c r="Q121" s="1034"/>
      <c r="R121" s="1079" t="s">
        <v>1443</v>
      </c>
      <c r="S121" s="1132" t="str">
        <f>IF(OR('Configs &amp; Procedures'!H63="",'Configs &amp; Procedures'!H63="All Types"),"",'Configs &amp; Procedures'!H63)</f>
        <v/>
      </c>
      <c r="T121" s="1034"/>
      <c r="U121" s="1034"/>
      <c r="V121" s="1102" t="str">
        <f>IF(OR(G121&lt;&gt;"",K121&lt;&gt;"",O121&lt;&gt;""),IF('Configs &amp; Procedures'!G63&gt;0,'Configs &amp; Procedures'!G63,'Configs &amp; Procedures'!$H$20),"")</f>
        <v/>
      </c>
      <c r="W121" s="1039"/>
      <c r="X121" s="1073"/>
    </row>
    <row r="122" spans="1:25" ht="9" customHeight="1" thickBot="1">
      <c r="A122" s="1073"/>
      <c r="B122" s="1049"/>
      <c r="C122" s="1050"/>
      <c r="D122" s="1051"/>
      <c r="E122" s="1051"/>
      <c r="F122" s="1051"/>
      <c r="G122" s="1052"/>
      <c r="H122" s="1052"/>
      <c r="I122" s="1053"/>
      <c r="J122" s="1054"/>
      <c r="K122" s="1052"/>
      <c r="L122" s="1052"/>
      <c r="M122" s="1053"/>
      <c r="N122" s="1054"/>
      <c r="O122" s="1052"/>
      <c r="P122" s="1051"/>
      <c r="Q122" s="1051"/>
      <c r="R122" s="1051"/>
      <c r="S122" s="1051"/>
      <c r="T122" s="1051"/>
      <c r="U122" s="1051"/>
      <c r="V122" s="1051"/>
      <c r="W122" s="1060"/>
    </row>
  </sheetData>
  <sheetProtection sheet="1" objects="1" scenarios="1"/>
  <mergeCells count="12">
    <mergeCell ref="E12:U12"/>
    <mergeCell ref="E6:K6"/>
    <mergeCell ref="Q6:U6"/>
    <mergeCell ref="E8:K8"/>
    <mergeCell ref="Q8:U8"/>
    <mergeCell ref="E10:K10"/>
    <mergeCell ref="Q10:U10"/>
    <mergeCell ref="X28:X40"/>
    <mergeCell ref="S41:S45"/>
    <mergeCell ref="X41:X54"/>
    <mergeCell ref="S50:S52"/>
    <mergeCell ref="M65:O65"/>
  </mergeCells>
  <printOptions horizontalCentered="1" verticalCentered="1"/>
  <pageMargins left="0.42" right="0.28999999999999998" top="0.25" bottom="0.48" header="0.25" footer="0.26"/>
  <pageSetup scale="65" fitToHeight="2" orientation="portrait" r:id="rId1"/>
  <headerFooter alignWithMargins="0">
    <oddFooter>&amp;CPage &amp;P&amp;R&amp;D</oddFooter>
  </headerFooter>
  <rowBreaks count="2" manualBreakCount="2">
    <brk id="45" min="1" max="22" man="1"/>
    <brk id="81" min="1" max="22" man="1"/>
  </rowBreaks>
  <colBreaks count="1" manualBreakCount="1">
    <brk id="24" max="1048575" man="1"/>
  </colBreaks>
  <legacyDrawing r:id="rId2"/>
</worksheet>
</file>

<file path=xl/worksheets/sheet25.xml><?xml version="1.0" encoding="utf-8"?>
<worksheet xmlns="http://schemas.openxmlformats.org/spreadsheetml/2006/main" xmlns:r="http://schemas.openxmlformats.org/officeDocument/2006/relationships">
  <sheetPr codeName="Sheet19"/>
  <dimension ref="A1:J40"/>
  <sheetViews>
    <sheetView topLeftCell="A2" workbookViewId="0">
      <selection activeCell="F33" sqref="F33"/>
    </sheetView>
  </sheetViews>
  <sheetFormatPr defaultRowHeight="15.75"/>
  <cols>
    <col min="1" max="3" width="9.140625" style="1009"/>
    <col min="4" max="10" width="9.140625" style="590"/>
  </cols>
  <sheetData>
    <row r="1" spans="1:3">
      <c r="A1" s="1008" t="s">
        <v>1271</v>
      </c>
    </row>
    <row r="2" spans="1:3">
      <c r="A2" s="1008"/>
    </row>
    <row r="3" spans="1:3">
      <c r="A3" s="1008" t="s">
        <v>1272</v>
      </c>
    </row>
    <row r="4" spans="1:3">
      <c r="A4" s="1008"/>
      <c r="B4" s="1009" t="s">
        <v>1279</v>
      </c>
    </row>
    <row r="5" spans="1:3">
      <c r="A5" s="1008"/>
      <c r="B5" s="1009" t="s">
        <v>1273</v>
      </c>
    </row>
    <row r="6" spans="1:3">
      <c r="A6" s="1008"/>
      <c r="C6" s="1010" t="s">
        <v>1280</v>
      </c>
    </row>
    <row r="7" spans="1:3">
      <c r="A7" s="1008"/>
      <c r="B7" s="1009" t="s">
        <v>1453</v>
      </c>
    </row>
    <row r="8" spans="1:3">
      <c r="A8" s="1008"/>
      <c r="B8" s="1009" t="s">
        <v>1274</v>
      </c>
    </row>
    <row r="9" spans="1:3">
      <c r="A9" s="1008"/>
      <c r="B9" s="1009" t="s">
        <v>1275</v>
      </c>
    </row>
    <row r="10" spans="1:3">
      <c r="A10" s="1008"/>
      <c r="C10" s="1010" t="s">
        <v>1278</v>
      </c>
    </row>
    <row r="11" spans="1:3">
      <c r="A11" s="1008"/>
    </row>
    <row r="12" spans="1:3">
      <c r="A12" s="1008"/>
    </row>
    <row r="13" spans="1:3">
      <c r="A13" s="1008"/>
    </row>
    <row r="14" spans="1:3">
      <c r="A14" s="1008"/>
    </row>
    <row r="15" spans="1:3">
      <c r="A15" s="1008" t="s">
        <v>1276</v>
      </c>
    </row>
    <row r="16" spans="1:3">
      <c r="A16" s="1008"/>
    </row>
    <row r="17" spans="1:6">
      <c r="A17" s="1008"/>
    </row>
    <row r="18" spans="1:6">
      <c r="A18" s="1008"/>
    </row>
    <row r="19" spans="1:6">
      <c r="A19" s="1008"/>
    </row>
    <row r="20" spans="1:6">
      <c r="A20" s="1008"/>
    </row>
    <row r="21" spans="1:6">
      <c r="A21" s="1008"/>
    </row>
    <row r="22" spans="1:6">
      <c r="A22" s="1008" t="s">
        <v>1277</v>
      </c>
    </row>
    <row r="23" spans="1:6">
      <c r="A23" s="1008"/>
    </row>
    <row r="24" spans="1:6">
      <c r="A24" s="1008"/>
    </row>
    <row r="25" spans="1:6">
      <c r="A25" s="1008"/>
    </row>
    <row r="26" spans="1:6">
      <c r="A26" s="1008"/>
    </row>
    <row r="27" spans="1:6">
      <c r="A27" s="1008"/>
    </row>
    <row r="28" spans="1:6">
      <c r="A28" s="1008"/>
    </row>
    <row r="29" spans="1:6">
      <c r="A29" s="1008"/>
    </row>
    <row r="30" spans="1:6">
      <c r="A30" s="1008" t="s">
        <v>1281</v>
      </c>
    </row>
    <row r="31" spans="1:6">
      <c r="A31" s="1008"/>
      <c r="F31" s="1009" t="s">
        <v>1282</v>
      </c>
    </row>
    <row r="32" spans="1:6">
      <c r="A32" s="1008"/>
      <c r="F32" s="590" t="s">
        <v>1492</v>
      </c>
    </row>
    <row r="33" spans="1:1">
      <c r="A33" s="1008"/>
    </row>
    <row r="34" spans="1:1">
      <c r="A34" s="1008"/>
    </row>
    <row r="35" spans="1:1">
      <c r="A35" s="1008"/>
    </row>
    <row r="36" spans="1:1">
      <c r="A36" s="1008"/>
    </row>
    <row r="37" spans="1:1">
      <c r="A37" s="1008"/>
    </row>
    <row r="38" spans="1:1">
      <c r="A38" s="1008"/>
    </row>
    <row r="39" spans="1:1">
      <c r="A39" s="1008"/>
    </row>
    <row r="40" spans="1:1">
      <c r="A40" s="1008"/>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sheetPr codeName="Sheet23"/>
  <dimension ref="A1:A195"/>
  <sheetViews>
    <sheetView topLeftCell="A41" zoomScale="110" zoomScaleNormal="110" workbookViewId="0">
      <selection activeCell="E2" sqref="E2:F2"/>
    </sheetView>
  </sheetViews>
  <sheetFormatPr defaultRowHeight="15"/>
  <cols>
    <col min="1" max="1" width="32" customWidth="1"/>
  </cols>
  <sheetData>
    <row r="1" spans="1:1">
      <c r="A1" t="s">
        <v>100</v>
      </c>
    </row>
    <row r="2" spans="1:1">
      <c r="A2" t="s">
        <v>101</v>
      </c>
    </row>
    <row r="3" spans="1:1">
      <c r="A3" t="s">
        <v>102</v>
      </c>
    </row>
    <row r="4" spans="1:1">
      <c r="A4" t="s">
        <v>103</v>
      </c>
    </row>
    <row r="5" spans="1:1">
      <c r="A5" t="s">
        <v>104</v>
      </c>
    </row>
    <row r="6" spans="1:1">
      <c r="A6" t="s">
        <v>105</v>
      </c>
    </row>
    <row r="7" spans="1:1">
      <c r="A7" t="s">
        <v>106</v>
      </c>
    </row>
    <row r="9" spans="1:1">
      <c r="A9" t="s">
        <v>108</v>
      </c>
    </row>
    <row r="10" spans="1:1">
      <c r="A10" s="124" t="str">
        <f>"key_proc_time=" &amp;'Configs &amp; Procedures'!$H$20</f>
        <v>key_proc_time=150</v>
      </c>
    </row>
    <row r="11" spans="1:1">
      <c r="A11" s="1170" t="s">
        <v>109</v>
      </c>
    </row>
    <row r="12" spans="1:1">
      <c r="A12" s="1170" t="s">
        <v>110</v>
      </c>
    </row>
    <row r="13" spans="1:1">
      <c r="A13" s="124" t="str">
        <f>"key_custom_ratio="&amp;'Configs &amp; Procedures'!$H$26</f>
        <v>key_custom_ratio=13</v>
      </c>
    </row>
    <row r="14" spans="1:1">
      <c r="A14" s="124" t="str">
        <f>"key_ac_rate=" &amp;'Configs &amp; Procedures'!$H$25</f>
        <v>key_ac_rate=1</v>
      </c>
    </row>
    <row r="15" spans="1:1">
      <c r="A15" s="124" t="str">
        <f>"key_post_crit=" &amp;'Configs &amp; Procedures'!$H$16</f>
        <v>key_post_crit=32</v>
      </c>
    </row>
    <row r="16" spans="1:1">
      <c r="A16" s="124" t="str">
        <f>"key_tbv_vol_setting="&amp;IF('Configs &amp; Procedures'!$L$11="YES",1)+IF('Configs &amp; Procedures'!$L$13="YES",4)+IF('Configs &amp; Procedures'!$L$15="YES",2)+IF('Configs &amp; Procedures'!$L$32="YES",8)</f>
        <v>key_tbv_vol_setting=1</v>
      </c>
    </row>
    <row r="17" spans="1:1">
      <c r="A17" s="124" t="str">
        <f>"key_tbv_percent="&amp;'Configs &amp; Procedures'!$L$12</f>
        <v>key_tbv_percent=12</v>
      </c>
    </row>
    <row r="18" spans="1:1">
      <c r="A18" s="124" t="str">
        <f>"key_weight_1_setting="&amp;'Configs &amp; Procedures'!$AC$22</f>
        <v>key_weight_1_setting=385.8089585</v>
      </c>
    </row>
    <row r="19" spans="1:1">
      <c r="A19" s="124" t="str">
        <f>"key_weight_2_setting="&amp;'Configs &amp; Procedures'!$AC$22</f>
        <v>key_weight_2_setting=385.8089585</v>
      </c>
    </row>
    <row r="20" spans="1:1">
      <c r="A20" s="124" t="str">
        <f>"key_weight_3_setting="&amp;'Configs &amp; Procedures'!$AC$22</f>
        <v>key_weight_3_setting=385.8089585</v>
      </c>
    </row>
    <row r="21" spans="1:1">
      <c r="A21" s="124" t="str">
        <f>"key_weight_1_less_than_vol="&amp;'Configs &amp; Procedures'!$L$16</f>
        <v>key_weight_1_less_than_vol=500</v>
      </c>
    </row>
    <row r="22" spans="1:1">
      <c r="A22" s="124" t="str">
        <f>"key_weight_2_less_than_vol="&amp;'Configs &amp; Procedures'!$L$16</f>
        <v>key_weight_2_less_than_vol=500</v>
      </c>
    </row>
    <row r="23" spans="1:1">
      <c r="A23" s="124" t="str">
        <f>"key_weight_3_less_than_vol="&amp;'Configs &amp; Procedures'!$L$16</f>
        <v>key_weight_3_less_than_vol=500</v>
      </c>
    </row>
    <row r="24" spans="1:1">
      <c r="A24" s="124" t="str">
        <f>"key_weight_3_greater_than_vol="&amp;'Configs &amp; Procedures'!$L$17</f>
        <v>key_weight_3_greater_than_vol=600</v>
      </c>
    </row>
    <row r="25" spans="1:1">
      <c r="A25" s="124" t="str">
        <f>"key_ml_per_kg="&amp;'Configs &amp; Procedures'!$L$14</f>
        <v>key_ml_per_kg=10.5</v>
      </c>
    </row>
    <row r="26" spans="1:1">
      <c r="A26" s="124" t="str">
        <f>"key_post_plat=" &amp;'Configs &amp; Procedures'!$H$14* 1000</f>
        <v>key_post_plat=100000</v>
      </c>
    </row>
    <row r="27" spans="1:1">
      <c r="A27" s="124" t="str">
        <f>"key_max_draw_flow="&amp;IF('Configs &amp; Procedures'!$H$28="FAST",2,IF('Configs &amp; Procedures'!$H$28="MODERATE",1,IF('Configs &amp; Procedures'!$H$28="SLOW",0)))</f>
        <v>key_max_draw_flow=0</v>
      </c>
    </row>
    <row r="28" spans="1:1">
      <c r="A28" t="s">
        <v>111</v>
      </c>
    </row>
    <row r="29" spans="1:1">
      <c r="A29" t="s">
        <v>165</v>
      </c>
    </row>
    <row r="30" spans="1:1">
      <c r="A30" t="s">
        <v>166</v>
      </c>
    </row>
    <row r="31" spans="1:1">
      <c r="A31" t="s">
        <v>116</v>
      </c>
    </row>
    <row r="33" spans="1:1">
      <c r="A33" t="s">
        <v>122</v>
      </c>
    </row>
    <row r="34" spans="1:1">
      <c r="A34" s="124" t="str">
        <f>"key_rbc_ratio=" &amp;IF('Configs &amp; Procedures'!$H$27=11,1,IF('Configs &amp; Procedures'!$H$27=8.14,0,IF('Configs &amp; Procedures'!$H$27=13.7,2,"")))</f>
        <v>key_rbc_ratio=1</v>
      </c>
    </row>
    <row r="35" spans="1:1">
      <c r="A35" s="124" t="str">
        <f>"key_rbc_replace_fluid="&amp; IF('Configs &amp; Procedures'!$H$17="YES",1,0)</f>
        <v>key_rbc_replace_fluid=0</v>
      </c>
    </row>
    <row r="36" spans="1:1">
      <c r="A36" s="124" t="str">
        <f>"key_rbc_fluid_percent=" &amp;'Configs &amp; Procedures'!$H$18</f>
        <v>key_rbc_fluid_percent=100</v>
      </c>
    </row>
    <row r="37" spans="1:1">
      <c r="A37" s="124" t="str">
        <f>"key_pls_amap_minimum="&amp;'Configs &amp; Procedures'!$L$23</f>
        <v>key_pls_amap_minimum=200</v>
      </c>
    </row>
    <row r="38" spans="1:1">
      <c r="A38" s="124" t="str">
        <f>"key_pls_amap_maximum="&amp; 'Configs &amp; Procedures'!$M$23</f>
        <v>key_pls_amap_maximum=1000</v>
      </c>
    </row>
    <row r="39" spans="1:1">
      <c r="A39" s="124" t="str">
        <f>"key_ysf=" &amp; 'Configs &amp; Procedures'!L24</f>
        <v>key_ysf=1</v>
      </c>
    </row>
    <row r="40" spans="1:1">
      <c r="A40" s="1170" t="s">
        <v>123</v>
      </c>
    </row>
    <row r="41" spans="1:1">
      <c r="A41" s="1170" t="s">
        <v>124</v>
      </c>
    </row>
    <row r="42" spans="1:1">
      <c r="A42" s="1170" t="s">
        <v>125</v>
      </c>
    </row>
    <row r="43" spans="1:1">
      <c r="A43" s="124" t="str">
        <f>"key_inlet_flow_ramp="&amp;IF('Configs &amp; Procedures'!$H$31="YES",1,0)</f>
        <v>key_inlet_flow_ramp=1</v>
      </c>
    </row>
    <row r="44" spans="1:1">
      <c r="A44" s="124" t="str">
        <f>"key_inlet_management="&amp;'Configs &amp; Procedures'!$H$29</f>
        <v>key_inlet_management=1</v>
      </c>
    </row>
    <row r="45" spans="1:1">
      <c r="A45" s="124" t="str">
        <f>"key_return_management="&amp;'Configs &amp; Procedures'!$H$30</f>
        <v>key_return_management=1</v>
      </c>
    </row>
    <row r="46" spans="1:1">
      <c r="A46" s="124" t="str">
        <f>"key_rsf="&amp;'Configs &amp; Procedures'!$L$26</f>
        <v>key_rsf=1</v>
      </c>
    </row>
    <row r="47" spans="1:1">
      <c r="A47" s="1170" t="s">
        <v>1560</v>
      </c>
    </row>
    <row r="48" spans="1:1">
      <c r="A48" s="1170" t="s">
        <v>1561</v>
      </c>
    </row>
    <row r="50" spans="1:1">
      <c r="A50" t="s">
        <v>126</v>
      </c>
    </row>
    <row r="51" spans="1:1">
      <c r="A51" s="124" t="str">
        <f>"key_rbc_crit_1="&amp;'Configs &amp; Procedures'!$L$22</f>
        <v>key_rbc_crit_1=80</v>
      </c>
    </row>
    <row r="52" spans="1:1">
      <c r="A52" s="124" t="str">
        <f>"key_rbc_dose_1="&amp;'DS Analysis'!$AX$44</f>
        <v>key_rbc_dose_1=180</v>
      </c>
    </row>
    <row r="53" spans="1:1">
      <c r="A53" s="124" t="str">
        <f>"key_rbc_crit_2="&amp;'Configs &amp; Procedures'!$L$22</f>
        <v>key_rbc_crit_2=80</v>
      </c>
    </row>
    <row r="54" spans="1:1">
      <c r="A54" s="124" t="str">
        <f>"key_rbc_dose_2="&amp;'DS Analysis'!$AX$45</f>
        <v>key_rbc_dose_2=360</v>
      </c>
    </row>
    <row r="55" spans="1:1">
      <c r="A55" s="124" t="str">
        <f>"key_rbc_crit_3="&amp;'Configs &amp; Procedures'!$L$22</f>
        <v>key_rbc_crit_3=80</v>
      </c>
    </row>
    <row r="56" spans="1:1">
      <c r="A56" s="124" t="str">
        <f>"key_rbc_dose_3="&amp;'DS Analysis'!$AX$46</f>
        <v>key_rbc_dose_3=0</v>
      </c>
    </row>
    <row r="58" spans="1:1">
      <c r="A58" s="124" t="str">
        <f>"key_plt_yield_1="&amp;'DS Analysis'!$AU$44</f>
        <v>key_plt_yield_1=2.5</v>
      </c>
    </row>
    <row r="59" spans="1:1">
      <c r="A59" s="124" t="str">
        <f>"key_plt_volume_1="&amp;'DS Analysis'!$AV$44</f>
        <v>key_plt_volume_1=161</v>
      </c>
    </row>
    <row r="60" spans="1:1">
      <c r="A60" s="1170" t="s">
        <v>1562</v>
      </c>
    </row>
    <row r="62" spans="1:1">
      <c r="A62" s="124" t="str">
        <f>"key_plt_yield_2="&amp;'DS Analysis'!$AU$45</f>
        <v>key_plt_yield_2=3.2</v>
      </c>
    </row>
    <row r="63" spans="1:1">
      <c r="A63" s="124" t="str">
        <f>"key_plt_volume_2="&amp;'DS Analysis'!$AV$45</f>
        <v>key_plt_volume_2=206</v>
      </c>
    </row>
    <row r="64" spans="1:1">
      <c r="A64" t="s">
        <v>1555</v>
      </c>
    </row>
    <row r="66" spans="1:1">
      <c r="A66" s="124" t="str">
        <f>"key_plt_yield_3="&amp;'DS Analysis'!$AU$46</f>
        <v>key_plt_yield_3=4</v>
      </c>
    </row>
    <row r="67" spans="1:1">
      <c r="A67" s="124" t="str">
        <f>"key_plt_volume_3="&amp;'DS Analysis'!$AV$46</f>
        <v>key_plt_volume_3=258</v>
      </c>
    </row>
    <row r="68" spans="1:1">
      <c r="A68" t="s">
        <v>1556</v>
      </c>
    </row>
    <row r="70" spans="1:1">
      <c r="A70" s="124" t="str">
        <f>"key_plt_yield_4="&amp;'DS Analysis'!$AU$47</f>
        <v>key_plt_yield_4=5.5</v>
      </c>
    </row>
    <row r="71" spans="1:1">
      <c r="A71" s="124" t="str">
        <f>"key_plt_volume_4="&amp;'DS Analysis'!$AV$47</f>
        <v>key_plt_volume_4=355</v>
      </c>
    </row>
    <row r="72" spans="1:1">
      <c r="A72" t="s">
        <v>1557</v>
      </c>
    </row>
    <row r="74" spans="1:1">
      <c r="A74" s="124" t="str">
        <f>"key_plt_yield_5="&amp;'DS Analysis'!$AU$48</f>
        <v>key_plt_yield_5=9.6</v>
      </c>
    </row>
    <row r="75" spans="1:1">
      <c r="A75" s="124" t="str">
        <f>"key_plt_volume_5="&amp;'DS Analysis'!$AV$48</f>
        <v>key_plt_volume_5=619</v>
      </c>
    </row>
    <row r="76" spans="1:1">
      <c r="A76" t="s">
        <v>1558</v>
      </c>
    </row>
    <row r="78" spans="1:1">
      <c r="A78" s="124" t="str">
        <f>"key_plt_yield_6="&amp;'DS Analysis'!$AU$49</f>
        <v>key_plt_yield_6=11</v>
      </c>
    </row>
    <row r="79" spans="1:1">
      <c r="A79" s="124" t="str">
        <f>"key_plt_volume_6="&amp;'DS Analysis'!$AV$49</f>
        <v>key_plt_volume_6=710</v>
      </c>
    </row>
    <row r="80" spans="1:1">
      <c r="A80" s="1170" t="s">
        <v>1559</v>
      </c>
    </row>
    <row r="82" spans="1:1">
      <c r="A82" s="124" t="str">
        <f>"key_pls_volume_1="&amp;'DS Analysis'!$AW$44</f>
        <v>key_pls_volume_1=250</v>
      </c>
    </row>
    <row r="83" spans="1:1">
      <c r="A83" s="124" t="str">
        <f>"key_pls_volume_2="&amp;'DS Analysis'!$AW$45</f>
        <v>key_pls_volume_2=300</v>
      </c>
    </row>
    <row r="84" spans="1:1">
      <c r="A84" s="124" t="str">
        <f>"key_pls_volume_3="&amp;'DS Analysis'!$AW$46</f>
        <v>key_pls_volume_3=350</v>
      </c>
    </row>
    <row r="85" spans="1:1">
      <c r="A85" s="124" t="str">
        <f>"key_pls_volume_4="&amp;'DS Analysis'!$AW$47</f>
        <v>key_pls_volume_4=400</v>
      </c>
    </row>
    <row r="86" spans="1:1">
      <c r="A86" s="124" t="str">
        <f>"key_pls_volume_5="&amp;'DS Analysis'!$AW$48</f>
        <v>key_pls_volume_5=450</v>
      </c>
    </row>
    <row r="87" spans="1:1">
      <c r="A87" s="124" t="str">
        <f>"key_pls_volume_6="&amp;'DS Analysis'!$AW$49</f>
        <v>key_pls_volume_6=500</v>
      </c>
    </row>
    <row r="89" spans="1:1">
      <c r="A89" t="s">
        <v>150</v>
      </c>
    </row>
    <row r="90" spans="1:1">
      <c r="A90" t="s">
        <v>150</v>
      </c>
    </row>
    <row r="91" spans="1:1">
      <c r="A91" t="s">
        <v>151</v>
      </c>
    </row>
    <row r="92" spans="1:1">
      <c r="A92" t="s">
        <v>152</v>
      </c>
    </row>
    <row r="93" spans="1:1">
      <c r="A93" t="s">
        <v>153</v>
      </c>
    </row>
    <row r="94" spans="1:1">
      <c r="A94" t="s">
        <v>154</v>
      </c>
    </row>
    <row r="95" spans="1:1">
      <c r="A95" t="s">
        <v>155</v>
      </c>
    </row>
    <row r="96" spans="1:1">
      <c r="A96" t="s">
        <v>156</v>
      </c>
    </row>
    <row r="97" spans="1:1">
      <c r="A97" t="s">
        <v>157</v>
      </c>
    </row>
    <row r="98" spans="1:1">
      <c r="A98" t="s">
        <v>158</v>
      </c>
    </row>
    <row r="99" spans="1:1">
      <c r="A99" t="s">
        <v>150</v>
      </c>
    </row>
    <row r="100" spans="1:1">
      <c r="A100" t="s">
        <v>159</v>
      </c>
    </row>
    <row r="101" spans="1:1">
      <c r="A101" s="124" t="str">
        <f>"key_platelet_a="&amp;'DS Analysis'!$AP$44</f>
        <v>key_platelet_a=0</v>
      </c>
    </row>
    <row r="102" spans="1:1">
      <c r="A102" s="124" t="str">
        <f>"key_plasma_a="&amp;'DS Analysis'!$AQ$44</f>
        <v>key_plasma_a=7</v>
      </c>
    </row>
    <row r="103" spans="1:1">
      <c r="A103" s="124" t="str">
        <f>"key_rbc_a="&amp;'DS Analysis'!$AR$44</f>
        <v>key_rbc_a=0</v>
      </c>
    </row>
    <row r="104" spans="1:1">
      <c r="A104" s="1194" t="str">
        <f>'DS Analysis'!$BI$8</f>
        <v>key_blood_type_a=0</v>
      </c>
    </row>
    <row r="105" spans="1:1">
      <c r="A105" s="124" t="str">
        <f>"key_time_a="&amp;MIN('Configs &amp; Procedures'!$G59,'Configs &amp; Procedures'!$H$20)</f>
        <v>key_time_a=150</v>
      </c>
    </row>
    <row r="106" spans="1:1">
      <c r="A106" s="1170"/>
    </row>
    <row r="107" spans="1:1">
      <c r="A107" s="124" t="str">
        <f>"key_platelet_b="&amp;'DS Analysis'!$AP$45</f>
        <v>key_platelet_b=0</v>
      </c>
    </row>
    <row r="108" spans="1:1">
      <c r="A108" s="124" t="str">
        <f>"key_plasma_b="&amp;'DS Analysis'!$AQ$45</f>
        <v>key_plasma_b=0</v>
      </c>
    </row>
    <row r="109" spans="1:1">
      <c r="A109" s="124" t="str">
        <f>"key_rbc_b="&amp;'DS Analysis'!$AR$45</f>
        <v>key_rbc_b=0</v>
      </c>
    </row>
    <row r="110" spans="1:1">
      <c r="A110" s="1194" t="str">
        <f>'DS Analysis'!$BI$9</f>
        <v>key_blood_type_b=0</v>
      </c>
    </row>
    <row r="111" spans="1:1">
      <c r="A111" s="124" t="str">
        <f>"key_time_b="&amp;MIN('Configs &amp; Procedures'!$G60,'Configs &amp; Procedures'!$H$20)</f>
        <v>key_time_b=150</v>
      </c>
    </row>
    <row r="112" spans="1:1">
      <c r="A112" s="1170"/>
    </row>
    <row r="113" spans="1:1">
      <c r="A113" s="124" t="str">
        <f>"key_platelet_c="&amp;'DS Analysis'!$AP$46</f>
        <v>key_platelet_c=0</v>
      </c>
    </row>
    <row r="114" spans="1:1">
      <c r="A114" s="124" t="str">
        <f>"key_plasma_c="&amp;'DS Analysis'!$AQ$46</f>
        <v>key_plasma_c=0</v>
      </c>
    </row>
    <row r="115" spans="1:1">
      <c r="A115" s="124" t="str">
        <f>"key_rbc_c="&amp;'DS Analysis'!$AR$46</f>
        <v>key_rbc_c=0</v>
      </c>
    </row>
    <row r="116" spans="1:1">
      <c r="A116" s="1194" t="str">
        <f>'DS Analysis'!$BI$10</f>
        <v>key_blood_type_c=0</v>
      </c>
    </row>
    <row r="117" spans="1:1">
      <c r="A117" s="124" t="str">
        <f>"key_time_c="&amp;MIN('Configs &amp; Procedures'!$G61,'Configs &amp; Procedures'!$H$20)</f>
        <v>key_time_c=150</v>
      </c>
    </row>
    <row r="118" spans="1:1">
      <c r="A118" s="1170"/>
    </row>
    <row r="119" spans="1:1">
      <c r="A119" s="124" t="str">
        <f>"key_platelet_d="&amp;'DS Analysis'!$AP$47</f>
        <v>key_platelet_d=0</v>
      </c>
    </row>
    <row r="120" spans="1:1">
      <c r="A120" s="124" t="str">
        <f>"key_plasma_d="&amp;'DS Analysis'!$AQ$47</f>
        <v>key_plasma_d=0</v>
      </c>
    </row>
    <row r="121" spans="1:1">
      <c r="A121" s="124" t="str">
        <f>"key_rbc_d="&amp;'DS Analysis'!$AR$47</f>
        <v>key_rbc_d=0</v>
      </c>
    </row>
    <row r="122" spans="1:1">
      <c r="A122" s="1194" t="str">
        <f>'DS Analysis'!$BI$11</f>
        <v>key_blood_type_d=0</v>
      </c>
    </row>
    <row r="123" spans="1:1">
      <c r="A123" s="124" t="str">
        <f>"key_time_d="&amp;MIN('Configs &amp; Procedures'!$G62,'Configs &amp; Procedures'!$H$20)</f>
        <v>key_time_d=150</v>
      </c>
    </row>
    <row r="124" spans="1:1">
      <c r="A124" s="1170"/>
    </row>
    <row r="125" spans="1:1">
      <c r="A125" s="124" t="str">
        <f>"key_platelet_e="&amp;'DS Analysis'!$AP$48</f>
        <v>key_platelet_e=0</v>
      </c>
    </row>
    <row r="126" spans="1:1">
      <c r="A126" s="124" t="str">
        <f>"key_plasma_e="&amp;'DS Analysis'!$AQ$48</f>
        <v>key_plasma_e=0</v>
      </c>
    </row>
    <row r="127" spans="1:1">
      <c r="A127" s="124" t="str">
        <f>"key_rbc_e="&amp;'DS Analysis'!$AR$48</f>
        <v>key_rbc_e=0</v>
      </c>
    </row>
    <row r="128" spans="1:1">
      <c r="A128" s="1194" t="str">
        <f>'DS Analysis'!$BI$12</f>
        <v>key_blood_type_e=0</v>
      </c>
    </row>
    <row r="129" spans="1:1">
      <c r="A129" s="124" t="str">
        <f>"key_time_e="&amp;MIN('Configs &amp; Procedures'!$G63,'Configs &amp; Procedures'!$H$20)</f>
        <v>key_time_e=150</v>
      </c>
    </row>
    <row r="130" spans="1:1">
      <c r="A130" s="1170"/>
    </row>
    <row r="131" spans="1:1">
      <c r="A131" s="124" t="str">
        <f>"key_platelet_f="&amp;'DS Analysis'!$AP$49</f>
        <v>key_platelet_f=0</v>
      </c>
    </row>
    <row r="132" spans="1:1">
      <c r="A132" s="124" t="str">
        <f>"key_plasma_f="&amp;'DS Analysis'!$AQ$49</f>
        <v>key_plasma_f=0</v>
      </c>
    </row>
    <row r="133" spans="1:1">
      <c r="A133" s="124" t="str">
        <f>"key_rbc_f="&amp;'DS Analysis'!$AR$49</f>
        <v>key_rbc_f=0</v>
      </c>
    </row>
    <row r="134" spans="1:1">
      <c r="A134" s="1194" t="str">
        <f>'DS Analysis'!$BI$13</f>
        <v>key_blood_type_f=0</v>
      </c>
    </row>
    <row r="135" spans="1:1">
      <c r="A135" s="124" t="str">
        <f>"key_time_f="&amp;MIN('Configs &amp; Procedures'!$G64,'Configs &amp; Procedures'!$H$20)</f>
        <v>key_time_f=150</v>
      </c>
    </row>
    <row r="136" spans="1:1">
      <c r="A136" s="1170"/>
    </row>
    <row r="137" spans="1:1">
      <c r="A137" s="124" t="str">
        <f>"key_platelet_g="&amp;'DS Analysis'!$AP$50</f>
        <v>key_platelet_g=0</v>
      </c>
    </row>
    <row r="138" spans="1:1">
      <c r="A138" s="124" t="str">
        <f>"key_plasma_g="&amp;'DS Analysis'!$AQ$50</f>
        <v>key_plasma_g=0</v>
      </c>
    </row>
    <row r="139" spans="1:1">
      <c r="A139" s="124" t="str">
        <f>"key_rbc_g="&amp;'DS Analysis'!$AR$50</f>
        <v>key_rbc_g=0</v>
      </c>
    </row>
    <row r="140" spans="1:1">
      <c r="A140" s="1194" t="str">
        <f>'DS Analysis'!$BI$14</f>
        <v>key_blood_type_g=0</v>
      </c>
    </row>
    <row r="141" spans="1:1">
      <c r="A141" s="124" t="str">
        <f>"key_time_g="&amp;MIN('Configs &amp; Procedures'!$G65,'Configs &amp; Procedures'!$H$20)</f>
        <v>key_time_g=150</v>
      </c>
    </row>
    <row r="142" spans="1:1">
      <c r="A142" s="1170"/>
    </row>
    <row r="143" spans="1:1">
      <c r="A143" s="124" t="str">
        <f>"key_platelet_h="&amp;'DS Analysis'!$AP$51</f>
        <v>key_platelet_h=0</v>
      </c>
    </row>
    <row r="144" spans="1:1">
      <c r="A144" s="124" t="str">
        <f>"key_plasma_h="&amp;'DS Analysis'!$AQ$51</f>
        <v>key_plasma_h=0</v>
      </c>
    </row>
    <row r="145" spans="1:1">
      <c r="A145" s="124" t="str">
        <f>"key_rbc_h="&amp;'DS Analysis'!$AR$51</f>
        <v>key_rbc_h=0</v>
      </c>
    </row>
    <row r="146" spans="1:1">
      <c r="A146" s="1194" t="str">
        <f>'DS Analysis'!$BI$15</f>
        <v>key_blood_type_h=0</v>
      </c>
    </row>
    <row r="147" spans="1:1">
      <c r="A147" s="124" t="str">
        <f>"key_time_h="&amp;MIN('Configs &amp; Procedures'!$G66,'Configs &amp; Procedures'!$H$20)</f>
        <v>key_time_h=150</v>
      </c>
    </row>
    <row r="148" spans="1:1">
      <c r="A148" s="1170"/>
    </row>
    <row r="149" spans="1:1">
      <c r="A149" s="124" t="str">
        <f>"key_platelet_i="&amp;'DS Analysis'!$AP$52</f>
        <v>key_platelet_i=0</v>
      </c>
    </row>
    <row r="150" spans="1:1">
      <c r="A150" s="124" t="str">
        <f>"key_plasma_i="&amp;'DS Analysis'!$AQ$52</f>
        <v>key_plasma_i=0</v>
      </c>
    </row>
    <row r="151" spans="1:1">
      <c r="A151" s="124" t="str">
        <f>"key_rbc_i="&amp;'DS Analysis'!$AR$52</f>
        <v>key_rbc_i=0</v>
      </c>
    </row>
    <row r="152" spans="1:1">
      <c r="A152" s="1194" t="str">
        <f>'DS Analysis'!$BI$16</f>
        <v>key_blood_type_i=0</v>
      </c>
    </row>
    <row r="153" spans="1:1">
      <c r="A153" s="124" t="str">
        <f>"key_time_i="&amp;MIN('Configs &amp; Procedures'!$G67,'Configs &amp; Procedures'!$H$20)</f>
        <v>key_time_i=150</v>
      </c>
    </row>
    <row r="154" spans="1:1">
      <c r="A154" s="1170"/>
    </row>
    <row r="155" spans="1:1">
      <c r="A155" s="124" t="str">
        <f>"key_platelet_j="&amp;'DS Analysis'!$AP$53</f>
        <v>key_platelet_j=0</v>
      </c>
    </row>
    <row r="156" spans="1:1">
      <c r="A156" s="124" t="str">
        <f>"key_plasma_j="&amp;'DS Analysis'!$AQ$53</f>
        <v>key_plasma_j=0</v>
      </c>
    </row>
    <row r="157" spans="1:1">
      <c r="A157" s="124" t="str">
        <f>"key_rbc_j="&amp;'DS Analysis'!$AR$53</f>
        <v>key_rbc_j=0</v>
      </c>
    </row>
    <row r="158" spans="1:1">
      <c r="A158" s="1194" t="str">
        <f>'DS Analysis'!$BI$17</f>
        <v>key_blood_type_j=0</v>
      </c>
    </row>
    <row r="159" spans="1:1">
      <c r="A159" s="124" t="str">
        <f>"key_time_j="&amp;MIN('Configs &amp; Procedures'!$G68,'Configs &amp; Procedures'!$H$20)</f>
        <v>key_time_j=150</v>
      </c>
    </row>
    <row r="160" spans="1:1">
      <c r="A160" s="1170"/>
    </row>
    <row r="161" spans="1:1">
      <c r="A161" s="124" t="str">
        <f>"key_platelet_k="&amp;'DS Analysis'!$AP$54</f>
        <v>key_platelet_k=0</v>
      </c>
    </row>
    <row r="162" spans="1:1">
      <c r="A162" s="124" t="str">
        <f>"key_plasma_k="&amp;'DS Analysis'!$AQ$54</f>
        <v>key_plasma_k=0</v>
      </c>
    </row>
    <row r="163" spans="1:1">
      <c r="A163" s="124" t="str">
        <f>"key_rbc_k="&amp;'DS Analysis'!$AR$54</f>
        <v>key_rbc_k=0</v>
      </c>
    </row>
    <row r="164" spans="1:1">
      <c r="A164" s="1194" t="str">
        <f>'DS Analysis'!$BI$18</f>
        <v>key_blood_type_k=0</v>
      </c>
    </row>
    <row r="165" spans="1:1">
      <c r="A165" s="124" t="str">
        <f>"key_time_k="&amp;MIN('Configs &amp; Procedures'!$G69,'Configs &amp; Procedures'!$H$20)</f>
        <v>key_time_k=150</v>
      </c>
    </row>
    <row r="166" spans="1:1">
      <c r="A166" s="1170"/>
    </row>
    <row r="167" spans="1:1">
      <c r="A167" s="124" t="str">
        <f>"key_platelet_l="&amp;'DS Analysis'!$AP$55</f>
        <v>key_platelet_l=0</v>
      </c>
    </row>
    <row r="168" spans="1:1">
      <c r="A168" s="124" t="str">
        <f>"key_plasma_l="&amp;'DS Analysis'!$AQ$55</f>
        <v>key_plasma_l=0</v>
      </c>
    </row>
    <row r="169" spans="1:1">
      <c r="A169" s="124" t="str">
        <f>"key_rbc_l="&amp;'DS Analysis'!$AR$55</f>
        <v>key_rbc_l=0</v>
      </c>
    </row>
    <row r="170" spans="1:1">
      <c r="A170" s="1194" t="str">
        <f>'DS Analysis'!$BI$19</f>
        <v>key_blood_type_l=0</v>
      </c>
    </row>
    <row r="171" spans="1:1">
      <c r="A171" s="124" t="str">
        <f>"key_time_l="&amp;MIN('Configs &amp; Procedures'!$G70,'Configs &amp; Procedures'!$H$20)</f>
        <v>key_time_l=150</v>
      </c>
    </row>
    <row r="172" spans="1:1">
      <c r="A172" s="1170"/>
    </row>
    <row r="173" spans="1:1">
      <c r="A173" s="124" t="str">
        <f>"key_platelet_m="&amp;'DS Analysis'!$AP$56</f>
        <v>key_platelet_m=0</v>
      </c>
    </row>
    <row r="174" spans="1:1">
      <c r="A174" s="124" t="str">
        <f>"key_plasma_m="&amp;'DS Analysis'!$AQ$56</f>
        <v>key_plasma_m=0</v>
      </c>
    </row>
    <row r="175" spans="1:1">
      <c r="A175" s="124" t="str">
        <f>"key_rbc_m="&amp;'DS Analysis'!$AR$56</f>
        <v>key_rbc_m=0</v>
      </c>
    </row>
    <row r="176" spans="1:1">
      <c r="A176" s="1194" t="str">
        <f>'DS Analysis'!$BI$20</f>
        <v>key_blood_type_m=0</v>
      </c>
    </row>
    <row r="177" spans="1:1">
      <c r="A177" s="124" t="str">
        <f>"key_time_m="&amp;MIN('Configs &amp; Procedures'!$G71,'Configs &amp; Procedures'!$H$20)</f>
        <v>key_time_m=150</v>
      </c>
    </row>
    <row r="178" spans="1:1">
      <c r="A178" s="1170"/>
    </row>
    <row r="179" spans="1:1">
      <c r="A179" s="124" t="str">
        <f>"key_platelet_n="&amp;'DS Analysis'!$AP$57</f>
        <v>key_platelet_n=0</v>
      </c>
    </row>
    <row r="180" spans="1:1">
      <c r="A180" s="124" t="str">
        <f>"key_plasma_n="&amp;'DS Analysis'!$AQ$57</f>
        <v>key_plasma_n=0</v>
      </c>
    </row>
    <row r="181" spans="1:1">
      <c r="A181" s="124" t="str">
        <f>"key_rbc_n="&amp;'DS Analysis'!$AR$57</f>
        <v>key_rbc_n=0</v>
      </c>
    </row>
    <row r="182" spans="1:1">
      <c r="A182" s="1194" t="str">
        <f>'DS Analysis'!$BI$21</f>
        <v>key_blood_type_n=0</v>
      </c>
    </row>
    <row r="183" spans="1:1">
      <c r="A183" s="124" t="str">
        <f>"key_time_n="&amp;MIN('Configs &amp; Procedures'!$G72,'Configs &amp; Procedures'!$H$20)</f>
        <v>key_time_n=150</v>
      </c>
    </row>
    <row r="184" spans="1:1">
      <c r="A184" s="1170"/>
    </row>
    <row r="185" spans="1:1">
      <c r="A185" s="124" t="str">
        <f>"key_platelet_o="&amp;'DS Analysis'!$AP$58</f>
        <v>key_platelet_o=0</v>
      </c>
    </row>
    <row r="186" spans="1:1">
      <c r="A186" s="124" t="str">
        <f>"key_plasma_o="&amp;'DS Analysis'!$AQ$58</f>
        <v>key_plasma_o=0</v>
      </c>
    </row>
    <row r="187" spans="1:1">
      <c r="A187" s="124" t="str">
        <f>"key_rbc_o="&amp;'DS Analysis'!$AR$58</f>
        <v>key_rbc_o=0</v>
      </c>
    </row>
    <row r="188" spans="1:1">
      <c r="A188" s="1194" t="str">
        <f>'DS Analysis'!$BI$22</f>
        <v>key_blood_type_o=0</v>
      </c>
    </row>
    <row r="189" spans="1:1">
      <c r="A189" s="124" t="str">
        <f>"key_time_o="&amp;MIN('Configs &amp; Procedures'!$G73,'Configs &amp; Procedures'!$H$20)</f>
        <v>key_time_o=150</v>
      </c>
    </row>
    <row r="191" spans="1:1">
      <c r="A191" t="s">
        <v>160</v>
      </c>
    </row>
    <row r="192" spans="1:1">
      <c r="A192" t="s">
        <v>161</v>
      </c>
    </row>
    <row r="193" spans="1:1">
      <c r="A193" t="s">
        <v>162</v>
      </c>
    </row>
    <row r="194" spans="1:1">
      <c r="A194" t="s">
        <v>163</v>
      </c>
    </row>
    <row r="195" spans="1:1">
      <c r="A195" t="s">
        <v>164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sheetPr codeName="Sheet24"/>
  <dimension ref="A1:A186"/>
  <sheetViews>
    <sheetView topLeftCell="A116" workbookViewId="0">
      <selection activeCell="A143" sqref="A143"/>
    </sheetView>
  </sheetViews>
  <sheetFormatPr defaultRowHeight="15"/>
  <cols>
    <col min="1" max="1" width="50.5703125" style="1247" customWidth="1"/>
  </cols>
  <sheetData>
    <row r="1" spans="1:1">
      <c r="A1" s="1247" t="s">
        <v>1582</v>
      </c>
    </row>
    <row r="2" spans="1:1">
      <c r="A2" s="1247" t="s">
        <v>150</v>
      </c>
    </row>
    <row r="3" spans="1:1">
      <c r="A3" s="1247" t="s">
        <v>1583</v>
      </c>
    </row>
    <row r="4" spans="1:1">
      <c r="A4" s="1247" t="s">
        <v>168</v>
      </c>
    </row>
    <row r="5" spans="1:1">
      <c r="A5" s="1247" t="s">
        <v>150</v>
      </c>
    </row>
    <row r="6" spans="1:1">
      <c r="A6" s="1247" t="s">
        <v>1584</v>
      </c>
    </row>
    <row r="7" spans="1:1">
      <c r="A7" s="1247" t="s">
        <v>150</v>
      </c>
    </row>
    <row r="8" spans="1:1">
      <c r="A8" s="1247" t="s">
        <v>1585</v>
      </c>
    </row>
    <row r="9" spans="1:1">
      <c r="A9" s="1247" t="s">
        <v>170</v>
      </c>
    </row>
    <row r="10" spans="1:1">
      <c r="A10" s="1247" t="s">
        <v>150</v>
      </c>
    </row>
    <row r="11" spans="1:1">
      <c r="A11" s="1247" t="s">
        <v>171</v>
      </c>
    </row>
    <row r="12" spans="1:1">
      <c r="A12" s="1247" t="s">
        <v>172</v>
      </c>
    </row>
    <row r="13" spans="1:1">
      <c r="A13" s="1247" t="s">
        <v>173</v>
      </c>
    </row>
    <row r="14" spans="1:1">
      <c r="A14" s="1247" t="s">
        <v>174</v>
      </c>
    </row>
    <row r="15" spans="1:1">
      <c r="A15" s="1247" t="s">
        <v>175</v>
      </c>
    </row>
    <row r="16" spans="1:1">
      <c r="A16" s="1247" t="s">
        <v>176</v>
      </c>
    </row>
    <row r="17" spans="1:1">
      <c r="A17" s="1247" t="s">
        <v>172</v>
      </c>
    </row>
    <row r="18" spans="1:1">
      <c r="A18" s="1247" t="s">
        <v>175</v>
      </c>
    </row>
    <row r="19" spans="1:1">
      <c r="A19" s="1247" t="s">
        <v>1586</v>
      </c>
    </row>
    <row r="21" spans="1:1">
      <c r="A21" s="1247" t="s">
        <v>1587</v>
      </c>
    </row>
    <row r="22" spans="1:1">
      <c r="A22" s="1247" t="s">
        <v>150</v>
      </c>
    </row>
    <row r="23" spans="1:1">
      <c r="A23" s="1247" t="s">
        <v>1588</v>
      </c>
    </row>
    <row r="24" spans="1:1">
      <c r="A24" s="1247" t="s">
        <v>1589</v>
      </c>
    </row>
    <row r="25" spans="1:1">
      <c r="A25" s="1247" t="s">
        <v>1590</v>
      </c>
    </row>
    <row r="26" spans="1:1">
      <c r="A26" s="1247" t="s">
        <v>150</v>
      </c>
    </row>
    <row r="27" spans="1:1">
      <c r="A27" s="1247" t="s">
        <v>1686</v>
      </c>
    </row>
    <row r="30" spans="1:1">
      <c r="A30" s="1247" t="s">
        <v>1591</v>
      </c>
    </row>
    <row r="31" spans="1:1">
      <c r="A31" s="1247" t="s">
        <v>150</v>
      </c>
    </row>
    <row r="32" spans="1:1">
      <c r="A32" s="1247" t="s">
        <v>150</v>
      </c>
    </row>
    <row r="33" spans="1:1">
      <c r="A33" s="1247" t="s">
        <v>1592</v>
      </c>
    </row>
    <row r="34" spans="1:1">
      <c r="A34" s="1247" t="s">
        <v>1593</v>
      </c>
    </row>
    <row r="35" spans="1:1">
      <c r="A35" s="1247" t="s">
        <v>150</v>
      </c>
    </row>
    <row r="36" spans="1:1">
      <c r="A36" s="1247" t="s">
        <v>1594</v>
      </c>
    </row>
    <row r="37" spans="1:1">
      <c r="A37" s="1247" t="s">
        <v>1595</v>
      </c>
    </row>
    <row r="38" spans="1:1">
      <c r="A38" s="1247" t="s">
        <v>1596</v>
      </c>
    </row>
    <row r="39" spans="1:1">
      <c r="A39" s="1247" t="s">
        <v>150</v>
      </c>
    </row>
    <row r="40" spans="1:1">
      <c r="A40" s="1247" t="s">
        <v>1597</v>
      </c>
    </row>
    <row r="41" spans="1:1">
      <c r="A41" s="1247" t="s">
        <v>1598</v>
      </c>
    </row>
    <row r="42" spans="1:1">
      <c r="A42" s="1247" t="s">
        <v>1599</v>
      </c>
    </row>
    <row r="43" spans="1:1">
      <c r="A43" s="1247" t="s">
        <v>1600</v>
      </c>
    </row>
    <row r="44" spans="1:1">
      <c r="A44" s="1247" t="s">
        <v>1601</v>
      </c>
    </row>
    <row r="45" spans="1:1">
      <c r="A45" s="1247" t="s">
        <v>1602</v>
      </c>
    </row>
    <row r="46" spans="1:1">
      <c r="A46" s="1247" t="s">
        <v>1603</v>
      </c>
    </row>
    <row r="47" spans="1:1">
      <c r="A47" s="1247" t="s">
        <v>1604</v>
      </c>
    </row>
    <row r="48" spans="1:1">
      <c r="A48" s="1247" t="s">
        <v>1605</v>
      </c>
    </row>
    <row r="49" spans="1:1">
      <c r="A49" s="1247" t="s">
        <v>1606</v>
      </c>
    </row>
    <row r="50" spans="1:1">
      <c r="A50" s="1247" t="s">
        <v>1607</v>
      </c>
    </row>
    <row r="51" spans="1:1">
      <c r="A51" s="1247" t="s">
        <v>1608</v>
      </c>
    </row>
    <row r="52" spans="1:1">
      <c r="A52" s="1247" t="s">
        <v>1609</v>
      </c>
    </row>
    <row r="53" spans="1:1">
      <c r="A53" s="1247" t="s">
        <v>1687</v>
      </c>
    </row>
    <row r="54" spans="1:1">
      <c r="A54" s="1247" t="s">
        <v>1688</v>
      </c>
    </row>
    <row r="55" spans="1:1">
      <c r="A55" s="1247" t="s">
        <v>1610</v>
      </c>
    </row>
    <row r="56" spans="1:1">
      <c r="A56" s="1247" t="s">
        <v>1611</v>
      </c>
    </row>
    <row r="57" spans="1:1">
      <c r="A57" s="1247" t="s">
        <v>150</v>
      </c>
    </row>
    <row r="58" spans="1:1">
      <c r="A58" s="1247" t="s">
        <v>1612</v>
      </c>
    </row>
    <row r="59" spans="1:1">
      <c r="A59" s="1247" t="s">
        <v>1613</v>
      </c>
    </row>
    <row r="60" spans="1:1">
      <c r="A60" s="1247" t="s">
        <v>1614</v>
      </c>
    </row>
    <row r="61" spans="1:1">
      <c r="A61" s="1247" t="s">
        <v>1615</v>
      </c>
    </row>
    <row r="62" spans="1:1">
      <c r="A62" s="1247" t="s">
        <v>1616</v>
      </c>
    </row>
    <row r="63" spans="1:1">
      <c r="A63" s="1247" t="s">
        <v>1617</v>
      </c>
    </row>
    <row r="64" spans="1:1">
      <c r="A64" s="1247" t="s">
        <v>1618</v>
      </c>
    </row>
    <row r="65" spans="1:1">
      <c r="A65" s="1247" t="s">
        <v>150</v>
      </c>
    </row>
    <row r="66" spans="1:1">
      <c r="A66" s="1247" t="s">
        <v>1619</v>
      </c>
    </row>
    <row r="67" spans="1:1">
      <c r="A67" s="1247" t="s">
        <v>1620</v>
      </c>
    </row>
    <row r="68" spans="1:1">
      <c r="A68" s="1247" t="s">
        <v>150</v>
      </c>
    </row>
    <row r="70" spans="1:1">
      <c r="A70" s="1247" t="s">
        <v>150</v>
      </c>
    </row>
    <row r="71" spans="1:1">
      <c r="A71" s="1247" t="s">
        <v>1621</v>
      </c>
    </row>
    <row r="72" spans="1:1">
      <c r="A72" s="1247" t="s">
        <v>150</v>
      </c>
    </row>
    <row r="73" spans="1:1">
      <c r="A73" s="1247" t="s">
        <v>1622</v>
      </c>
    </row>
    <row r="75" spans="1:1">
      <c r="A75" s="1247" t="s">
        <v>150</v>
      </c>
    </row>
    <row r="76" spans="1:1">
      <c r="A76" s="1247" t="s">
        <v>1623</v>
      </c>
    </row>
    <row r="77" spans="1:1">
      <c r="A77" s="1247" t="s">
        <v>1624</v>
      </c>
    </row>
    <row r="78" spans="1:1">
      <c r="A78" s="1247" t="s">
        <v>1625</v>
      </c>
    </row>
    <row r="79" spans="1:1">
      <c r="A79" s="1247" t="s">
        <v>150</v>
      </c>
    </row>
    <row r="80" spans="1:1">
      <c r="A80" s="1247" t="s">
        <v>1626</v>
      </c>
    </row>
    <row r="82" spans="1:1">
      <c r="A82" s="1247" t="s">
        <v>150</v>
      </c>
    </row>
    <row r="83" spans="1:1">
      <c r="A83" s="1247" t="s">
        <v>1627</v>
      </c>
    </row>
    <row r="84" spans="1:1">
      <c r="A84" s="1247" t="s">
        <v>150</v>
      </c>
    </row>
    <row r="85" spans="1:1">
      <c r="A85" s="124" t="str">
        <f>"four_way_volume_cutoff=" &amp; IF('Configs &amp; Procedures'!$L$15="YES-JAPAN","1,7029bf96","0,072e8f00")</f>
        <v>four_way_volume_cutoff=0,072e8f00</v>
      </c>
    </row>
    <row r="86" spans="1:1">
      <c r="A86" s="1247" t="s">
        <v>1629</v>
      </c>
    </row>
    <row r="88" spans="1:1">
      <c r="A88" s="1247" t="s">
        <v>150</v>
      </c>
    </row>
    <row r="89" spans="1:1">
      <c r="A89" s="1247" t="s">
        <v>1630</v>
      </c>
    </row>
    <row r="90" spans="1:1">
      <c r="A90" s="1247" t="s">
        <v>150</v>
      </c>
    </row>
    <row r="91" spans="1:1">
      <c r="A91" s="1247" t="s">
        <v>1631</v>
      </c>
    </row>
    <row r="93" spans="1:1">
      <c r="A93" s="1247" t="s">
        <v>150</v>
      </c>
    </row>
    <row r="94" spans="1:1">
      <c r="A94" s="1247" t="s">
        <v>1632</v>
      </c>
    </row>
    <row r="95" spans="1:1">
      <c r="A95" s="1247" t="s">
        <v>150</v>
      </c>
    </row>
    <row r="96" spans="1:1">
      <c r="A96" s="1247" t="s">
        <v>1689</v>
      </c>
    </row>
    <row r="98" spans="1:1">
      <c r="A98" s="1247" t="s">
        <v>150</v>
      </c>
    </row>
    <row r="99" spans="1:1">
      <c r="A99" s="1247" t="s">
        <v>1633</v>
      </c>
    </row>
    <row r="100" spans="1:1">
      <c r="A100" s="1247" t="s">
        <v>150</v>
      </c>
    </row>
    <row r="101" spans="1:1">
      <c r="A101" s="1247" t="s">
        <v>1634</v>
      </c>
    </row>
    <row r="102" spans="1:1">
      <c r="A102" s="1247" t="s">
        <v>1635</v>
      </c>
    </row>
    <row r="104" spans="1:1">
      <c r="A104" s="1247" t="s">
        <v>150</v>
      </c>
    </row>
    <row r="105" spans="1:1">
      <c r="A105" s="1247" t="s">
        <v>1636</v>
      </c>
    </row>
    <row r="106" spans="1:1">
      <c r="A106" s="1247" t="s">
        <v>150</v>
      </c>
    </row>
    <row r="107" spans="1:1">
      <c r="A107" s="1247" t="s">
        <v>1637</v>
      </c>
    </row>
    <row r="109" spans="1:1">
      <c r="A109" s="1247" t="s">
        <v>150</v>
      </c>
    </row>
    <row r="110" spans="1:1">
      <c r="A110" s="1247" t="s">
        <v>1638</v>
      </c>
    </row>
    <row r="111" spans="1:1">
      <c r="A111" s="1247" t="s">
        <v>150</v>
      </c>
    </row>
    <row r="112" spans="1:1">
      <c r="A112" s="1247" t="s">
        <v>1639</v>
      </c>
    </row>
    <row r="114" spans="1:1">
      <c r="A114" s="1247" t="s">
        <v>150</v>
      </c>
    </row>
    <row r="115" spans="1:1">
      <c r="A115" s="1247" t="s">
        <v>1640</v>
      </c>
    </row>
    <row r="116" spans="1:1">
      <c r="A116" s="1247" t="s">
        <v>150</v>
      </c>
    </row>
    <row r="117" spans="1:1">
      <c r="A117" s="1247" t="s">
        <v>1641</v>
      </c>
    </row>
    <row r="118" spans="1:1">
      <c r="A118" s="1247" t="s">
        <v>1642</v>
      </c>
    </row>
    <row r="119" spans="1:1">
      <c r="A119" s="1247" t="s">
        <v>1643</v>
      </c>
    </row>
    <row r="121" spans="1:1">
      <c r="A121" s="1247" t="s">
        <v>150</v>
      </c>
    </row>
    <row r="122" spans="1:1">
      <c r="A122" s="1247" t="s">
        <v>1644</v>
      </c>
    </row>
    <row r="123" spans="1:1">
      <c r="A123" s="1247" t="s">
        <v>150</v>
      </c>
    </row>
    <row r="124" spans="1:1">
      <c r="A124" s="1247" t="s">
        <v>1645</v>
      </c>
    </row>
    <row r="126" spans="1:1">
      <c r="A126" s="1247" t="s">
        <v>150</v>
      </c>
    </row>
    <row r="127" spans="1:1">
      <c r="A127" s="1247" t="s">
        <v>1646</v>
      </c>
    </row>
    <row r="128" spans="1:1">
      <c r="A128" s="1247" t="s">
        <v>1647</v>
      </c>
    </row>
    <row r="129" spans="1:1">
      <c r="A129" s="1247" t="s">
        <v>150</v>
      </c>
    </row>
    <row r="130" spans="1:1">
      <c r="A130" s="1247" t="s">
        <v>1648</v>
      </c>
    </row>
    <row r="131" spans="1:1">
      <c r="A131" s="1247" t="s">
        <v>1649</v>
      </c>
    </row>
    <row r="133" spans="1:1">
      <c r="A133" s="1247" t="s">
        <v>150</v>
      </c>
    </row>
    <row r="134" spans="1:1">
      <c r="A134" s="1247" t="s">
        <v>1650</v>
      </c>
    </row>
    <row r="135" spans="1:1">
      <c r="A135" s="1247" t="s">
        <v>1651</v>
      </c>
    </row>
    <row r="136" spans="1:1">
      <c r="A136" s="1247" t="s">
        <v>1652</v>
      </c>
    </row>
    <row r="137" spans="1:1">
      <c r="A137" s="1247" t="s">
        <v>150</v>
      </c>
    </row>
    <row r="138" spans="1:1">
      <c r="A138" s="1247" t="s">
        <v>1653</v>
      </c>
    </row>
    <row r="140" spans="1:1">
      <c r="A140" s="1247" t="s">
        <v>150</v>
      </c>
    </row>
    <row r="141" spans="1:1">
      <c r="A141" s="1247" t="s">
        <v>1654</v>
      </c>
    </row>
    <row r="142" spans="1:1">
      <c r="A142" s="1247" t="s">
        <v>150</v>
      </c>
    </row>
    <row r="143" spans="1:1">
      <c r="A143" s="1299" t="str">
        <f>"postcount_platelet_mobilization_algorithm="&amp;IF('Configs &amp; Procedures'!$H$15="no","0,c88b7f11","1,bf8c4f87")</f>
        <v>postcount_platelet_mobilization_algorithm=0,c88b7f11</v>
      </c>
    </row>
    <row r="145" spans="1:1">
      <c r="A145" s="1247" t="s">
        <v>150</v>
      </c>
    </row>
    <row r="146" spans="1:1">
      <c r="A146" s="1247" t="s">
        <v>1690</v>
      </c>
    </row>
    <row r="147" spans="1:1">
      <c r="A147" s="1247" t="s">
        <v>150</v>
      </c>
    </row>
    <row r="148" spans="1:1">
      <c r="A148" s="1247" t="s">
        <v>1691</v>
      </c>
    </row>
    <row r="149" spans="1:1">
      <c r="A149" s="1247" t="s">
        <v>1692</v>
      </c>
    </row>
    <row r="151" spans="1:1">
      <c r="A151" s="1247" t="s">
        <v>1655</v>
      </c>
    </row>
    <row r="152" spans="1:1">
      <c r="A152" s="1247" t="s">
        <v>150</v>
      </c>
    </row>
    <row r="153" spans="1:1">
      <c r="A153" s="1247" t="s">
        <v>1656</v>
      </c>
    </row>
    <row r="154" spans="1:1">
      <c r="A154" s="1247" t="s">
        <v>150</v>
      </c>
    </row>
    <row r="155" spans="1:1">
      <c r="A155" s="1247" t="s">
        <v>1657</v>
      </c>
    </row>
    <row r="157" spans="1:1">
      <c r="A157" s="1247" t="s">
        <v>150</v>
      </c>
    </row>
    <row r="158" spans="1:1">
      <c r="A158" s="1247" t="s">
        <v>1658</v>
      </c>
    </row>
    <row r="159" spans="1:1">
      <c r="A159" s="1247" t="s">
        <v>1659</v>
      </c>
    </row>
    <row r="160" spans="1:1">
      <c r="A160" s="1247" t="s">
        <v>1660</v>
      </c>
    </row>
    <row r="161" spans="1:1">
      <c r="A161" s="1247" t="s">
        <v>150</v>
      </c>
    </row>
    <row r="162" spans="1:1">
      <c r="A162" s="1247" t="s">
        <v>1661</v>
      </c>
    </row>
    <row r="163" spans="1:1">
      <c r="A163" s="1247" t="s">
        <v>1662</v>
      </c>
    </row>
    <row r="164" spans="1:1">
      <c r="A164" s="1247" t="s">
        <v>1663</v>
      </c>
    </row>
    <row r="165" spans="1:1">
      <c r="A165" s="1247" t="s">
        <v>150</v>
      </c>
    </row>
    <row r="167" spans="1:1">
      <c r="A167" s="1247" t="s">
        <v>150</v>
      </c>
    </row>
    <row r="168" spans="1:1">
      <c r="A168" s="1247" t="s">
        <v>1664</v>
      </c>
    </row>
    <row r="169" spans="1:1">
      <c r="A169" s="1247" t="s">
        <v>150</v>
      </c>
    </row>
    <row r="170" spans="1:1">
      <c r="A170" s="1247" t="s">
        <v>1665</v>
      </c>
    </row>
    <row r="171" spans="1:1">
      <c r="A171" s="1247" t="s">
        <v>1666</v>
      </c>
    </row>
    <row r="174" spans="1:1">
      <c r="A174" s="1247" t="s">
        <v>150</v>
      </c>
    </row>
    <row r="175" spans="1:1">
      <c r="A175" s="1247" t="s">
        <v>1667</v>
      </c>
    </row>
    <row r="176" spans="1:1">
      <c r="A176" s="1247" t="s">
        <v>1668</v>
      </c>
    </row>
    <row r="177" spans="1:1">
      <c r="A177" s="1247" t="s">
        <v>1669</v>
      </c>
    </row>
    <row r="178" spans="1:1">
      <c r="A178" s="1247" t="s">
        <v>150</v>
      </c>
    </row>
    <row r="179" spans="1:1">
      <c r="A179" s="1247" t="s">
        <v>1670</v>
      </c>
    </row>
    <row r="182" spans="1:1">
      <c r="A182" s="1247" t="s">
        <v>150</v>
      </c>
    </row>
    <row r="183" spans="1:1">
      <c r="A183" s="1247" t="s">
        <v>1671</v>
      </c>
    </row>
    <row r="184" spans="1:1">
      <c r="A184" s="1247" t="s">
        <v>1672</v>
      </c>
    </row>
    <row r="185" spans="1:1">
      <c r="A185" s="1247" t="s">
        <v>150</v>
      </c>
    </row>
    <row r="186" spans="1:1">
      <c r="A186" s="1247" t="s">
        <v>1673</v>
      </c>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sheetPr codeName="Sheet30"/>
  <dimension ref="A1:A161"/>
  <sheetViews>
    <sheetView topLeftCell="A107" workbookViewId="0">
      <selection activeCell="A126" sqref="A126"/>
    </sheetView>
  </sheetViews>
  <sheetFormatPr defaultRowHeight="15"/>
  <cols>
    <col min="1" max="1" width="81.140625" style="1170" bestFit="1" customWidth="1"/>
    <col min="2" max="16384" width="9.140625" style="1170"/>
  </cols>
  <sheetData>
    <row r="1" spans="1:1">
      <c r="A1" s="1170" t="s">
        <v>1582</v>
      </c>
    </row>
    <row r="2" spans="1:1">
      <c r="A2" s="1170" t="s">
        <v>150</v>
      </c>
    </row>
    <row r="3" spans="1:1">
      <c r="A3" s="1170" t="s">
        <v>1583</v>
      </c>
    </row>
    <row r="4" spans="1:1">
      <c r="A4" s="1170" t="s">
        <v>168</v>
      </c>
    </row>
    <row r="5" spans="1:1">
      <c r="A5" s="1170" t="s">
        <v>150</v>
      </c>
    </row>
    <row r="6" spans="1:1">
      <c r="A6" s="1170" t="s">
        <v>1584</v>
      </c>
    </row>
    <row r="7" spans="1:1">
      <c r="A7" s="1170" t="s">
        <v>150</v>
      </c>
    </row>
    <row r="8" spans="1:1">
      <c r="A8" s="1170" t="s">
        <v>1585</v>
      </c>
    </row>
    <row r="9" spans="1:1">
      <c r="A9" s="1170" t="s">
        <v>170</v>
      </c>
    </row>
    <row r="10" spans="1:1">
      <c r="A10" s="1170" t="s">
        <v>150</v>
      </c>
    </row>
    <row r="11" spans="1:1">
      <c r="A11" s="1170" t="s">
        <v>171</v>
      </c>
    </row>
    <row r="12" spans="1:1">
      <c r="A12" s="1170" t="s">
        <v>172</v>
      </c>
    </row>
    <row r="13" spans="1:1">
      <c r="A13" s="1170" t="s">
        <v>173</v>
      </c>
    </row>
    <row r="14" spans="1:1">
      <c r="A14" s="1170" t="s">
        <v>174</v>
      </c>
    </row>
    <row r="15" spans="1:1">
      <c r="A15" s="1170" t="s">
        <v>175</v>
      </c>
    </row>
    <row r="16" spans="1:1">
      <c r="A16" s="1170" t="s">
        <v>176</v>
      </c>
    </row>
    <row r="17" spans="1:1">
      <c r="A17" s="1170" t="s">
        <v>172</v>
      </c>
    </row>
    <row r="18" spans="1:1">
      <c r="A18" s="1170" t="s">
        <v>175</v>
      </c>
    </row>
    <row r="19" spans="1:1">
      <c r="A19" s="1170" t="s">
        <v>1586</v>
      </c>
    </row>
    <row r="21" spans="1:1">
      <c r="A21" s="1170" t="s">
        <v>1587</v>
      </c>
    </row>
    <row r="22" spans="1:1">
      <c r="A22" s="1170" t="s">
        <v>150</v>
      </c>
    </row>
    <row r="23" spans="1:1">
      <c r="A23" s="1170" t="s">
        <v>1588</v>
      </c>
    </row>
    <row r="24" spans="1:1">
      <c r="A24" s="1170" t="s">
        <v>1589</v>
      </c>
    </row>
    <row r="25" spans="1:1">
      <c r="A25" s="1170" t="s">
        <v>1590</v>
      </c>
    </row>
    <row r="26" spans="1:1">
      <c r="A26" s="1170" t="s">
        <v>150</v>
      </c>
    </row>
    <row r="27" spans="1:1">
      <c r="A27" s="1170" t="s">
        <v>1791</v>
      </c>
    </row>
    <row r="30" spans="1:1">
      <c r="A30" s="1170" t="s">
        <v>1591</v>
      </c>
    </row>
    <row r="31" spans="1:1">
      <c r="A31" s="1170" t="s">
        <v>150</v>
      </c>
    </row>
    <row r="32" spans="1:1">
      <c r="A32" s="1170" t="s">
        <v>150</v>
      </c>
    </row>
    <row r="33" spans="1:1">
      <c r="A33" s="1170" t="s">
        <v>1592</v>
      </c>
    </row>
    <row r="34" spans="1:1">
      <c r="A34" s="1170" t="s">
        <v>1593</v>
      </c>
    </row>
    <row r="35" spans="1:1">
      <c r="A35" s="1170" t="s">
        <v>150</v>
      </c>
    </row>
    <row r="36" spans="1:1">
      <c r="A36" s="1170" t="s">
        <v>1594</v>
      </c>
    </row>
    <row r="37" spans="1:1">
      <c r="A37" s="1170" t="s">
        <v>1595</v>
      </c>
    </row>
    <row r="38" spans="1:1">
      <c r="A38" s="1170" t="s">
        <v>1596</v>
      </c>
    </row>
    <row r="39" spans="1:1">
      <c r="A39" s="1170" t="s">
        <v>150</v>
      </c>
    </row>
    <row r="40" spans="1:1">
      <c r="A40" s="1170" t="s">
        <v>1597</v>
      </c>
    </row>
    <row r="41" spans="1:1">
      <c r="A41" s="1170" t="s">
        <v>1598</v>
      </c>
    </row>
    <row r="42" spans="1:1">
      <c r="A42" s="1170" t="s">
        <v>1599</v>
      </c>
    </row>
    <row r="43" spans="1:1">
      <c r="A43" s="1170" t="s">
        <v>1600</v>
      </c>
    </row>
    <row r="44" spans="1:1">
      <c r="A44" s="1170" t="s">
        <v>1601</v>
      </c>
    </row>
    <row r="45" spans="1:1">
      <c r="A45" s="1170" t="s">
        <v>1602</v>
      </c>
    </row>
    <row r="46" spans="1:1">
      <c r="A46" s="1170" t="s">
        <v>1603</v>
      </c>
    </row>
    <row r="47" spans="1:1">
      <c r="A47" s="1170" t="s">
        <v>1604</v>
      </c>
    </row>
    <row r="48" spans="1:1">
      <c r="A48" s="1170" t="s">
        <v>1605</v>
      </c>
    </row>
    <row r="49" spans="1:1">
      <c r="A49" s="1170" t="s">
        <v>1606</v>
      </c>
    </row>
    <row r="50" spans="1:1">
      <c r="A50" s="1170" t="s">
        <v>1607</v>
      </c>
    </row>
    <row r="51" spans="1:1">
      <c r="A51" s="1170" t="s">
        <v>1608</v>
      </c>
    </row>
    <row r="52" spans="1:1">
      <c r="A52" s="1170" t="s">
        <v>1609</v>
      </c>
    </row>
    <row r="53" spans="1:1">
      <c r="A53" s="1170" t="s">
        <v>1792</v>
      </c>
    </row>
    <row r="54" spans="1:1">
      <c r="A54" s="1170" t="s">
        <v>1793</v>
      </c>
    </row>
    <row r="55" spans="1:1">
      <c r="A55" s="1170" t="s">
        <v>1610</v>
      </c>
    </row>
    <row r="56" spans="1:1">
      <c r="A56" s="1170" t="s">
        <v>1611</v>
      </c>
    </row>
    <row r="57" spans="1:1">
      <c r="A57" s="1170" t="s">
        <v>150</v>
      </c>
    </row>
    <row r="58" spans="1:1">
      <c r="A58" s="1170" t="s">
        <v>1612</v>
      </c>
    </row>
    <row r="59" spans="1:1">
      <c r="A59" s="1170" t="s">
        <v>1613</v>
      </c>
    </row>
    <row r="60" spans="1:1">
      <c r="A60" s="1170" t="s">
        <v>1614</v>
      </c>
    </row>
    <row r="61" spans="1:1">
      <c r="A61" s="1170" t="s">
        <v>1615</v>
      </c>
    </row>
    <row r="62" spans="1:1">
      <c r="A62" s="1170" t="s">
        <v>1616</v>
      </c>
    </row>
    <row r="63" spans="1:1">
      <c r="A63" s="1170" t="s">
        <v>1617</v>
      </c>
    </row>
    <row r="64" spans="1:1">
      <c r="A64" s="1170" t="s">
        <v>1618</v>
      </c>
    </row>
    <row r="65" spans="1:1">
      <c r="A65" s="1170" t="s">
        <v>150</v>
      </c>
    </row>
    <row r="66" spans="1:1">
      <c r="A66" s="1170" t="s">
        <v>1619</v>
      </c>
    </row>
    <row r="67" spans="1:1">
      <c r="A67" s="1170" t="s">
        <v>1620</v>
      </c>
    </row>
    <row r="68" spans="1:1">
      <c r="A68" s="1170" t="s">
        <v>150</v>
      </c>
    </row>
    <row r="70" spans="1:1">
      <c r="A70" s="1170" t="s">
        <v>150</v>
      </c>
    </row>
    <row r="71" spans="1:1">
      <c r="A71" s="1170" t="s">
        <v>1794</v>
      </c>
    </row>
    <row r="72" spans="1:1">
      <c r="A72" s="1170" t="s">
        <v>150</v>
      </c>
    </row>
    <row r="73" spans="1:1">
      <c r="A73" s="1170" t="s">
        <v>1795</v>
      </c>
    </row>
    <row r="75" spans="1:1">
      <c r="A75" s="1170" t="s">
        <v>150</v>
      </c>
    </row>
    <row r="76" spans="1:1">
      <c r="A76" s="1170" t="s">
        <v>1623</v>
      </c>
    </row>
    <row r="77" spans="1:1">
      <c r="A77" s="1170" t="s">
        <v>1624</v>
      </c>
    </row>
    <row r="78" spans="1:1">
      <c r="A78" s="1170" t="s">
        <v>1625</v>
      </c>
    </row>
    <row r="79" spans="1:1">
      <c r="A79" s="1170" t="s">
        <v>150</v>
      </c>
    </row>
    <row r="80" spans="1:1">
      <c r="A80" s="1170" t="s">
        <v>1626</v>
      </c>
    </row>
    <row r="82" spans="1:1">
      <c r="A82" s="1170" t="s">
        <v>150</v>
      </c>
    </row>
    <row r="83" spans="1:1">
      <c r="A83" s="1170" t="s">
        <v>1627</v>
      </c>
    </row>
    <row r="84" spans="1:1">
      <c r="A84" s="1170" t="s">
        <v>150</v>
      </c>
    </row>
    <row r="85" spans="1:1">
      <c r="A85" s="1170" t="s">
        <v>1628</v>
      </c>
    </row>
    <row r="87" spans="1:1">
      <c r="A87" s="1170" t="s">
        <v>150</v>
      </c>
    </row>
    <row r="88" spans="1:1">
      <c r="A88" s="1170" t="s">
        <v>1630</v>
      </c>
    </row>
    <row r="89" spans="1:1">
      <c r="A89" s="1170" t="s">
        <v>150</v>
      </c>
    </row>
    <row r="90" spans="1:1">
      <c r="A90" s="1170" t="s">
        <v>1631</v>
      </c>
    </row>
    <row r="92" spans="1:1">
      <c r="A92" s="1170" t="s">
        <v>150</v>
      </c>
    </row>
    <row r="93" spans="1:1">
      <c r="A93" s="1170" t="s">
        <v>1633</v>
      </c>
    </row>
    <row r="94" spans="1:1">
      <c r="A94" s="1170" t="s">
        <v>150</v>
      </c>
    </row>
    <row r="95" spans="1:1">
      <c r="A95" s="1170" t="s">
        <v>1634</v>
      </c>
    </row>
    <row r="97" spans="1:1">
      <c r="A97" s="1170" t="s">
        <v>150</v>
      </c>
    </row>
    <row r="98" spans="1:1">
      <c r="A98" s="1170" t="s">
        <v>1640</v>
      </c>
    </row>
    <row r="99" spans="1:1">
      <c r="A99" s="1170" t="s">
        <v>150</v>
      </c>
    </row>
    <row r="100" spans="1:1">
      <c r="A100" s="1170" t="s">
        <v>1796</v>
      </c>
    </row>
    <row r="101" spans="1:1">
      <c r="A101" s="1170" t="s">
        <v>1641</v>
      </c>
    </row>
    <row r="102" spans="1:1">
      <c r="A102" s="1170" t="s">
        <v>1643</v>
      </c>
    </row>
    <row r="104" spans="1:1">
      <c r="A104" s="1170" t="s">
        <v>150</v>
      </c>
    </row>
    <row r="105" spans="1:1">
      <c r="A105" s="1170" t="s">
        <v>1797</v>
      </c>
    </row>
    <row r="106" spans="1:1">
      <c r="A106" s="1170" t="s">
        <v>150</v>
      </c>
    </row>
    <row r="107" spans="1:1">
      <c r="A107" s="1170" t="s">
        <v>1798</v>
      </c>
    </row>
    <row r="109" spans="1:1">
      <c r="A109" s="1170" t="s">
        <v>150</v>
      </c>
    </row>
    <row r="110" spans="1:1">
      <c r="A110" s="1170" t="s">
        <v>1644</v>
      </c>
    </row>
    <row r="111" spans="1:1">
      <c r="A111" s="1170" t="s">
        <v>150</v>
      </c>
    </row>
    <row r="112" spans="1:1">
      <c r="A112" s="1170" t="s">
        <v>1645</v>
      </c>
    </row>
    <row r="114" spans="1:1">
      <c r="A114" s="1170" t="s">
        <v>150</v>
      </c>
    </row>
    <row r="115" spans="1:1">
      <c r="A115" s="1170" t="s">
        <v>1646</v>
      </c>
    </row>
    <row r="116" spans="1:1">
      <c r="A116" s="1170" t="s">
        <v>1647</v>
      </c>
    </row>
    <row r="117" spans="1:1">
      <c r="A117" s="1170" t="s">
        <v>150</v>
      </c>
    </row>
    <row r="118" spans="1:1">
      <c r="A118" s="1170" t="s">
        <v>1648</v>
      </c>
    </row>
    <row r="119" spans="1:1">
      <c r="A119" s="1170" t="s">
        <v>1649</v>
      </c>
    </row>
    <row r="122" spans="1:1">
      <c r="A122" s="1170" t="s">
        <v>150</v>
      </c>
    </row>
    <row r="123" spans="1:1">
      <c r="A123" s="1170" t="s">
        <v>1654</v>
      </c>
    </row>
    <row r="124" spans="1:1">
      <c r="A124" s="1170" t="s">
        <v>150</v>
      </c>
    </row>
    <row r="125" spans="1:1">
      <c r="A125" s="1288" t="str">
        <f>"postcount_platelet_mobilization_algorithm="&amp;IF('Configs &amp; Procedures'!H15="no",0,1)&amp;",c88b7f11"</f>
        <v>postcount_platelet_mobilization_algorithm=0,c88b7f11</v>
      </c>
    </row>
    <row r="127" spans="1:1">
      <c r="A127" s="1170" t="s">
        <v>1655</v>
      </c>
    </row>
    <row r="128" spans="1:1">
      <c r="A128" s="1170" t="s">
        <v>150</v>
      </c>
    </row>
    <row r="129" spans="1:1">
      <c r="A129" s="1170" t="s">
        <v>1656</v>
      </c>
    </row>
    <row r="130" spans="1:1">
      <c r="A130" s="1170" t="s">
        <v>150</v>
      </c>
    </row>
    <row r="131" spans="1:1">
      <c r="A131" s="1170" t="s">
        <v>1657</v>
      </c>
    </row>
    <row r="133" spans="1:1">
      <c r="A133" s="1170" t="s">
        <v>150</v>
      </c>
    </row>
    <row r="134" spans="1:1">
      <c r="A134" s="1170" t="s">
        <v>1658</v>
      </c>
    </row>
    <row r="135" spans="1:1">
      <c r="A135" s="1170" t="s">
        <v>1659</v>
      </c>
    </row>
    <row r="136" spans="1:1">
      <c r="A136" s="1170" t="s">
        <v>1660</v>
      </c>
    </row>
    <row r="137" spans="1:1">
      <c r="A137" s="1170" t="s">
        <v>150</v>
      </c>
    </row>
    <row r="138" spans="1:1">
      <c r="A138" s="1170" t="s">
        <v>1661</v>
      </c>
    </row>
    <row r="139" spans="1:1">
      <c r="A139" s="1170" t="s">
        <v>1662</v>
      </c>
    </row>
    <row r="140" spans="1:1">
      <c r="A140" s="1170" t="s">
        <v>1663</v>
      </c>
    </row>
    <row r="141" spans="1:1">
      <c r="A141" s="1170" t="s">
        <v>150</v>
      </c>
    </row>
    <row r="143" spans="1:1">
      <c r="A143" s="1170" t="s">
        <v>150</v>
      </c>
    </row>
    <row r="144" spans="1:1">
      <c r="A144" s="1170" t="s">
        <v>1664</v>
      </c>
    </row>
    <row r="145" spans="1:1">
      <c r="A145" s="1170" t="s">
        <v>150</v>
      </c>
    </row>
    <row r="146" spans="1:1">
      <c r="A146" s="1170" t="s">
        <v>1665</v>
      </c>
    </row>
    <row r="147" spans="1:1">
      <c r="A147" s="1170" t="s">
        <v>1666</v>
      </c>
    </row>
    <row r="150" spans="1:1">
      <c r="A150" s="1170" t="s">
        <v>150</v>
      </c>
    </row>
    <row r="151" spans="1:1">
      <c r="A151" s="1170" t="s">
        <v>1799</v>
      </c>
    </row>
    <row r="152" spans="1:1">
      <c r="A152" s="1170" t="s">
        <v>150</v>
      </c>
    </row>
    <row r="153" spans="1:1">
      <c r="A153" s="1170" t="s">
        <v>1800</v>
      </c>
    </row>
    <row r="154" spans="1:1">
      <c r="A154" s="1170" t="s">
        <v>1801</v>
      </c>
    </row>
    <row r="156" spans="1:1">
      <c r="A156" s="1170" t="s">
        <v>150</v>
      </c>
    </row>
    <row r="157" spans="1:1">
      <c r="A157" s="1170" t="s">
        <v>1667</v>
      </c>
    </row>
    <row r="158" spans="1:1">
      <c r="A158" s="1170" t="s">
        <v>1668</v>
      </c>
    </row>
    <row r="159" spans="1:1">
      <c r="A159" s="1170" t="s">
        <v>1669</v>
      </c>
    </row>
    <row r="160" spans="1:1">
      <c r="A160" s="1170" t="s">
        <v>150</v>
      </c>
    </row>
    <row r="161" spans="1:1">
      <c r="A161" s="1170" t="s">
        <v>1670</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sheetPr codeName="Sheet25"/>
  <dimension ref="A1:A719"/>
  <sheetViews>
    <sheetView topLeftCell="A558" workbookViewId="0">
      <selection activeCell="A576" sqref="A576"/>
    </sheetView>
  </sheetViews>
  <sheetFormatPr defaultRowHeight="15"/>
  <cols>
    <col min="1" max="1" width="84.42578125" bestFit="1" customWidth="1"/>
  </cols>
  <sheetData>
    <row r="1" spans="1:1">
      <c r="A1" t="s">
        <v>167</v>
      </c>
    </row>
    <row r="2" spans="1:1">
      <c r="A2" t="s">
        <v>168</v>
      </c>
    </row>
    <row r="3" spans="1:1">
      <c r="A3" t="s">
        <v>150</v>
      </c>
    </row>
    <row r="4" spans="1:1">
      <c r="A4" t="s">
        <v>169</v>
      </c>
    </row>
    <row r="5" spans="1:1">
      <c r="A5" t="s">
        <v>170</v>
      </c>
    </row>
    <row r="6" spans="1:1">
      <c r="A6" t="s">
        <v>150</v>
      </c>
    </row>
    <row r="7" spans="1:1">
      <c r="A7" t="s">
        <v>171</v>
      </c>
    </row>
    <row r="8" spans="1:1">
      <c r="A8" t="s">
        <v>172</v>
      </c>
    </row>
    <row r="9" spans="1:1">
      <c r="A9" t="s">
        <v>173</v>
      </c>
    </row>
    <row r="10" spans="1:1">
      <c r="A10" t="s">
        <v>174</v>
      </c>
    </row>
    <row r="11" spans="1:1">
      <c r="A11" t="s">
        <v>175</v>
      </c>
    </row>
    <row r="12" spans="1:1">
      <c r="A12" t="s">
        <v>176</v>
      </c>
    </row>
    <row r="13" spans="1:1">
      <c r="A13" t="s">
        <v>172</v>
      </c>
    </row>
    <row r="14" spans="1:1">
      <c r="A14" t="s">
        <v>175</v>
      </c>
    </row>
    <row r="16" spans="1:1">
      <c r="A16" t="s">
        <v>177</v>
      </c>
    </row>
    <row r="17" spans="1:1">
      <c r="A17" t="s">
        <v>178</v>
      </c>
    </row>
    <row r="18" spans="1:1">
      <c r="A18" t="s">
        <v>179</v>
      </c>
    </row>
    <row r="20" spans="1:1">
      <c r="A20" t="s">
        <v>180</v>
      </c>
    </row>
    <row r="22" spans="1:1">
      <c r="A22" t="s">
        <v>181</v>
      </c>
    </row>
    <row r="24" spans="1:1">
      <c r="A24" t="s">
        <v>150</v>
      </c>
    </row>
    <row r="25" spans="1:1">
      <c r="A25" t="s">
        <v>182</v>
      </c>
    </row>
    <row r="26" spans="1:1">
      <c r="A26" t="s">
        <v>150</v>
      </c>
    </row>
    <row r="27" spans="1:1">
      <c r="A27" t="s">
        <v>183</v>
      </c>
    </row>
    <row r="28" spans="1:1">
      <c r="A28" t="s">
        <v>184</v>
      </c>
    </row>
    <row r="29" spans="1:1">
      <c r="A29" t="s">
        <v>185</v>
      </c>
    </row>
    <row r="30" spans="1:1">
      <c r="A30" t="s">
        <v>186</v>
      </c>
    </row>
    <row r="31" spans="1:1">
      <c r="A31" t="s">
        <v>187</v>
      </c>
    </row>
    <row r="32" spans="1:1">
      <c r="A32" t="s">
        <v>150</v>
      </c>
    </row>
    <row r="33" spans="1:1">
      <c r="A33" t="s">
        <v>188</v>
      </c>
    </row>
    <row r="34" spans="1:1">
      <c r="A34" t="s">
        <v>189</v>
      </c>
    </row>
    <row r="35" spans="1:1">
      <c r="A35" t="s">
        <v>190</v>
      </c>
    </row>
    <row r="36" spans="1:1">
      <c r="A36" t="s">
        <v>191</v>
      </c>
    </row>
    <row r="37" spans="1:1">
      <c r="A37" t="s">
        <v>192</v>
      </c>
    </row>
    <row r="39" spans="1:1">
      <c r="A39" t="s">
        <v>150</v>
      </c>
    </row>
    <row r="40" spans="1:1">
      <c r="A40" t="s">
        <v>150</v>
      </c>
    </row>
    <row r="41" spans="1:1">
      <c r="A41" t="s">
        <v>193</v>
      </c>
    </row>
    <row r="42" spans="1:1">
      <c r="A42" t="s">
        <v>150</v>
      </c>
    </row>
    <row r="43" spans="1:1">
      <c r="A43" t="s">
        <v>194</v>
      </c>
    </row>
    <row r="44" spans="1:1">
      <c r="A44" t="s">
        <v>195</v>
      </c>
    </row>
    <row r="45" spans="1:1">
      <c r="A45" t="s">
        <v>196</v>
      </c>
    </row>
    <row r="46" spans="1:1">
      <c r="A46" t="s">
        <v>197</v>
      </c>
    </row>
    <row r="47" spans="1:1">
      <c r="A47" t="s">
        <v>198</v>
      </c>
    </row>
    <row r="48" spans="1:1">
      <c r="A48" t="s">
        <v>199</v>
      </c>
    </row>
    <row r="49" spans="1:1">
      <c r="A49" t="s">
        <v>200</v>
      </c>
    </row>
    <row r="50" spans="1:1">
      <c r="A50" t="s">
        <v>201</v>
      </c>
    </row>
    <row r="52" spans="1:1">
      <c r="A52" t="s">
        <v>150</v>
      </c>
    </row>
    <row r="53" spans="1:1">
      <c r="A53" t="s">
        <v>150</v>
      </c>
    </row>
    <row r="54" spans="1:1">
      <c r="A54" t="s">
        <v>202</v>
      </c>
    </row>
    <row r="55" spans="1:1">
      <c r="A55" t="s">
        <v>150</v>
      </c>
    </row>
    <row r="56" spans="1:1">
      <c r="A56" t="s">
        <v>203</v>
      </c>
    </row>
    <row r="57" spans="1:1">
      <c r="A57" t="s">
        <v>204</v>
      </c>
    </row>
    <row r="58" spans="1:1">
      <c r="A58" t="s">
        <v>150</v>
      </c>
    </row>
    <row r="59" spans="1:1">
      <c r="A59" t="s">
        <v>205</v>
      </c>
    </row>
    <row r="60" spans="1:1">
      <c r="A60" t="s">
        <v>206</v>
      </c>
    </row>
    <row r="61" spans="1:1">
      <c r="A61" t="s">
        <v>207</v>
      </c>
    </row>
    <row r="62" spans="1:1">
      <c r="A62" t="s">
        <v>208</v>
      </c>
    </row>
    <row r="64" spans="1:1">
      <c r="A64" t="s">
        <v>209</v>
      </c>
    </row>
    <row r="65" spans="1:1">
      <c r="A65" t="s">
        <v>210</v>
      </c>
    </row>
    <row r="66" spans="1:1">
      <c r="A66" t="s">
        <v>211</v>
      </c>
    </row>
    <row r="67" spans="1:1">
      <c r="A67" t="s">
        <v>212</v>
      </c>
    </row>
    <row r="69" spans="1:1">
      <c r="A69" t="s">
        <v>150</v>
      </c>
    </row>
    <row r="70" spans="1:1">
      <c r="A70" t="s">
        <v>150</v>
      </c>
    </row>
    <row r="71" spans="1:1">
      <c r="A71" t="s">
        <v>213</v>
      </c>
    </row>
    <row r="72" spans="1:1">
      <c r="A72" t="s">
        <v>150</v>
      </c>
    </row>
    <row r="73" spans="1:1">
      <c r="A73" t="s">
        <v>214</v>
      </c>
    </row>
    <row r="74" spans="1:1">
      <c r="A74" t="s">
        <v>215</v>
      </c>
    </row>
    <row r="75" spans="1:1">
      <c r="A75" t="s">
        <v>216</v>
      </c>
    </row>
    <row r="76" spans="1:1">
      <c r="A76" t="s">
        <v>217</v>
      </c>
    </row>
    <row r="77" spans="1:1">
      <c r="A77" t="s">
        <v>218</v>
      </c>
    </row>
    <row r="78" spans="1:1">
      <c r="A78" t="s">
        <v>219</v>
      </c>
    </row>
    <row r="79" spans="1:1">
      <c r="A79" t="s">
        <v>220</v>
      </c>
    </row>
    <row r="81" spans="1:1">
      <c r="A81" t="s">
        <v>222</v>
      </c>
    </row>
    <row r="82" spans="1:1">
      <c r="A82" t="s">
        <v>150</v>
      </c>
    </row>
    <row r="83" spans="1:1">
      <c r="A83" t="s">
        <v>223</v>
      </c>
    </row>
    <row r="84" spans="1:1">
      <c r="A84" t="s">
        <v>224</v>
      </c>
    </row>
    <row r="85" spans="1:1">
      <c r="A85" t="s">
        <v>875</v>
      </c>
    </row>
    <row r="86" spans="1:1">
      <c r="A86" t="s">
        <v>876</v>
      </c>
    </row>
    <row r="88" spans="1:1">
      <c r="A88" t="s">
        <v>150</v>
      </c>
    </row>
    <row r="89" spans="1:1">
      <c r="A89" t="s">
        <v>225</v>
      </c>
    </row>
    <row r="90" spans="1:1">
      <c r="A90" t="s">
        <v>226</v>
      </c>
    </row>
    <row r="91" spans="1:1">
      <c r="A91" t="s">
        <v>227</v>
      </c>
    </row>
    <row r="92" spans="1:1">
      <c r="A92" t="s">
        <v>228</v>
      </c>
    </row>
    <row r="93" spans="1:1">
      <c r="A93" t="s">
        <v>229</v>
      </c>
    </row>
    <row r="94" spans="1:1">
      <c r="A94" t="s">
        <v>230</v>
      </c>
    </row>
    <row r="95" spans="1:1">
      <c r="A95" t="s">
        <v>231</v>
      </c>
    </row>
    <row r="96" spans="1:1">
      <c r="A96" t="s">
        <v>232</v>
      </c>
    </row>
    <row r="97" spans="1:1">
      <c r="A97" t="s">
        <v>233</v>
      </c>
    </row>
    <row r="98" spans="1:1">
      <c r="A98" t="s">
        <v>150</v>
      </c>
    </row>
    <row r="99" spans="1:1">
      <c r="A99" t="s">
        <v>234</v>
      </c>
    </row>
    <row r="100" spans="1:1">
      <c r="A100" t="s">
        <v>235</v>
      </c>
    </row>
    <row r="101" spans="1:1">
      <c r="A101" t="s">
        <v>236</v>
      </c>
    </row>
    <row r="103" spans="1:1">
      <c r="A103" t="s">
        <v>150</v>
      </c>
    </row>
    <row r="104" spans="1:1">
      <c r="A104" t="s">
        <v>237</v>
      </c>
    </row>
    <row r="105" spans="1:1">
      <c r="A105" t="s">
        <v>238</v>
      </c>
    </row>
    <row r="106" spans="1:1">
      <c r="A106" t="s">
        <v>239</v>
      </c>
    </row>
    <row r="107" spans="1:1">
      <c r="A107" t="s">
        <v>240</v>
      </c>
    </row>
    <row r="108" spans="1:1">
      <c r="A108" t="s">
        <v>241</v>
      </c>
    </row>
    <row r="109" spans="1:1">
      <c r="A109" t="s">
        <v>242</v>
      </c>
    </row>
    <row r="110" spans="1:1">
      <c r="A110" t="s">
        <v>150</v>
      </c>
    </row>
    <row r="111" spans="1:1">
      <c r="A111" t="s">
        <v>243</v>
      </c>
    </row>
    <row r="113" spans="1:1">
      <c r="A113" t="s">
        <v>244</v>
      </c>
    </row>
    <row r="114" spans="1:1">
      <c r="A114" t="s">
        <v>245</v>
      </c>
    </row>
    <row r="115" spans="1:1">
      <c r="A115" t="s">
        <v>246</v>
      </c>
    </row>
    <row r="116" spans="1:1">
      <c r="A116" t="s">
        <v>247</v>
      </c>
    </row>
    <row r="117" spans="1:1">
      <c r="A117" t="s">
        <v>248</v>
      </c>
    </row>
    <row r="118" spans="1:1">
      <c r="A118" t="s">
        <v>150</v>
      </c>
    </row>
    <row r="119" spans="1:1">
      <c r="A119" t="s">
        <v>249</v>
      </c>
    </row>
    <row r="121" spans="1:1">
      <c r="A121" t="s">
        <v>150</v>
      </c>
    </row>
    <row r="122" spans="1:1">
      <c r="A122" t="s">
        <v>250</v>
      </c>
    </row>
    <row r="123" spans="1:1">
      <c r="A123" t="s">
        <v>150</v>
      </c>
    </row>
    <row r="124" spans="1:1">
      <c r="A124" t="s">
        <v>251</v>
      </c>
    </row>
    <row r="125" spans="1:1">
      <c r="A125" t="s">
        <v>252</v>
      </c>
    </row>
    <row r="126" spans="1:1">
      <c r="A126" t="s">
        <v>253</v>
      </c>
    </row>
    <row r="127" spans="1:1">
      <c r="A127" t="s">
        <v>254</v>
      </c>
    </row>
    <row r="128" spans="1:1">
      <c r="A128" t="s">
        <v>150</v>
      </c>
    </row>
    <row r="129" spans="1:1">
      <c r="A129" t="s">
        <v>150</v>
      </c>
    </row>
    <row r="130" spans="1:1">
      <c r="A130" t="s">
        <v>255</v>
      </c>
    </row>
    <row r="131" spans="1:1">
      <c r="A131" t="s">
        <v>150</v>
      </c>
    </row>
    <row r="132" spans="1:1">
      <c r="A132" t="s">
        <v>256</v>
      </c>
    </row>
    <row r="134" spans="1:1">
      <c r="A134" t="s">
        <v>257</v>
      </c>
    </row>
    <row r="135" spans="1:1">
      <c r="A135" t="s">
        <v>258</v>
      </c>
    </row>
    <row r="136" spans="1:1">
      <c r="A136" t="s">
        <v>259</v>
      </c>
    </row>
    <row r="138" spans="1:1">
      <c r="A138" t="s">
        <v>260</v>
      </c>
    </row>
    <row r="139" spans="1:1">
      <c r="A139" t="s">
        <v>261</v>
      </c>
    </row>
    <row r="140" spans="1:1">
      <c r="A140" t="s">
        <v>262</v>
      </c>
    </row>
    <row r="141" spans="1:1">
      <c r="A141" t="s">
        <v>263</v>
      </c>
    </row>
    <row r="142" spans="1:1">
      <c r="A142" t="s">
        <v>264</v>
      </c>
    </row>
    <row r="143" spans="1:1">
      <c r="A143" t="s">
        <v>265</v>
      </c>
    </row>
    <row r="144" spans="1:1">
      <c r="A144" t="s">
        <v>266</v>
      </c>
    </row>
    <row r="145" spans="1:1">
      <c r="A145" t="s">
        <v>267</v>
      </c>
    </row>
    <row r="146" spans="1:1">
      <c r="A146" t="s">
        <v>268</v>
      </c>
    </row>
    <row r="147" spans="1:1">
      <c r="A147" t="s">
        <v>269</v>
      </c>
    </row>
    <row r="149" spans="1:1">
      <c r="A149" t="s">
        <v>270</v>
      </c>
    </row>
    <row r="150" spans="1:1">
      <c r="A150" t="s">
        <v>271</v>
      </c>
    </row>
    <row r="151" spans="1:1">
      <c r="A151" t="s">
        <v>272</v>
      </c>
    </row>
    <row r="152" spans="1:1">
      <c r="A152" t="s">
        <v>273</v>
      </c>
    </row>
    <row r="153" spans="1:1">
      <c r="A153" t="s">
        <v>274</v>
      </c>
    </row>
    <row r="155" spans="1:1">
      <c r="A155" t="s">
        <v>275</v>
      </c>
    </row>
    <row r="156" spans="1:1">
      <c r="A156" t="s">
        <v>276</v>
      </c>
    </row>
    <row r="157" spans="1:1">
      <c r="A157" t="s">
        <v>277</v>
      </c>
    </row>
    <row r="158" spans="1:1">
      <c r="A158" t="s">
        <v>278</v>
      </c>
    </row>
    <row r="159" spans="1:1">
      <c r="A159" t="s">
        <v>279</v>
      </c>
    </row>
    <row r="160" spans="1:1">
      <c r="A160" t="s">
        <v>280</v>
      </c>
    </row>
    <row r="161" spans="1:1">
      <c r="A161" t="s">
        <v>281</v>
      </c>
    </row>
    <row r="162" spans="1:1">
      <c r="A162" t="s">
        <v>282</v>
      </c>
    </row>
    <row r="163" spans="1:1">
      <c r="A163" t="s">
        <v>283</v>
      </c>
    </row>
    <row r="164" spans="1:1">
      <c r="A164" t="s">
        <v>284</v>
      </c>
    </row>
    <row r="165" spans="1:1">
      <c r="A165" t="s">
        <v>285</v>
      </c>
    </row>
    <row r="166" spans="1:1">
      <c r="A166" t="s">
        <v>286</v>
      </c>
    </row>
    <row r="167" spans="1:1">
      <c r="A167" t="s">
        <v>287</v>
      </c>
    </row>
    <row r="168" spans="1:1">
      <c r="A168" t="s">
        <v>288</v>
      </c>
    </row>
    <row r="169" spans="1:1">
      <c r="A169" t="s">
        <v>289</v>
      </c>
    </row>
    <row r="170" spans="1:1">
      <c r="A170" t="s">
        <v>290</v>
      </c>
    </row>
    <row r="171" spans="1:1">
      <c r="A171" t="s">
        <v>291</v>
      </c>
    </row>
    <row r="172" spans="1:1">
      <c r="A172" t="s">
        <v>292</v>
      </c>
    </row>
    <row r="174" spans="1:1">
      <c r="A174" t="s">
        <v>293</v>
      </c>
    </row>
    <row r="175" spans="1:1">
      <c r="A175" t="s">
        <v>294</v>
      </c>
    </row>
    <row r="176" spans="1:1">
      <c r="A176" t="s">
        <v>295</v>
      </c>
    </row>
    <row r="177" spans="1:1">
      <c r="A177" t="s">
        <v>296</v>
      </c>
    </row>
    <row r="178" spans="1:1">
      <c r="A178" t="s">
        <v>297</v>
      </c>
    </row>
    <row r="179" spans="1:1">
      <c r="A179" t="s">
        <v>298</v>
      </c>
    </row>
    <row r="180" spans="1:1">
      <c r="A180" t="s">
        <v>299</v>
      </c>
    </row>
    <row r="181" spans="1:1">
      <c r="A181" t="s">
        <v>300</v>
      </c>
    </row>
    <row r="182" spans="1:1">
      <c r="A182" t="s">
        <v>301</v>
      </c>
    </row>
    <row r="184" spans="1:1">
      <c r="A184" t="s">
        <v>150</v>
      </c>
    </row>
    <row r="185" spans="1:1">
      <c r="A185" t="s">
        <v>302</v>
      </c>
    </row>
    <row r="186" spans="1:1">
      <c r="A186" t="s">
        <v>303</v>
      </c>
    </row>
    <row r="187" spans="1:1">
      <c r="A187" t="s">
        <v>150</v>
      </c>
    </row>
    <row r="188" spans="1:1">
      <c r="A188" t="s">
        <v>304</v>
      </c>
    </row>
    <row r="189" spans="1:1">
      <c r="A189" t="s">
        <v>305</v>
      </c>
    </row>
    <row r="190" spans="1:1">
      <c r="A190" t="s">
        <v>306</v>
      </c>
    </row>
    <row r="191" spans="1:1">
      <c r="A191" t="s">
        <v>307</v>
      </c>
    </row>
    <row r="192" spans="1:1">
      <c r="A192" t="s">
        <v>308</v>
      </c>
    </row>
    <row r="193" spans="1:1">
      <c r="A193" t="s">
        <v>309</v>
      </c>
    </row>
    <row r="194" spans="1:1">
      <c r="A194" t="s">
        <v>310</v>
      </c>
    </row>
    <row r="195" spans="1:1">
      <c r="A195" t="s">
        <v>311</v>
      </c>
    </row>
    <row r="196" spans="1:1">
      <c r="A196" t="s">
        <v>312</v>
      </c>
    </row>
    <row r="197" spans="1:1">
      <c r="A197" t="s">
        <v>313</v>
      </c>
    </row>
    <row r="198" spans="1:1">
      <c r="A198" t="s">
        <v>314</v>
      </c>
    </row>
    <row r="200" spans="1:1">
      <c r="A200" t="s">
        <v>315</v>
      </c>
    </row>
    <row r="201" spans="1:1">
      <c r="A201" t="s">
        <v>316</v>
      </c>
    </row>
    <row r="202" spans="1:1">
      <c r="A202" t="s">
        <v>317</v>
      </c>
    </row>
    <row r="203" spans="1:1">
      <c r="A203" t="s">
        <v>318</v>
      </c>
    </row>
    <row r="204" spans="1:1">
      <c r="A204" t="s">
        <v>319</v>
      </c>
    </row>
    <row r="206" spans="1:1">
      <c r="A206" t="s">
        <v>320</v>
      </c>
    </row>
    <row r="207" spans="1:1">
      <c r="A207" t="s">
        <v>321</v>
      </c>
    </row>
    <row r="208" spans="1:1">
      <c r="A208" t="s">
        <v>322</v>
      </c>
    </row>
    <row r="209" spans="1:1">
      <c r="A209" t="s">
        <v>323</v>
      </c>
    </row>
    <row r="210" spans="1:1">
      <c r="A210" t="s">
        <v>324</v>
      </c>
    </row>
    <row r="212" spans="1:1">
      <c r="A212" t="s">
        <v>325</v>
      </c>
    </row>
    <row r="213" spans="1:1">
      <c r="A213" t="s">
        <v>326</v>
      </c>
    </row>
    <row r="214" spans="1:1">
      <c r="A214" t="s">
        <v>327</v>
      </c>
    </row>
    <row r="215" spans="1:1">
      <c r="A215" t="s">
        <v>328</v>
      </c>
    </row>
    <row r="216" spans="1:1">
      <c r="A216" t="s">
        <v>329</v>
      </c>
    </row>
    <row r="217" spans="1:1">
      <c r="A217" t="s">
        <v>330</v>
      </c>
    </row>
    <row r="219" spans="1:1">
      <c r="A219" t="s">
        <v>331</v>
      </c>
    </row>
    <row r="220" spans="1:1">
      <c r="A220" t="s">
        <v>332</v>
      </c>
    </row>
    <row r="221" spans="1:1">
      <c r="A221" t="s">
        <v>333</v>
      </c>
    </row>
    <row r="222" spans="1:1">
      <c r="A222" t="s">
        <v>334</v>
      </c>
    </row>
    <row r="224" spans="1:1">
      <c r="A224" t="s">
        <v>335</v>
      </c>
    </row>
    <row r="225" spans="1:1">
      <c r="A225" t="s">
        <v>336</v>
      </c>
    </row>
    <row r="226" spans="1:1">
      <c r="A226" t="s">
        <v>337</v>
      </c>
    </row>
    <row r="227" spans="1:1">
      <c r="A227" t="s">
        <v>338</v>
      </c>
    </row>
    <row r="228" spans="1:1">
      <c r="A228" t="s">
        <v>339</v>
      </c>
    </row>
    <row r="230" spans="1:1">
      <c r="A230" t="s">
        <v>340</v>
      </c>
    </row>
    <row r="231" spans="1:1">
      <c r="A231" t="s">
        <v>341</v>
      </c>
    </row>
    <row r="232" spans="1:1">
      <c r="A232" t="s">
        <v>342</v>
      </c>
    </row>
    <row r="233" spans="1:1">
      <c r="A233" t="s">
        <v>343</v>
      </c>
    </row>
    <row r="234" spans="1:1">
      <c r="A234" t="s">
        <v>344</v>
      </c>
    </row>
    <row r="235" spans="1:1">
      <c r="A235" t="s">
        <v>345</v>
      </c>
    </row>
    <row r="236" spans="1:1">
      <c r="A236" t="s">
        <v>346</v>
      </c>
    </row>
    <row r="238" spans="1:1">
      <c r="A238" t="s">
        <v>347</v>
      </c>
    </row>
    <row r="239" spans="1:1">
      <c r="A239" t="s">
        <v>348</v>
      </c>
    </row>
    <row r="240" spans="1:1">
      <c r="A240" t="s">
        <v>349</v>
      </c>
    </row>
    <row r="241" spans="1:1">
      <c r="A241" t="s">
        <v>350</v>
      </c>
    </row>
    <row r="242" spans="1:1">
      <c r="A242" t="s">
        <v>351</v>
      </c>
    </row>
    <row r="244" spans="1:1">
      <c r="A244" t="s">
        <v>352</v>
      </c>
    </row>
    <row r="245" spans="1:1">
      <c r="A245" t="s">
        <v>353</v>
      </c>
    </row>
    <row r="247" spans="1:1">
      <c r="A247" t="s">
        <v>354</v>
      </c>
    </row>
    <row r="248" spans="1:1">
      <c r="A248" t="s">
        <v>355</v>
      </c>
    </row>
    <row r="249" spans="1:1">
      <c r="A249" t="s">
        <v>356</v>
      </c>
    </row>
    <row r="252" spans="1:1">
      <c r="A252" t="s">
        <v>150</v>
      </c>
    </row>
    <row r="253" spans="1:1">
      <c r="A253" t="s">
        <v>357</v>
      </c>
    </row>
    <row r="254" spans="1:1">
      <c r="A254" t="s">
        <v>150</v>
      </c>
    </row>
    <row r="255" spans="1:1">
      <c r="A255" t="s">
        <v>358</v>
      </c>
    </row>
    <row r="256" spans="1:1">
      <c r="A256" t="s">
        <v>359</v>
      </c>
    </row>
    <row r="257" spans="1:1">
      <c r="A257" t="s">
        <v>360</v>
      </c>
    </row>
    <row r="258" spans="1:1">
      <c r="A258" t="s">
        <v>363</v>
      </c>
    </row>
    <row r="259" spans="1:1">
      <c r="A259" t="s">
        <v>364</v>
      </c>
    </row>
    <row r="260" spans="1:1">
      <c r="A260" t="s">
        <v>365</v>
      </c>
    </row>
    <row r="261" spans="1:1">
      <c r="A261" t="s">
        <v>366</v>
      </c>
    </row>
    <row r="263" spans="1:1">
      <c r="A263" t="s">
        <v>150</v>
      </c>
    </row>
    <row r="264" spans="1:1">
      <c r="A264" t="s">
        <v>150</v>
      </c>
    </row>
    <row r="265" spans="1:1">
      <c r="A265" t="s">
        <v>367</v>
      </c>
    </row>
    <row r="266" spans="1:1">
      <c r="A266" t="s">
        <v>150</v>
      </c>
    </row>
    <row r="267" spans="1:1">
      <c r="A267" t="s">
        <v>368</v>
      </c>
    </row>
    <row r="268" spans="1:1">
      <c r="A268" t="s">
        <v>369</v>
      </c>
    </row>
    <row r="269" spans="1:1">
      <c r="A269" t="s">
        <v>370</v>
      </c>
    </row>
    <row r="270" spans="1:1">
      <c r="A270" t="s">
        <v>371</v>
      </c>
    </row>
    <row r="271" spans="1:1">
      <c r="A271" t="s">
        <v>372</v>
      </c>
    </row>
    <row r="272" spans="1:1">
      <c r="A272" t="s">
        <v>373</v>
      </c>
    </row>
    <row r="274" spans="1:1">
      <c r="A274" t="s">
        <v>383</v>
      </c>
    </row>
    <row r="275" spans="1:1">
      <c r="A275" t="s">
        <v>385</v>
      </c>
    </row>
    <row r="276" spans="1:1">
      <c r="A276" t="s">
        <v>386</v>
      </c>
    </row>
    <row r="278" spans="1:1">
      <c r="A278" t="s">
        <v>387</v>
      </c>
    </row>
    <row r="279" spans="1:1">
      <c r="A279" t="s">
        <v>388</v>
      </c>
    </row>
    <row r="280" spans="1:1">
      <c r="A280" t="s">
        <v>389</v>
      </c>
    </row>
    <row r="281" spans="1:1">
      <c r="A281" t="s">
        <v>390</v>
      </c>
    </row>
    <row r="283" spans="1:1">
      <c r="A283" t="s">
        <v>391</v>
      </c>
    </row>
    <row r="284" spans="1:1">
      <c r="A284" t="s">
        <v>392</v>
      </c>
    </row>
    <row r="285" spans="1:1">
      <c r="A285" t="s">
        <v>393</v>
      </c>
    </row>
    <row r="286" spans="1:1">
      <c r="A286" t="s">
        <v>394</v>
      </c>
    </row>
    <row r="288" spans="1:1">
      <c r="A288" t="s">
        <v>395</v>
      </c>
    </row>
    <row r="289" spans="1:1">
      <c r="A289" t="s">
        <v>396</v>
      </c>
    </row>
    <row r="291" spans="1:1">
      <c r="A291" t="s">
        <v>397</v>
      </c>
    </row>
    <row r="292" spans="1:1">
      <c r="A292" t="s">
        <v>398</v>
      </c>
    </row>
    <row r="293" spans="1:1">
      <c r="A293" t="s">
        <v>399</v>
      </c>
    </row>
    <row r="294" spans="1:1">
      <c r="A294" t="s">
        <v>400</v>
      </c>
    </row>
    <row r="295" spans="1:1">
      <c r="A295" t="s">
        <v>401</v>
      </c>
    </row>
    <row r="296" spans="1:1">
      <c r="A296" t="s">
        <v>402</v>
      </c>
    </row>
    <row r="297" spans="1:1">
      <c r="A297" t="s">
        <v>403</v>
      </c>
    </row>
    <row r="298" spans="1:1">
      <c r="A298" t="s">
        <v>404</v>
      </c>
    </row>
    <row r="299" spans="1:1">
      <c r="A299" t="s">
        <v>405</v>
      </c>
    </row>
    <row r="300" spans="1:1">
      <c r="A300" t="s">
        <v>406</v>
      </c>
    </row>
    <row r="301" spans="1:1">
      <c r="A301" t="s">
        <v>407</v>
      </c>
    </row>
    <row r="302" spans="1:1">
      <c r="A302" t="s">
        <v>408</v>
      </c>
    </row>
    <row r="304" spans="1:1">
      <c r="A304" t="s">
        <v>410</v>
      </c>
    </row>
    <row r="305" spans="1:1">
      <c r="A305" t="s">
        <v>150</v>
      </c>
    </row>
    <row r="306" spans="1:1">
      <c r="A306" t="s">
        <v>150</v>
      </c>
    </row>
    <row r="307" spans="1:1">
      <c r="A307" t="s">
        <v>411</v>
      </c>
    </row>
    <row r="308" spans="1:1">
      <c r="A308" t="s">
        <v>412</v>
      </c>
    </row>
    <row r="309" spans="1:1">
      <c r="A309" t="s">
        <v>150</v>
      </c>
    </row>
    <row r="310" spans="1:1">
      <c r="A310" t="s">
        <v>413</v>
      </c>
    </row>
    <row r="311" spans="1:1">
      <c r="A311" t="s">
        <v>414</v>
      </c>
    </row>
    <row r="312" spans="1:1">
      <c r="A312" t="s">
        <v>415</v>
      </c>
    </row>
    <row r="313" spans="1:1">
      <c r="A313" t="s">
        <v>416</v>
      </c>
    </row>
    <row r="314" spans="1:1">
      <c r="A314" t="s">
        <v>150</v>
      </c>
    </row>
    <row r="315" spans="1:1">
      <c r="A315" t="s">
        <v>150</v>
      </c>
    </row>
    <row r="316" spans="1:1">
      <c r="A316" t="s">
        <v>417</v>
      </c>
    </row>
    <row r="317" spans="1:1">
      <c r="A317" t="s">
        <v>418</v>
      </c>
    </row>
    <row r="318" spans="1:1">
      <c r="A318" t="s">
        <v>150</v>
      </c>
    </row>
    <row r="319" spans="1:1">
      <c r="A319" t="s">
        <v>419</v>
      </c>
    </row>
    <row r="320" spans="1:1">
      <c r="A320" t="s">
        <v>150</v>
      </c>
    </row>
    <row r="321" spans="1:1">
      <c r="A321" t="s">
        <v>420</v>
      </c>
    </row>
    <row r="322" spans="1:1">
      <c r="A322" t="s">
        <v>421</v>
      </c>
    </row>
    <row r="323" spans="1:1">
      <c r="A323" t="s">
        <v>422</v>
      </c>
    </row>
    <row r="324" spans="1:1">
      <c r="A324" t="s">
        <v>423</v>
      </c>
    </row>
    <row r="325" spans="1:1">
      <c r="A325" t="s">
        <v>150</v>
      </c>
    </row>
    <row r="326" spans="1:1">
      <c r="A326" t="s">
        <v>424</v>
      </c>
    </row>
    <row r="327" spans="1:1">
      <c r="A327" t="s">
        <v>425</v>
      </c>
    </row>
    <row r="328" spans="1:1">
      <c r="A328" t="s">
        <v>426</v>
      </c>
    </row>
    <row r="329" spans="1:1">
      <c r="A329" t="s">
        <v>427</v>
      </c>
    </row>
    <row r="330" spans="1:1">
      <c r="A330" t="s">
        <v>428</v>
      </c>
    </row>
    <row r="331" spans="1:1">
      <c r="A331" t="s">
        <v>429</v>
      </c>
    </row>
    <row r="332" spans="1:1">
      <c r="A332" t="s">
        <v>150</v>
      </c>
    </row>
    <row r="333" spans="1:1">
      <c r="A333" t="s">
        <v>430</v>
      </c>
    </row>
    <row r="334" spans="1:1">
      <c r="A334" t="s">
        <v>150</v>
      </c>
    </row>
    <row r="335" spans="1:1">
      <c r="A335" t="s">
        <v>431</v>
      </c>
    </row>
    <row r="336" spans="1:1">
      <c r="A336" t="s">
        <v>432</v>
      </c>
    </row>
    <row r="337" spans="1:1">
      <c r="A337" t="s">
        <v>433</v>
      </c>
    </row>
    <row r="339" spans="1:1">
      <c r="A339" t="s">
        <v>437</v>
      </c>
    </row>
    <row r="340" spans="1:1">
      <c r="A340" t="s">
        <v>150</v>
      </c>
    </row>
    <row r="341" spans="1:1">
      <c r="A341" t="s">
        <v>438</v>
      </c>
    </row>
    <row r="342" spans="1:1">
      <c r="A342" t="s">
        <v>439</v>
      </c>
    </row>
    <row r="343" spans="1:1">
      <c r="A343" t="s">
        <v>440</v>
      </c>
    </row>
    <row r="344" spans="1:1">
      <c r="A344" t="s">
        <v>441</v>
      </c>
    </row>
    <row r="345" spans="1:1">
      <c r="A345" t="s">
        <v>442</v>
      </c>
    </row>
    <row r="346" spans="1:1">
      <c r="A346" t="s">
        <v>443</v>
      </c>
    </row>
    <row r="347" spans="1:1">
      <c r="A347" t="s">
        <v>444</v>
      </c>
    </row>
    <row r="348" spans="1:1">
      <c r="A348" t="s">
        <v>445</v>
      </c>
    </row>
    <row r="349" spans="1:1">
      <c r="A349" t="s">
        <v>446</v>
      </c>
    </row>
    <row r="350" spans="1:1">
      <c r="A350" t="s">
        <v>150</v>
      </c>
    </row>
    <row r="351" spans="1:1">
      <c r="A351" t="s">
        <v>447</v>
      </c>
    </row>
    <row r="352" spans="1:1">
      <c r="A352" t="s">
        <v>448</v>
      </c>
    </row>
    <row r="353" spans="1:1">
      <c r="A353" t="s">
        <v>150</v>
      </c>
    </row>
    <row r="354" spans="1:1">
      <c r="A354" t="s">
        <v>449</v>
      </c>
    </row>
    <row r="355" spans="1:1">
      <c r="A355" t="s">
        <v>450</v>
      </c>
    </row>
    <row r="356" spans="1:1">
      <c r="A356" t="s">
        <v>451</v>
      </c>
    </row>
    <row r="357" spans="1:1">
      <c r="A357" t="s">
        <v>452</v>
      </c>
    </row>
    <row r="358" spans="1:1">
      <c r="A358" t="s">
        <v>453</v>
      </c>
    </row>
    <row r="359" spans="1:1">
      <c r="A359" t="s">
        <v>454</v>
      </c>
    </row>
    <row r="361" spans="1:1">
      <c r="A361" t="s">
        <v>150</v>
      </c>
    </row>
    <row r="362" spans="1:1">
      <c r="A362" t="s">
        <v>455</v>
      </c>
    </row>
    <row r="363" spans="1:1">
      <c r="A363" t="s">
        <v>150</v>
      </c>
    </row>
    <row r="364" spans="1:1">
      <c r="A364" t="s">
        <v>456</v>
      </c>
    </row>
    <row r="365" spans="1:1">
      <c r="A365" t="s">
        <v>457</v>
      </c>
    </row>
    <row r="366" spans="1:1">
      <c r="A366" t="s">
        <v>458</v>
      </c>
    </row>
    <row r="367" spans="1:1">
      <c r="A367" t="s">
        <v>459</v>
      </c>
    </row>
    <row r="369" spans="1:1">
      <c r="A369" t="s">
        <v>469</v>
      </c>
    </row>
    <row r="370" spans="1:1">
      <c r="A370" t="s">
        <v>150</v>
      </c>
    </row>
    <row r="371" spans="1:1">
      <c r="A371" t="s">
        <v>470</v>
      </c>
    </row>
    <row r="372" spans="1:1">
      <c r="A372" t="s">
        <v>150</v>
      </c>
    </row>
    <row r="373" spans="1:1">
      <c r="A373" t="s">
        <v>471</v>
      </c>
    </row>
    <row r="374" spans="1:1">
      <c r="A374" t="s">
        <v>472</v>
      </c>
    </row>
    <row r="376" spans="1:1">
      <c r="A376" t="s">
        <v>473</v>
      </c>
    </row>
    <row r="377" spans="1:1">
      <c r="A377" t="s">
        <v>474</v>
      </c>
    </row>
    <row r="378" spans="1:1">
      <c r="A378" t="s">
        <v>475</v>
      </c>
    </row>
    <row r="379" spans="1:1">
      <c r="A379" t="s">
        <v>476</v>
      </c>
    </row>
    <row r="380" spans="1:1">
      <c r="A380" t="s">
        <v>477</v>
      </c>
    </row>
    <row r="381" spans="1:1">
      <c r="A381" t="s">
        <v>150</v>
      </c>
    </row>
    <row r="382" spans="1:1">
      <c r="A382" t="s">
        <v>478</v>
      </c>
    </row>
    <row r="383" spans="1:1">
      <c r="A383" t="s">
        <v>479</v>
      </c>
    </row>
    <row r="384" spans="1:1">
      <c r="A384" t="s">
        <v>1501</v>
      </c>
    </row>
    <row r="385" spans="1:1">
      <c r="A385" t="s">
        <v>481</v>
      </c>
    </row>
    <row r="387" spans="1:1">
      <c r="A387" t="s">
        <v>482</v>
      </c>
    </row>
    <row r="388" spans="1:1">
      <c r="A388" t="s">
        <v>483</v>
      </c>
    </row>
    <row r="389" spans="1:1">
      <c r="A389" t="s">
        <v>150</v>
      </c>
    </row>
    <row r="390" spans="1:1">
      <c r="A390" t="s">
        <v>150</v>
      </c>
    </row>
    <row r="391" spans="1:1">
      <c r="A391" t="s">
        <v>484</v>
      </c>
    </row>
    <row r="392" spans="1:1">
      <c r="A392" t="s">
        <v>485</v>
      </c>
    </row>
    <row r="393" spans="1:1">
      <c r="A393" t="s">
        <v>150</v>
      </c>
    </row>
    <row r="394" spans="1:1">
      <c r="A394" t="s">
        <v>486</v>
      </c>
    </row>
    <row r="396" spans="1:1">
      <c r="A396" t="s">
        <v>487</v>
      </c>
    </row>
    <row r="397" spans="1:1">
      <c r="A397" t="s">
        <v>488</v>
      </c>
    </row>
    <row r="398" spans="1:1">
      <c r="A398" t="s">
        <v>489</v>
      </c>
    </row>
    <row r="399" spans="1:1">
      <c r="A399" t="s">
        <v>490</v>
      </c>
    </row>
    <row r="400" spans="1:1">
      <c r="A400" t="s">
        <v>491</v>
      </c>
    </row>
    <row r="401" spans="1:1">
      <c r="A401" t="s">
        <v>492</v>
      </c>
    </row>
    <row r="403" spans="1:1">
      <c r="A403" t="s">
        <v>493</v>
      </c>
    </row>
    <row r="404" spans="1:1">
      <c r="A404" t="s">
        <v>494</v>
      </c>
    </row>
    <row r="405" spans="1:1">
      <c r="A405" t="s">
        <v>495</v>
      </c>
    </row>
    <row r="406" spans="1:1">
      <c r="A406" t="s">
        <v>496</v>
      </c>
    </row>
    <row r="407" spans="1:1">
      <c r="A407" t="s">
        <v>497</v>
      </c>
    </row>
    <row r="409" spans="1:1">
      <c r="A409" t="s">
        <v>498</v>
      </c>
    </row>
    <row r="410" spans="1:1">
      <c r="A410" t="s">
        <v>499</v>
      </c>
    </row>
    <row r="411" spans="1:1">
      <c r="A411" t="s">
        <v>500</v>
      </c>
    </row>
    <row r="412" spans="1:1">
      <c r="A412" t="s">
        <v>501</v>
      </c>
    </row>
    <row r="413" spans="1:1">
      <c r="A413" t="s">
        <v>502</v>
      </c>
    </row>
    <row r="414" spans="1:1">
      <c r="A414" t="s">
        <v>503</v>
      </c>
    </row>
    <row r="416" spans="1:1">
      <c r="A416" t="s">
        <v>504</v>
      </c>
    </row>
    <row r="417" spans="1:1">
      <c r="A417" t="s">
        <v>505</v>
      </c>
    </row>
    <row r="418" spans="1:1">
      <c r="A418" t="s">
        <v>506</v>
      </c>
    </row>
    <row r="419" spans="1:1">
      <c r="A419" t="s">
        <v>507</v>
      </c>
    </row>
    <row r="420" spans="1:1">
      <c r="A420" t="s">
        <v>508</v>
      </c>
    </row>
    <row r="422" spans="1:1">
      <c r="A422" t="s">
        <v>509</v>
      </c>
    </row>
    <row r="423" spans="1:1">
      <c r="A423" t="s">
        <v>510</v>
      </c>
    </row>
    <row r="424" spans="1:1">
      <c r="A424" t="s">
        <v>511</v>
      </c>
    </row>
    <row r="425" spans="1:1">
      <c r="A425" t="s">
        <v>512</v>
      </c>
    </row>
    <row r="426" spans="1:1">
      <c r="A426" t="s">
        <v>513</v>
      </c>
    </row>
    <row r="428" spans="1:1">
      <c r="A428" t="s">
        <v>514</v>
      </c>
    </row>
    <row r="429" spans="1:1">
      <c r="A429" t="s">
        <v>515</v>
      </c>
    </row>
    <row r="430" spans="1:1">
      <c r="A430" t="s">
        <v>516</v>
      </c>
    </row>
    <row r="431" spans="1:1">
      <c r="A431" t="s">
        <v>517</v>
      </c>
    </row>
    <row r="432" spans="1:1">
      <c r="A432" t="s">
        <v>518</v>
      </c>
    </row>
    <row r="434" spans="1:1">
      <c r="A434" t="s">
        <v>150</v>
      </c>
    </row>
    <row r="435" spans="1:1">
      <c r="A435" t="s">
        <v>150</v>
      </c>
    </row>
    <row r="436" spans="1:1">
      <c r="A436" t="s">
        <v>519</v>
      </c>
    </row>
    <row r="437" spans="1:1">
      <c r="A437" t="s">
        <v>520</v>
      </c>
    </row>
    <row r="438" spans="1:1">
      <c r="A438" t="s">
        <v>521</v>
      </c>
    </row>
    <row r="439" spans="1:1">
      <c r="A439" t="s">
        <v>150</v>
      </c>
    </row>
    <row r="440" spans="1:1">
      <c r="A440" t="s">
        <v>522</v>
      </c>
    </row>
    <row r="441" spans="1:1">
      <c r="A441" t="s">
        <v>523</v>
      </c>
    </row>
    <row r="442" spans="1:1">
      <c r="A442" t="s">
        <v>524</v>
      </c>
    </row>
    <row r="443" spans="1:1">
      <c r="A443" t="s">
        <v>525</v>
      </c>
    </row>
    <row r="445" spans="1:1">
      <c r="A445" t="s">
        <v>526</v>
      </c>
    </row>
    <row r="446" spans="1:1">
      <c r="A446" t="s">
        <v>527</v>
      </c>
    </row>
    <row r="447" spans="1:1">
      <c r="A447" t="s">
        <v>528</v>
      </c>
    </row>
    <row r="448" spans="1:1">
      <c r="A448" t="s">
        <v>529</v>
      </c>
    </row>
    <row r="450" spans="1:1">
      <c r="A450" t="s">
        <v>530</v>
      </c>
    </row>
    <row r="451" spans="1:1">
      <c r="A451" t="s">
        <v>531</v>
      </c>
    </row>
    <row r="452" spans="1:1">
      <c r="A452" t="s">
        <v>532</v>
      </c>
    </row>
    <row r="453" spans="1:1">
      <c r="A453" t="s">
        <v>533</v>
      </c>
    </row>
    <row r="454" spans="1:1">
      <c r="A454" t="s">
        <v>534</v>
      </c>
    </row>
    <row r="455" spans="1:1">
      <c r="A455" t="s">
        <v>535</v>
      </c>
    </row>
    <row r="457" spans="1:1">
      <c r="A457" t="s">
        <v>536</v>
      </c>
    </row>
    <row r="458" spans="1:1">
      <c r="A458" t="s">
        <v>537</v>
      </c>
    </row>
    <row r="459" spans="1:1">
      <c r="A459" t="s">
        <v>538</v>
      </c>
    </row>
    <row r="461" spans="1:1">
      <c r="A461" t="s">
        <v>541</v>
      </c>
    </row>
    <row r="462" spans="1:1">
      <c r="A462" t="s">
        <v>542</v>
      </c>
    </row>
    <row r="463" spans="1:1">
      <c r="A463" t="s">
        <v>543</v>
      </c>
    </row>
    <row r="464" spans="1:1">
      <c r="A464" t="s">
        <v>545</v>
      </c>
    </row>
    <row r="467" spans="1:1">
      <c r="A467" t="s">
        <v>546</v>
      </c>
    </row>
    <row r="468" spans="1:1">
      <c r="A468" t="s">
        <v>547</v>
      </c>
    </row>
    <row r="469" spans="1:1">
      <c r="A469" t="s">
        <v>548</v>
      </c>
    </row>
    <row r="470" spans="1:1">
      <c r="A470" t="s">
        <v>549</v>
      </c>
    </row>
    <row r="471" spans="1:1">
      <c r="A471" t="s">
        <v>550</v>
      </c>
    </row>
    <row r="472" spans="1:1">
      <c r="A472" t="s">
        <v>551</v>
      </c>
    </row>
    <row r="473" spans="1:1">
      <c r="A473" t="s">
        <v>552</v>
      </c>
    </row>
    <row r="474" spans="1:1">
      <c r="A474" t="s">
        <v>553</v>
      </c>
    </row>
    <row r="475" spans="1:1">
      <c r="A475" t="s">
        <v>554</v>
      </c>
    </row>
    <row r="476" spans="1:1">
      <c r="A476" t="s">
        <v>555</v>
      </c>
    </row>
    <row r="477" spans="1:1">
      <c r="A477" t="s">
        <v>556</v>
      </c>
    </row>
    <row r="478" spans="1:1">
      <c r="A478" t="s">
        <v>557</v>
      </c>
    </row>
    <row r="479" spans="1:1">
      <c r="A479" t="s">
        <v>558</v>
      </c>
    </row>
    <row r="480" spans="1:1">
      <c r="A480" t="s">
        <v>559</v>
      </c>
    </row>
    <row r="481" spans="1:1">
      <c r="A481" t="s">
        <v>560</v>
      </c>
    </row>
    <row r="482" spans="1:1">
      <c r="A482" t="s">
        <v>561</v>
      </c>
    </row>
    <row r="483" spans="1:1">
      <c r="A483" t="s">
        <v>562</v>
      </c>
    </row>
    <row r="484" spans="1:1">
      <c r="A484" t="s">
        <v>563</v>
      </c>
    </row>
    <row r="485" spans="1:1">
      <c r="A485" t="s">
        <v>564</v>
      </c>
    </row>
    <row r="486" spans="1:1">
      <c r="A486" t="s">
        <v>565</v>
      </c>
    </row>
    <row r="487" spans="1:1">
      <c r="A487" t="s">
        <v>566</v>
      </c>
    </row>
    <row r="488" spans="1:1">
      <c r="A488" t="s">
        <v>567</v>
      </c>
    </row>
    <row r="489" spans="1:1">
      <c r="A489" t="s">
        <v>568</v>
      </c>
    </row>
    <row r="490" spans="1:1">
      <c r="A490" t="s">
        <v>569</v>
      </c>
    </row>
    <row r="491" spans="1:1">
      <c r="A491" t="s">
        <v>570</v>
      </c>
    </row>
    <row r="492" spans="1:1">
      <c r="A492" t="s">
        <v>571</v>
      </c>
    </row>
    <row r="493" spans="1:1">
      <c r="A493" t="s">
        <v>572</v>
      </c>
    </row>
    <row r="494" spans="1:1">
      <c r="A494" t="s">
        <v>573</v>
      </c>
    </row>
    <row r="495" spans="1:1">
      <c r="A495" t="s">
        <v>574</v>
      </c>
    </row>
    <row r="496" spans="1:1">
      <c r="A496" t="s">
        <v>575</v>
      </c>
    </row>
    <row r="497" spans="1:1">
      <c r="A497" t="s">
        <v>576</v>
      </c>
    </row>
    <row r="498" spans="1:1">
      <c r="A498" t="s">
        <v>577</v>
      </c>
    </row>
    <row r="500" spans="1:1">
      <c r="A500" t="s">
        <v>578</v>
      </c>
    </row>
    <row r="501" spans="1:1">
      <c r="A501" t="s">
        <v>579</v>
      </c>
    </row>
    <row r="502" spans="1:1">
      <c r="A502" t="s">
        <v>580</v>
      </c>
    </row>
    <row r="503" spans="1:1">
      <c r="A503" t="s">
        <v>581</v>
      </c>
    </row>
    <row r="504" spans="1:1">
      <c r="A504" t="s">
        <v>582</v>
      </c>
    </row>
    <row r="505" spans="1:1">
      <c r="A505" t="s">
        <v>583</v>
      </c>
    </row>
    <row r="506" spans="1:1">
      <c r="A506" t="s">
        <v>584</v>
      </c>
    </row>
    <row r="507" spans="1:1">
      <c r="A507" t="s">
        <v>585</v>
      </c>
    </row>
    <row r="508" spans="1:1">
      <c r="A508" t="s">
        <v>586</v>
      </c>
    </row>
    <row r="509" spans="1:1">
      <c r="A509" t="s">
        <v>578</v>
      </c>
    </row>
    <row r="511" spans="1:1">
      <c r="A511" t="s">
        <v>150</v>
      </c>
    </row>
    <row r="512" spans="1:1">
      <c r="A512" t="s">
        <v>587</v>
      </c>
    </row>
    <row r="513" spans="1:1">
      <c r="A513" t="s">
        <v>588</v>
      </c>
    </row>
    <row r="514" spans="1:1">
      <c r="A514" t="s">
        <v>589</v>
      </c>
    </row>
    <row r="515" spans="1:1">
      <c r="A515" t="s">
        <v>590</v>
      </c>
    </row>
    <row r="516" spans="1:1">
      <c r="A516" t="s">
        <v>591</v>
      </c>
    </row>
    <row r="517" spans="1:1">
      <c r="A517" t="s">
        <v>592</v>
      </c>
    </row>
    <row r="518" spans="1:1">
      <c r="A518" t="s">
        <v>150</v>
      </c>
    </row>
    <row r="519" spans="1:1">
      <c r="A519" t="s">
        <v>593</v>
      </c>
    </row>
    <row r="520" spans="1:1">
      <c r="A520" t="s">
        <v>594</v>
      </c>
    </row>
    <row r="521" spans="1:1">
      <c r="A521" t="s">
        <v>150</v>
      </c>
    </row>
    <row r="522" spans="1:1">
      <c r="A522" t="s">
        <v>150</v>
      </c>
    </row>
    <row r="523" spans="1:1">
      <c r="A523" t="s">
        <v>595</v>
      </c>
    </row>
    <row r="524" spans="1:1">
      <c r="A524" t="s">
        <v>596</v>
      </c>
    </row>
    <row r="525" spans="1:1">
      <c r="A525" t="s">
        <v>597</v>
      </c>
    </row>
    <row r="526" spans="1:1">
      <c r="A526" t="s">
        <v>598</v>
      </c>
    </row>
    <row r="527" spans="1:1">
      <c r="A527" t="s">
        <v>150</v>
      </c>
    </row>
    <row r="528" spans="1:1">
      <c r="A528" t="s">
        <v>599</v>
      </c>
    </row>
    <row r="530" spans="1:1">
      <c r="A530" t="s">
        <v>600</v>
      </c>
    </row>
    <row r="531" spans="1:1">
      <c r="A531" t="s">
        <v>601</v>
      </c>
    </row>
    <row r="532" spans="1:1">
      <c r="A532" t="s">
        <v>602</v>
      </c>
    </row>
    <row r="533" spans="1:1">
      <c r="A533" t="s">
        <v>603</v>
      </c>
    </row>
    <row r="534" spans="1:1">
      <c r="A534" t="s">
        <v>604</v>
      </c>
    </row>
    <row r="536" spans="1:1">
      <c r="A536" t="s">
        <v>605</v>
      </c>
    </row>
    <row r="537" spans="1:1">
      <c r="A537" t="s">
        <v>606</v>
      </c>
    </row>
    <row r="538" spans="1:1">
      <c r="A538" t="s">
        <v>607</v>
      </c>
    </row>
    <row r="539" spans="1:1">
      <c r="A539" t="s">
        <v>608</v>
      </c>
    </row>
    <row r="540" spans="1:1">
      <c r="A540" t="s">
        <v>150</v>
      </c>
    </row>
    <row r="541" spans="1:1">
      <c r="A541" t="s">
        <v>150</v>
      </c>
    </row>
    <row r="542" spans="1:1">
      <c r="A542" t="s">
        <v>609</v>
      </c>
    </row>
    <row r="543" spans="1:1">
      <c r="A543" t="s">
        <v>610</v>
      </c>
    </row>
    <row r="544" spans="1:1">
      <c r="A544" t="s">
        <v>611</v>
      </c>
    </row>
    <row r="545" spans="1:1">
      <c r="A545" t="s">
        <v>612</v>
      </c>
    </row>
    <row r="546" spans="1:1">
      <c r="A546" t="s">
        <v>150</v>
      </c>
    </row>
    <row r="547" spans="1:1">
      <c r="A547" t="s">
        <v>613</v>
      </c>
    </row>
    <row r="548" spans="1:1">
      <c r="A548" t="s">
        <v>614</v>
      </c>
    </row>
    <row r="549" spans="1:1">
      <c r="A549" t="s">
        <v>150</v>
      </c>
    </row>
    <row r="550" spans="1:1">
      <c r="A550" t="s">
        <v>150</v>
      </c>
    </row>
    <row r="551" spans="1:1">
      <c r="A551" t="s">
        <v>150</v>
      </c>
    </row>
    <row r="552" spans="1:1">
      <c r="A552" t="s">
        <v>615</v>
      </c>
    </row>
    <row r="553" spans="1:1">
      <c r="A553" t="s">
        <v>616</v>
      </c>
    </row>
    <row r="554" spans="1:1">
      <c r="A554" t="s">
        <v>617</v>
      </c>
    </row>
    <row r="555" spans="1:1">
      <c r="A555" t="s">
        <v>618</v>
      </c>
    </row>
    <row r="556" spans="1:1">
      <c r="A556" t="s">
        <v>150</v>
      </c>
    </row>
    <row r="557" spans="1:1">
      <c r="A557" t="s">
        <v>619</v>
      </c>
    </row>
    <row r="558" spans="1:1">
      <c r="A558" t="s">
        <v>150</v>
      </c>
    </row>
    <row r="559" spans="1:1">
      <c r="A559" t="s">
        <v>150</v>
      </c>
    </row>
    <row r="560" spans="1:1">
      <c r="A560" t="s">
        <v>620</v>
      </c>
    </row>
    <row r="561" spans="1:1">
      <c r="A561" t="s">
        <v>621</v>
      </c>
    </row>
    <row r="562" spans="1:1">
      <c r="A562" t="s">
        <v>622</v>
      </c>
    </row>
    <row r="563" spans="1:1">
      <c r="A563" t="s">
        <v>623</v>
      </c>
    </row>
    <row r="564" spans="1:1">
      <c r="A564" t="s">
        <v>624</v>
      </c>
    </row>
    <row r="565" spans="1:1">
      <c r="A565" t="s">
        <v>625</v>
      </c>
    </row>
    <row r="566" spans="1:1">
      <c r="A566" t="s">
        <v>150</v>
      </c>
    </row>
    <row r="567" spans="1:1">
      <c r="A567" t="s">
        <v>626</v>
      </c>
    </row>
    <row r="568" spans="1:1">
      <c r="A568" t="s">
        <v>627</v>
      </c>
    </row>
    <row r="569" spans="1:1">
      <c r="A569" t="s">
        <v>150</v>
      </c>
    </row>
    <row r="570" spans="1:1">
      <c r="A570" t="s">
        <v>150</v>
      </c>
    </row>
    <row r="571" spans="1:1">
      <c r="A571" t="s">
        <v>628</v>
      </c>
    </row>
    <row r="572" spans="1:1">
      <c r="A572" t="s">
        <v>629</v>
      </c>
    </row>
    <row r="573" spans="1:1">
      <c r="A573" t="s">
        <v>150</v>
      </c>
    </row>
    <row r="574" spans="1:1">
      <c r="A574" t="s">
        <v>630</v>
      </c>
    </row>
    <row r="575" spans="1:1">
      <c r="A575" t="s">
        <v>636</v>
      </c>
    </row>
    <row r="578" spans="1:1">
      <c r="A578" t="s">
        <v>637</v>
      </c>
    </row>
    <row r="579" spans="1:1">
      <c r="A579" t="s">
        <v>638</v>
      </c>
    </row>
    <row r="580" spans="1:1">
      <c r="A580" t="s">
        <v>639</v>
      </c>
    </row>
    <row r="581" spans="1:1">
      <c r="A581" t="s">
        <v>640</v>
      </c>
    </row>
    <row r="582" spans="1:1">
      <c r="A582" t="s">
        <v>641</v>
      </c>
    </row>
    <row r="583" spans="1:1">
      <c r="A583" t="s">
        <v>642</v>
      </c>
    </row>
    <row r="584" spans="1:1">
      <c r="A584" t="s">
        <v>643</v>
      </c>
    </row>
    <row r="585" spans="1:1">
      <c r="A585" t="s">
        <v>644</v>
      </c>
    </row>
    <row r="586" spans="1:1">
      <c r="A586" t="s">
        <v>645</v>
      </c>
    </row>
    <row r="587" spans="1:1">
      <c r="A587" t="s">
        <v>883</v>
      </c>
    </row>
    <row r="588" spans="1:1">
      <c r="A588" t="s">
        <v>656</v>
      </c>
    </row>
    <row r="589" spans="1:1">
      <c r="A589" t="s">
        <v>884</v>
      </c>
    </row>
    <row r="590" spans="1:1">
      <c r="A590" t="s">
        <v>646</v>
      </c>
    </row>
    <row r="591" spans="1:1">
      <c r="A591" t="s">
        <v>647</v>
      </c>
    </row>
    <row r="592" spans="1:1">
      <c r="A592" t="s">
        <v>648</v>
      </c>
    </row>
    <row r="593" spans="1:1">
      <c r="A593" t="s">
        <v>649</v>
      </c>
    </row>
    <row r="594" spans="1:1">
      <c r="A594" t="s">
        <v>650</v>
      </c>
    </row>
    <row r="595" spans="1:1">
      <c r="A595" t="s">
        <v>651</v>
      </c>
    </row>
    <row r="596" spans="1:1">
      <c r="A596" t="s">
        <v>652</v>
      </c>
    </row>
    <row r="597" spans="1:1">
      <c r="A597" t="s">
        <v>653</v>
      </c>
    </row>
    <row r="598" spans="1:1">
      <c r="A598" t="s">
        <v>654</v>
      </c>
    </row>
    <row r="599" spans="1:1">
      <c r="A599" t="s">
        <v>655</v>
      </c>
    </row>
    <row r="600" spans="1:1">
      <c r="A600" t="s">
        <v>656</v>
      </c>
    </row>
    <row r="601" spans="1:1">
      <c r="A601" t="s">
        <v>657</v>
      </c>
    </row>
    <row r="602" spans="1:1">
      <c r="A602" t="s">
        <v>886</v>
      </c>
    </row>
    <row r="603" spans="1:1">
      <c r="A603" t="s">
        <v>659</v>
      </c>
    </row>
    <row r="604" spans="1:1">
      <c r="A604" t="s">
        <v>660</v>
      </c>
    </row>
    <row r="605" spans="1:1">
      <c r="A605" t="s">
        <v>887</v>
      </c>
    </row>
    <row r="606" spans="1:1">
      <c r="A606" t="s">
        <v>662</v>
      </c>
    </row>
    <row r="607" spans="1:1">
      <c r="A607" t="s">
        <v>663</v>
      </c>
    </row>
    <row r="609" spans="1:1">
      <c r="A609" t="s">
        <v>664</v>
      </c>
    </row>
    <row r="610" spans="1:1">
      <c r="A610" t="s">
        <v>150</v>
      </c>
    </row>
    <row r="611" spans="1:1">
      <c r="A611" t="s">
        <v>665</v>
      </c>
    </row>
    <row r="612" spans="1:1">
      <c r="A612" t="s">
        <v>150</v>
      </c>
    </row>
    <row r="613" spans="1:1">
      <c r="A613" t="s">
        <v>666</v>
      </c>
    </row>
    <row r="614" spans="1:1">
      <c r="A614" t="s">
        <v>667</v>
      </c>
    </row>
    <row r="615" spans="1:1">
      <c r="A615" t="s">
        <v>668</v>
      </c>
    </row>
    <row r="616" spans="1:1">
      <c r="A616" t="s">
        <v>150</v>
      </c>
    </row>
    <row r="617" spans="1:1">
      <c r="A617" t="s">
        <v>669</v>
      </c>
    </row>
    <row r="618" spans="1:1">
      <c r="A618" t="s">
        <v>670</v>
      </c>
    </row>
    <row r="619" spans="1:1">
      <c r="A619" t="s">
        <v>671</v>
      </c>
    </row>
    <row r="620" spans="1:1">
      <c r="A620" t="s">
        <v>150</v>
      </c>
    </row>
    <row r="621" spans="1:1">
      <c r="A621" t="s">
        <v>672</v>
      </c>
    </row>
    <row r="622" spans="1:1">
      <c r="A622" t="s">
        <v>673</v>
      </c>
    </row>
    <row r="623" spans="1:1">
      <c r="A623" t="s">
        <v>150</v>
      </c>
    </row>
    <row r="624" spans="1:1">
      <c r="A624" t="s">
        <v>674</v>
      </c>
    </row>
    <row r="625" spans="1:1">
      <c r="A625" t="s">
        <v>675</v>
      </c>
    </row>
    <row r="626" spans="1:1">
      <c r="A626" t="s">
        <v>676</v>
      </c>
    </row>
    <row r="627" spans="1:1">
      <c r="A627" t="s">
        <v>677</v>
      </c>
    </row>
    <row r="628" spans="1:1">
      <c r="A628" t="s">
        <v>150</v>
      </c>
    </row>
    <row r="629" spans="1:1">
      <c r="A629" t="s">
        <v>678</v>
      </c>
    </row>
    <row r="630" spans="1:1">
      <c r="A630" t="s">
        <v>679</v>
      </c>
    </row>
    <row r="631" spans="1:1">
      <c r="A631" t="s">
        <v>680</v>
      </c>
    </row>
    <row r="632" spans="1:1">
      <c r="A632" t="s">
        <v>681</v>
      </c>
    </row>
    <row r="633" spans="1:1">
      <c r="A633" t="s">
        <v>682</v>
      </c>
    </row>
    <row r="635" spans="1:1">
      <c r="A635" t="s">
        <v>683</v>
      </c>
    </row>
    <row r="636" spans="1:1">
      <c r="A636" t="s">
        <v>684</v>
      </c>
    </row>
    <row r="637" spans="1:1">
      <c r="A637" t="s">
        <v>685</v>
      </c>
    </row>
    <row r="638" spans="1:1">
      <c r="A638" t="s">
        <v>686</v>
      </c>
    </row>
    <row r="639" spans="1:1">
      <c r="A639" t="s">
        <v>687</v>
      </c>
    </row>
    <row r="640" spans="1:1">
      <c r="A640" t="s">
        <v>688</v>
      </c>
    </row>
    <row r="641" spans="1:1">
      <c r="A641" t="s">
        <v>689</v>
      </c>
    </row>
    <row r="642" spans="1:1">
      <c r="A642" t="s">
        <v>690</v>
      </c>
    </row>
    <row r="643" spans="1:1">
      <c r="A643" t="s">
        <v>691</v>
      </c>
    </row>
    <row r="644" spans="1:1">
      <c r="A644" t="s">
        <v>692</v>
      </c>
    </row>
    <row r="645" spans="1:1">
      <c r="A645" t="s">
        <v>693</v>
      </c>
    </row>
    <row r="646" spans="1:1">
      <c r="A646" t="s">
        <v>694</v>
      </c>
    </row>
    <row r="647" spans="1:1">
      <c r="A647" t="s">
        <v>695</v>
      </c>
    </row>
    <row r="648" spans="1:1">
      <c r="A648" t="s">
        <v>696</v>
      </c>
    </row>
    <row r="651" spans="1:1">
      <c r="A651" t="s">
        <v>739</v>
      </c>
    </row>
    <row r="652" spans="1:1">
      <c r="A652" t="s">
        <v>744</v>
      </c>
    </row>
    <row r="653" spans="1:1">
      <c r="A653" t="s">
        <v>746</v>
      </c>
    </row>
    <row r="654" spans="1:1">
      <c r="A654" t="s">
        <v>747</v>
      </c>
    </row>
    <row r="655" spans="1:1">
      <c r="A655" t="s">
        <v>748</v>
      </c>
    </row>
    <row r="656" spans="1:1">
      <c r="A656" t="s">
        <v>1502</v>
      </c>
    </row>
    <row r="657" spans="1:1">
      <c r="A657" t="s">
        <v>750</v>
      </c>
    </row>
    <row r="658" spans="1:1">
      <c r="A658" t="s">
        <v>751</v>
      </c>
    </row>
    <row r="659" spans="1:1">
      <c r="A659" t="s">
        <v>1503</v>
      </c>
    </row>
    <row r="660" spans="1:1">
      <c r="A660" t="s">
        <v>753</v>
      </c>
    </row>
    <row r="661" spans="1:1">
      <c r="A661" t="s">
        <v>754</v>
      </c>
    </row>
    <row r="662" spans="1:1">
      <c r="A662" t="s">
        <v>755</v>
      </c>
    </row>
    <row r="663" spans="1:1">
      <c r="A663" t="s">
        <v>756</v>
      </c>
    </row>
    <row r="664" spans="1:1">
      <c r="A664" t="s">
        <v>757</v>
      </c>
    </row>
    <row r="665" spans="1:1">
      <c r="A665" t="s">
        <v>758</v>
      </c>
    </row>
    <row r="666" spans="1:1">
      <c r="A666" t="s">
        <v>759</v>
      </c>
    </row>
    <row r="667" spans="1:1">
      <c r="A667" t="s">
        <v>760</v>
      </c>
    </row>
    <row r="668" spans="1:1">
      <c r="A668" t="s">
        <v>761</v>
      </c>
    </row>
    <row r="669" spans="1:1">
      <c r="A669" t="s">
        <v>762</v>
      </c>
    </row>
    <row r="670" spans="1:1">
      <c r="A670" t="s">
        <v>763</v>
      </c>
    </row>
    <row r="671" spans="1:1">
      <c r="A671" t="s">
        <v>764</v>
      </c>
    </row>
    <row r="672" spans="1:1">
      <c r="A672" t="s">
        <v>765</v>
      </c>
    </row>
    <row r="673" spans="1:1">
      <c r="A673" t="s">
        <v>766</v>
      </c>
    </row>
    <row r="674" spans="1:1">
      <c r="A674" t="s">
        <v>767</v>
      </c>
    </row>
    <row r="675" spans="1:1">
      <c r="A675" t="s">
        <v>768</v>
      </c>
    </row>
    <row r="676" spans="1:1">
      <c r="A676" t="s">
        <v>769</v>
      </c>
    </row>
    <row r="677" spans="1:1">
      <c r="A677" t="s">
        <v>770</v>
      </c>
    </row>
    <row r="678" spans="1:1">
      <c r="A678" t="s">
        <v>771</v>
      </c>
    </row>
    <row r="679" spans="1:1">
      <c r="A679" t="s">
        <v>772</v>
      </c>
    </row>
    <row r="680" spans="1:1">
      <c r="A680" t="s">
        <v>773</v>
      </c>
    </row>
    <row r="681" spans="1:1">
      <c r="A681" t="s">
        <v>774</v>
      </c>
    </row>
    <row r="682" spans="1:1">
      <c r="A682" t="s">
        <v>775</v>
      </c>
    </row>
    <row r="683" spans="1:1">
      <c r="A683" t="s">
        <v>776</v>
      </c>
    </row>
    <row r="684" spans="1:1">
      <c r="A684" t="s">
        <v>777</v>
      </c>
    </row>
    <row r="685" spans="1:1">
      <c r="A685" t="s">
        <v>778</v>
      </c>
    </row>
    <row r="686" spans="1:1">
      <c r="A686" t="s">
        <v>779</v>
      </c>
    </row>
    <row r="687" spans="1:1">
      <c r="A687" t="s">
        <v>780</v>
      </c>
    </row>
    <row r="688" spans="1:1">
      <c r="A688" t="s">
        <v>781</v>
      </c>
    </row>
    <row r="689" spans="1:1">
      <c r="A689" t="s">
        <v>782</v>
      </c>
    </row>
    <row r="690" spans="1:1">
      <c r="A690" t="s">
        <v>783</v>
      </c>
    </row>
    <row r="691" spans="1:1">
      <c r="A691" t="s">
        <v>784</v>
      </c>
    </row>
    <row r="692" spans="1:1">
      <c r="A692" t="s">
        <v>785</v>
      </c>
    </row>
    <row r="693" spans="1:1">
      <c r="A693" t="s">
        <v>786</v>
      </c>
    </row>
    <row r="694" spans="1:1">
      <c r="A694" t="s">
        <v>787</v>
      </c>
    </row>
    <row r="695" spans="1:1">
      <c r="A695" t="s">
        <v>788</v>
      </c>
    </row>
    <row r="696" spans="1:1">
      <c r="A696" t="s">
        <v>1504</v>
      </c>
    </row>
    <row r="699" spans="1:1">
      <c r="A699" t="s">
        <v>795</v>
      </c>
    </row>
    <row r="700" spans="1:1">
      <c r="A700" t="s">
        <v>796</v>
      </c>
    </row>
    <row r="701" spans="1:1">
      <c r="A701" t="s">
        <v>797</v>
      </c>
    </row>
    <row r="703" spans="1:1">
      <c r="A703" t="s">
        <v>1505</v>
      </c>
    </row>
    <row r="704" spans="1:1">
      <c r="A704" t="s">
        <v>1506</v>
      </c>
    </row>
    <row r="706" spans="1:1">
      <c r="A706" t="s">
        <v>1507</v>
      </c>
    </row>
    <row r="707" spans="1:1">
      <c r="A707" t="s">
        <v>1508</v>
      </c>
    </row>
    <row r="708" spans="1:1">
      <c r="A708" t="s">
        <v>1509</v>
      </c>
    </row>
    <row r="710" spans="1:1">
      <c r="A710" t="s">
        <v>1676</v>
      </c>
    </row>
    <row r="711" spans="1:1">
      <c r="A711" t="s">
        <v>1695</v>
      </c>
    </row>
    <row r="712" spans="1:1">
      <c r="A712" t="s">
        <v>1677</v>
      </c>
    </row>
    <row r="713" spans="1:1">
      <c r="A713" s="1170" t="s">
        <v>1696</v>
      </c>
    </row>
    <row r="714" spans="1:1">
      <c r="A714" s="1170" t="s">
        <v>1697</v>
      </c>
    </row>
    <row r="715" spans="1:1">
      <c r="A715" s="1170" t="s">
        <v>1698</v>
      </c>
    </row>
    <row r="716" spans="1:1">
      <c r="A716" t="s">
        <v>1678</v>
      </c>
    </row>
    <row r="717" spans="1:1">
      <c r="A717" s="1170" t="s">
        <v>1699</v>
      </c>
    </row>
    <row r="718" spans="1:1">
      <c r="A718" s="1170" t="s">
        <v>1700</v>
      </c>
    </row>
    <row r="719" spans="1:1">
      <c r="A719" s="1170" t="s">
        <v>1701</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sheetPr codeName="Sheet26"/>
  <dimension ref="A1:A719"/>
  <sheetViews>
    <sheetView topLeftCell="A282" workbookViewId="0">
      <selection activeCell="A293" sqref="A293"/>
    </sheetView>
  </sheetViews>
  <sheetFormatPr defaultRowHeight="15"/>
  <cols>
    <col min="1" max="1" width="84.42578125" bestFit="1" customWidth="1"/>
  </cols>
  <sheetData>
    <row r="1" spans="1:1">
      <c r="A1" t="s">
        <v>167</v>
      </c>
    </row>
    <row r="2" spans="1:1">
      <c r="A2" t="s">
        <v>168</v>
      </c>
    </row>
    <row r="3" spans="1:1">
      <c r="A3" t="s">
        <v>150</v>
      </c>
    </row>
    <row r="4" spans="1:1">
      <c r="A4" t="s">
        <v>169</v>
      </c>
    </row>
    <row r="5" spans="1:1">
      <c r="A5" t="s">
        <v>170</v>
      </c>
    </row>
    <row r="6" spans="1:1">
      <c r="A6" t="s">
        <v>150</v>
      </c>
    </row>
    <row r="7" spans="1:1">
      <c r="A7" t="s">
        <v>171</v>
      </c>
    </row>
    <row r="8" spans="1:1">
      <c r="A8" t="s">
        <v>172</v>
      </c>
    </row>
    <row r="9" spans="1:1">
      <c r="A9" t="s">
        <v>173</v>
      </c>
    </row>
    <row r="10" spans="1:1">
      <c r="A10" t="s">
        <v>174</v>
      </c>
    </row>
    <row r="11" spans="1:1">
      <c r="A11" t="s">
        <v>175</v>
      </c>
    </row>
    <row r="12" spans="1:1">
      <c r="A12" t="s">
        <v>176</v>
      </c>
    </row>
    <row r="13" spans="1:1">
      <c r="A13" t="s">
        <v>172</v>
      </c>
    </row>
    <row r="14" spans="1:1">
      <c r="A14" t="s">
        <v>175</v>
      </c>
    </row>
    <row r="16" spans="1:1">
      <c r="A16" t="s">
        <v>177</v>
      </c>
    </row>
    <row r="17" spans="1:1">
      <c r="A17" t="s">
        <v>178</v>
      </c>
    </row>
    <row r="18" spans="1:1">
      <c r="A18" t="s">
        <v>179</v>
      </c>
    </row>
    <row r="20" spans="1:1">
      <c r="A20" t="s">
        <v>180</v>
      </c>
    </row>
    <row r="22" spans="1:1">
      <c r="A22" t="s">
        <v>181</v>
      </c>
    </row>
    <row r="24" spans="1:1">
      <c r="A24" t="s">
        <v>150</v>
      </c>
    </row>
    <row r="25" spans="1:1">
      <c r="A25" t="s">
        <v>182</v>
      </c>
    </row>
    <row r="26" spans="1:1">
      <c r="A26" t="s">
        <v>150</v>
      </c>
    </row>
    <row r="27" spans="1:1">
      <c r="A27" t="s">
        <v>183</v>
      </c>
    </row>
    <row r="28" spans="1:1">
      <c r="A28" t="s">
        <v>184</v>
      </c>
    </row>
    <row r="29" spans="1:1">
      <c r="A29" t="s">
        <v>185</v>
      </c>
    </row>
    <row r="30" spans="1:1">
      <c r="A30" t="s">
        <v>186</v>
      </c>
    </row>
    <row r="31" spans="1:1">
      <c r="A31" t="s">
        <v>187</v>
      </c>
    </row>
    <row r="32" spans="1:1">
      <c r="A32" t="s">
        <v>150</v>
      </c>
    </row>
    <row r="33" spans="1:1">
      <c r="A33" t="s">
        <v>188</v>
      </c>
    </row>
    <row r="34" spans="1:1">
      <c r="A34" t="s">
        <v>189</v>
      </c>
    </row>
    <row r="35" spans="1:1">
      <c r="A35" t="s">
        <v>190</v>
      </c>
    </row>
    <row r="36" spans="1:1">
      <c r="A36" t="s">
        <v>191</v>
      </c>
    </row>
    <row r="37" spans="1:1">
      <c r="A37" t="s">
        <v>192</v>
      </c>
    </row>
    <row r="39" spans="1:1">
      <c r="A39" t="s">
        <v>150</v>
      </c>
    </row>
    <row r="40" spans="1:1">
      <c r="A40" t="s">
        <v>150</v>
      </c>
    </row>
    <row r="41" spans="1:1">
      <c r="A41" t="s">
        <v>193</v>
      </c>
    </row>
    <row r="42" spans="1:1">
      <c r="A42" t="s">
        <v>150</v>
      </c>
    </row>
    <row r="43" spans="1:1">
      <c r="A43" t="s">
        <v>194</v>
      </c>
    </row>
    <row r="44" spans="1:1">
      <c r="A44" t="s">
        <v>195</v>
      </c>
    </row>
    <row r="45" spans="1:1">
      <c r="A45" t="s">
        <v>196</v>
      </c>
    </row>
    <row r="46" spans="1:1">
      <c r="A46" t="s">
        <v>197</v>
      </c>
    </row>
    <row r="47" spans="1:1">
      <c r="A47" t="s">
        <v>198</v>
      </c>
    </row>
    <row r="48" spans="1:1">
      <c r="A48" t="s">
        <v>199</v>
      </c>
    </row>
    <row r="49" spans="1:1">
      <c r="A49" t="s">
        <v>200</v>
      </c>
    </row>
    <row r="50" spans="1:1">
      <c r="A50" t="s">
        <v>201</v>
      </c>
    </row>
    <row r="52" spans="1:1">
      <c r="A52" t="s">
        <v>150</v>
      </c>
    </row>
    <row r="53" spans="1:1">
      <c r="A53" t="s">
        <v>150</v>
      </c>
    </row>
    <row r="54" spans="1:1">
      <c r="A54" t="s">
        <v>202</v>
      </c>
    </row>
    <row r="55" spans="1:1">
      <c r="A55" t="s">
        <v>150</v>
      </c>
    </row>
    <row r="56" spans="1:1">
      <c r="A56" t="s">
        <v>203</v>
      </c>
    </row>
    <row r="57" spans="1:1">
      <c r="A57" t="s">
        <v>204</v>
      </c>
    </row>
    <row r="58" spans="1:1">
      <c r="A58" t="s">
        <v>150</v>
      </c>
    </row>
    <row r="59" spans="1:1">
      <c r="A59" t="s">
        <v>205</v>
      </c>
    </row>
    <row r="60" spans="1:1">
      <c r="A60" t="s">
        <v>206</v>
      </c>
    </row>
    <row r="61" spans="1:1">
      <c r="A61" t="s">
        <v>207</v>
      </c>
    </row>
    <row r="62" spans="1:1">
      <c r="A62" t="s">
        <v>208</v>
      </c>
    </row>
    <row r="64" spans="1:1">
      <c r="A64" t="s">
        <v>209</v>
      </c>
    </row>
    <row r="65" spans="1:1">
      <c r="A65" t="s">
        <v>210</v>
      </c>
    </row>
    <row r="66" spans="1:1">
      <c r="A66" t="s">
        <v>211</v>
      </c>
    </row>
    <row r="67" spans="1:1">
      <c r="A67" t="s">
        <v>212</v>
      </c>
    </row>
    <row r="69" spans="1:1">
      <c r="A69" t="s">
        <v>150</v>
      </c>
    </row>
    <row r="70" spans="1:1">
      <c r="A70" t="s">
        <v>150</v>
      </c>
    </row>
    <row r="71" spans="1:1">
      <c r="A71" t="s">
        <v>213</v>
      </c>
    </row>
    <row r="72" spans="1:1">
      <c r="A72" t="s">
        <v>150</v>
      </c>
    </row>
    <row r="73" spans="1:1">
      <c r="A73" t="s">
        <v>214</v>
      </c>
    </row>
    <row r="74" spans="1:1">
      <c r="A74" t="s">
        <v>215</v>
      </c>
    </row>
    <row r="75" spans="1:1">
      <c r="A75" t="s">
        <v>216</v>
      </c>
    </row>
    <row r="76" spans="1:1">
      <c r="A76" t="s">
        <v>217</v>
      </c>
    </row>
    <row r="77" spans="1:1">
      <c r="A77" t="s">
        <v>218</v>
      </c>
    </row>
    <row r="78" spans="1:1">
      <c r="A78" t="s">
        <v>219</v>
      </c>
    </row>
    <row r="79" spans="1:1">
      <c r="A79" t="s">
        <v>220</v>
      </c>
    </row>
    <row r="81" spans="1:1">
      <c r="A81" t="s">
        <v>222</v>
      </c>
    </row>
    <row r="82" spans="1:1">
      <c r="A82" t="s">
        <v>150</v>
      </c>
    </row>
    <row r="83" spans="1:1">
      <c r="A83" t="s">
        <v>223</v>
      </c>
    </row>
    <row r="84" spans="1:1">
      <c r="A84" t="s">
        <v>224</v>
      </c>
    </row>
    <row r="85" spans="1:1">
      <c r="A85" t="s">
        <v>875</v>
      </c>
    </row>
    <row r="86" spans="1:1">
      <c r="A86" t="s">
        <v>876</v>
      </c>
    </row>
    <row r="88" spans="1:1">
      <c r="A88" t="s">
        <v>150</v>
      </c>
    </row>
    <row r="89" spans="1:1">
      <c r="A89" t="s">
        <v>225</v>
      </c>
    </row>
    <row r="90" spans="1:1">
      <c r="A90" t="s">
        <v>226</v>
      </c>
    </row>
    <row r="91" spans="1:1">
      <c r="A91" t="s">
        <v>227</v>
      </c>
    </row>
    <row r="92" spans="1:1">
      <c r="A92" t="s">
        <v>228</v>
      </c>
    </row>
    <row r="93" spans="1:1">
      <c r="A93" t="s">
        <v>229</v>
      </c>
    </row>
    <row r="94" spans="1:1">
      <c r="A94" t="s">
        <v>230</v>
      </c>
    </row>
    <row r="95" spans="1:1">
      <c r="A95" t="s">
        <v>231</v>
      </c>
    </row>
    <row r="96" spans="1:1">
      <c r="A96" t="s">
        <v>232</v>
      </c>
    </row>
    <row r="97" spans="1:1">
      <c r="A97" t="s">
        <v>233</v>
      </c>
    </row>
    <row r="98" spans="1:1">
      <c r="A98" t="s">
        <v>150</v>
      </c>
    </row>
    <row r="99" spans="1:1">
      <c r="A99" t="s">
        <v>234</v>
      </c>
    </row>
    <row r="100" spans="1:1">
      <c r="A100" t="s">
        <v>235</v>
      </c>
    </row>
    <row r="101" spans="1:1">
      <c r="A101" t="s">
        <v>236</v>
      </c>
    </row>
    <row r="103" spans="1:1">
      <c r="A103" t="s">
        <v>150</v>
      </c>
    </row>
    <row r="104" spans="1:1">
      <c r="A104" t="s">
        <v>237</v>
      </c>
    </row>
    <row r="105" spans="1:1">
      <c r="A105" t="s">
        <v>238</v>
      </c>
    </row>
    <row r="106" spans="1:1">
      <c r="A106" t="s">
        <v>239</v>
      </c>
    </row>
    <row r="107" spans="1:1">
      <c r="A107" t="s">
        <v>240</v>
      </c>
    </row>
    <row r="108" spans="1:1">
      <c r="A108" t="s">
        <v>241</v>
      </c>
    </row>
    <row r="109" spans="1:1">
      <c r="A109" t="s">
        <v>242</v>
      </c>
    </row>
    <row r="110" spans="1:1">
      <c r="A110" t="s">
        <v>150</v>
      </c>
    </row>
    <row r="111" spans="1:1">
      <c r="A111" t="s">
        <v>243</v>
      </c>
    </row>
    <row r="113" spans="1:1">
      <c r="A113" t="s">
        <v>244</v>
      </c>
    </row>
    <row r="114" spans="1:1">
      <c r="A114" t="s">
        <v>245</v>
      </c>
    </row>
    <row r="115" spans="1:1">
      <c r="A115" t="s">
        <v>246</v>
      </c>
    </row>
    <row r="116" spans="1:1">
      <c r="A116" t="s">
        <v>247</v>
      </c>
    </row>
    <row r="117" spans="1:1">
      <c r="A117" t="s">
        <v>248</v>
      </c>
    </row>
    <row r="118" spans="1:1">
      <c r="A118" t="s">
        <v>150</v>
      </c>
    </row>
    <row r="119" spans="1:1">
      <c r="A119" t="s">
        <v>249</v>
      </c>
    </row>
    <row r="121" spans="1:1">
      <c r="A121" t="s">
        <v>150</v>
      </c>
    </row>
    <row r="122" spans="1:1">
      <c r="A122" t="s">
        <v>250</v>
      </c>
    </row>
    <row r="123" spans="1:1">
      <c r="A123" t="s">
        <v>150</v>
      </c>
    </row>
    <row r="124" spans="1:1">
      <c r="A124" t="s">
        <v>251</v>
      </c>
    </row>
    <row r="125" spans="1:1">
      <c r="A125" t="s">
        <v>252</v>
      </c>
    </row>
    <row r="126" spans="1:1">
      <c r="A126" t="s">
        <v>253</v>
      </c>
    </row>
    <row r="127" spans="1:1">
      <c r="A127" t="s">
        <v>254</v>
      </c>
    </row>
    <row r="128" spans="1:1">
      <c r="A128" t="s">
        <v>150</v>
      </c>
    </row>
    <row r="129" spans="1:1">
      <c r="A129" t="s">
        <v>150</v>
      </c>
    </row>
    <row r="130" spans="1:1">
      <c r="A130" t="s">
        <v>255</v>
      </c>
    </row>
    <row r="131" spans="1:1">
      <c r="A131" t="s">
        <v>150</v>
      </c>
    </row>
    <row r="132" spans="1:1">
      <c r="A132" t="s">
        <v>256</v>
      </c>
    </row>
    <row r="134" spans="1:1">
      <c r="A134" t="s">
        <v>257</v>
      </c>
    </row>
    <row r="135" spans="1:1">
      <c r="A135" t="s">
        <v>258</v>
      </c>
    </row>
    <row r="136" spans="1:1">
      <c r="A136" t="s">
        <v>259</v>
      </c>
    </row>
    <row r="138" spans="1:1">
      <c r="A138" t="s">
        <v>260</v>
      </c>
    </row>
    <row r="139" spans="1:1">
      <c r="A139" t="s">
        <v>261</v>
      </c>
    </row>
    <row r="140" spans="1:1">
      <c r="A140" t="s">
        <v>1702</v>
      </c>
    </row>
    <row r="141" spans="1:1">
      <c r="A141" t="s">
        <v>1703</v>
      </c>
    </row>
    <row r="142" spans="1:1">
      <c r="A142" t="s">
        <v>1704</v>
      </c>
    </row>
    <row r="143" spans="1:1">
      <c r="A143" t="s">
        <v>1705</v>
      </c>
    </row>
    <row r="144" spans="1:1">
      <c r="A144" t="s">
        <v>1706</v>
      </c>
    </row>
    <row r="145" spans="1:1">
      <c r="A145" t="s">
        <v>1707</v>
      </c>
    </row>
    <row r="146" spans="1:1">
      <c r="A146" t="s">
        <v>268</v>
      </c>
    </row>
    <row r="147" spans="1:1">
      <c r="A147" t="s">
        <v>1708</v>
      </c>
    </row>
    <row r="149" spans="1:1">
      <c r="A149" t="s">
        <v>1709</v>
      </c>
    </row>
    <row r="150" spans="1:1">
      <c r="A150" t="s">
        <v>271</v>
      </c>
    </row>
    <row r="151" spans="1:1">
      <c r="A151" t="s">
        <v>272</v>
      </c>
    </row>
    <row r="152" spans="1:1">
      <c r="A152" t="s">
        <v>273</v>
      </c>
    </row>
    <row r="153" spans="1:1">
      <c r="A153" t="s">
        <v>274</v>
      </c>
    </row>
    <row r="154" spans="1:1">
      <c r="A154" t="s">
        <v>1710</v>
      </c>
    </row>
    <row r="155" spans="1:1">
      <c r="A155" t="s">
        <v>1711</v>
      </c>
    </row>
    <row r="156" spans="1:1">
      <c r="A156" t="s">
        <v>1712</v>
      </c>
    </row>
    <row r="158" spans="1:1">
      <c r="A158" t="s">
        <v>275</v>
      </c>
    </row>
    <row r="159" spans="1:1">
      <c r="A159" t="s">
        <v>276</v>
      </c>
    </row>
    <row r="160" spans="1:1">
      <c r="A160" t="s">
        <v>277</v>
      </c>
    </row>
    <row r="161" spans="1:1">
      <c r="A161" t="s">
        <v>278</v>
      </c>
    </row>
    <row r="162" spans="1:1">
      <c r="A162" t="s">
        <v>279</v>
      </c>
    </row>
    <row r="163" spans="1:1">
      <c r="A163" t="s">
        <v>280</v>
      </c>
    </row>
    <row r="164" spans="1:1">
      <c r="A164" t="s">
        <v>281</v>
      </c>
    </row>
    <row r="165" spans="1:1">
      <c r="A165" t="s">
        <v>282</v>
      </c>
    </row>
    <row r="166" spans="1:1">
      <c r="A166" t="s">
        <v>283</v>
      </c>
    </row>
    <row r="167" spans="1:1">
      <c r="A167" t="s">
        <v>284</v>
      </c>
    </row>
    <row r="168" spans="1:1">
      <c r="A168" t="s">
        <v>285</v>
      </c>
    </row>
    <row r="169" spans="1:1">
      <c r="A169" t="s">
        <v>286</v>
      </c>
    </row>
    <row r="170" spans="1:1">
      <c r="A170" t="s">
        <v>287</v>
      </c>
    </row>
    <row r="171" spans="1:1">
      <c r="A171" t="s">
        <v>288</v>
      </c>
    </row>
    <row r="172" spans="1:1">
      <c r="A172" t="s">
        <v>289</v>
      </c>
    </row>
    <row r="173" spans="1:1">
      <c r="A173" t="s">
        <v>290</v>
      </c>
    </row>
    <row r="174" spans="1:1">
      <c r="A174" t="s">
        <v>291</v>
      </c>
    </row>
    <row r="175" spans="1:1">
      <c r="A175" t="s">
        <v>292</v>
      </c>
    </row>
    <row r="177" spans="1:1">
      <c r="A177" t="s">
        <v>293</v>
      </c>
    </row>
    <row r="178" spans="1:1">
      <c r="A178" t="s">
        <v>294</v>
      </c>
    </row>
    <row r="179" spans="1:1">
      <c r="A179" t="s">
        <v>295</v>
      </c>
    </row>
    <row r="180" spans="1:1">
      <c r="A180" t="s">
        <v>296</v>
      </c>
    </row>
    <row r="181" spans="1:1">
      <c r="A181" t="s">
        <v>297</v>
      </c>
    </row>
    <row r="182" spans="1:1">
      <c r="A182" t="s">
        <v>298</v>
      </c>
    </row>
    <row r="183" spans="1:1">
      <c r="A183" t="s">
        <v>299</v>
      </c>
    </row>
    <row r="184" spans="1:1">
      <c r="A184" t="s">
        <v>300</v>
      </c>
    </row>
    <row r="185" spans="1:1">
      <c r="A185" t="s">
        <v>301</v>
      </c>
    </row>
    <row r="187" spans="1:1">
      <c r="A187" t="s">
        <v>150</v>
      </c>
    </row>
    <row r="188" spans="1:1">
      <c r="A188" t="s">
        <v>302</v>
      </c>
    </row>
    <row r="189" spans="1:1">
      <c r="A189" t="s">
        <v>303</v>
      </c>
    </row>
    <row r="190" spans="1:1">
      <c r="A190" t="s">
        <v>150</v>
      </c>
    </row>
    <row r="191" spans="1:1">
      <c r="A191" t="s">
        <v>304</v>
      </c>
    </row>
    <row r="192" spans="1:1">
      <c r="A192" t="s">
        <v>305</v>
      </c>
    </row>
    <row r="193" spans="1:1">
      <c r="A193" t="s">
        <v>306</v>
      </c>
    </row>
    <row r="194" spans="1:1">
      <c r="A194" t="s">
        <v>307</v>
      </c>
    </row>
    <row r="195" spans="1:1">
      <c r="A195" t="s">
        <v>308</v>
      </c>
    </row>
    <row r="196" spans="1:1">
      <c r="A196" t="s">
        <v>309</v>
      </c>
    </row>
    <row r="197" spans="1:1">
      <c r="A197" t="s">
        <v>310</v>
      </c>
    </row>
    <row r="198" spans="1:1">
      <c r="A198" t="s">
        <v>881</v>
      </c>
    </row>
    <row r="199" spans="1:1">
      <c r="A199" t="s">
        <v>312</v>
      </c>
    </row>
    <row r="200" spans="1:1">
      <c r="A200" t="s">
        <v>313</v>
      </c>
    </row>
    <row r="201" spans="1:1">
      <c r="A201" t="s">
        <v>314</v>
      </c>
    </row>
    <row r="203" spans="1:1">
      <c r="A203" t="s">
        <v>315</v>
      </c>
    </row>
    <row r="204" spans="1:1">
      <c r="A204" t="s">
        <v>316</v>
      </c>
    </row>
    <row r="205" spans="1:1">
      <c r="A205" t="s">
        <v>317</v>
      </c>
    </row>
    <row r="206" spans="1:1">
      <c r="A206" t="s">
        <v>318</v>
      </c>
    </row>
    <row r="207" spans="1:1">
      <c r="A207" t="s">
        <v>319</v>
      </c>
    </row>
    <row r="209" spans="1:1">
      <c r="A209" t="s">
        <v>320</v>
      </c>
    </row>
    <row r="210" spans="1:1">
      <c r="A210" t="s">
        <v>321</v>
      </c>
    </row>
    <row r="211" spans="1:1">
      <c r="A211" t="s">
        <v>322</v>
      </c>
    </row>
    <row r="212" spans="1:1">
      <c r="A212" t="s">
        <v>323</v>
      </c>
    </row>
    <row r="213" spans="1:1">
      <c r="A213" t="s">
        <v>324</v>
      </c>
    </row>
    <row r="215" spans="1:1">
      <c r="A215" t="s">
        <v>325</v>
      </c>
    </row>
    <row r="216" spans="1:1">
      <c r="A216" t="s">
        <v>326</v>
      </c>
    </row>
    <row r="217" spans="1:1">
      <c r="A217" t="s">
        <v>327</v>
      </c>
    </row>
    <row r="218" spans="1:1">
      <c r="A218" t="s">
        <v>328</v>
      </c>
    </row>
    <row r="219" spans="1:1">
      <c r="A219" t="s">
        <v>329</v>
      </c>
    </row>
    <row r="220" spans="1:1">
      <c r="A220" t="s">
        <v>330</v>
      </c>
    </row>
    <row r="222" spans="1:1">
      <c r="A222" t="s">
        <v>331</v>
      </c>
    </row>
    <row r="223" spans="1:1">
      <c r="A223" t="s">
        <v>332</v>
      </c>
    </row>
    <row r="224" spans="1:1">
      <c r="A224" t="s">
        <v>333</v>
      </c>
    </row>
    <row r="225" spans="1:1">
      <c r="A225" t="s">
        <v>334</v>
      </c>
    </row>
    <row r="227" spans="1:1">
      <c r="A227" t="s">
        <v>335</v>
      </c>
    </row>
    <row r="228" spans="1:1">
      <c r="A228" t="s">
        <v>336</v>
      </c>
    </row>
    <row r="229" spans="1:1">
      <c r="A229" t="s">
        <v>337</v>
      </c>
    </row>
    <row r="230" spans="1:1">
      <c r="A230" t="s">
        <v>338</v>
      </c>
    </row>
    <row r="231" spans="1:1">
      <c r="A231" t="s">
        <v>339</v>
      </c>
    </row>
    <row r="233" spans="1:1">
      <c r="A233" t="s">
        <v>340</v>
      </c>
    </row>
    <row r="234" spans="1:1">
      <c r="A234" t="s">
        <v>341</v>
      </c>
    </row>
    <row r="235" spans="1:1">
      <c r="A235" t="s">
        <v>342</v>
      </c>
    </row>
    <row r="236" spans="1:1">
      <c r="A236" t="s">
        <v>343</v>
      </c>
    </row>
    <row r="237" spans="1:1">
      <c r="A237" t="s">
        <v>344</v>
      </c>
    </row>
    <row r="238" spans="1:1">
      <c r="A238" t="s">
        <v>345</v>
      </c>
    </row>
    <row r="239" spans="1:1">
      <c r="A239" t="s">
        <v>346</v>
      </c>
    </row>
    <row r="241" spans="1:1">
      <c r="A241" t="s">
        <v>347</v>
      </c>
    </row>
    <row r="242" spans="1:1">
      <c r="A242" t="s">
        <v>348</v>
      </c>
    </row>
    <row r="243" spans="1:1">
      <c r="A243" t="s">
        <v>349</v>
      </c>
    </row>
    <row r="244" spans="1:1">
      <c r="A244" t="s">
        <v>350</v>
      </c>
    </row>
    <row r="245" spans="1:1">
      <c r="A245" t="s">
        <v>351</v>
      </c>
    </row>
    <row r="247" spans="1:1">
      <c r="A247" t="s">
        <v>352</v>
      </c>
    </row>
    <row r="248" spans="1:1">
      <c r="A248" t="s">
        <v>353</v>
      </c>
    </row>
    <row r="250" spans="1:1">
      <c r="A250" t="s">
        <v>354</v>
      </c>
    </row>
    <row r="251" spans="1:1">
      <c r="A251" t="s">
        <v>355</v>
      </c>
    </row>
    <row r="252" spans="1:1">
      <c r="A252" t="s">
        <v>356</v>
      </c>
    </row>
    <row r="255" spans="1:1">
      <c r="A255" t="s">
        <v>150</v>
      </c>
    </row>
    <row r="256" spans="1:1">
      <c r="A256" t="s">
        <v>357</v>
      </c>
    </row>
    <row r="257" spans="1:1">
      <c r="A257" t="s">
        <v>150</v>
      </c>
    </row>
    <row r="258" spans="1:1">
      <c r="A258" t="s">
        <v>358</v>
      </c>
    </row>
    <row r="259" spans="1:1">
      <c r="A259" t="s">
        <v>359</v>
      </c>
    </row>
    <row r="260" spans="1:1">
      <c r="A260" t="s">
        <v>360</v>
      </c>
    </row>
    <row r="261" spans="1:1">
      <c r="A261" t="s">
        <v>363</v>
      </c>
    </row>
    <row r="262" spans="1:1">
      <c r="A262" t="s">
        <v>364</v>
      </c>
    </row>
    <row r="263" spans="1:1">
      <c r="A263" t="s">
        <v>365</v>
      </c>
    </row>
    <row r="264" spans="1:1">
      <c r="A264" t="s">
        <v>366</v>
      </c>
    </row>
    <row r="266" spans="1:1">
      <c r="A266" t="s">
        <v>150</v>
      </c>
    </row>
    <row r="267" spans="1:1">
      <c r="A267" t="s">
        <v>150</v>
      </c>
    </row>
    <row r="268" spans="1:1">
      <c r="A268" t="s">
        <v>367</v>
      </c>
    </row>
    <row r="269" spans="1:1">
      <c r="A269" t="s">
        <v>150</v>
      </c>
    </row>
    <row r="270" spans="1:1">
      <c r="A270" t="s">
        <v>368</v>
      </c>
    </row>
    <row r="271" spans="1:1">
      <c r="A271" t="s">
        <v>369</v>
      </c>
    </row>
    <row r="272" spans="1:1">
      <c r="A272" t="s">
        <v>370</v>
      </c>
    </row>
    <row r="273" spans="1:1">
      <c r="A273" t="s">
        <v>371</v>
      </c>
    </row>
    <row r="274" spans="1:1">
      <c r="A274" t="s">
        <v>372</v>
      </c>
    </row>
    <row r="275" spans="1:1">
      <c r="A275" t="s">
        <v>373</v>
      </c>
    </row>
    <row r="277" spans="1:1">
      <c r="A277" t="s">
        <v>383</v>
      </c>
    </row>
    <row r="278" spans="1:1">
      <c r="A278" t="s">
        <v>385</v>
      </c>
    </row>
    <row r="279" spans="1:1">
      <c r="A279" t="s">
        <v>386</v>
      </c>
    </row>
    <row r="281" spans="1:1">
      <c r="A281" t="s">
        <v>387</v>
      </c>
    </row>
    <row r="282" spans="1:1">
      <c r="A282" t="s">
        <v>1713</v>
      </c>
    </row>
    <row r="283" spans="1:1">
      <c r="A283" t="s">
        <v>1714</v>
      </c>
    </row>
    <row r="284" spans="1:1">
      <c r="A284" t="s">
        <v>390</v>
      </c>
    </row>
    <row r="286" spans="1:1">
      <c r="A286" t="s">
        <v>391</v>
      </c>
    </row>
    <row r="287" spans="1:1">
      <c r="A287" t="s">
        <v>392</v>
      </c>
    </row>
    <row r="288" spans="1:1">
      <c r="A288" t="s">
        <v>393</v>
      </c>
    </row>
    <row r="289" spans="1:1">
      <c r="A289" t="s">
        <v>394</v>
      </c>
    </row>
    <row r="291" spans="1:1">
      <c r="A291" t="s">
        <v>395</v>
      </c>
    </row>
    <row r="292" spans="1:1">
      <c r="A292" t="s">
        <v>1715</v>
      </c>
    </row>
    <row r="293" spans="1:1">
      <c r="A293" s="485" t="s">
        <v>1252</v>
      </c>
    </row>
    <row r="294" spans="1:1">
      <c r="A294" t="s">
        <v>1253</v>
      </c>
    </row>
    <row r="295" spans="1:1">
      <c r="A295" t="s">
        <v>1716</v>
      </c>
    </row>
    <row r="296" spans="1:1">
      <c r="A296" t="s">
        <v>397</v>
      </c>
    </row>
    <row r="297" spans="1:1">
      <c r="A297" t="s">
        <v>398</v>
      </c>
    </row>
    <row r="298" spans="1:1">
      <c r="A298" t="s">
        <v>399</v>
      </c>
    </row>
    <row r="299" spans="1:1">
      <c r="A299" t="s">
        <v>400</v>
      </c>
    </row>
    <row r="300" spans="1:1">
      <c r="A300" s="485" t="s">
        <v>1717</v>
      </c>
    </row>
    <row r="301" spans="1:1">
      <c r="A301" s="485" t="s">
        <v>1718</v>
      </c>
    </row>
    <row r="302" spans="1:1">
      <c r="A302" t="s">
        <v>403</v>
      </c>
    </row>
    <row r="303" spans="1:1">
      <c r="A303" t="s">
        <v>404</v>
      </c>
    </row>
    <row r="304" spans="1:1">
      <c r="A304" t="s">
        <v>405</v>
      </c>
    </row>
    <row r="305" spans="1:1">
      <c r="A305" t="s">
        <v>406</v>
      </c>
    </row>
    <row r="306" spans="1:1">
      <c r="A306" t="s">
        <v>407</v>
      </c>
    </row>
    <row r="307" spans="1:1">
      <c r="A307" t="s">
        <v>408</v>
      </c>
    </row>
    <row r="309" spans="1:1">
      <c r="A309" t="s">
        <v>410</v>
      </c>
    </row>
    <row r="310" spans="1:1">
      <c r="A310" t="s">
        <v>150</v>
      </c>
    </row>
    <row r="311" spans="1:1">
      <c r="A311" t="s">
        <v>150</v>
      </c>
    </row>
    <row r="312" spans="1:1">
      <c r="A312" t="s">
        <v>411</v>
      </c>
    </row>
    <row r="313" spans="1:1">
      <c r="A313" t="s">
        <v>412</v>
      </c>
    </row>
    <row r="314" spans="1:1">
      <c r="A314" t="s">
        <v>150</v>
      </c>
    </row>
    <row r="315" spans="1:1">
      <c r="A315" t="s">
        <v>413</v>
      </c>
    </row>
    <row r="316" spans="1:1">
      <c r="A316" t="s">
        <v>414</v>
      </c>
    </row>
    <row r="317" spans="1:1">
      <c r="A317" t="s">
        <v>415</v>
      </c>
    </row>
    <row r="318" spans="1:1">
      <c r="A318" t="s">
        <v>416</v>
      </c>
    </row>
    <row r="319" spans="1:1">
      <c r="A319" t="s">
        <v>150</v>
      </c>
    </row>
    <row r="320" spans="1:1">
      <c r="A320" t="s">
        <v>150</v>
      </c>
    </row>
    <row r="321" spans="1:1">
      <c r="A321" t="s">
        <v>417</v>
      </c>
    </row>
    <row r="322" spans="1:1">
      <c r="A322" t="s">
        <v>418</v>
      </c>
    </row>
    <row r="323" spans="1:1">
      <c r="A323" t="s">
        <v>150</v>
      </c>
    </row>
    <row r="324" spans="1:1">
      <c r="A324" t="s">
        <v>419</v>
      </c>
    </row>
    <row r="325" spans="1:1">
      <c r="A325" t="s">
        <v>150</v>
      </c>
    </row>
    <row r="326" spans="1:1">
      <c r="A326" t="s">
        <v>420</v>
      </c>
    </row>
    <row r="327" spans="1:1">
      <c r="A327" t="s">
        <v>421</v>
      </c>
    </row>
    <row r="328" spans="1:1">
      <c r="A328" t="s">
        <v>422</v>
      </c>
    </row>
    <row r="329" spans="1:1">
      <c r="A329" t="s">
        <v>423</v>
      </c>
    </row>
    <row r="330" spans="1:1">
      <c r="A330" t="s">
        <v>150</v>
      </c>
    </row>
    <row r="331" spans="1:1">
      <c r="A331" t="s">
        <v>424</v>
      </c>
    </row>
    <row r="332" spans="1:1">
      <c r="A332" t="s">
        <v>425</v>
      </c>
    </row>
    <row r="333" spans="1:1">
      <c r="A333" t="s">
        <v>426</v>
      </c>
    </row>
    <row r="334" spans="1:1">
      <c r="A334" t="s">
        <v>427</v>
      </c>
    </row>
    <row r="335" spans="1:1">
      <c r="A335" t="s">
        <v>428</v>
      </c>
    </row>
    <row r="336" spans="1:1">
      <c r="A336" t="s">
        <v>429</v>
      </c>
    </row>
    <row r="337" spans="1:1">
      <c r="A337" t="s">
        <v>150</v>
      </c>
    </row>
    <row r="338" spans="1:1">
      <c r="A338" t="s">
        <v>430</v>
      </c>
    </row>
    <row r="339" spans="1:1">
      <c r="A339" t="s">
        <v>150</v>
      </c>
    </row>
    <row r="340" spans="1:1">
      <c r="A340" t="s">
        <v>431</v>
      </c>
    </row>
    <row r="341" spans="1:1">
      <c r="A341" t="s">
        <v>432</v>
      </c>
    </row>
    <row r="342" spans="1:1">
      <c r="A342" t="s">
        <v>433</v>
      </c>
    </row>
    <row r="344" spans="1:1">
      <c r="A344" t="s">
        <v>437</v>
      </c>
    </row>
    <row r="345" spans="1:1">
      <c r="A345" t="s">
        <v>150</v>
      </c>
    </row>
    <row r="346" spans="1:1">
      <c r="A346" t="s">
        <v>438</v>
      </c>
    </row>
    <row r="347" spans="1:1">
      <c r="A347" t="s">
        <v>439</v>
      </c>
    </row>
    <row r="348" spans="1:1">
      <c r="A348" t="s">
        <v>440</v>
      </c>
    </row>
    <row r="349" spans="1:1">
      <c r="A349" t="s">
        <v>441</v>
      </c>
    </row>
    <row r="350" spans="1:1">
      <c r="A350" t="s">
        <v>442</v>
      </c>
    </row>
    <row r="351" spans="1:1">
      <c r="A351" t="s">
        <v>443</v>
      </c>
    </row>
    <row r="352" spans="1:1">
      <c r="A352" t="s">
        <v>444</v>
      </c>
    </row>
    <row r="353" spans="1:1">
      <c r="A353" t="s">
        <v>445</v>
      </c>
    </row>
    <row r="354" spans="1:1">
      <c r="A354" t="s">
        <v>446</v>
      </c>
    </row>
    <row r="355" spans="1:1">
      <c r="A355" t="s">
        <v>150</v>
      </c>
    </row>
    <row r="356" spans="1:1">
      <c r="A356" t="s">
        <v>447</v>
      </c>
    </row>
    <row r="357" spans="1:1">
      <c r="A357" t="s">
        <v>448</v>
      </c>
    </row>
    <row r="358" spans="1:1">
      <c r="A358" t="s">
        <v>150</v>
      </c>
    </row>
    <row r="359" spans="1:1">
      <c r="A359" t="s">
        <v>449</v>
      </c>
    </row>
    <row r="360" spans="1:1">
      <c r="A360" t="s">
        <v>450</v>
      </c>
    </row>
    <row r="361" spans="1:1">
      <c r="A361" t="s">
        <v>451</v>
      </c>
    </row>
    <row r="362" spans="1:1">
      <c r="A362" t="s">
        <v>452</v>
      </c>
    </row>
    <row r="363" spans="1:1">
      <c r="A363" t="s">
        <v>453</v>
      </c>
    </row>
    <row r="364" spans="1:1">
      <c r="A364" t="s">
        <v>454</v>
      </c>
    </row>
    <row r="366" spans="1:1">
      <c r="A366" t="s">
        <v>150</v>
      </c>
    </row>
    <row r="367" spans="1:1">
      <c r="A367" t="s">
        <v>455</v>
      </c>
    </row>
    <row r="368" spans="1:1">
      <c r="A368" t="s">
        <v>150</v>
      </c>
    </row>
    <row r="369" spans="1:1">
      <c r="A369" t="s">
        <v>456</v>
      </c>
    </row>
    <row r="370" spans="1:1">
      <c r="A370" t="s">
        <v>457</v>
      </c>
    </row>
    <row r="371" spans="1:1">
      <c r="A371" t="s">
        <v>458</v>
      </c>
    </row>
    <row r="372" spans="1:1">
      <c r="A372" t="s">
        <v>459</v>
      </c>
    </row>
    <row r="374" spans="1:1">
      <c r="A374" t="s">
        <v>469</v>
      </c>
    </row>
    <row r="375" spans="1:1">
      <c r="A375" t="s">
        <v>150</v>
      </c>
    </row>
    <row r="376" spans="1:1">
      <c r="A376" t="s">
        <v>470</v>
      </c>
    </row>
    <row r="377" spans="1:1">
      <c r="A377" t="s">
        <v>150</v>
      </c>
    </row>
    <row r="378" spans="1:1">
      <c r="A378" t="s">
        <v>471</v>
      </c>
    </row>
    <row r="379" spans="1:1">
      <c r="A379" t="s">
        <v>472</v>
      </c>
    </row>
    <row r="381" spans="1:1">
      <c r="A381" t="s">
        <v>473</v>
      </c>
    </row>
    <row r="382" spans="1:1">
      <c r="A382" t="s">
        <v>474</v>
      </c>
    </row>
    <row r="383" spans="1:1">
      <c r="A383" t="s">
        <v>475</v>
      </c>
    </row>
    <row r="384" spans="1:1">
      <c r="A384" t="s">
        <v>476</v>
      </c>
    </row>
    <row r="385" spans="1:1">
      <c r="A385" t="s">
        <v>477</v>
      </c>
    </row>
    <row r="386" spans="1:1">
      <c r="A386" t="s">
        <v>150</v>
      </c>
    </row>
    <row r="387" spans="1:1">
      <c r="A387" t="s">
        <v>478</v>
      </c>
    </row>
    <row r="388" spans="1:1">
      <c r="A388" t="s">
        <v>479</v>
      </c>
    </row>
    <row r="389" spans="1:1">
      <c r="A389" t="s">
        <v>1501</v>
      </c>
    </row>
    <row r="390" spans="1:1">
      <c r="A390" t="s">
        <v>481</v>
      </c>
    </row>
    <row r="392" spans="1:1">
      <c r="A392" t="s">
        <v>482</v>
      </c>
    </row>
    <row r="393" spans="1:1">
      <c r="A393" t="s">
        <v>483</v>
      </c>
    </row>
    <row r="394" spans="1:1">
      <c r="A394" t="s">
        <v>150</v>
      </c>
    </row>
    <row r="395" spans="1:1">
      <c r="A395" t="s">
        <v>150</v>
      </c>
    </row>
    <row r="396" spans="1:1">
      <c r="A396" t="s">
        <v>484</v>
      </c>
    </row>
    <row r="397" spans="1:1">
      <c r="A397" t="s">
        <v>485</v>
      </c>
    </row>
    <row r="398" spans="1:1">
      <c r="A398" t="s">
        <v>150</v>
      </c>
    </row>
    <row r="399" spans="1:1">
      <c r="A399" t="s">
        <v>486</v>
      </c>
    </row>
    <row r="401" spans="1:1">
      <c r="A401" t="s">
        <v>487</v>
      </c>
    </row>
    <row r="402" spans="1:1">
      <c r="A402" t="s">
        <v>488</v>
      </c>
    </row>
    <row r="403" spans="1:1">
      <c r="A403" t="s">
        <v>489</v>
      </c>
    </row>
    <row r="404" spans="1:1">
      <c r="A404" t="s">
        <v>490</v>
      </c>
    </row>
    <row r="405" spans="1:1">
      <c r="A405" t="s">
        <v>491</v>
      </c>
    </row>
    <row r="406" spans="1:1">
      <c r="A406" t="s">
        <v>492</v>
      </c>
    </row>
    <row r="408" spans="1:1">
      <c r="A408" t="s">
        <v>493</v>
      </c>
    </row>
    <row r="409" spans="1:1">
      <c r="A409" t="s">
        <v>494</v>
      </c>
    </row>
    <row r="410" spans="1:1">
      <c r="A410" t="s">
        <v>495</v>
      </c>
    </row>
    <row r="411" spans="1:1">
      <c r="A411" t="s">
        <v>496</v>
      </c>
    </row>
    <row r="412" spans="1:1">
      <c r="A412" t="s">
        <v>497</v>
      </c>
    </row>
    <row r="414" spans="1:1">
      <c r="A414" t="s">
        <v>498</v>
      </c>
    </row>
    <row r="415" spans="1:1">
      <c r="A415" t="s">
        <v>499</v>
      </c>
    </row>
    <row r="416" spans="1:1">
      <c r="A416" t="s">
        <v>500</v>
      </c>
    </row>
    <row r="417" spans="1:1">
      <c r="A417" t="s">
        <v>501</v>
      </c>
    </row>
    <row r="418" spans="1:1">
      <c r="A418" t="s">
        <v>502</v>
      </c>
    </row>
    <row r="419" spans="1:1">
      <c r="A419" t="s">
        <v>503</v>
      </c>
    </row>
    <row r="421" spans="1:1">
      <c r="A421" t="s">
        <v>504</v>
      </c>
    </row>
    <row r="422" spans="1:1">
      <c r="A422" t="s">
        <v>505</v>
      </c>
    </row>
    <row r="423" spans="1:1">
      <c r="A423" t="s">
        <v>506</v>
      </c>
    </row>
    <row r="424" spans="1:1">
      <c r="A424" t="s">
        <v>507</v>
      </c>
    </row>
    <row r="425" spans="1:1">
      <c r="A425" t="s">
        <v>508</v>
      </c>
    </row>
    <row r="427" spans="1:1">
      <c r="A427" t="s">
        <v>509</v>
      </c>
    </row>
    <row r="428" spans="1:1">
      <c r="A428" t="s">
        <v>510</v>
      </c>
    </row>
    <row r="429" spans="1:1">
      <c r="A429" t="s">
        <v>511</v>
      </c>
    </row>
    <row r="430" spans="1:1">
      <c r="A430" t="s">
        <v>512</v>
      </c>
    </row>
    <row r="431" spans="1:1">
      <c r="A431" t="s">
        <v>513</v>
      </c>
    </row>
    <row r="433" spans="1:1">
      <c r="A433" t="s">
        <v>514</v>
      </c>
    </row>
    <row r="434" spans="1:1">
      <c r="A434" t="s">
        <v>515</v>
      </c>
    </row>
    <row r="435" spans="1:1">
      <c r="A435" t="s">
        <v>516</v>
      </c>
    </row>
    <row r="436" spans="1:1">
      <c r="A436" t="s">
        <v>517</v>
      </c>
    </row>
    <row r="437" spans="1:1">
      <c r="A437" t="s">
        <v>518</v>
      </c>
    </row>
    <row r="439" spans="1:1">
      <c r="A439" t="s">
        <v>150</v>
      </c>
    </row>
    <row r="440" spans="1:1">
      <c r="A440" t="s">
        <v>150</v>
      </c>
    </row>
    <row r="441" spans="1:1">
      <c r="A441" t="s">
        <v>519</v>
      </c>
    </row>
    <row r="442" spans="1:1">
      <c r="A442" t="s">
        <v>520</v>
      </c>
    </row>
    <row r="443" spans="1:1">
      <c r="A443" t="s">
        <v>521</v>
      </c>
    </row>
    <row r="444" spans="1:1">
      <c r="A444" t="s">
        <v>150</v>
      </c>
    </row>
    <row r="445" spans="1:1">
      <c r="A445" t="s">
        <v>522</v>
      </c>
    </row>
    <row r="446" spans="1:1">
      <c r="A446" t="s">
        <v>523</v>
      </c>
    </row>
    <row r="447" spans="1:1">
      <c r="A447" t="s">
        <v>524</v>
      </c>
    </row>
    <row r="448" spans="1:1">
      <c r="A448" t="s">
        <v>525</v>
      </c>
    </row>
    <row r="450" spans="1:1">
      <c r="A450" t="s">
        <v>526</v>
      </c>
    </row>
    <row r="451" spans="1:1">
      <c r="A451" t="s">
        <v>527</v>
      </c>
    </row>
    <row r="452" spans="1:1">
      <c r="A452" t="s">
        <v>528</v>
      </c>
    </row>
    <row r="453" spans="1:1">
      <c r="A453" t="s">
        <v>529</v>
      </c>
    </row>
    <row r="455" spans="1:1">
      <c r="A455" t="s">
        <v>530</v>
      </c>
    </row>
    <row r="456" spans="1:1">
      <c r="A456" t="s">
        <v>531</v>
      </c>
    </row>
    <row r="457" spans="1:1">
      <c r="A457" t="s">
        <v>532</v>
      </c>
    </row>
    <row r="458" spans="1:1">
      <c r="A458" t="s">
        <v>533</v>
      </c>
    </row>
    <row r="459" spans="1:1">
      <c r="A459" t="s">
        <v>534</v>
      </c>
    </row>
    <row r="460" spans="1:1">
      <c r="A460" t="s">
        <v>535</v>
      </c>
    </row>
    <row r="462" spans="1:1">
      <c r="A462" t="s">
        <v>536</v>
      </c>
    </row>
    <row r="463" spans="1:1">
      <c r="A463" t="s">
        <v>537</v>
      </c>
    </row>
    <row r="464" spans="1:1">
      <c r="A464" t="s">
        <v>538</v>
      </c>
    </row>
    <row r="466" spans="1:1">
      <c r="A466" t="s">
        <v>541</v>
      </c>
    </row>
    <row r="467" spans="1:1">
      <c r="A467" t="s">
        <v>542</v>
      </c>
    </row>
    <row r="468" spans="1:1">
      <c r="A468" t="s">
        <v>543</v>
      </c>
    </row>
    <row r="469" spans="1:1">
      <c r="A469" t="s">
        <v>545</v>
      </c>
    </row>
    <row r="470" spans="1:1">
      <c r="A470" t="s">
        <v>1719</v>
      </c>
    </row>
    <row r="471" spans="1:1">
      <c r="A471" t="s">
        <v>1720</v>
      </c>
    </row>
    <row r="473" spans="1:1">
      <c r="A473" t="s">
        <v>546</v>
      </c>
    </row>
    <row r="474" spans="1:1">
      <c r="A474" t="s">
        <v>547</v>
      </c>
    </row>
    <row r="475" spans="1:1">
      <c r="A475" t="s">
        <v>548</v>
      </c>
    </row>
    <row r="476" spans="1:1">
      <c r="A476" t="s">
        <v>549</v>
      </c>
    </row>
    <row r="477" spans="1:1">
      <c r="A477" t="s">
        <v>550</v>
      </c>
    </row>
    <row r="478" spans="1:1">
      <c r="A478" t="s">
        <v>551</v>
      </c>
    </row>
    <row r="479" spans="1:1">
      <c r="A479" t="s">
        <v>552</v>
      </c>
    </row>
    <row r="480" spans="1:1">
      <c r="A480" t="s">
        <v>553</v>
      </c>
    </row>
    <row r="481" spans="1:1">
      <c r="A481" t="s">
        <v>554</v>
      </c>
    </row>
    <row r="482" spans="1:1">
      <c r="A482" t="s">
        <v>555</v>
      </c>
    </row>
    <row r="483" spans="1:1">
      <c r="A483" t="s">
        <v>556</v>
      </c>
    </row>
    <row r="484" spans="1:1">
      <c r="A484" t="s">
        <v>557</v>
      </c>
    </row>
    <row r="485" spans="1:1">
      <c r="A485" t="s">
        <v>558</v>
      </c>
    </row>
    <row r="486" spans="1:1">
      <c r="A486" t="s">
        <v>559</v>
      </c>
    </row>
    <row r="487" spans="1:1">
      <c r="A487" t="s">
        <v>560</v>
      </c>
    </row>
    <row r="488" spans="1:1">
      <c r="A488" t="s">
        <v>561</v>
      </c>
    </row>
    <row r="489" spans="1:1">
      <c r="A489" t="s">
        <v>562</v>
      </c>
    </row>
    <row r="490" spans="1:1">
      <c r="A490" t="s">
        <v>563</v>
      </c>
    </row>
    <row r="491" spans="1:1">
      <c r="A491" t="s">
        <v>564</v>
      </c>
    </row>
    <row r="492" spans="1:1">
      <c r="A492" t="s">
        <v>565</v>
      </c>
    </row>
    <row r="493" spans="1:1">
      <c r="A493" t="s">
        <v>566</v>
      </c>
    </row>
    <row r="494" spans="1:1">
      <c r="A494" t="s">
        <v>567</v>
      </c>
    </row>
    <row r="495" spans="1:1">
      <c r="A495" t="s">
        <v>568</v>
      </c>
    </row>
    <row r="496" spans="1:1">
      <c r="A496" t="s">
        <v>569</v>
      </c>
    </row>
    <row r="497" spans="1:1">
      <c r="A497" t="s">
        <v>570</v>
      </c>
    </row>
    <row r="498" spans="1:1">
      <c r="A498" t="s">
        <v>571</v>
      </c>
    </row>
    <row r="499" spans="1:1">
      <c r="A499" t="s">
        <v>572</v>
      </c>
    </row>
    <row r="500" spans="1:1">
      <c r="A500" t="s">
        <v>573</v>
      </c>
    </row>
    <row r="501" spans="1:1">
      <c r="A501" t="s">
        <v>574</v>
      </c>
    </row>
    <row r="502" spans="1:1">
      <c r="A502" t="s">
        <v>575</v>
      </c>
    </row>
    <row r="503" spans="1:1">
      <c r="A503" t="s">
        <v>576</v>
      </c>
    </row>
    <row r="504" spans="1:1">
      <c r="A504" t="s">
        <v>577</v>
      </c>
    </row>
    <row r="506" spans="1:1">
      <c r="A506" t="s">
        <v>578</v>
      </c>
    </row>
    <row r="507" spans="1:1">
      <c r="A507" t="s">
        <v>579</v>
      </c>
    </row>
    <row r="508" spans="1:1">
      <c r="A508" t="s">
        <v>580</v>
      </c>
    </row>
    <row r="509" spans="1:1">
      <c r="A509" t="s">
        <v>581</v>
      </c>
    </row>
    <row r="510" spans="1:1">
      <c r="A510" t="s">
        <v>582</v>
      </c>
    </row>
    <row r="511" spans="1:1">
      <c r="A511" t="s">
        <v>583</v>
      </c>
    </row>
    <row r="512" spans="1:1">
      <c r="A512" t="s">
        <v>584</v>
      </c>
    </row>
    <row r="513" spans="1:1">
      <c r="A513" t="s">
        <v>585</v>
      </c>
    </row>
    <row r="514" spans="1:1">
      <c r="A514" t="s">
        <v>586</v>
      </c>
    </row>
    <row r="515" spans="1:1">
      <c r="A515" t="s">
        <v>578</v>
      </c>
    </row>
    <row r="517" spans="1:1">
      <c r="A517" t="s">
        <v>150</v>
      </c>
    </row>
    <row r="518" spans="1:1">
      <c r="A518" t="s">
        <v>587</v>
      </c>
    </row>
    <row r="519" spans="1:1">
      <c r="A519" t="s">
        <v>588</v>
      </c>
    </row>
    <row r="520" spans="1:1">
      <c r="A520" t="s">
        <v>589</v>
      </c>
    </row>
    <row r="521" spans="1:1">
      <c r="A521" t="s">
        <v>590</v>
      </c>
    </row>
    <row r="522" spans="1:1">
      <c r="A522" t="s">
        <v>591</v>
      </c>
    </row>
    <row r="523" spans="1:1">
      <c r="A523" t="s">
        <v>592</v>
      </c>
    </row>
    <row r="524" spans="1:1">
      <c r="A524" t="s">
        <v>150</v>
      </c>
    </row>
    <row r="525" spans="1:1">
      <c r="A525" t="s">
        <v>593</v>
      </c>
    </row>
    <row r="526" spans="1:1">
      <c r="A526" t="s">
        <v>594</v>
      </c>
    </row>
    <row r="527" spans="1:1">
      <c r="A527" t="s">
        <v>150</v>
      </c>
    </row>
    <row r="528" spans="1:1">
      <c r="A528" t="s">
        <v>150</v>
      </c>
    </row>
    <row r="529" spans="1:1">
      <c r="A529" t="s">
        <v>595</v>
      </c>
    </row>
    <row r="530" spans="1:1">
      <c r="A530" t="s">
        <v>596</v>
      </c>
    </row>
    <row r="531" spans="1:1">
      <c r="A531" t="s">
        <v>597</v>
      </c>
    </row>
    <row r="532" spans="1:1">
      <c r="A532" t="s">
        <v>598</v>
      </c>
    </row>
    <row r="533" spans="1:1">
      <c r="A533" t="s">
        <v>150</v>
      </c>
    </row>
    <row r="534" spans="1:1">
      <c r="A534" t="s">
        <v>599</v>
      </c>
    </row>
    <row r="536" spans="1:1">
      <c r="A536" t="s">
        <v>600</v>
      </c>
    </row>
    <row r="537" spans="1:1">
      <c r="A537" t="s">
        <v>601</v>
      </c>
    </row>
    <row r="538" spans="1:1">
      <c r="A538" t="s">
        <v>602</v>
      </c>
    </row>
    <row r="539" spans="1:1">
      <c r="A539" t="s">
        <v>603</v>
      </c>
    </row>
    <row r="540" spans="1:1">
      <c r="A540" t="s">
        <v>604</v>
      </c>
    </row>
    <row r="542" spans="1:1">
      <c r="A542" t="s">
        <v>605</v>
      </c>
    </row>
    <row r="543" spans="1:1">
      <c r="A543" t="s">
        <v>606</v>
      </c>
    </row>
    <row r="544" spans="1:1">
      <c r="A544" t="s">
        <v>607</v>
      </c>
    </row>
    <row r="545" spans="1:1">
      <c r="A545" t="s">
        <v>608</v>
      </c>
    </row>
    <row r="546" spans="1:1">
      <c r="A546" t="s">
        <v>150</v>
      </c>
    </row>
    <row r="547" spans="1:1">
      <c r="A547" t="s">
        <v>150</v>
      </c>
    </row>
    <row r="548" spans="1:1">
      <c r="A548" t="s">
        <v>609</v>
      </c>
    </row>
    <row r="549" spans="1:1">
      <c r="A549" t="s">
        <v>610</v>
      </c>
    </row>
    <row r="550" spans="1:1">
      <c r="A550" t="s">
        <v>611</v>
      </c>
    </row>
    <row r="551" spans="1:1">
      <c r="A551" t="s">
        <v>612</v>
      </c>
    </row>
    <row r="552" spans="1:1">
      <c r="A552" t="s">
        <v>150</v>
      </c>
    </row>
    <row r="553" spans="1:1">
      <c r="A553" t="s">
        <v>613</v>
      </c>
    </row>
    <row r="554" spans="1:1">
      <c r="A554" t="s">
        <v>614</v>
      </c>
    </row>
    <row r="555" spans="1:1">
      <c r="A555" t="s">
        <v>150</v>
      </c>
    </row>
    <row r="556" spans="1:1">
      <c r="A556" t="s">
        <v>150</v>
      </c>
    </row>
    <row r="557" spans="1:1">
      <c r="A557" t="s">
        <v>150</v>
      </c>
    </row>
    <row r="558" spans="1:1">
      <c r="A558" t="s">
        <v>615</v>
      </c>
    </row>
    <row r="559" spans="1:1">
      <c r="A559" t="s">
        <v>616</v>
      </c>
    </row>
    <row r="560" spans="1:1">
      <c r="A560" t="s">
        <v>617</v>
      </c>
    </row>
    <row r="561" spans="1:1">
      <c r="A561" t="s">
        <v>618</v>
      </c>
    </row>
    <row r="562" spans="1:1">
      <c r="A562" t="s">
        <v>150</v>
      </c>
    </row>
    <row r="563" spans="1:1">
      <c r="A563" t="s">
        <v>619</v>
      </c>
    </row>
    <row r="564" spans="1:1">
      <c r="A564" t="s">
        <v>150</v>
      </c>
    </row>
    <row r="565" spans="1:1">
      <c r="A565" t="s">
        <v>150</v>
      </c>
    </row>
    <row r="566" spans="1:1">
      <c r="A566" t="s">
        <v>620</v>
      </c>
    </row>
    <row r="567" spans="1:1">
      <c r="A567" t="s">
        <v>621</v>
      </c>
    </row>
    <row r="568" spans="1:1">
      <c r="A568" t="s">
        <v>622</v>
      </c>
    </row>
    <row r="569" spans="1:1">
      <c r="A569" t="s">
        <v>623</v>
      </c>
    </row>
    <row r="570" spans="1:1">
      <c r="A570" t="s">
        <v>624</v>
      </c>
    </row>
    <row r="571" spans="1:1">
      <c r="A571" t="s">
        <v>625</v>
      </c>
    </row>
    <row r="572" spans="1:1">
      <c r="A572" t="s">
        <v>150</v>
      </c>
    </row>
    <row r="573" spans="1:1">
      <c r="A573" t="s">
        <v>626</v>
      </c>
    </row>
    <row r="574" spans="1:1">
      <c r="A574" t="s">
        <v>627</v>
      </c>
    </row>
    <row r="575" spans="1:1">
      <c r="A575" t="s">
        <v>150</v>
      </c>
    </row>
    <row r="576" spans="1:1">
      <c r="A576" t="s">
        <v>150</v>
      </c>
    </row>
    <row r="577" spans="1:1">
      <c r="A577" t="s">
        <v>628</v>
      </c>
    </row>
    <row r="578" spans="1:1">
      <c r="A578" t="s">
        <v>629</v>
      </c>
    </row>
    <row r="579" spans="1:1">
      <c r="A579" t="s">
        <v>150</v>
      </c>
    </row>
    <row r="580" spans="1:1">
      <c r="A580" t="s">
        <v>630</v>
      </c>
    </row>
    <row r="581" spans="1:1">
      <c r="A581" t="s">
        <v>636</v>
      </c>
    </row>
    <row r="584" spans="1:1">
      <c r="A584" t="s">
        <v>637</v>
      </c>
    </row>
    <row r="585" spans="1:1">
      <c r="A585" t="s">
        <v>638</v>
      </c>
    </row>
    <row r="586" spans="1:1">
      <c r="A586" t="s">
        <v>639</v>
      </c>
    </row>
    <row r="587" spans="1:1">
      <c r="A587" t="s">
        <v>640</v>
      </c>
    </row>
    <row r="588" spans="1:1">
      <c r="A588" t="s">
        <v>641</v>
      </c>
    </row>
    <row r="589" spans="1:1">
      <c r="A589" t="s">
        <v>642</v>
      </c>
    </row>
    <row r="590" spans="1:1">
      <c r="A590" t="s">
        <v>643</v>
      </c>
    </row>
    <row r="591" spans="1:1">
      <c r="A591" t="s">
        <v>644</v>
      </c>
    </row>
    <row r="592" spans="1:1">
      <c r="A592" t="s">
        <v>645</v>
      </c>
    </row>
    <row r="593" spans="1:1">
      <c r="A593" t="s">
        <v>883</v>
      </c>
    </row>
    <row r="594" spans="1:1">
      <c r="A594" t="s">
        <v>656</v>
      </c>
    </row>
    <row r="595" spans="1:1">
      <c r="A595" t="s">
        <v>884</v>
      </c>
    </row>
    <row r="596" spans="1:1">
      <c r="A596" t="s">
        <v>646</v>
      </c>
    </row>
    <row r="597" spans="1:1">
      <c r="A597" t="s">
        <v>647</v>
      </c>
    </row>
    <row r="598" spans="1:1">
      <c r="A598" t="s">
        <v>648</v>
      </c>
    </row>
    <row r="599" spans="1:1">
      <c r="A599" t="s">
        <v>649</v>
      </c>
    </row>
    <row r="600" spans="1:1">
      <c r="A600" t="s">
        <v>650</v>
      </c>
    </row>
    <row r="601" spans="1:1">
      <c r="A601" t="s">
        <v>651</v>
      </c>
    </row>
    <row r="602" spans="1:1">
      <c r="A602" t="s">
        <v>652</v>
      </c>
    </row>
    <row r="603" spans="1:1">
      <c r="A603" t="s">
        <v>653</v>
      </c>
    </row>
    <row r="604" spans="1:1">
      <c r="A604" t="s">
        <v>654</v>
      </c>
    </row>
    <row r="605" spans="1:1">
      <c r="A605" t="s">
        <v>655</v>
      </c>
    </row>
    <row r="606" spans="1:1">
      <c r="A606" t="s">
        <v>656</v>
      </c>
    </row>
    <row r="607" spans="1:1">
      <c r="A607" t="s">
        <v>657</v>
      </c>
    </row>
    <row r="608" spans="1:1">
      <c r="A608" t="s">
        <v>886</v>
      </c>
    </row>
    <row r="609" spans="1:1">
      <c r="A609" t="s">
        <v>659</v>
      </c>
    </row>
    <row r="610" spans="1:1">
      <c r="A610" t="s">
        <v>660</v>
      </c>
    </row>
    <row r="611" spans="1:1">
      <c r="A611" t="s">
        <v>887</v>
      </c>
    </row>
    <row r="612" spans="1:1">
      <c r="A612" t="s">
        <v>662</v>
      </c>
    </row>
    <row r="613" spans="1:1">
      <c r="A613" t="s">
        <v>663</v>
      </c>
    </row>
    <row r="615" spans="1:1">
      <c r="A615" t="s">
        <v>664</v>
      </c>
    </row>
    <row r="616" spans="1:1">
      <c r="A616" t="s">
        <v>150</v>
      </c>
    </row>
    <row r="617" spans="1:1">
      <c r="A617" t="s">
        <v>665</v>
      </c>
    </row>
    <row r="618" spans="1:1">
      <c r="A618" t="s">
        <v>150</v>
      </c>
    </row>
    <row r="619" spans="1:1">
      <c r="A619" t="s">
        <v>666</v>
      </c>
    </row>
    <row r="620" spans="1:1">
      <c r="A620" t="s">
        <v>667</v>
      </c>
    </row>
    <row r="621" spans="1:1">
      <c r="A621" t="s">
        <v>668</v>
      </c>
    </row>
    <row r="622" spans="1:1">
      <c r="A622" t="s">
        <v>150</v>
      </c>
    </row>
    <row r="623" spans="1:1">
      <c r="A623" t="s">
        <v>669</v>
      </c>
    </row>
    <row r="624" spans="1:1">
      <c r="A624" t="s">
        <v>670</v>
      </c>
    </row>
    <row r="625" spans="1:1">
      <c r="A625" t="s">
        <v>671</v>
      </c>
    </row>
    <row r="626" spans="1:1">
      <c r="A626" t="s">
        <v>150</v>
      </c>
    </row>
    <row r="627" spans="1:1">
      <c r="A627" t="s">
        <v>672</v>
      </c>
    </row>
    <row r="628" spans="1:1">
      <c r="A628" t="s">
        <v>673</v>
      </c>
    </row>
    <row r="629" spans="1:1">
      <c r="A629" t="s">
        <v>150</v>
      </c>
    </row>
    <row r="630" spans="1:1">
      <c r="A630" t="s">
        <v>674</v>
      </c>
    </row>
    <row r="631" spans="1:1">
      <c r="A631" t="s">
        <v>675</v>
      </c>
    </row>
    <row r="632" spans="1:1">
      <c r="A632" t="s">
        <v>676</v>
      </c>
    </row>
    <row r="633" spans="1:1">
      <c r="A633" t="s">
        <v>677</v>
      </c>
    </row>
    <row r="634" spans="1:1">
      <c r="A634" t="s">
        <v>150</v>
      </c>
    </row>
    <row r="635" spans="1:1">
      <c r="A635" t="s">
        <v>678</v>
      </c>
    </row>
    <row r="636" spans="1:1">
      <c r="A636" t="s">
        <v>679</v>
      </c>
    </row>
    <row r="637" spans="1:1">
      <c r="A637" t="s">
        <v>680</v>
      </c>
    </row>
    <row r="638" spans="1:1">
      <c r="A638" t="s">
        <v>681</v>
      </c>
    </row>
    <row r="639" spans="1:1">
      <c r="A639" t="s">
        <v>682</v>
      </c>
    </row>
    <row r="641" spans="1:1">
      <c r="A641" t="s">
        <v>683</v>
      </c>
    </row>
    <row r="642" spans="1:1">
      <c r="A642" t="s">
        <v>684</v>
      </c>
    </row>
    <row r="643" spans="1:1">
      <c r="A643" t="s">
        <v>685</v>
      </c>
    </row>
    <row r="644" spans="1:1">
      <c r="A644" t="s">
        <v>686</v>
      </c>
    </row>
    <row r="645" spans="1:1">
      <c r="A645" t="s">
        <v>687</v>
      </c>
    </row>
    <row r="646" spans="1:1">
      <c r="A646" t="s">
        <v>688</v>
      </c>
    </row>
    <row r="647" spans="1:1">
      <c r="A647" t="s">
        <v>689</v>
      </c>
    </row>
    <row r="648" spans="1:1">
      <c r="A648" t="s">
        <v>690</v>
      </c>
    </row>
    <row r="649" spans="1:1">
      <c r="A649" t="s">
        <v>691</v>
      </c>
    </row>
    <row r="650" spans="1:1">
      <c r="A650" t="s">
        <v>692</v>
      </c>
    </row>
    <row r="651" spans="1:1">
      <c r="A651" t="s">
        <v>693</v>
      </c>
    </row>
    <row r="652" spans="1:1">
      <c r="A652" t="s">
        <v>694</v>
      </c>
    </row>
    <row r="653" spans="1:1">
      <c r="A653" t="s">
        <v>695</v>
      </c>
    </row>
    <row r="654" spans="1:1">
      <c r="A654" t="s">
        <v>696</v>
      </c>
    </row>
    <row r="657" spans="1:1">
      <c r="A657" t="s">
        <v>739</v>
      </c>
    </row>
    <row r="658" spans="1:1">
      <c r="A658" t="s">
        <v>744</v>
      </c>
    </row>
    <row r="659" spans="1:1">
      <c r="A659" t="s">
        <v>746</v>
      </c>
    </row>
    <row r="660" spans="1:1">
      <c r="A660" t="s">
        <v>747</v>
      </c>
    </row>
    <row r="661" spans="1:1">
      <c r="A661" t="s">
        <v>748</v>
      </c>
    </row>
    <row r="662" spans="1:1">
      <c r="A662" t="s">
        <v>1502</v>
      </c>
    </row>
    <row r="663" spans="1:1">
      <c r="A663" t="s">
        <v>750</v>
      </c>
    </row>
    <row r="664" spans="1:1">
      <c r="A664" t="s">
        <v>751</v>
      </c>
    </row>
    <row r="665" spans="1:1">
      <c r="A665" t="s">
        <v>1503</v>
      </c>
    </row>
    <row r="666" spans="1:1">
      <c r="A666" t="s">
        <v>753</v>
      </c>
    </row>
    <row r="667" spans="1:1">
      <c r="A667" t="s">
        <v>754</v>
      </c>
    </row>
    <row r="668" spans="1:1">
      <c r="A668" t="s">
        <v>755</v>
      </c>
    </row>
    <row r="669" spans="1:1">
      <c r="A669" t="s">
        <v>756</v>
      </c>
    </row>
    <row r="670" spans="1:1">
      <c r="A670" t="s">
        <v>757</v>
      </c>
    </row>
    <row r="671" spans="1:1">
      <c r="A671" t="s">
        <v>758</v>
      </c>
    </row>
    <row r="672" spans="1:1">
      <c r="A672" t="s">
        <v>759</v>
      </c>
    </row>
    <row r="673" spans="1:1">
      <c r="A673" t="s">
        <v>760</v>
      </c>
    </row>
    <row r="674" spans="1:1">
      <c r="A674" t="s">
        <v>761</v>
      </c>
    </row>
    <row r="675" spans="1:1">
      <c r="A675" t="s">
        <v>762</v>
      </c>
    </row>
    <row r="676" spans="1:1">
      <c r="A676" t="s">
        <v>763</v>
      </c>
    </row>
    <row r="677" spans="1:1">
      <c r="A677" t="s">
        <v>764</v>
      </c>
    </row>
    <row r="678" spans="1:1">
      <c r="A678" t="s">
        <v>765</v>
      </c>
    </row>
    <row r="679" spans="1:1">
      <c r="A679" t="s">
        <v>766</v>
      </c>
    </row>
    <row r="680" spans="1:1">
      <c r="A680" t="s">
        <v>767</v>
      </c>
    </row>
    <row r="681" spans="1:1">
      <c r="A681" t="s">
        <v>768</v>
      </c>
    </row>
    <row r="682" spans="1:1">
      <c r="A682" t="s">
        <v>769</v>
      </c>
    </row>
    <row r="683" spans="1:1">
      <c r="A683" t="s">
        <v>770</v>
      </c>
    </row>
    <row r="684" spans="1:1">
      <c r="A684" t="s">
        <v>771</v>
      </c>
    </row>
    <row r="685" spans="1:1">
      <c r="A685" t="s">
        <v>772</v>
      </c>
    </row>
    <row r="686" spans="1:1">
      <c r="A686" t="s">
        <v>773</v>
      </c>
    </row>
    <row r="687" spans="1:1">
      <c r="A687" t="s">
        <v>774</v>
      </c>
    </row>
    <row r="688" spans="1:1">
      <c r="A688" t="s">
        <v>775</v>
      </c>
    </row>
    <row r="689" spans="1:1">
      <c r="A689" t="s">
        <v>776</v>
      </c>
    </row>
    <row r="690" spans="1:1">
      <c r="A690" t="s">
        <v>777</v>
      </c>
    </row>
    <row r="691" spans="1:1">
      <c r="A691" t="s">
        <v>778</v>
      </c>
    </row>
    <row r="692" spans="1:1">
      <c r="A692" t="s">
        <v>779</v>
      </c>
    </row>
    <row r="693" spans="1:1">
      <c r="A693" t="s">
        <v>780</v>
      </c>
    </row>
    <row r="694" spans="1:1">
      <c r="A694" t="s">
        <v>781</v>
      </c>
    </row>
    <row r="695" spans="1:1">
      <c r="A695" t="s">
        <v>782</v>
      </c>
    </row>
    <row r="696" spans="1:1">
      <c r="A696" t="s">
        <v>783</v>
      </c>
    </row>
    <row r="697" spans="1:1">
      <c r="A697" t="s">
        <v>784</v>
      </c>
    </row>
    <row r="698" spans="1:1">
      <c r="A698" t="s">
        <v>785</v>
      </c>
    </row>
    <row r="699" spans="1:1">
      <c r="A699" t="s">
        <v>786</v>
      </c>
    </row>
    <row r="700" spans="1:1">
      <c r="A700" t="s">
        <v>787</v>
      </c>
    </row>
    <row r="701" spans="1:1">
      <c r="A701" t="s">
        <v>788</v>
      </c>
    </row>
    <row r="702" spans="1:1">
      <c r="A702" t="s">
        <v>1504</v>
      </c>
    </row>
    <row r="703" spans="1:1">
      <c r="A703" t="s">
        <v>795</v>
      </c>
    </row>
    <row r="704" spans="1:1">
      <c r="A704" t="s">
        <v>796</v>
      </c>
    </row>
    <row r="705" spans="1:1">
      <c r="A705" t="s">
        <v>1505</v>
      </c>
    </row>
    <row r="706" spans="1:1">
      <c r="A706" t="s">
        <v>1506</v>
      </c>
    </row>
    <row r="708" spans="1:1">
      <c r="A708" t="s">
        <v>1507</v>
      </c>
    </row>
    <row r="709" spans="1:1">
      <c r="A709" t="s">
        <v>1508</v>
      </c>
    </row>
    <row r="710" spans="1:1">
      <c r="A710" t="s">
        <v>1509</v>
      </c>
    </row>
    <row r="712" spans="1:1">
      <c r="A712" t="s">
        <v>1676</v>
      </c>
    </row>
    <row r="713" spans="1:1">
      <c r="A713" t="s">
        <v>1695</v>
      </c>
    </row>
    <row r="714" spans="1:1">
      <c r="A714" t="s">
        <v>1677</v>
      </c>
    </row>
    <row r="715" spans="1:1">
      <c r="A715" s="1170" t="s">
        <v>1696</v>
      </c>
    </row>
    <row r="716" spans="1:1">
      <c r="A716" s="1170" t="s">
        <v>1721</v>
      </c>
    </row>
    <row r="717" spans="1:1">
      <c r="A717" s="1170" t="s">
        <v>1678</v>
      </c>
    </row>
    <row r="718" spans="1:1">
      <c r="A718" s="1170" t="s">
        <v>1699</v>
      </c>
    </row>
    <row r="719" spans="1:1">
      <c r="A719" s="1170" t="s">
        <v>1722</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sheetPr codeName="Sheet28"/>
  <dimension ref="A1:A874"/>
  <sheetViews>
    <sheetView topLeftCell="A302" zoomScaleNormal="100" workbookViewId="0">
      <selection activeCell="A333" sqref="A333"/>
    </sheetView>
  </sheetViews>
  <sheetFormatPr defaultRowHeight="15"/>
  <cols>
    <col min="1" max="1" width="84.42578125" style="1170" bestFit="1" customWidth="1"/>
  </cols>
  <sheetData>
    <row r="1" spans="1:1">
      <c r="A1" s="1170" t="s">
        <v>167</v>
      </c>
    </row>
    <row r="2" spans="1:1">
      <c r="A2" s="1170" t="s">
        <v>168</v>
      </c>
    </row>
    <row r="3" spans="1:1">
      <c r="A3" s="1170" t="s">
        <v>150</v>
      </c>
    </row>
    <row r="4" spans="1:1">
      <c r="A4" s="1170" t="s">
        <v>169</v>
      </c>
    </row>
    <row r="5" spans="1:1">
      <c r="A5" s="1170" t="s">
        <v>170</v>
      </c>
    </row>
    <row r="6" spans="1:1">
      <c r="A6" s="1170" t="s">
        <v>150</v>
      </c>
    </row>
    <row r="7" spans="1:1">
      <c r="A7" s="1170" t="s">
        <v>171</v>
      </c>
    </row>
    <row r="8" spans="1:1">
      <c r="A8" s="1170" t="s">
        <v>172</v>
      </c>
    </row>
    <row r="9" spans="1:1">
      <c r="A9" s="1170" t="s">
        <v>173</v>
      </c>
    </row>
    <row r="10" spans="1:1">
      <c r="A10" s="1170" t="s">
        <v>174</v>
      </c>
    </row>
    <row r="11" spans="1:1">
      <c r="A11" s="1170" t="s">
        <v>175</v>
      </c>
    </row>
    <row r="12" spans="1:1">
      <c r="A12" s="1170" t="s">
        <v>176</v>
      </c>
    </row>
    <row r="13" spans="1:1">
      <c r="A13" s="1170" t="s">
        <v>172</v>
      </c>
    </row>
    <row r="14" spans="1:1">
      <c r="A14" s="1170" t="s">
        <v>175</v>
      </c>
    </row>
    <row r="16" spans="1:1">
      <c r="A16" s="1170" t="s">
        <v>177</v>
      </c>
    </row>
    <row r="17" spans="1:1">
      <c r="A17" s="1170" t="s">
        <v>178</v>
      </c>
    </row>
    <row r="18" spans="1:1">
      <c r="A18" s="1170" t="s">
        <v>179</v>
      </c>
    </row>
    <row r="20" spans="1:1">
      <c r="A20" s="1170" t="s">
        <v>180</v>
      </c>
    </row>
    <row r="22" spans="1:1">
      <c r="A22" s="1170" t="s">
        <v>181</v>
      </c>
    </row>
    <row r="24" spans="1:1">
      <c r="A24" s="1170" t="s">
        <v>150</v>
      </c>
    </row>
    <row r="25" spans="1:1">
      <c r="A25" s="1170" t="s">
        <v>182</v>
      </c>
    </row>
    <row r="26" spans="1:1">
      <c r="A26" s="1170" t="s">
        <v>150</v>
      </c>
    </row>
    <row r="27" spans="1:1">
      <c r="A27" s="1170" t="s">
        <v>183</v>
      </c>
    </row>
    <row r="28" spans="1:1">
      <c r="A28" s="1170" t="s">
        <v>184</v>
      </c>
    </row>
    <row r="29" spans="1:1">
      <c r="A29" s="1170" t="s">
        <v>185</v>
      </c>
    </row>
    <row r="30" spans="1:1">
      <c r="A30" s="1170" t="s">
        <v>186</v>
      </c>
    </row>
    <row r="31" spans="1:1">
      <c r="A31" s="1170" t="s">
        <v>187</v>
      </c>
    </row>
    <row r="32" spans="1:1">
      <c r="A32" s="1170" t="s">
        <v>150</v>
      </c>
    </row>
    <row r="33" spans="1:1">
      <c r="A33" s="1170" t="s">
        <v>188</v>
      </c>
    </row>
    <row r="34" spans="1:1">
      <c r="A34" s="1170" t="s">
        <v>189</v>
      </c>
    </row>
    <row r="35" spans="1:1">
      <c r="A35" s="1170" t="s">
        <v>190</v>
      </c>
    </row>
    <row r="36" spans="1:1">
      <c r="A36" s="1170" t="s">
        <v>191</v>
      </c>
    </row>
    <row r="37" spans="1:1">
      <c r="A37" s="1170" t="s">
        <v>192</v>
      </c>
    </row>
    <row r="39" spans="1:1">
      <c r="A39" s="1170" t="s">
        <v>150</v>
      </c>
    </row>
    <row r="40" spans="1:1">
      <c r="A40" s="1170" t="s">
        <v>150</v>
      </c>
    </row>
    <row r="41" spans="1:1">
      <c r="A41" s="1170" t="s">
        <v>193</v>
      </c>
    </row>
    <row r="42" spans="1:1">
      <c r="A42" s="1170" t="s">
        <v>150</v>
      </c>
    </row>
    <row r="43" spans="1:1">
      <c r="A43" s="1170" t="s">
        <v>194</v>
      </c>
    </row>
    <row r="44" spans="1:1">
      <c r="A44" s="1170" t="s">
        <v>195</v>
      </c>
    </row>
    <row r="45" spans="1:1">
      <c r="A45" s="1170" t="s">
        <v>196</v>
      </c>
    </row>
    <row r="46" spans="1:1">
      <c r="A46" s="1170" t="s">
        <v>197</v>
      </c>
    </row>
    <row r="47" spans="1:1">
      <c r="A47" s="1170" t="s">
        <v>198</v>
      </c>
    </row>
    <row r="48" spans="1:1">
      <c r="A48" s="1170" t="s">
        <v>199</v>
      </c>
    </row>
    <row r="49" spans="1:1">
      <c r="A49" s="1170" t="s">
        <v>200</v>
      </c>
    </row>
    <row r="50" spans="1:1">
      <c r="A50" s="1170" t="s">
        <v>201</v>
      </c>
    </row>
    <row r="52" spans="1:1">
      <c r="A52" s="1170" t="s">
        <v>150</v>
      </c>
    </row>
    <row r="53" spans="1:1">
      <c r="A53" s="1170" t="s">
        <v>150</v>
      </c>
    </row>
    <row r="54" spans="1:1">
      <c r="A54" s="1170" t="s">
        <v>202</v>
      </c>
    </row>
    <row r="55" spans="1:1">
      <c r="A55" s="1170" t="s">
        <v>150</v>
      </c>
    </row>
    <row r="56" spans="1:1">
      <c r="A56" s="1170" t="s">
        <v>203</v>
      </c>
    </row>
    <row r="57" spans="1:1">
      <c r="A57" s="1170" t="s">
        <v>204</v>
      </c>
    </row>
    <row r="58" spans="1:1">
      <c r="A58" s="1170" t="s">
        <v>150</v>
      </c>
    </row>
    <row r="59" spans="1:1">
      <c r="A59" s="1170" t="s">
        <v>205</v>
      </c>
    </row>
    <row r="60" spans="1:1">
      <c r="A60" s="1170" t="s">
        <v>206</v>
      </c>
    </row>
    <row r="61" spans="1:1">
      <c r="A61" s="1170" t="s">
        <v>207</v>
      </c>
    </row>
    <row r="62" spans="1:1">
      <c r="A62" s="1170" t="s">
        <v>208</v>
      </c>
    </row>
    <row r="64" spans="1:1">
      <c r="A64" s="1170" t="s">
        <v>209</v>
      </c>
    </row>
    <row r="65" spans="1:1">
      <c r="A65" s="1170" t="s">
        <v>210</v>
      </c>
    </row>
    <row r="66" spans="1:1">
      <c r="A66" s="1170" t="s">
        <v>211</v>
      </c>
    </row>
    <row r="67" spans="1:1">
      <c r="A67" s="1170" t="s">
        <v>212</v>
      </c>
    </row>
    <row r="69" spans="1:1">
      <c r="A69" s="1170" t="s">
        <v>150</v>
      </c>
    </row>
    <row r="70" spans="1:1">
      <c r="A70" s="1170" t="s">
        <v>150</v>
      </c>
    </row>
    <row r="71" spans="1:1">
      <c r="A71" s="1170" t="s">
        <v>213</v>
      </c>
    </row>
    <row r="72" spans="1:1">
      <c r="A72" s="1170" t="s">
        <v>150</v>
      </c>
    </row>
    <row r="73" spans="1:1">
      <c r="A73" s="1170" t="s">
        <v>214</v>
      </c>
    </row>
    <row r="74" spans="1:1">
      <c r="A74" s="1170" t="s">
        <v>215</v>
      </c>
    </row>
    <row r="75" spans="1:1">
      <c r="A75" s="1170" t="s">
        <v>216</v>
      </c>
    </row>
    <row r="76" spans="1:1">
      <c r="A76" s="1170" t="s">
        <v>217</v>
      </c>
    </row>
    <row r="77" spans="1:1">
      <c r="A77" s="1170" t="s">
        <v>218</v>
      </c>
    </row>
    <row r="78" spans="1:1">
      <c r="A78" s="1170" t="s">
        <v>219</v>
      </c>
    </row>
    <row r="79" spans="1:1">
      <c r="A79" s="1170" t="s">
        <v>220</v>
      </c>
    </row>
    <row r="81" spans="1:1">
      <c r="A81" s="1170" t="s">
        <v>222</v>
      </c>
    </row>
    <row r="82" spans="1:1">
      <c r="A82" s="1170" t="s">
        <v>150</v>
      </c>
    </row>
    <row r="83" spans="1:1">
      <c r="A83" s="1170" t="s">
        <v>223</v>
      </c>
    </row>
    <row r="84" spans="1:1">
      <c r="A84" s="1170" t="s">
        <v>224</v>
      </c>
    </row>
    <row r="85" spans="1:1">
      <c r="A85" s="1170" t="s">
        <v>875</v>
      </c>
    </row>
    <row r="86" spans="1:1">
      <c r="A86" s="1170" t="s">
        <v>876</v>
      </c>
    </row>
    <row r="87" spans="1:1">
      <c r="A87" s="1170" t="s">
        <v>150</v>
      </c>
    </row>
    <row r="88" spans="1:1">
      <c r="A88" s="1170" t="s">
        <v>1755</v>
      </c>
    </row>
    <row r="89" spans="1:1">
      <c r="A89" s="1170" t="s">
        <v>1756</v>
      </c>
    </row>
    <row r="90" spans="1:1">
      <c r="A90" s="1170" t="s">
        <v>1757</v>
      </c>
    </row>
    <row r="92" spans="1:1">
      <c r="A92" s="1170" t="s">
        <v>150</v>
      </c>
    </row>
    <row r="93" spans="1:1">
      <c r="A93" s="1170" t="s">
        <v>225</v>
      </c>
    </row>
    <row r="94" spans="1:1">
      <c r="A94" s="1170" t="s">
        <v>226</v>
      </c>
    </row>
    <row r="95" spans="1:1">
      <c r="A95" s="1170" t="s">
        <v>227</v>
      </c>
    </row>
    <row r="96" spans="1:1">
      <c r="A96" s="1170" t="s">
        <v>228</v>
      </c>
    </row>
    <row r="97" spans="1:1">
      <c r="A97" s="1170" t="s">
        <v>229</v>
      </c>
    </row>
    <row r="98" spans="1:1">
      <c r="A98" s="1170" t="s">
        <v>230</v>
      </c>
    </row>
    <row r="99" spans="1:1">
      <c r="A99" s="1170" t="s">
        <v>231</v>
      </c>
    </row>
    <row r="100" spans="1:1">
      <c r="A100" s="1170" t="s">
        <v>232</v>
      </c>
    </row>
    <row r="101" spans="1:1">
      <c r="A101" s="1170" t="s">
        <v>233</v>
      </c>
    </row>
    <row r="102" spans="1:1">
      <c r="A102" s="1170" t="s">
        <v>150</v>
      </c>
    </row>
    <row r="103" spans="1:1">
      <c r="A103" s="1170" t="s">
        <v>234</v>
      </c>
    </row>
    <row r="104" spans="1:1">
      <c r="A104" s="1170" t="s">
        <v>235</v>
      </c>
    </row>
    <row r="105" spans="1:1">
      <c r="A105" s="1170" t="s">
        <v>236</v>
      </c>
    </row>
    <row r="107" spans="1:1">
      <c r="A107" s="1170" t="s">
        <v>150</v>
      </c>
    </row>
    <row r="108" spans="1:1">
      <c r="A108" s="1170" t="s">
        <v>237</v>
      </c>
    </row>
    <row r="109" spans="1:1">
      <c r="A109" s="1170" t="s">
        <v>238</v>
      </c>
    </row>
    <row r="110" spans="1:1">
      <c r="A110" s="1170" t="s">
        <v>239</v>
      </c>
    </row>
    <row r="111" spans="1:1">
      <c r="A111" s="1170" t="s">
        <v>240</v>
      </c>
    </row>
    <row r="112" spans="1:1">
      <c r="A112" s="1170" t="s">
        <v>241</v>
      </c>
    </row>
    <row r="113" spans="1:1">
      <c r="A113" s="1170" t="s">
        <v>242</v>
      </c>
    </row>
    <row r="114" spans="1:1">
      <c r="A114" s="1170" t="s">
        <v>150</v>
      </c>
    </row>
    <row r="115" spans="1:1">
      <c r="A115" s="1170" t="s">
        <v>243</v>
      </c>
    </row>
    <row r="117" spans="1:1">
      <c r="A117" s="1170" t="s">
        <v>244</v>
      </c>
    </row>
    <row r="118" spans="1:1">
      <c r="A118" s="1170" t="s">
        <v>245</v>
      </c>
    </row>
    <row r="119" spans="1:1">
      <c r="A119" s="1170" t="s">
        <v>246</v>
      </c>
    </row>
    <row r="120" spans="1:1">
      <c r="A120" s="1170" t="s">
        <v>247</v>
      </c>
    </row>
    <row r="121" spans="1:1">
      <c r="A121" s="1170" t="s">
        <v>248</v>
      </c>
    </row>
    <row r="122" spans="1:1">
      <c r="A122" s="1170" t="s">
        <v>150</v>
      </c>
    </row>
    <row r="123" spans="1:1">
      <c r="A123" s="1170" t="s">
        <v>249</v>
      </c>
    </row>
    <row r="125" spans="1:1">
      <c r="A125" s="1170" t="s">
        <v>150</v>
      </c>
    </row>
    <row r="126" spans="1:1">
      <c r="A126" s="1170" t="s">
        <v>250</v>
      </c>
    </row>
    <row r="127" spans="1:1">
      <c r="A127" s="1170" t="s">
        <v>150</v>
      </c>
    </row>
    <row r="128" spans="1:1">
      <c r="A128" s="1170" t="s">
        <v>251</v>
      </c>
    </row>
    <row r="129" spans="1:1">
      <c r="A129" s="1170" t="s">
        <v>252</v>
      </c>
    </row>
    <row r="130" spans="1:1">
      <c r="A130" s="1170" t="s">
        <v>253</v>
      </c>
    </row>
    <row r="131" spans="1:1">
      <c r="A131" s="1170" t="s">
        <v>254</v>
      </c>
    </row>
    <row r="132" spans="1:1">
      <c r="A132" s="1170" t="s">
        <v>150</v>
      </c>
    </row>
    <row r="133" spans="1:1">
      <c r="A133" s="1170" t="s">
        <v>150</v>
      </c>
    </row>
    <row r="134" spans="1:1">
      <c r="A134" s="1170" t="s">
        <v>255</v>
      </c>
    </row>
    <row r="135" spans="1:1">
      <c r="A135" s="1170" t="s">
        <v>150</v>
      </c>
    </row>
    <row r="136" spans="1:1">
      <c r="A136" s="1170" t="s">
        <v>256</v>
      </c>
    </row>
    <row r="138" spans="1:1">
      <c r="A138" s="1170" t="s">
        <v>257</v>
      </c>
    </row>
    <row r="139" spans="1:1">
      <c r="A139" s="1170" t="s">
        <v>258</v>
      </c>
    </row>
    <row r="140" spans="1:1">
      <c r="A140" s="1170" t="s">
        <v>259</v>
      </c>
    </row>
    <row r="142" spans="1:1">
      <c r="A142" s="1170" t="s">
        <v>260</v>
      </c>
    </row>
    <row r="143" spans="1:1">
      <c r="A143" s="1170" t="s">
        <v>261</v>
      </c>
    </row>
    <row r="144" spans="1:1">
      <c r="A144" s="1170" t="s">
        <v>262</v>
      </c>
    </row>
    <row r="145" spans="1:1">
      <c r="A145" s="1170" t="s">
        <v>263</v>
      </c>
    </row>
    <row r="146" spans="1:1">
      <c r="A146" s="1170" t="s">
        <v>264</v>
      </c>
    </row>
    <row r="147" spans="1:1">
      <c r="A147" s="1170" t="s">
        <v>265</v>
      </c>
    </row>
    <row r="148" spans="1:1">
      <c r="A148" s="1170" t="s">
        <v>266</v>
      </c>
    </row>
    <row r="149" spans="1:1">
      <c r="A149" s="1170" t="s">
        <v>267</v>
      </c>
    </row>
    <row r="150" spans="1:1">
      <c r="A150" s="1170" t="s">
        <v>268</v>
      </c>
    </row>
    <row r="151" spans="1:1">
      <c r="A151" s="1170" t="s">
        <v>269</v>
      </c>
    </row>
    <row r="153" spans="1:1">
      <c r="A153" s="1170" t="s">
        <v>270</v>
      </c>
    </row>
    <row r="154" spans="1:1">
      <c r="A154" s="1170" t="s">
        <v>271</v>
      </c>
    </row>
    <row r="155" spans="1:1">
      <c r="A155" s="1170" t="s">
        <v>272</v>
      </c>
    </row>
    <row r="156" spans="1:1">
      <c r="A156" s="1170" t="s">
        <v>273</v>
      </c>
    </row>
    <row r="157" spans="1:1">
      <c r="A157" s="1170" t="s">
        <v>274</v>
      </c>
    </row>
    <row r="159" spans="1:1">
      <c r="A159" s="1170" t="s">
        <v>275</v>
      </c>
    </row>
    <row r="160" spans="1:1">
      <c r="A160" s="1170" t="s">
        <v>276</v>
      </c>
    </row>
    <row r="161" spans="1:1">
      <c r="A161" s="1170" t="s">
        <v>277</v>
      </c>
    </row>
    <row r="162" spans="1:1">
      <c r="A162" s="1170" t="s">
        <v>278</v>
      </c>
    </row>
    <row r="163" spans="1:1">
      <c r="A163" s="1170" t="s">
        <v>279</v>
      </c>
    </row>
    <row r="164" spans="1:1">
      <c r="A164" s="1170" t="s">
        <v>280</v>
      </c>
    </row>
    <row r="165" spans="1:1">
      <c r="A165" s="1170" t="s">
        <v>281</v>
      </c>
    </row>
    <row r="166" spans="1:1">
      <c r="A166" s="1170" t="s">
        <v>282</v>
      </c>
    </row>
    <row r="167" spans="1:1">
      <c r="A167" s="1170" t="s">
        <v>283</v>
      </c>
    </row>
    <row r="168" spans="1:1">
      <c r="A168" s="1170" t="s">
        <v>284</v>
      </c>
    </row>
    <row r="169" spans="1:1">
      <c r="A169" s="1170" t="s">
        <v>285</v>
      </c>
    </row>
    <row r="170" spans="1:1">
      <c r="A170" s="1170" t="s">
        <v>286</v>
      </c>
    </row>
    <row r="171" spans="1:1">
      <c r="A171" s="1170" t="s">
        <v>287</v>
      </c>
    </row>
    <row r="172" spans="1:1">
      <c r="A172" s="1170" t="s">
        <v>288</v>
      </c>
    </row>
    <row r="173" spans="1:1">
      <c r="A173" s="1170" t="s">
        <v>289</v>
      </c>
    </row>
    <row r="174" spans="1:1">
      <c r="A174" s="1170" t="s">
        <v>290</v>
      </c>
    </row>
    <row r="175" spans="1:1">
      <c r="A175" s="1170" t="s">
        <v>291</v>
      </c>
    </row>
    <row r="176" spans="1:1">
      <c r="A176" s="1170" t="s">
        <v>292</v>
      </c>
    </row>
    <row r="178" spans="1:1">
      <c r="A178" s="1170" t="s">
        <v>293</v>
      </c>
    </row>
    <row r="179" spans="1:1">
      <c r="A179" s="1170" t="s">
        <v>294</v>
      </c>
    </row>
    <row r="180" spans="1:1">
      <c r="A180" s="1170" t="s">
        <v>295</v>
      </c>
    </row>
    <row r="181" spans="1:1">
      <c r="A181" s="1170" t="s">
        <v>296</v>
      </c>
    </row>
    <row r="182" spans="1:1">
      <c r="A182" s="1170" t="s">
        <v>297</v>
      </c>
    </row>
    <row r="183" spans="1:1">
      <c r="A183" s="1170" t="s">
        <v>298</v>
      </c>
    </row>
    <row r="184" spans="1:1">
      <c r="A184" s="1170" t="s">
        <v>299</v>
      </c>
    </row>
    <row r="185" spans="1:1">
      <c r="A185" s="1170" t="s">
        <v>300</v>
      </c>
    </row>
    <row r="186" spans="1:1">
      <c r="A186" s="1170" t="s">
        <v>301</v>
      </c>
    </row>
    <row r="188" spans="1:1">
      <c r="A188" s="1170" t="s">
        <v>150</v>
      </c>
    </row>
    <row r="189" spans="1:1">
      <c r="A189" s="1170" t="s">
        <v>302</v>
      </c>
    </row>
    <row r="190" spans="1:1">
      <c r="A190" s="1170" t="s">
        <v>303</v>
      </c>
    </row>
    <row r="191" spans="1:1">
      <c r="A191" s="1170" t="s">
        <v>150</v>
      </c>
    </row>
    <row r="192" spans="1:1">
      <c r="A192" s="1170" t="s">
        <v>304</v>
      </c>
    </row>
    <row r="193" spans="1:1">
      <c r="A193" s="1170" t="s">
        <v>305</v>
      </c>
    </row>
    <row r="194" spans="1:1">
      <c r="A194" s="1170" t="s">
        <v>306</v>
      </c>
    </row>
    <row r="195" spans="1:1">
      <c r="A195" s="1170" t="s">
        <v>307</v>
      </c>
    </row>
    <row r="196" spans="1:1">
      <c r="A196" s="1170" t="s">
        <v>308</v>
      </c>
    </row>
    <row r="197" spans="1:1">
      <c r="A197" s="1170" t="s">
        <v>309</v>
      </c>
    </row>
    <row r="198" spans="1:1">
      <c r="A198" s="1170" t="s">
        <v>1758</v>
      </c>
    </row>
    <row r="199" spans="1:1">
      <c r="A199" s="1170" t="s">
        <v>1759</v>
      </c>
    </row>
    <row r="200" spans="1:1">
      <c r="A200" s="1170" t="s">
        <v>1760</v>
      </c>
    </row>
    <row r="201" spans="1:1">
      <c r="A201" s="1170" t="s">
        <v>1761</v>
      </c>
    </row>
    <row r="202" spans="1:1">
      <c r="A202" s="1170" t="s">
        <v>1762</v>
      </c>
    </row>
    <row r="203" spans="1:1">
      <c r="A203" s="1170" t="s">
        <v>1813</v>
      </c>
    </row>
    <row r="204" spans="1:1">
      <c r="A204" s="1170" t="s">
        <v>1763</v>
      </c>
    </row>
    <row r="205" spans="1:1">
      <c r="A205" s="1170" t="s">
        <v>1814</v>
      </c>
    </row>
    <row r="206" spans="1:1">
      <c r="A206" s="1170" t="s">
        <v>1764</v>
      </c>
    </row>
    <row r="207" spans="1:1">
      <c r="A207" s="1170" t="s">
        <v>1765</v>
      </c>
    </row>
    <row r="208" spans="1:1">
      <c r="A208" s="1170" t="s">
        <v>1766</v>
      </c>
    </row>
    <row r="209" spans="1:1">
      <c r="A209" s="1170" t="s">
        <v>1767</v>
      </c>
    </row>
    <row r="210" spans="1:1">
      <c r="A210" s="1170" t="s">
        <v>1815</v>
      </c>
    </row>
    <row r="211" spans="1:1">
      <c r="A211" s="1170" t="s">
        <v>1816</v>
      </c>
    </row>
    <row r="213" spans="1:1">
      <c r="A213" s="1170" t="s">
        <v>315</v>
      </c>
    </row>
    <row r="214" spans="1:1">
      <c r="A214" s="1170" t="s">
        <v>321</v>
      </c>
    </row>
    <row r="215" spans="1:1">
      <c r="A215" s="1170" t="s">
        <v>322</v>
      </c>
    </row>
    <row r="216" spans="1:1">
      <c r="A216" s="1170" t="s">
        <v>323</v>
      </c>
    </row>
    <row r="217" spans="1:1">
      <c r="A217" s="1170" t="s">
        <v>324</v>
      </c>
    </row>
    <row r="219" spans="1:1">
      <c r="A219" s="1170" t="s">
        <v>325</v>
      </c>
    </row>
    <row r="220" spans="1:1">
      <c r="A220" s="1170" t="s">
        <v>326</v>
      </c>
    </row>
    <row r="221" spans="1:1">
      <c r="A221" s="1170" t="s">
        <v>327</v>
      </c>
    </row>
    <row r="222" spans="1:1">
      <c r="A222" s="1170" t="s">
        <v>328</v>
      </c>
    </row>
    <row r="223" spans="1:1">
      <c r="A223" s="1170" t="s">
        <v>329</v>
      </c>
    </row>
    <row r="224" spans="1:1">
      <c r="A224" s="1170" t="s">
        <v>330</v>
      </c>
    </row>
    <row r="226" spans="1:1">
      <c r="A226" s="1170" t="s">
        <v>331</v>
      </c>
    </row>
    <row r="227" spans="1:1">
      <c r="A227" s="1170" t="s">
        <v>332</v>
      </c>
    </row>
    <row r="228" spans="1:1">
      <c r="A228" s="1170" t="s">
        <v>333</v>
      </c>
    </row>
    <row r="229" spans="1:1">
      <c r="A229" s="1170" t="s">
        <v>334</v>
      </c>
    </row>
    <row r="231" spans="1:1">
      <c r="A231" s="1170" t="s">
        <v>335</v>
      </c>
    </row>
    <row r="232" spans="1:1">
      <c r="A232" s="1170" t="s">
        <v>336</v>
      </c>
    </row>
    <row r="233" spans="1:1">
      <c r="A233" s="1170" t="s">
        <v>337</v>
      </c>
    </row>
    <row r="234" spans="1:1">
      <c r="A234" s="1170" t="s">
        <v>338</v>
      </c>
    </row>
    <row r="235" spans="1:1">
      <c r="A235" s="1170" t="s">
        <v>339</v>
      </c>
    </row>
    <row r="237" spans="1:1">
      <c r="A237" s="1170" t="s">
        <v>340</v>
      </c>
    </row>
    <row r="238" spans="1:1">
      <c r="A238" s="1170" t="s">
        <v>341</v>
      </c>
    </row>
    <row r="239" spans="1:1">
      <c r="A239" s="1170" t="s">
        <v>342</v>
      </c>
    </row>
    <row r="240" spans="1:1">
      <c r="A240" s="1170" t="s">
        <v>343</v>
      </c>
    </row>
    <row r="241" spans="1:1">
      <c r="A241" s="1170" t="s">
        <v>344</v>
      </c>
    </row>
    <row r="242" spans="1:1">
      <c r="A242" s="1170" t="s">
        <v>345</v>
      </c>
    </row>
    <row r="243" spans="1:1">
      <c r="A243" s="1170" t="s">
        <v>346</v>
      </c>
    </row>
    <row r="245" spans="1:1">
      <c r="A245" s="1170" t="s">
        <v>347</v>
      </c>
    </row>
    <row r="246" spans="1:1">
      <c r="A246" s="1170" t="s">
        <v>348</v>
      </c>
    </row>
    <row r="247" spans="1:1">
      <c r="A247" s="1170" t="s">
        <v>349</v>
      </c>
    </row>
    <row r="248" spans="1:1">
      <c r="A248" s="1170" t="s">
        <v>350</v>
      </c>
    </row>
    <row r="249" spans="1:1">
      <c r="A249" s="1170" t="s">
        <v>351</v>
      </c>
    </row>
    <row r="251" spans="1:1">
      <c r="A251" s="1170" t="s">
        <v>352</v>
      </c>
    </row>
    <row r="252" spans="1:1">
      <c r="A252" s="1170" t="s">
        <v>353</v>
      </c>
    </row>
    <row r="254" spans="1:1">
      <c r="A254" s="1170" t="s">
        <v>354</v>
      </c>
    </row>
    <row r="255" spans="1:1">
      <c r="A255" s="1170" t="s">
        <v>355</v>
      </c>
    </row>
    <row r="256" spans="1:1">
      <c r="A256" s="1170" t="s">
        <v>356</v>
      </c>
    </row>
    <row r="259" spans="1:1">
      <c r="A259" s="1170" t="s">
        <v>150</v>
      </c>
    </row>
    <row r="260" spans="1:1">
      <c r="A260" s="1170" t="s">
        <v>357</v>
      </c>
    </row>
    <row r="261" spans="1:1">
      <c r="A261" s="1170" t="s">
        <v>150</v>
      </c>
    </row>
    <row r="262" spans="1:1">
      <c r="A262" s="1170" t="s">
        <v>358</v>
      </c>
    </row>
    <row r="263" spans="1:1">
      <c r="A263" s="1170" t="s">
        <v>359</v>
      </c>
    </row>
    <row r="264" spans="1:1">
      <c r="A264" s="1170" t="s">
        <v>360</v>
      </c>
    </row>
    <row r="265" spans="1:1">
      <c r="A265" s="1170" t="s">
        <v>361</v>
      </c>
    </row>
    <row r="266" spans="1:1">
      <c r="A266" s="1170" t="s">
        <v>362</v>
      </c>
    </row>
    <row r="267" spans="1:1">
      <c r="A267" s="1170" t="s">
        <v>363</v>
      </c>
    </row>
    <row r="268" spans="1:1">
      <c r="A268" s="1170" t="s">
        <v>364</v>
      </c>
    </row>
    <row r="269" spans="1:1">
      <c r="A269" s="1170" t="s">
        <v>365</v>
      </c>
    </row>
    <row r="270" spans="1:1">
      <c r="A270" s="1170" t="s">
        <v>366</v>
      </c>
    </row>
    <row r="272" spans="1:1">
      <c r="A272" s="1170" t="s">
        <v>150</v>
      </c>
    </row>
    <row r="273" spans="1:1">
      <c r="A273" s="1170" t="s">
        <v>150</v>
      </c>
    </row>
    <row r="274" spans="1:1">
      <c r="A274" s="1170" t="s">
        <v>367</v>
      </c>
    </row>
    <row r="275" spans="1:1">
      <c r="A275" s="1170" t="s">
        <v>150</v>
      </c>
    </row>
    <row r="276" spans="1:1">
      <c r="A276" s="1170" t="s">
        <v>368</v>
      </c>
    </row>
    <row r="277" spans="1:1">
      <c r="A277" s="1170" t="s">
        <v>369</v>
      </c>
    </row>
    <row r="278" spans="1:1">
      <c r="A278" s="1170" t="s">
        <v>370</v>
      </c>
    </row>
    <row r="279" spans="1:1">
      <c r="A279" s="1170" t="s">
        <v>371</v>
      </c>
    </row>
    <row r="280" spans="1:1">
      <c r="A280" s="1170" t="s">
        <v>372</v>
      </c>
    </row>
    <row r="281" spans="1:1">
      <c r="A281" s="1170" t="s">
        <v>373</v>
      </c>
    </row>
    <row r="282" spans="1:1">
      <c r="A282" s="1170" t="s">
        <v>374</v>
      </c>
    </row>
    <row r="284" spans="1:1">
      <c r="A284" s="1170" t="s">
        <v>375</v>
      </c>
    </row>
    <row r="285" spans="1:1">
      <c r="A285" s="1170" t="s">
        <v>376</v>
      </c>
    </row>
    <row r="286" spans="1:1">
      <c r="A286" s="1170" t="s">
        <v>377</v>
      </c>
    </row>
    <row r="287" spans="1:1">
      <c r="A287" s="1170" t="s">
        <v>378</v>
      </c>
    </row>
    <row r="288" spans="1:1">
      <c r="A288" s="1170" t="s">
        <v>379</v>
      </c>
    </row>
    <row r="289" spans="1:1">
      <c r="A289" s="1170" t="s">
        <v>380</v>
      </c>
    </row>
    <row r="290" spans="1:1">
      <c r="A290" s="1170" t="s">
        <v>381</v>
      </c>
    </row>
    <row r="291" spans="1:1">
      <c r="A291" s="1170" t="s">
        <v>382</v>
      </c>
    </row>
    <row r="294" spans="1:1">
      <c r="A294" s="1170" t="s">
        <v>383</v>
      </c>
    </row>
    <row r="295" spans="1:1">
      <c r="A295" s="1170" t="s">
        <v>384</v>
      </c>
    </row>
    <row r="297" spans="1:1">
      <c r="A297" s="1170" t="s">
        <v>385</v>
      </c>
    </row>
    <row r="298" spans="1:1">
      <c r="A298" s="1170" t="s">
        <v>386</v>
      </c>
    </row>
    <row r="300" spans="1:1">
      <c r="A300" s="1170" t="s">
        <v>387</v>
      </c>
    </row>
    <row r="301" spans="1:1">
      <c r="A301" s="1170" t="s">
        <v>388</v>
      </c>
    </row>
    <row r="302" spans="1:1">
      <c r="A302" s="1170" t="s">
        <v>389</v>
      </c>
    </row>
    <row r="303" spans="1:1">
      <c r="A303" s="1170" t="s">
        <v>390</v>
      </c>
    </row>
    <row r="305" spans="1:1">
      <c r="A305" s="1170" t="s">
        <v>391</v>
      </c>
    </row>
    <row r="306" spans="1:1">
      <c r="A306" s="1170" t="s">
        <v>392</v>
      </c>
    </row>
    <row r="307" spans="1:1">
      <c r="A307" s="1170" t="s">
        <v>393</v>
      </c>
    </row>
    <row r="308" spans="1:1">
      <c r="A308" s="1170" t="s">
        <v>394</v>
      </c>
    </row>
    <row r="309" spans="1:1">
      <c r="A309" s="450"/>
    </row>
    <row r="310" spans="1:1">
      <c r="A310" s="450" t="s">
        <v>395</v>
      </c>
    </row>
    <row r="311" spans="1:1">
      <c r="A311" s="485" t="s">
        <v>396</v>
      </c>
    </row>
    <row r="312" spans="1:1">
      <c r="A312" s="450"/>
    </row>
    <row r="313" spans="1:1">
      <c r="A313" s="485" t="s">
        <v>1817</v>
      </c>
    </row>
    <row r="314" spans="1:1">
      <c r="A314" s="450" t="s">
        <v>1253</v>
      </c>
    </row>
    <row r="315" spans="1:1">
      <c r="A315" s="450" t="s">
        <v>1254</v>
      </c>
    </row>
    <row r="316" spans="1:1">
      <c r="A316" s="450" t="s">
        <v>1255</v>
      </c>
    </row>
    <row r="317" spans="1:1">
      <c r="A317" s="1170" t="s">
        <v>1256</v>
      </c>
    </row>
    <row r="318" spans="1:1">
      <c r="A318" s="485" t="s">
        <v>1818</v>
      </c>
    </row>
    <row r="319" spans="1:1">
      <c r="A319" s="1170" t="s">
        <v>397</v>
      </c>
    </row>
    <row r="320" spans="1:1">
      <c r="A320" s="1170" t="s">
        <v>398</v>
      </c>
    </row>
    <row r="321" spans="1:1">
      <c r="A321" s="1170" t="s">
        <v>399</v>
      </c>
    </row>
    <row r="322" spans="1:1">
      <c r="A322" s="1170" t="s">
        <v>400</v>
      </c>
    </row>
    <row r="323" spans="1:1">
      <c r="A323" s="1170" t="s">
        <v>401</v>
      </c>
    </row>
    <row r="324" spans="1:1">
      <c r="A324" s="1170" t="s">
        <v>402</v>
      </c>
    </row>
    <row r="325" spans="1:1">
      <c r="A325" s="1170" t="s">
        <v>403</v>
      </c>
    </row>
    <row r="326" spans="1:1">
      <c r="A326" s="1170" t="s">
        <v>404</v>
      </c>
    </row>
    <row r="327" spans="1:1">
      <c r="A327" s="1170" t="s">
        <v>405</v>
      </c>
    </row>
    <row r="328" spans="1:1">
      <c r="A328" s="1170" t="s">
        <v>406</v>
      </c>
    </row>
    <row r="329" spans="1:1">
      <c r="A329" s="1170" t="s">
        <v>1768</v>
      </c>
    </row>
    <row r="330" spans="1:1">
      <c r="A330" s="1170" t="s">
        <v>407</v>
      </c>
    </row>
    <row r="331" spans="1:1">
      <c r="A331" s="1170" t="s">
        <v>408</v>
      </c>
    </row>
    <row r="332" spans="1:1">
      <c r="A332" s="1288" t="str">
        <f>"platelet_mobilization_factor=" &amp; IF('Configs &amp; Procedures'!$H$15="YES","0.80","1.00")</f>
        <v>platelet_mobilization_factor=1.00</v>
      </c>
    </row>
    <row r="334" spans="1:1">
      <c r="A334" s="1170" t="s">
        <v>410</v>
      </c>
    </row>
    <row r="335" spans="1:1">
      <c r="A335" s="1170" t="s">
        <v>150</v>
      </c>
    </row>
    <row r="336" spans="1:1">
      <c r="A336" s="1170" t="s">
        <v>150</v>
      </c>
    </row>
    <row r="337" spans="1:1">
      <c r="A337" s="1170" t="s">
        <v>411</v>
      </c>
    </row>
    <row r="338" spans="1:1">
      <c r="A338" s="1170" t="s">
        <v>412</v>
      </c>
    </row>
    <row r="339" spans="1:1">
      <c r="A339" s="1170" t="s">
        <v>150</v>
      </c>
    </row>
    <row r="340" spans="1:1">
      <c r="A340" s="1170" t="s">
        <v>413</v>
      </c>
    </row>
    <row r="341" spans="1:1">
      <c r="A341" s="1170" t="s">
        <v>414</v>
      </c>
    </row>
    <row r="342" spans="1:1">
      <c r="A342" s="1170" t="s">
        <v>415</v>
      </c>
    </row>
    <row r="343" spans="1:1">
      <c r="A343" s="1170" t="s">
        <v>416</v>
      </c>
    </row>
    <row r="344" spans="1:1">
      <c r="A344" s="1170" t="s">
        <v>150</v>
      </c>
    </row>
    <row r="345" spans="1:1">
      <c r="A345" s="1170" t="s">
        <v>150</v>
      </c>
    </row>
    <row r="346" spans="1:1">
      <c r="A346" s="1170" t="s">
        <v>417</v>
      </c>
    </row>
    <row r="347" spans="1:1">
      <c r="A347" s="1170" t="s">
        <v>418</v>
      </c>
    </row>
    <row r="348" spans="1:1">
      <c r="A348" s="1170" t="s">
        <v>150</v>
      </c>
    </row>
    <row r="349" spans="1:1">
      <c r="A349" s="1170" t="s">
        <v>419</v>
      </c>
    </row>
    <row r="350" spans="1:1">
      <c r="A350" s="1170" t="s">
        <v>150</v>
      </c>
    </row>
    <row r="351" spans="1:1">
      <c r="A351" s="1170" t="s">
        <v>420</v>
      </c>
    </row>
    <row r="352" spans="1:1">
      <c r="A352" s="1170" t="s">
        <v>421</v>
      </c>
    </row>
    <row r="353" spans="1:1">
      <c r="A353" s="1170" t="s">
        <v>422</v>
      </c>
    </row>
    <row r="354" spans="1:1">
      <c r="A354" s="1170" t="s">
        <v>423</v>
      </c>
    </row>
    <row r="355" spans="1:1">
      <c r="A355" s="1170" t="s">
        <v>150</v>
      </c>
    </row>
    <row r="356" spans="1:1">
      <c r="A356" s="1170" t="s">
        <v>424</v>
      </c>
    </row>
    <row r="357" spans="1:1">
      <c r="A357" s="1170" t="s">
        <v>425</v>
      </c>
    </row>
    <row r="358" spans="1:1">
      <c r="A358" s="1170" t="s">
        <v>426</v>
      </c>
    </row>
    <row r="359" spans="1:1">
      <c r="A359" s="1170" t="s">
        <v>427</v>
      </c>
    </row>
    <row r="360" spans="1:1">
      <c r="A360" s="1170" t="s">
        <v>428</v>
      </c>
    </row>
    <row r="361" spans="1:1">
      <c r="A361" s="1170" t="s">
        <v>429</v>
      </c>
    </row>
    <row r="362" spans="1:1">
      <c r="A362" s="1170" t="s">
        <v>150</v>
      </c>
    </row>
    <row r="363" spans="1:1">
      <c r="A363" s="1170" t="s">
        <v>430</v>
      </c>
    </row>
    <row r="364" spans="1:1">
      <c r="A364" s="1170" t="s">
        <v>150</v>
      </c>
    </row>
    <row r="365" spans="1:1">
      <c r="A365" s="1170" t="s">
        <v>431</v>
      </c>
    </row>
    <row r="366" spans="1:1">
      <c r="A366" s="1170" t="s">
        <v>432</v>
      </c>
    </row>
    <row r="367" spans="1:1">
      <c r="A367" s="1170" t="s">
        <v>433</v>
      </c>
    </row>
    <row r="369" spans="1:1">
      <c r="A369" s="1170" t="s">
        <v>437</v>
      </c>
    </row>
    <row r="370" spans="1:1">
      <c r="A370" s="1170" t="s">
        <v>150</v>
      </c>
    </row>
    <row r="371" spans="1:1">
      <c r="A371" s="1170" t="s">
        <v>438</v>
      </c>
    </row>
    <row r="372" spans="1:1">
      <c r="A372" s="1170" t="s">
        <v>439</v>
      </c>
    </row>
    <row r="373" spans="1:1">
      <c r="A373" s="1170" t="s">
        <v>440</v>
      </c>
    </row>
    <row r="374" spans="1:1">
      <c r="A374" s="1170" t="s">
        <v>441</v>
      </c>
    </row>
    <row r="375" spans="1:1">
      <c r="A375" s="1170" t="s">
        <v>442</v>
      </c>
    </row>
    <row r="376" spans="1:1">
      <c r="A376" s="1170" t="s">
        <v>443</v>
      </c>
    </row>
    <row r="377" spans="1:1">
      <c r="A377" s="1170" t="s">
        <v>444</v>
      </c>
    </row>
    <row r="378" spans="1:1">
      <c r="A378" s="1170" t="s">
        <v>445</v>
      </c>
    </row>
    <row r="379" spans="1:1">
      <c r="A379" s="1170" t="s">
        <v>446</v>
      </c>
    </row>
    <row r="380" spans="1:1">
      <c r="A380" s="1170" t="s">
        <v>150</v>
      </c>
    </row>
    <row r="381" spans="1:1">
      <c r="A381" s="1170" t="s">
        <v>447</v>
      </c>
    </row>
    <row r="382" spans="1:1">
      <c r="A382" s="1170" t="s">
        <v>448</v>
      </c>
    </row>
    <row r="383" spans="1:1">
      <c r="A383" s="1170" t="s">
        <v>150</v>
      </c>
    </row>
    <row r="384" spans="1:1">
      <c r="A384" s="1170" t="s">
        <v>449</v>
      </c>
    </row>
    <row r="385" spans="1:1">
      <c r="A385" s="1170" t="s">
        <v>450</v>
      </c>
    </row>
    <row r="386" spans="1:1">
      <c r="A386" s="1170" t="s">
        <v>451</v>
      </c>
    </row>
    <row r="387" spans="1:1">
      <c r="A387" s="1170" t="s">
        <v>452</v>
      </c>
    </row>
    <row r="388" spans="1:1">
      <c r="A388" s="1170" t="s">
        <v>453</v>
      </c>
    </row>
    <row r="389" spans="1:1">
      <c r="A389" s="1170" t="s">
        <v>454</v>
      </c>
    </row>
    <row r="391" spans="1:1">
      <c r="A391" s="1170" t="s">
        <v>150</v>
      </c>
    </row>
    <row r="392" spans="1:1">
      <c r="A392" s="1170" t="s">
        <v>455</v>
      </c>
    </row>
    <row r="393" spans="1:1">
      <c r="A393" s="1170" t="s">
        <v>150</v>
      </c>
    </row>
    <row r="394" spans="1:1">
      <c r="A394" s="1170" t="s">
        <v>456</v>
      </c>
    </row>
    <row r="395" spans="1:1">
      <c r="A395" s="1170" t="s">
        <v>457</v>
      </c>
    </row>
    <row r="396" spans="1:1">
      <c r="A396" s="1170" t="s">
        <v>458</v>
      </c>
    </row>
    <row r="397" spans="1:1">
      <c r="A397" s="1170" t="s">
        <v>459</v>
      </c>
    </row>
    <row r="398" spans="1:1">
      <c r="A398" s="1170" t="s">
        <v>460</v>
      </c>
    </row>
    <row r="399" spans="1:1">
      <c r="A399" s="1170" t="s">
        <v>461</v>
      </c>
    </row>
    <row r="400" spans="1:1">
      <c r="A400" s="1170" t="s">
        <v>462</v>
      </c>
    </row>
    <row r="401" spans="1:1">
      <c r="A401" s="1170" t="s">
        <v>463</v>
      </c>
    </row>
    <row r="402" spans="1:1">
      <c r="A402" s="1170" t="s">
        <v>464</v>
      </c>
    </row>
    <row r="403" spans="1:1">
      <c r="A403" s="1170" t="s">
        <v>465</v>
      </c>
    </row>
    <row r="404" spans="1:1">
      <c r="A404" s="1170" t="s">
        <v>466</v>
      </c>
    </row>
    <row r="405" spans="1:1">
      <c r="A405" s="1170" t="s">
        <v>467</v>
      </c>
    </row>
    <row r="406" spans="1:1">
      <c r="A406" s="1170" t="s">
        <v>468</v>
      </c>
    </row>
    <row r="411" spans="1:1">
      <c r="A411" s="1170" t="s">
        <v>469</v>
      </c>
    </row>
    <row r="412" spans="1:1">
      <c r="A412" s="1170" t="s">
        <v>150</v>
      </c>
    </row>
    <row r="413" spans="1:1">
      <c r="A413" s="1170" t="s">
        <v>470</v>
      </c>
    </row>
    <row r="414" spans="1:1">
      <c r="A414" s="1170" t="s">
        <v>150</v>
      </c>
    </row>
    <row r="415" spans="1:1">
      <c r="A415" s="1170" t="s">
        <v>471</v>
      </c>
    </row>
    <row r="416" spans="1:1">
      <c r="A416" s="1170" t="s">
        <v>472</v>
      </c>
    </row>
    <row r="418" spans="1:1">
      <c r="A418" s="1170" t="s">
        <v>473</v>
      </c>
    </row>
    <row r="419" spans="1:1">
      <c r="A419" s="1170" t="s">
        <v>474</v>
      </c>
    </row>
    <row r="420" spans="1:1">
      <c r="A420" s="1170" t="s">
        <v>475</v>
      </c>
    </row>
    <row r="421" spans="1:1">
      <c r="A421" s="1170" t="s">
        <v>476</v>
      </c>
    </row>
    <row r="422" spans="1:1">
      <c r="A422" s="1170" t="s">
        <v>477</v>
      </c>
    </row>
    <row r="423" spans="1:1">
      <c r="A423" s="1170" t="s">
        <v>150</v>
      </c>
    </row>
    <row r="424" spans="1:1">
      <c r="A424" s="1170" t="s">
        <v>478</v>
      </c>
    </row>
    <row r="425" spans="1:1">
      <c r="A425" s="1170" t="s">
        <v>479</v>
      </c>
    </row>
    <row r="426" spans="1:1">
      <c r="A426" s="1170" t="s">
        <v>1501</v>
      </c>
    </row>
    <row r="427" spans="1:1">
      <c r="A427" s="1170" t="s">
        <v>481</v>
      </c>
    </row>
    <row r="429" spans="1:1">
      <c r="A429" s="1170" t="s">
        <v>482</v>
      </c>
    </row>
    <row r="430" spans="1:1">
      <c r="A430" s="1170" t="s">
        <v>483</v>
      </c>
    </row>
    <row r="431" spans="1:1">
      <c r="A431" s="1170" t="s">
        <v>150</v>
      </c>
    </row>
    <row r="432" spans="1:1">
      <c r="A432" s="1170" t="s">
        <v>150</v>
      </c>
    </row>
    <row r="433" spans="1:1">
      <c r="A433" s="1170" t="s">
        <v>484</v>
      </c>
    </row>
    <row r="434" spans="1:1">
      <c r="A434" s="1170" t="s">
        <v>485</v>
      </c>
    </row>
    <row r="435" spans="1:1">
      <c r="A435" s="1170" t="s">
        <v>150</v>
      </c>
    </row>
    <row r="436" spans="1:1">
      <c r="A436" s="1170" t="s">
        <v>486</v>
      </c>
    </row>
    <row r="438" spans="1:1">
      <c r="A438" s="1170" t="s">
        <v>487</v>
      </c>
    </row>
    <row r="439" spans="1:1">
      <c r="A439" s="1170" t="s">
        <v>488</v>
      </c>
    </row>
    <row r="440" spans="1:1">
      <c r="A440" s="1170" t="s">
        <v>489</v>
      </c>
    </row>
    <row r="441" spans="1:1">
      <c r="A441" s="1170" t="s">
        <v>490</v>
      </c>
    </row>
    <row r="442" spans="1:1">
      <c r="A442" s="1170" t="s">
        <v>491</v>
      </c>
    </row>
    <row r="443" spans="1:1">
      <c r="A443" s="1170" t="s">
        <v>492</v>
      </c>
    </row>
    <row r="445" spans="1:1">
      <c r="A445" s="1170" t="s">
        <v>493</v>
      </c>
    </row>
    <row r="446" spans="1:1">
      <c r="A446" s="1170" t="s">
        <v>494</v>
      </c>
    </row>
    <row r="447" spans="1:1">
      <c r="A447" s="1170" t="s">
        <v>495</v>
      </c>
    </row>
    <row r="448" spans="1:1">
      <c r="A448" s="1170" t="s">
        <v>496</v>
      </c>
    </row>
    <row r="449" spans="1:1">
      <c r="A449" s="1170" t="s">
        <v>497</v>
      </c>
    </row>
    <row r="451" spans="1:1">
      <c r="A451" s="1170" t="s">
        <v>498</v>
      </c>
    </row>
    <row r="452" spans="1:1">
      <c r="A452" s="1170" t="s">
        <v>499</v>
      </c>
    </row>
    <row r="453" spans="1:1">
      <c r="A453" s="1170" t="s">
        <v>500</v>
      </c>
    </row>
    <row r="454" spans="1:1">
      <c r="A454" s="1170" t="s">
        <v>501</v>
      </c>
    </row>
    <row r="455" spans="1:1">
      <c r="A455" s="1170" t="s">
        <v>502</v>
      </c>
    </row>
    <row r="456" spans="1:1">
      <c r="A456" s="1170" t="s">
        <v>503</v>
      </c>
    </row>
    <row r="458" spans="1:1">
      <c r="A458" s="1170" t="s">
        <v>504</v>
      </c>
    </row>
    <row r="459" spans="1:1">
      <c r="A459" s="1170" t="s">
        <v>505</v>
      </c>
    </row>
    <row r="460" spans="1:1">
      <c r="A460" s="1170" t="s">
        <v>506</v>
      </c>
    </row>
    <row r="461" spans="1:1">
      <c r="A461" s="1170" t="s">
        <v>507</v>
      </c>
    </row>
    <row r="462" spans="1:1">
      <c r="A462" s="1170" t="s">
        <v>508</v>
      </c>
    </row>
    <row r="464" spans="1:1">
      <c r="A464" s="1170" t="s">
        <v>509</v>
      </c>
    </row>
    <row r="465" spans="1:1">
      <c r="A465" s="1170" t="s">
        <v>510</v>
      </c>
    </row>
    <row r="466" spans="1:1">
      <c r="A466" s="1170" t="s">
        <v>511</v>
      </c>
    </row>
    <row r="467" spans="1:1">
      <c r="A467" s="1170" t="s">
        <v>512</v>
      </c>
    </row>
    <row r="468" spans="1:1">
      <c r="A468" s="1170" t="s">
        <v>513</v>
      </c>
    </row>
    <row r="470" spans="1:1">
      <c r="A470" s="1170" t="s">
        <v>514</v>
      </c>
    </row>
    <row r="471" spans="1:1">
      <c r="A471" s="1170" t="s">
        <v>515</v>
      </c>
    </row>
    <row r="472" spans="1:1">
      <c r="A472" s="1170" t="s">
        <v>516</v>
      </c>
    </row>
    <row r="473" spans="1:1">
      <c r="A473" s="1170" t="s">
        <v>517</v>
      </c>
    </row>
    <row r="474" spans="1:1">
      <c r="A474" s="1170" t="s">
        <v>518</v>
      </c>
    </row>
    <row r="476" spans="1:1">
      <c r="A476" s="1170" t="s">
        <v>150</v>
      </c>
    </row>
    <row r="477" spans="1:1">
      <c r="A477" s="1170" t="s">
        <v>150</v>
      </c>
    </row>
    <row r="478" spans="1:1">
      <c r="A478" s="1170" t="s">
        <v>519</v>
      </c>
    </row>
    <row r="479" spans="1:1">
      <c r="A479" s="1170" t="s">
        <v>520</v>
      </c>
    </row>
    <row r="480" spans="1:1">
      <c r="A480" s="1170" t="s">
        <v>521</v>
      </c>
    </row>
    <row r="481" spans="1:1">
      <c r="A481" s="1170" t="s">
        <v>150</v>
      </c>
    </row>
    <row r="482" spans="1:1">
      <c r="A482" s="1170" t="s">
        <v>522</v>
      </c>
    </row>
    <row r="483" spans="1:1">
      <c r="A483" s="1170" t="s">
        <v>523</v>
      </c>
    </row>
    <row r="484" spans="1:1">
      <c r="A484" s="1170" t="s">
        <v>524</v>
      </c>
    </row>
    <row r="485" spans="1:1">
      <c r="A485" s="1170" t="s">
        <v>525</v>
      </c>
    </row>
    <row r="487" spans="1:1">
      <c r="A487" s="1170" t="s">
        <v>526</v>
      </c>
    </row>
    <row r="488" spans="1:1">
      <c r="A488" s="1170" t="s">
        <v>527</v>
      </c>
    </row>
    <row r="489" spans="1:1">
      <c r="A489" s="1170" t="s">
        <v>528</v>
      </c>
    </row>
    <row r="490" spans="1:1">
      <c r="A490" s="1170" t="s">
        <v>529</v>
      </c>
    </row>
    <row r="492" spans="1:1">
      <c r="A492" s="1170" t="s">
        <v>530</v>
      </c>
    </row>
    <row r="493" spans="1:1">
      <c r="A493" s="1170" t="s">
        <v>531</v>
      </c>
    </row>
    <row r="494" spans="1:1">
      <c r="A494" s="1170" t="s">
        <v>532</v>
      </c>
    </row>
    <row r="495" spans="1:1">
      <c r="A495" s="1170" t="s">
        <v>533</v>
      </c>
    </row>
    <row r="496" spans="1:1">
      <c r="A496" s="1170" t="s">
        <v>534</v>
      </c>
    </row>
    <row r="497" spans="1:1">
      <c r="A497" s="1170" t="s">
        <v>535</v>
      </c>
    </row>
    <row r="499" spans="1:1">
      <c r="A499" s="1170" t="s">
        <v>536</v>
      </c>
    </row>
    <row r="500" spans="1:1">
      <c r="A500" s="1170" t="s">
        <v>537</v>
      </c>
    </row>
    <row r="501" spans="1:1">
      <c r="A501" s="1170" t="s">
        <v>538</v>
      </c>
    </row>
    <row r="503" spans="1:1">
      <c r="A503" s="1170" t="s">
        <v>541</v>
      </c>
    </row>
    <row r="504" spans="1:1">
      <c r="A504" s="1170" t="s">
        <v>542</v>
      </c>
    </row>
    <row r="505" spans="1:1">
      <c r="A505" s="1170" t="s">
        <v>543</v>
      </c>
    </row>
    <row r="506" spans="1:1">
      <c r="A506" s="1170" t="s">
        <v>544</v>
      </c>
    </row>
    <row r="507" spans="1:1">
      <c r="A507" s="1170" t="s">
        <v>545</v>
      </c>
    </row>
    <row r="510" spans="1:1">
      <c r="A510" s="1170" t="s">
        <v>546</v>
      </c>
    </row>
    <row r="511" spans="1:1">
      <c r="A511" s="1170" t="s">
        <v>547</v>
      </c>
    </row>
    <row r="512" spans="1:1">
      <c r="A512" s="1170" t="s">
        <v>548</v>
      </c>
    </row>
    <row r="513" spans="1:1">
      <c r="A513" s="1170" t="s">
        <v>549</v>
      </c>
    </row>
    <row r="514" spans="1:1">
      <c r="A514" s="1170" t="s">
        <v>550</v>
      </c>
    </row>
    <row r="515" spans="1:1">
      <c r="A515" s="1170" t="s">
        <v>551</v>
      </c>
    </row>
    <row r="516" spans="1:1">
      <c r="A516" s="1170" t="s">
        <v>552</v>
      </c>
    </row>
    <row r="517" spans="1:1">
      <c r="A517" s="1170" t="s">
        <v>553</v>
      </c>
    </row>
    <row r="518" spans="1:1">
      <c r="A518" s="1170" t="s">
        <v>554</v>
      </c>
    </row>
    <row r="519" spans="1:1">
      <c r="A519" s="1170" t="s">
        <v>555</v>
      </c>
    </row>
    <row r="520" spans="1:1">
      <c r="A520" s="1170" t="s">
        <v>556</v>
      </c>
    </row>
    <row r="521" spans="1:1">
      <c r="A521" s="1170" t="s">
        <v>557</v>
      </c>
    </row>
    <row r="522" spans="1:1">
      <c r="A522" s="1170" t="s">
        <v>558</v>
      </c>
    </row>
    <row r="523" spans="1:1">
      <c r="A523" s="1170" t="s">
        <v>559</v>
      </c>
    </row>
    <row r="524" spans="1:1">
      <c r="A524" s="1170" t="s">
        <v>560</v>
      </c>
    </row>
    <row r="525" spans="1:1">
      <c r="A525" s="1170" t="s">
        <v>561</v>
      </c>
    </row>
    <row r="526" spans="1:1">
      <c r="A526" s="1170" t="s">
        <v>562</v>
      </c>
    </row>
    <row r="527" spans="1:1">
      <c r="A527" s="1170" t="s">
        <v>563</v>
      </c>
    </row>
    <row r="528" spans="1:1">
      <c r="A528" s="1170" t="s">
        <v>564</v>
      </c>
    </row>
    <row r="529" spans="1:1">
      <c r="A529" s="1170" t="s">
        <v>565</v>
      </c>
    </row>
    <row r="530" spans="1:1">
      <c r="A530" s="1170" t="s">
        <v>566</v>
      </c>
    </row>
    <row r="531" spans="1:1">
      <c r="A531" s="1170" t="s">
        <v>567</v>
      </c>
    </row>
    <row r="532" spans="1:1">
      <c r="A532" s="1170" t="s">
        <v>568</v>
      </c>
    </row>
    <row r="533" spans="1:1">
      <c r="A533" s="1170" t="s">
        <v>569</v>
      </c>
    </row>
    <row r="534" spans="1:1">
      <c r="A534" s="1170" t="s">
        <v>570</v>
      </c>
    </row>
    <row r="535" spans="1:1">
      <c r="A535" s="1170" t="s">
        <v>571</v>
      </c>
    </row>
    <row r="536" spans="1:1">
      <c r="A536" s="1170" t="s">
        <v>572</v>
      </c>
    </row>
    <row r="537" spans="1:1">
      <c r="A537" s="1170" t="s">
        <v>573</v>
      </c>
    </row>
    <row r="538" spans="1:1">
      <c r="A538" s="1170" t="s">
        <v>574</v>
      </c>
    </row>
    <row r="539" spans="1:1">
      <c r="A539" s="1170" t="s">
        <v>575</v>
      </c>
    </row>
    <row r="540" spans="1:1">
      <c r="A540" s="1170" t="s">
        <v>576</v>
      </c>
    </row>
    <row r="541" spans="1:1">
      <c r="A541" s="1170" t="s">
        <v>577</v>
      </c>
    </row>
    <row r="543" spans="1:1">
      <c r="A543" s="1170" t="s">
        <v>578</v>
      </c>
    </row>
    <row r="544" spans="1:1">
      <c r="A544" s="1170" t="s">
        <v>579</v>
      </c>
    </row>
    <row r="545" spans="1:1">
      <c r="A545" s="1170" t="s">
        <v>580</v>
      </c>
    </row>
    <row r="546" spans="1:1">
      <c r="A546" s="1170" t="s">
        <v>581</v>
      </c>
    </row>
    <row r="547" spans="1:1">
      <c r="A547" s="1170" t="s">
        <v>582</v>
      </c>
    </row>
    <row r="548" spans="1:1">
      <c r="A548" s="1170" t="s">
        <v>583</v>
      </c>
    </row>
    <row r="549" spans="1:1">
      <c r="A549" s="1170" t="s">
        <v>584</v>
      </c>
    </row>
    <row r="550" spans="1:1">
      <c r="A550" s="1170" t="s">
        <v>585</v>
      </c>
    </row>
    <row r="551" spans="1:1">
      <c r="A551" s="1170" t="s">
        <v>586</v>
      </c>
    </row>
    <row r="552" spans="1:1">
      <c r="A552" s="1170" t="s">
        <v>578</v>
      </c>
    </row>
    <row r="554" spans="1:1">
      <c r="A554" s="1170" t="s">
        <v>150</v>
      </c>
    </row>
    <row r="555" spans="1:1">
      <c r="A555" s="1170" t="s">
        <v>587</v>
      </c>
    </row>
    <row r="556" spans="1:1">
      <c r="A556" s="1170" t="s">
        <v>588</v>
      </c>
    </row>
    <row r="557" spans="1:1">
      <c r="A557" s="1170" t="s">
        <v>589</v>
      </c>
    </row>
    <row r="558" spans="1:1">
      <c r="A558" s="1170" t="s">
        <v>590</v>
      </c>
    </row>
    <row r="559" spans="1:1">
      <c r="A559" s="1170" t="s">
        <v>591</v>
      </c>
    </row>
    <row r="560" spans="1:1">
      <c r="A560" s="1170" t="s">
        <v>592</v>
      </c>
    </row>
    <row r="561" spans="1:1">
      <c r="A561" s="1170" t="s">
        <v>150</v>
      </c>
    </row>
    <row r="562" spans="1:1">
      <c r="A562" s="1170" t="s">
        <v>593</v>
      </c>
    </row>
    <row r="563" spans="1:1">
      <c r="A563" s="1170" t="s">
        <v>594</v>
      </c>
    </row>
    <row r="564" spans="1:1">
      <c r="A564" s="1170" t="s">
        <v>150</v>
      </c>
    </row>
    <row r="565" spans="1:1">
      <c r="A565" s="1170" t="s">
        <v>150</v>
      </c>
    </row>
    <row r="566" spans="1:1">
      <c r="A566" s="1170" t="s">
        <v>595</v>
      </c>
    </row>
    <row r="567" spans="1:1">
      <c r="A567" s="1170" t="s">
        <v>596</v>
      </c>
    </row>
    <row r="568" spans="1:1">
      <c r="A568" s="1170" t="s">
        <v>597</v>
      </c>
    </row>
    <row r="569" spans="1:1">
      <c r="A569" s="1170" t="s">
        <v>598</v>
      </c>
    </row>
    <row r="570" spans="1:1">
      <c r="A570" s="1170" t="s">
        <v>150</v>
      </c>
    </row>
    <row r="571" spans="1:1">
      <c r="A571" s="1170" t="s">
        <v>599</v>
      </c>
    </row>
    <row r="573" spans="1:1">
      <c r="A573" s="1170" t="s">
        <v>600</v>
      </c>
    </row>
    <row r="574" spans="1:1">
      <c r="A574" s="1170" t="s">
        <v>601</v>
      </c>
    </row>
    <row r="575" spans="1:1">
      <c r="A575" s="1170" t="s">
        <v>602</v>
      </c>
    </row>
    <row r="576" spans="1:1">
      <c r="A576" s="1170" t="s">
        <v>603</v>
      </c>
    </row>
    <row r="577" spans="1:1">
      <c r="A577" s="1170" t="s">
        <v>604</v>
      </c>
    </row>
    <row r="579" spans="1:1">
      <c r="A579" s="1170" t="s">
        <v>605</v>
      </c>
    </row>
    <row r="580" spans="1:1">
      <c r="A580" s="1170" t="s">
        <v>606</v>
      </c>
    </row>
    <row r="581" spans="1:1">
      <c r="A581" s="1170" t="s">
        <v>607</v>
      </c>
    </row>
    <row r="582" spans="1:1">
      <c r="A582" s="1170" t="s">
        <v>608</v>
      </c>
    </row>
    <row r="583" spans="1:1">
      <c r="A583" s="1170" t="s">
        <v>150</v>
      </c>
    </row>
    <row r="584" spans="1:1">
      <c r="A584" s="1170" t="s">
        <v>150</v>
      </c>
    </row>
    <row r="585" spans="1:1">
      <c r="A585" s="1170" t="s">
        <v>609</v>
      </c>
    </row>
    <row r="586" spans="1:1">
      <c r="A586" s="1170" t="s">
        <v>610</v>
      </c>
    </row>
    <row r="587" spans="1:1">
      <c r="A587" s="1170" t="s">
        <v>611</v>
      </c>
    </row>
    <row r="588" spans="1:1">
      <c r="A588" s="1170" t="s">
        <v>612</v>
      </c>
    </row>
    <row r="589" spans="1:1">
      <c r="A589" s="1170" t="s">
        <v>150</v>
      </c>
    </row>
    <row r="590" spans="1:1">
      <c r="A590" s="1170" t="s">
        <v>613</v>
      </c>
    </row>
    <row r="591" spans="1:1">
      <c r="A591" s="1170" t="s">
        <v>614</v>
      </c>
    </row>
    <row r="592" spans="1:1">
      <c r="A592" s="1170" t="s">
        <v>150</v>
      </c>
    </row>
    <row r="593" spans="1:1">
      <c r="A593" s="1170" t="s">
        <v>150</v>
      </c>
    </row>
    <row r="594" spans="1:1">
      <c r="A594" s="1170" t="s">
        <v>150</v>
      </c>
    </row>
    <row r="595" spans="1:1">
      <c r="A595" s="1170" t="s">
        <v>615</v>
      </c>
    </row>
    <row r="596" spans="1:1">
      <c r="A596" s="1170" t="s">
        <v>616</v>
      </c>
    </row>
    <row r="597" spans="1:1">
      <c r="A597" s="1170" t="s">
        <v>617</v>
      </c>
    </row>
    <row r="598" spans="1:1">
      <c r="A598" s="1170" t="s">
        <v>618</v>
      </c>
    </row>
    <row r="599" spans="1:1">
      <c r="A599" s="1170" t="s">
        <v>150</v>
      </c>
    </row>
    <row r="600" spans="1:1">
      <c r="A600" s="1170" t="s">
        <v>619</v>
      </c>
    </row>
    <row r="601" spans="1:1">
      <c r="A601" s="1170" t="s">
        <v>150</v>
      </c>
    </row>
    <row r="602" spans="1:1">
      <c r="A602" s="1170" t="s">
        <v>150</v>
      </c>
    </row>
    <row r="603" spans="1:1">
      <c r="A603" s="1170" t="s">
        <v>620</v>
      </c>
    </row>
    <row r="604" spans="1:1">
      <c r="A604" s="1170" t="s">
        <v>621</v>
      </c>
    </row>
    <row r="605" spans="1:1">
      <c r="A605" s="1170" t="s">
        <v>622</v>
      </c>
    </row>
    <row r="606" spans="1:1">
      <c r="A606" s="1170" t="s">
        <v>623</v>
      </c>
    </row>
    <row r="607" spans="1:1">
      <c r="A607" s="1170" t="s">
        <v>624</v>
      </c>
    </row>
    <row r="608" spans="1:1">
      <c r="A608" s="1170" t="s">
        <v>625</v>
      </c>
    </row>
    <row r="609" spans="1:1">
      <c r="A609" s="1170" t="s">
        <v>150</v>
      </c>
    </row>
    <row r="610" spans="1:1">
      <c r="A610" s="1170" t="s">
        <v>626</v>
      </c>
    </row>
    <row r="611" spans="1:1">
      <c r="A611" s="1170" t="s">
        <v>627</v>
      </c>
    </row>
    <row r="612" spans="1:1">
      <c r="A612" s="1170" t="s">
        <v>150</v>
      </c>
    </row>
    <row r="613" spans="1:1">
      <c r="A613" s="1170" t="s">
        <v>150</v>
      </c>
    </row>
    <row r="614" spans="1:1">
      <c r="A614" s="1170" t="s">
        <v>628</v>
      </c>
    </row>
    <row r="615" spans="1:1">
      <c r="A615" s="1170" t="s">
        <v>629</v>
      </c>
    </row>
    <row r="616" spans="1:1">
      <c r="A616" s="1170" t="s">
        <v>150</v>
      </c>
    </row>
    <row r="617" spans="1:1">
      <c r="A617" s="1170" t="s">
        <v>630</v>
      </c>
    </row>
    <row r="618" spans="1:1">
      <c r="A618" s="1170" t="s">
        <v>636</v>
      </c>
    </row>
    <row r="621" spans="1:1">
      <c r="A621" s="1170" t="s">
        <v>637</v>
      </c>
    </row>
    <row r="622" spans="1:1">
      <c r="A622" s="1170" t="s">
        <v>638</v>
      </c>
    </row>
    <row r="623" spans="1:1">
      <c r="A623" s="1170" t="s">
        <v>639</v>
      </c>
    </row>
    <row r="624" spans="1:1">
      <c r="A624" s="1170" t="s">
        <v>640</v>
      </c>
    </row>
    <row r="626" spans="1:1">
      <c r="A626" s="1170" t="s">
        <v>641</v>
      </c>
    </row>
    <row r="627" spans="1:1">
      <c r="A627" s="1170" t="s">
        <v>642</v>
      </c>
    </row>
    <row r="628" spans="1:1">
      <c r="A628" s="1170" t="s">
        <v>643</v>
      </c>
    </row>
    <row r="630" spans="1:1">
      <c r="A630" s="1170" t="s">
        <v>644</v>
      </c>
    </row>
    <row r="631" spans="1:1">
      <c r="A631" s="1170" t="s">
        <v>645</v>
      </c>
    </row>
    <row r="633" spans="1:1">
      <c r="A633" s="1170" t="s">
        <v>883</v>
      </c>
    </row>
    <row r="634" spans="1:1">
      <c r="A634" s="1170" t="s">
        <v>656</v>
      </c>
    </row>
    <row r="635" spans="1:1">
      <c r="A635" s="1170" t="s">
        <v>884</v>
      </c>
    </row>
    <row r="637" spans="1:1">
      <c r="A637" s="1170" t="s">
        <v>646</v>
      </c>
    </row>
    <row r="638" spans="1:1">
      <c r="A638" s="1170" t="s">
        <v>647</v>
      </c>
    </row>
    <row r="639" spans="1:1">
      <c r="A639" s="1170" t="s">
        <v>648</v>
      </c>
    </row>
    <row r="641" spans="1:1">
      <c r="A641" s="1170" t="s">
        <v>649</v>
      </c>
    </row>
    <row r="642" spans="1:1">
      <c r="A642" s="1170" t="s">
        <v>650</v>
      </c>
    </row>
    <row r="643" spans="1:1">
      <c r="A643" s="1170" t="s">
        <v>651</v>
      </c>
    </row>
    <row r="645" spans="1:1">
      <c r="A645" s="1170" t="s">
        <v>652</v>
      </c>
    </row>
    <row r="646" spans="1:1">
      <c r="A646" s="1170" t="s">
        <v>653</v>
      </c>
    </row>
    <row r="647" spans="1:1">
      <c r="A647" s="1170" t="s">
        <v>654</v>
      </c>
    </row>
    <row r="649" spans="1:1">
      <c r="A649" s="1170" t="s">
        <v>655</v>
      </c>
    </row>
    <row r="650" spans="1:1">
      <c r="A650" s="1170" t="s">
        <v>656</v>
      </c>
    </row>
    <row r="651" spans="1:1">
      <c r="A651" s="1170" t="s">
        <v>657</v>
      </c>
    </row>
    <row r="653" spans="1:1">
      <c r="A653" s="1170" t="s">
        <v>658</v>
      </c>
    </row>
    <row r="654" spans="1:1">
      <c r="A654" s="1170" t="s">
        <v>659</v>
      </c>
    </row>
    <row r="655" spans="1:1">
      <c r="A655" s="1170" t="s">
        <v>660</v>
      </c>
    </row>
    <row r="657" spans="1:1">
      <c r="A657" s="1170" t="s">
        <v>661</v>
      </c>
    </row>
    <row r="658" spans="1:1">
      <c r="A658" s="1170" t="s">
        <v>662</v>
      </c>
    </row>
    <row r="659" spans="1:1">
      <c r="A659" s="1170" t="s">
        <v>663</v>
      </c>
    </row>
    <row r="661" spans="1:1">
      <c r="A661" s="1170" t="s">
        <v>664</v>
      </c>
    </row>
    <row r="662" spans="1:1">
      <c r="A662" s="1170" t="s">
        <v>150</v>
      </c>
    </row>
    <row r="663" spans="1:1">
      <c r="A663" s="1170" t="s">
        <v>665</v>
      </c>
    </row>
    <row r="664" spans="1:1">
      <c r="A664" s="1170" t="s">
        <v>150</v>
      </c>
    </row>
    <row r="665" spans="1:1">
      <c r="A665" s="1170" t="s">
        <v>666</v>
      </c>
    </row>
    <row r="666" spans="1:1">
      <c r="A666" s="1170" t="s">
        <v>667</v>
      </c>
    </row>
    <row r="667" spans="1:1">
      <c r="A667" s="1170" t="s">
        <v>668</v>
      </c>
    </row>
    <row r="668" spans="1:1">
      <c r="A668" s="1170" t="s">
        <v>150</v>
      </c>
    </row>
    <row r="669" spans="1:1">
      <c r="A669" s="1170" t="s">
        <v>669</v>
      </c>
    </row>
    <row r="670" spans="1:1">
      <c r="A670" s="1170" t="s">
        <v>670</v>
      </c>
    </row>
    <row r="671" spans="1:1">
      <c r="A671" s="1170" t="s">
        <v>671</v>
      </c>
    </row>
    <row r="672" spans="1:1">
      <c r="A672" s="1170" t="s">
        <v>150</v>
      </c>
    </row>
    <row r="673" spans="1:1">
      <c r="A673" s="1170" t="s">
        <v>672</v>
      </c>
    </row>
    <row r="674" spans="1:1">
      <c r="A674" s="1170" t="s">
        <v>673</v>
      </c>
    </row>
    <row r="675" spans="1:1">
      <c r="A675" s="1170" t="s">
        <v>150</v>
      </c>
    </row>
    <row r="676" spans="1:1">
      <c r="A676" s="1170" t="s">
        <v>674</v>
      </c>
    </row>
    <row r="677" spans="1:1">
      <c r="A677" s="1170" t="s">
        <v>675</v>
      </c>
    </row>
    <row r="678" spans="1:1">
      <c r="A678" s="1170" t="s">
        <v>676</v>
      </c>
    </row>
    <row r="679" spans="1:1">
      <c r="A679" s="1170" t="s">
        <v>677</v>
      </c>
    </row>
    <row r="680" spans="1:1">
      <c r="A680" s="1170" t="s">
        <v>150</v>
      </c>
    </row>
    <row r="681" spans="1:1">
      <c r="A681" s="1170" t="s">
        <v>678</v>
      </c>
    </row>
    <row r="682" spans="1:1">
      <c r="A682" s="1170" t="s">
        <v>679</v>
      </c>
    </row>
    <row r="683" spans="1:1">
      <c r="A683" s="1170" t="s">
        <v>680</v>
      </c>
    </row>
    <row r="684" spans="1:1">
      <c r="A684" s="1170" t="s">
        <v>681</v>
      </c>
    </row>
    <row r="685" spans="1:1">
      <c r="A685" s="1170" t="s">
        <v>682</v>
      </c>
    </row>
    <row r="687" spans="1:1">
      <c r="A687" s="1170" t="s">
        <v>683</v>
      </c>
    </row>
    <row r="688" spans="1:1">
      <c r="A688" s="1170" t="s">
        <v>684</v>
      </c>
    </row>
    <row r="689" spans="1:1">
      <c r="A689" s="1170" t="s">
        <v>685</v>
      </c>
    </row>
    <row r="690" spans="1:1">
      <c r="A690" s="1170" t="s">
        <v>686</v>
      </c>
    </row>
    <row r="691" spans="1:1">
      <c r="A691" s="1170" t="s">
        <v>687</v>
      </c>
    </row>
    <row r="692" spans="1:1">
      <c r="A692" s="1170" t="s">
        <v>688</v>
      </c>
    </row>
    <row r="693" spans="1:1">
      <c r="A693" s="1170" t="s">
        <v>689</v>
      </c>
    </row>
    <row r="694" spans="1:1">
      <c r="A694" s="1170" t="s">
        <v>690</v>
      </c>
    </row>
    <row r="695" spans="1:1">
      <c r="A695" s="1170" t="s">
        <v>691</v>
      </c>
    </row>
    <row r="696" spans="1:1">
      <c r="A696" s="1170" t="s">
        <v>692</v>
      </c>
    </row>
    <row r="697" spans="1:1">
      <c r="A697" s="1170" t="s">
        <v>693</v>
      </c>
    </row>
    <row r="698" spans="1:1">
      <c r="A698" s="1170" t="s">
        <v>694</v>
      </c>
    </row>
    <row r="699" spans="1:1">
      <c r="A699" s="1170" t="s">
        <v>695</v>
      </c>
    </row>
    <row r="700" spans="1:1">
      <c r="A700" s="1170" t="s">
        <v>696</v>
      </c>
    </row>
    <row r="702" spans="1:1">
      <c r="A702" s="1170" t="s">
        <v>1769</v>
      </c>
    </row>
    <row r="703" spans="1:1">
      <c r="A703" s="1170" t="s">
        <v>1770</v>
      </c>
    </row>
    <row r="704" spans="1:1">
      <c r="A704" s="1170" t="s">
        <v>1771</v>
      </c>
    </row>
    <row r="706" spans="1:1">
      <c r="A706" s="1170" t="s">
        <v>1772</v>
      </c>
    </row>
    <row r="707" spans="1:1">
      <c r="A707" s="1170" t="s">
        <v>1773</v>
      </c>
    </row>
    <row r="709" spans="1:1">
      <c r="A709" s="1170" t="s">
        <v>1774</v>
      </c>
    </row>
    <row r="711" spans="1:1">
      <c r="A711" s="1170" t="s">
        <v>1775</v>
      </c>
    </row>
    <row r="712" spans="1:1">
      <c r="A712" s="1170" t="s">
        <v>1776</v>
      </c>
    </row>
    <row r="714" spans="1:1">
      <c r="A714" s="1170" t="s">
        <v>1777</v>
      </c>
    </row>
    <row r="715" spans="1:1">
      <c r="A715" s="1170" t="s">
        <v>1778</v>
      </c>
    </row>
    <row r="717" spans="1:1">
      <c r="A717" s="1170" t="s">
        <v>1779</v>
      </c>
    </row>
    <row r="718" spans="1:1">
      <c r="A718" s="1170" t="s">
        <v>1780</v>
      </c>
    </row>
    <row r="720" spans="1:1">
      <c r="A720" s="1170" t="s">
        <v>1781</v>
      </c>
    </row>
    <row r="723" spans="1:1">
      <c r="A723" s="1170" t="s">
        <v>697</v>
      </c>
    </row>
    <row r="724" spans="1:1">
      <c r="A724" s="1170" t="s">
        <v>698</v>
      </c>
    </row>
    <row r="725" spans="1:1">
      <c r="A725" s="1170" t="s">
        <v>699</v>
      </c>
    </row>
    <row r="727" spans="1:1">
      <c r="A727" s="1170" t="s">
        <v>700</v>
      </c>
    </row>
    <row r="728" spans="1:1">
      <c r="A728" s="1170" t="s">
        <v>701</v>
      </c>
    </row>
    <row r="729" spans="1:1">
      <c r="A729" s="1170" t="s">
        <v>702</v>
      </c>
    </row>
    <row r="731" spans="1:1">
      <c r="A731" s="1170" t="s">
        <v>703</v>
      </c>
    </row>
    <row r="732" spans="1:1">
      <c r="A732" s="1170" t="s">
        <v>704</v>
      </c>
    </row>
    <row r="734" spans="1:1">
      <c r="A734" s="1170" t="s">
        <v>705</v>
      </c>
    </row>
    <row r="735" spans="1:1">
      <c r="A735" s="1170" t="s">
        <v>706</v>
      </c>
    </row>
    <row r="736" spans="1:1">
      <c r="A736" s="1170" t="s">
        <v>707</v>
      </c>
    </row>
    <row r="739" spans="1:1">
      <c r="A739" s="1170" t="s">
        <v>708</v>
      </c>
    </row>
    <row r="740" spans="1:1">
      <c r="A740" s="1170" t="s">
        <v>709</v>
      </c>
    </row>
    <row r="741" spans="1:1">
      <c r="A741" s="1170" t="s">
        <v>710</v>
      </c>
    </row>
    <row r="743" spans="1:1">
      <c r="A743" s="1170" t="s">
        <v>1782</v>
      </c>
    </row>
    <row r="746" spans="1:1">
      <c r="A746" s="1170" t="s">
        <v>712</v>
      </c>
    </row>
    <row r="747" spans="1:1">
      <c r="A747" s="1170" t="s">
        <v>713</v>
      </c>
    </row>
    <row r="748" spans="1:1">
      <c r="A748" s="1170" t="s">
        <v>714</v>
      </c>
    </row>
    <row r="750" spans="1:1">
      <c r="A750" s="1170" t="s">
        <v>1783</v>
      </c>
    </row>
    <row r="753" spans="1:1">
      <c r="A753" s="1170" t="s">
        <v>717</v>
      </c>
    </row>
    <row r="754" spans="1:1">
      <c r="A754" s="1170" t="s">
        <v>718</v>
      </c>
    </row>
    <row r="757" spans="1:1">
      <c r="A757" s="1170" t="s">
        <v>719</v>
      </c>
    </row>
    <row r="758" spans="1:1">
      <c r="A758" s="1170" t="s">
        <v>720</v>
      </c>
    </row>
    <row r="760" spans="1:1">
      <c r="A760" s="1170" t="s">
        <v>721</v>
      </c>
    </row>
    <row r="761" spans="1:1">
      <c r="A761" s="1170" t="s">
        <v>722</v>
      </c>
    </row>
    <row r="762" spans="1:1">
      <c r="A762" s="1170" t="s">
        <v>723</v>
      </c>
    </row>
    <row r="764" spans="1:1">
      <c r="A764" s="1170" t="s">
        <v>724</v>
      </c>
    </row>
    <row r="765" spans="1:1">
      <c r="A765" s="1170" t="s">
        <v>725</v>
      </c>
    </row>
    <row r="767" spans="1:1">
      <c r="A767" s="1170" t="s">
        <v>726</v>
      </c>
    </row>
    <row r="768" spans="1:1">
      <c r="A768" s="1170" t="s">
        <v>727</v>
      </c>
    </row>
    <row r="770" spans="1:1">
      <c r="A770" s="1170" t="s">
        <v>733</v>
      </c>
    </row>
    <row r="771" spans="1:1">
      <c r="A771" s="1170" t="s">
        <v>734</v>
      </c>
    </row>
    <row r="773" spans="1:1">
      <c r="A773" s="1170" t="s">
        <v>735</v>
      </c>
    </row>
    <row r="774" spans="1:1">
      <c r="A774" s="1170" t="s">
        <v>1784</v>
      </c>
    </row>
    <row r="776" spans="1:1">
      <c r="A776" s="1170" t="s">
        <v>737</v>
      </c>
    </row>
    <row r="777" spans="1:1">
      <c r="A777" s="1170" t="s">
        <v>1785</v>
      </c>
    </row>
    <row r="780" spans="1:1">
      <c r="A780" s="1170" t="s">
        <v>739</v>
      </c>
    </row>
    <row r="781" spans="1:1">
      <c r="A781" s="1170" t="s">
        <v>744</v>
      </c>
    </row>
    <row r="782" spans="1:1">
      <c r="A782" s="1170" t="s">
        <v>1786</v>
      </c>
    </row>
    <row r="783" spans="1:1">
      <c r="A783" s="1170" t="s">
        <v>746</v>
      </c>
    </row>
    <row r="784" spans="1:1">
      <c r="A784" s="1170" t="s">
        <v>747</v>
      </c>
    </row>
    <row r="785" spans="1:1">
      <c r="A785" s="1170" t="s">
        <v>748</v>
      </c>
    </row>
    <row r="786" spans="1:1">
      <c r="A786" s="1170" t="s">
        <v>749</v>
      </c>
    </row>
    <row r="787" spans="1:1">
      <c r="A787" s="1170" t="s">
        <v>750</v>
      </c>
    </row>
    <row r="788" spans="1:1">
      <c r="A788" s="1170" t="s">
        <v>751</v>
      </c>
    </row>
    <row r="789" spans="1:1">
      <c r="A789" s="1170" t="s">
        <v>752</v>
      </c>
    </row>
    <row r="790" spans="1:1">
      <c r="A790" s="1170" t="s">
        <v>753</v>
      </c>
    </row>
    <row r="791" spans="1:1">
      <c r="A791" s="1170" t="s">
        <v>754</v>
      </c>
    </row>
    <row r="792" spans="1:1">
      <c r="A792" s="1170" t="s">
        <v>755</v>
      </c>
    </row>
    <row r="793" spans="1:1">
      <c r="A793" s="1170" t="s">
        <v>756</v>
      </c>
    </row>
    <row r="794" spans="1:1">
      <c r="A794" s="1170" t="s">
        <v>757</v>
      </c>
    </row>
    <row r="795" spans="1:1">
      <c r="A795" s="1170" t="s">
        <v>758</v>
      </c>
    </row>
    <row r="796" spans="1:1">
      <c r="A796" s="1170" t="s">
        <v>759</v>
      </c>
    </row>
    <row r="797" spans="1:1">
      <c r="A797" s="1170" t="s">
        <v>760</v>
      </c>
    </row>
    <row r="798" spans="1:1">
      <c r="A798" s="1170" t="s">
        <v>761</v>
      </c>
    </row>
    <row r="799" spans="1:1">
      <c r="A799" s="1170" t="s">
        <v>762</v>
      </c>
    </row>
    <row r="800" spans="1:1">
      <c r="A800" s="1170" t="s">
        <v>763</v>
      </c>
    </row>
    <row r="801" spans="1:1">
      <c r="A801" s="1170" t="s">
        <v>764</v>
      </c>
    </row>
    <row r="802" spans="1:1">
      <c r="A802" s="1170" t="s">
        <v>765</v>
      </c>
    </row>
    <row r="803" spans="1:1">
      <c r="A803" s="1170" t="s">
        <v>766</v>
      </c>
    </row>
    <row r="804" spans="1:1">
      <c r="A804" s="1170" t="s">
        <v>767</v>
      </c>
    </row>
    <row r="805" spans="1:1">
      <c r="A805" s="1170" t="s">
        <v>768</v>
      </c>
    </row>
    <row r="806" spans="1:1">
      <c r="A806" s="1170" t="s">
        <v>769</v>
      </c>
    </row>
    <row r="807" spans="1:1">
      <c r="A807" s="1170" t="s">
        <v>770</v>
      </c>
    </row>
    <row r="808" spans="1:1">
      <c r="A808" s="1170" t="s">
        <v>771</v>
      </c>
    </row>
    <row r="809" spans="1:1">
      <c r="A809" s="1170" t="s">
        <v>772</v>
      </c>
    </row>
    <row r="810" spans="1:1">
      <c r="A810" s="1170" t="s">
        <v>773</v>
      </c>
    </row>
    <row r="811" spans="1:1">
      <c r="A811" s="1170" t="s">
        <v>774</v>
      </c>
    </row>
    <row r="812" spans="1:1">
      <c r="A812" s="1170" t="s">
        <v>775</v>
      </c>
    </row>
    <row r="813" spans="1:1">
      <c r="A813" s="1170" t="s">
        <v>776</v>
      </c>
    </row>
    <row r="814" spans="1:1">
      <c r="A814" s="1170" t="s">
        <v>777</v>
      </c>
    </row>
    <row r="815" spans="1:1">
      <c r="A815" s="1170" t="s">
        <v>778</v>
      </c>
    </row>
    <row r="816" spans="1:1">
      <c r="A816" s="1170" t="s">
        <v>779</v>
      </c>
    </row>
    <row r="817" spans="1:1">
      <c r="A817" s="1170" t="s">
        <v>780</v>
      </c>
    </row>
    <row r="818" spans="1:1">
      <c r="A818" s="1170" t="s">
        <v>781</v>
      </c>
    </row>
    <row r="819" spans="1:1">
      <c r="A819" s="1170" t="s">
        <v>782</v>
      </c>
    </row>
    <row r="820" spans="1:1">
      <c r="A820" s="1170" t="s">
        <v>783</v>
      </c>
    </row>
    <row r="821" spans="1:1">
      <c r="A821" s="1170" t="s">
        <v>784</v>
      </c>
    </row>
    <row r="822" spans="1:1">
      <c r="A822" s="1170" t="s">
        <v>785</v>
      </c>
    </row>
    <row r="823" spans="1:1">
      <c r="A823" s="1170" t="s">
        <v>786</v>
      </c>
    </row>
    <row r="824" spans="1:1">
      <c r="A824" s="1170" t="s">
        <v>787</v>
      </c>
    </row>
    <row r="825" spans="1:1">
      <c r="A825" s="1170" t="s">
        <v>788</v>
      </c>
    </row>
    <row r="827" spans="1:1">
      <c r="A827" s="1170" t="s">
        <v>789</v>
      </c>
    </row>
    <row r="828" spans="1:1">
      <c r="A828" s="1170" t="s">
        <v>790</v>
      </c>
    </row>
    <row r="829" spans="1:1">
      <c r="A829" s="1170" t="s">
        <v>791</v>
      </c>
    </row>
    <row r="831" spans="1:1">
      <c r="A831" s="1170" t="s">
        <v>792</v>
      </c>
    </row>
    <row r="832" spans="1:1">
      <c r="A832" s="1170" t="s">
        <v>793</v>
      </c>
    </row>
    <row r="833" spans="1:1">
      <c r="A833" s="1170" t="s">
        <v>794</v>
      </c>
    </row>
    <row r="835" spans="1:1">
      <c r="A835" s="1170" t="s">
        <v>795</v>
      </c>
    </row>
    <row r="836" spans="1:1">
      <c r="A836" s="1170" t="s">
        <v>796</v>
      </c>
    </row>
    <row r="837" spans="1:1">
      <c r="A837" s="1170" t="s">
        <v>797</v>
      </c>
    </row>
    <row r="838" spans="1:1">
      <c r="A838" s="1170" t="s">
        <v>798</v>
      </c>
    </row>
    <row r="841" spans="1:1">
      <c r="A841" s="1170" t="s">
        <v>799</v>
      </c>
    </row>
    <row r="842" spans="1:1">
      <c r="A842" s="1170" t="s">
        <v>800</v>
      </c>
    </row>
    <row r="843" spans="1:1">
      <c r="A843" s="1170" t="s">
        <v>801</v>
      </c>
    </row>
    <row r="844" spans="1:1">
      <c r="A844" s="1170" t="s">
        <v>1787</v>
      </c>
    </row>
    <row r="846" spans="1:1">
      <c r="A846" s="1170" t="s">
        <v>805</v>
      </c>
    </row>
    <row r="847" spans="1:1">
      <c r="A847" s="1170" t="s">
        <v>806</v>
      </c>
    </row>
    <row r="848" spans="1:1">
      <c r="A848" s="1170" t="s">
        <v>807</v>
      </c>
    </row>
    <row r="849" spans="1:1">
      <c r="A849" s="1170" t="s">
        <v>808</v>
      </c>
    </row>
    <row r="850" spans="1:1">
      <c r="A850" s="1170" t="s">
        <v>809</v>
      </c>
    </row>
    <row r="851" spans="1:1">
      <c r="A851" s="1170" t="s">
        <v>810</v>
      </c>
    </row>
    <row r="852" spans="1:1">
      <c r="A852" s="1170" t="s">
        <v>811</v>
      </c>
    </row>
    <row r="853" spans="1:1">
      <c r="A853" s="1170" t="s">
        <v>812</v>
      </c>
    </row>
    <row r="854" spans="1:1">
      <c r="A854" s="1170" t="s">
        <v>813</v>
      </c>
    </row>
    <row r="855" spans="1:1">
      <c r="A855" s="1170" t="s">
        <v>814</v>
      </c>
    </row>
    <row r="856" spans="1:1">
      <c r="A856" s="1170" t="s">
        <v>815</v>
      </c>
    </row>
    <row r="858" spans="1:1">
      <c r="A858" s="1170" t="s">
        <v>816</v>
      </c>
    </row>
    <row r="859" spans="1:1">
      <c r="A859" s="1170" t="s">
        <v>817</v>
      </c>
    </row>
    <row r="862" spans="1:1">
      <c r="A862" s="1170" t="s">
        <v>818</v>
      </c>
    </row>
    <row r="863" spans="1:1">
      <c r="A863" s="1170" t="s">
        <v>819</v>
      </c>
    </row>
    <row r="864" spans="1:1">
      <c r="A864" s="1170" t="s">
        <v>820</v>
      </c>
    </row>
    <row r="865" spans="1:1">
      <c r="A865" s="1170" t="s">
        <v>821</v>
      </c>
    </row>
    <row r="866" spans="1:1">
      <c r="A866" s="1170" t="s">
        <v>822</v>
      </c>
    </row>
    <row r="867" spans="1:1">
      <c r="A867" s="1170" t="s">
        <v>823</v>
      </c>
    </row>
    <row r="868" spans="1:1">
      <c r="A868" s="1170" t="s">
        <v>824</v>
      </c>
    </row>
    <row r="869" spans="1:1">
      <c r="A869" s="1170" t="s">
        <v>1788</v>
      </c>
    </row>
    <row r="871" spans="1:1">
      <c r="A871" s="1170" t="s">
        <v>1789</v>
      </c>
    </row>
    <row r="872" spans="1:1">
      <c r="A872" s="1170" t="s">
        <v>1790</v>
      </c>
    </row>
    <row r="873" spans="1:1">
      <c r="A873" s="1170" t="s">
        <v>1819</v>
      </c>
    </row>
    <row r="874" spans="1:1">
      <c r="A874" s="1170" t="s">
        <v>1820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sheetPr codeName="Sheet29"/>
  <dimension ref="A1:A222"/>
  <sheetViews>
    <sheetView zoomScaleNormal="100" workbookViewId="0">
      <selection activeCell="A6" sqref="A6"/>
    </sheetView>
  </sheetViews>
  <sheetFormatPr defaultRowHeight="15"/>
  <cols>
    <col min="1" max="1" width="74.85546875" style="1170" bestFit="1" customWidth="1"/>
    <col min="2" max="16384" width="9.140625" style="1170"/>
  </cols>
  <sheetData>
    <row r="1" spans="1:1">
      <c r="A1" s="1170" t="s">
        <v>100</v>
      </c>
    </row>
    <row r="2" spans="1:1">
      <c r="A2" s="1170" t="s">
        <v>101</v>
      </c>
    </row>
    <row r="3" spans="1:1">
      <c r="A3" s="1170" t="s">
        <v>102</v>
      </c>
    </row>
    <row r="4" spans="1:1">
      <c r="A4" s="1170" t="s">
        <v>103</v>
      </c>
    </row>
    <row r="5" spans="1:1">
      <c r="A5" s="1170" t="s">
        <v>104</v>
      </c>
    </row>
    <row r="6" spans="1:1">
      <c r="A6" s="1170" t="s">
        <v>105</v>
      </c>
    </row>
    <row r="7" spans="1:1">
      <c r="A7" s="1170" t="s">
        <v>106</v>
      </c>
    </row>
    <row r="9" spans="1:1">
      <c r="A9" s="1170" t="s">
        <v>108</v>
      </c>
    </row>
    <row r="10" spans="1:1">
      <c r="A10" s="124" t="str">
        <f>"key_proc_time=" &amp;'Configs &amp; Procedures'!$H$20</f>
        <v>key_proc_time=150</v>
      </c>
    </row>
    <row r="11" spans="1:1">
      <c r="A11" s="1170" t="s">
        <v>109</v>
      </c>
    </row>
    <row r="12" spans="1:1">
      <c r="A12" s="1170" t="s">
        <v>110</v>
      </c>
    </row>
    <row r="13" spans="1:1">
      <c r="A13" s="124" t="str">
        <f>"key_custom_ratio="&amp;'Configs &amp; Procedures'!$H$26</f>
        <v>key_custom_ratio=13</v>
      </c>
    </row>
    <row r="14" spans="1:1">
      <c r="A14" s="124" t="str">
        <f>"key_ac_rate=" &amp;'Configs &amp; Procedures'!$H$25</f>
        <v>key_ac_rate=1</v>
      </c>
    </row>
    <row r="15" spans="1:1">
      <c r="A15" s="124" t="str">
        <f>"key_post_crit=" &amp;'Configs &amp; Procedures'!$H$16</f>
        <v>key_post_crit=32</v>
      </c>
    </row>
    <row r="16" spans="1:1">
      <c r="A16" s="124" t="str">
        <f>"key_tbv_vol_setting="&amp;IF('Configs &amp; Procedures'!$L$11="YES",1)+IF('Configs &amp; Procedures'!$L$13="YES",4)+IF('Configs &amp; Procedures'!$L$15="YES",2)+IF('Configs &amp; Procedures'!$L$32="YES",8)</f>
        <v>key_tbv_vol_setting=1</v>
      </c>
    </row>
    <row r="17" spans="1:1">
      <c r="A17" s="124" t="str">
        <f>"key_tbv_percent="&amp;'Configs &amp; Procedures'!$L$12</f>
        <v>key_tbv_percent=12</v>
      </c>
    </row>
    <row r="18" spans="1:1">
      <c r="A18" s="124" t="str">
        <f>"key_weight_1_setting="&amp;'Configs &amp; Procedures'!$AC$22</f>
        <v>key_weight_1_setting=385.8089585</v>
      </c>
    </row>
    <row r="19" spans="1:1">
      <c r="A19" s="124" t="str">
        <f>"key_weight_2_setting="&amp;'Configs &amp; Procedures'!$AC$22</f>
        <v>key_weight_2_setting=385.8089585</v>
      </c>
    </row>
    <row r="20" spans="1:1">
      <c r="A20" s="124" t="str">
        <f>"key_weight_3_setting="&amp;'Configs &amp; Procedures'!$AC$22</f>
        <v>key_weight_3_setting=385.8089585</v>
      </c>
    </row>
    <row r="21" spans="1:1">
      <c r="A21" s="124" t="str">
        <f>"key_weight_1_less_than_vol="&amp;'Configs &amp; Procedures'!$L$16</f>
        <v>key_weight_1_less_than_vol=500</v>
      </c>
    </row>
    <row r="22" spans="1:1">
      <c r="A22" s="124" t="str">
        <f>"key_weight_2_less_than_vol="&amp;'Configs &amp; Procedures'!$L$16</f>
        <v>key_weight_2_less_than_vol=500</v>
      </c>
    </row>
    <row r="23" spans="1:1">
      <c r="A23" s="124" t="str">
        <f>"key_weight_3_less_than_vol="&amp;'Configs &amp; Procedures'!$L$16</f>
        <v>key_weight_3_less_than_vol=500</v>
      </c>
    </row>
    <row r="24" spans="1:1">
      <c r="A24" s="124" t="str">
        <f>"key_weight_3_greater_than_vol="&amp;'Configs &amp; Procedures'!$L$17</f>
        <v>key_weight_3_greater_than_vol=600</v>
      </c>
    </row>
    <row r="25" spans="1:1">
      <c r="A25" s="124" t="str">
        <f>"key_ml_per_kg="&amp;'Configs &amp; Procedures'!$L$14</f>
        <v>key_ml_per_kg=10.5</v>
      </c>
    </row>
    <row r="26" spans="1:1">
      <c r="A26" s="124" t="str">
        <f>"key_post_plat=" &amp;'Configs &amp; Procedures'!H14* 1000</f>
        <v>key_post_plat=100000</v>
      </c>
    </row>
    <row r="27" spans="1:1">
      <c r="A27" s="124" t="str">
        <f>"key_max_draw_flow="&amp;IF('Configs &amp; Procedures'!$H$28="FAST",2,IF('Configs &amp; Procedures'!$H$28="MODERATE",1,IF('Configs &amp; Procedures'!$H$28="SLOW",0)))</f>
        <v>key_max_draw_flow=0</v>
      </c>
    </row>
    <row r="28" spans="1:1">
      <c r="A28" s="1170" t="s">
        <v>111</v>
      </c>
    </row>
    <row r="29" spans="1:1">
      <c r="A29" s="1170" t="s">
        <v>112</v>
      </c>
    </row>
    <row r="30" spans="1:1">
      <c r="A30" s="1170" t="s">
        <v>114</v>
      </c>
    </row>
    <row r="31" spans="1:1">
      <c r="A31" s="1170" t="s">
        <v>115</v>
      </c>
    </row>
    <row r="32" spans="1:1">
      <c r="A32" s="1170" t="s">
        <v>1802</v>
      </c>
    </row>
    <row r="33" spans="1:1">
      <c r="A33" s="1170" t="s">
        <v>166</v>
      </c>
    </row>
    <row r="34" spans="1:1">
      <c r="A34" s="1170" t="s">
        <v>116</v>
      </c>
    </row>
    <row r="35" spans="1:1">
      <c r="A35" s="1170" t="s">
        <v>117</v>
      </c>
    </row>
    <row r="36" spans="1:1">
      <c r="A36" s="1170" t="s">
        <v>118</v>
      </c>
    </row>
    <row r="37" spans="1:1">
      <c r="A37" s="1170" t="s">
        <v>119</v>
      </c>
    </row>
    <row r="38" spans="1:1">
      <c r="A38" s="1170" t="s">
        <v>120</v>
      </c>
    </row>
    <row r="39" spans="1:1">
      <c r="A39" s="1170" t="s">
        <v>121</v>
      </c>
    </row>
    <row r="40" spans="1:1">
      <c r="A40" s="1170" t="s">
        <v>1511</v>
      </c>
    </row>
    <row r="41" spans="1:1">
      <c r="A41" s="1170" t="s">
        <v>1803</v>
      </c>
    </row>
    <row r="43" spans="1:1">
      <c r="A43" s="1170" t="s">
        <v>122</v>
      </c>
    </row>
    <row r="44" spans="1:1">
      <c r="A44" s="124" t="str">
        <f>"key_rbc_ratio=" &amp;IF('Configs &amp; Procedures'!$H$27=11,1,IF('Configs &amp; Procedures'!$H$27=8.14,0,IF('Configs &amp; Procedures'!$H$27=13.7,2,"")))</f>
        <v>key_rbc_ratio=1</v>
      </c>
    </row>
    <row r="45" spans="1:1">
      <c r="A45" s="124" t="str">
        <f>"key_rbc_replace_fluid="&amp; IF('Configs &amp; Procedures'!$H$17="YES",1,0)</f>
        <v>key_rbc_replace_fluid=0</v>
      </c>
    </row>
    <row r="46" spans="1:1">
      <c r="A46" s="124" t="str">
        <f>"key_rbc_fluid_percent=" &amp;'Configs &amp; Procedures'!$H$18</f>
        <v>key_rbc_fluid_percent=100</v>
      </c>
    </row>
    <row r="47" spans="1:1">
      <c r="A47" s="124" t="str">
        <f>"key_pls_amap_minimum="&amp;'Configs &amp; Procedures'!$L$23</f>
        <v>key_pls_amap_minimum=200</v>
      </c>
    </row>
    <row r="48" spans="1:1">
      <c r="A48" s="124" t="str">
        <f>"key_pls_amap_maximum="&amp; 'Configs &amp; Procedures'!$M$23</f>
        <v>key_pls_amap_maximum=1000</v>
      </c>
    </row>
    <row r="49" spans="1:1">
      <c r="A49" s="124" t="str">
        <f>"key_ysf=" &amp; 'Configs &amp; Procedures'!L24</f>
        <v>key_ysf=1</v>
      </c>
    </row>
    <row r="50" spans="1:1">
      <c r="A50" s="1170" t="s">
        <v>123</v>
      </c>
    </row>
    <row r="51" spans="1:1">
      <c r="A51" s="1170" t="s">
        <v>124</v>
      </c>
    </row>
    <row r="52" spans="1:1">
      <c r="A52" s="1170" t="s">
        <v>125</v>
      </c>
    </row>
    <row r="53" spans="1:1">
      <c r="A53" s="124" t="str">
        <f>"key_inlet_flow_ramp="&amp;IF('Configs &amp; Procedures'!$H$31="YES",1,0)</f>
        <v>key_inlet_flow_ramp=1</v>
      </c>
    </row>
    <row r="54" spans="1:1">
      <c r="A54" s="124" t="str">
        <f>"key_inlet_management="&amp;'Configs &amp; Procedures'!$H$29</f>
        <v>key_inlet_management=1</v>
      </c>
    </row>
    <row r="55" spans="1:1">
      <c r="A55" s="124" t="str">
        <f>"key_return_management="&amp;'Configs &amp; Procedures'!$H$30</f>
        <v>key_return_management=1</v>
      </c>
    </row>
    <row r="56" spans="1:1">
      <c r="A56" s="124" t="str">
        <f>"key_rsf="&amp;'Configs &amp; Procedures'!$L$26</f>
        <v>key_rsf=1</v>
      </c>
    </row>
    <row r="57" spans="1:1">
      <c r="A57" s="485" t="s">
        <v>1804</v>
      </c>
    </row>
    <row r="58" spans="1:1">
      <c r="A58" s="485" t="s">
        <v>1805</v>
      </c>
    </row>
    <row r="60" spans="1:1">
      <c r="A60" s="1170" t="s">
        <v>126</v>
      </c>
    </row>
    <row r="61" spans="1:1">
      <c r="A61" s="124" t="str">
        <f>"key_rbc_crit_1="&amp;'Configs &amp; Procedures'!$L$22</f>
        <v>key_rbc_crit_1=80</v>
      </c>
    </row>
    <row r="62" spans="1:1">
      <c r="A62" s="124" t="str">
        <f>"key_rbc_dose_1="&amp;'DS Analysis'!$AX$44</f>
        <v>key_rbc_dose_1=180</v>
      </c>
    </row>
    <row r="63" spans="1:1">
      <c r="A63" s="1170" t="s">
        <v>1806</v>
      </c>
    </row>
    <row r="64" spans="1:1">
      <c r="A64" s="1170" t="s">
        <v>127</v>
      </c>
    </row>
    <row r="65" spans="1:1">
      <c r="A65" s="1170" t="s">
        <v>1807</v>
      </c>
    </row>
    <row r="67" spans="1:1">
      <c r="A67" s="124" t="str">
        <f>"key_rbc_crit_2="&amp;'Configs &amp; Procedures'!$L$22</f>
        <v>key_rbc_crit_2=80</v>
      </c>
    </row>
    <row r="68" spans="1:1">
      <c r="A68" s="124" t="str">
        <f>"key_rbc_dose_2="&amp;'DS Analysis'!$AX$45</f>
        <v>key_rbc_dose_2=360</v>
      </c>
    </row>
    <row r="69" spans="1:1">
      <c r="A69" s="1170" t="s">
        <v>1808</v>
      </c>
    </row>
    <row r="70" spans="1:1">
      <c r="A70" s="1170" t="s">
        <v>128</v>
      </c>
    </row>
    <row r="71" spans="1:1">
      <c r="A71" s="1170" t="s">
        <v>1809</v>
      </c>
    </row>
    <row r="73" spans="1:1">
      <c r="A73" s="124" t="str">
        <f>"key_rbc_crit_3="&amp;'Configs &amp; Procedures'!$L$22</f>
        <v>key_rbc_crit_3=80</v>
      </c>
    </row>
    <row r="74" spans="1:1">
      <c r="A74" s="124" t="str">
        <f>"key_rbc_dose_3="&amp;'DS Analysis'!$AX$46</f>
        <v>key_rbc_dose_3=0</v>
      </c>
    </row>
    <row r="75" spans="1:1">
      <c r="A75" s="1170" t="s">
        <v>1810</v>
      </c>
    </row>
    <row r="76" spans="1:1">
      <c r="A76" s="1170" t="s">
        <v>129</v>
      </c>
    </row>
    <row r="77" spans="1:1">
      <c r="A77" s="1170" t="s">
        <v>1811</v>
      </c>
    </row>
    <row r="79" spans="1:1">
      <c r="A79" s="124" t="str">
        <f>"key_plt_yield_1="&amp;'DS Analysis'!$AU$44</f>
        <v>key_plt_yield_1=2.5</v>
      </c>
    </row>
    <row r="80" spans="1:1">
      <c r="A80" s="124" t="str">
        <f>"key_plt_volume_1="&amp;'DS Analysis'!$AV$44</f>
        <v>key_plt_volume_1=161</v>
      </c>
    </row>
    <row r="81" spans="1:1">
      <c r="A81" s="1170" t="s">
        <v>130</v>
      </c>
    </row>
    <row r="82" spans="1:1">
      <c r="A82" s="1170" t="s">
        <v>131</v>
      </c>
    </row>
    <row r="84" spans="1:1">
      <c r="A84" s="124" t="str">
        <f>"key_plt_yield_2="&amp;'DS Analysis'!$AU$45</f>
        <v>key_plt_yield_2=3.2</v>
      </c>
    </row>
    <row r="85" spans="1:1">
      <c r="A85" s="124" t="str">
        <f>"key_plt_volume_2="&amp;'DS Analysis'!$AV$45</f>
        <v>key_plt_volume_2=206</v>
      </c>
    </row>
    <row r="86" spans="1:1">
      <c r="A86" s="1170" t="s">
        <v>132</v>
      </c>
    </row>
    <row r="87" spans="1:1">
      <c r="A87" s="1170" t="s">
        <v>133</v>
      </c>
    </row>
    <row r="89" spans="1:1">
      <c r="A89" s="124" t="str">
        <f>"key_plt_yield_3="&amp;'DS Analysis'!$AU$46</f>
        <v>key_plt_yield_3=4</v>
      </c>
    </row>
    <row r="90" spans="1:1">
      <c r="A90" s="124" t="str">
        <f>"key_plt_volume_3="&amp;'DS Analysis'!$AV$46</f>
        <v>key_plt_volume_3=258</v>
      </c>
    </row>
    <row r="91" spans="1:1">
      <c r="A91" s="1170" t="s">
        <v>134</v>
      </c>
    </row>
    <row r="92" spans="1:1">
      <c r="A92" s="1170" t="s">
        <v>135</v>
      </c>
    </row>
    <row r="94" spans="1:1">
      <c r="A94" s="124" t="str">
        <f>"key_plt_yield_4="&amp;'DS Analysis'!$AU$47</f>
        <v>key_plt_yield_4=5.5</v>
      </c>
    </row>
    <row r="95" spans="1:1">
      <c r="A95" s="124" t="str">
        <f>"key_plt_volume_4="&amp;'DS Analysis'!$AV$47</f>
        <v>key_plt_volume_4=355</v>
      </c>
    </row>
    <row r="96" spans="1:1">
      <c r="A96" s="1170" t="s">
        <v>136</v>
      </c>
    </row>
    <row r="97" spans="1:1">
      <c r="A97" s="1170" t="s">
        <v>137</v>
      </c>
    </row>
    <row r="99" spans="1:1">
      <c r="A99" s="124" t="str">
        <f>"key_plt_yield_5="&amp;'DS Analysis'!$AU$48</f>
        <v>key_plt_yield_5=9.6</v>
      </c>
    </row>
    <row r="100" spans="1:1">
      <c r="A100" s="124" t="str">
        <f>"key_plt_volume_5="&amp;'DS Analysis'!$AV$48</f>
        <v>key_plt_volume_5=619</v>
      </c>
    </row>
    <row r="101" spans="1:1">
      <c r="A101" s="1170" t="s">
        <v>138</v>
      </c>
    </row>
    <row r="102" spans="1:1">
      <c r="A102" s="1170" t="s">
        <v>139</v>
      </c>
    </row>
    <row r="104" spans="1:1">
      <c r="A104" s="124" t="str">
        <f>"key_plt_yield_6="&amp;'DS Analysis'!$AU$49</f>
        <v>key_plt_yield_6=11</v>
      </c>
    </row>
    <row r="105" spans="1:1">
      <c r="A105" s="124" t="str">
        <f>"key_plt_volume_6="&amp;'DS Analysis'!$AV$49</f>
        <v>key_plt_volume_6=710</v>
      </c>
    </row>
    <row r="106" spans="1:1">
      <c r="A106" s="1170" t="s">
        <v>140</v>
      </c>
    </row>
    <row r="107" spans="1:1">
      <c r="A107" s="1170" t="s">
        <v>141</v>
      </c>
    </row>
    <row r="109" spans="1:1">
      <c r="A109" s="124" t="str">
        <f>"key_pls_volume_1="&amp;'DS Analysis'!$AW$44</f>
        <v>key_pls_volume_1=250</v>
      </c>
    </row>
    <row r="110" spans="1:1">
      <c r="A110" s="124" t="str">
        <f>"key_pls_volume_2="&amp;'DS Analysis'!$AW$45</f>
        <v>key_pls_volume_2=300</v>
      </c>
    </row>
    <row r="111" spans="1:1">
      <c r="A111" s="124" t="str">
        <f>"key_pls_volume_3="&amp;'DS Analysis'!$AW$46</f>
        <v>key_pls_volume_3=350</v>
      </c>
    </row>
    <row r="112" spans="1:1">
      <c r="A112" s="124" t="str">
        <f>"key_pls_volume_4="&amp;'DS Analysis'!$AW$47</f>
        <v>key_pls_volume_4=400</v>
      </c>
    </row>
    <row r="113" spans="1:1">
      <c r="A113" s="124" t="str">
        <f>"key_pls_volume_5="&amp;'DS Analysis'!$AW$48</f>
        <v>key_pls_volume_5=450</v>
      </c>
    </row>
    <row r="114" spans="1:1">
      <c r="A114" s="124" t="str">
        <f>"key_pls_volume_6="&amp;'DS Analysis'!$AW$49</f>
        <v>key_pls_volume_6=500</v>
      </c>
    </row>
    <row r="116" spans="1:1">
      <c r="A116" s="1170" t="s">
        <v>150</v>
      </c>
    </row>
    <row r="117" spans="1:1">
      <c r="A117" s="1170" t="s">
        <v>150</v>
      </c>
    </row>
    <row r="118" spans="1:1">
      <c r="A118" s="1170" t="s">
        <v>151</v>
      </c>
    </row>
    <row r="119" spans="1:1">
      <c r="A119" s="1170" t="s">
        <v>152</v>
      </c>
    </row>
    <row r="120" spans="1:1">
      <c r="A120" s="1170" t="s">
        <v>153</v>
      </c>
    </row>
    <row r="121" spans="1:1">
      <c r="A121" s="1170" t="s">
        <v>154</v>
      </c>
    </row>
    <row r="122" spans="1:1">
      <c r="A122" s="1170" t="s">
        <v>155</v>
      </c>
    </row>
    <row r="123" spans="1:1">
      <c r="A123" s="1170" t="s">
        <v>156</v>
      </c>
    </row>
    <row r="124" spans="1:1">
      <c r="A124" s="1170" t="s">
        <v>157</v>
      </c>
    </row>
    <row r="125" spans="1:1">
      <c r="A125" s="1170" t="s">
        <v>158</v>
      </c>
    </row>
    <row r="126" spans="1:1">
      <c r="A126" s="1170" t="s">
        <v>150</v>
      </c>
    </row>
    <row r="127" spans="1:1">
      <c r="A127" s="1170" t="s">
        <v>159</v>
      </c>
    </row>
    <row r="128" spans="1:1">
      <c r="A128" s="124" t="str">
        <f>"key_platelet_a="&amp;'DS Analysis'!$AP$44</f>
        <v>key_platelet_a=0</v>
      </c>
    </row>
    <row r="129" spans="1:1">
      <c r="A129" s="124" t="str">
        <f>"key_plasma_a="&amp;'DS Analysis'!$AQ$44</f>
        <v>key_plasma_a=7</v>
      </c>
    </row>
    <row r="130" spans="1:1">
      <c r="A130" s="124" t="str">
        <f>"key_rbc_a="&amp;'DS Analysis'!$AR$44</f>
        <v>key_rbc_a=0</v>
      </c>
    </row>
    <row r="131" spans="1:1">
      <c r="A131" s="124" t="str">
        <f>'DS Analysis'!BI8</f>
        <v>key_blood_type_a=0</v>
      </c>
    </row>
    <row r="132" spans="1:1">
      <c r="A132" s="124" t="str">
        <f>"key_time_a="&amp;MIN('Configs &amp; Procedures'!$G70,'Configs &amp; Procedures'!$H$20)</f>
        <v>key_time_a=150</v>
      </c>
    </row>
    <row r="134" spans="1:1">
      <c r="A134" s="124" t="str">
        <f>"key_platelet_b="&amp;'DS Analysis'!$AP$45</f>
        <v>key_platelet_b=0</v>
      </c>
    </row>
    <row r="135" spans="1:1">
      <c r="A135" s="124" t="str">
        <f>"key_plasma_b="&amp;'DS Analysis'!$AQ$45</f>
        <v>key_plasma_b=0</v>
      </c>
    </row>
    <row r="136" spans="1:1">
      <c r="A136" s="124" t="str">
        <f>"key_rbc_b="&amp;'DS Analysis'!$AR$45</f>
        <v>key_rbc_b=0</v>
      </c>
    </row>
    <row r="137" spans="1:1">
      <c r="A137" s="124" t="str">
        <f>'DS Analysis'!BI9</f>
        <v>key_blood_type_b=0</v>
      </c>
    </row>
    <row r="138" spans="1:1">
      <c r="A138" s="124" t="str">
        <f>"key_time_b="&amp;MIN('Configs &amp; Procedures'!$G71,'Configs &amp; Procedures'!$H$20)</f>
        <v>key_time_b=150</v>
      </c>
    </row>
    <row r="140" spans="1:1">
      <c r="A140" s="124" t="str">
        <f>"key_platelet_c="&amp;'DS Analysis'!$AP$46</f>
        <v>key_platelet_c=0</v>
      </c>
    </row>
    <row r="141" spans="1:1">
      <c r="A141" s="124" t="str">
        <f>"key_plasma_c="&amp;'DS Analysis'!$AQ$46</f>
        <v>key_plasma_c=0</v>
      </c>
    </row>
    <row r="142" spans="1:1">
      <c r="A142" s="124" t="str">
        <f>"key_rbc_c="&amp;'DS Analysis'!$AR$46</f>
        <v>key_rbc_c=0</v>
      </c>
    </row>
    <row r="143" spans="1:1">
      <c r="A143" s="124" t="str">
        <f>'DS Analysis'!BI10</f>
        <v>key_blood_type_c=0</v>
      </c>
    </row>
    <row r="144" spans="1:1">
      <c r="A144" s="124" t="str">
        <f>"key_time_c="&amp;MIN('Configs &amp; Procedures'!$G72,'Configs &amp; Procedures'!$H$20)</f>
        <v>key_time_c=150</v>
      </c>
    </row>
    <row r="146" spans="1:1">
      <c r="A146" s="124" t="str">
        <f>"key_platelet_d="&amp;'DS Analysis'!$AP$47</f>
        <v>key_platelet_d=0</v>
      </c>
    </row>
    <row r="147" spans="1:1">
      <c r="A147" s="124" t="str">
        <f>"key_plasma_d="&amp;'DS Analysis'!$AQ$47</f>
        <v>key_plasma_d=0</v>
      </c>
    </row>
    <row r="148" spans="1:1">
      <c r="A148" s="124" t="str">
        <f>"key_rbc_d="&amp;'DS Analysis'!$AR$47</f>
        <v>key_rbc_d=0</v>
      </c>
    </row>
    <row r="149" spans="1:1">
      <c r="A149" s="124" t="str">
        <f>'DS Analysis'!BI11</f>
        <v>key_blood_type_d=0</v>
      </c>
    </row>
    <row r="150" spans="1:1">
      <c r="A150" s="124" t="str">
        <f>"key_time_d="&amp;MIN('Configs &amp; Procedures'!$G73,'Configs &amp; Procedures'!$H$20)</f>
        <v>key_time_d=150</v>
      </c>
    </row>
    <row r="152" spans="1:1">
      <c r="A152" s="124" t="str">
        <f>"key_platelet_e="&amp;'DS Analysis'!$AP$48</f>
        <v>key_platelet_e=0</v>
      </c>
    </row>
    <row r="153" spans="1:1">
      <c r="A153" s="124" t="str">
        <f>"key_plasma_e="&amp;'DS Analysis'!$AQ$48</f>
        <v>key_plasma_e=0</v>
      </c>
    </row>
    <row r="154" spans="1:1">
      <c r="A154" s="124" t="str">
        <f>"key_rbc_e="&amp;'DS Analysis'!$AR$48</f>
        <v>key_rbc_e=0</v>
      </c>
    </row>
    <row r="155" spans="1:1">
      <c r="A155" s="124" t="str">
        <f>'DS Analysis'!BI12</f>
        <v>key_blood_type_e=0</v>
      </c>
    </row>
    <row r="156" spans="1:1">
      <c r="A156" s="124" t="str">
        <f>"key_time_e="&amp;MIN('Configs &amp; Procedures'!$G74,'Configs &amp; Procedures'!$H$20)</f>
        <v>key_time_e=150</v>
      </c>
    </row>
    <row r="158" spans="1:1">
      <c r="A158" s="124" t="str">
        <f>"key_platelet_f="&amp;'DS Analysis'!$AP$49</f>
        <v>key_platelet_f=0</v>
      </c>
    </row>
    <row r="159" spans="1:1">
      <c r="A159" s="124" t="str">
        <f>"key_plasma_f="&amp;'DS Analysis'!$AQ$49</f>
        <v>key_plasma_f=0</v>
      </c>
    </row>
    <row r="160" spans="1:1">
      <c r="A160" s="124" t="str">
        <f>"key_rbc_f="&amp;'DS Analysis'!$AR$49</f>
        <v>key_rbc_f=0</v>
      </c>
    </row>
    <row r="161" spans="1:1">
      <c r="A161" s="124" t="str">
        <f>'DS Analysis'!BI13</f>
        <v>key_blood_type_f=0</v>
      </c>
    </row>
    <row r="162" spans="1:1">
      <c r="A162" s="124" t="str">
        <f>"key_time_f="&amp;MIN('Configs &amp; Procedures'!$G75,'Configs &amp; Procedures'!$H$20)</f>
        <v>key_time_f=150</v>
      </c>
    </row>
    <row r="164" spans="1:1">
      <c r="A164" s="124" t="str">
        <f>"key_platelet_g="&amp;'DS Analysis'!$AP$50</f>
        <v>key_platelet_g=0</v>
      </c>
    </row>
    <row r="165" spans="1:1">
      <c r="A165" s="124" t="str">
        <f>"key_plasma_g="&amp;'DS Analysis'!$AQ$50</f>
        <v>key_plasma_g=0</v>
      </c>
    </row>
    <row r="166" spans="1:1">
      <c r="A166" s="124" t="str">
        <f>"key_rbc_g="&amp;'DS Analysis'!$AR$50</f>
        <v>key_rbc_g=0</v>
      </c>
    </row>
    <row r="167" spans="1:1">
      <c r="A167" s="124" t="str">
        <f>'DS Analysis'!BI14</f>
        <v>key_blood_type_g=0</v>
      </c>
    </row>
    <row r="168" spans="1:1">
      <c r="A168" s="124" t="str">
        <f>"key_time_g="&amp;MIN('Configs &amp; Procedures'!$G76,'Configs &amp; Procedures'!$H$20)</f>
        <v>key_time_g=150</v>
      </c>
    </row>
    <row r="170" spans="1:1">
      <c r="A170" s="124" t="str">
        <f>"key_platelet_h="&amp;'DS Analysis'!$AP$51</f>
        <v>key_platelet_h=0</v>
      </c>
    </row>
    <row r="171" spans="1:1">
      <c r="A171" s="124" t="str">
        <f>"key_plasma_h="&amp;'DS Analysis'!$AQ$51</f>
        <v>key_plasma_h=0</v>
      </c>
    </row>
    <row r="172" spans="1:1">
      <c r="A172" s="124" t="str">
        <f>"key_rbc_h="&amp;'DS Analysis'!$AR$51</f>
        <v>key_rbc_h=0</v>
      </c>
    </row>
    <row r="173" spans="1:1">
      <c r="A173" s="124" t="str">
        <f>'DS Analysis'!BI15</f>
        <v>key_blood_type_h=0</v>
      </c>
    </row>
    <row r="174" spans="1:1">
      <c r="A174" s="124" t="str">
        <f>"key_time_h="&amp;MIN('Configs &amp; Procedures'!$G77,'Configs &amp; Procedures'!$H$20)</f>
        <v>key_time_h=150</v>
      </c>
    </row>
    <row r="176" spans="1:1">
      <c r="A176" s="124" t="str">
        <f>"key_platelet_i="&amp;'DS Analysis'!$AP$52</f>
        <v>key_platelet_i=0</v>
      </c>
    </row>
    <row r="177" spans="1:1">
      <c r="A177" s="124" t="str">
        <f>"key_plasma_i="&amp;'DS Analysis'!$AQ$52</f>
        <v>key_plasma_i=0</v>
      </c>
    </row>
    <row r="178" spans="1:1">
      <c r="A178" s="124" t="str">
        <f>"key_rbc_i="&amp;'DS Analysis'!$AR$52</f>
        <v>key_rbc_i=0</v>
      </c>
    </row>
    <row r="179" spans="1:1">
      <c r="A179" s="124" t="str">
        <f>'DS Analysis'!BI16</f>
        <v>key_blood_type_i=0</v>
      </c>
    </row>
    <row r="180" spans="1:1">
      <c r="A180" s="124" t="str">
        <f>"key_time_i="&amp;MIN('Configs &amp; Procedures'!$G78,'Configs &amp; Procedures'!$H$20)</f>
        <v>key_time_i=150</v>
      </c>
    </row>
    <row r="182" spans="1:1">
      <c r="A182" s="124" t="str">
        <f>"key_platelet_j="&amp;'DS Analysis'!$AP$53</f>
        <v>key_platelet_j=0</v>
      </c>
    </row>
    <row r="183" spans="1:1">
      <c r="A183" s="124" t="str">
        <f>"key_plasma_j="&amp;'DS Analysis'!$AQ$53</f>
        <v>key_plasma_j=0</v>
      </c>
    </row>
    <row r="184" spans="1:1">
      <c r="A184" s="124" t="str">
        <f>"key_rbc_j="&amp;'DS Analysis'!$AR$53</f>
        <v>key_rbc_j=0</v>
      </c>
    </row>
    <row r="185" spans="1:1">
      <c r="A185" s="124" t="str">
        <f>'DS Analysis'!BI17</f>
        <v>key_blood_type_j=0</v>
      </c>
    </row>
    <row r="186" spans="1:1">
      <c r="A186" s="124" t="str">
        <f>"key_time_j="&amp;MIN('Configs &amp; Procedures'!$G79,'Configs &amp; Procedures'!$H$20)</f>
        <v>key_time_j=150</v>
      </c>
    </row>
    <row r="188" spans="1:1">
      <c r="A188" s="124" t="str">
        <f>"key_platelet_k="&amp;'DS Analysis'!$AP$54</f>
        <v>key_platelet_k=0</v>
      </c>
    </row>
    <row r="189" spans="1:1">
      <c r="A189" s="124" t="str">
        <f>"key_plasma_k="&amp;'DS Analysis'!$AQ$54</f>
        <v>key_plasma_k=0</v>
      </c>
    </row>
    <row r="190" spans="1:1">
      <c r="A190" s="124" t="str">
        <f>"key_rbc_k="&amp;'DS Analysis'!$AR$54</f>
        <v>key_rbc_k=0</v>
      </c>
    </row>
    <row r="191" spans="1:1">
      <c r="A191" s="124" t="str">
        <f>'DS Analysis'!BI18</f>
        <v>key_blood_type_k=0</v>
      </c>
    </row>
    <row r="192" spans="1:1">
      <c r="A192" s="124" t="str">
        <f>"key_time_k="&amp;MIN('Configs &amp; Procedures'!$G80,'Configs &amp; Procedures'!$H$20)</f>
        <v>key_time_k=150</v>
      </c>
    </row>
    <row r="194" spans="1:1">
      <c r="A194" s="124" t="str">
        <f>"key_platelet_l="&amp;'DS Analysis'!$AP$55</f>
        <v>key_platelet_l=0</v>
      </c>
    </row>
    <row r="195" spans="1:1">
      <c r="A195" s="124" t="str">
        <f>"key_plasma_l="&amp;'DS Analysis'!$AQ$55</f>
        <v>key_plasma_l=0</v>
      </c>
    </row>
    <row r="196" spans="1:1">
      <c r="A196" s="124" t="str">
        <f>"key_rbc_l="&amp;'DS Analysis'!$AR$55</f>
        <v>key_rbc_l=0</v>
      </c>
    </row>
    <row r="197" spans="1:1">
      <c r="A197" s="124" t="str">
        <f>'DS Analysis'!BI19</f>
        <v>key_blood_type_l=0</v>
      </c>
    </row>
    <row r="198" spans="1:1">
      <c r="A198" s="124" t="str">
        <f>"key_time_l="&amp;MIN('Configs &amp; Procedures'!$G81,'Configs &amp; Procedures'!$H$20)</f>
        <v>key_time_l=150</v>
      </c>
    </row>
    <row r="200" spans="1:1">
      <c r="A200" s="124" t="str">
        <f>"key_platelet_m="&amp;'DS Analysis'!$AP$56</f>
        <v>key_platelet_m=0</v>
      </c>
    </row>
    <row r="201" spans="1:1">
      <c r="A201" s="124" t="str">
        <f>"key_plasma_m="&amp;'DS Analysis'!$AQ$56</f>
        <v>key_plasma_m=0</v>
      </c>
    </row>
    <row r="202" spans="1:1">
      <c r="A202" s="124" t="str">
        <f>"key_rbc_m="&amp;'DS Analysis'!$AR$56</f>
        <v>key_rbc_m=0</v>
      </c>
    </row>
    <row r="203" spans="1:1">
      <c r="A203" s="124" t="str">
        <f>'DS Analysis'!BI20</f>
        <v>key_blood_type_m=0</v>
      </c>
    </row>
    <row r="204" spans="1:1">
      <c r="A204" s="124" t="str">
        <f>"key_time_m="&amp;MIN('Configs &amp; Procedures'!$G82,'Configs &amp; Procedures'!$H$20)</f>
        <v>key_time_m=150</v>
      </c>
    </row>
    <row r="206" spans="1:1">
      <c r="A206" s="124" t="str">
        <f>"key_platelet_n="&amp;'DS Analysis'!$AP$57</f>
        <v>key_platelet_n=0</v>
      </c>
    </row>
    <row r="207" spans="1:1">
      <c r="A207" s="124" t="str">
        <f>"key_plasma_n="&amp;'DS Analysis'!$AQ$57</f>
        <v>key_plasma_n=0</v>
      </c>
    </row>
    <row r="208" spans="1:1">
      <c r="A208" s="124" t="str">
        <f>"key_rbc_n="&amp;'DS Analysis'!$AR$57</f>
        <v>key_rbc_n=0</v>
      </c>
    </row>
    <row r="209" spans="1:1">
      <c r="A209" s="124" t="str">
        <f>'DS Analysis'!BI21</f>
        <v>key_blood_type_n=0</v>
      </c>
    </row>
    <row r="210" spans="1:1">
      <c r="A210" s="124" t="str">
        <f>"key_time_n="&amp;MIN('Configs &amp; Procedures'!$G83,'Configs &amp; Procedures'!$H$20)</f>
        <v>key_time_n=150</v>
      </c>
    </row>
    <row r="212" spans="1:1">
      <c r="A212" s="124" t="str">
        <f>"key_platelet_o="&amp;'DS Analysis'!$AP$58</f>
        <v>key_platelet_o=0</v>
      </c>
    </row>
    <row r="213" spans="1:1">
      <c r="A213" s="124" t="str">
        <f>"key_plasma_o="&amp;'DS Analysis'!$AQ$58</f>
        <v>key_plasma_o=0</v>
      </c>
    </row>
    <row r="214" spans="1:1">
      <c r="A214" s="124" t="str">
        <f>"key_rbc_o="&amp;'DS Analysis'!$AR$58</f>
        <v>key_rbc_o=0</v>
      </c>
    </row>
    <row r="215" spans="1:1">
      <c r="A215" s="124" t="str">
        <f>'DS Analysis'!BI22</f>
        <v>key_blood_type_o=0</v>
      </c>
    </row>
    <row r="216" spans="1:1">
      <c r="A216" s="124" t="str">
        <f>"key_time_o="&amp;MIN('Configs &amp; Procedures'!$G84,'Configs &amp; Procedures'!$H$20)</f>
        <v>key_time_o=150</v>
      </c>
    </row>
    <row r="218" spans="1:1">
      <c r="A218" s="1170" t="s">
        <v>160</v>
      </c>
    </row>
    <row r="219" spans="1:1">
      <c r="A219" s="1170" t="s">
        <v>161</v>
      </c>
    </row>
    <row r="220" spans="1:1">
      <c r="A220" s="1170" t="s">
        <v>162</v>
      </c>
    </row>
    <row r="221" spans="1:1">
      <c r="A221" s="1170" t="s">
        <v>163</v>
      </c>
    </row>
    <row r="222" spans="1:1">
      <c r="A222" s="1170" t="s">
        <v>164</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sheetPr codeName="Sheet34"/>
  <dimension ref="A1:A193"/>
  <sheetViews>
    <sheetView topLeftCell="A128" workbookViewId="0">
      <selection activeCell="A147" sqref="A147"/>
    </sheetView>
  </sheetViews>
  <sheetFormatPr defaultRowHeight="15"/>
  <cols>
    <col min="1" max="1" width="81.140625" style="1170" bestFit="1" customWidth="1"/>
    <col min="2" max="16384" width="9.140625" style="1170"/>
  </cols>
  <sheetData>
    <row r="1" spans="1:1">
      <c r="A1" s="1170" t="s">
        <v>1582</v>
      </c>
    </row>
    <row r="2" spans="1:1">
      <c r="A2" s="1170" t="s">
        <v>150</v>
      </c>
    </row>
    <row r="3" spans="1:1">
      <c r="A3" s="1170" t="s">
        <v>1583</v>
      </c>
    </row>
    <row r="4" spans="1:1">
      <c r="A4" s="1170" t="s">
        <v>168</v>
      </c>
    </row>
    <row r="5" spans="1:1">
      <c r="A5" s="1170" t="s">
        <v>150</v>
      </c>
    </row>
    <row r="6" spans="1:1">
      <c r="A6" s="1170" t="s">
        <v>1584</v>
      </c>
    </row>
    <row r="7" spans="1:1">
      <c r="A7" s="1170" t="s">
        <v>150</v>
      </c>
    </row>
    <row r="8" spans="1:1">
      <c r="A8" s="1170" t="s">
        <v>1585</v>
      </c>
    </row>
    <row r="9" spans="1:1">
      <c r="A9" s="1170" t="s">
        <v>170</v>
      </c>
    </row>
    <row r="10" spans="1:1">
      <c r="A10" s="1170" t="s">
        <v>150</v>
      </c>
    </row>
    <row r="11" spans="1:1">
      <c r="A11" s="1170" t="s">
        <v>171</v>
      </c>
    </row>
    <row r="12" spans="1:1">
      <c r="A12" s="1170" t="s">
        <v>172</v>
      </c>
    </row>
    <row r="13" spans="1:1">
      <c r="A13" s="1170" t="s">
        <v>173</v>
      </c>
    </row>
    <row r="14" spans="1:1">
      <c r="A14" s="1170" t="s">
        <v>174</v>
      </c>
    </row>
    <row r="15" spans="1:1">
      <c r="A15" s="1170" t="s">
        <v>175</v>
      </c>
    </row>
    <row r="16" spans="1:1">
      <c r="A16" s="1170" t="s">
        <v>176</v>
      </c>
    </row>
    <row r="17" spans="1:1">
      <c r="A17" s="1170" t="s">
        <v>172</v>
      </c>
    </row>
    <row r="18" spans="1:1">
      <c r="A18" s="1170" t="s">
        <v>175</v>
      </c>
    </row>
    <row r="19" spans="1:1">
      <c r="A19" s="1170" t="s">
        <v>1586</v>
      </c>
    </row>
    <row r="21" spans="1:1">
      <c r="A21" s="1170" t="s">
        <v>1987</v>
      </c>
    </row>
    <row r="22" spans="1:1">
      <c r="A22" s="1170" t="s">
        <v>1587</v>
      </c>
    </row>
    <row r="23" spans="1:1">
      <c r="A23" s="1170" t="s">
        <v>150</v>
      </c>
    </row>
    <row r="24" spans="1:1">
      <c r="A24" s="1170" t="s">
        <v>1588</v>
      </c>
    </row>
    <row r="25" spans="1:1">
      <c r="A25" s="1170" t="s">
        <v>1589</v>
      </c>
    </row>
    <row r="26" spans="1:1">
      <c r="A26" s="1170" t="s">
        <v>1590</v>
      </c>
    </row>
    <row r="27" spans="1:1">
      <c r="A27" s="1170" t="s">
        <v>150</v>
      </c>
    </row>
    <row r="28" spans="1:1">
      <c r="A28" s="1170" t="s">
        <v>150</v>
      </c>
    </row>
    <row r="29" spans="1:1">
      <c r="A29" s="1170" t="s">
        <v>1988</v>
      </c>
    </row>
    <row r="30" spans="1:1">
      <c r="A30" s="1170" t="s">
        <v>150</v>
      </c>
    </row>
    <row r="31" spans="1:1">
      <c r="A31" s="1170" t="s">
        <v>1989</v>
      </c>
    </row>
    <row r="32" spans="1:1">
      <c r="A32" s="1170" t="s">
        <v>1990</v>
      </c>
    </row>
    <row r="34" spans="1:1">
      <c r="A34" s="1170" t="s">
        <v>1591</v>
      </c>
    </row>
    <row r="35" spans="1:1">
      <c r="A35" s="1170" t="s">
        <v>150</v>
      </c>
    </row>
    <row r="36" spans="1:1">
      <c r="A36" s="1170" t="s">
        <v>150</v>
      </c>
    </row>
    <row r="37" spans="1:1">
      <c r="A37" s="1170" t="s">
        <v>1592</v>
      </c>
    </row>
    <row r="38" spans="1:1">
      <c r="A38" s="1170" t="s">
        <v>1593</v>
      </c>
    </row>
    <row r="39" spans="1:1">
      <c r="A39" s="1170" t="s">
        <v>150</v>
      </c>
    </row>
    <row r="40" spans="1:1">
      <c r="A40" s="1170" t="s">
        <v>1594</v>
      </c>
    </row>
    <row r="41" spans="1:1">
      <c r="A41" s="1170" t="s">
        <v>1595</v>
      </c>
    </row>
    <row r="42" spans="1:1">
      <c r="A42" s="1170" t="s">
        <v>1596</v>
      </c>
    </row>
    <row r="43" spans="1:1">
      <c r="A43" s="1170" t="s">
        <v>150</v>
      </c>
    </row>
    <row r="44" spans="1:1">
      <c r="A44" s="1170" t="s">
        <v>1597</v>
      </c>
    </row>
    <row r="45" spans="1:1">
      <c r="A45" s="1170" t="s">
        <v>1598</v>
      </c>
    </row>
    <row r="46" spans="1:1">
      <c r="A46" s="1170" t="s">
        <v>1599</v>
      </c>
    </row>
    <row r="47" spans="1:1">
      <c r="A47" s="1170" t="s">
        <v>1600</v>
      </c>
    </row>
    <row r="48" spans="1:1">
      <c r="A48" s="1170" t="s">
        <v>1601</v>
      </c>
    </row>
    <row r="49" spans="1:1">
      <c r="A49" s="1170" t="s">
        <v>1602</v>
      </c>
    </row>
    <row r="50" spans="1:1">
      <c r="A50" s="1170" t="s">
        <v>1603</v>
      </c>
    </row>
    <row r="51" spans="1:1">
      <c r="A51" s="1170" t="s">
        <v>1604</v>
      </c>
    </row>
    <row r="52" spans="1:1">
      <c r="A52" s="1170" t="s">
        <v>1605</v>
      </c>
    </row>
    <row r="53" spans="1:1">
      <c r="A53" s="1170" t="s">
        <v>1606</v>
      </c>
    </row>
    <row r="54" spans="1:1">
      <c r="A54" s="1170" t="s">
        <v>1607</v>
      </c>
    </row>
    <row r="55" spans="1:1">
      <c r="A55" s="1170" t="s">
        <v>1608</v>
      </c>
    </row>
    <row r="56" spans="1:1">
      <c r="A56" s="1170" t="s">
        <v>1609</v>
      </c>
    </row>
    <row r="57" spans="1:1">
      <c r="A57" s="1170" t="s">
        <v>1687</v>
      </c>
    </row>
    <row r="58" spans="1:1">
      <c r="A58" s="1170" t="s">
        <v>1688</v>
      </c>
    </row>
    <row r="59" spans="1:1">
      <c r="A59" s="1170" t="s">
        <v>1610</v>
      </c>
    </row>
    <row r="60" spans="1:1">
      <c r="A60" s="1170" t="s">
        <v>1611</v>
      </c>
    </row>
    <row r="61" spans="1:1">
      <c r="A61" s="1170" t="s">
        <v>150</v>
      </c>
    </row>
    <row r="62" spans="1:1">
      <c r="A62" s="1170" t="s">
        <v>1612</v>
      </c>
    </row>
    <row r="63" spans="1:1">
      <c r="A63" s="1170" t="s">
        <v>1613</v>
      </c>
    </row>
    <row r="64" spans="1:1">
      <c r="A64" s="1170" t="s">
        <v>1614</v>
      </c>
    </row>
    <row r="65" spans="1:1">
      <c r="A65" s="1170" t="s">
        <v>1615</v>
      </c>
    </row>
    <row r="66" spans="1:1">
      <c r="A66" s="1170" t="s">
        <v>1616</v>
      </c>
    </row>
    <row r="67" spans="1:1">
      <c r="A67" s="1170" t="s">
        <v>1617</v>
      </c>
    </row>
    <row r="68" spans="1:1">
      <c r="A68" s="1170" t="s">
        <v>1618</v>
      </c>
    </row>
    <row r="69" spans="1:1">
      <c r="A69" s="1170" t="s">
        <v>150</v>
      </c>
    </row>
    <row r="70" spans="1:1">
      <c r="A70" s="1170" t="s">
        <v>1619</v>
      </c>
    </row>
    <row r="71" spans="1:1">
      <c r="A71" s="1170" t="s">
        <v>1620</v>
      </c>
    </row>
    <row r="72" spans="1:1">
      <c r="A72" s="1170" t="s">
        <v>150</v>
      </c>
    </row>
    <row r="74" spans="1:1">
      <c r="A74" s="1170" t="s">
        <v>150</v>
      </c>
    </row>
    <row r="75" spans="1:1">
      <c r="A75" s="1170" t="s">
        <v>1991</v>
      </c>
    </row>
    <row r="76" spans="1:1">
      <c r="A76" s="1170" t="s">
        <v>150</v>
      </c>
    </row>
    <row r="77" spans="1:1">
      <c r="A77" s="1170" t="s">
        <v>1992</v>
      </c>
    </row>
    <row r="78" spans="1:1">
      <c r="A78" s="1170" t="s">
        <v>1993</v>
      </c>
    </row>
    <row r="79" spans="1:1" s="124" customFormat="1">
      <c r="A79" s="124" t="str">
        <f>"four_way_volume_cutoff=" &amp; IF('Configs &amp; Procedures'!$L$15="YES-JAPAN","1,7029bf96","0,072e8f00")</f>
        <v>four_way_volume_cutoff=0,072e8f00</v>
      </c>
    </row>
    <row r="80" spans="1:1">
      <c r="A80" s="1170" t="s">
        <v>1994</v>
      </c>
    </row>
    <row r="82" spans="1:1">
      <c r="A82" s="1170" t="s">
        <v>150</v>
      </c>
    </row>
    <row r="83" spans="1:1">
      <c r="A83" s="1170" t="s">
        <v>1995</v>
      </c>
    </row>
    <row r="84" spans="1:1">
      <c r="A84" s="1170" t="s">
        <v>150</v>
      </c>
    </row>
    <row r="85" spans="1:1">
      <c r="A85" s="1365" t="s">
        <v>1996</v>
      </c>
    </row>
    <row r="86" spans="1:1">
      <c r="A86" s="1170" t="s">
        <v>1997</v>
      </c>
    </row>
    <row r="87" spans="1:1">
      <c r="A87" s="1170" t="s">
        <v>1998</v>
      </c>
    </row>
    <row r="88" spans="1:1">
      <c r="A88" s="1170" t="s">
        <v>1999</v>
      </c>
    </row>
    <row r="89" spans="1:1">
      <c r="A89" s="1170" t="s">
        <v>2000</v>
      </c>
    </row>
    <row r="90" spans="1:1">
      <c r="A90" s="1170" t="s">
        <v>2001</v>
      </c>
    </row>
    <row r="91" spans="1:1">
      <c r="A91" s="1170" t="s">
        <v>2002</v>
      </c>
    </row>
    <row r="93" spans="1:1">
      <c r="A93" s="1170" t="s">
        <v>150</v>
      </c>
    </row>
    <row r="94" spans="1:1">
      <c r="A94" s="1170" t="s">
        <v>2003</v>
      </c>
    </row>
    <row r="95" spans="1:1">
      <c r="A95" s="1170" t="s">
        <v>150</v>
      </c>
    </row>
    <row r="96" spans="1:1">
      <c r="A96" s="1170" t="s">
        <v>2004</v>
      </c>
    </row>
    <row r="99" spans="1:1">
      <c r="A99" s="1170" t="s">
        <v>150</v>
      </c>
    </row>
    <row r="100" spans="1:1">
      <c r="A100" s="1170" t="s">
        <v>2005</v>
      </c>
    </row>
    <row r="101" spans="1:1">
      <c r="A101" s="1170" t="s">
        <v>150</v>
      </c>
    </row>
    <row r="102" spans="1:1">
      <c r="A102" s="124" t="str">
        <f>"postcount_platelet_mobilization_algorithm="&amp;IF('Configs &amp; Procedures'!$H$15="no","0,c88b7f11","1,bf8c4f87")</f>
        <v>postcount_platelet_mobilization_algorithm=0,c88b7f11</v>
      </c>
    </row>
    <row r="103" spans="1:1">
      <c r="A103" s="1170" t="s">
        <v>2006</v>
      </c>
    </row>
    <row r="104" spans="1:1">
      <c r="A104" s="1170" t="s">
        <v>1653</v>
      </c>
    </row>
    <row r="107" spans="1:1">
      <c r="A107" s="1170" t="s">
        <v>150</v>
      </c>
    </row>
    <row r="108" spans="1:1">
      <c r="A108" s="1170" t="s">
        <v>1632</v>
      </c>
    </row>
    <row r="109" spans="1:1">
      <c r="A109" s="1170" t="s">
        <v>150</v>
      </c>
    </row>
    <row r="110" spans="1:1">
      <c r="A110" s="1170" t="s">
        <v>1689</v>
      </c>
    </row>
    <row r="113" spans="1:1">
      <c r="A113" s="1170" t="s">
        <v>150</v>
      </c>
    </row>
    <row r="114" spans="1:1">
      <c r="A114" s="1170" t="s">
        <v>2007</v>
      </c>
    </row>
    <row r="115" spans="1:1">
      <c r="A115" s="1170" t="s">
        <v>150</v>
      </c>
    </row>
    <row r="116" spans="1:1">
      <c r="A116" s="1170" t="s">
        <v>2008</v>
      </c>
    </row>
    <row r="117" spans="1:1">
      <c r="A117" s="1170" t="s">
        <v>2009</v>
      </c>
    </row>
    <row r="120" spans="1:1">
      <c r="A120" s="1170" t="s">
        <v>150</v>
      </c>
    </row>
    <row r="121" spans="1:1">
      <c r="A121" s="1170" t="s">
        <v>2010</v>
      </c>
    </row>
    <row r="122" spans="1:1">
      <c r="A122" s="1170" t="s">
        <v>150</v>
      </c>
    </row>
    <row r="123" spans="1:1">
      <c r="A123" s="1170" t="s">
        <v>2011</v>
      </c>
    </row>
    <row r="126" spans="1:1">
      <c r="A126" s="1170" t="s">
        <v>150</v>
      </c>
    </row>
    <row r="127" spans="1:1">
      <c r="A127" s="1170" t="s">
        <v>2012</v>
      </c>
    </row>
    <row r="128" spans="1:1">
      <c r="A128" s="1170" t="s">
        <v>150</v>
      </c>
    </row>
    <row r="129" spans="1:1">
      <c r="A129" s="1170" t="s">
        <v>2013</v>
      </c>
    </row>
    <row r="132" spans="1:1">
      <c r="A132" s="1170" t="s">
        <v>150</v>
      </c>
    </row>
    <row r="133" spans="1:1">
      <c r="A133" s="1170" t="s">
        <v>2014</v>
      </c>
    </row>
    <row r="134" spans="1:1">
      <c r="A134" s="1170" t="s">
        <v>150</v>
      </c>
    </row>
    <row r="135" spans="1:1">
      <c r="A135" s="1170" t="s">
        <v>2015</v>
      </c>
    </row>
    <row r="138" spans="1:1">
      <c r="A138" s="1170" t="s">
        <v>150</v>
      </c>
    </row>
    <row r="139" spans="1:1">
      <c r="A139" s="1170" t="s">
        <v>2016</v>
      </c>
    </row>
    <row r="140" spans="1:1">
      <c r="A140" s="1170" t="s">
        <v>150</v>
      </c>
    </row>
    <row r="143" spans="1:1">
      <c r="A143" s="1170" t="s">
        <v>150</v>
      </c>
    </row>
    <row r="144" spans="1:1">
      <c r="A144" s="1170" t="s">
        <v>2017</v>
      </c>
    </row>
    <row r="145" spans="1:1">
      <c r="A145" s="1170" t="s">
        <v>150</v>
      </c>
    </row>
    <row r="146" spans="1:1">
      <c r="A146" s="1170" t="s">
        <v>2018</v>
      </c>
    </row>
    <row r="147" spans="1:1">
      <c r="A147" s="1367"/>
    </row>
    <row r="149" spans="1:1">
      <c r="A149" s="1170" t="s">
        <v>150</v>
      </c>
    </row>
    <row r="150" spans="1:1">
      <c r="A150" s="1170" t="s">
        <v>1623</v>
      </c>
    </row>
    <row r="151" spans="1:1">
      <c r="A151" s="1170" t="s">
        <v>1624</v>
      </c>
    </row>
    <row r="152" spans="1:1">
      <c r="A152" s="1170" t="s">
        <v>1625</v>
      </c>
    </row>
    <row r="153" spans="1:1">
      <c r="A153" s="1170" t="s">
        <v>150</v>
      </c>
    </row>
    <row r="154" spans="1:1">
      <c r="A154" s="1170" t="s">
        <v>1626</v>
      </c>
    </row>
    <row r="156" spans="1:1">
      <c r="A156" s="1170" t="s">
        <v>1645</v>
      </c>
    </row>
    <row r="158" spans="1:1">
      <c r="A158" s="1170" t="s">
        <v>2019</v>
      </c>
    </row>
    <row r="161" spans="1:1">
      <c r="A161" s="1170" t="s">
        <v>150</v>
      </c>
    </row>
    <row r="162" spans="1:1">
      <c r="A162" s="1170" t="s">
        <v>1646</v>
      </c>
    </row>
    <row r="163" spans="1:1">
      <c r="A163" s="1170" t="s">
        <v>1647</v>
      </c>
    </row>
    <row r="164" spans="1:1">
      <c r="A164" s="1170" t="s">
        <v>150</v>
      </c>
    </row>
    <row r="165" spans="1:1">
      <c r="A165" s="1170" t="s">
        <v>1648</v>
      </c>
    </row>
    <row r="166" spans="1:1">
      <c r="A166" s="1170" t="s">
        <v>1649</v>
      </c>
    </row>
    <row r="169" spans="1:1">
      <c r="A169" s="1170" t="s">
        <v>150</v>
      </c>
    </row>
    <row r="170" spans="1:1">
      <c r="A170" s="1170" t="s">
        <v>2020</v>
      </c>
    </row>
    <row r="171" spans="1:1">
      <c r="A171" s="1170" t="s">
        <v>150</v>
      </c>
    </row>
    <row r="172" spans="1:1">
      <c r="A172" s="1170" t="s">
        <v>2021</v>
      </c>
    </row>
    <row r="175" spans="1:1">
      <c r="A175" s="1170" t="s">
        <v>150</v>
      </c>
    </row>
    <row r="176" spans="1:1">
      <c r="A176" s="1170" t="s">
        <v>2022</v>
      </c>
    </row>
    <row r="177" spans="1:1">
      <c r="A177" s="1170" t="s">
        <v>150</v>
      </c>
    </row>
    <row r="178" spans="1:1">
      <c r="A178" s="1170" t="s">
        <v>2023</v>
      </c>
    </row>
    <row r="179" spans="1:1">
      <c r="A179" s="1170" t="s">
        <v>2024</v>
      </c>
    </row>
    <row r="182" spans="1:1">
      <c r="A182" s="1170" t="s">
        <v>1655</v>
      </c>
    </row>
    <row r="183" spans="1:1">
      <c r="A183" s="1170" t="s">
        <v>150</v>
      </c>
    </row>
    <row r="184" spans="1:1">
      <c r="A184" s="1170" t="s">
        <v>1656</v>
      </c>
    </row>
    <row r="185" spans="1:1">
      <c r="A185" s="1170" t="s">
        <v>150</v>
      </c>
    </row>
    <row r="186" spans="1:1">
      <c r="A186" s="1170" t="s">
        <v>1657</v>
      </c>
    </row>
    <row r="188" spans="1:1">
      <c r="A188" s="1170" t="s">
        <v>150</v>
      </c>
    </row>
    <row r="189" spans="1:1">
      <c r="A189" s="1170" t="s">
        <v>1658</v>
      </c>
    </row>
    <row r="190" spans="1:1">
      <c r="A190" s="1170" t="s">
        <v>1659</v>
      </c>
    </row>
    <row r="191" spans="1:1">
      <c r="A191" s="1170" t="s">
        <v>1660</v>
      </c>
    </row>
    <row r="192" spans="1:1">
      <c r="A192" s="1170" t="s">
        <v>150</v>
      </c>
    </row>
    <row r="193" spans="1:1">
      <c r="A193" s="1170" t="s">
        <v>1661</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sheetPr codeName="Sheet31"/>
  <dimension ref="A1:A190"/>
  <sheetViews>
    <sheetView topLeftCell="A49" workbookViewId="0">
      <selection activeCell="A85" sqref="A85"/>
    </sheetView>
  </sheetViews>
  <sheetFormatPr defaultRowHeight="15"/>
  <cols>
    <col min="1" max="1" width="81.140625" bestFit="1" customWidth="1"/>
  </cols>
  <sheetData>
    <row r="1" spans="1:1">
      <c r="A1" t="s">
        <v>1582</v>
      </c>
    </row>
    <row r="2" spans="1:1">
      <c r="A2" t="s">
        <v>150</v>
      </c>
    </row>
    <row r="3" spans="1:1">
      <c r="A3" t="s">
        <v>1583</v>
      </c>
    </row>
    <row r="4" spans="1:1">
      <c r="A4" t="s">
        <v>168</v>
      </c>
    </row>
    <row r="5" spans="1:1">
      <c r="A5" t="s">
        <v>150</v>
      </c>
    </row>
    <row r="6" spans="1:1">
      <c r="A6" t="s">
        <v>1584</v>
      </c>
    </row>
    <row r="7" spans="1:1">
      <c r="A7" t="s">
        <v>150</v>
      </c>
    </row>
    <row r="8" spans="1:1">
      <c r="A8" t="s">
        <v>1585</v>
      </c>
    </row>
    <row r="9" spans="1:1">
      <c r="A9" t="s">
        <v>170</v>
      </c>
    </row>
    <row r="10" spans="1:1">
      <c r="A10" t="s">
        <v>150</v>
      </c>
    </row>
    <row r="11" spans="1:1">
      <c r="A11" t="s">
        <v>171</v>
      </c>
    </row>
    <row r="12" spans="1:1">
      <c r="A12" t="s">
        <v>172</v>
      </c>
    </row>
    <row r="13" spans="1:1">
      <c r="A13" t="s">
        <v>173</v>
      </c>
    </row>
    <row r="14" spans="1:1">
      <c r="A14" t="s">
        <v>174</v>
      </c>
    </row>
    <row r="15" spans="1:1">
      <c r="A15" t="s">
        <v>175</v>
      </c>
    </row>
    <row r="16" spans="1:1">
      <c r="A16" t="s">
        <v>176</v>
      </c>
    </row>
    <row r="17" spans="1:1">
      <c r="A17" t="s">
        <v>172</v>
      </c>
    </row>
    <row r="18" spans="1:1">
      <c r="A18" t="s">
        <v>175</v>
      </c>
    </row>
    <row r="19" spans="1:1">
      <c r="A19" t="s">
        <v>1586</v>
      </c>
    </row>
    <row r="21" spans="1:1">
      <c r="A21" t="s">
        <v>1587</v>
      </c>
    </row>
    <row r="22" spans="1:1">
      <c r="A22" t="s">
        <v>150</v>
      </c>
    </row>
    <row r="23" spans="1:1">
      <c r="A23" t="s">
        <v>1588</v>
      </c>
    </row>
    <row r="24" spans="1:1">
      <c r="A24" t="s">
        <v>1589</v>
      </c>
    </row>
    <row r="25" spans="1:1">
      <c r="A25" t="s">
        <v>1590</v>
      </c>
    </row>
    <row r="26" spans="1:1">
      <c r="A26" t="s">
        <v>150</v>
      </c>
    </row>
    <row r="27" spans="1:1">
      <c r="A27" t="s">
        <v>1862</v>
      </c>
    </row>
    <row r="30" spans="1:1">
      <c r="A30" t="s">
        <v>1591</v>
      </c>
    </row>
    <row r="31" spans="1:1">
      <c r="A31" t="s">
        <v>150</v>
      </c>
    </row>
    <row r="32" spans="1:1">
      <c r="A32" t="s">
        <v>150</v>
      </c>
    </row>
    <row r="33" spans="1:1">
      <c r="A33" t="s">
        <v>1592</v>
      </c>
    </row>
    <row r="34" spans="1:1">
      <c r="A34" t="s">
        <v>1593</v>
      </c>
    </row>
    <row r="35" spans="1:1">
      <c r="A35" t="s">
        <v>150</v>
      </c>
    </row>
    <row r="36" spans="1:1">
      <c r="A36" t="s">
        <v>1594</v>
      </c>
    </row>
    <row r="37" spans="1:1">
      <c r="A37" t="s">
        <v>1595</v>
      </c>
    </row>
    <row r="38" spans="1:1">
      <c r="A38" t="s">
        <v>1596</v>
      </c>
    </row>
    <row r="39" spans="1:1">
      <c r="A39" t="s">
        <v>150</v>
      </c>
    </row>
    <row r="40" spans="1:1">
      <c r="A40" t="s">
        <v>1597</v>
      </c>
    </row>
    <row r="41" spans="1:1">
      <c r="A41" t="s">
        <v>1598</v>
      </c>
    </row>
    <row r="42" spans="1:1">
      <c r="A42" t="s">
        <v>1599</v>
      </c>
    </row>
    <row r="43" spans="1:1">
      <c r="A43" t="s">
        <v>1600</v>
      </c>
    </row>
    <row r="44" spans="1:1">
      <c r="A44" t="s">
        <v>1601</v>
      </c>
    </row>
    <row r="45" spans="1:1">
      <c r="A45" t="s">
        <v>1602</v>
      </c>
    </row>
    <row r="46" spans="1:1">
      <c r="A46" t="s">
        <v>1603</v>
      </c>
    </row>
    <row r="47" spans="1:1">
      <c r="A47" t="s">
        <v>1604</v>
      </c>
    </row>
    <row r="48" spans="1:1">
      <c r="A48" t="s">
        <v>1605</v>
      </c>
    </row>
    <row r="49" spans="1:1">
      <c r="A49" t="s">
        <v>1606</v>
      </c>
    </row>
    <row r="50" spans="1:1">
      <c r="A50" t="s">
        <v>1607</v>
      </c>
    </row>
    <row r="51" spans="1:1">
      <c r="A51" t="s">
        <v>1608</v>
      </c>
    </row>
    <row r="52" spans="1:1">
      <c r="A52" t="s">
        <v>1609</v>
      </c>
    </row>
    <row r="53" spans="1:1">
      <c r="A53" t="s">
        <v>1687</v>
      </c>
    </row>
    <row r="54" spans="1:1">
      <c r="A54" t="s">
        <v>1688</v>
      </c>
    </row>
    <row r="55" spans="1:1">
      <c r="A55" t="s">
        <v>1610</v>
      </c>
    </row>
    <row r="56" spans="1:1">
      <c r="A56" t="s">
        <v>1611</v>
      </c>
    </row>
    <row r="57" spans="1:1">
      <c r="A57" t="s">
        <v>150</v>
      </c>
    </row>
    <row r="58" spans="1:1">
      <c r="A58" t="s">
        <v>1612</v>
      </c>
    </row>
    <row r="59" spans="1:1">
      <c r="A59" t="s">
        <v>1613</v>
      </c>
    </row>
    <row r="60" spans="1:1">
      <c r="A60" t="s">
        <v>1614</v>
      </c>
    </row>
    <row r="61" spans="1:1">
      <c r="A61" t="s">
        <v>1615</v>
      </c>
    </row>
    <row r="62" spans="1:1">
      <c r="A62" t="s">
        <v>1616</v>
      </c>
    </row>
    <row r="63" spans="1:1">
      <c r="A63" t="s">
        <v>1617</v>
      </c>
    </row>
    <row r="64" spans="1:1">
      <c r="A64" t="s">
        <v>1618</v>
      </c>
    </row>
    <row r="65" spans="1:1">
      <c r="A65" t="s">
        <v>150</v>
      </c>
    </row>
    <row r="66" spans="1:1">
      <c r="A66" t="s">
        <v>1619</v>
      </c>
    </row>
    <row r="67" spans="1:1">
      <c r="A67" t="s">
        <v>1620</v>
      </c>
    </row>
    <row r="68" spans="1:1">
      <c r="A68" t="s">
        <v>150</v>
      </c>
    </row>
    <row r="70" spans="1:1">
      <c r="A70" t="s">
        <v>150</v>
      </c>
    </row>
    <row r="71" spans="1:1">
      <c r="A71" t="s">
        <v>1621</v>
      </c>
    </row>
    <row r="72" spans="1:1">
      <c r="A72" t="s">
        <v>150</v>
      </c>
    </row>
    <row r="73" spans="1:1">
      <c r="A73" t="s">
        <v>1622</v>
      </c>
    </row>
    <row r="75" spans="1:1">
      <c r="A75" t="s">
        <v>150</v>
      </c>
    </row>
    <row r="76" spans="1:1">
      <c r="A76" t="s">
        <v>1623</v>
      </c>
    </row>
    <row r="77" spans="1:1">
      <c r="A77" t="s">
        <v>1624</v>
      </c>
    </row>
    <row r="78" spans="1:1">
      <c r="A78" t="s">
        <v>1625</v>
      </c>
    </row>
    <row r="79" spans="1:1">
      <c r="A79" t="s">
        <v>150</v>
      </c>
    </row>
    <row r="80" spans="1:1">
      <c r="A80" t="s">
        <v>1863</v>
      </c>
    </row>
    <row r="82" spans="1:1">
      <c r="A82" t="s">
        <v>150</v>
      </c>
    </row>
    <row r="83" spans="1:1">
      <c r="A83" t="s">
        <v>1627</v>
      </c>
    </row>
    <row r="84" spans="1:1">
      <c r="A84" t="s">
        <v>150</v>
      </c>
    </row>
    <row r="85" spans="1:1">
      <c r="A85" s="124" t="str">
        <f>"four_way_volume_cutoff=" &amp; IF('Configs &amp; Procedures'!$L$15="YES-JAPAN","1,7029bf96","0,072e8f00")</f>
        <v>four_way_volume_cutoff=0,072e8f00</v>
      </c>
    </row>
    <row r="86" spans="1:1">
      <c r="A86" t="s">
        <v>1629</v>
      </c>
    </row>
    <row r="88" spans="1:1">
      <c r="A88" t="s">
        <v>150</v>
      </c>
    </row>
    <row r="89" spans="1:1">
      <c r="A89" t="s">
        <v>1630</v>
      </c>
    </row>
    <row r="90" spans="1:1">
      <c r="A90" t="s">
        <v>150</v>
      </c>
    </row>
    <row r="91" spans="1:1">
      <c r="A91" t="s">
        <v>1631</v>
      </c>
    </row>
    <row r="93" spans="1:1">
      <c r="A93" t="s">
        <v>150</v>
      </c>
    </row>
    <row r="94" spans="1:1">
      <c r="A94" t="s">
        <v>1632</v>
      </c>
    </row>
    <row r="95" spans="1:1">
      <c r="A95" t="s">
        <v>150</v>
      </c>
    </row>
    <row r="96" spans="1:1">
      <c r="A96" t="s">
        <v>1689</v>
      </c>
    </row>
    <row r="98" spans="1:1">
      <c r="A98" t="s">
        <v>150</v>
      </c>
    </row>
    <row r="99" spans="1:1">
      <c r="A99" t="s">
        <v>1633</v>
      </c>
    </row>
    <row r="100" spans="1:1">
      <c r="A100" t="s">
        <v>150</v>
      </c>
    </row>
    <row r="101" spans="1:1">
      <c r="A101" t="s">
        <v>1634</v>
      </c>
    </row>
    <row r="102" spans="1:1">
      <c r="A102" t="s">
        <v>1635</v>
      </c>
    </row>
    <row r="104" spans="1:1">
      <c r="A104" t="s">
        <v>150</v>
      </c>
    </row>
    <row r="105" spans="1:1">
      <c r="A105" t="s">
        <v>1636</v>
      </c>
    </row>
    <row r="106" spans="1:1">
      <c r="A106" t="s">
        <v>150</v>
      </c>
    </row>
    <row r="107" spans="1:1">
      <c r="A107" t="s">
        <v>1637</v>
      </c>
    </row>
    <row r="109" spans="1:1">
      <c r="A109" t="s">
        <v>150</v>
      </c>
    </row>
    <row r="110" spans="1:1">
      <c r="A110" t="s">
        <v>1638</v>
      </c>
    </row>
    <row r="111" spans="1:1">
      <c r="A111" t="s">
        <v>150</v>
      </c>
    </row>
    <row r="112" spans="1:1">
      <c r="A112" t="s">
        <v>1639</v>
      </c>
    </row>
    <row r="114" spans="1:1">
      <c r="A114" t="s">
        <v>150</v>
      </c>
    </row>
    <row r="115" spans="1:1">
      <c r="A115" t="s">
        <v>1640</v>
      </c>
    </row>
    <row r="116" spans="1:1">
      <c r="A116" t="s">
        <v>150</v>
      </c>
    </row>
    <row r="117" spans="1:1">
      <c r="A117" t="s">
        <v>1641</v>
      </c>
    </row>
    <row r="118" spans="1:1">
      <c r="A118" t="s">
        <v>1642</v>
      </c>
    </row>
    <row r="119" spans="1:1">
      <c r="A119" t="s">
        <v>1643</v>
      </c>
    </row>
    <row r="121" spans="1:1">
      <c r="A121" t="s">
        <v>150</v>
      </c>
    </row>
    <row r="122" spans="1:1">
      <c r="A122" t="s">
        <v>1864</v>
      </c>
    </row>
    <row r="123" spans="1:1">
      <c r="A123" t="s">
        <v>1865</v>
      </c>
    </row>
    <row r="124" spans="1:1">
      <c r="A124" t="s">
        <v>1866</v>
      </c>
    </row>
    <row r="125" spans="1:1">
      <c r="A125" t="s">
        <v>150</v>
      </c>
    </row>
    <row r="126" spans="1:1">
      <c r="A126" t="s">
        <v>1644</v>
      </c>
    </row>
    <row r="127" spans="1:1">
      <c r="A127" t="s">
        <v>150</v>
      </c>
    </row>
    <row r="128" spans="1:1">
      <c r="A128" t="s">
        <v>1645</v>
      </c>
    </row>
    <row r="130" spans="1:1">
      <c r="A130" t="s">
        <v>150</v>
      </c>
    </row>
    <row r="131" spans="1:1">
      <c r="A131" t="s">
        <v>1646</v>
      </c>
    </row>
    <row r="132" spans="1:1">
      <c r="A132" t="s">
        <v>1647</v>
      </c>
    </row>
    <row r="133" spans="1:1">
      <c r="A133" t="s">
        <v>150</v>
      </c>
    </row>
    <row r="134" spans="1:1">
      <c r="A134" t="s">
        <v>1648</v>
      </c>
    </row>
    <row r="135" spans="1:1">
      <c r="A135" t="s">
        <v>1649</v>
      </c>
    </row>
    <row r="137" spans="1:1">
      <c r="A137" t="s">
        <v>150</v>
      </c>
    </row>
    <row r="138" spans="1:1">
      <c r="A138" t="s">
        <v>1650</v>
      </c>
    </row>
    <row r="139" spans="1:1">
      <c r="A139" t="s">
        <v>1651</v>
      </c>
    </row>
    <row r="140" spans="1:1">
      <c r="A140" t="s">
        <v>1652</v>
      </c>
    </row>
    <row r="141" spans="1:1">
      <c r="A141" t="s">
        <v>150</v>
      </c>
    </row>
    <row r="142" spans="1:1">
      <c r="A142" t="s">
        <v>1653</v>
      </c>
    </row>
    <row r="144" spans="1:1">
      <c r="A144" t="s">
        <v>150</v>
      </c>
    </row>
    <row r="145" spans="1:1">
      <c r="A145" t="s">
        <v>1654</v>
      </c>
    </row>
    <row r="146" spans="1:1">
      <c r="A146" t="s">
        <v>150</v>
      </c>
    </row>
    <row r="147" spans="1:1">
      <c r="A147" s="1299" t="str">
        <f>"postcount_platelet_mobilization_algorithm="&amp;IF('Configs &amp; Procedures'!$H$15="no","0,c88b7f11","1,bf8c4f87")</f>
        <v>postcount_platelet_mobilization_algorithm=0,c88b7f11</v>
      </c>
    </row>
    <row r="149" spans="1:1">
      <c r="A149" t="s">
        <v>150</v>
      </c>
    </row>
    <row r="150" spans="1:1">
      <c r="A150" t="s">
        <v>1690</v>
      </c>
    </row>
    <row r="151" spans="1:1">
      <c r="A151" t="s">
        <v>150</v>
      </c>
    </row>
    <row r="152" spans="1:1">
      <c r="A152" t="s">
        <v>1691</v>
      </c>
    </row>
    <row r="153" spans="1:1">
      <c r="A153" t="s">
        <v>1692</v>
      </c>
    </row>
    <row r="155" spans="1:1">
      <c r="A155" t="s">
        <v>1655</v>
      </c>
    </row>
    <row r="156" spans="1:1">
      <c r="A156" t="s">
        <v>150</v>
      </c>
    </row>
    <row r="157" spans="1:1">
      <c r="A157" t="s">
        <v>1656</v>
      </c>
    </row>
    <row r="158" spans="1:1">
      <c r="A158" t="s">
        <v>150</v>
      </c>
    </row>
    <row r="159" spans="1:1">
      <c r="A159" t="s">
        <v>1657</v>
      </c>
    </row>
    <row r="161" spans="1:1">
      <c r="A161" t="s">
        <v>150</v>
      </c>
    </row>
    <row r="162" spans="1:1">
      <c r="A162" t="s">
        <v>1658</v>
      </c>
    </row>
    <row r="163" spans="1:1">
      <c r="A163" t="s">
        <v>1659</v>
      </c>
    </row>
    <row r="164" spans="1:1">
      <c r="A164" t="s">
        <v>1660</v>
      </c>
    </row>
    <row r="165" spans="1:1">
      <c r="A165" t="s">
        <v>150</v>
      </c>
    </row>
    <row r="166" spans="1:1">
      <c r="A166" t="s">
        <v>1661</v>
      </c>
    </row>
    <row r="167" spans="1:1">
      <c r="A167" t="s">
        <v>1662</v>
      </c>
    </row>
    <row r="168" spans="1:1">
      <c r="A168" t="s">
        <v>1663</v>
      </c>
    </row>
    <row r="169" spans="1:1">
      <c r="A169" t="s">
        <v>150</v>
      </c>
    </row>
    <row r="171" spans="1:1">
      <c r="A171" t="s">
        <v>150</v>
      </c>
    </row>
    <row r="172" spans="1:1">
      <c r="A172" t="s">
        <v>1664</v>
      </c>
    </row>
    <row r="173" spans="1:1">
      <c r="A173" t="s">
        <v>150</v>
      </c>
    </row>
    <row r="174" spans="1:1">
      <c r="A174" t="s">
        <v>1665</v>
      </c>
    </row>
    <row r="175" spans="1:1">
      <c r="A175" t="s">
        <v>1666</v>
      </c>
    </row>
    <row r="178" spans="1:1">
      <c r="A178" t="s">
        <v>150</v>
      </c>
    </row>
    <row r="179" spans="1:1">
      <c r="A179" t="s">
        <v>1667</v>
      </c>
    </row>
    <row r="180" spans="1:1">
      <c r="A180" t="s">
        <v>1668</v>
      </c>
    </row>
    <row r="181" spans="1:1">
      <c r="A181" t="s">
        <v>1669</v>
      </c>
    </row>
    <row r="182" spans="1:1">
      <c r="A182" t="s">
        <v>150</v>
      </c>
    </row>
    <row r="183" spans="1:1">
      <c r="A183" t="s">
        <v>1670</v>
      </c>
    </row>
    <row r="186" spans="1:1">
      <c r="A186" t="s">
        <v>150</v>
      </c>
    </row>
    <row r="187" spans="1:1">
      <c r="A187" t="s">
        <v>1671</v>
      </c>
    </row>
    <row r="188" spans="1:1">
      <c r="A188" t="s">
        <v>1672</v>
      </c>
    </row>
    <row r="189" spans="1:1">
      <c r="A189" t="s">
        <v>150</v>
      </c>
    </row>
    <row r="190" spans="1:1">
      <c r="A190" t="s">
        <v>1673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43</vt:i4>
      </vt:variant>
    </vt:vector>
  </HeadingPairs>
  <TitlesOfParts>
    <vt:vector size="77" baseType="lpstr">
      <vt:lpstr>IFU</vt:lpstr>
      <vt:lpstr>Directory</vt:lpstr>
      <vt:lpstr>Configs &amp; Procedures</vt:lpstr>
      <vt:lpstr>Donor Sample</vt:lpstr>
      <vt:lpstr>MD Summary</vt:lpstr>
      <vt:lpstr>MD Details</vt:lpstr>
      <vt:lpstr>MD DQP Stats</vt:lpstr>
      <vt:lpstr>SD Summary</vt:lpstr>
      <vt:lpstr>SD Details</vt:lpstr>
      <vt:lpstr>Details</vt:lpstr>
      <vt:lpstr>SD_Details</vt:lpstr>
      <vt:lpstr>DS Analysis</vt:lpstr>
      <vt:lpstr>ConfigLoop</vt:lpstr>
      <vt:lpstr>cc51</vt:lpstr>
      <vt:lpstr>config51</vt:lpstr>
      <vt:lpstr>config52</vt:lpstr>
      <vt:lpstr>cc52</vt:lpstr>
      <vt:lpstr>cc60</vt:lpstr>
      <vt:lpstr>config60</vt:lpstr>
      <vt:lpstr>cc63</vt:lpstr>
      <vt:lpstr>cc61</vt:lpstr>
      <vt:lpstr>config63</vt:lpstr>
      <vt:lpstr>config61</vt:lpstr>
      <vt:lpstr>UserConfig</vt:lpstr>
      <vt:lpstr>Dev Notes</vt:lpstr>
      <vt:lpstr>configAMAPP</vt:lpstr>
      <vt:lpstr>sw</vt:lpstr>
      <vt:lpstr>swPAS</vt:lpstr>
      <vt:lpstr>ccLR2</vt:lpstr>
      <vt:lpstr>ccLR</vt:lpstr>
      <vt:lpstr>ccPAS</vt:lpstr>
      <vt:lpstr>configPAS</vt:lpstr>
      <vt:lpstr>sw63</vt:lpstr>
      <vt:lpstr>sw61</vt:lpstr>
      <vt:lpstr>ABODirect</vt:lpstr>
      <vt:lpstr>ABOStat</vt:lpstr>
      <vt:lpstr>bIterate</vt:lpstr>
      <vt:lpstr>bIterCount</vt:lpstr>
      <vt:lpstr>bOverride</vt:lpstr>
      <vt:lpstr>cntPls</vt:lpstr>
      <vt:lpstr>cntPlt</vt:lpstr>
      <vt:lpstr>cntRBC</vt:lpstr>
      <vt:lpstr>cPlt</vt:lpstr>
      <vt:lpstr>DBO</vt:lpstr>
      <vt:lpstr>dbs</vt:lpstr>
      <vt:lpstr>DonorCount</vt:lpstr>
      <vt:lpstr>DonorSex</vt:lpstr>
      <vt:lpstr>FmSetting</vt:lpstr>
      <vt:lpstr>maxPls</vt:lpstr>
      <vt:lpstr>maxPlt</vt:lpstr>
      <vt:lpstr>maxRBC</vt:lpstr>
      <vt:lpstr>minPls</vt:lpstr>
      <vt:lpstr>minPlt</vt:lpstr>
      <vt:lpstr>minRBC</vt:lpstr>
      <vt:lpstr>MOPlsSwitch</vt:lpstr>
      <vt:lpstr>MOPltSwitch</vt:lpstr>
      <vt:lpstr>'Configs &amp; Procedures'!Print_Area</vt:lpstr>
      <vt:lpstr>Directory!Print_Area</vt:lpstr>
      <vt:lpstr>'Donor Sample'!Print_Area</vt:lpstr>
      <vt:lpstr>IFU!Print_Area</vt:lpstr>
      <vt:lpstr>'MD Details'!Print_Area</vt:lpstr>
      <vt:lpstr>'MD DQP Stats'!Print_Area</vt:lpstr>
      <vt:lpstr>'MD Summary'!Print_Area</vt:lpstr>
      <vt:lpstr>'SD Details'!Print_Area</vt:lpstr>
      <vt:lpstr>'SD Summary'!Print_Area</vt:lpstr>
      <vt:lpstr>UserConfig!Print_Area</vt:lpstr>
      <vt:lpstr>prPls</vt:lpstr>
      <vt:lpstr>prPlt</vt:lpstr>
      <vt:lpstr>prRBC</vt:lpstr>
      <vt:lpstr>PTFswitch</vt:lpstr>
      <vt:lpstr>StatDiff</vt:lpstr>
      <vt:lpstr>stepPls</vt:lpstr>
      <vt:lpstr>stepPlt</vt:lpstr>
      <vt:lpstr>stepRBC</vt:lpstr>
      <vt:lpstr>tbvlimit</vt:lpstr>
      <vt:lpstr>tbvswitch</vt:lpstr>
      <vt:lpstr>version_loc</vt:lpstr>
    </vt:vector>
  </TitlesOfParts>
  <Company>Gambro BCT</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jpitusb</dc:creator>
  <cp:lastModifiedBy>ag11043</cp:lastModifiedBy>
  <cp:lastPrinted>2009-12-15T17:55:01Z</cp:lastPrinted>
  <dcterms:created xsi:type="dcterms:W3CDTF">2009-03-02T22:22:59Z</dcterms:created>
  <dcterms:modified xsi:type="dcterms:W3CDTF">2012-12-20T22:26:31Z</dcterms:modified>
</cp:coreProperties>
</file>